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spreadsheetml.comments+xml" PartName="/xl/comments14.xml"/>
  <Override ContentType="application/vnd.openxmlformats-officedocument.spreadsheetml.comments+xml" PartName="/xl/comments15.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drawing+xml" PartName="/xl/drawings/drawing1.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12.xml"/>
  <Override ContentType="application/vnd.openxmlformats-officedocument.spreadsheetml.externalLink+xml" PartName="/xl/externalLinks/externalLink13.xml"/>
  <Override ContentType="application/vnd.openxmlformats-officedocument.spreadsheetml.externalLink+xml" PartName="/xl/externalLinks/externalLink14.xml"/>
  <Override ContentType="application/vnd.openxmlformats-officedocument.spreadsheetml.externalLink+xml" PartName="/xl/externalLinks/externalLink15.xml"/>
  <Override ContentType="application/vnd.openxmlformats-officedocument.spreadsheetml.externalLink+xml" PartName="/xl/externalLinks/externalLink16.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305" yWindow="2310" windowWidth="20730" windowHeight="8535" tabRatio="805"/>
  </bookViews>
  <sheets>
    <sheet name="ImportantDisclosures" sheetId="107" r:id="rId1"/>
    <sheet name="BullBaseBear" sheetId="72" r:id="rId2"/>
    <sheet name="sumry" sheetId="11" r:id="rId3"/>
    <sheet name="sgadetail" sheetId="58" r:id="rId4"/>
    <sheet name="qtrSales" sheetId="3" r:id="rId5"/>
    <sheet name="qtrP&amp;L" sheetId="1" r:id="rId6"/>
    <sheet name="yrSales" sheetId="4" r:id="rId7"/>
    <sheet name="yrP&amp;L" sheetId="5" r:id="rId8"/>
    <sheet name="stores" sheetId="54" r:id="rId9"/>
    <sheet name="flow" sheetId="10" r:id="rId10"/>
    <sheet name="bal" sheetId="9" r:id="rId11"/>
    <sheet name="dtc" sheetId="7" r:id="rId12"/>
    <sheet name="wc" sheetId="6" r:id="rId13"/>
    <sheet name="turn" sheetId="8" r:id="rId14"/>
    <sheet name="MW-Cache" sheetId="15" state="veryHidden" r:id="rId15"/>
    <sheet name="__FDSCACHE__" sheetId="17" state="veryHidden" r:id="rId16"/>
    <sheet name="DCF" sheetId="87" r:id="rId17"/>
    <sheet name="LEASES NEW" sheetId="64" r:id="rId18"/>
    <sheet name="IndexInformation" sheetId="108" r:id="rId19"/>
    <sheet name="ModPubIndex" sheetId="109" r:id="rId20"/>
  </sheets>
  <functionGroups builtInGroupCount="17"/>
  <externalReferences>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s>
  <definedNames>
    <definedName name="__FDS_HYPERLINK_TOGGLE_STATE__" hidden="1">"ON"</definedName>
    <definedName name="__FDS_UNIQUE_RANGE_ID_GENERATOR_COUNTER" localSheetId="16" hidden="1">1</definedName>
    <definedName name="__FDS_UNIQUE_RANGE_ID_GENERATOR_COUNTER">155</definedName>
    <definedName name="__FDS_USED_FOR_REUSING_RANGE_IDS_RECYCLE">{1,1,1,1}</definedName>
    <definedName name="_1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0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00__FDSAUDITLINK__" hidden="1">{"fdsup://Directions/FactSet Auditing Viewer?action=AUDIT_VALUE&amp;DB=129&amp;ID1=07589610&amp;VALUEID=01001&amp;SDATE=200702&amp;PERIODTYPE=QTR_STD&amp;window=popup_no_bar&amp;width=385&amp;height=120&amp;START_MAXIMIZED=FALSE&amp;creator=factset&amp;display_string=Audit"}</definedName>
    <definedName name="_1000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1001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1002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1003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1004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1005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1006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1007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1008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1009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101__FDSAUDITLINK__" hidden="1">{"fdsup://Directions/FactSet Auditing Viewer?action=AUDIT_VALUE&amp;DB=129&amp;ID1=07589610&amp;VALUEID=01001&amp;SDATE=200701&amp;PERIODTYPE=QTR_STD&amp;window=popup_no_bar&amp;width=385&amp;height=120&amp;START_MAXIMIZED=FALSE&amp;creator=factset&amp;display_string=Audit"}</definedName>
    <definedName name="_1010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1011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1012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1013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1014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1015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1016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1017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1018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1019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102__FDSAUDITLINK__" hidden="1">{"fdsup://Directions/FactSet Auditing Viewer?action=AUDIT_VALUE&amp;DB=129&amp;ID1=07589610&amp;VALUEID=01001&amp;SDATE=200604&amp;PERIODTYPE=QTR_STD&amp;window=popup_no_bar&amp;width=385&amp;height=120&amp;START_MAXIMIZED=FALSE&amp;creator=factset&amp;display_string=Audit"}</definedName>
    <definedName name="_1020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1021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1022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1023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1024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1025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1026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1027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1028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1029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103__FDSAUDITLINK__" hidden="1">{"fdsup://Directions/FactSet Auditing Viewer?action=AUDIT_VALUE&amp;DB=129&amp;ID1=07589610&amp;VALUEID=01001&amp;SDATE=200603&amp;PERIODTYPE=QTR_STD&amp;window=popup_no_bar&amp;width=385&amp;height=120&amp;START_MAXIMIZED=FALSE&amp;creator=factset&amp;display_string=Audit"}</definedName>
    <definedName name="_1030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1031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1032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1033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1034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1035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1036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1037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1038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1039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104__FDSAUDITLINK__" hidden="1">{"fdsup://Directions/FactSet Auditing Viewer?action=AUDIT_VALUE&amp;DB=129&amp;ID1=07589610&amp;VALUEID=01001&amp;SDATE=200602&amp;PERIODTYPE=QTR_STD&amp;window=popup_no_bar&amp;width=385&amp;height=120&amp;START_MAXIMIZED=FALSE&amp;creator=factset&amp;display_string=Audit"}</definedName>
    <definedName name="_1040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1041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1042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1043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1044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1045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1046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1047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1048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1049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105__FDSAUDITLINK__" hidden="1">{"fdsup://Directions/FactSet Auditing Viewer?action=AUDIT_VALUE&amp;DB=129&amp;ID1=07589610&amp;VALUEID=01001&amp;SDATE=200601&amp;PERIODTYPE=QTR_STD&amp;window=popup_no_bar&amp;width=385&amp;height=120&amp;START_MAXIMIZED=FALSE&amp;creator=factset&amp;display_string=Audit"}</definedName>
    <definedName name="_1050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1051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1052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1053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1054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1055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1056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1057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1058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1059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106__FDSAUDITLINK__" hidden="1">{"fdsup://Directions/FactSet Auditing Viewer?action=AUDIT_VALUE&amp;DB=129&amp;ID1=07589610&amp;VALUEID=01001&amp;SDATE=200503&amp;PERIODTYPE=QTR_STD&amp;window=popup_no_bar&amp;width=385&amp;height=120&amp;START_MAXIMIZED=FALSE&amp;creator=factset&amp;display_string=Audit"}</definedName>
    <definedName name="_1060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1061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1062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1063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1064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1065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1066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1067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1068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1069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107__FDSAUDITLINK__" hidden="1">{"fdsup://Directions/FactSet Auditing Viewer?action=AUDIT_VALUE&amp;DB=129&amp;ID1=96990410&amp;VALUEID=01001&amp;SDATE=200903&amp;PERIODTYPE=QTR_STD&amp;window=popup_no_bar&amp;width=385&amp;height=120&amp;START_MAXIMIZED=FALSE&amp;creator=factset&amp;display_string=Audit"}</definedName>
    <definedName name="_1070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1071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1072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1073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1074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1075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1076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1077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1078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1079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108__FDSAUDITLINK__" hidden="1">{"fdsup://Directions/FactSet Auditing Viewer?action=AUDIT_VALUE&amp;DB=129&amp;ID1=96990410&amp;VALUEID=01001&amp;SDATE=200902&amp;PERIODTYPE=QTR_STD&amp;window=popup_no_bar&amp;width=385&amp;height=120&amp;START_MAXIMIZED=FALSE&amp;creator=factset&amp;display_string=Audit"}</definedName>
    <definedName name="_1080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1081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1082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1083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1084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085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1086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1087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1088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1089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109__FDSAUDITLINK__" hidden="1">{"fdsup://Directions/FactSet Auditing Viewer?action=AUDIT_VALUE&amp;DB=129&amp;ID1=96990410&amp;VALUEID=01001&amp;SDATE=200901&amp;PERIODTYPE=QTR_STD&amp;window=popup_no_bar&amp;width=385&amp;height=120&amp;START_MAXIMIZED=FALSE&amp;creator=factset&amp;display_string=Audit"}</definedName>
    <definedName name="_1090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1091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1092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1093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1094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095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1096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1097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1098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1099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11__123Graph_XLIQUIDS" hidden="1">[1]P!$R$29:$AK$29</definedName>
    <definedName name="_11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10__FDSAUDITLINK__" hidden="1">{"fdsup://Directions/FactSet Auditing Viewer?action=AUDIT_VALUE&amp;DB=129&amp;ID1=96990410&amp;VALUEID=01001&amp;SDATE=200804&amp;PERIODTYPE=QTR_STD&amp;window=popup_no_bar&amp;width=385&amp;height=120&amp;START_MAXIMIZED=FALSE&amp;creator=factset&amp;display_string=Audit"}</definedName>
    <definedName name="_1100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1101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1102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1103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1104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1105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1106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1107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1108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1109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111__FDSAUDITLINK__" hidden="1">{"fdsup://Directions/FactSet Auditing Viewer?action=AUDIT_VALUE&amp;DB=129&amp;ID1=96990410&amp;VALUEID=01001&amp;SDATE=200803&amp;PERIODTYPE=QTR_STD&amp;window=popup_no_bar&amp;width=385&amp;height=120&amp;START_MAXIMIZED=FALSE&amp;creator=factset&amp;display_string=Audit"}</definedName>
    <definedName name="_1110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1111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1112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1113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1114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1115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1116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1117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1118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1119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112__FDSAUDITLINK__" hidden="1">{"fdsup://Directions/FactSet Auditing Viewer?action=AUDIT_VALUE&amp;DB=129&amp;ID1=96990410&amp;VALUEID=01001&amp;SDATE=200802&amp;PERIODTYPE=QTR_STD&amp;window=popup_no_bar&amp;width=385&amp;height=120&amp;START_MAXIMIZED=FALSE&amp;creator=factset&amp;display_string=Audit"}</definedName>
    <definedName name="_1120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1121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1122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1123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1124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1125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1126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1127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1128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1129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113__FDSAUDITLINK__" hidden="1">{"fdsup://Directions/FactSet Auditing Viewer?action=AUDIT_VALUE&amp;DB=129&amp;ID1=96990410&amp;VALUEID=01001&amp;SDATE=200801&amp;PERIODTYPE=QTR_STD&amp;window=popup_no_bar&amp;width=385&amp;height=120&amp;START_MAXIMIZED=FALSE&amp;creator=factset&amp;display_string=Audit"}</definedName>
    <definedName name="_1130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1131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1132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1133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1134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1135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1136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1137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1138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1139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114__FDSAUDITLINK__" hidden="1">{"fdsup://Directions/FactSet Auditing Viewer?action=AUDIT_VALUE&amp;DB=129&amp;ID1=96990410&amp;VALUEID=01001&amp;SDATE=200704&amp;PERIODTYPE=QTR_STD&amp;window=popup_no_bar&amp;width=385&amp;height=120&amp;START_MAXIMIZED=FALSE&amp;creator=factset&amp;display_string=Audit"}</definedName>
    <definedName name="_1140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1141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1142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1143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1144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1145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1146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1147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1148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1149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115__FDSAUDITLINK__" hidden="1">{"fdsup://Directions/FactSet Auditing Viewer?action=AUDIT_VALUE&amp;DB=129&amp;ID1=96990410&amp;VALUEID=01001&amp;SDATE=200703&amp;PERIODTYPE=QTR_STD&amp;window=popup_no_bar&amp;width=385&amp;height=120&amp;START_MAXIMIZED=FALSE&amp;creator=factset&amp;display_string=Audit"}</definedName>
    <definedName name="_1150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1151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1152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1153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1154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1155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1156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1157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1158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1159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116__FDSAUDITLINK__" hidden="1">{"fdsup://Directions/FactSet Auditing Viewer?action=AUDIT_VALUE&amp;DB=129&amp;ID1=96990410&amp;VALUEID=01001&amp;SDATE=200702&amp;PERIODTYPE=QTR_STD&amp;window=popup_no_bar&amp;width=385&amp;height=120&amp;START_MAXIMIZED=FALSE&amp;creator=factset&amp;display_string=Audit"}</definedName>
    <definedName name="_1160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1161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1162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1163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1164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1165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1166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1167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1168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1169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117__FDSAUDITLINK__" hidden="1">{"fdsup://Directions/FactSet Auditing Viewer?action=AUDIT_VALUE&amp;DB=129&amp;ID1=96990410&amp;VALUEID=01001&amp;SDATE=200701&amp;PERIODTYPE=QTR_STD&amp;window=popup_no_bar&amp;width=385&amp;height=120&amp;START_MAXIMIZED=FALSE&amp;creator=factset&amp;display_string=Audit"}</definedName>
    <definedName name="_1170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1171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1172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1173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1174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1175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1176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1177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1178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1179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118__FDSAUDITLINK__" hidden="1">{"fdsup://Directions/FactSet Auditing Viewer?action=AUDIT_VALUE&amp;DB=129&amp;ID1=96990410&amp;VALUEID=01001&amp;SDATE=200604&amp;PERIODTYPE=QTR_STD&amp;window=popup_no_bar&amp;width=385&amp;height=120&amp;START_MAXIMIZED=FALSE&amp;creator=factset&amp;display_string=Audit"}</definedName>
    <definedName name="_1180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1181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1182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1183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1184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1185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1186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1187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1188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1189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119__FDSAUDITLINK__" hidden="1">{"fdsup://Directions/FactSet Auditing Viewer?action=AUDIT_VALUE&amp;DB=129&amp;ID1=96990410&amp;VALUEID=01001&amp;SDATE=200603&amp;PERIODTYPE=QTR_STD&amp;window=popup_no_bar&amp;width=385&amp;height=120&amp;START_MAXIMIZED=FALSE&amp;creator=factset&amp;display_string=Audit"}</definedName>
    <definedName name="_1190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1191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1192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1193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1194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1195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1196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1197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1198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1199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12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20__FDSAUDITLINK__" hidden="1">{"fdsup://Directions/FactSet Auditing Viewer?action=AUDIT_VALUE&amp;DB=129&amp;ID1=96990410&amp;VALUEID=01001&amp;SDATE=200602&amp;PERIODTYPE=QTR_STD&amp;window=popup_no_bar&amp;width=385&amp;height=120&amp;START_MAXIMIZED=FALSE&amp;creator=factset&amp;display_string=Audit"}</definedName>
    <definedName name="_1200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1201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1202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1203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1204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1205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1206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1207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1208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1209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121__FDSAUDITLINK__" hidden="1">{"fdsup://Directions/FactSet Auditing Viewer?action=AUDIT_VALUE&amp;DB=129&amp;ID1=96990410&amp;VALUEID=01001&amp;SDATE=200601&amp;PERIODTYPE=QTR_STD&amp;window=popup_no_bar&amp;width=385&amp;height=120&amp;START_MAXIMIZED=FALSE&amp;creator=factset&amp;display_string=Audit"}</definedName>
    <definedName name="_1210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1211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1212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1213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1214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1215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1216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1217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1218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1219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122__FDSAUDITLINK__" hidden="1">{"fdsup://Directions/FactSet Auditing Viewer?action=AUDIT_VALUE&amp;DB=129&amp;ID1=81235010&amp;VALUEID=01001&amp;SDATE=200903&amp;PERIODTYPE=QTR_STD&amp;window=popup_no_bar&amp;width=385&amp;height=120&amp;START_MAXIMIZED=FALSE&amp;creator=factset&amp;display_string=Audit"}</definedName>
    <definedName name="_1220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1221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1222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1223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1224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1225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1226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1227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1228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1229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123__FDSAUDITLINK__" hidden="1">{"fdsup://Directions/FactSet Auditing Viewer?action=AUDIT_VALUE&amp;DB=129&amp;ID1=81235010&amp;VALUEID=01001&amp;SDATE=200902&amp;PERIODTYPE=QTR_STD&amp;window=popup_no_bar&amp;width=385&amp;height=120&amp;START_MAXIMIZED=FALSE&amp;creator=factset&amp;display_string=Audit"}</definedName>
    <definedName name="_1230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1231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1232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1233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1234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1235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1236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1237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1238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1239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124__FDSAUDITLINK__" hidden="1">{"fdsup://Directions/FactSet Auditing Viewer?action=AUDIT_VALUE&amp;DB=129&amp;ID1=81235010&amp;VALUEID=01001&amp;SDATE=200901&amp;PERIODTYPE=QTR_STD&amp;window=popup_no_bar&amp;width=385&amp;height=120&amp;START_MAXIMIZED=FALSE&amp;creator=factset&amp;display_string=Audit"}</definedName>
    <definedName name="_1240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1241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1242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1243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1244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1245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1246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1247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1248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1249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125__FDSAUDITLINK__" hidden="1">{"fdsup://Directions/FactSet Auditing Viewer?action=AUDIT_VALUE&amp;DB=129&amp;ID1=81235010&amp;VALUEID=01001&amp;SDATE=200804&amp;PERIODTYPE=QTR_STD&amp;window=popup_no_bar&amp;width=385&amp;height=120&amp;START_MAXIMIZED=FALSE&amp;creator=factset&amp;display_string=Audit"}</definedName>
    <definedName name="_1250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1251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1252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1253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1254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1255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1256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1257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1258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1259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126__FDSAUDITLINK__" hidden="1">{"fdsup://Directions/FactSet Auditing Viewer?action=AUDIT_VALUE&amp;DB=129&amp;ID1=81235010&amp;VALUEID=01001&amp;SDATE=200803&amp;PERIODTYPE=QTR_STD&amp;window=popup_no_bar&amp;width=385&amp;height=120&amp;START_MAXIMIZED=FALSE&amp;creator=factset&amp;display_string=Audit"}</definedName>
    <definedName name="_1260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1261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1262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1263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1264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1265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1266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1267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1268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1269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127__FDSAUDITLINK__" hidden="1">{"fdsup://Directions/FactSet Auditing Viewer?action=AUDIT_VALUE&amp;DB=129&amp;ID1=81235010&amp;VALUEID=01001&amp;SDATE=200802&amp;PERIODTYPE=QTR_STD&amp;window=popup_no_bar&amp;width=385&amp;height=120&amp;START_MAXIMIZED=FALSE&amp;creator=factset&amp;display_string=Audit"}</definedName>
    <definedName name="_1270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1271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1272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1273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1274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1275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1276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1277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1278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1279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128__FDSAUDITLINK__" hidden="1">{"fdsup://Directions/FactSet Auditing Viewer?action=AUDIT_VALUE&amp;DB=129&amp;ID1=81235010&amp;VALUEID=01001&amp;SDATE=200801&amp;PERIODTYPE=QTR_STD&amp;window=popup_no_bar&amp;width=385&amp;height=120&amp;START_MAXIMIZED=FALSE&amp;creator=factset&amp;display_string=Audit"}</definedName>
    <definedName name="_1280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1281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1282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1283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1284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1285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1286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1287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1288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1289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129__FDSAUDITLINK__" hidden="1">{"fdsup://Directions/FactSet Auditing Viewer?action=AUDIT_VALUE&amp;DB=129&amp;ID1=81235010&amp;VALUEID=01001&amp;SDATE=200704&amp;PERIODTYPE=QTR_STD&amp;window=popup_no_bar&amp;width=385&amp;height=120&amp;START_MAXIMIZED=FALSE&amp;creator=factset&amp;display_string=Audit"}</definedName>
    <definedName name="_1290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1291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1292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1293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1294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1295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1296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1297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1298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1299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13__123Graph_XR_M_MARG" hidden="1">[1]P!$R$29:$AK$29</definedName>
    <definedName name="_13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30__FDSAUDITLINK__" hidden="1">{"fdsup://Directions/FactSet Auditing Viewer?action=AUDIT_VALUE&amp;DB=129&amp;ID1=81235010&amp;VALUEID=01001&amp;SDATE=200703&amp;PERIODTYPE=QTR_STD&amp;window=popup_no_bar&amp;width=385&amp;height=120&amp;START_MAXIMIZED=FALSE&amp;creator=factset&amp;display_string=Audit"}</definedName>
    <definedName name="_1300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1301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1302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1303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1304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1305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1306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1307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1308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1309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131__FDSAUDITLINK__" hidden="1">{"fdsup://Directions/FactSet Auditing Viewer?action=AUDIT_VALUE&amp;DB=129&amp;ID1=81235010&amp;VALUEID=01001&amp;SDATE=200702&amp;PERIODTYPE=QTR_STD&amp;window=popup_no_bar&amp;width=385&amp;height=120&amp;START_MAXIMIZED=FALSE&amp;creator=factset&amp;display_string=Audit"}</definedName>
    <definedName name="_1310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1311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1312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1313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1314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1315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1316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1317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1318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1319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132__FDSAUDITLINK__" hidden="1">{"fdsup://Directions/FactSet Auditing Viewer?action=AUDIT_VALUE&amp;DB=129&amp;ID1=81235010&amp;VALUEID=01001&amp;SDATE=200701&amp;PERIODTYPE=QTR_STD&amp;window=popup_no_bar&amp;width=385&amp;height=120&amp;START_MAXIMIZED=FALSE&amp;creator=factset&amp;display_string=Audit"}</definedName>
    <definedName name="_1320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1321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1322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1323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1324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1325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1326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1327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1328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1329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133__FDSAUDITLINK__" hidden="1">{"fdsup://Directions/FactSet Auditing Viewer?action=AUDIT_VALUE&amp;DB=129&amp;ID1=81235010&amp;VALUEID=01001&amp;SDATE=200604&amp;PERIODTYPE=QTR_STD&amp;window=popup_no_bar&amp;width=385&amp;height=120&amp;START_MAXIMIZED=FALSE&amp;creator=factset&amp;display_string=Audit"}</definedName>
    <definedName name="_1330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1331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1332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1333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1334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1335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1336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1337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1338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1339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134__FDSAUDITLINK__" hidden="1">{"fdsup://Directions/FactSet Auditing Viewer?action=AUDIT_VALUE&amp;DB=129&amp;ID1=81235010&amp;VALUEID=01001&amp;SDATE=200603&amp;PERIODTYPE=QTR_STD&amp;window=popup_no_bar&amp;width=385&amp;height=120&amp;START_MAXIMIZED=FALSE&amp;creator=factset&amp;display_string=Audit"}</definedName>
    <definedName name="_1340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1341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1342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1343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1344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1345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1346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1347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1348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1349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135__FDSAUDITLINK__" hidden="1">{"fdsup://Directions/FactSet Auditing Viewer?action=AUDIT_VALUE&amp;DB=129&amp;ID1=81235010&amp;VALUEID=01001&amp;SDATE=200602&amp;PERIODTYPE=QTR_STD&amp;window=popup_no_bar&amp;width=385&amp;height=120&amp;START_MAXIMIZED=FALSE&amp;creator=factset&amp;display_string=Audit"}</definedName>
    <definedName name="_1350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1351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1352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1353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1354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1355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1356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1357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1358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1359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136__FDSAUDITLINK__" hidden="1">{"fdsup://Directions/FactSet Auditing Viewer?action=AUDIT_VALUE&amp;DB=129&amp;ID1=81235010&amp;VALUEID=01001&amp;SDATE=200601&amp;PERIODTYPE=QTR_STD&amp;window=popup_no_bar&amp;width=385&amp;height=120&amp;START_MAXIMIZED=FALSE&amp;creator=factset&amp;display_string=Audit"}</definedName>
    <definedName name="_1360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1361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1362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1363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1364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1365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1366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1367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1368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1369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137__FDSAUDITLINK__" hidden="1">{"fdsup://Directions/FactSet Auditing Viewer?action=AUDIT_VALUE&amp;DB=129&amp;ID1=82434810&amp;VALUEID=01001&amp;SDATE=200903&amp;PERIODTYPE=QTR_STD&amp;window=popup_no_bar&amp;width=385&amp;height=120&amp;START_MAXIMIZED=FALSE&amp;creator=factset&amp;display_string=Audit"}</definedName>
    <definedName name="_1370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1371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1372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1373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1374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1375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1376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1377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1378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1379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138__FDSAUDITLINK__" hidden="1">{"fdsup://Directions/FactSet Auditing Viewer?action=AUDIT_VALUE&amp;DB=129&amp;ID1=82434810&amp;VALUEID=01001&amp;SDATE=200902&amp;PERIODTYPE=QTR_STD&amp;window=popup_no_bar&amp;width=385&amp;height=120&amp;START_MAXIMIZED=FALSE&amp;creator=factset&amp;display_string=Audit"}</definedName>
    <definedName name="_1380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1381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1382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1383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1384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1385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1386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1387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1388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1389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139__FDSAUDITLINK__" hidden="1">{"fdsup://Directions/FactSet Auditing Viewer?action=AUDIT_VALUE&amp;DB=129&amp;ID1=82434810&amp;VALUEID=01001&amp;SDATE=200901&amp;PERIODTYPE=QTR_STD&amp;window=popup_no_bar&amp;width=385&amp;height=120&amp;START_MAXIMIZED=FALSE&amp;creator=factset&amp;display_string=Audit"}</definedName>
    <definedName name="_1390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1391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1392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1393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1394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1395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1396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1397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1398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1399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14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40__FDSAUDITLINK__" hidden="1">{"fdsup://Directions/FactSet Auditing Viewer?action=AUDIT_VALUE&amp;DB=129&amp;ID1=82434810&amp;VALUEID=01001&amp;SDATE=200803&amp;PERIODTYPE=QTR_STD&amp;window=popup_no_bar&amp;width=385&amp;height=120&amp;START_MAXIMIZED=FALSE&amp;creator=factset&amp;display_string=Audit"}</definedName>
    <definedName name="_1400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1401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1402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1403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1404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1405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1406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1407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1408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1409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141__FDSAUDITLINK__" hidden="1">{"fdsup://Directions/FactSet Auditing Viewer?action=AUDIT_VALUE&amp;DB=129&amp;ID1=82434810&amp;VALUEID=01001&amp;SDATE=200802&amp;PERIODTYPE=QTR_STD&amp;window=popup_no_bar&amp;width=385&amp;height=120&amp;START_MAXIMIZED=FALSE&amp;creator=factset&amp;display_string=Audit"}</definedName>
    <definedName name="_1410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1411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1412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1413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1414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1415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1416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1417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1418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1419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142__FDSAUDITLINK__" hidden="1">{"fdsup://Directions/FactSet Auditing Viewer?action=AUDIT_VALUE&amp;DB=129&amp;ID1=82434810&amp;VALUEID=01001&amp;SDATE=200801&amp;PERIODTYPE=QTR_STD&amp;window=popup_no_bar&amp;width=385&amp;height=120&amp;START_MAXIMIZED=FALSE&amp;creator=factset&amp;display_string=Audit"}</definedName>
    <definedName name="_1420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1421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1422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1423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1424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1425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1426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1427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1428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1429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143__FDSAUDITLINK__" hidden="1">{"fdsup://Directions/FactSet Auditing Viewer?action=AUDIT_VALUE&amp;DB=129&amp;ID1=82434810&amp;VALUEID=01001&amp;SDATE=200704&amp;PERIODTYPE=QTR_STD&amp;window=popup_no_bar&amp;width=385&amp;height=120&amp;START_MAXIMIZED=FALSE&amp;creator=factset&amp;display_string=Audit"}</definedName>
    <definedName name="_1430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1431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1432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1433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1434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1435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1436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1437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1438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1439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144__FDSAUDITLINK__" hidden="1">{"fdsup://Directions/FactSet Auditing Viewer?action=AUDIT_VALUE&amp;DB=129&amp;ID1=82434810&amp;VALUEID=01001&amp;SDATE=200703&amp;PERIODTYPE=QTR_STD&amp;window=popup_no_bar&amp;width=385&amp;height=120&amp;START_MAXIMIZED=FALSE&amp;creator=factset&amp;display_string=Audit"}</definedName>
    <definedName name="_1440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1441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1442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1443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1444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1445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1446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1447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1448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1449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145__FDSAUDITLINK__" hidden="1">{"fdsup://Directions/FactSet Auditing Viewer?action=AUDIT_VALUE&amp;DB=129&amp;ID1=82434810&amp;VALUEID=01001&amp;SDATE=200702&amp;PERIODTYPE=QTR_STD&amp;window=popup_no_bar&amp;width=385&amp;height=120&amp;START_MAXIMIZED=FALSE&amp;creator=factset&amp;display_string=Audit"}</definedName>
    <definedName name="_1450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1451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1452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1453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1454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1455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1456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1457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1458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1459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146__FDSAUDITLINK__" hidden="1">{"fdsup://Directions/FactSet Auditing Viewer?action=AUDIT_VALUE&amp;DB=129&amp;ID1=82434810&amp;VALUEID=01001&amp;SDATE=200701&amp;PERIODTYPE=QTR_STD&amp;window=popup_no_bar&amp;width=385&amp;height=120&amp;START_MAXIMIZED=FALSE&amp;creator=factset&amp;display_string=Audit"}</definedName>
    <definedName name="_1460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1461__FDSAUDITLINK__" hidden="1">{"fdsup://Directions/FactSet Auditing Viewer?action=AUDIT_VALUE&amp;DB=129&amp;ID1=58711810&amp;VALUEID=13040&amp;SDATE=200601&amp;PERIODTYPE=QTR_STD&amp;window=popup_no_bar&amp;width=385&amp;height=120&amp;START_MAXIMIZED=FALSE&amp;creator=factset&amp;display_string=Audit"}</definedName>
    <definedName name="_1462__FDSAUDITLINK__" hidden="1">{"fdsup://Directions/FactSet Auditing Viewer?action=AUDIT_VALUE&amp;DB=129&amp;ID1=58711810&amp;VALUEID=01001&amp;SDATE=200601&amp;PERIODTYPE=QTR_STD&amp;window=popup_no_bar&amp;width=385&amp;height=120&amp;START_MAXIMIZED=FALSE&amp;creator=factset&amp;display_string=Audit"}</definedName>
    <definedName name="_1463__FDSAUDITLINK__" hidden="1">{"fdsup://Directions/FactSet Auditing Viewer?action=AUDIT_VALUE&amp;DB=129&amp;ID1=58711810&amp;VALUEID=02101&amp;SDATE=200601&amp;PERIODTYPE=QTR_STD&amp;window=popup_no_bar&amp;width=385&amp;height=120&amp;START_MAXIMIZED=FALSE&amp;creator=factset&amp;display_string=Audit"}</definedName>
    <definedName name="_1464__FDSAUDITLINK__" hidden="1">{"fdsup://Directions/FactSet Auditing Viewer?action=AUDIT_VALUE&amp;DB=129&amp;ID1=58711810&amp;VALUEID=13040&amp;SDATE=200602&amp;PERIODTYPE=QTR_STD&amp;window=popup_no_bar&amp;width=385&amp;height=120&amp;START_MAXIMIZED=FALSE&amp;creator=factset&amp;display_string=Audit"}</definedName>
    <definedName name="_1465__FDSAUDITLINK__" hidden="1">{"fdsup://Directions/FactSet Auditing Viewer?action=AUDIT_VALUE&amp;DB=129&amp;ID1=58711810&amp;VALUEID=01001&amp;SDATE=200602&amp;PERIODTYPE=QTR_STD&amp;window=popup_no_bar&amp;width=385&amp;height=120&amp;START_MAXIMIZED=FALSE&amp;creator=factset&amp;display_string=Audit"}</definedName>
    <definedName name="_1466__FDSAUDITLINK__" hidden="1">{"fdsup://Directions/FactSet Auditing Viewer?action=AUDIT_VALUE&amp;DB=129&amp;ID1=58711810&amp;VALUEID=02101&amp;SDATE=200602&amp;PERIODTYPE=QTR_STD&amp;window=popup_no_bar&amp;width=385&amp;height=120&amp;START_MAXIMIZED=FALSE&amp;creator=factset&amp;display_string=Audit"}</definedName>
    <definedName name="_1467__FDSAUDITLINK__" hidden="1">{"fdsup://Directions/FactSet Auditing Viewer?action=AUDIT_VALUE&amp;DB=129&amp;ID1=58711810&amp;VALUEID=13040&amp;SDATE=200603&amp;PERIODTYPE=QTR_STD&amp;window=popup_no_bar&amp;width=385&amp;height=120&amp;START_MAXIMIZED=FALSE&amp;creator=factset&amp;display_string=Audit"}</definedName>
    <definedName name="_1468__FDSAUDITLINK__" hidden="1">{"fdsup://Directions/FactSet Auditing Viewer?action=AUDIT_VALUE&amp;DB=129&amp;ID1=58711810&amp;VALUEID=01001&amp;SDATE=200603&amp;PERIODTYPE=QTR_STD&amp;window=popup_no_bar&amp;width=385&amp;height=120&amp;START_MAXIMIZED=FALSE&amp;creator=factset&amp;display_string=Audit"}</definedName>
    <definedName name="_1469__FDSAUDITLINK__" hidden="1">{"fdsup://Directions/FactSet Auditing Viewer?action=AUDIT_VALUE&amp;DB=129&amp;ID1=58711810&amp;VALUEID=02101&amp;SDATE=200603&amp;PERIODTYPE=QTR_STD&amp;window=popup_no_bar&amp;width=385&amp;height=120&amp;START_MAXIMIZED=FALSE&amp;creator=factset&amp;display_string=Audit"}</definedName>
    <definedName name="_147__FDSAUDITLINK__" hidden="1">{"fdsup://Directions/FactSet Auditing Viewer?action=AUDIT_VALUE&amp;DB=129&amp;ID1=82434810&amp;VALUEID=01001&amp;SDATE=200603&amp;PERIODTYPE=QTR_STD&amp;window=popup_no_bar&amp;width=385&amp;height=120&amp;START_MAXIMIZED=FALSE&amp;creator=factset&amp;display_string=Audit"}</definedName>
    <definedName name="_1470__FDSAUDITLINK__" hidden="1">{"fdsup://Directions/FactSet Auditing Viewer?action=AUDIT_VALUE&amp;DB=129&amp;ID1=58711810&amp;VALUEID=01001&amp;SDATE=200604&amp;PERIODTYPE=QTR_STD&amp;window=popup_no_bar&amp;width=385&amp;height=120&amp;START_MAXIMIZED=FALSE&amp;creator=factset&amp;display_string=Audit"}</definedName>
    <definedName name="_1471__FDSAUDITLINK__" hidden="1">{"fdsup://Directions/FactSet Auditing Viewer?action=AUDIT_VALUE&amp;DB=129&amp;ID1=58711810&amp;VALUEID=13040&amp;SDATE=200701&amp;PERIODTYPE=QTR_STD&amp;window=popup_no_bar&amp;width=385&amp;height=120&amp;START_MAXIMIZED=FALSE&amp;creator=factset&amp;display_string=Audit"}</definedName>
    <definedName name="_1472__FDSAUDITLINK__" hidden="1">{"fdsup://Directions/FactSet Auditing Viewer?action=AUDIT_VALUE&amp;DB=129&amp;ID1=58711810&amp;VALUEID=01001&amp;SDATE=200701&amp;PERIODTYPE=QTR_STD&amp;window=popup_no_bar&amp;width=385&amp;height=120&amp;START_MAXIMIZED=FALSE&amp;creator=factset&amp;display_string=Audit"}</definedName>
    <definedName name="_1473__FDSAUDITLINK__" hidden="1">{"fdsup://Directions/FactSet Auditing Viewer?action=AUDIT_VALUE&amp;DB=129&amp;ID1=58711810&amp;VALUEID=02101&amp;SDATE=200701&amp;PERIODTYPE=QTR_STD&amp;window=popup_no_bar&amp;width=385&amp;height=120&amp;START_MAXIMIZED=FALSE&amp;creator=factset&amp;display_string=Audit"}</definedName>
    <definedName name="_1474__FDSAUDITLINK__" hidden="1">{"fdsup://Directions/FactSet Auditing Viewer?action=AUDIT_VALUE&amp;DB=129&amp;ID1=58711810&amp;VALUEID=13040&amp;SDATE=200702&amp;PERIODTYPE=QTR_STD&amp;window=popup_no_bar&amp;width=385&amp;height=120&amp;START_MAXIMIZED=FALSE&amp;creator=factset&amp;display_string=Audit"}</definedName>
    <definedName name="_1475__FDSAUDITLINK__" hidden="1">{"fdsup://Directions/FactSet Auditing Viewer?action=AUDIT_VALUE&amp;DB=129&amp;ID1=58711810&amp;VALUEID=01001&amp;SDATE=200702&amp;PERIODTYPE=QTR_STD&amp;window=popup_no_bar&amp;width=385&amp;height=120&amp;START_MAXIMIZED=FALSE&amp;creator=factset&amp;display_string=Audit"}</definedName>
    <definedName name="_1476__FDSAUDITLINK__" hidden="1">{"fdsup://Directions/FactSet Auditing Viewer?action=AUDIT_VALUE&amp;DB=129&amp;ID1=58711810&amp;VALUEID=02101&amp;SDATE=200702&amp;PERIODTYPE=QTR_STD&amp;window=popup_no_bar&amp;width=385&amp;height=120&amp;START_MAXIMIZED=FALSE&amp;creator=factset&amp;display_string=Audit"}</definedName>
    <definedName name="_1477__FDSAUDITLINK__" hidden="1">{"fdsup://Directions/FactSet Auditing Viewer?action=AUDIT_VALUE&amp;DB=129&amp;ID1=58711810&amp;VALUEID=13040&amp;SDATE=200703&amp;PERIODTYPE=QTR_STD&amp;window=popup_no_bar&amp;width=385&amp;height=120&amp;START_MAXIMIZED=FALSE&amp;creator=factset&amp;display_string=Audit"}</definedName>
    <definedName name="_1478__FDSAUDITLINK__" hidden="1">{"fdsup://Directions/FactSet Auditing Viewer?action=AUDIT_VALUE&amp;DB=129&amp;ID1=58711810&amp;VALUEID=01001&amp;SDATE=200703&amp;PERIODTYPE=QTR_STD&amp;window=popup_no_bar&amp;width=385&amp;height=120&amp;START_MAXIMIZED=FALSE&amp;creator=factset&amp;display_string=Audit"}</definedName>
    <definedName name="_1479__FDSAUDITLINK__" hidden="1">{"fdsup://Directions/FactSet Auditing Viewer?action=AUDIT_VALUE&amp;DB=129&amp;ID1=58711810&amp;VALUEID=02101&amp;SDATE=200703&amp;PERIODTYPE=QTR_STD&amp;window=popup_no_bar&amp;width=385&amp;height=120&amp;START_MAXIMIZED=FALSE&amp;creator=factset&amp;display_string=Audit"}</definedName>
    <definedName name="_148__FDSAUDITLINK__" hidden="1">{"fdsup://Directions/FactSet Auditing Viewer?action=AUDIT_VALUE&amp;DB=129&amp;ID1=82434810&amp;VALUEID=01001&amp;SDATE=200602&amp;PERIODTYPE=QTR_STD&amp;window=popup_no_bar&amp;width=385&amp;height=120&amp;START_MAXIMIZED=FALSE&amp;creator=factset&amp;display_string=Audit"}</definedName>
    <definedName name="_1480__FDSAUDITLINK__" hidden="1">{"fdsup://Directions/FactSet Auditing Viewer?action=AUDIT_VALUE&amp;DB=129&amp;ID1=58711810&amp;VALUEID=01001&amp;SDATE=200704&amp;PERIODTYPE=QTR_STD&amp;window=popup_no_bar&amp;width=385&amp;height=120&amp;START_MAXIMIZED=FALSE&amp;creator=factset&amp;display_string=Audit"}</definedName>
    <definedName name="_1481__FDSAUDITLINK__" hidden="1">{"fdsup://Directions/FactSet Auditing Viewer?action=AUDIT_VALUE&amp;DB=129&amp;ID1=58711810&amp;VALUEID=13040&amp;SDATE=200801&amp;PERIODTYPE=QTR_STD&amp;window=popup_no_bar&amp;width=385&amp;height=120&amp;START_MAXIMIZED=FALSE&amp;creator=factset&amp;display_string=Audit"}</definedName>
    <definedName name="_1482__FDSAUDITLINK__" hidden="1">{"fdsup://Directions/FactSet Auditing Viewer?action=AUDIT_VALUE&amp;DB=129&amp;ID1=58711810&amp;VALUEID=01001&amp;SDATE=200801&amp;PERIODTYPE=QTR_STD&amp;window=popup_no_bar&amp;width=385&amp;height=120&amp;START_MAXIMIZED=FALSE&amp;creator=factset&amp;display_string=Audit"}</definedName>
    <definedName name="_1483__FDSAUDITLINK__" hidden="1">{"fdsup://Directions/FactSet Auditing Viewer?action=AUDIT_VALUE&amp;DB=129&amp;ID1=58711810&amp;VALUEID=02101&amp;SDATE=200801&amp;PERIODTYPE=QTR_STD&amp;window=popup_no_bar&amp;width=385&amp;height=120&amp;START_MAXIMIZED=FALSE&amp;creator=factset&amp;display_string=Audit"}</definedName>
    <definedName name="_1484__FDSAUDITLINK__" hidden="1">{"fdsup://Directions/FactSet Auditing Viewer?action=AUDIT_VALUE&amp;DB=129&amp;ID1=58711810&amp;VALUEID=13040&amp;SDATE=200802&amp;PERIODTYPE=QTR_STD&amp;window=popup_no_bar&amp;width=385&amp;height=120&amp;START_MAXIMIZED=FALSE&amp;creator=factset&amp;display_string=Audit"}</definedName>
    <definedName name="_1485__FDSAUDITLINK__" hidden="1">{"fdsup://Directions/FactSet Auditing Viewer?action=AUDIT_VALUE&amp;DB=129&amp;ID1=58711810&amp;VALUEID=01001&amp;SDATE=200802&amp;PERIODTYPE=QTR_STD&amp;window=popup_no_bar&amp;width=385&amp;height=120&amp;START_MAXIMIZED=FALSE&amp;creator=factset&amp;display_string=Audit"}</definedName>
    <definedName name="_1486__FDSAUDITLINK__" hidden="1">{"fdsup://Directions/FactSet Auditing Viewer?action=AUDIT_VALUE&amp;DB=129&amp;ID1=58711810&amp;VALUEID=02101&amp;SDATE=200802&amp;PERIODTYPE=QTR_STD&amp;window=popup_no_bar&amp;width=385&amp;height=120&amp;START_MAXIMIZED=FALSE&amp;creator=factset&amp;display_string=Audit"}</definedName>
    <definedName name="_1487__FDSAUDITLINK__" hidden="1">{"fdsup://Directions/FactSet Auditing Viewer?action=AUDIT_VALUE&amp;DB=129&amp;ID1=58711810&amp;VALUEID=13040&amp;SDATE=200803&amp;PERIODTYPE=QTR_STD&amp;window=popup_no_bar&amp;width=385&amp;height=120&amp;START_MAXIMIZED=FALSE&amp;creator=factset&amp;display_string=Audit"}</definedName>
    <definedName name="_1488__FDSAUDITLINK__" hidden="1">{"fdsup://Directions/FactSet Auditing Viewer?action=AUDIT_VALUE&amp;DB=129&amp;ID1=58711810&amp;VALUEID=01001&amp;SDATE=200803&amp;PERIODTYPE=QTR_STD&amp;window=popup_no_bar&amp;width=385&amp;height=120&amp;START_MAXIMIZED=FALSE&amp;creator=factset&amp;display_string=Audit"}</definedName>
    <definedName name="_1489__FDSAUDITLINK__" hidden="1">{"fdsup://Directions/FactSet Auditing Viewer?action=AUDIT_VALUE&amp;DB=129&amp;ID1=58711810&amp;VALUEID=02101&amp;SDATE=200803&amp;PERIODTYPE=QTR_STD&amp;window=popup_no_bar&amp;width=385&amp;height=120&amp;START_MAXIMIZED=FALSE&amp;creator=factset&amp;display_string=Audit"}</definedName>
    <definedName name="_149__FDSAUDITLINK__" hidden="1">{"fdsup://Directions/FactSet Auditing Viewer?action=AUDIT_VALUE&amp;DB=129&amp;ID1=82434810&amp;VALUEID=01001&amp;SDATE=200601&amp;PERIODTYPE=QTR_STD&amp;window=popup_no_bar&amp;width=385&amp;height=120&amp;START_MAXIMIZED=FALSE&amp;creator=factset&amp;display_string=Audit"}</definedName>
    <definedName name="_1490__FDSAUDITLINK__" hidden="1">{"fdsup://Directions/FactSet Auditing Viewer?action=AUDIT_VALUE&amp;DB=129&amp;ID1=58711810&amp;VALUEID=01001&amp;SDATE=200804&amp;PERIODTYPE=QTR_STD&amp;window=popup_no_bar&amp;width=385&amp;height=120&amp;START_MAXIMIZED=FALSE&amp;creator=factset&amp;display_string=Audit"}</definedName>
    <definedName name="_1491__FDSAUDITLINK__" hidden="1">{"fdsup://Directions/FactSet Auditing Viewer?action=AUDIT_VALUE&amp;DB=129&amp;ID1=58711810&amp;VALUEID=13040&amp;SDATE=200902&amp;PERIODTYPE=QTR_STD&amp;window=popup_no_bar&amp;width=385&amp;height=120&amp;START_MAXIMIZED=FALSE&amp;creator=factset&amp;display_string=Audit"}</definedName>
    <definedName name="_1492__FDSAUDITLINK__" hidden="1">{"fdsup://Directions/FactSet Auditing Viewer?action=AUDIT_VALUE&amp;DB=129&amp;ID1=58711810&amp;VALUEID=01001&amp;SDATE=200902&amp;PERIODTYPE=QTR_STD&amp;window=popup_no_bar&amp;width=385&amp;height=120&amp;START_MAXIMIZED=FALSE&amp;creator=factset&amp;display_string=Audit"}</definedName>
    <definedName name="_1493__FDSAUDITLINK__" hidden="1">{"fdsup://Directions/FactSet Auditing Viewer?action=AUDIT_VALUE&amp;DB=129&amp;ID1=58711810&amp;VALUEID=02101&amp;SDATE=200902&amp;PERIODTYPE=QTR_STD&amp;window=popup_no_bar&amp;width=385&amp;height=120&amp;START_MAXIMIZED=FALSE&amp;creator=factset&amp;display_string=Audit"}</definedName>
    <definedName name="_1494__FDSAUDITLINK__" hidden="1">{"fdsup://Directions/FactSet Auditing Viewer?action=AUDIT_VALUE&amp;DB=129&amp;ID1=58711810&amp;VALUEID=13040&amp;SDATE=200903&amp;PERIODTYPE=QTR_STD&amp;window=popup_no_bar&amp;width=385&amp;height=120&amp;START_MAXIMIZED=FALSE&amp;creator=factset&amp;display_string=Audit"}</definedName>
    <definedName name="_1495__FDSAUDITLINK__" hidden="1">{"fdsup://Directions/FactSet Auditing Viewer?action=AUDIT_VALUE&amp;DB=129&amp;ID1=58711810&amp;VALUEID=01001&amp;SDATE=200903&amp;PERIODTYPE=QTR_STD&amp;window=popup_no_bar&amp;width=385&amp;height=120&amp;START_MAXIMIZED=FALSE&amp;creator=factset&amp;display_string=Audit"}</definedName>
    <definedName name="_1496__FDSAUDITLINK__" hidden="1">{"fdsup://Directions/FactSet Auditing Viewer?action=AUDIT_VALUE&amp;DB=129&amp;ID1=58711810&amp;VALUEID=02101&amp;SDATE=200903&amp;PERIODTYPE=QTR_STD&amp;window=popup_no_bar&amp;width=385&amp;height=120&amp;START_MAXIMIZED=FALSE&amp;creator=factset&amp;display_string=Audit"}</definedName>
    <definedName name="_1497__FDSAUDITLINK__" hidden="1">{"fdsup://Directions/FactSet Auditing Viewer?action=AUDIT_VALUE&amp;DB=129&amp;ID1=58711810&amp;VALUEID=13040&amp;SDATE=200904&amp;PERIODTYPE=QTR_STD&amp;window=popup_no_bar&amp;width=385&amp;height=120&amp;START_MAXIMIZED=FALSE&amp;creator=factset&amp;display_string=Audit"}</definedName>
    <definedName name="_1498__FDSAUDITLINK__" hidden="1">{"fdsup://Directions/FactSet Auditing Viewer?action=AUDIT_VALUE&amp;DB=129&amp;ID1=58711810&amp;VALUEID=01001&amp;SDATE=200904&amp;PERIODTYPE=QTR_STD&amp;window=popup_no_bar&amp;width=385&amp;height=120&amp;START_MAXIMIZED=FALSE&amp;creator=factset&amp;display_string=Audit"}</definedName>
    <definedName name="_1499__FDSAUDITLINK__" hidden="1">{"fdsup://Directions/FactSet Auditing Viewer?action=AUDIT_VALUE&amp;DB=129&amp;ID1=58711810&amp;VALUEID=13040&amp;SDATE=201001&amp;PERIODTYPE=QTR_STD&amp;window=popup_no_bar&amp;width=385&amp;height=120&amp;START_MAXIMIZED=FALSE&amp;creator=factset&amp;display_string=Audit"}</definedName>
    <definedName name="_15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50__FDSAUDITLINK__" hidden="1">{"fdsup://Directions/FactSet Auditing Viewer?action=AUDIT_VALUE&amp;DB=129&amp;ID1=57459910&amp;VALUEID=01001&amp;SDATE=200903&amp;PERIODTYPE=QTR_STD&amp;window=popup_no_bar&amp;width=385&amp;height=120&amp;START_MAXIMIZED=FALSE&amp;creator=factset&amp;display_string=Audit"}</definedName>
    <definedName name="_1500__FDSAUDITLINK__" hidden="1">{"fdsup://Directions/FactSet Auditing Viewer?action=AUDIT_VALUE&amp;DB=129&amp;ID1=58711810&amp;VALUEID=01001&amp;SDATE=201001&amp;PERIODTYPE=QTR_STD&amp;window=popup_no_bar&amp;width=385&amp;height=120&amp;START_MAXIMIZED=FALSE&amp;creator=factset&amp;display_string=Audit"}</definedName>
    <definedName name="_1501__FDSAUDITLINK__" hidden="1">{"fdsup://Directions/FactSet Auditing Viewer?action=AUDIT_VALUE&amp;DB=129&amp;ID1=58711810&amp;VALUEID=02101&amp;SDATE=201001&amp;PERIODTYPE=QTR_STD&amp;window=popup_no_bar&amp;width=385&amp;height=120&amp;START_MAXIMIZED=FALSE&amp;creator=factset&amp;display_string=Audit"}</definedName>
    <definedName name="_1502__FDSAUDITLINK__"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1503__FDSAUDITLINK__"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1504__FDSAUDITLINK__"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1505__FDSAUDITLINK__"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1506__FDSAUDITLINK__"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1507__FDSAUDITLINK__"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1508__FDSAUDITLINK__"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1509__FDSAUDITLINK__"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151__FDSAUDITLINK__" hidden="1">{"fdsup://Directions/FactSet Auditing Viewer?action=AUDIT_VALUE&amp;DB=129&amp;ID1=57459910&amp;VALUEID=01001&amp;SDATE=200902&amp;PERIODTYPE=QTR_STD&amp;window=popup_no_bar&amp;width=385&amp;height=120&amp;START_MAXIMIZED=FALSE&amp;creator=factset&amp;display_string=Audit"}</definedName>
    <definedName name="_1510__FDSAUDITLINK__"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1511__FDSAUDITLINK__"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1512__FDSAUDITLINK__"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1513__FDSAUDITLINK__"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1514__FDSAUDITLINK__"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1515__FDSAUDITLINK__"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1516__FDSAUDITLINK__"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1517__FDSAUDITLINK__"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1518__FDSAUDITLINK__"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1519__FDSAUDITLINK__"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152__FDSAUDITLINK__" hidden="1">{"fdsup://Directions/FactSet Auditing Viewer?action=AUDIT_VALUE&amp;DB=129&amp;ID1=57459910&amp;VALUEID=01001&amp;SDATE=200901&amp;PERIODTYPE=QTR_STD&amp;window=popup_no_bar&amp;width=385&amp;height=120&amp;START_MAXIMIZED=FALSE&amp;creator=factset&amp;display_string=Audit"}</definedName>
    <definedName name="_1520__FDSAUDITLINK__"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1521__FDSAUDITLINK__"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1522__FDSAUDITLINK__"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1523__FDSAUDITLINK__"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1524__FDSAUDITLINK__"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1525__FDSAUDITLINK__"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1526__FDSAUDITLINK__"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1527__FDSAUDITLINK__"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1528__FDSAUDITLINK__"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1529__FDSAUDITLINK__"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153__FDSAUDITLINK__" hidden="1">{"fdsup://Directions/FactSet Auditing Viewer?action=AUDIT_VALUE&amp;DB=129&amp;ID1=57459910&amp;VALUEID=01001&amp;SDATE=200804&amp;PERIODTYPE=QTR_STD&amp;window=popup_no_bar&amp;width=385&amp;height=120&amp;START_MAXIMIZED=FALSE&amp;creator=factset&amp;display_string=Audit"}</definedName>
    <definedName name="_1530__FDSAUDITLINK__" hidden="1">{"fdsup://directions/FAT Viewer?action=UPDATE&amp;creator=factset&amp;DYN_ARGS=TRUE&amp;DOC_NAME=FAT:FQL_AUDITING_CLIENT_TEMPLATE.FAT&amp;display_string=Audit&amp;VAR:KEY=RKPQDQZENU&amp;VAR:QUERY=RkZfUlRfU0ZfVE9UX0dST1NTKFFUUiwtMTYp&amp;WINDOW=FIRST_POPUP&amp;HEIGHT=450&amp;WIDTH=450&amp;START_MA","XIMIZED=FALSE&amp;VAR:CALENDAR=US&amp;VAR:SYMBOL=MW&amp;VAR:INDEX=0"}</definedName>
    <definedName name="_1531__FDSAUDITLINK__" hidden="1">{"fdsup://directions/FAT Viewer?action=UPDATE&amp;creator=factset&amp;DYN_ARGS=TRUE&amp;DOC_NAME=FAT:FQL_AUDITING_CLIENT_TEMPLATE.FAT&amp;display_string=Audit&amp;VAR:KEY=DGFWHAXCHW&amp;VAR:QUERY=RkZfUlRfU0ZfVE9UX0dST1NTKFFUUiwtMTUp&amp;WINDOW=FIRST_POPUP&amp;HEIGHT=450&amp;WIDTH=450&amp;START_MA","XIMIZED=FALSE&amp;VAR:CALENDAR=US&amp;VAR:SYMBOL=MW&amp;VAR:INDEX=0"}</definedName>
    <definedName name="_1532__FDSAUDITLINK__" hidden="1">{"fdsup://directions/FAT Viewer?action=UPDATE&amp;creator=factset&amp;DYN_ARGS=TRUE&amp;DOC_NAME=FAT:FQL_AUDITING_CLIENT_TEMPLATE.FAT&amp;display_string=Audit&amp;VAR:KEY=RIPOZCVKJU&amp;VAR:QUERY=RkZfUlRfU0ZfVE9UX0dST1NTKFFUUiwtMTQp&amp;WINDOW=FIRST_POPUP&amp;HEIGHT=450&amp;WIDTH=450&amp;START_MA","XIMIZED=FALSE&amp;VAR:CALENDAR=US&amp;VAR:SYMBOL=MW&amp;VAR:INDEX=0"}</definedName>
    <definedName name="_1533__FDSAUDITLINK__"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1534__FDSAUDITLINK__" hidden="1">{"fdsup://directions/FAT Viewer?action=UPDATE&amp;creator=factset&amp;DYN_ARGS=TRUE&amp;DOC_NAME=FAT:FQL_AUDITING_CLIENT_TEMPLATE.FAT&amp;display_string=Audit&amp;VAR:KEY=TSBWJUTAVW&amp;VAR:QUERY=RkZfUlRfU0ZfVE9UX0dST1NTKFFUUiwtMTIp&amp;WINDOW=FIRST_POPUP&amp;HEIGHT=450&amp;WIDTH=450&amp;START_MA","XIMIZED=FALSE&amp;VAR:CALENDAR=US&amp;VAR:SYMBOL=MW&amp;VAR:INDEX=0"}</definedName>
    <definedName name="_1535__FDSAUDITLINK__" hidden="1">{"fdsup://directions/FAT Viewer?action=UPDATE&amp;creator=factset&amp;DYN_ARGS=TRUE&amp;DOC_NAME=FAT:FQL_AUDITING_CLIENT_TEMPLATE.FAT&amp;display_string=Audit&amp;VAR:KEY=NOFAHIRKNW&amp;VAR:QUERY=RkZfUlRfU0ZfVE9UX0dST1NTKFFUUiwtMTEp&amp;WINDOW=FIRST_POPUP&amp;HEIGHT=450&amp;WIDTH=450&amp;START_MA","XIMIZED=FALSE&amp;VAR:CALENDAR=US&amp;VAR:SYMBOL=MW&amp;VAR:INDEX=0"}</definedName>
    <definedName name="_1536__FDSAUDITLINK__" hidden="1">{"fdsup://directions/FAT Viewer?action=UPDATE&amp;creator=factset&amp;DYN_ARGS=TRUE&amp;DOC_NAME=FAT:FQL_AUDITING_CLIENT_TEMPLATE.FAT&amp;display_string=Audit&amp;VAR:KEY=NIVIHMZYZO&amp;VAR:QUERY=RkZfUlRfU0ZfVE9UX0dST1NTKFFUUiwtMTAp&amp;WINDOW=FIRST_POPUP&amp;HEIGHT=450&amp;WIDTH=450&amp;START_MA","XIMIZED=FALSE&amp;VAR:CALENDAR=US&amp;VAR:SYMBOL=MW&amp;VAR:INDEX=0"}</definedName>
    <definedName name="_1537__FDSAUDITLINK__"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1538__FDSAUDITLINK__" hidden="1">{"fdsup://directions/FAT Viewer?action=UPDATE&amp;creator=factset&amp;DYN_ARGS=TRUE&amp;DOC_NAME=FAT:FQL_AUDITING_CLIENT_TEMPLATE.FAT&amp;display_string=Audit&amp;VAR:KEY=ZYBGTQFENI&amp;VAR:QUERY=RkZfUlRfU0ZfVE9UX0dST1NTKFFUUiwtOCk=&amp;WINDOW=FIRST_POPUP&amp;HEIGHT=450&amp;WIDTH=450&amp;START_MA","XIMIZED=FALSE&amp;VAR:CALENDAR=US&amp;VAR:SYMBOL=MW&amp;VAR:INDEX=0"}</definedName>
    <definedName name="_1539__FDSAUDITLINK__" hidden="1">{"fdsup://directions/FAT Viewer?action=UPDATE&amp;creator=factset&amp;DYN_ARGS=TRUE&amp;DOC_NAME=FAT:FQL_AUDITING_CLIENT_TEMPLATE.FAT&amp;display_string=Audit&amp;VAR:KEY=PKHARSBEJO&amp;VAR:QUERY=RkZfUlRfU0ZfVE9UX0dST1NTKFFUUiwtNyk=&amp;WINDOW=FIRST_POPUP&amp;HEIGHT=450&amp;WIDTH=450&amp;START_MA","XIMIZED=FALSE&amp;VAR:CALENDAR=US&amp;VAR:SYMBOL=MW&amp;VAR:INDEX=0"}</definedName>
    <definedName name="_154__FDSAUDITLINK__" hidden="1">{"fdsup://Directions/FactSet Auditing Viewer?action=AUDIT_VALUE&amp;DB=129&amp;ID1=57459910&amp;VALUEID=01001&amp;SDATE=200803&amp;PERIODTYPE=QTR_STD&amp;window=popup_no_bar&amp;width=385&amp;height=120&amp;START_MAXIMIZED=FALSE&amp;creator=factset&amp;display_string=Audit"}</definedName>
    <definedName name="_1540__FDSAUDITLINK__" hidden="1">{"fdsup://directions/FAT Viewer?action=UPDATE&amp;creator=factset&amp;DYN_ARGS=TRUE&amp;DOC_NAME=FAT:FQL_AUDITING_CLIENT_TEMPLATE.FAT&amp;display_string=Audit&amp;VAR:KEY=TUFIDOPGDK&amp;VAR:QUERY=RkZfUlRfU0ZfVE9UX0dST1NTKFFUUiwtNik=&amp;WINDOW=FIRST_POPUP&amp;HEIGHT=450&amp;WIDTH=450&amp;START_MA","XIMIZED=FALSE&amp;VAR:CALENDAR=US&amp;VAR:SYMBOL=MW&amp;VAR:INDEX=0"}</definedName>
    <definedName name="_1541__FDSAUDITLINK__"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1542__FDSAUDITLINK__" hidden="1">{"fdsup://directions/FAT Viewer?action=UPDATE&amp;creator=factset&amp;DYN_ARGS=TRUE&amp;DOC_NAME=FAT:FQL_AUDITING_CLIENT_TEMPLATE.FAT&amp;display_string=Audit&amp;VAR:KEY=VWLUVOLOTS&amp;VAR:QUERY=RkZfUlRfU0ZfVE9UX0dST1NTKFFUUiwtNCk=&amp;WINDOW=FIRST_POPUP&amp;HEIGHT=450&amp;WIDTH=450&amp;START_MA","XIMIZED=FALSE&amp;VAR:CALENDAR=US&amp;VAR:SYMBOL=MW&amp;VAR:INDEX=0"}</definedName>
    <definedName name="_1543__FDSAUDITLINK__" hidden="1">{"fdsup://directions/FAT Viewer?action=UPDATE&amp;creator=factset&amp;DYN_ARGS=TRUE&amp;DOC_NAME=FAT:FQL_AUDITING_CLIENT_TEMPLATE.FAT&amp;display_string=Audit&amp;VAR:KEY=NUNEHSBQVC&amp;VAR:QUERY=RkZfUlRfU0ZfVE9UX0dST1NTKFFUUiwtMyk=&amp;WINDOW=FIRST_POPUP&amp;HEIGHT=450&amp;WIDTH=450&amp;START_MA","XIMIZED=FALSE&amp;VAR:CALENDAR=US&amp;VAR:SYMBOL=MW&amp;VAR:INDEX=0"}</definedName>
    <definedName name="_1544__FDSAUDITLINK__" hidden="1">{"fdsup://directions/FAT Viewer?action=UPDATE&amp;creator=factset&amp;DYN_ARGS=TRUE&amp;DOC_NAME=FAT:FQL_AUDITING_CLIENT_TEMPLATE.FAT&amp;display_string=Audit&amp;VAR:KEY=DYVEJGLOTU&amp;VAR:QUERY=RkZfUlRfU0ZfVE9UX0dST1NTKFFUUiwtMik=&amp;WINDOW=FIRST_POPUP&amp;HEIGHT=450&amp;WIDTH=450&amp;START_MA","XIMIZED=FALSE&amp;VAR:CALENDAR=US&amp;VAR:SYMBOL=MW&amp;VAR:INDEX=0"}</definedName>
    <definedName name="_1545__FDSAUDITLINK__"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1546__FDSAUDITLINK__" hidden="1">{"fdsup://directions/FAT Viewer?action=UPDATE&amp;creator=factset&amp;DYN_ARGS=TRUE&amp;DOC_NAME=FAT:FQL_AUDITING_CLIENT_TEMPLATE.FAT&amp;display_string=Audit&amp;VAR:KEY=XIDOJQDIDO&amp;VAR:QUERY=RkZfUlRfU0ZfVE9UX0dST1NTKFFUUiwwKQ==&amp;WINDOW=FIRST_POPUP&amp;HEIGHT=450&amp;WIDTH=450&amp;START_MA","XIMIZED=FALSE&amp;VAR:CALENDAR=US&amp;VAR:SYMBOL=MW&amp;VAR:INDEX=0"}</definedName>
    <definedName name="_1547__FDSAUDITLINK__" hidden="1">{"fdsup://directions/FAT Viewer?action=UPDATE&amp;creator=factset&amp;DYN_ARGS=TRUE&amp;DOC_NAME=FAT:FQL_AUDITING_CLIENT_TEMPLATE.FAT&amp;display_string=Audit&amp;VAR:KEY=TSBWJUTAVW&amp;VAR:QUERY=RkZfUlRfU0ZfVE9UX0dST1NTKFFUUiwtMTIp&amp;WINDOW=FIRST_POPUP&amp;HEIGHT=450&amp;WIDTH=450&amp;START_MA","XIMIZED=FALSE&amp;VAR:CALENDAR=US&amp;VAR:SYMBOL=MW&amp;VAR:INDEX=0"}</definedName>
    <definedName name="_1548__FDSAUDITLINK__" hidden="1">{"fdsup://directions/FAT Viewer?action=UPDATE&amp;creator=factset&amp;DYN_ARGS=TRUE&amp;DOC_NAME=FAT:FQL_AUDITING_CLIENT_TEMPLATE.FAT&amp;display_string=Audit&amp;VAR:KEY=NOFAHIRKNW&amp;VAR:QUERY=RkZfUlRfU0ZfVE9UX0dST1NTKFFUUiwtMTEp&amp;WINDOW=FIRST_POPUP&amp;HEIGHT=450&amp;WIDTH=450&amp;START_MA","XIMIZED=FALSE&amp;VAR:CALENDAR=US&amp;VAR:SYMBOL=MW&amp;VAR:INDEX=0"}</definedName>
    <definedName name="_1549__FDSAUDITLINK__" hidden="1">{"fdsup://directions/FAT Viewer?action=UPDATE&amp;creator=factset&amp;DYN_ARGS=TRUE&amp;DOC_NAME=FAT:FQL_AUDITING_CLIENT_TEMPLATE.FAT&amp;display_string=Audit&amp;VAR:KEY=NIVIHMZYZO&amp;VAR:QUERY=RkZfUlRfU0ZfVE9UX0dST1NTKFFUUiwtMTAp&amp;WINDOW=FIRST_POPUP&amp;HEIGHT=450&amp;WIDTH=450&amp;START_MA","XIMIZED=FALSE&amp;VAR:CALENDAR=US&amp;VAR:SYMBOL=MW&amp;VAR:INDEX=0"}</definedName>
    <definedName name="_15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550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1551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1552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1553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1554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1555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1556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1557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1558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1559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15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560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1561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1562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1563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1564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1565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1566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1567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1568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1569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15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570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1571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1572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1573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1574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1575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1576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1577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1578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1579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15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580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1581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1582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1583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1584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1585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1586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1587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1588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1589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15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590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1591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1592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1593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1594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1595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1596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1597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1598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1599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16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6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600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1601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1602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1603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1604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1605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1606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1607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1608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1609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16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1610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1611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1612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1613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1614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1615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1616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1617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1618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1619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16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1620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1621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1622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1623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1624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1625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1626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1627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1628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1629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16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1630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1631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1632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1633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1634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1635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1636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1637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1638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1639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16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1640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1641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1642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1643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1644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1645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1646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1647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1648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1649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16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650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1651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1652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653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1654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1655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1656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1657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1658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1659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16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660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1661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1662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663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1664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1665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1666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1667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1668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1669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16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670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1671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1672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1673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1674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1675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1676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1677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1678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1679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16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680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1681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1682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1683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1684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1685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1686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1687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1688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1689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16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690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1691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1692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1693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1694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1695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1696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1697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1698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1699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17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7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700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1701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1702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1703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1704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1705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1706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1707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1708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1709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17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1710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1711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1712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1713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1714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1715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1716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1717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1718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1719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17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1720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1721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1722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1723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1724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1725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1726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1727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1728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1729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17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1730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1731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1732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1733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1734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1735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1736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1737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1738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1739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17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1740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1741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1742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1743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1744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1745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1746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1747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1748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1749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17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750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1751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1752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1753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1754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1755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1756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1757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1758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1759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17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760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1761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1762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1763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1764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1765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1766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1767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1768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1769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17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770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1771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1772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1773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1774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1775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1776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1777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1778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1779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17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780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1781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1782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1783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1784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1785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1786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1787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1788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1789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17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790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1791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1792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1793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1794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1795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1796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1797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1798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1799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18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8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800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1801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1802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1803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1804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1805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1806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1807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1808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1809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18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1810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1811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1812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1813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1814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1815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1816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1817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1818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1819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18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1820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1821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1822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1823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1824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1825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1826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1827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1828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1829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18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1830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1831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1832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1833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1834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1835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1836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1837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1838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1839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18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1840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1841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1842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1843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1844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1845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1846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1847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1848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1849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18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850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1851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1852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1853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1854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1855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1856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1857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1858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1859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18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860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1861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1862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1863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1864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1865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1866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1867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1868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1869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18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870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1871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1872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1873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1874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1875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1876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1877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1878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1879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18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880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1881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1882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1883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1884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1885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1886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1887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1888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1889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18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890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1891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1892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1893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1894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1895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1896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1897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1898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1899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19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9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900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1901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1902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1903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1904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1905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1906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1907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1908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1909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19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1910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1911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1912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1913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1914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1915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1916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1917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1918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1919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19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1920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1921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1922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1923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1924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1925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1926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1927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1928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1929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19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1930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1931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1932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1933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1934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1935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1936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1937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1938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1939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19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1940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1941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1942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1943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1944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1945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1946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1947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1948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1949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19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950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1951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1952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1953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1954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1955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1956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1957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1958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1959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19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960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1961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1962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1963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1964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1965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1966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1967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1968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1969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19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970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1971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1972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1973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1974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1975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1976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1977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1978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1979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19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980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1981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1982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1983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1984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1985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1986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1987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1988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1989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19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990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1991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1992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1993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1994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1995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1996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1997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1998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1999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2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0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0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000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2001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2002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2003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2004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2005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2006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2007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2008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2009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20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010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2011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2012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2013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2014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2015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2016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2017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2018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2019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20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020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2021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2022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2023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2024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2025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2026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2027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2028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2029__FDSAUDITLINK__" hidden="1">{"fdsup://Directions/FactSet Auditing Viewer?action=AUDIT_VALUE&amp;DB=129&amp;ID1=58711810&amp;VALUEID=01001&amp;SDATE=200601&amp;PERIODTYPE=QTR_STD&amp;window=popup_no_bar&amp;width=385&amp;height=120&amp;START_MAXIMIZED=FALSE&amp;creator=factset&amp;display_string=Audit"}</definedName>
    <definedName name="_20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030__FDSAUDITLINK__" hidden="1">{"fdsup://Directions/FactSet Auditing Viewer?action=AUDIT_VALUE&amp;DB=129&amp;ID1=58711810&amp;VALUEID=02101&amp;SDATE=200601&amp;PERIODTYPE=QTR_STD&amp;window=popup_no_bar&amp;width=385&amp;height=120&amp;START_MAXIMIZED=FALSE&amp;creator=factset&amp;display_string=Audit"}</definedName>
    <definedName name="_2031__FDSAUDITLINK__" hidden="1">{"fdsup://Directions/FactSet Auditing Viewer?action=AUDIT_VALUE&amp;DB=129&amp;ID1=58711810&amp;VALUEID=01001&amp;SDATE=200602&amp;PERIODTYPE=QTR_STD&amp;window=popup_no_bar&amp;width=385&amp;height=120&amp;START_MAXIMIZED=FALSE&amp;creator=factset&amp;display_string=Audit"}</definedName>
    <definedName name="_2032__FDSAUDITLINK__" hidden="1">{"fdsup://Directions/FactSet Auditing Viewer?action=AUDIT_VALUE&amp;DB=129&amp;ID1=58711810&amp;VALUEID=02101&amp;SDATE=200602&amp;PERIODTYPE=QTR_STD&amp;window=popup_no_bar&amp;width=385&amp;height=120&amp;START_MAXIMIZED=FALSE&amp;creator=factset&amp;display_string=Audit"}</definedName>
    <definedName name="_2033__FDSAUDITLINK__" hidden="1">{"fdsup://Directions/FactSet Auditing Viewer?action=AUDIT_VALUE&amp;DB=129&amp;ID1=58711810&amp;VALUEID=01001&amp;SDATE=200603&amp;PERIODTYPE=QTR_STD&amp;window=popup_no_bar&amp;width=385&amp;height=120&amp;START_MAXIMIZED=FALSE&amp;creator=factset&amp;display_string=Audit"}</definedName>
    <definedName name="_2034__FDSAUDITLINK__" hidden="1">{"fdsup://Directions/FactSet Auditing Viewer?action=AUDIT_VALUE&amp;DB=129&amp;ID1=58711810&amp;VALUEID=02101&amp;SDATE=200603&amp;PERIODTYPE=QTR_STD&amp;window=popup_no_bar&amp;width=385&amp;height=120&amp;START_MAXIMIZED=FALSE&amp;creator=factset&amp;display_string=Audit"}</definedName>
    <definedName name="_2035__FDSAUDITLINK__" hidden="1">{"fdsup://Directions/FactSet Auditing Viewer?action=AUDIT_VALUE&amp;DB=129&amp;ID1=58711810&amp;VALUEID=01001&amp;SDATE=200604&amp;PERIODTYPE=QTR_STD&amp;window=popup_no_bar&amp;width=385&amp;height=120&amp;START_MAXIMIZED=FALSE&amp;creator=factset&amp;display_string=Audit"}</definedName>
    <definedName name="_2036__FDSAUDITLINK__" hidden="1">{"fdsup://Directions/FactSet Auditing Viewer?action=AUDIT_VALUE&amp;DB=129&amp;ID1=58711810&amp;VALUEID=01001&amp;SDATE=200701&amp;PERIODTYPE=QTR_STD&amp;window=popup_no_bar&amp;width=385&amp;height=120&amp;START_MAXIMIZED=FALSE&amp;creator=factset&amp;display_string=Audit"}</definedName>
    <definedName name="_2037__FDSAUDITLINK__" hidden="1">{"fdsup://Directions/FactSet Auditing Viewer?action=AUDIT_VALUE&amp;DB=129&amp;ID1=58711810&amp;VALUEID=02101&amp;SDATE=200701&amp;PERIODTYPE=QTR_STD&amp;window=popup_no_bar&amp;width=385&amp;height=120&amp;START_MAXIMIZED=FALSE&amp;creator=factset&amp;display_string=Audit"}</definedName>
    <definedName name="_2038__FDSAUDITLINK__" hidden="1">{"fdsup://Directions/FactSet Auditing Viewer?action=AUDIT_VALUE&amp;DB=129&amp;ID1=58711810&amp;VALUEID=01001&amp;SDATE=200702&amp;PERIODTYPE=QTR_STD&amp;window=popup_no_bar&amp;width=385&amp;height=120&amp;START_MAXIMIZED=FALSE&amp;creator=factset&amp;display_string=Audit"}</definedName>
    <definedName name="_2039__FDSAUDITLINK__" hidden="1">{"fdsup://Directions/FactSet Auditing Viewer?action=AUDIT_VALUE&amp;DB=129&amp;ID1=58711810&amp;VALUEID=02101&amp;SDATE=200702&amp;PERIODTYPE=QTR_STD&amp;window=popup_no_bar&amp;width=385&amp;height=120&amp;START_MAXIMIZED=FALSE&amp;creator=factset&amp;display_string=Audit"}</definedName>
    <definedName name="_20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040__FDSAUDITLINK__" hidden="1">{"fdsup://Directions/FactSet Auditing Viewer?action=AUDIT_VALUE&amp;DB=129&amp;ID1=58711810&amp;VALUEID=01001&amp;SDATE=200703&amp;PERIODTYPE=QTR_STD&amp;window=popup_no_bar&amp;width=385&amp;height=120&amp;START_MAXIMIZED=FALSE&amp;creator=factset&amp;display_string=Audit"}</definedName>
    <definedName name="_2041__FDSAUDITLINK__" hidden="1">{"fdsup://Directions/FactSet Auditing Viewer?action=AUDIT_VALUE&amp;DB=129&amp;ID1=58711810&amp;VALUEID=02101&amp;SDATE=200703&amp;PERIODTYPE=QTR_STD&amp;window=popup_no_bar&amp;width=385&amp;height=120&amp;START_MAXIMIZED=FALSE&amp;creator=factset&amp;display_string=Audit"}</definedName>
    <definedName name="_2042__FDSAUDITLINK__" hidden="1">{"fdsup://Directions/FactSet Auditing Viewer?action=AUDIT_VALUE&amp;DB=129&amp;ID1=58711810&amp;VALUEID=01001&amp;SDATE=200704&amp;PERIODTYPE=QTR_STD&amp;window=popup_no_bar&amp;width=385&amp;height=120&amp;START_MAXIMIZED=FALSE&amp;creator=factset&amp;display_string=Audit"}</definedName>
    <definedName name="_2043__FDSAUDITLINK__" hidden="1">{"fdsup://Directions/FactSet Auditing Viewer?action=AUDIT_VALUE&amp;DB=129&amp;ID1=58711810&amp;VALUEID=01001&amp;SDATE=200801&amp;PERIODTYPE=QTR_STD&amp;window=popup_no_bar&amp;width=385&amp;height=120&amp;START_MAXIMIZED=FALSE&amp;creator=factset&amp;display_string=Audit"}</definedName>
    <definedName name="_2044__FDSAUDITLINK__" hidden="1">{"fdsup://Directions/FactSet Auditing Viewer?action=AUDIT_VALUE&amp;DB=129&amp;ID1=58711810&amp;VALUEID=02101&amp;SDATE=200801&amp;PERIODTYPE=QTR_STD&amp;window=popup_no_bar&amp;width=385&amp;height=120&amp;START_MAXIMIZED=FALSE&amp;creator=factset&amp;display_string=Audit"}</definedName>
    <definedName name="_2045__FDSAUDITLINK__" hidden="1">{"fdsup://Directions/FactSet Auditing Viewer?action=AUDIT_VALUE&amp;DB=129&amp;ID1=58711810&amp;VALUEID=01001&amp;SDATE=200802&amp;PERIODTYPE=QTR_STD&amp;window=popup_no_bar&amp;width=385&amp;height=120&amp;START_MAXIMIZED=FALSE&amp;creator=factset&amp;display_string=Audit"}</definedName>
    <definedName name="_2046__FDSAUDITLINK__" hidden="1">{"fdsup://Directions/FactSet Auditing Viewer?action=AUDIT_VALUE&amp;DB=129&amp;ID1=58711810&amp;VALUEID=02101&amp;SDATE=200802&amp;PERIODTYPE=QTR_STD&amp;window=popup_no_bar&amp;width=385&amp;height=120&amp;START_MAXIMIZED=FALSE&amp;creator=factset&amp;display_string=Audit"}</definedName>
    <definedName name="_2047__FDSAUDITLINK__" hidden="1">{"fdsup://Directions/FactSet Auditing Viewer?action=AUDIT_VALUE&amp;DB=129&amp;ID1=58711810&amp;VALUEID=01001&amp;SDATE=200803&amp;PERIODTYPE=QTR_STD&amp;window=popup_no_bar&amp;width=385&amp;height=120&amp;START_MAXIMIZED=FALSE&amp;creator=factset&amp;display_string=Audit"}</definedName>
    <definedName name="_2048__FDSAUDITLINK__" hidden="1">{"fdsup://Directions/FactSet Auditing Viewer?action=AUDIT_VALUE&amp;DB=129&amp;ID1=58711810&amp;VALUEID=02101&amp;SDATE=200803&amp;PERIODTYPE=QTR_STD&amp;window=popup_no_bar&amp;width=385&amp;height=120&amp;START_MAXIMIZED=FALSE&amp;creator=factset&amp;display_string=Audit"}</definedName>
    <definedName name="_2049__FDSAUDITLINK__" hidden="1">{"fdsup://Directions/FactSet Auditing Viewer?action=AUDIT_VALUE&amp;DB=129&amp;ID1=58711810&amp;VALUEID=01001&amp;SDATE=200804&amp;PERIODTYPE=QTR_STD&amp;window=popup_no_bar&amp;width=385&amp;height=120&amp;START_MAXIMIZED=FALSE&amp;creator=factset&amp;display_string=Audit"}</definedName>
    <definedName name="_20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050__FDSAUDITLINK__" hidden="1">{"fdsup://Directions/FactSet Auditing Viewer?action=AUDIT_VALUE&amp;DB=129&amp;ID1=58711810&amp;VALUEID=01001&amp;SDATE=200902&amp;PERIODTYPE=QTR_STD&amp;window=popup_no_bar&amp;width=385&amp;height=120&amp;START_MAXIMIZED=FALSE&amp;creator=factset&amp;display_string=Audit"}</definedName>
    <definedName name="_2051__FDSAUDITLINK__" hidden="1">{"fdsup://Directions/FactSet Auditing Viewer?action=AUDIT_VALUE&amp;DB=129&amp;ID1=58711810&amp;VALUEID=02101&amp;SDATE=200902&amp;PERIODTYPE=QTR_STD&amp;window=popup_no_bar&amp;width=385&amp;height=120&amp;START_MAXIMIZED=FALSE&amp;creator=factset&amp;display_string=Audit"}</definedName>
    <definedName name="_2052__FDSAUDITLINK__" hidden="1">{"fdsup://Directions/FactSet Auditing Viewer?action=AUDIT_VALUE&amp;DB=129&amp;ID1=58711810&amp;VALUEID=01001&amp;SDATE=200903&amp;PERIODTYPE=QTR_STD&amp;window=popup_no_bar&amp;width=385&amp;height=120&amp;START_MAXIMIZED=FALSE&amp;creator=factset&amp;display_string=Audit"}</definedName>
    <definedName name="_2053__FDSAUDITLINK__" hidden="1">{"fdsup://Directions/FactSet Auditing Viewer?action=AUDIT_VALUE&amp;DB=129&amp;ID1=58711810&amp;VALUEID=02101&amp;SDATE=200903&amp;PERIODTYPE=QTR_STD&amp;window=popup_no_bar&amp;width=385&amp;height=120&amp;START_MAXIMIZED=FALSE&amp;creator=factset&amp;display_string=Audit"}</definedName>
    <definedName name="_2054__FDSAUDITLINK__" hidden="1">{"fdsup://Directions/FactSet Auditing Viewer?action=AUDIT_VALUE&amp;DB=129&amp;ID1=58711810&amp;VALUEID=01001&amp;SDATE=200904&amp;PERIODTYPE=QTR_STD&amp;window=popup_no_bar&amp;width=385&amp;height=120&amp;START_MAXIMIZED=FALSE&amp;creator=factset&amp;display_string=Audit"}</definedName>
    <definedName name="_2055__FDSAUDITLINK__" hidden="1">{"fdsup://Directions/FactSet Auditing Viewer?action=AUDIT_VALUE&amp;DB=129&amp;ID1=58711810&amp;VALUEID=01001&amp;SDATE=201001&amp;PERIODTYPE=QTR_STD&amp;window=popup_no_bar&amp;width=385&amp;height=120&amp;START_MAXIMIZED=FALSE&amp;creator=factset&amp;display_string=Audit"}</definedName>
    <definedName name="_2056__FDSAUDITLINK__" hidden="1">{"fdsup://Directions/FactSet Auditing Viewer?action=AUDIT_VALUE&amp;DB=129&amp;ID1=58711810&amp;VALUEID=02101&amp;SDATE=201001&amp;PERIODTYPE=QTR_STD&amp;window=popup_no_bar&amp;width=385&amp;height=120&amp;START_MAXIMIZED=FALSE&amp;creator=factset&amp;display_string=Audit"}</definedName>
    <definedName name="_2057__FDSAUDITLINK__"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2058__FDSAUDITLINK__"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2059__FDSAUDITLINK__"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20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060__FDSAUDITLINK__"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2061__FDSAUDITLINK__"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2062__FDSAUDITLINK__"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2063__FDSAUDITLINK__"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2064__FDSAUDITLINK__"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2065__FDSAUDITLINK__"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2066__FDSAUDITLINK__"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2067__FDSAUDITLINK__"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2068__FDSAUDITLINK__"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2069__FDSAUDITLINK__"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20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070__FDSAUDITLINK__"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2071__FDSAUDITLINK__"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2072__FDSAUDITLINK__"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2073__FDSAUDITLINK__"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2074__FDSAUDITLINK__"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2075__FDSAUDITLINK__"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2076__FDSAUDITLINK__"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2077__FDSAUDITLINK__"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2078__FDSAUDITLINK__"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2079__FDSAUDITLINK__"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20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080__FDSAUDITLINK__"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2081__FDSAUDITLINK__"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2082__FDSAUDITLINK__"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2083__FDSAUDITLINK__"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2084__FDSAUDITLINK__" hidden="1">{"fdsup://Directions/FactSet Auditing Viewer?action=AUDIT_VALUE&amp;DB=129&amp;ID1=58711810&amp;VALUEID=13040&amp;SDATE=200702&amp;PERIODTYPE=QTR_STD&amp;window=popup_no_bar&amp;width=385&amp;height=120&amp;START_MAXIMIZED=FALSE&amp;creator=factset&amp;display_string=Audit"}</definedName>
    <definedName name="_2085__FDSAUDITLINK__" hidden="1">{"fdsup://Directions/FactSet Auditing Viewer?action=AUDIT_VALUE&amp;DB=129&amp;ID1=58711810&amp;VALUEID=13040&amp;SDATE=200701&amp;PERIODTYPE=QTR_STD&amp;window=popup_no_bar&amp;width=385&amp;height=120&amp;START_MAXIMIZED=FALSE&amp;creator=factset&amp;display_string=Audit"}</definedName>
    <definedName name="_2086__FDSAUDITLINK__" hidden="1">{"fdsup://Directions/FactSet Auditing Viewer?action=AUDIT_VALUE&amp;DB=129&amp;ID1=58711810&amp;VALUEID=13040&amp;SDATE=200703&amp;PERIODTYPE=QTR_STD&amp;window=popup_no_bar&amp;width=385&amp;height=120&amp;START_MAXIMIZED=FALSE&amp;creator=factset&amp;display_string=Audit"}</definedName>
    <definedName name="_2087__FDSAUDITLINK__" hidden="1">{"fdsup://Directions/FactSet Auditing Viewer?action=AUDIT_VALUE&amp;DB=129&amp;ID1=58711810&amp;VALUEID=13040&amp;SDATE=200802&amp;PERIODTYPE=QTR_STD&amp;window=popup_no_bar&amp;width=385&amp;height=120&amp;START_MAXIMIZED=FALSE&amp;creator=factset&amp;display_string=Audit"}</definedName>
    <definedName name="_2088__FDSAUDITLINK__" hidden="1">{"fdsup://Directions/FactSet Auditing Viewer?action=AUDIT_VALUE&amp;DB=129&amp;ID1=58711810&amp;VALUEID=13040&amp;SDATE=200801&amp;PERIODTYPE=QTR_STD&amp;window=popup_no_bar&amp;width=385&amp;height=120&amp;START_MAXIMIZED=FALSE&amp;creator=factset&amp;display_string=Audit"}</definedName>
    <definedName name="_2089__FDSAUDITLINK__"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20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090__FDSAUDITLINK__" hidden="1">{"fdsup://Directions/FactSet Auditing Viewer?action=AUDIT_VALUE&amp;DB=129&amp;ID1=58711810&amp;VALUEID=13040&amp;SDATE=200803&amp;PERIODTYPE=QTR_STD&amp;window=popup_no_bar&amp;width=385&amp;height=120&amp;START_MAXIMIZED=FALSE&amp;creator=factset&amp;display_string=Audit"}</definedName>
    <definedName name="_2091__FDSAUDITLINK__" hidden="1">{"fdsup://Directions/FactSet Auditing Viewer?action=AUDIT_VALUE&amp;DB=129&amp;ID1=58711810&amp;VALUEID=13040&amp;SDATE=200902&amp;PERIODTYPE=QTR_STD&amp;window=popup_no_bar&amp;width=385&amp;height=120&amp;START_MAXIMIZED=FALSE&amp;creator=factset&amp;display_string=Audit"}</definedName>
    <definedName name="_2092__FDSAUDITLINK__"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2093__FDSAUDITLINK__" hidden="1">{"fdsup://Directions/FactSet Auditing Viewer?action=AUDIT_VALUE&amp;DB=129&amp;ID1=58711810&amp;VALUEID=13040&amp;SDATE=200903&amp;PERIODTYPE=QTR_STD&amp;window=popup_no_bar&amp;width=385&amp;height=120&amp;START_MAXIMIZED=FALSE&amp;creator=factset&amp;display_string=Audit"}</definedName>
    <definedName name="_2094__FDSAUDITLINK__" hidden="1">{"fdsup://Directions/FactSet Auditing Viewer?action=AUDIT_VALUE&amp;DB=129&amp;ID1=58711810&amp;VALUEID=13040&amp;SDATE=200602&amp;PERIODTYPE=QTR_STD&amp;window=popup_no_bar&amp;width=385&amp;height=120&amp;START_MAXIMIZED=FALSE&amp;creator=factset&amp;display_string=Audit"}</definedName>
    <definedName name="_2095__FDSAUDITLINK__" hidden="1">{"fdsup://Directions/FactSet Auditing Viewer?action=AUDIT_VALUE&amp;DB=129&amp;ID1=58711810&amp;VALUEID=13040&amp;SDATE=200601&amp;PERIODTYPE=QTR_STD&amp;window=popup_no_bar&amp;width=385&amp;height=120&amp;START_MAXIMIZED=FALSE&amp;creator=factset&amp;display_string=Audit"}</definedName>
    <definedName name="_2096__FDSAUDITLINK__"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2097__FDSAUDITLINK__" hidden="1">{"fdsup://Directions/FactSet Auditing Viewer?action=AUDIT_VALUE&amp;DB=129&amp;ID1=58711810&amp;VALUEID=13040&amp;SDATE=200603&amp;PERIODTYPE=QTR_STD&amp;window=popup_no_bar&amp;width=385&amp;height=120&amp;START_MAXIMIZED=FALSE&amp;creator=factset&amp;display_string=Audit"}</definedName>
    <definedName name="_2098__FDSAUDITLINK__"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2099__FDSAUDITLINK__" hidden="1">{"fdsup://Directions/FactSet Auditing Viewer?action=AUDIT_VALUE&amp;DB=129&amp;ID1=58711810&amp;VALUEID=13040&amp;SDATE=201001&amp;PERIODTYPE=QTR_STD&amp;window=popup_no_bar&amp;width=385&amp;height=120&amp;START_MAXIMIZED=FALSE&amp;creator=factset&amp;display_string=Audit"}</definedName>
    <definedName name="_21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1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100__FDSAUDITLINK__" hidden="1">{"fdsup://Directions/FactSet Auditing Viewer?action=AUDIT_VALUE&amp;DB=129&amp;ID1=58711810&amp;VALUEID=13040&amp;SDATE=200904&amp;PERIODTYPE=QTR_STD&amp;window=popup_no_bar&amp;width=385&amp;height=120&amp;START_MAXIMIZED=FALSE&amp;creator=factset&amp;display_string=Audit"}</definedName>
    <definedName name="_2101__FDSAUDITLINK__"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2102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2103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2104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2105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2106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2107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2108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2109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21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110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2111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2112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2113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2114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2115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2116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2117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2118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2119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21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120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2121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2122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2123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2124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2125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2126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2127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2128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2129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21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130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2131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2132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2133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2134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2135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2136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2137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2138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2139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21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140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2141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2142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2143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2144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2145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2146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2147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2148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2149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21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150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2151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2152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2153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2154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2155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2156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2157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2158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2159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21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160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2161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2162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2163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2164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2165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2166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2167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2168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2169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21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170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2171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2172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2173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2174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2175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2176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2177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2178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2179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21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180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2181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2182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2183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2184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2185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2186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2187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2188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2189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21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190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2191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2192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2193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2194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2195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2196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2197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2198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2199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22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2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200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2201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2202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2203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2204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2205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2206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2207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2208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2209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22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210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2211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2212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2213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2214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2215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2216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2217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2218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2219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22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220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2221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2222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2223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2224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2225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2226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2227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2228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2229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22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230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2231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2232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2233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2234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2235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2236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2237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2238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2239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22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240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2241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2242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2243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2244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2245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2246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2247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2248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2249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22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250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2251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2252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2253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2254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2255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2256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2257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2258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2259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22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260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2261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2262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2263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2264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2265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2266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2267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2268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2269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22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270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2271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2272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2273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2274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2275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2276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2277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2278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2279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22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280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2281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2282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2283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2284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2285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2286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2287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2288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2289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22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290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2291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2292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2293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2294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2295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2296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2297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2298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2299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23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3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300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2301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2302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2303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2304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2305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2306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2307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2308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2309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23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310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2311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2312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2313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2314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2315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2316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2317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2318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2319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23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320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2321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2322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2323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2324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2325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2326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2327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2328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2329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23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330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2331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2332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2333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2334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2335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2336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2337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2338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2339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23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340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2341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2342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2343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2344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2345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2346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2347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2348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2349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23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350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2351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2352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2353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2354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2355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2356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2357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2358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2359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23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360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2361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2362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2363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2364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2365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2366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2367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2368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2369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23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370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2371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2372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2373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2374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2375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2376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2377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2378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2379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23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380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2381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2382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2383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2384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2385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2386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2387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2388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2389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23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390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2391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2392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2393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2394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2395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2396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2397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2398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2399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24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4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400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2401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2402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2403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2404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2405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2406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2407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2408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2409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241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410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2411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2412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2413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2414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2415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2416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2417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2418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2419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242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420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2421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2422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2423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2424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2425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2426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2427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2428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2429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243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430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2431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2432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2433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2434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2435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2436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2437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2438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2439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244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440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2441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2442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2443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2444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2445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2446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2447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2448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2449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245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450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2451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2452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2453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2454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2455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2456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2457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2458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2459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246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460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2461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2462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2463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2464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2465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2466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2467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2468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2469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247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470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2471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2472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2473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2474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2475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2476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2477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2478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2479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248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480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2481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2482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2483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2484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2485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2486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2487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2488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2489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249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490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2491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2492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2493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2494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2495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2496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2497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2498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2499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2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50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500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2501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2502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2503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2504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2505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2506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2507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2508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2509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251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510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2511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2512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2513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2514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2515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2516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2517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2518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2519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252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520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2521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2522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2523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2524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2525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2526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2527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2528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2529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253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530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2531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2532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2533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2534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2535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2536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2537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2538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2539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254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540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2541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2542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2543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2544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2545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2546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2547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2548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2549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255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550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2551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2552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2553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2554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2555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2556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2557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2558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2559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256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560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2561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2562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2563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2564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2565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2566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2567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2568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2569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257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570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2571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2572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2573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2574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2575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2576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2577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2578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2579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258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580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2581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2582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2583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2584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2585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2586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2587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2588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2589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259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590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2591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2592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2593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2594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2595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2596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2597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2598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2599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2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60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600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2601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2602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2603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2604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2605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2606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2607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2608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2609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261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610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2611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2612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2613__FDSAUDITLINK__" hidden="1">{"fdsup://Directions/FactSet Auditing Viewer?action=AUDIT_VALUE&amp;DB=129&amp;ID1=58711810&amp;VALUEID=01001&amp;SDATE=200601&amp;PERIODTYPE=QTR_STD&amp;window=popup_no_bar&amp;width=385&amp;height=120&amp;START_MAXIMIZED=FALSE&amp;creator=factset&amp;display_string=Audit"}</definedName>
    <definedName name="_2614__FDSAUDITLINK__" hidden="1">{"fdsup://Directions/FactSet Auditing Viewer?action=AUDIT_VALUE&amp;DB=129&amp;ID1=58711810&amp;VALUEID=02101&amp;SDATE=200601&amp;PERIODTYPE=QTR_STD&amp;window=popup_no_bar&amp;width=385&amp;height=120&amp;START_MAXIMIZED=FALSE&amp;creator=factset&amp;display_string=Audit"}</definedName>
    <definedName name="_2615__FDSAUDITLINK__" hidden="1">{"fdsup://Directions/FactSet Auditing Viewer?action=AUDIT_VALUE&amp;DB=129&amp;ID1=58711810&amp;VALUEID=01001&amp;SDATE=200602&amp;PERIODTYPE=QTR_STD&amp;window=popup_no_bar&amp;width=385&amp;height=120&amp;START_MAXIMIZED=FALSE&amp;creator=factset&amp;display_string=Audit"}</definedName>
    <definedName name="_2616__FDSAUDITLINK__" hidden="1">{"fdsup://Directions/FactSet Auditing Viewer?action=AUDIT_VALUE&amp;DB=129&amp;ID1=58711810&amp;VALUEID=02101&amp;SDATE=200602&amp;PERIODTYPE=QTR_STD&amp;window=popup_no_bar&amp;width=385&amp;height=120&amp;START_MAXIMIZED=FALSE&amp;creator=factset&amp;display_string=Audit"}</definedName>
    <definedName name="_2617__FDSAUDITLINK__" hidden="1">{"fdsup://Directions/FactSet Auditing Viewer?action=AUDIT_VALUE&amp;DB=129&amp;ID1=58711810&amp;VALUEID=01001&amp;SDATE=200603&amp;PERIODTYPE=QTR_STD&amp;window=popup_no_bar&amp;width=385&amp;height=120&amp;START_MAXIMIZED=FALSE&amp;creator=factset&amp;display_string=Audit"}</definedName>
    <definedName name="_2618__FDSAUDITLINK__" hidden="1">{"fdsup://Directions/FactSet Auditing Viewer?action=AUDIT_VALUE&amp;DB=129&amp;ID1=58711810&amp;VALUEID=02101&amp;SDATE=200603&amp;PERIODTYPE=QTR_STD&amp;window=popup_no_bar&amp;width=385&amp;height=120&amp;START_MAXIMIZED=FALSE&amp;creator=factset&amp;display_string=Audit"}</definedName>
    <definedName name="_2619__FDSAUDITLINK__" hidden="1">{"fdsup://Directions/FactSet Auditing Viewer?action=AUDIT_VALUE&amp;DB=129&amp;ID1=58711810&amp;VALUEID=01001&amp;SDATE=200604&amp;PERIODTYPE=QTR_STD&amp;window=popup_no_bar&amp;width=385&amp;height=120&amp;START_MAXIMIZED=FALSE&amp;creator=factset&amp;display_string=Audit"}</definedName>
    <definedName name="_262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620__FDSAUDITLINK__" hidden="1">{"fdsup://Directions/FactSet Auditing Viewer?action=AUDIT_VALUE&amp;DB=129&amp;ID1=58711810&amp;VALUEID=01001&amp;SDATE=200701&amp;PERIODTYPE=QTR_STD&amp;window=popup_no_bar&amp;width=385&amp;height=120&amp;START_MAXIMIZED=FALSE&amp;creator=factset&amp;display_string=Audit"}</definedName>
    <definedName name="_2621__FDSAUDITLINK__" hidden="1">{"fdsup://Directions/FactSet Auditing Viewer?action=AUDIT_VALUE&amp;DB=129&amp;ID1=58711810&amp;VALUEID=02101&amp;SDATE=200701&amp;PERIODTYPE=QTR_STD&amp;window=popup_no_bar&amp;width=385&amp;height=120&amp;START_MAXIMIZED=FALSE&amp;creator=factset&amp;display_string=Audit"}</definedName>
    <definedName name="_2622__FDSAUDITLINK__" hidden="1">{"fdsup://Directions/FactSet Auditing Viewer?action=AUDIT_VALUE&amp;DB=129&amp;ID1=58711810&amp;VALUEID=01001&amp;SDATE=200702&amp;PERIODTYPE=QTR_STD&amp;window=popup_no_bar&amp;width=385&amp;height=120&amp;START_MAXIMIZED=FALSE&amp;creator=factset&amp;display_string=Audit"}</definedName>
    <definedName name="_2623__FDSAUDITLINK__" hidden="1">{"fdsup://Directions/FactSet Auditing Viewer?action=AUDIT_VALUE&amp;DB=129&amp;ID1=58711810&amp;VALUEID=02101&amp;SDATE=200702&amp;PERIODTYPE=QTR_STD&amp;window=popup_no_bar&amp;width=385&amp;height=120&amp;START_MAXIMIZED=FALSE&amp;creator=factset&amp;display_string=Audit"}</definedName>
    <definedName name="_2624__FDSAUDITLINK__" hidden="1">{"fdsup://Directions/FactSet Auditing Viewer?action=AUDIT_VALUE&amp;DB=129&amp;ID1=58711810&amp;VALUEID=01001&amp;SDATE=200703&amp;PERIODTYPE=QTR_STD&amp;window=popup_no_bar&amp;width=385&amp;height=120&amp;START_MAXIMIZED=FALSE&amp;creator=factset&amp;display_string=Audit"}</definedName>
    <definedName name="_2625__FDSAUDITLINK__" hidden="1">{"fdsup://Directions/FactSet Auditing Viewer?action=AUDIT_VALUE&amp;DB=129&amp;ID1=58711810&amp;VALUEID=02101&amp;SDATE=200703&amp;PERIODTYPE=QTR_STD&amp;window=popup_no_bar&amp;width=385&amp;height=120&amp;START_MAXIMIZED=FALSE&amp;creator=factset&amp;display_string=Audit"}</definedName>
    <definedName name="_2626__FDSAUDITLINK__" hidden="1">{"fdsup://Directions/FactSet Auditing Viewer?action=AUDIT_VALUE&amp;DB=129&amp;ID1=58711810&amp;VALUEID=01001&amp;SDATE=200704&amp;PERIODTYPE=QTR_STD&amp;window=popup_no_bar&amp;width=385&amp;height=120&amp;START_MAXIMIZED=FALSE&amp;creator=factset&amp;display_string=Audit"}</definedName>
    <definedName name="_2627__FDSAUDITLINK__" hidden="1">{"fdsup://Directions/FactSet Auditing Viewer?action=AUDIT_VALUE&amp;DB=129&amp;ID1=58711810&amp;VALUEID=01001&amp;SDATE=200801&amp;PERIODTYPE=QTR_STD&amp;window=popup_no_bar&amp;width=385&amp;height=120&amp;START_MAXIMIZED=FALSE&amp;creator=factset&amp;display_string=Audit"}</definedName>
    <definedName name="_2628__FDSAUDITLINK__" hidden="1">{"fdsup://Directions/FactSet Auditing Viewer?action=AUDIT_VALUE&amp;DB=129&amp;ID1=58711810&amp;VALUEID=02101&amp;SDATE=200801&amp;PERIODTYPE=QTR_STD&amp;window=popup_no_bar&amp;width=385&amp;height=120&amp;START_MAXIMIZED=FALSE&amp;creator=factset&amp;display_string=Audit"}</definedName>
    <definedName name="_2629__FDSAUDITLINK__" hidden="1">{"fdsup://Directions/FactSet Auditing Viewer?action=AUDIT_VALUE&amp;DB=129&amp;ID1=58711810&amp;VALUEID=01001&amp;SDATE=200802&amp;PERIODTYPE=QTR_STD&amp;window=popup_no_bar&amp;width=385&amp;height=120&amp;START_MAXIMIZED=FALSE&amp;creator=factset&amp;display_string=Audit"}</definedName>
    <definedName name="_263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630__FDSAUDITLINK__" hidden="1">{"fdsup://Directions/FactSet Auditing Viewer?action=AUDIT_VALUE&amp;DB=129&amp;ID1=58711810&amp;VALUEID=02101&amp;SDATE=200802&amp;PERIODTYPE=QTR_STD&amp;window=popup_no_bar&amp;width=385&amp;height=120&amp;START_MAXIMIZED=FALSE&amp;creator=factset&amp;display_string=Audit"}</definedName>
    <definedName name="_2631__FDSAUDITLINK__" hidden="1">{"fdsup://Directions/FactSet Auditing Viewer?action=AUDIT_VALUE&amp;DB=129&amp;ID1=58711810&amp;VALUEID=01001&amp;SDATE=200803&amp;PERIODTYPE=QTR_STD&amp;window=popup_no_bar&amp;width=385&amp;height=120&amp;START_MAXIMIZED=FALSE&amp;creator=factset&amp;display_string=Audit"}</definedName>
    <definedName name="_2632__FDSAUDITLINK__" hidden="1">{"fdsup://Directions/FactSet Auditing Viewer?action=AUDIT_VALUE&amp;DB=129&amp;ID1=58711810&amp;VALUEID=02101&amp;SDATE=200803&amp;PERIODTYPE=QTR_STD&amp;window=popup_no_bar&amp;width=385&amp;height=120&amp;START_MAXIMIZED=FALSE&amp;creator=factset&amp;display_string=Audit"}</definedName>
    <definedName name="_2633__FDSAUDITLINK__" hidden="1">{"fdsup://Directions/FactSet Auditing Viewer?action=AUDIT_VALUE&amp;DB=129&amp;ID1=58711810&amp;VALUEID=01001&amp;SDATE=200804&amp;PERIODTYPE=QTR_STD&amp;window=popup_no_bar&amp;width=385&amp;height=120&amp;START_MAXIMIZED=FALSE&amp;creator=factset&amp;display_string=Audit"}</definedName>
    <definedName name="_2634__FDSAUDITLINK__" hidden="1">{"fdsup://Directions/FactSet Auditing Viewer?action=AUDIT_VALUE&amp;DB=129&amp;ID1=58711810&amp;VALUEID=01001&amp;SDATE=200902&amp;PERIODTYPE=QTR_STD&amp;window=popup_no_bar&amp;width=385&amp;height=120&amp;START_MAXIMIZED=FALSE&amp;creator=factset&amp;display_string=Audit"}</definedName>
    <definedName name="_2635__FDSAUDITLINK__" hidden="1">{"fdsup://Directions/FactSet Auditing Viewer?action=AUDIT_VALUE&amp;DB=129&amp;ID1=58711810&amp;VALUEID=02101&amp;SDATE=200902&amp;PERIODTYPE=QTR_STD&amp;window=popup_no_bar&amp;width=385&amp;height=120&amp;START_MAXIMIZED=FALSE&amp;creator=factset&amp;display_string=Audit"}</definedName>
    <definedName name="_2636__FDSAUDITLINK__" hidden="1">{"fdsup://Directions/FactSet Auditing Viewer?action=AUDIT_VALUE&amp;DB=129&amp;ID1=58711810&amp;VALUEID=01001&amp;SDATE=200903&amp;PERIODTYPE=QTR_STD&amp;window=popup_no_bar&amp;width=385&amp;height=120&amp;START_MAXIMIZED=FALSE&amp;creator=factset&amp;display_string=Audit"}</definedName>
    <definedName name="_2637__FDSAUDITLINK__" hidden="1">{"fdsup://Directions/FactSet Auditing Viewer?action=AUDIT_VALUE&amp;DB=129&amp;ID1=58711810&amp;VALUEID=02101&amp;SDATE=200903&amp;PERIODTYPE=QTR_STD&amp;window=popup_no_bar&amp;width=385&amp;height=120&amp;START_MAXIMIZED=FALSE&amp;creator=factset&amp;display_string=Audit"}</definedName>
    <definedName name="_2638__FDSAUDITLINK__" hidden="1">{"fdsup://Directions/FactSet Auditing Viewer?action=AUDIT_VALUE&amp;DB=129&amp;ID1=58711810&amp;VALUEID=01001&amp;SDATE=200904&amp;PERIODTYPE=QTR_STD&amp;window=popup_no_bar&amp;width=385&amp;height=120&amp;START_MAXIMIZED=FALSE&amp;creator=factset&amp;display_string=Audit"}</definedName>
    <definedName name="_2639__FDSAUDITLINK__" hidden="1">{"fdsup://Directions/FactSet Auditing Viewer?action=AUDIT_VALUE&amp;DB=129&amp;ID1=58711810&amp;VALUEID=02101&amp;SDATE=201001&amp;PERIODTYPE=QTR_STD&amp;window=popup_no_bar&amp;width=385&amp;height=120&amp;START_MAXIMIZED=FALSE&amp;creator=factset&amp;display_string=Audit"}</definedName>
    <definedName name="_264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640__FDSAUDITLINK__"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2641__FDSAUDITLINK__"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2642__FDSAUDITLINK__"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2643__FDSAUDITLINK__"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2644__FDSAUDITLINK__"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2645__FDSAUDITLINK__"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2646__FDSAUDITLINK__"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2647__FDSAUDITLINK__"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2648__FDSAUDITLINK__"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2649__FDSAUDITLINK__"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265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650__FDSAUDITLINK__"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2651__FDSAUDITLINK__"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2652__FDSAUDITLINK__"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2653__FDSAUDITLINK__"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2654__FDSAUDITLINK__"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2655__FDSAUDITLINK__"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2656__FDSAUDITLINK__"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2657__FDSAUDITLINK__"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2658__FDSAUDITLINK__"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2659__FDSAUDITLINK__"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266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660__FDSAUDITLINK__"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2661__FDSAUDITLINK__"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2662__FDSAUDITLINK__"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2663__FDSAUDITLINK__"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2664__FDSAUDITLINK__"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2665__FDSAUDITLINK__"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2666__FDSAUDITLINK__"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2667__FDSAUDITLINK__" hidden="1">{"fdsup://Directions/FactSet Auditing Viewer?action=AUDIT_VALUE&amp;DB=129&amp;ID1=58711810&amp;VALUEID=13040&amp;SDATE=200702&amp;PERIODTYPE=QTR_STD&amp;window=popup_no_bar&amp;width=385&amp;height=120&amp;START_MAXIMIZED=FALSE&amp;creator=factset&amp;display_string=Audit"}</definedName>
    <definedName name="_2668__FDSAUDITLINK__" hidden="1">{"fdsup://Directions/FactSet Auditing Viewer?action=AUDIT_VALUE&amp;DB=129&amp;ID1=58711810&amp;VALUEID=13040&amp;SDATE=200701&amp;PERIODTYPE=QTR_STD&amp;window=popup_no_bar&amp;width=385&amp;height=120&amp;START_MAXIMIZED=FALSE&amp;creator=factset&amp;display_string=Audit"}</definedName>
    <definedName name="_2669__FDSAUDITLINK__" hidden="1">{"fdsup://Directions/FactSet Auditing Viewer?action=AUDIT_VALUE&amp;DB=129&amp;ID1=58711810&amp;VALUEID=13040&amp;SDATE=200703&amp;PERIODTYPE=QTR_STD&amp;window=popup_no_bar&amp;width=385&amp;height=120&amp;START_MAXIMIZED=FALSE&amp;creator=factset&amp;display_string=Audit"}</definedName>
    <definedName name="_267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670__FDSAUDITLINK__" hidden="1">{"fdsup://Directions/FactSet Auditing Viewer?action=AUDIT_VALUE&amp;DB=129&amp;ID1=58711810&amp;VALUEID=13040&amp;SDATE=200802&amp;PERIODTYPE=QTR_STD&amp;window=popup_no_bar&amp;width=385&amp;height=120&amp;START_MAXIMIZED=FALSE&amp;creator=factset&amp;display_string=Audit"}</definedName>
    <definedName name="_2671__FDSAUDITLINK__" hidden="1">{"fdsup://Directions/FactSet Auditing Viewer?action=AUDIT_VALUE&amp;DB=129&amp;ID1=58711810&amp;VALUEID=13040&amp;SDATE=200801&amp;PERIODTYPE=QTR_STD&amp;window=popup_no_bar&amp;width=385&amp;height=120&amp;START_MAXIMIZED=FALSE&amp;creator=factset&amp;display_string=Audit"}</definedName>
    <definedName name="_2672__FDSAUDITLINK__"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2673__FDSAUDITLINK__" hidden="1">{"fdsup://Directions/FactSet Auditing Viewer?action=AUDIT_VALUE&amp;DB=129&amp;ID1=58711810&amp;VALUEID=13040&amp;SDATE=200803&amp;PERIODTYPE=QTR_STD&amp;window=popup_no_bar&amp;width=385&amp;height=120&amp;START_MAXIMIZED=FALSE&amp;creator=factset&amp;display_string=Audit"}</definedName>
    <definedName name="_2674__FDSAUDITLINK__" hidden="1">{"fdsup://Directions/FactSet Auditing Viewer?action=AUDIT_VALUE&amp;DB=129&amp;ID1=58711810&amp;VALUEID=13040&amp;SDATE=200902&amp;PERIODTYPE=QTR_STD&amp;window=popup_no_bar&amp;width=385&amp;height=120&amp;START_MAXIMIZED=FALSE&amp;creator=factset&amp;display_string=Audit"}</definedName>
    <definedName name="_2675__FDSAUDITLINK__"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2676__FDSAUDITLINK__" hidden="1">{"fdsup://Directions/FactSet Auditing Viewer?action=AUDIT_VALUE&amp;DB=129&amp;ID1=58711810&amp;VALUEID=13040&amp;SDATE=200903&amp;PERIODTYPE=QTR_STD&amp;window=popup_no_bar&amp;width=385&amp;height=120&amp;START_MAXIMIZED=FALSE&amp;creator=factset&amp;display_string=Audit"}</definedName>
    <definedName name="_2677__FDSAUDITLINK__" hidden="1">{"fdsup://Directions/FactSet Auditing Viewer?action=AUDIT_VALUE&amp;DB=129&amp;ID1=58711810&amp;VALUEID=13040&amp;SDATE=200602&amp;PERIODTYPE=QTR_STD&amp;window=popup_no_bar&amp;width=385&amp;height=120&amp;START_MAXIMIZED=FALSE&amp;creator=factset&amp;display_string=Audit"}</definedName>
    <definedName name="_2678__FDSAUDITLINK__" hidden="1">{"fdsup://Directions/FactSet Auditing Viewer?action=AUDIT_VALUE&amp;DB=129&amp;ID1=58711810&amp;VALUEID=13040&amp;SDATE=200601&amp;PERIODTYPE=QTR_STD&amp;window=popup_no_bar&amp;width=385&amp;height=120&amp;START_MAXIMIZED=FALSE&amp;creator=factset&amp;display_string=Audit"}</definedName>
    <definedName name="_2679__FDSAUDITLINK__"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268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680__FDSAUDITLINK__" hidden="1">{"fdsup://Directions/FactSet Auditing Viewer?action=AUDIT_VALUE&amp;DB=129&amp;ID1=58711810&amp;VALUEID=13040&amp;SDATE=200603&amp;PERIODTYPE=QTR_STD&amp;window=popup_no_bar&amp;width=385&amp;height=120&amp;START_MAXIMIZED=FALSE&amp;creator=factset&amp;display_string=Audit"}</definedName>
    <definedName name="_2681__FDSAUDITLINK__"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2682__FDSAUDITLINK__" hidden="1">{"fdsup://Directions/FactSet Auditing Viewer?action=AUDIT_VALUE&amp;DB=129&amp;ID1=58711810&amp;VALUEID=13040&amp;SDATE=201001&amp;PERIODTYPE=QTR_STD&amp;window=popup_no_bar&amp;width=385&amp;height=120&amp;START_MAXIMIZED=FALSE&amp;creator=factset&amp;display_string=Audit"}</definedName>
    <definedName name="_2683__FDSAUDITLINK__" hidden="1">{"fdsup://Directions/FactSet Auditing Viewer?action=AUDIT_VALUE&amp;DB=129&amp;ID1=58711810&amp;VALUEID=13040&amp;SDATE=200904&amp;PERIODTYPE=QTR_STD&amp;window=popup_no_bar&amp;width=385&amp;height=120&amp;START_MAXIMIZED=FALSE&amp;creator=factset&amp;display_string=Audit"}</definedName>
    <definedName name="_2684__FDSAUDITLINK__"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2685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2686__FDSAUDITLINK__" hidden="1">{"fdsup://Directions/FactSet Auditing Viewer?action=AUDIT_VALUE&amp;DB=129&amp;ID1=58711810&amp;VALUEID=01001&amp;SDATE=201001&amp;PERIODTYPE=QTR_STD&amp;window=popup_no_bar&amp;width=385&amp;height=120&amp;START_MAXIMIZED=FALSE&amp;creator=factset&amp;display_string=Audit"}</definedName>
    <definedName name="_2687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2688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2689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269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690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2691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2692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2693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2694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2695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2696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2697__FDSAUDITLINK__" hidden="1">{"fdsup://Directions/FactSet Auditing Viewer?action=AUDIT_VALUE&amp;DB=129&amp;ID1=26157010&amp;VALUEID=13040&amp;SDATE=200602&amp;PERIODTYPE=QTR_STD&amp;window=popup_no_bar&amp;width=385&amp;height=120&amp;START_MAXIMIZED=FALSE&amp;creator=factset&amp;display_string=Audit"}</definedName>
    <definedName name="_2698__FDSAUDITLINK__" hidden="1">{"fdsup://Directions/FactSet Auditing Viewer?action=AUDIT_VALUE&amp;DB=129&amp;ID1=26157010&amp;VALUEID=01001&amp;SDATE=200602&amp;PERIODTYPE=QTR_STD&amp;window=popup_no_bar&amp;width=385&amp;height=120&amp;START_MAXIMIZED=FALSE&amp;creator=factset&amp;display_string=Audit"}</definedName>
    <definedName name="_2699__FDSAUDITLINK__" hidden="1">{"fdsup://Directions/FactSet Auditing Viewer?action=AUDIT_VALUE&amp;DB=129&amp;ID1=26157010&amp;VALUEID=02101&amp;SDATE=200602&amp;PERIODTYPE=QTR_STD&amp;window=popup_no_bar&amp;width=385&amp;height=120&amp;START_MAXIMIZED=FALSE&amp;creator=factset&amp;display_string=Audit"}</definedName>
    <definedName name="_2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70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700__FDSAUDITLINK__" hidden="1">{"fdsup://Directions/FactSet Auditing Viewer?action=AUDIT_VALUE&amp;DB=129&amp;ID1=26157010&amp;VALUEID=13040&amp;SDATE=200603&amp;PERIODTYPE=QTR_STD&amp;window=popup_no_bar&amp;width=385&amp;height=120&amp;START_MAXIMIZED=FALSE&amp;creator=factset&amp;display_string=Audit"}</definedName>
    <definedName name="_2701__FDSAUDITLINK__" hidden="1">{"fdsup://Directions/FactSet Auditing Viewer?action=AUDIT_VALUE&amp;DB=129&amp;ID1=26157010&amp;VALUEID=01001&amp;SDATE=200603&amp;PERIODTYPE=QTR_STD&amp;window=popup_no_bar&amp;width=385&amp;height=120&amp;START_MAXIMIZED=FALSE&amp;creator=factset&amp;display_string=Audit"}</definedName>
    <definedName name="_2702__FDSAUDITLINK__" hidden="1">{"fdsup://Directions/FactSet Auditing Viewer?action=AUDIT_VALUE&amp;DB=129&amp;ID1=26157010&amp;VALUEID=02101&amp;SDATE=200603&amp;PERIODTYPE=QTR_STD&amp;window=popup_no_bar&amp;width=385&amp;height=120&amp;START_MAXIMIZED=FALSE&amp;creator=factset&amp;display_string=Audit"}</definedName>
    <definedName name="_2703__FDSAUDITLINK__" hidden="1">{"fdsup://Directions/FactSet Auditing Viewer?action=AUDIT_VALUE&amp;DB=129&amp;ID1=26157010&amp;VALUEID=13040&amp;SDATE=200701&amp;PERIODTYPE=QTR_STD&amp;window=popup_no_bar&amp;width=385&amp;height=120&amp;START_MAXIMIZED=FALSE&amp;creator=factset&amp;display_string=Audit"}</definedName>
    <definedName name="_2704__FDSAUDITLINK__" hidden="1">{"fdsup://Directions/FactSet Auditing Viewer?action=AUDIT_VALUE&amp;DB=129&amp;ID1=26157010&amp;VALUEID=01001&amp;SDATE=200701&amp;PERIODTYPE=QTR_STD&amp;window=popup_no_bar&amp;width=385&amp;height=120&amp;START_MAXIMIZED=FALSE&amp;creator=factset&amp;display_string=Audit"}</definedName>
    <definedName name="_2705__FDSAUDITLINK__" hidden="1">{"fdsup://Directions/FactSet Auditing Viewer?action=AUDIT_VALUE&amp;DB=129&amp;ID1=26157010&amp;VALUEID=02101&amp;SDATE=200701&amp;PERIODTYPE=QTR_STD&amp;window=popup_no_bar&amp;width=385&amp;height=120&amp;START_MAXIMIZED=FALSE&amp;creator=factset&amp;display_string=Audit"}</definedName>
    <definedName name="_2706__FDSAUDITLINK__" hidden="1">{"fdsup://Directions/FactSet Auditing Viewer?action=AUDIT_VALUE&amp;DB=129&amp;ID1=26157010&amp;VALUEID=13040&amp;SDATE=200702&amp;PERIODTYPE=QTR_STD&amp;window=popup_no_bar&amp;width=385&amp;height=120&amp;START_MAXIMIZED=FALSE&amp;creator=factset&amp;display_string=Audit"}</definedName>
    <definedName name="_2707__FDSAUDITLINK__" hidden="1">{"fdsup://Directions/FactSet Auditing Viewer?action=AUDIT_VALUE&amp;DB=129&amp;ID1=26157010&amp;VALUEID=01001&amp;SDATE=200702&amp;PERIODTYPE=QTR_STD&amp;window=popup_no_bar&amp;width=385&amp;height=120&amp;START_MAXIMIZED=FALSE&amp;creator=factset&amp;display_string=Audit"}</definedName>
    <definedName name="_2708__FDSAUDITLINK__" hidden="1">{"fdsup://Directions/FactSet Auditing Viewer?action=AUDIT_VALUE&amp;DB=129&amp;ID1=26157010&amp;VALUEID=02101&amp;SDATE=200702&amp;PERIODTYPE=QTR_STD&amp;window=popup_no_bar&amp;width=385&amp;height=120&amp;START_MAXIMIZED=FALSE&amp;creator=factset&amp;display_string=Audit"}</definedName>
    <definedName name="_2709__FDSAUDITLINK__" hidden="1">{"fdsup://Directions/FactSet Auditing Viewer?action=AUDIT_VALUE&amp;DB=129&amp;ID1=26157010&amp;VALUEID=13040&amp;SDATE=200703&amp;PERIODTYPE=QTR_STD&amp;window=popup_no_bar&amp;width=385&amp;height=120&amp;START_MAXIMIZED=FALSE&amp;creator=factset&amp;display_string=Audit"}</definedName>
    <definedName name="_27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710__FDSAUDITLINK__" hidden="1">{"fdsup://Directions/FactSet Auditing Viewer?action=AUDIT_VALUE&amp;DB=129&amp;ID1=26157010&amp;VALUEID=01001&amp;SDATE=200703&amp;PERIODTYPE=QTR_STD&amp;window=popup_no_bar&amp;width=385&amp;height=120&amp;START_MAXIMIZED=FALSE&amp;creator=factset&amp;display_string=Audit"}</definedName>
    <definedName name="_2711__FDSAUDITLINK__" hidden="1">{"fdsup://Directions/FactSet Auditing Viewer?action=AUDIT_VALUE&amp;DB=129&amp;ID1=26157010&amp;VALUEID=02101&amp;SDATE=200703&amp;PERIODTYPE=QTR_STD&amp;window=popup_no_bar&amp;width=385&amp;height=120&amp;START_MAXIMIZED=FALSE&amp;creator=factset&amp;display_string=Audit"}</definedName>
    <definedName name="_2712__FDSAUDITLINK__" hidden="1">{"fdsup://Directions/FactSet Auditing Viewer?action=AUDIT_VALUE&amp;DB=129&amp;ID1=26157010&amp;VALUEID=01001&amp;SDATE=200704&amp;PERIODTYPE=QTR_STD&amp;window=popup_no_bar&amp;width=385&amp;height=120&amp;START_MAXIMIZED=FALSE&amp;creator=factset&amp;display_string=Audit"}</definedName>
    <definedName name="_2713__FDSAUDITLINK__" hidden="1">{"fdsup://Directions/FactSet Auditing Viewer?action=AUDIT_VALUE&amp;DB=129&amp;ID1=26157010&amp;VALUEID=13040&amp;SDATE=200801&amp;PERIODTYPE=QTR_STD&amp;window=popup_no_bar&amp;width=385&amp;height=120&amp;START_MAXIMIZED=FALSE&amp;creator=factset&amp;display_string=Audit"}</definedName>
    <definedName name="_2714__FDSAUDITLINK__" hidden="1">{"fdsup://Directions/FactSet Auditing Viewer?action=AUDIT_VALUE&amp;DB=129&amp;ID1=26157010&amp;VALUEID=01001&amp;SDATE=200801&amp;PERIODTYPE=QTR_STD&amp;window=popup_no_bar&amp;width=385&amp;height=120&amp;START_MAXIMIZED=FALSE&amp;creator=factset&amp;display_string=Audit"}</definedName>
    <definedName name="_2715__FDSAUDITLINK__" hidden="1">{"fdsup://Directions/FactSet Auditing Viewer?action=AUDIT_VALUE&amp;DB=129&amp;ID1=26157010&amp;VALUEID=02101&amp;SDATE=200801&amp;PERIODTYPE=QTR_STD&amp;window=popup_no_bar&amp;width=385&amp;height=120&amp;START_MAXIMIZED=FALSE&amp;creator=factset&amp;display_string=Audit"}</definedName>
    <definedName name="_2716__FDSAUDITLINK__" hidden="1">{"fdsup://Directions/FactSet Auditing Viewer?action=AUDIT_VALUE&amp;DB=129&amp;ID1=26157010&amp;VALUEID=01001&amp;SDATE=200802&amp;PERIODTYPE=QTR_STD&amp;window=popup_no_bar&amp;width=385&amp;height=120&amp;START_MAXIMIZED=FALSE&amp;creator=factset&amp;display_string=Audit"}</definedName>
    <definedName name="_2717__FDSAUDITLINK__" hidden="1">{"fdsup://Directions/FactSet Auditing Viewer?action=AUDIT_VALUE&amp;DB=129&amp;ID1=26157010&amp;VALUEID=02101&amp;SDATE=200802&amp;PERIODTYPE=QTR_STD&amp;window=popup_no_bar&amp;width=385&amp;height=120&amp;START_MAXIMIZED=FALSE&amp;creator=factset&amp;display_string=Audit"}</definedName>
    <definedName name="_2718__FDSAUDITLINK__" hidden="1">{"fdsup://Directions/FactSet Auditing Viewer?action=AUDIT_VALUE&amp;DB=129&amp;ID1=26157010&amp;VALUEID=13040&amp;SDATE=200803&amp;PERIODTYPE=QTR_STD&amp;window=popup_no_bar&amp;width=385&amp;height=120&amp;START_MAXIMIZED=FALSE&amp;creator=factset&amp;display_string=Audit"}</definedName>
    <definedName name="_2719__FDSAUDITLINK__" hidden="1">{"fdsup://Directions/FactSet Auditing Viewer?action=AUDIT_VALUE&amp;DB=129&amp;ID1=26157010&amp;VALUEID=01001&amp;SDATE=200803&amp;PERIODTYPE=QTR_STD&amp;window=popup_no_bar&amp;width=385&amp;height=120&amp;START_MAXIMIZED=FALSE&amp;creator=factset&amp;display_string=Audit"}</definedName>
    <definedName name="_27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720__FDSAUDITLINK__" hidden="1">{"fdsup://Directions/FactSet Auditing Viewer?action=AUDIT_VALUE&amp;DB=129&amp;ID1=26157010&amp;VALUEID=02101&amp;SDATE=200803&amp;PERIODTYPE=QTR_STD&amp;window=popup_no_bar&amp;width=385&amp;height=120&amp;START_MAXIMIZED=FALSE&amp;creator=factset&amp;display_string=Audit"}</definedName>
    <definedName name="_2721__FDSAUDITLINK__" hidden="1">{"fdsup://Directions/FactSet Auditing Viewer?action=AUDIT_VALUE&amp;DB=129&amp;ID1=26157010&amp;VALUEID=13040&amp;SDATE=200901&amp;PERIODTYPE=QTR_STD&amp;window=popup_no_bar&amp;width=385&amp;height=120&amp;START_MAXIMIZED=FALSE&amp;creator=factset&amp;display_string=Audit"}</definedName>
    <definedName name="_2722__FDSAUDITLINK__" hidden="1">{"fdsup://Directions/FactSet Auditing Viewer?action=AUDIT_VALUE&amp;DB=129&amp;ID1=26157010&amp;VALUEID=01001&amp;SDATE=200901&amp;PERIODTYPE=QTR_STD&amp;window=popup_no_bar&amp;width=385&amp;height=120&amp;START_MAXIMIZED=FALSE&amp;creator=factset&amp;display_string=Audit"}</definedName>
    <definedName name="_2723__FDSAUDITLINK__" hidden="1">{"fdsup://Directions/FactSet Auditing Viewer?action=AUDIT_VALUE&amp;DB=129&amp;ID1=26157010&amp;VALUEID=02101&amp;SDATE=200901&amp;PERIODTYPE=QTR_STD&amp;window=popup_no_bar&amp;width=385&amp;height=120&amp;START_MAXIMIZED=FALSE&amp;creator=factset&amp;display_string=Audit"}</definedName>
    <definedName name="_2724__FDSAUDITLINK__" hidden="1">{"fdsup://Directions/FactSet Auditing Viewer?action=AUDIT_VALUE&amp;DB=129&amp;ID1=26157010&amp;VALUEID=13040&amp;SDATE=200902&amp;PERIODTYPE=QTR_STD&amp;window=popup_no_bar&amp;width=385&amp;height=120&amp;START_MAXIMIZED=FALSE&amp;creator=factset&amp;display_string=Audit"}</definedName>
    <definedName name="_2725__FDSAUDITLINK__" hidden="1">{"fdsup://Directions/FactSet Auditing Viewer?action=AUDIT_VALUE&amp;DB=129&amp;ID1=26157010&amp;VALUEID=01001&amp;SDATE=200902&amp;PERIODTYPE=QTR_STD&amp;window=popup_no_bar&amp;width=385&amp;height=120&amp;START_MAXIMIZED=FALSE&amp;creator=factset&amp;display_string=Audit"}</definedName>
    <definedName name="_2726__FDSAUDITLINK__" hidden="1">{"fdsup://Directions/FactSet Auditing Viewer?action=AUDIT_VALUE&amp;DB=129&amp;ID1=26157010&amp;VALUEID=02101&amp;SDATE=200902&amp;PERIODTYPE=QTR_STD&amp;window=popup_no_bar&amp;width=385&amp;height=120&amp;START_MAXIMIZED=FALSE&amp;creator=factset&amp;display_string=Audit"}</definedName>
    <definedName name="_2727__FDSAUDITLINK__" hidden="1">{"fdsup://Directions/FactSet Auditing Viewer?action=AUDIT_VALUE&amp;DB=129&amp;ID1=26157010&amp;VALUEID=01001&amp;SDATE=200904&amp;PERIODTYPE=QTR_STD&amp;window=popup_no_bar&amp;width=385&amp;height=120&amp;START_MAXIMIZED=FALSE&amp;creator=factset&amp;display_string=Audit"}</definedName>
    <definedName name="_2728__FDSAUDITLINK__" hidden="1">{"fdsup://Directions/FactSet Auditing Viewer?action=AUDIT_VALUE&amp;DB=129&amp;ID1=26157010&amp;VALUEID=13040&amp;SDATE=201001&amp;PERIODTYPE=QTR_STD&amp;window=popup_no_bar&amp;width=385&amp;height=120&amp;START_MAXIMIZED=FALSE&amp;creator=factset&amp;display_string=Audit"}</definedName>
    <definedName name="_2729__FDSAUDITLINK__" hidden="1">{"fdsup://Directions/FactSet Auditing Viewer?action=AUDIT_VALUE&amp;DB=129&amp;ID1=26157010&amp;VALUEID=01001&amp;SDATE=201001&amp;PERIODTYPE=QTR_STD&amp;window=popup_no_bar&amp;width=385&amp;height=120&amp;START_MAXIMIZED=FALSE&amp;creator=factset&amp;display_string=Audit"}</definedName>
    <definedName name="_27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730__FDSAUDITLINK__" hidden="1">{"fdsup://Directions/FactSet Auditing Viewer?action=AUDIT_VALUE&amp;DB=129&amp;ID1=26157010&amp;VALUEID=02101&amp;SDATE=201001&amp;PERIODTYPE=QTR_STD&amp;window=popup_no_bar&amp;width=385&amp;height=120&amp;START_MAXIMIZED=FALSE&amp;creator=factset&amp;display_string=Audit"}</definedName>
    <definedName name="_2731__FDSAUDITLINK__" hidden="1">{"fdsup://Directions/FactSet Auditing Viewer?action=AUDIT_VALUE&amp;DB=129&amp;ID1=26157010&amp;VALUEID=01001&amp;SDATE=201002&amp;PERIODTYPE=QTR_STD&amp;window=popup_no_bar&amp;width=385&amp;height=120&amp;START_MAXIMIZED=FALSE&amp;creator=factset&amp;display_string=Audit"}</definedName>
    <definedName name="_2732__FDSAUDITLINK__" hidden="1">{"fdsup://Directions/FactSet Auditing Viewer?action=AUDIT_VALUE&amp;DB=129&amp;ID1=26157010&amp;VALUEID=02101&amp;SDATE=201002&amp;PERIODTYPE=QTR_STD&amp;window=popup_no_bar&amp;width=385&amp;height=120&amp;START_MAXIMIZED=FALSE&amp;creator=factset&amp;display_string=Audit"}</definedName>
    <definedName name="_2733__FDSAUDITLINK__" hidden="1">{"fdsup://Directions/FactSet Auditing Viewer?action=AUDIT_VALUE&amp;DB=129&amp;ID1=26157010&amp;VALUEID=13040&amp;SDATE=201003&amp;PERIODTYPE=QTR_STD&amp;window=popup_no_bar&amp;width=385&amp;height=120&amp;START_MAXIMIZED=FALSE&amp;creator=factset&amp;display_string=Audit"}</definedName>
    <definedName name="_2734__FDSAUDITLINK__" hidden="1">{"fdsup://Directions/FactSet Auditing Viewer?action=AUDIT_VALUE&amp;DB=129&amp;ID1=26157010&amp;VALUEID=01001&amp;SDATE=201003&amp;PERIODTYPE=QTR_STD&amp;window=popup_no_bar&amp;width=385&amp;height=120&amp;START_MAXIMIZED=FALSE&amp;creator=factset&amp;display_string=Audit"}</definedName>
    <definedName name="_2735__FDSAUDITLINK__" hidden="1">{"fdsup://Directions/FactSet Auditing Viewer?action=AUDIT_VALUE&amp;DB=129&amp;ID1=26157010&amp;VALUEID=02101&amp;SDATE=201003&amp;PERIODTYPE=QTR_STD&amp;window=popup_no_bar&amp;width=385&amp;height=120&amp;START_MAXIMIZED=FALSE&amp;creator=factset&amp;display_string=Audit"}</definedName>
    <definedName name="_2736__FDSAUDITLINK__" hidden="1">{"fdsup://directions/FAT Viewer?action=UPDATE&amp;creator=factset&amp;DYN_ARGS=TRUE&amp;DOC_NAME=FAT:FQL_AUDITING_CLIENT_TEMPLATE.FAT&amp;display_string=Audit&amp;VAR:KEY=TMTSRWJYFA&amp;VAR:QUERY=RkZfUlRfU0ZfVE9UX0dST1NTKFFUUiwtNDQp&amp;WINDOW=FIRST_POPUP&amp;HEIGHT=450&amp;WIDTH=450&amp;START_MA","XIMIZED=FALSE&amp;VAR:CALENDAR=US&amp;VAR:SYMBOL=DBRN&amp;VAR:INDEX=0"}</definedName>
    <definedName name="_2737__FDSAUDITLINK__" hidden="1">{"fdsup://directions/FAT Viewer?action=UPDATE&amp;creator=factset&amp;DYN_ARGS=TRUE&amp;DOC_NAME=FAT:FQL_AUDITING_CLIENT_TEMPLATE.FAT&amp;display_string=Audit&amp;VAR:KEY=ZGPAREJEDG&amp;VAR:QUERY=RkZfUlRfU0ZfVE9UX0dST1NTKFFUUiwtNDMp&amp;WINDOW=FIRST_POPUP&amp;HEIGHT=450&amp;WIDTH=450&amp;START_MA","XIMIZED=FALSE&amp;VAR:CALENDAR=US&amp;VAR:SYMBOL=DBRN&amp;VAR:INDEX=0"}</definedName>
    <definedName name="_2738__FDSAUDITLINK__" hidden="1">{"fdsup://directions/FAT Viewer?action=UPDATE&amp;creator=factset&amp;DYN_ARGS=TRUE&amp;DOC_NAME=FAT:FQL_AUDITING_CLIENT_TEMPLATE.FAT&amp;display_string=Audit&amp;VAR:KEY=VOXSREHORM&amp;VAR:QUERY=RkZfUlRfU0ZfVE9UX0dST1NTKFFUUiwtNDIp&amp;WINDOW=FIRST_POPUP&amp;HEIGHT=450&amp;WIDTH=450&amp;START_MA","XIMIZED=FALSE&amp;VAR:CALENDAR=US&amp;VAR:SYMBOL=DBRN&amp;VAR:INDEX=0"}</definedName>
    <definedName name="_2739__FDSAUDITLINK__" hidden="1">{"fdsup://directions/FAT Viewer?action=UPDATE&amp;creator=factset&amp;DYN_ARGS=TRUE&amp;DOC_NAME=FAT:FQL_AUDITING_CLIENT_TEMPLATE.FAT&amp;display_string=Audit&amp;VAR:KEY=VWNGJWDSNC&amp;VAR:QUERY=RkZfUlRfU0ZfVE9UX0dST1NTKFFUUiwtNDEp&amp;WINDOW=FIRST_POPUP&amp;HEIGHT=450&amp;WIDTH=450&amp;START_MA","XIMIZED=FALSE&amp;VAR:CALENDAR=US&amp;VAR:SYMBOL=DBRN&amp;VAR:INDEX=0"}</definedName>
    <definedName name="_27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740__FDSAUDITLINK__" hidden="1">{"fdsup://directions/FAT Viewer?action=UPDATE&amp;creator=factset&amp;DYN_ARGS=TRUE&amp;DOC_NAME=FAT:FQL_AUDITING_CLIENT_TEMPLATE.FAT&amp;display_string=Audit&amp;VAR:KEY=JGJWPYNKXE&amp;VAR:QUERY=RkZfUlRfU0ZfVE9UX0dST1NTKFFUUiwtNDAp&amp;WINDOW=FIRST_POPUP&amp;HEIGHT=450&amp;WIDTH=450&amp;START_MA","XIMIZED=FALSE&amp;VAR:CALENDAR=US&amp;VAR:SYMBOL=DBRN&amp;VAR:INDEX=0"}</definedName>
    <definedName name="_2741__FDSAUDITLINK__" hidden="1">{"fdsup://directions/FAT Viewer?action=UPDATE&amp;creator=factset&amp;DYN_ARGS=TRUE&amp;DOC_NAME=FAT:FQL_AUDITING_CLIENT_TEMPLATE.FAT&amp;display_string=Audit&amp;VAR:KEY=DCROFUZQNW&amp;VAR:QUERY=RkZfUlRfU0ZfVE9UX0dST1NTKFFUUiwtMzkp&amp;WINDOW=FIRST_POPUP&amp;HEIGHT=450&amp;WIDTH=450&amp;START_MA","XIMIZED=FALSE&amp;VAR:CALENDAR=US&amp;VAR:SYMBOL=DBRN&amp;VAR:INDEX=0"}</definedName>
    <definedName name="_2742__FDSAUDITLINK__" hidden="1">{"fdsup://directions/FAT Viewer?action=UPDATE&amp;creator=factset&amp;DYN_ARGS=TRUE&amp;DOC_NAME=FAT:FQL_AUDITING_CLIENT_TEMPLATE.FAT&amp;display_string=Audit&amp;VAR:KEY=NGTSNGJMPW&amp;VAR:QUERY=RkZfUlRfU0ZfVE9UX0dST1NTKFFUUiwtMzgp&amp;WINDOW=FIRST_POPUP&amp;HEIGHT=450&amp;WIDTH=450&amp;START_MA","XIMIZED=FALSE&amp;VAR:CALENDAR=US&amp;VAR:SYMBOL=DBRN&amp;VAR:INDEX=0"}</definedName>
    <definedName name="_2743__FDSAUDITLINK__" hidden="1">{"fdsup://directions/FAT Viewer?action=UPDATE&amp;creator=factset&amp;DYN_ARGS=TRUE&amp;DOC_NAME=FAT:FQL_AUDITING_CLIENT_TEMPLATE.FAT&amp;display_string=Audit&amp;VAR:KEY=LYVOVQVWJK&amp;VAR:QUERY=RkZfUlRfU0ZfVE9UX0dST1NTKFFUUiwtMzcp&amp;WINDOW=FIRST_POPUP&amp;HEIGHT=450&amp;WIDTH=450&amp;START_MA","XIMIZED=FALSE&amp;VAR:CALENDAR=US&amp;VAR:SYMBOL=DBRN&amp;VAR:INDEX=0"}</definedName>
    <definedName name="_2744__FDSAUDITLINK__" hidden="1">{"fdsup://directions/FAT Viewer?action=UPDATE&amp;creator=factset&amp;DYN_ARGS=TRUE&amp;DOC_NAME=FAT:FQL_AUDITING_CLIENT_TEMPLATE.FAT&amp;display_string=Audit&amp;VAR:KEY=NGTGVKJKLU&amp;VAR:QUERY=RkZfUlRfU0ZfVE9UX0dST1NTKFFUUiwtMzYp&amp;WINDOW=FIRST_POPUP&amp;HEIGHT=450&amp;WIDTH=450&amp;START_MA","XIMIZED=FALSE&amp;VAR:CALENDAR=US&amp;VAR:SYMBOL=DBRN&amp;VAR:INDEX=0"}</definedName>
    <definedName name="_2745__FDSAUDITLINK__" hidden="1">{"fdsup://directions/FAT Viewer?action=UPDATE&amp;creator=factset&amp;DYN_ARGS=TRUE&amp;DOC_NAME=FAT:FQL_AUDITING_CLIENT_TEMPLATE.FAT&amp;display_string=Audit&amp;VAR:KEY=RUPKHALQHU&amp;VAR:QUERY=RkZfUlRfU0ZfVE9UX0dST1NTKFFUUiwtMzUp&amp;WINDOW=FIRST_POPUP&amp;HEIGHT=450&amp;WIDTH=450&amp;START_MA","XIMIZED=FALSE&amp;VAR:CALENDAR=US&amp;VAR:SYMBOL=DBRN&amp;VAR:INDEX=0"}</definedName>
    <definedName name="_2746__FDSAUDITLINK__" hidden="1">{"fdsup://directions/FAT Viewer?action=UPDATE&amp;creator=factset&amp;DYN_ARGS=TRUE&amp;DOC_NAME=FAT:FQL_AUDITING_CLIENT_TEMPLATE.FAT&amp;display_string=Audit&amp;VAR:KEY=NKVOJYFWZI&amp;VAR:QUERY=RkZfUlRfU0ZfVE9UX0dST1NTKFFUUiwtMzQp&amp;WINDOW=FIRST_POPUP&amp;HEIGHT=450&amp;WIDTH=450&amp;START_MA","XIMIZED=FALSE&amp;VAR:CALENDAR=US&amp;VAR:SYMBOL=DBRN&amp;VAR:INDEX=0"}</definedName>
    <definedName name="_2747__FDSAUDITLINK__" hidden="1">{"fdsup://directions/FAT Viewer?action=UPDATE&amp;creator=factset&amp;DYN_ARGS=TRUE&amp;DOC_NAME=FAT:FQL_AUDITING_CLIENT_TEMPLATE.FAT&amp;display_string=Audit&amp;VAR:KEY=XCPADWPADE&amp;VAR:QUERY=RkZfUlRfU0ZfVE9UX0dST1NTKFFUUiwtMzMp&amp;WINDOW=FIRST_POPUP&amp;HEIGHT=450&amp;WIDTH=450&amp;START_MA","XIMIZED=FALSE&amp;VAR:CALENDAR=US&amp;VAR:SYMBOL=DBRN&amp;VAR:INDEX=0"}</definedName>
    <definedName name="_2748__FDSAUDITLINK__" hidden="1">{"fdsup://directions/FAT Viewer?action=UPDATE&amp;creator=factset&amp;DYN_ARGS=TRUE&amp;DOC_NAME=FAT:FQL_AUDITING_CLIENT_TEMPLATE.FAT&amp;display_string=Audit&amp;VAR:KEY=RKTCJUHCJM&amp;VAR:QUERY=RkZfUlRfU0ZfVE9UX0dST1NTKFFUUiwtMzIp&amp;WINDOW=FIRST_POPUP&amp;HEIGHT=450&amp;WIDTH=450&amp;START_MA","XIMIZED=FALSE&amp;VAR:CALENDAR=US&amp;VAR:SYMBOL=DBRN&amp;VAR:INDEX=0"}</definedName>
    <definedName name="_2749__FDSAUDITLINK__" hidden="1">{"fdsup://directions/FAT Viewer?action=UPDATE&amp;creator=factset&amp;DYN_ARGS=TRUE&amp;DOC_NAME=FAT:FQL_AUDITING_CLIENT_TEMPLATE.FAT&amp;display_string=Audit&amp;VAR:KEY=VQBUBCVANQ&amp;VAR:QUERY=RkZfUlRfU0ZfVE9UX0dST1NTKFFUUiwtMzEp&amp;WINDOW=FIRST_POPUP&amp;HEIGHT=450&amp;WIDTH=450&amp;START_MA","XIMIZED=FALSE&amp;VAR:CALENDAR=US&amp;VAR:SYMBOL=DBRN&amp;VAR:INDEX=0"}</definedName>
    <definedName name="_27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750__FDSAUDITLINK__" hidden="1">{"fdsup://directions/FAT Viewer?action=UPDATE&amp;creator=factset&amp;DYN_ARGS=TRUE&amp;DOC_NAME=FAT:FQL_AUDITING_CLIENT_TEMPLATE.FAT&amp;display_string=Audit&amp;VAR:KEY=LIBWRWZOFE&amp;VAR:QUERY=RkZfUlRfU0ZfVE9UX0dST1NTKFFUUiwtMzAp&amp;WINDOW=FIRST_POPUP&amp;HEIGHT=450&amp;WIDTH=450&amp;START_MA","XIMIZED=FALSE&amp;VAR:CALENDAR=US&amp;VAR:SYMBOL=DBRN&amp;VAR:INDEX=0"}</definedName>
    <definedName name="_2751__FDSAUDITLINK__" hidden="1">{"fdsup://directions/FAT Viewer?action=UPDATE&amp;creator=factset&amp;DYN_ARGS=TRUE&amp;DOC_NAME=FAT:FQL_AUDITING_CLIENT_TEMPLATE.FAT&amp;display_string=Audit&amp;VAR:KEY=HMDIRANAZM&amp;VAR:QUERY=RkZfUlRfU0ZfVE9UX0dST1NTKFFUUiwtMjkp&amp;WINDOW=FIRST_POPUP&amp;HEIGHT=450&amp;WIDTH=450&amp;START_MA","XIMIZED=FALSE&amp;VAR:CALENDAR=US&amp;VAR:SYMBOL=DBRN&amp;VAR:INDEX=0"}</definedName>
    <definedName name="_2752__FDSAUDITLINK__" hidden="1">{"fdsup://directions/FAT Viewer?action=UPDATE&amp;creator=factset&amp;DYN_ARGS=TRUE&amp;DOC_NAME=FAT:FQL_AUDITING_CLIENT_TEMPLATE.FAT&amp;display_string=Audit&amp;VAR:KEY=BUPMXCPCFM&amp;VAR:QUERY=RkZfUlRfU0ZfVE9UX0dST1NTKFFUUiwtMjgp&amp;WINDOW=FIRST_POPUP&amp;HEIGHT=450&amp;WIDTH=450&amp;START_MA","XIMIZED=FALSE&amp;VAR:CALENDAR=US&amp;VAR:SYMBOL=DBRN&amp;VAR:INDEX=0"}</definedName>
    <definedName name="_2753__FDSAUDITLINK__" hidden="1">{"fdsup://directions/FAT Viewer?action=UPDATE&amp;creator=factset&amp;DYN_ARGS=TRUE&amp;DOC_NAME=FAT:FQL_AUDITING_CLIENT_TEMPLATE.FAT&amp;display_string=Audit&amp;VAR:KEY=ZEJGTYHGNY&amp;VAR:QUERY=RkZfUlRfU0ZfVE9UX0dST1NTKFFUUiwtMjcp&amp;WINDOW=FIRST_POPUP&amp;HEIGHT=450&amp;WIDTH=450&amp;START_MA","XIMIZED=FALSE&amp;VAR:CALENDAR=US&amp;VAR:SYMBOL=DBRN&amp;VAR:INDEX=0"}</definedName>
    <definedName name="_2754__FDSAUDITLINK__" hidden="1">{"fdsup://directions/FAT Viewer?action=UPDATE&amp;creator=factset&amp;DYN_ARGS=TRUE&amp;DOC_NAME=FAT:FQL_AUDITING_CLIENT_TEMPLATE.FAT&amp;display_string=Audit&amp;VAR:KEY=ZMXYXARSHK&amp;VAR:QUERY=RkZfUlRfU0ZfVE9UX0dST1NTKFFUUiwtMjYp&amp;WINDOW=FIRST_POPUP&amp;HEIGHT=450&amp;WIDTH=450&amp;START_MA","XIMIZED=FALSE&amp;VAR:CALENDAR=US&amp;VAR:SYMBOL=DBRN&amp;VAR:INDEX=0"}</definedName>
    <definedName name="_2755__FDSAUDITLINK__" hidden="1">{"fdsup://directions/FAT Viewer?action=UPDATE&amp;creator=factset&amp;DYN_ARGS=TRUE&amp;DOC_NAME=FAT:FQL_AUDITING_CLIENT_TEMPLATE.FAT&amp;display_string=Audit&amp;VAR:KEY=ZGDMXCXMLA&amp;VAR:QUERY=RkZfUlRfU0ZfVE9UX0dST1NTKFFUUiwtMjUp&amp;WINDOW=FIRST_POPUP&amp;HEIGHT=450&amp;WIDTH=450&amp;START_MA","XIMIZED=FALSE&amp;VAR:CALENDAR=US&amp;VAR:SYMBOL=DBRN&amp;VAR:INDEX=0"}</definedName>
    <definedName name="_2756__FDSAUDITLINK__" hidden="1">{"fdsup://directions/FAT Viewer?action=UPDATE&amp;creator=factset&amp;DYN_ARGS=TRUE&amp;DOC_NAME=FAT:FQL_AUDITING_CLIENT_TEMPLATE.FAT&amp;display_string=Audit&amp;VAR:KEY=RAPUZEXQDA&amp;VAR:QUERY=RkZfUlRfU0ZfVE9UX0dST1NTKFFUUiwtMjQp&amp;WINDOW=FIRST_POPUP&amp;HEIGHT=450&amp;WIDTH=450&amp;START_MA","XIMIZED=FALSE&amp;VAR:CALENDAR=US&amp;VAR:SYMBOL=DBRN&amp;VAR:INDEX=0"}</definedName>
    <definedName name="_2757__FDSAUDITLINK__" hidden="1">{"fdsup://directions/FAT Viewer?action=UPDATE&amp;creator=factset&amp;DYN_ARGS=TRUE&amp;DOC_NAME=FAT:FQL_AUDITING_CLIENT_TEMPLATE.FAT&amp;display_string=Audit&amp;VAR:KEY=FUPMROVYPW&amp;VAR:QUERY=RkZfUlRfU0ZfVE9UX0dST1NTKFFUUiwtMjMp&amp;WINDOW=FIRST_POPUP&amp;HEIGHT=450&amp;WIDTH=450&amp;START_MA","XIMIZED=FALSE&amp;VAR:CALENDAR=US&amp;VAR:SYMBOL=DBRN&amp;VAR:INDEX=0"}</definedName>
    <definedName name="_2758__FDSAUDITLINK__" hidden="1">{"fdsup://directions/FAT Viewer?action=UPDATE&amp;creator=factset&amp;DYN_ARGS=TRUE&amp;DOC_NAME=FAT:FQL_AUDITING_CLIENT_TEMPLATE.FAT&amp;display_string=Audit&amp;VAR:KEY=PCHYVEJMZO&amp;VAR:QUERY=RkZfUlRfU0ZfVE9UX0dST1NTKFFUUiwtMjIp&amp;WINDOW=FIRST_POPUP&amp;HEIGHT=450&amp;WIDTH=450&amp;START_MA","XIMIZED=FALSE&amp;VAR:CALENDAR=US&amp;VAR:SYMBOL=DBRN&amp;VAR:INDEX=0"}</definedName>
    <definedName name="_2759__FDSAUDITLINK__" hidden="1">{"fdsup://directions/FAT Viewer?action=UPDATE&amp;creator=factset&amp;DYN_ARGS=TRUE&amp;DOC_NAME=FAT:FQL_AUDITING_CLIENT_TEMPLATE.FAT&amp;display_string=Audit&amp;VAR:KEY=PEBSFAHQFE&amp;VAR:QUERY=RkZfUlRfU0ZfVE9UX0dST1NTKFFUUiwtMjEp&amp;WINDOW=FIRST_POPUP&amp;HEIGHT=450&amp;WIDTH=450&amp;START_MA","XIMIZED=FALSE&amp;VAR:CALENDAR=US&amp;VAR:SYMBOL=DBRN&amp;VAR:INDEX=0"}</definedName>
    <definedName name="_27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760__FDSAUDITLINK__" hidden="1">{"fdsup://directions/FAT Viewer?action=UPDATE&amp;creator=factset&amp;DYN_ARGS=TRUE&amp;DOC_NAME=FAT:FQL_AUDITING_CLIENT_TEMPLATE.FAT&amp;display_string=Audit&amp;VAR:KEY=XAHOVYTITS&amp;VAR:QUERY=RkZfUlRfU0ZfVE9UX0dST1NTKFFUUiwtMjAp&amp;WINDOW=FIRST_POPUP&amp;HEIGHT=450&amp;WIDTH=450&amp;START_MA","XIMIZED=FALSE&amp;VAR:CALENDAR=US&amp;VAR:SYMBOL=DBRN&amp;VAR:INDEX=0"}</definedName>
    <definedName name="_2761__FDSAUDITLINK__" hidden="1">{"fdsup://directions/FAT Viewer?action=UPDATE&amp;creator=factset&amp;DYN_ARGS=TRUE&amp;DOC_NAME=FAT:FQL_AUDITING_CLIENT_TEMPLATE.FAT&amp;display_string=Audit&amp;VAR:KEY=PCZURWLAJY&amp;VAR:QUERY=RkZfUlRfU0ZfVE9UX0dST1NTKFFUUiwtMTkp&amp;WINDOW=FIRST_POPUP&amp;HEIGHT=450&amp;WIDTH=450&amp;START_MA","XIMIZED=FALSE&amp;VAR:CALENDAR=US&amp;VAR:SYMBOL=DBRN&amp;VAR:INDEX=0"}</definedName>
    <definedName name="_2762__FDSAUDITLINK__" hidden="1">{"fdsup://directions/FAT Viewer?action=UPDATE&amp;creator=factset&amp;DYN_ARGS=TRUE&amp;DOC_NAME=FAT:FQL_AUDITING_CLIENT_TEMPLATE.FAT&amp;display_string=Audit&amp;VAR:KEY=PWNQRKFAJI&amp;VAR:QUERY=RkZfUlRfU0ZfVE9UX0dST1NTKFFUUiwtMTgp&amp;WINDOW=FIRST_POPUP&amp;HEIGHT=450&amp;WIDTH=450&amp;START_MA","XIMIZED=FALSE&amp;VAR:CALENDAR=US&amp;VAR:SYMBOL=DBRN&amp;VAR:INDEX=0"}</definedName>
    <definedName name="_2763__FDSAUDITLINK__" hidden="1">{"fdsup://directions/FAT Viewer?action=UPDATE&amp;creator=factset&amp;DYN_ARGS=TRUE&amp;DOC_NAME=FAT:FQL_AUDITING_CLIENT_TEMPLATE.FAT&amp;display_string=Audit&amp;VAR:KEY=VEJSFSLURG&amp;VAR:QUERY=RkZfUlRfU0ZfVE9UX0dST1NTKFFUUiwtMTcp&amp;WINDOW=FIRST_POPUP&amp;HEIGHT=450&amp;WIDTH=450&amp;START_MA","XIMIZED=FALSE&amp;VAR:CALENDAR=US&amp;VAR:SYMBOL=DBRN&amp;VAR:INDEX=0"}</definedName>
    <definedName name="_2764__FDSAUDITLINK__" hidden="1">{"fdsup://directions/FAT Viewer?action=UPDATE&amp;creator=factset&amp;DYN_ARGS=TRUE&amp;DOC_NAME=FAT:FQL_AUDITING_CLIENT_TEMPLATE.FAT&amp;display_string=Audit&amp;VAR:KEY=VMZSFOTIPO&amp;VAR:QUERY=RkZfUlRfU0ZfVE9UX0dST1NTKFFUUiwtMTYp&amp;WINDOW=FIRST_POPUP&amp;HEIGHT=450&amp;WIDTH=450&amp;START_MA","XIMIZED=FALSE&amp;VAR:CALENDAR=US&amp;VAR:SYMBOL=DBRN&amp;VAR:INDEX=0"}</definedName>
    <definedName name="_2765__FDSAUDITLINK__" hidden="1">{"fdsup://directions/FAT Viewer?action=UPDATE&amp;creator=factset&amp;DYN_ARGS=TRUE&amp;DOC_NAME=FAT:FQL_AUDITING_CLIENT_TEMPLATE.FAT&amp;display_string=Audit&amp;VAR:KEY=NYTEXIPWHK&amp;VAR:QUERY=RkZfUlRfU0ZfVE9UX0dST1NTKFFUUiwtMTUp&amp;WINDOW=FIRST_POPUP&amp;HEIGHT=450&amp;WIDTH=450&amp;START_MA","XIMIZED=FALSE&amp;VAR:CALENDAR=US&amp;VAR:SYMBOL=DBRN&amp;VAR:INDEX=0"}</definedName>
    <definedName name="_2766__FDSAUDITLINK__" hidden="1">{"fdsup://directions/FAT Viewer?action=UPDATE&amp;creator=factset&amp;DYN_ARGS=TRUE&amp;DOC_NAME=FAT:FQL_AUDITING_CLIENT_TEMPLATE.FAT&amp;display_string=Audit&amp;VAR:KEY=DSVMZSVMZO&amp;VAR:QUERY=RkZfUlRfU0ZfVE9UX0dST1NTKFFUUiwtMTQp&amp;WINDOW=FIRST_POPUP&amp;HEIGHT=450&amp;WIDTH=450&amp;START_MA","XIMIZED=FALSE&amp;VAR:CALENDAR=US&amp;VAR:SYMBOL=DBRN&amp;VAR:INDEX=0"}</definedName>
    <definedName name="_2767__FDSAUDITLINK__" hidden="1">{"fdsup://directions/FAT Viewer?action=UPDATE&amp;creator=factset&amp;DYN_ARGS=TRUE&amp;DOC_NAME=FAT:FQL_AUDITING_CLIENT_TEMPLATE.FAT&amp;display_string=Audit&amp;VAR:KEY=VQXSJSNKJG&amp;VAR:QUERY=RkZfUlRfU0ZfVE9UX0dST1NTKFFUUiwtMTMp&amp;WINDOW=FIRST_POPUP&amp;HEIGHT=450&amp;WIDTH=450&amp;START_MA","XIMIZED=FALSE&amp;VAR:CALENDAR=US&amp;VAR:SYMBOL=DBRN&amp;VAR:INDEX=0"}</definedName>
    <definedName name="_2768__FDSAUDITLINK__" hidden="1">{"fdsup://directions/FAT Viewer?action=UPDATE&amp;creator=factset&amp;DYN_ARGS=TRUE&amp;DOC_NAME=FAT:FQL_AUDITING_CLIENT_TEMPLATE.FAT&amp;display_string=Audit&amp;VAR:KEY=PUFCXIVAXG&amp;VAR:QUERY=RkZfUlRfU0ZfVE9UX0dST1NTKFFUUiwtMTIp&amp;WINDOW=FIRST_POPUP&amp;HEIGHT=450&amp;WIDTH=450&amp;START_MA","XIMIZED=FALSE&amp;VAR:CALENDAR=US&amp;VAR:SYMBOL=DBRN&amp;VAR:INDEX=0"}</definedName>
    <definedName name="_2769__FDSAUDITLINK__" hidden="1">{"fdsup://directions/FAT Viewer?action=UPDATE&amp;creator=factset&amp;DYN_ARGS=TRUE&amp;DOC_NAME=FAT:FQL_AUDITING_CLIENT_TEMPLATE.FAT&amp;display_string=Audit&amp;VAR:KEY=DUPETUHELY&amp;VAR:QUERY=RkZfUlRfU0ZfVE9UX0dST1NTKFFUUiwtMTEp&amp;WINDOW=FIRST_POPUP&amp;HEIGHT=450&amp;WIDTH=450&amp;START_MA","XIMIZED=FALSE&amp;VAR:CALENDAR=US&amp;VAR:SYMBOL=DBRN&amp;VAR:INDEX=0"}</definedName>
    <definedName name="_27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770__FDSAUDITLINK__" hidden="1">{"fdsup://directions/FAT Viewer?action=UPDATE&amp;creator=factset&amp;DYN_ARGS=TRUE&amp;DOC_NAME=FAT:FQL_AUDITING_CLIENT_TEMPLATE.FAT&amp;display_string=Audit&amp;VAR:KEY=NSVOPELSHM&amp;VAR:QUERY=RkZfUlRfU0ZfVE9UX0dST1NTKFFUUiwtMTAp&amp;WINDOW=FIRST_POPUP&amp;HEIGHT=450&amp;WIDTH=450&amp;START_MA","XIMIZED=FALSE&amp;VAR:CALENDAR=US&amp;VAR:SYMBOL=DBRN&amp;VAR:INDEX=0"}</definedName>
    <definedName name="_2771__FDSAUDITLINK__" hidden="1">{"fdsup://directions/FAT Viewer?action=UPDATE&amp;creator=factset&amp;DYN_ARGS=TRUE&amp;DOC_NAME=FAT:FQL_AUDITING_CLIENT_TEMPLATE.FAT&amp;display_string=Audit&amp;VAR:KEY=LUJMZERCNC&amp;VAR:QUERY=RkZfUlRfU0ZfVE9UX0dST1NTKFFUUiwtOSk=&amp;WINDOW=FIRST_POPUP&amp;HEIGHT=450&amp;WIDTH=450&amp;START_MA","XIMIZED=FALSE&amp;VAR:CALENDAR=US&amp;VAR:SYMBOL=DBRN&amp;VAR:INDEX=0"}</definedName>
    <definedName name="_2772__FDSAUDITLINK__" hidden="1">{"fdsup://directions/FAT Viewer?action=UPDATE&amp;creator=factset&amp;DYN_ARGS=TRUE&amp;DOC_NAME=FAT:FQL_AUDITING_CLIENT_TEMPLATE.FAT&amp;display_string=Audit&amp;VAR:KEY=TMDOHSFIJW&amp;VAR:QUERY=RkZfUlRfU0ZfVE9UX0dST1NTKFFUUiwtOCk=&amp;WINDOW=FIRST_POPUP&amp;HEIGHT=450&amp;WIDTH=450&amp;START_MA","XIMIZED=FALSE&amp;VAR:CALENDAR=US&amp;VAR:SYMBOL=DBRN&amp;VAR:INDEX=0"}</definedName>
    <definedName name="_2773__FDSAUDITLINK__" hidden="1">{"fdsup://directions/FAT Viewer?action=UPDATE&amp;creator=factset&amp;DYN_ARGS=TRUE&amp;DOC_NAME=FAT:FQL_AUDITING_CLIENT_TEMPLATE.FAT&amp;display_string=Audit&amp;VAR:KEY=HYDSPKZIXU&amp;VAR:QUERY=RkZfUlRfU0ZfVE9UX0dST1NTKFFUUiwtNyk=&amp;WINDOW=FIRST_POPUP&amp;HEIGHT=450&amp;WIDTH=450&amp;START_MA","XIMIZED=FALSE&amp;VAR:CALENDAR=US&amp;VAR:SYMBOL=DBRN&amp;VAR:INDEX=0"}</definedName>
    <definedName name="_2774__FDSAUDITLINK__" hidden="1">{"fdsup://directions/FAT Viewer?action=UPDATE&amp;creator=factset&amp;DYN_ARGS=TRUE&amp;DOC_NAME=FAT:FQL_AUDITING_CLIENT_TEMPLATE.FAT&amp;display_string=Audit&amp;VAR:KEY=DUDYFUJIHE&amp;VAR:QUERY=RkZfUlRfU0ZfVE9UX0dST1NTKFFUUiwtNik=&amp;WINDOW=FIRST_POPUP&amp;HEIGHT=450&amp;WIDTH=450&amp;START_MA","XIMIZED=FALSE&amp;VAR:CALENDAR=US&amp;VAR:SYMBOL=DBRN&amp;VAR:INDEX=0"}</definedName>
    <definedName name="_2775__FDSAUDITLINK__" hidden="1">{"fdsup://directions/FAT Viewer?action=UPDATE&amp;creator=factset&amp;DYN_ARGS=TRUE&amp;DOC_NAME=FAT:FQL_AUDITING_CLIENT_TEMPLATE.FAT&amp;display_string=Audit&amp;VAR:KEY=BMXMBQZYBW&amp;VAR:QUERY=RkZfUlRfU0ZfVE9UX0dST1NTKFFUUiwtNSk=&amp;WINDOW=FIRST_POPUP&amp;HEIGHT=450&amp;WIDTH=450&amp;START_MA","XIMIZED=FALSE&amp;VAR:CALENDAR=US&amp;VAR:SYMBOL=DBRN&amp;VAR:INDEX=0"}</definedName>
    <definedName name="_2776__FDSAUDITLINK__" hidden="1">{"fdsup://directions/FAT Viewer?action=UPDATE&amp;creator=factset&amp;DYN_ARGS=TRUE&amp;DOC_NAME=FAT:FQL_AUDITING_CLIENT_TEMPLATE.FAT&amp;display_string=Audit&amp;VAR:KEY=FMXGVCLQVA&amp;VAR:QUERY=RkZfUlRfU0ZfVE9UX0dST1NTKFFUUiwtNCk=&amp;WINDOW=FIRST_POPUP&amp;HEIGHT=450&amp;WIDTH=450&amp;START_MA","XIMIZED=FALSE&amp;VAR:CALENDAR=US&amp;VAR:SYMBOL=DBRN&amp;VAR:INDEX=0"}</definedName>
    <definedName name="_2777__FDSAUDITLINK__" hidden="1">{"fdsup://directions/FAT Viewer?action=UPDATE&amp;creator=factset&amp;DYN_ARGS=TRUE&amp;DOC_NAME=FAT:FQL_AUDITING_CLIENT_TEMPLATE.FAT&amp;display_string=Audit&amp;VAR:KEY=JKNULCRGRS&amp;VAR:QUERY=RkZfUlRfU0ZfVE9UX0dST1NTKFFUUiwtMyk=&amp;WINDOW=FIRST_POPUP&amp;HEIGHT=450&amp;WIDTH=450&amp;START_MA","XIMIZED=FALSE&amp;VAR:CALENDAR=US&amp;VAR:SYMBOL=DBRN&amp;VAR:INDEX=0"}</definedName>
    <definedName name="_2778__FDSAUDITLINK__" hidden="1">{"fdsup://directions/FAT Viewer?action=UPDATE&amp;creator=factset&amp;DYN_ARGS=TRUE&amp;DOC_NAME=FAT:FQL_AUDITING_CLIENT_TEMPLATE.FAT&amp;display_string=Audit&amp;VAR:KEY=TIRMXCDUPO&amp;VAR:QUERY=RkZfUlRfU0ZfVE9UX0dST1NTKFFUUiwtMik=&amp;WINDOW=FIRST_POPUP&amp;HEIGHT=450&amp;WIDTH=450&amp;START_MA","XIMIZED=FALSE&amp;VAR:CALENDAR=US&amp;VAR:SYMBOL=DBRN&amp;VAR:INDEX=0"}</definedName>
    <definedName name="_2779__FDSAUDITLINK__" hidden="1">{"fdsup://directions/FAT Viewer?action=UPDATE&amp;creator=factset&amp;DYN_ARGS=TRUE&amp;DOC_NAME=FAT:FQL_AUDITING_CLIENT_TEMPLATE.FAT&amp;display_string=Audit&amp;VAR:KEY=XMFIZGVCXS&amp;VAR:QUERY=RkZfUlRfU0ZfVE9UX0dST1NTKFFUUiwtMSk=&amp;WINDOW=FIRST_POPUP&amp;HEIGHT=450&amp;WIDTH=450&amp;START_MA","XIMIZED=FALSE&amp;VAR:CALENDAR=US&amp;VAR:SYMBOL=DBRN&amp;VAR:INDEX=0"}</definedName>
    <definedName name="_27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780__FDSAUDITLINK__" hidden="1">{"fdsup://directions/FAT Viewer?action=UPDATE&amp;creator=factset&amp;DYN_ARGS=TRUE&amp;DOC_NAME=FAT:FQL_AUDITING_CLIENT_TEMPLATE.FAT&amp;display_string=Audit&amp;VAR:KEY=FCXIFIFAHG&amp;VAR:QUERY=RkZfUlRfU0ZfVE9UX0dST1NTKFFUUiwwKQ==&amp;WINDOW=FIRST_POPUP&amp;HEIGHT=450&amp;WIDTH=450&amp;START_MA","XIMIZED=FALSE&amp;VAR:CALENDAR=US&amp;VAR:SYMBOL=DBRN&amp;VAR:INDEX=0"}</definedName>
    <definedName name="_2781__FDSAUDITLINK__" hidden="1">{"fdsup://directions/FAT Viewer?action=UPDATE&amp;creator=factset&amp;DYN_ARGS=TRUE&amp;DOC_NAME=FAT:FQL_AUDITING_CLIENT_TEMPLATE.FAT&amp;display_string=Audit&amp;VAR:KEY=FCXIFIFAHG&amp;VAR:QUERY=RkZfUlRfU0ZfVE9UX0dST1NTKFFUUiwwKQ==&amp;WINDOW=FIRST_POPUP&amp;HEIGHT=450&amp;WIDTH=450&amp;START_MA","XIMIZED=FALSE&amp;VAR:CALENDAR=US&amp;VAR:SYMBOL=DBRN&amp;VAR:INDEX=0"}</definedName>
    <definedName name="_2782__FDSAUDITLINK__" hidden="1">{"fdsup://directions/FAT Viewer?action=UPDATE&amp;creator=factset&amp;DYN_ARGS=TRUE&amp;DOC_NAME=FAT:FQL_AUDITING_CLIENT_TEMPLATE.FAT&amp;display_string=Audit&amp;VAR:KEY=XMFIZGVCXS&amp;VAR:QUERY=RkZfUlRfU0ZfVE9UX0dST1NTKFFUUiwtMSk=&amp;WINDOW=FIRST_POPUP&amp;HEIGHT=450&amp;WIDTH=450&amp;START_MA","XIMIZED=FALSE&amp;VAR:CALENDAR=US&amp;VAR:SYMBOL=DBRN&amp;VAR:INDEX=0"}</definedName>
    <definedName name="_2783__FDSAUDITLINK__" hidden="1">{"fdsup://directions/FAT Viewer?action=UPDATE&amp;creator=factset&amp;DYN_ARGS=TRUE&amp;DOC_NAME=FAT:FQL_AUDITING_CLIENT_TEMPLATE.FAT&amp;display_string=Audit&amp;VAR:KEY=TIRMXCDUPO&amp;VAR:QUERY=RkZfUlRfU0ZfVE9UX0dST1NTKFFUUiwtMik=&amp;WINDOW=FIRST_POPUP&amp;HEIGHT=450&amp;WIDTH=450&amp;START_MA","XIMIZED=FALSE&amp;VAR:CALENDAR=US&amp;VAR:SYMBOL=DBRN&amp;VAR:INDEX=0"}</definedName>
    <definedName name="_27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8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8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8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8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8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8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8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8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8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8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9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9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9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9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9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9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9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9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9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9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0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0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0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0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0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0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0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0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0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0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1__FDSAUDITLINK__" hidden="1">{"fdsup://Directions/FactSet Auditing Viewer?action=AUDIT_VALUE&amp;DB=129&amp;ID1=87612E10&amp;VALUEID=01001&amp;SDATE=200604&amp;PERIODTYPE=QTR_STD&amp;window=popup_no_bar&amp;width=385&amp;height=120&amp;START_MAXIMIZED=FALSE&amp;creator=factset&amp;display_string=Audit"}</definedName>
    <definedName name="_31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1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1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1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1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1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1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1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1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1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2__FDSAUDITLINK__" hidden="1">{"fdsup://Directions/FactSet Auditing Viewer?action=AUDIT_VALUE&amp;DB=129&amp;ID1=87612E10&amp;VALUEID=01001&amp;SDATE=200701&amp;PERIODTYPE=QTR_STD&amp;window=popup_no_bar&amp;width=385&amp;height=120&amp;START_MAXIMIZED=FALSE&amp;creator=factset&amp;display_string=Audit"}</definedName>
    <definedName name="_32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2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2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2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2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2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2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2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2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2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3__FDSAUDITLINK__" hidden="1">{"fdsup://Directions/FactSet Auditing Viewer?action=AUDIT_VALUE&amp;DB=129&amp;ID1=87612E10&amp;VALUEID=01001&amp;SDATE=200702&amp;PERIODTYPE=QTR_STD&amp;window=popup_no_bar&amp;width=385&amp;height=120&amp;START_MAXIMIZED=FALSE&amp;creator=factset&amp;display_string=Audit"}</definedName>
    <definedName name="_33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3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3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3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3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3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3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3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3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3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4__FDSAUDITLINK__" hidden="1">{"fdsup://Directions/FactSet Auditing Viewer?action=AUDIT_VALUE&amp;DB=129&amp;ID1=87612E10&amp;VALUEID=01001&amp;SDATE=200703&amp;PERIODTYPE=QTR_STD&amp;window=popup_no_bar&amp;width=385&amp;height=120&amp;START_MAXIMIZED=FALSE&amp;creator=factset&amp;display_string=Audit"}</definedName>
    <definedName name="_34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4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4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4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4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4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4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4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4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4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5__FDSAUDITLINK__" hidden="1">{"fdsup://Directions/FactSet Auditing Viewer?action=AUDIT_VALUE&amp;DB=129&amp;ID1=87612E10&amp;VALUEID=01001&amp;SDATE=200704&amp;PERIODTYPE=QTR_STD&amp;window=popup_no_bar&amp;width=385&amp;height=120&amp;START_MAXIMIZED=FALSE&amp;creator=factset&amp;display_string=Audit"}</definedName>
    <definedName name="_35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5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5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5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5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5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5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5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5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5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6__FDSAUDITLINK__" hidden="1">{"fdsup://Directions/FactSet Auditing Viewer?action=AUDIT_VALUE&amp;DB=129&amp;ID1=87612E10&amp;VALUEID=01001&amp;SDATE=200801&amp;PERIODTYPE=QTR_STD&amp;window=popup_no_bar&amp;width=385&amp;height=120&amp;START_MAXIMIZED=FALSE&amp;creator=factset&amp;display_string=Audit"}</definedName>
    <definedName name="_36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6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6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6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6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6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6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6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6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6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7__FDSAUDITLINK__" hidden="1">{"fdsup://Directions/FactSet Auditing Viewer?action=AUDIT_VALUE&amp;DB=129&amp;ID1=87612E10&amp;VALUEID=01001&amp;SDATE=200802&amp;PERIODTYPE=QTR_STD&amp;window=popup_no_bar&amp;width=385&amp;height=120&amp;START_MAXIMIZED=FALSE&amp;creator=factset&amp;display_string=Audit"}</definedName>
    <definedName name="_37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7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7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7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7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7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7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7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7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7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8__FDSAUDITLINK__" hidden="1">{"fdsup://Directions/FactSet Auditing Viewer?action=AUDIT_VALUE&amp;DB=129&amp;ID1=87612E10&amp;VALUEID=01001&amp;SDATE=200803&amp;PERIODTYPE=QTR_STD&amp;window=popup_no_bar&amp;width=385&amp;height=120&amp;START_MAXIMIZED=FALSE&amp;creator=factset&amp;display_string=Audit"}</definedName>
    <definedName name="_38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8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8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8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8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8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8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8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8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8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9__FDSAUDITLINK__" hidden="1">{"fdsup://Directions/FactSet Auditing Viewer?action=AUDIT_VALUE&amp;DB=129&amp;ID1=87612E10&amp;VALUEID=01001&amp;SDATE=200804&amp;PERIODTYPE=QTR_STD&amp;window=popup_no_bar&amp;width=385&amp;height=120&amp;START_MAXIMIZED=FALSE&amp;creator=factset&amp;display_string=Audit"}</definedName>
    <definedName name="_39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9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9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9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9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9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9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9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9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9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0__FDSAUDITLINK__" hidden="1">{"fdsup://Directions/FactSet Auditing Viewer?action=AUDIT_VALUE&amp;DB=129&amp;ID1=87612E10&amp;VALUEID=01001&amp;SDATE=200902&amp;PERIODTYPE=QTR_STD&amp;window=popup_no_bar&amp;width=385&amp;height=120&amp;START_MAXIMIZED=FALSE&amp;creator=factset&amp;display_string=Audit"}</definedName>
    <definedName name="_40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0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0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0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0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0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0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0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0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0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1__FDSAUDITLINK__" hidden="1">{"fdsup://Directions/FactSet Auditing Viewer?action=AUDIT_VALUE&amp;DB=129&amp;ID1=87612E10&amp;VALUEID=01001&amp;SDATE=200903&amp;PERIODTYPE=QTR_STD&amp;window=popup_no_bar&amp;width=385&amp;height=120&amp;START_MAXIMIZED=FALSE&amp;creator=factset&amp;display_string=Audit"}</definedName>
    <definedName name="_41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1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1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1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1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1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1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1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1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1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2__FDSAUDITLINK__" hidden="1">{"fdsup://Directions/FactSet Auditing Viewer?action=AUDIT_VALUE&amp;DB=129&amp;ID1=05548J10&amp;VALUEID=01001&amp;SDATE=200601&amp;PERIODTYPE=QTR_STD&amp;window=popup_no_bar&amp;width=385&amp;height=120&amp;START_MAXIMIZED=FALSE&amp;creator=factset&amp;display_string=Audit"}</definedName>
    <definedName name="_42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2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2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2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2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2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2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2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2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2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3__FDSAUDITLINK__" hidden="1">{"fdsup://Directions/FactSet Auditing Viewer?action=AUDIT_VALUE&amp;DB=129&amp;ID1=05548J10&amp;VALUEID=01001&amp;SDATE=200602&amp;PERIODTYPE=QTR_STD&amp;window=popup_no_bar&amp;width=385&amp;height=120&amp;START_MAXIMIZED=FALSE&amp;creator=factset&amp;display_string=Audit"}</definedName>
    <definedName name="_43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3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3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3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3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3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3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3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3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3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4__FDSAUDITLINK__" hidden="1">{"fdsup://Directions/FactSet Auditing Viewer?action=AUDIT_VALUE&amp;DB=129&amp;ID1=05548J10&amp;VALUEID=01001&amp;SDATE=200603&amp;PERIODTYPE=QTR_STD&amp;window=popup_no_bar&amp;width=385&amp;height=120&amp;START_MAXIMIZED=FALSE&amp;creator=factset&amp;display_string=Audit"}</definedName>
    <definedName name="_44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4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4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4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4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4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4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4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4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4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5__FDSAUDITLINK__" hidden="1">{"fdsup://Directions/FactSet Auditing Viewer?action=AUDIT_VALUE&amp;DB=129&amp;ID1=05548J10&amp;VALUEID=01001&amp;SDATE=200604&amp;PERIODTYPE=QTR_STD&amp;window=popup_no_bar&amp;width=385&amp;height=120&amp;START_MAXIMIZED=FALSE&amp;creator=factset&amp;display_string=Audit"}</definedName>
    <definedName name="_45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5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5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5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5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5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5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5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5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5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6__FDSAUDITLINK__" hidden="1">{"fdsup://Directions/FactSet Auditing Viewer?action=AUDIT_VALUE&amp;DB=129&amp;ID1=05548J10&amp;VALUEID=01001&amp;SDATE=200701&amp;PERIODTYPE=QTR_STD&amp;window=popup_no_bar&amp;width=385&amp;height=120&amp;START_MAXIMIZED=FALSE&amp;creator=factset&amp;display_string=Audit"}</definedName>
    <definedName name="_46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6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6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6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6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6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6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6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6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6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7__FDSAUDITLINK__" hidden="1">{"fdsup://Directions/FactSet Auditing Viewer?action=AUDIT_VALUE&amp;DB=129&amp;ID1=05548J10&amp;VALUEID=01001&amp;SDATE=200702&amp;PERIODTYPE=QTR_STD&amp;window=popup_no_bar&amp;width=385&amp;height=120&amp;START_MAXIMIZED=FALSE&amp;creator=factset&amp;display_string=Audit"}</definedName>
    <definedName name="_47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7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7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7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7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7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7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7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7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7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8__FDSAUDITLINK__" hidden="1">{"fdsup://Directions/FactSet Auditing Viewer?action=AUDIT_VALUE&amp;DB=129&amp;ID1=05548J10&amp;VALUEID=01001&amp;SDATE=200703&amp;PERIODTYPE=QTR_STD&amp;window=popup_no_bar&amp;width=385&amp;height=120&amp;START_MAXIMIZED=FALSE&amp;creator=factset&amp;display_string=Audit"}</definedName>
    <definedName name="_48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8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8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8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8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8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8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8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8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8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9__FDSAUDITLINK__" hidden="1">{"fdsup://Directions/FactSet Auditing Viewer?action=AUDIT_VALUE&amp;DB=129&amp;ID1=05548J10&amp;VALUEID=01001&amp;SDATE=200704&amp;PERIODTYPE=QTR_STD&amp;window=popup_no_bar&amp;width=385&amp;height=120&amp;START_MAXIMIZED=FALSE&amp;creator=factset&amp;display_string=Audit"}</definedName>
    <definedName name="_49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9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9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9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9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9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9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9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9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9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__123Graph_Aｸﾞﾗﾌ_1" hidden="1">[2]ｾｸﾞﾒﾝﾄ!$E$164:$I$164</definedName>
    <definedName name="_5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0__FDSAUDITLINK__" hidden="1">{"fdsup://Directions/FactSet Auditing Viewer?action=AUDIT_VALUE&amp;DB=129&amp;ID1=05548J10&amp;VALUEID=01001&amp;SDATE=200801&amp;PERIODTYPE=QTR_STD&amp;window=popup_no_bar&amp;width=385&amp;height=120&amp;START_MAXIMIZED=FALSE&amp;creator=factset&amp;display_string=Audit"}</definedName>
    <definedName name="_50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0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0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0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0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0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0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0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0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0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1__FDSAUDITLINK__" hidden="1">{"fdsup://Directions/FactSet Auditing Viewer?action=AUDIT_VALUE&amp;DB=129&amp;ID1=05548J10&amp;VALUEID=01001&amp;SDATE=200802&amp;PERIODTYPE=QTR_STD&amp;window=popup_no_bar&amp;width=385&amp;height=120&amp;START_MAXIMIZED=FALSE&amp;creator=factset&amp;display_string=Audit"}</definedName>
    <definedName name="_51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1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1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1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1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1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1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1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1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1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2__FDSAUDITLINK__" hidden="1">{"fdsup://Directions/FactSet Auditing Viewer?action=AUDIT_VALUE&amp;DB=129&amp;ID1=05548J10&amp;VALUEID=01001&amp;SDATE=200803&amp;PERIODTYPE=QTR_STD&amp;window=popup_no_bar&amp;width=385&amp;height=120&amp;START_MAXIMIZED=FALSE&amp;creator=factset&amp;display_string=Audit"}</definedName>
    <definedName name="_52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2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2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2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2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2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2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2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2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2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3__FDSAUDITLINK__" hidden="1">{"fdsup://Directions/FactSet Auditing Viewer?action=AUDIT_VALUE&amp;DB=129&amp;ID1=05548J10&amp;VALUEID=01001&amp;SDATE=200804&amp;PERIODTYPE=QTR_STD&amp;window=popup_no_bar&amp;width=385&amp;height=120&amp;START_MAXIMIZED=FALSE&amp;creator=factset&amp;display_string=Audit"}</definedName>
    <definedName name="_53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3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3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3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3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3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3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3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3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3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4__FDSAUDITLINK__" hidden="1">{"fdsup://Directions/FactSet Auditing Viewer?action=AUDIT_VALUE&amp;DB=129&amp;ID1=05548J10&amp;VALUEID=01001&amp;SDATE=200901&amp;PERIODTYPE=QTR_STD&amp;window=popup_no_bar&amp;width=385&amp;height=120&amp;START_MAXIMIZED=FALSE&amp;creator=factset&amp;display_string=Audit"}</definedName>
    <definedName name="_54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4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4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4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4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4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4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4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4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4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5__FDSAUDITLINK__" hidden="1">{"fdsup://Directions/FactSet Auditing Viewer?action=AUDIT_VALUE&amp;DB=129&amp;ID1=05548J10&amp;VALUEID=01001&amp;SDATE=200902&amp;PERIODTYPE=QTR_STD&amp;window=popup_no_bar&amp;width=385&amp;height=120&amp;START_MAXIMIZED=FALSE&amp;creator=factset&amp;display_string=Audit"}</definedName>
    <definedName name="_55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5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5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5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5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5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5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5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5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5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6__FDSAUDITLINK__" hidden="1">{"fdsup://Directions/FactSet Auditing Viewer?action=AUDIT_VALUE&amp;DB=129&amp;ID1=05548J10&amp;VALUEID=01001&amp;SDATE=200903&amp;PERIODTYPE=QTR_STD&amp;window=popup_no_bar&amp;width=385&amp;height=120&amp;START_MAXIMIZED=FALSE&amp;creator=factset&amp;display_string=Audit"}</definedName>
    <definedName name="_56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6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6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6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6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6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6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6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6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6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7__FDSAUDITLINK__" hidden="1">{"fdsup://Directions/FactSet Auditing Viewer?action=AUDIT_VALUE&amp;DB=129&amp;ID1=22160K10&amp;VALUEID=01001&amp;SDATE=200602&amp;PERIODTYPE=QTR_STD&amp;window=popup_no_bar&amp;width=385&amp;height=120&amp;START_MAXIMIZED=FALSE&amp;creator=factset&amp;display_string=Audit"}</definedName>
    <definedName name="_57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7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7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7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7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7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7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7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7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7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8__FDSAUDITLINK__" hidden="1">{"fdsup://Directions/FactSet Auditing Viewer?action=AUDIT_VALUE&amp;DB=129&amp;ID1=22160K10&amp;VALUEID=01001&amp;SDATE=200603&amp;PERIODTYPE=QTR_STD&amp;window=popup_no_bar&amp;width=385&amp;height=120&amp;START_MAXIMIZED=FALSE&amp;creator=factset&amp;display_string=Audit"}</definedName>
    <definedName name="_58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8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8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8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8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8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8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8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8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8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9__FDSAUDITLINK__" hidden="1">{"fdsup://Directions/FactSet Auditing Viewer?action=AUDIT_VALUE&amp;DB=129&amp;ID1=22160K10&amp;VALUEID=01001&amp;SDATE=200701&amp;PERIODTYPE=QTR_STD&amp;window=popup_no_bar&amp;width=385&amp;height=120&amp;START_MAXIMIZED=FALSE&amp;creator=factset&amp;display_string=Audit"}</definedName>
    <definedName name="_59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9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9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9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9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9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9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9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9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9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__123Graph_Aｸﾞﾗﾌ_2" hidden="1">[2]単独!$AR$14:$AR$18</definedName>
    <definedName name="_6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0__FDSAUDITLINK__" hidden="1">{"fdsup://Directions/FactSet Auditing Viewer?action=AUDIT_VALUE&amp;DB=129&amp;ID1=22160K10&amp;VALUEID=01001&amp;SDATE=200702&amp;PERIODTYPE=QTR_STD&amp;window=popup_no_bar&amp;width=385&amp;height=120&amp;START_MAXIMIZED=FALSE&amp;creator=factset&amp;display_string=Audit"}</definedName>
    <definedName name="_60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0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0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0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0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0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0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0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0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0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1__FDSAUDITLINK__" hidden="1">{"fdsup://Directions/FactSet Auditing Viewer?action=AUDIT_VALUE&amp;DB=129&amp;ID1=22160K10&amp;VALUEID=01001&amp;SDATE=200703&amp;PERIODTYPE=QTR_STD&amp;window=popup_no_bar&amp;width=385&amp;height=120&amp;START_MAXIMIZED=FALSE&amp;creator=factset&amp;display_string=Audit"}</definedName>
    <definedName name="_61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1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1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1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1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1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1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1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1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1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2__FDSAUDITLINK__" hidden="1">{"fdsup://Directions/FactSet Auditing Viewer?action=AUDIT_VALUE&amp;DB=129&amp;ID1=22160K10&amp;VALUEID=01001&amp;SDATE=200801&amp;PERIODTYPE=QTR_STD&amp;window=popup_no_bar&amp;width=385&amp;height=120&amp;START_MAXIMIZED=FALSE&amp;creator=factset&amp;display_string=Audit"}</definedName>
    <definedName name="_62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2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2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2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2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2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2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2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2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2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3__FDSAUDITLINK__" hidden="1">{"fdsup://Directions/FactSet Auditing Viewer?action=AUDIT_VALUE&amp;DB=129&amp;ID1=22160K10&amp;VALUEID=01001&amp;SDATE=200802&amp;PERIODTYPE=QTR_STD&amp;window=popup_no_bar&amp;width=385&amp;height=120&amp;START_MAXIMIZED=FALSE&amp;creator=factset&amp;display_string=Audit"}</definedName>
    <definedName name="_63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3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3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3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3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3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3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3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3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3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4__FDSAUDITLINK__" hidden="1">{"fdsup://Directions/FactSet Auditing Viewer?action=AUDIT_VALUE&amp;DB=129&amp;ID1=22160K10&amp;VALUEID=01001&amp;SDATE=200803&amp;PERIODTYPE=QTR_STD&amp;window=popup_no_bar&amp;width=385&amp;height=120&amp;START_MAXIMIZED=FALSE&amp;creator=factset&amp;display_string=Audit"}</definedName>
    <definedName name="_64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4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4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4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4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4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4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4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4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4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5__FDSAUDITLINK__" hidden="1">{"fdsup://Directions/FactSet Auditing Viewer?action=AUDIT_VALUE&amp;DB=129&amp;ID1=22160K10&amp;VALUEID=01001&amp;SDATE=200804&amp;PERIODTYPE=QTR_STD&amp;window=popup_no_bar&amp;width=385&amp;height=120&amp;START_MAXIMIZED=FALSE&amp;creator=factset&amp;display_string=Audit"}</definedName>
    <definedName name="_65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5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5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5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5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5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5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5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5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5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6__FDSAUDITLINK__" hidden="1">{"fdsup://Directions/FactSet Auditing Viewer?action=AUDIT_VALUE&amp;DB=129&amp;ID1=22160K10&amp;VALUEID=01001&amp;SDATE=200901&amp;PERIODTYPE=QTR_STD&amp;window=popup_no_bar&amp;width=385&amp;height=120&amp;START_MAXIMIZED=FALSE&amp;creator=factset&amp;display_string=Audit"}</definedName>
    <definedName name="_66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6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6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6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6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6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6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6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6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6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7__FDSAUDITLINK__" hidden="1">{"fdsup://Directions/FactSet Auditing Viewer?action=AUDIT_VALUE&amp;DB=129&amp;ID1=22160K10&amp;VALUEID=01001&amp;SDATE=200902&amp;PERIODTYPE=QTR_STD&amp;window=popup_no_bar&amp;width=385&amp;height=120&amp;START_MAXIMIZED=FALSE&amp;creator=factset&amp;display_string=Audit"}</definedName>
    <definedName name="_67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7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7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7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7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7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7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7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7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7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8__FDSAUDITLINK__" hidden="1">{"fdsup://Directions/FactSet Auditing Viewer?action=AUDIT_VALUE&amp;DB=129&amp;ID1=22160K10&amp;VALUEID=01001&amp;SDATE=200903&amp;PERIODTYPE=QTR_STD&amp;window=popup_no_bar&amp;width=385&amp;height=120&amp;START_MAXIMIZED=FALSE&amp;creator=factset&amp;display_string=Audit"}</definedName>
    <definedName name="_68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8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8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8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8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8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8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8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8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8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9__FDSAUDITLINK__" hidden="1">{"fdsup://Directions/FactSet Auditing Viewer?action=AUDIT_VALUE&amp;DB=129&amp;ID1=25674610&amp;VALUEID=01001&amp;SDATE=200902&amp;PERIODTYPE=QTR_STD&amp;window=popup_no_bar&amp;width=385&amp;height=120&amp;START_MAXIMIZED=FALSE&amp;creator=factset&amp;display_string=Audit"}</definedName>
    <definedName name="_69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9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9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9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9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95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696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697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698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699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7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70__FDSAUDITLINK__" hidden="1">{"fdsup://Directions/FactSet Auditing Viewer?action=AUDIT_VALUE&amp;DB=129&amp;ID1=25674610&amp;VALUEID=01001&amp;SDATE=200901&amp;PERIODTYPE=QTR_STD&amp;window=popup_no_bar&amp;width=385&amp;height=120&amp;START_MAXIMIZED=FALSE&amp;creator=factset&amp;display_string=Audit"}</definedName>
    <definedName name="_700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701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702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703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704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705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706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707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708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709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71__FDSAUDITLINK__" hidden="1">{"fdsup://Directions/FactSet Auditing Viewer?action=AUDIT_VALUE&amp;DB=129&amp;ID1=25674610&amp;VALUEID=01001&amp;SDATE=200804&amp;PERIODTYPE=QTR_STD&amp;window=popup_no_bar&amp;width=385&amp;height=120&amp;START_MAXIMIZED=FALSE&amp;creator=factset&amp;display_string=Audit"}</definedName>
    <definedName name="_710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711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712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713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714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715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716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717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718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719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72__FDSAUDITLINK__" hidden="1">{"fdsup://Directions/FactSet Auditing Viewer?action=AUDIT_VALUE&amp;DB=129&amp;ID1=25674610&amp;VALUEID=01001&amp;SDATE=200803&amp;PERIODTYPE=QTR_STD&amp;window=popup_no_bar&amp;width=385&amp;height=120&amp;START_MAXIMIZED=FALSE&amp;creator=factset&amp;display_string=Audit"}</definedName>
    <definedName name="_720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721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722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723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724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725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726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727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728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729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73__FDSAUDITLINK__" hidden="1">{"fdsup://Directions/FactSet Auditing Viewer?action=AUDIT_VALUE&amp;DB=129&amp;ID1=25674610&amp;VALUEID=01001&amp;SDATE=200802&amp;PERIODTYPE=QTR_STD&amp;window=popup_no_bar&amp;width=385&amp;height=120&amp;START_MAXIMIZED=FALSE&amp;creator=factset&amp;display_string=Audit"}</definedName>
    <definedName name="_730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731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732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733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734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735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736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737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738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739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74__FDSAUDITLINK__" hidden="1">{"fdsup://Directions/FactSet Auditing Viewer?action=AUDIT_VALUE&amp;DB=129&amp;ID1=25674610&amp;VALUEID=01001&amp;SDATE=200801&amp;PERIODTYPE=QTR_STD&amp;window=popup_no_bar&amp;width=385&amp;height=120&amp;START_MAXIMIZED=FALSE&amp;creator=factset&amp;display_string=Audit"}</definedName>
    <definedName name="_740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741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742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743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744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745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746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747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748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749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75__FDSAUDITLINK__" hidden="1">{"fdsup://Directions/FactSet Auditing Viewer?action=AUDIT_VALUE&amp;DB=129&amp;ID1=25674610&amp;VALUEID=01001&amp;SDATE=200704&amp;PERIODTYPE=QTR_STD&amp;window=popup_no_bar&amp;width=385&amp;height=120&amp;START_MAXIMIZED=FALSE&amp;creator=factset&amp;display_string=Audit"}</definedName>
    <definedName name="_750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751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752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753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754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755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756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757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758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759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76__FDSAUDITLINK__" hidden="1">{"fdsup://Directions/FactSet Auditing Viewer?action=AUDIT_VALUE&amp;DB=129&amp;ID1=25674610&amp;VALUEID=01001&amp;SDATE=200703&amp;PERIODTYPE=QTR_STD&amp;window=popup_no_bar&amp;width=385&amp;height=120&amp;START_MAXIMIZED=FALSE&amp;creator=factset&amp;display_string=Audit"}</definedName>
    <definedName name="_760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761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762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763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764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765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766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767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768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769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77__FDSAUDITLINK__" hidden="1">{"fdsup://Directions/FactSet Auditing Viewer?action=AUDIT_VALUE&amp;DB=129&amp;ID1=25674610&amp;VALUEID=01001&amp;SDATE=200702&amp;PERIODTYPE=QTR_STD&amp;window=popup_no_bar&amp;width=385&amp;height=120&amp;START_MAXIMIZED=FALSE&amp;creator=factset&amp;display_string=Audit"}</definedName>
    <definedName name="_770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771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772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773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774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775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776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777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778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779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78__FDSAUDITLINK__" hidden="1">{"fdsup://Directions/FactSet Auditing Viewer?action=AUDIT_VALUE&amp;DB=129&amp;ID1=25674610&amp;VALUEID=01001&amp;SDATE=200701&amp;PERIODTYPE=QTR_STD&amp;window=popup_no_bar&amp;width=385&amp;height=120&amp;START_MAXIMIZED=FALSE&amp;creator=factset&amp;display_string=Audit"}</definedName>
    <definedName name="_780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781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782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783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784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785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786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787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788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789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79__FDSAUDITLINK__" hidden="1">{"fdsup://Directions/FactSet Auditing Viewer?action=AUDIT_VALUE&amp;DB=129&amp;ID1=25674610&amp;VALUEID=01001&amp;SDATE=200604&amp;PERIODTYPE=QTR_STD&amp;window=popup_no_bar&amp;width=385&amp;height=120&amp;START_MAXIMIZED=FALSE&amp;creator=factset&amp;display_string=Audit"}</definedName>
    <definedName name="_790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791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792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793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794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795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796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797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798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799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8__123Graph_Bｸﾞﾗﾌ_1" hidden="1">[2]ｾｸﾞﾒﾝﾄ!$E$165:$I$165</definedName>
    <definedName name="_8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80__FDSAUDITLINK__" hidden="1">{"fdsup://Directions/FactSet Auditing Viewer?action=AUDIT_VALUE&amp;DB=129&amp;ID1=25674610&amp;VALUEID=01001&amp;SDATE=200603&amp;PERIODTYPE=QTR_STD&amp;window=popup_no_bar&amp;width=385&amp;height=120&amp;START_MAXIMIZED=FALSE&amp;creator=factset&amp;display_string=Audit"}</definedName>
    <definedName name="_800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801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802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803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804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805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806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807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808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809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81__FDSAUDITLINK__" hidden="1">{"fdsup://Directions/FactSet Auditing Viewer?action=AUDIT_VALUE&amp;DB=129&amp;ID1=25674610&amp;VALUEID=01001&amp;SDATE=200602&amp;PERIODTYPE=QTR_STD&amp;window=popup_no_bar&amp;width=385&amp;height=120&amp;START_MAXIMIZED=FALSE&amp;creator=factset&amp;display_string=Audit"}</definedName>
    <definedName name="_810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811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812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813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814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815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816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817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818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819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82__FDSAUDITLINK__" hidden="1">{"fdsup://Directions/FactSet Auditing Viewer?action=AUDIT_VALUE&amp;DB=129&amp;ID1=25667710&amp;VALUEID=01001&amp;SDATE=200903&amp;PERIODTYPE=QTR_STD&amp;window=popup_no_bar&amp;width=385&amp;height=120&amp;START_MAXIMIZED=FALSE&amp;creator=factset&amp;display_string=Audit"}</definedName>
    <definedName name="_820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821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822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823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824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825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826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827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828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829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83__FDSAUDITLINK__" hidden="1">{"fdsup://Directions/FactSet Auditing Viewer?action=AUDIT_VALUE&amp;DB=129&amp;ID1=25667710&amp;VALUEID=01001&amp;SDATE=200902&amp;PERIODTYPE=QTR_STD&amp;window=popup_no_bar&amp;width=385&amp;height=120&amp;START_MAXIMIZED=FALSE&amp;creator=factset&amp;display_string=Audit"}</definedName>
    <definedName name="_830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831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832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833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834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835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836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837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838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839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84__FDSAUDITLINK__" hidden="1">{"fdsup://Directions/FactSet Auditing Viewer?action=AUDIT_VALUE&amp;DB=129&amp;ID1=25667710&amp;VALUEID=01001&amp;SDATE=200901&amp;PERIODTYPE=QTR_STD&amp;window=popup_no_bar&amp;width=385&amp;height=120&amp;START_MAXIMIZED=FALSE&amp;creator=factset&amp;display_string=Audit"}</definedName>
    <definedName name="_840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841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842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843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844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845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846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847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848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849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85__FDSAUDITLINK__" hidden="1">{"fdsup://Directions/FactSet Auditing Viewer?action=AUDIT_VALUE&amp;DB=129&amp;ID1=25667710&amp;VALUEID=01001&amp;SDATE=200803&amp;PERIODTYPE=QTR_STD&amp;window=popup_no_bar&amp;width=385&amp;height=120&amp;START_MAXIMIZED=FALSE&amp;creator=factset&amp;display_string=Audit"}</definedName>
    <definedName name="_850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851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852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853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854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855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856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857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858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859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86__FDSAUDITLINK__" hidden="1">{"fdsup://Directions/FactSet Auditing Viewer?action=AUDIT_VALUE&amp;DB=129&amp;ID1=25667710&amp;VALUEID=01001&amp;SDATE=200802&amp;PERIODTYPE=QTR_STD&amp;window=popup_no_bar&amp;width=385&amp;height=120&amp;START_MAXIMIZED=FALSE&amp;creator=factset&amp;display_string=Audit"}</definedName>
    <definedName name="_860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861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862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863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864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865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866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867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868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869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87__FDSAUDITLINK__" hidden="1">{"fdsup://Directions/FactSet Auditing Viewer?action=AUDIT_VALUE&amp;DB=129&amp;ID1=25667710&amp;VALUEID=01001&amp;SDATE=200801&amp;PERIODTYPE=QTR_STD&amp;window=popup_no_bar&amp;width=385&amp;height=120&amp;START_MAXIMIZED=FALSE&amp;creator=factset&amp;display_string=Audit"}</definedName>
    <definedName name="_870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871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872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873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874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875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876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877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878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879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88__FDSAUDITLINK__" hidden="1">{"fdsup://Directions/FactSet Auditing Viewer?action=AUDIT_VALUE&amp;DB=129&amp;ID1=25667710&amp;VALUEID=01001&amp;SDATE=200701&amp;PERIODTYPE=QTR_STD&amp;window=popup_no_bar&amp;width=385&amp;height=120&amp;START_MAXIMIZED=FALSE&amp;creator=factset&amp;display_string=Audit"}</definedName>
    <definedName name="_880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881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882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883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884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885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886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887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888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889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89__FDSAUDITLINK__" hidden="1">{"fdsup://Directions/FactSet Auditing Viewer?action=AUDIT_VALUE&amp;DB=129&amp;ID1=25667710&amp;VALUEID=01001&amp;SDATE=200603&amp;PERIODTYPE=QTR_STD&amp;window=popup_no_bar&amp;width=385&amp;height=120&amp;START_MAXIMIZED=FALSE&amp;creator=factset&amp;display_string=Audit"}</definedName>
    <definedName name="_890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891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892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893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894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895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896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897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898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899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9__123Graph_Dｸﾞﾗﾌ_1" hidden="1">[2]ｾｸﾞﾒﾝﾄ!$E$167:$I$167</definedName>
    <definedName name="_9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90__FDSAUDITLINK__" hidden="1">{"fdsup://Directions/FactSet Auditing Viewer?action=AUDIT_VALUE&amp;DB=129&amp;ID1=25667710&amp;VALUEID=01001&amp;SDATE=200602&amp;PERIODTYPE=QTR_STD&amp;window=popup_no_bar&amp;width=385&amp;height=120&amp;START_MAXIMIZED=FALSE&amp;creator=factset&amp;display_string=Audit"}</definedName>
    <definedName name="_900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901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902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903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904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905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906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907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908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909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91__FDSAUDITLINK__" hidden="1">{"fdsup://Directions/FactSet Auditing Viewer?action=AUDIT_VALUE&amp;DB=129&amp;ID1=25667710&amp;VALUEID=01001&amp;SDATE=200601&amp;PERIODTYPE=QTR_STD&amp;window=popup_no_bar&amp;width=385&amp;height=120&amp;START_MAXIMIZED=FALSE&amp;creator=factset&amp;display_string=Audit"}</definedName>
    <definedName name="_910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911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912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913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914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915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916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917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918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919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92__FDSAUDITLINK__" hidden="1">{"fdsup://Directions/FactSet Auditing Viewer?action=AUDIT_VALUE&amp;DB=129&amp;ID1=07589610&amp;VALUEID=01001&amp;SDATE=200903&amp;PERIODTYPE=QTR_STD&amp;window=popup_no_bar&amp;width=385&amp;height=120&amp;START_MAXIMIZED=FALSE&amp;creator=factset&amp;display_string=Audit"}</definedName>
    <definedName name="_920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921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922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923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924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925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926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927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928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929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93__FDSAUDITLINK__" hidden="1">{"fdsup://Directions/FactSet Auditing Viewer?action=AUDIT_VALUE&amp;DB=129&amp;ID1=07589610&amp;VALUEID=01001&amp;SDATE=200902&amp;PERIODTYPE=QTR_STD&amp;window=popup_no_bar&amp;width=385&amp;height=120&amp;START_MAXIMIZED=FALSE&amp;creator=factset&amp;display_string=Audit"}</definedName>
    <definedName name="_930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931__FDSAUDITLINK__" hidden="1">{"fdsup://directions/FAT Viewer?action=UPDATE&amp;creator=factset&amp;DYN_ARGS=TRUE&amp;DOC_NAME=FAT:FQL_AUDITING_CLIENT_TEMPLATE.FAT&amp;display_string=Audit&amp;VAR:KEY=TKVMRALGPI&amp;VAR:QUERY=RkZfUlRfU0ZfVE9UX0dST1NTKFFUUiwtMTYp&amp;WINDOW=FIRST_POPUP&amp;HEIGHT=450&amp;WIDTH=450&amp;START_MA","XIMIZED=FALSE&amp;VAR:CALENDAR=US&amp;VAR:SYMBOL=GYMB&amp;VAR:INDEX=0"}</definedName>
    <definedName name="_932__FDSAUDITLINK__" hidden="1">{"fdsup://directions/FAT Viewer?action=UPDATE&amp;creator=factset&amp;DYN_ARGS=TRUE&amp;DOC_NAME=FAT:FQL_AUDITING_CLIENT_TEMPLATE.FAT&amp;display_string=Audit&amp;VAR:KEY=XWBCDMJGPU&amp;VAR:QUERY=RkZfUlRfU0ZfVE9UX0dST1NTKFFUUiwtMTUp&amp;WINDOW=FIRST_POPUP&amp;HEIGHT=450&amp;WIDTH=450&amp;START_MA","XIMIZED=FALSE&amp;VAR:CALENDAR=US&amp;VAR:SYMBOL=GYMB&amp;VAR:INDEX=0"}</definedName>
    <definedName name="_933__FDSAUDITLINK__" hidden="1">{"fdsup://directions/FAT Viewer?action=UPDATE&amp;creator=factset&amp;DYN_ARGS=TRUE&amp;DOC_NAME=FAT:FQL_AUDITING_CLIENT_TEMPLATE.FAT&amp;display_string=Audit&amp;VAR:KEY=JENWXOZCJS&amp;VAR:QUERY=RkZfUlRfU0ZfVE9UX0dST1NTKFFUUiwtMTQp&amp;WINDOW=FIRST_POPUP&amp;HEIGHT=450&amp;WIDTH=450&amp;START_MA","XIMIZED=FALSE&amp;VAR:CALENDAR=US&amp;VAR:SYMBOL=GYMB&amp;VAR:INDEX=0"}</definedName>
    <definedName name="_934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935__FDSAUDITLINK__" hidden="1">{"fdsup://directions/FAT Viewer?action=UPDATE&amp;creator=factset&amp;DYN_ARGS=TRUE&amp;DOC_NAME=FAT:FQL_AUDITING_CLIENT_TEMPLATE.FAT&amp;display_string=Audit&amp;VAR:KEY=DWXWHUPIHW&amp;VAR:QUERY=RkZfUlRfU0ZfVE9UX0dST1NTKFFUUiwtMTIp&amp;WINDOW=FIRST_POPUP&amp;HEIGHT=450&amp;WIDTH=450&amp;START_MA","XIMIZED=FALSE&amp;VAR:CALENDAR=US&amp;VAR:SYMBOL=GYMB&amp;VAR:INDEX=0"}</definedName>
    <definedName name="_936__FDSAUDITLINK__" hidden="1">{"fdsup://directions/FAT Viewer?action=UPDATE&amp;creator=factset&amp;DYN_ARGS=TRUE&amp;DOC_NAME=FAT:FQL_AUDITING_CLIENT_TEMPLATE.FAT&amp;display_string=Audit&amp;VAR:KEY=NQVAXKPMVA&amp;VAR:QUERY=RkZfUlRfU0ZfVE9UX0dST1NTKFFUUiwtMTEp&amp;WINDOW=FIRST_POPUP&amp;HEIGHT=450&amp;WIDTH=450&amp;START_MA","XIMIZED=FALSE&amp;VAR:CALENDAR=US&amp;VAR:SYMBOL=GYMB&amp;VAR:INDEX=0"}</definedName>
    <definedName name="_937__FDSAUDITLINK__" hidden="1">{"fdsup://directions/FAT Viewer?action=UPDATE&amp;creator=factset&amp;DYN_ARGS=TRUE&amp;DOC_NAME=FAT:FQL_AUDITING_CLIENT_TEMPLATE.FAT&amp;display_string=Audit&amp;VAR:KEY=ZONMZAPSJI&amp;VAR:QUERY=RkZfUlRfU0ZfVE9UX0dST1NTKFFUUiwtMTAp&amp;WINDOW=FIRST_POPUP&amp;HEIGHT=450&amp;WIDTH=450&amp;START_MA","XIMIZED=FALSE&amp;VAR:CALENDAR=US&amp;VAR:SYMBOL=GYMB&amp;VAR:INDEX=0"}</definedName>
    <definedName name="_938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939__FDSAUDITLINK__" hidden="1">{"fdsup://directions/FAT Viewer?action=UPDATE&amp;creator=factset&amp;DYN_ARGS=TRUE&amp;DOC_NAME=FAT:FQL_AUDITING_CLIENT_TEMPLATE.FAT&amp;display_string=Audit&amp;VAR:KEY=TSDWNSLQPS&amp;VAR:QUERY=RkZfUlRfU0ZfVE9UX0dST1NTKFFUUiwtOCk=&amp;WINDOW=FIRST_POPUP&amp;HEIGHT=450&amp;WIDTH=450&amp;START_MA","XIMIZED=FALSE&amp;VAR:CALENDAR=US&amp;VAR:SYMBOL=GYMB&amp;VAR:INDEX=0"}</definedName>
    <definedName name="_94__FDSAUDITLINK__" hidden="1">{"fdsup://Directions/FactSet Auditing Viewer?action=AUDIT_VALUE&amp;DB=129&amp;ID1=07589610&amp;VALUEID=01001&amp;SDATE=200901&amp;PERIODTYPE=QTR_STD&amp;window=popup_no_bar&amp;width=385&amp;height=120&amp;START_MAXIMIZED=FALSE&amp;creator=factset&amp;display_string=Audit"}</definedName>
    <definedName name="_940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941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942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943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944__FDSAUDITLINK__" hidden="1">{"fdsup://directions/FAT Viewer?action=UPDATE&amp;creator=factset&amp;DYN_ARGS=TRUE&amp;DOC_NAME=FAT:FQL_AUDITING_CLIENT_TEMPLATE.FAT&amp;display_string=Audit&amp;VAR:KEY=VSNOZWVYLU&amp;VAR:QUERY=RkZfUlRfU0ZfVE9UX0dST1NTKFFUUiwtMyk=&amp;WINDOW=FIRST_POPUP&amp;HEIGHT=450&amp;WIDTH=450&amp;START_MA","XIMIZED=FALSE&amp;VAR:CALENDAR=US&amp;VAR:SYMBOL=GYMB&amp;VAR:INDEX=0"}</definedName>
    <definedName name="_945__FDSAUDITLINK__" hidden="1">{"fdsup://directions/FAT Viewer?action=UPDATE&amp;creator=factset&amp;DYN_ARGS=TRUE&amp;DOC_NAME=FAT:FQL_AUDITING_CLIENT_TEMPLATE.FAT&amp;display_string=Audit&amp;VAR:KEY=PKPWPYPSJW&amp;VAR:QUERY=RkZfUlRfU0ZfVE9UX0dST1NTKFFUUiwtMik=&amp;WINDOW=FIRST_POPUP&amp;HEIGHT=450&amp;WIDTH=450&amp;START_MA","XIMIZED=FALSE&amp;VAR:CALENDAR=US&amp;VAR:SYMBOL=GYMB&amp;VAR:INDEX=0"}</definedName>
    <definedName name="_946__FDSAUDITLINK__" hidden="1">{"fdsup://directions/FAT Viewer?action=UPDATE&amp;creator=factset&amp;DYN_ARGS=TRUE&amp;DOC_NAME=FAT:FQL_AUDITING_CLIENT_TEMPLATE.FAT&amp;display_string=Audit&amp;VAR:KEY=XSVCHMLSHM&amp;VAR:QUERY=RkZfUlRfU0ZfVE9UX0dST1NTKFFUUiwtMSk=&amp;WINDOW=FIRST_POPUP&amp;HEIGHT=450&amp;WIDTH=450&amp;START_MA","XIMIZED=FALSE&amp;VAR:CALENDAR=US&amp;VAR:SYMBOL=GYMB&amp;VAR:INDEX=0"}</definedName>
    <definedName name="_947__FDSAUDITLINK__" hidden="1">{"fdsup://directions/FAT Viewer?action=UPDATE&amp;creator=factset&amp;DYN_ARGS=TRUE&amp;DOC_NAME=FAT:FQL_AUDITING_CLIENT_TEMPLATE.FAT&amp;display_string=Audit&amp;VAR:KEY=DYNCLOXCRA&amp;VAR:QUERY=RkZfUlRfU0ZfVE9UX0dST1NTKFFUUiwwKQ==&amp;WINDOW=FIRST_POPUP&amp;HEIGHT=450&amp;WIDTH=450&amp;START_MA","XIMIZED=FALSE&amp;VAR:CALENDAR=US&amp;VAR:SYMBOL=GYMB&amp;VAR:INDEX=0"}</definedName>
    <definedName name="_948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949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95__FDSAUDITLINK__" hidden="1">{"fdsup://Directions/FactSet Auditing Viewer?action=AUDIT_VALUE&amp;DB=129&amp;ID1=07589610&amp;VALUEID=01001&amp;SDATE=200804&amp;PERIODTYPE=QTR_STD&amp;window=popup_no_bar&amp;width=385&amp;height=120&amp;START_MAXIMIZED=FALSE&amp;creator=factset&amp;display_string=Audit"}</definedName>
    <definedName name="_950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951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952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953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954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955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956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957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958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959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96__FDSAUDITLINK__" hidden="1">{"fdsup://Directions/FactSet Auditing Viewer?action=AUDIT_VALUE&amp;DB=129&amp;ID1=07589610&amp;VALUEID=01001&amp;SDATE=200803&amp;PERIODTYPE=QTR_STD&amp;window=popup_no_bar&amp;width=385&amp;height=120&amp;START_MAXIMIZED=FALSE&amp;creator=factset&amp;display_string=Audit"}</definedName>
    <definedName name="_960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961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962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963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964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965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966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967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968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969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97__FDSAUDITLINK__" hidden="1">{"fdsup://Directions/FactSet Auditing Viewer?action=AUDIT_VALUE&amp;DB=129&amp;ID1=07589610&amp;VALUEID=01001&amp;SDATE=200802&amp;PERIODTYPE=QTR_STD&amp;window=popup_no_bar&amp;width=385&amp;height=120&amp;START_MAXIMIZED=FALSE&amp;creator=factset&amp;display_string=Audit"}</definedName>
    <definedName name="_970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971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972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973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974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975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976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977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978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979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98__FDSAUDITLINK__" hidden="1">{"fdsup://Directions/FactSet Auditing Viewer?action=AUDIT_VALUE&amp;DB=129&amp;ID1=07589610&amp;VALUEID=01001&amp;SDATE=200801&amp;PERIODTYPE=QTR_STD&amp;window=popup_no_bar&amp;width=385&amp;height=120&amp;START_MAXIMIZED=FALSE&amp;creator=factset&amp;display_string=Audit"}</definedName>
    <definedName name="_980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981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982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983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984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985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986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987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988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989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99__FDSAUDITLINK__" hidden="1">{"fdsup://Directions/FactSet Auditing Viewer?action=AUDIT_VALUE&amp;DB=129&amp;ID1=07589610&amp;VALUEID=01001&amp;SDATE=200703&amp;PERIODTYPE=QTR_STD&amp;window=popup_no_bar&amp;width=385&amp;height=120&amp;START_MAXIMIZED=FALSE&amp;creator=factset&amp;display_string=Audit"}</definedName>
    <definedName name="_990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991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992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993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994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995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996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997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998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999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bdm.02E29E7B1053433EA3CCCBE4E5141596.edm" hidden="1">[3]Sheet1!$A:$IV</definedName>
    <definedName name="_bdm.09E5C45C421440A98E7F0AFFA019861E.edm" hidden="1">'[4]Fig16&amp;17.Store Closings'!$A:$IV</definedName>
    <definedName name="_bdm.0A2F11DA94EF47F4ADD86D073DA8EE13.edm" hidden="1">'[5]LTD Variance Chart Data'!$A:$IV</definedName>
    <definedName name="_bdm.0C4E7E1C4DE943AB9262F2D1C3D8FCB9.edm" hidden="1">[4]Fig12.Opportunities!$A:$IV</definedName>
    <definedName name="_bdm.186193C0C6844AB18E99154BE239556B.edm" hidden="1" xml:space="preserve">                  '[6]Scenario Inputs'!$A:$IV</definedName>
    <definedName name="_bdm.1AB20FDD67594943AEC35BDDB68AB0DB.edm" hidden="1">'[4]Fig6.EBIT Rank'!$A:$IV</definedName>
    <definedName name="_bdm.1D8CE2C45CB1434C98B4307C73C41BB3.edm" hidden="1" xml:space="preserve">                  '[6]Scenario Inputs'!$A:$IV</definedName>
    <definedName name="_bdm.1DF4B3E45DCE4C2A9D635C38C907064B.edm" hidden="1">[6]LIZ!$A:$IV</definedName>
    <definedName name="_bdm.239033D1CBDF4B34B065E13D4FA9D589.edm" hidden="1">'[5]COH Variance Chart Data'!$A:$IV</definedName>
    <definedName name="_bdm.240E5CC7D1A3433BA930B1D7FED87980.edm" hidden="1" xml:space="preserve">                    '[6]Scenario Inputs'!$A:$IV</definedName>
    <definedName name="_bdm.261112BAE8204F8280374C78A1E02552.edm" hidden="1" xml:space="preserve"> [7]C1000!$A:$IV</definedName>
    <definedName name="_bdm.297446E2985E45DCA44E1E58B339ED35.edm" hidden="1" xml:space="preserve">                                    '[6]Scenario Inputs'!$A:$IV</definedName>
    <definedName name="_bdm.2DDFFB15C42A449AADB01F909D897844.edm" hidden="1" xml:space="preserve">                                    '[6]Scenario Inputs'!$A:$IV</definedName>
    <definedName name="_bdm.36700029454B46269809EAC509E70B0B.edm" hidden="1" xml:space="preserve">                                    '[6]Scenario Inputs'!$A:$IV</definedName>
    <definedName name="_bdm.38FC3AFFD8DF49F6B1CB73376921CBB3.edm" hidden="1">'[8]Coverage Universe Comp'!$A:$IV</definedName>
    <definedName name="_bdm.3FD6FD19527E4153A3DE12325D390C3B.edm" hidden="1">'[4]Fig2-5.MasterTable'!$A:$IV</definedName>
    <definedName name="_bdm.4176AC4C677F4FBC8C99A951BC121C6E.edm" hidden="1" xml:space="preserve">                                    '[6]Scenario Inputs'!$A:$IV</definedName>
    <definedName name="_bdm.42F67CCC3C1C45638B5EC98256E90947.edm" hidden="1">'[9]Good 12-00 (2)'!$A:$IV</definedName>
    <definedName name="_bdm.43FA48142E7E4CED84E86C6CCE4A15D5.edm" hidden="1">'[5]M Variance Chart Data'!$A:$IV</definedName>
    <definedName name="_bdm.45F879C38D3A4812B27EA401BBDB19F7.edm" hidden="1">'[4]Cover Graphic'!$A:$IV</definedName>
    <definedName name="_bdm.46D56600DB7840728F138544F8E425DB.edm" hidden="1">'[9]Good 11-36'!$A:$IV</definedName>
    <definedName name="_bdm.4B99839495EE4678957BB1F6E1667DD8.edm" hidden="1">'[4]RentExp Lvg'!$A:$IV</definedName>
    <definedName name="_bdm.5F55189316304861B1E09137E617846B.edm" hidden="1" xml:space="preserve">                  '[6]Scenario Inputs'!$A:$IV</definedName>
    <definedName name="_bdm.60A1016E4A5045B0B4BE42FB21AAF6D6.edm" hidden="1">'[9]Good 11-50'!$A:$IV</definedName>
    <definedName name="_bdm.7087D4AB48F64E19BD2C8BDFB7209C3F.edm" hidden="1" xml:space="preserve">                  '[6]Scenario Inputs'!$A:$IV</definedName>
    <definedName name="_bdm.72D868114C7B455FB2DD8E1894509A24.edm" hidden="1" xml:space="preserve">                  '[6]Scenario Inputs'!$A:$IV</definedName>
    <definedName name="_bdm.78E186D6F3BA4233AC085AA5F7D279CF.edm" hidden="1">'[4]Fig15&amp;18.StoreOpeningHist-NEW'!$A:$IV</definedName>
    <definedName name="_bdm.828EF922B3BF49D5A4BB507669E667E8.edm" hidden="1">'[6]UA Drivers'!$IV$1</definedName>
    <definedName name="_bdm.84245E63505C4AFEAADE86E343E612C8.edm" hidden="1">'[8]Earnings Snapshot'!$A:$IV</definedName>
    <definedName name="_bdm.8687948BCD8742E18EA9224162598EBE.edm" hidden="1">'[4]Fig19&amp;20.ScatterPlot'!$A:$IV</definedName>
    <definedName name="_bdm.88BE57C8E16441C3844ACB2DCE4DA074.edm" hidden="1" xml:space="preserve">                  '[6]Scenario Inputs'!$A:$IV</definedName>
    <definedName name="_bdm.97AD0DAB1241435BA1C94F8670EB0502.edm" hidden="1">'[4]Fig8-10 bps EPS Sensitivity'!$A:$IV</definedName>
    <definedName name="_bdm.9A0F9A3877A9479AB7B77DDF59A937D6.edm" hidden="1" xml:space="preserve">                  '[6]Scenario Inputs'!$A:$IV</definedName>
    <definedName name="_bdm.9EB8FE0446E347D4B59325F189FA9F31.edm" hidden="1" xml:space="preserve">                  '[6]Scenario Inputs'!$A:$IV</definedName>
    <definedName name="_bdm.A2D0F3FA285649B7BDDF87BD9C153DE1.edm" hidden="1" xml:space="preserve">                                    '[6]Scenario Inputs'!$A:$IV</definedName>
    <definedName name="_bdm.A339904D6D0347AA9B2B187BC3316370.edm" hidden="1">[10]JWN!$A:$IV</definedName>
    <definedName name="_bdm.A772A7E12EE949A2B2ED88CF7248DD14.edm" hidden="1" xml:space="preserve">                                    '[6]Scenario Inputs'!$A:$IV</definedName>
    <definedName name="_bdm.AF41298052B5438BB5863CF33374793F.edm" hidden="1">[10]JCP!$A:$IV</definedName>
    <definedName name="_bdm.B232A23EC303428E9F3B15E3162F750B.edm" hidden="1">[5]Tables!$A:$IV</definedName>
    <definedName name="_bdm.B8E7F8D146B34C039CAD519CB46A2D63.edm" hidden="1" xml:space="preserve">                                    '[6]Scenario Inputs'!$A:$IV</definedName>
    <definedName name="_bdm.BECDFB299BC8487081328254380CF1F6.edm" hidden="1">'[4]Fig13.Leverage Rank'!$A:$IV</definedName>
    <definedName name="_bdm.C7B678A8788343FAB6E99310D0509373.edm" hidden="1">'[4]Fig14.Bps Lvg. Dlvg.'!$A:$IV</definedName>
    <definedName name="_bdm.C7C6FBA36F39444B8BCEC128D5B7F931.edm" hidden="1">'[9]Sheet3 (5)'!$A:$IV</definedName>
    <definedName name="_bdm.D49DCDB7FF224CB1BC63C5534A11A85A.edm" hidden="1" xml:space="preserve">                  '[6]Scenario Inputs'!$A:$IV</definedName>
    <definedName name="_bdm.E0B0E8A77D684FB58AA9469766A75613.edm" hidden="1">'[8]Relative Risk Reward Chart'!$A:$IV</definedName>
    <definedName name="_bdm.E12FB90E97504D9FB610451A2A55636E.edm" hidden="1">'[8]For 2010 Report - misc calc'!$A:$IV</definedName>
    <definedName name="_bdm.EAD1FD3B1C5B4B008EDB79939D83C388.edm" hidden="1" xml:space="preserve">                  '[6]Scenario Inputs'!$A:$IV</definedName>
    <definedName name="_bdm.EF325A886A3842DD8CC90984D4D28C9C.edm" hidden="1">[11]Bear_to_Bull_Data!$A:$IV</definedName>
    <definedName name="_bdm.F30073110F694A8597AF2E62515D28EF.edm" hidden="1">[11]Value_of_Growth_Data!$A:$IV</definedName>
    <definedName name="_bdm.FB89892EBDAE4620819709C7B13FFB90.edm" hidden="1">'[11]Comparative_Risk-Reward_Data'!$A:$IV</definedName>
    <definedName name="_bdm.FC5CA615F4824D84868898D9DFAE1BAC.edm" hidden="1" xml:space="preserve">                  '[6]Scenario Inputs'!$A:$IV</definedName>
    <definedName name="_bdm.FE2CE930D155417CB1C4D24A021793F8.edm" hidden="1">'[5]TJX Variance Chart Data'!$A:$IV</definedName>
    <definedName name="_Order1" localSheetId="16">0</definedName>
    <definedName name="_Order1">255</definedName>
    <definedName name="a">{"Client Name or Project Name"}</definedName>
    <definedName name="AAB_GSPPG">"AAB_Goldman Sachs PPG Chart Utilities 1.0g"</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ct_Price" localSheetId="3">OFFSET(Date_Range,0,1,,1)</definedName>
    <definedName name="Act_Price" localSheetId="8">OFFSET(Date_Range,0,1,,1)</definedName>
    <definedName name="Act_Price">OFFSET(Date_Range,0,1,,1)</definedName>
    <definedName name="AdditionalInstructions">IndexInformation!$B$42</definedName>
    <definedName name="Address" localSheetId="0">ImportantDisclosures!$A$2:$A$2</definedName>
    <definedName name="adfda">{"Client Name or Project Name"}</definedName>
    <definedName name="ANA" localSheetId="19">ModPubIndex!$A$7</definedName>
    <definedName name="ann_is_short">[12]Income!$C$1:$H$105</definedName>
    <definedName name="anscount">1</definedName>
    <definedName name="Authors" localSheetId="0">ImportantDisclosures!$A$7</definedName>
    <definedName name="Authors" localSheetId="18">IndexInformation!$B$18</definedName>
    <definedName name="Avg">"Avg"</definedName>
    <definedName name="BRO" localSheetId="19">ModPubIndex!$A$1</definedName>
    <definedName name="comps_1">[12]Income!$A$119:$IV$119</definedName>
    <definedName name="comps_2">[12]Income!$A$120:$IV$120</definedName>
    <definedName name="comps_3">[12]Income!$A$121:$IV$121</definedName>
    <definedName name="CopyrightStamp">ImportantDisclosures!$A$27</definedName>
    <definedName name="COU" localSheetId="19">ModPubIndex!$A$5</definedName>
    <definedName name="CQEnd" localSheetId="18">IndexInformation!$B$31</definedName>
    <definedName name="Currency" localSheetId="18">IndexInformation!$B$24</definedName>
    <definedName name="CurrentStockPrice" localSheetId="18">IndexInformation!$B$23</definedName>
    <definedName name="CurrQtrEPS" localSheetId="18">IndexInformation!$B$29</definedName>
    <definedName name="CurrYearEPS" localSheetId="18">IndexInformation!$B$11</definedName>
    <definedName name="CurrYearTotalRevenue" localSheetId="18">IndexInformation!$B$10</definedName>
    <definedName name="CurrYearTotalRevenueActual" localSheetId="18">IndexInformation!$B$32</definedName>
    <definedName name="CUSIP" localSheetId="18">IndexInformation!$B$20</definedName>
    <definedName name="CYEnd" localSheetId="18">IndexInformation!$B$30</definedName>
    <definedName name="d">'[13]LEASES NEW'!$A$19</definedName>
    <definedName name="dataseries_minus_space_2">OFFSET([6]LIZ!$AE$31,0,0,COUNTA([6]LIZ!$AE$31:$AE$37)+1,1)</definedName>
    <definedName name="dataseries4">OFFSET([14]c1!$G$12,0,0,COUNTA([14]c1!$G$12:$G$31),1)</definedName>
    <definedName name="Date" localSheetId="0">ImportantDisclosures!$A$8</definedName>
    <definedName name="Deleted" localSheetId="18">IndexInformation!$B$27</definedName>
    <definedName name="Description" localSheetId="18">IndexInformation!$B$7</definedName>
    <definedName name="DEVELOPMENT">5</definedName>
    <definedName name="Discipline" localSheetId="18">IndexInformation!$B$3</definedName>
    <definedName name="DISCIPLINE" localSheetId="19">ModPubIndex!$A$12</definedName>
    <definedName name="DisclosuresText">ImportantDisclosures!$A$22</definedName>
    <definedName name="Distribution" localSheetId="18">IndexInformation!$B$26</definedName>
    <definedName name="DistTable" localSheetId="0">ImportantDisclosures!#REF!</definedName>
    <definedName name="DistTablePreamble" localSheetId="0">ImportantDisclosures!#REF!</definedName>
    <definedName name="Djzh15" xlm="1" functionGroupId="14">0</definedName>
    <definedName name="Djzh16" xlm="1" functionGroupId="14">0</definedName>
    <definedName name="DOCDAT" localSheetId="19">ModPubIndex!$A$2</definedName>
    <definedName name="DOCTIME" localSheetId="19">ModPubIndex!$A$3</definedName>
    <definedName name="DocType" localSheetId="18">IndexInformation!$B$5</definedName>
    <definedName name="Download_series">[15]!Download_series</definedName>
    <definedName name="e">[12]Income!$EP$106</definedName>
    <definedName name="EMAIL_ALERT" localSheetId="19">ModPubIndex!$A$10</definedName>
    <definedName name="EmailAlert" localSheetId="18">IndexInformation!$B$28</definedName>
    <definedName name="ExpandModel" localSheetId="16">DCF!ExpandModel</definedName>
    <definedName name="ExpandModel">DCF!ExpandModel</definedName>
    <definedName name="ExpandOutputs" localSheetId="16">DCF!ExpandOutputs</definedName>
    <definedName name="ExpandOutputs">DCF!ExpandOutputs</definedName>
    <definedName name="ExpandVPeriods" localSheetId="16">DCF!ExpandVPeriods</definedName>
    <definedName name="ExpandVPeriods">DCF!ExpandVPeriods</definedName>
    <definedName name="ExportFile" localSheetId="16">DCF!ExportFile</definedName>
    <definedName name="ExportFile">DCF!ExportFile</definedName>
    <definedName name="ｆ" hidden="1">"iQShowAnnual"</definedName>
    <definedName name="FINCopyDirection">1</definedName>
    <definedName name="FINCriteriaType">1</definedName>
    <definedName name="FiveYearGrowthRate" localSheetId="18">IndexInformation!$B$16</definedName>
    <definedName name="FollowingYearEPS" localSheetId="18">IndexInformation!$B$15</definedName>
    <definedName name="FollowingYearTotalRevenue" localSheetId="18">IndexInformation!$B$14</definedName>
    <definedName name="FollowingYearTotalRevenueActual" localSheetId="18">IndexInformation!$B$34</definedName>
    <definedName name="HL" localSheetId="19">ModPubIndex!$A$8</definedName>
    <definedName name="ImportFile" localSheetId="16">DCF!ImportFile</definedName>
    <definedName name="ImportFile">DCF!ImportFile</definedName>
    <definedName name="income">[12]Income!$A:$IV</definedName>
    <definedName name="IND" localSheetId="19">ModPubIndex!$A$9</definedName>
    <definedName name="Industry" localSheetId="0">ImportantDisclosures!$A$12</definedName>
    <definedName name="IndustryId">IndexInformation!$B$40</definedName>
    <definedName name="IndustryRating" localSheetId="0">ImportantDisclosures!$A$13</definedName>
    <definedName name="IQ_ACCOUNT_CHANGE">"c1449"</definedName>
    <definedName name="IQ_ACCOUNTS_PAY">"c1343"</definedName>
    <definedName name="IQ_ACCR_INT_PAY">"c1"</definedName>
    <definedName name="IQ_ACCR_INT_PAY_CF">"c2"</definedName>
    <definedName name="IQ_ACCR_INT_RECEIV">"c3"</definedName>
    <definedName name="IQ_ACCR_INT_RECEIV_CF">"c4"</definedName>
    <definedName name="IQ_ACCRUED_EXP">"c1341"</definedName>
    <definedName name="IQ_ACCT_RECV_10YR_ANN_GROWTH">"c1924"</definedName>
    <definedName name="IQ_ACCT_RECV_1YR_ANN_GROWTH">"c1919"</definedName>
    <definedName name="IQ_ACCT_RECV_2YR_ANN_GROWTH">"c1920"</definedName>
    <definedName name="IQ_ACCT_RECV_3YR_ANN_GROWTH">"c1921"</definedName>
    <definedName name="IQ_ACCT_RECV_5YR_ANN_GROWTH">"c1922"</definedName>
    <definedName name="IQ_ACCT_RECV_7YR_ANN_GROWTH">"c1923"</definedName>
    <definedName name="IQ_ACCUM_DEP">"c1340"</definedName>
    <definedName name="IQ_ACCUMULATED_PENSION_OBLIGATION">"c2244"</definedName>
    <definedName name="IQ_ACCUMULATED_PENSION_OBLIGATION_DOMESTIC">"c2657"</definedName>
    <definedName name="IQ_ACCUMULATED_PENSION_OBLIGATION_FOREIGN">"c2665"</definedName>
    <definedName name="IQ_ACQ_COST_SUB">"c2125"</definedName>
    <definedName name="IQ_ACQ_COSTS_CAPITALIZED">"c5"</definedName>
    <definedName name="IQ_ACQUIRE_REAL_ESTATE_CF">"c6"</definedName>
    <definedName name="IQ_ACQUISITION_RE_ASSETS">"c1628"</definedName>
    <definedName name="IQ_AD">"c7"</definedName>
    <definedName name="IQ_ADD_PAID_IN">"c1344"</definedName>
    <definedName name="IQ_ADJ_AVG_BANK_ASSETS">"c2671"</definedName>
    <definedName name="IQ_ADMIN_RATIO">"c2784"</definedName>
    <definedName name="IQ_ADVERTISING">"c2246"</definedName>
    <definedName name="IQ_ADVERTISING_MARKETING">"c1566"</definedName>
    <definedName name="IQ_AE">"c8"</definedName>
    <definedName name="IQ_AE_BNK">"c9"</definedName>
    <definedName name="IQ_AE_BR">"c10"</definedName>
    <definedName name="IQ_AE_FIN">"c11"</definedName>
    <definedName name="IQ_AE_INS">"c12"</definedName>
    <definedName name="IQ_AE_REIT">"c13"</definedName>
    <definedName name="IQ_AE_UTI">"c14"</definedName>
    <definedName name="IQ_AH_EARNED">"c2744"</definedName>
    <definedName name="IQ_AH_POLICY_BENEFITS_EXP">"c2789"</definedName>
    <definedName name="IQ_AIR_AIRPLANES_NOT_IN_SERVICE">"c2842"</definedName>
    <definedName name="IQ_AIR_AIRPLANES_SUBLEASED">"c2841"</definedName>
    <definedName name="IQ_AIR_ASK">"c2813"</definedName>
    <definedName name="IQ_AIR_ASK_INCREASE">"c2826"</definedName>
    <definedName name="IQ_AIR_ASM">"c2812"</definedName>
    <definedName name="IQ_AIR_ASM_INCREASE">"c2825"</definedName>
    <definedName name="IQ_AIR_AVG_AGE">"c2843"</definedName>
    <definedName name="IQ_AIR_BREAK_EVEN_FACTOR">"c2822"</definedName>
    <definedName name="IQ_AIR_CAPITAL_LEASE">"c2833"</definedName>
    <definedName name="IQ_AIR_COMPLETION_FACTOR">"c2824"</definedName>
    <definedName name="IQ_AIR_ENPLANED_PSGRS">"c2809"</definedName>
    <definedName name="IQ_AIR_FUEL_CONSUMED">"c2806"</definedName>
    <definedName name="IQ_AIR_FUEL_CONSUMED_L">"c2807"</definedName>
    <definedName name="IQ_AIR_FUEL_COST">"c2803"</definedName>
    <definedName name="IQ_AIR_FUEL_COST_L">"c2804"</definedName>
    <definedName name="IQ_AIR_FUEL_EXP">"c2802"</definedName>
    <definedName name="IQ_AIR_FUEL_EXP_PERCENT">"c2805"</definedName>
    <definedName name="IQ_AIR_LEASED">"c2835"</definedName>
    <definedName name="IQ_AIR_LOAD_FACTOR">"c2823"</definedName>
    <definedName name="IQ_AIR_NEW_AIRPLANES">"c2839"</definedName>
    <definedName name="IQ_AIR_OPER_EXP_ASK">"c2821"</definedName>
    <definedName name="IQ_AIR_OPER_EXP_ASM">"c2820"</definedName>
    <definedName name="IQ_AIR_OPER_LEASE">"c2834"</definedName>
    <definedName name="IQ_AIR_OPER_REV_YIELD_ASK">"c2819"</definedName>
    <definedName name="IQ_AIR_OPER_REV_YIELD_ASM">"c2818"</definedName>
    <definedName name="IQ_AIR_OPTIONS">"c2837"</definedName>
    <definedName name="IQ_AIR_ORDERS">"c2836"</definedName>
    <definedName name="IQ_AIR_OWNED">"c2832"</definedName>
    <definedName name="IQ_AIR_PSGR_REV_YIELD_ASK">"c2817"</definedName>
    <definedName name="IQ_AIR_PSGR_REV_YIELD_ASM">"c2816"</definedName>
    <definedName name="IQ_AIR_PSGR_REV_YIELD_RPK">"c2815"</definedName>
    <definedName name="IQ_AIR_PSGR_REV_YIELD_RPM">"c2814"</definedName>
    <definedName name="IQ_AIR_PURCHASE_RIGHTS">"c2838"</definedName>
    <definedName name="IQ_AIR_RETIRED_AIRPLANES">"c2840"</definedName>
    <definedName name="IQ_AIR_REV_PSGRS_CARRIED">"c2808"</definedName>
    <definedName name="IQ_AIR_REV_SCHEDULED_SERVICE">"c2830"</definedName>
    <definedName name="IQ_AIR_RPK">"c2811"</definedName>
    <definedName name="IQ_AIR_RPM">"c2810"</definedName>
    <definedName name="IQ_AIR_STAGE_LENGTH">"c2828"</definedName>
    <definedName name="IQ_AIR_STAGE_LENGTH_KM">"c2829"</definedName>
    <definedName name="IQ_AIR_TOTAL">"c2831"</definedName>
    <definedName name="IQ_AIR_UTILIZATION">"c2827"</definedName>
    <definedName name="IQ_ALLOW_BORROW_CONST">"c15"</definedName>
    <definedName name="IQ_ALLOW_CONST">"c1342"</definedName>
    <definedName name="IQ_ALLOW_DOUBT_ACCT">"c2092"</definedName>
    <definedName name="IQ_ALLOW_EQUITY_CONST">"c16"</definedName>
    <definedName name="IQ_ALLOW_LL">"c17"</definedName>
    <definedName name="IQ_ALLOWANCE_10YR_ANN_GROWTH">"c18"</definedName>
    <definedName name="IQ_ALLOWANCE_1YR_ANN_GROWTH">"c19"</definedName>
    <definedName name="IQ_ALLOWANCE_2YR_ANN_GROWTH">"c20"</definedName>
    <definedName name="IQ_ALLOWANCE_3YR_ANN_GROWTH">"c21"</definedName>
    <definedName name="IQ_ALLOWANCE_5YR_ANN_GROWTH">"c22"</definedName>
    <definedName name="IQ_ALLOWANCE_7YR_ANN_GROWTH">"c23"</definedName>
    <definedName name="IQ_ALLOWANCE_CHARGE_OFFS">"c24"</definedName>
    <definedName name="IQ_ALLOWANCE_NON_PERF_LOANS">"c25"</definedName>
    <definedName name="IQ_ALLOWANCE_TOTAL_LOANS">"c26"</definedName>
    <definedName name="IQ_AMORTIZATION">"c1591"</definedName>
    <definedName name="IQ_AMT_OUT">"c2145"</definedName>
    <definedName name="IQ_ANNU_DISTRIBUTION_UNIT">"c3004"</definedName>
    <definedName name="IQ_ANNUALIZED_DIVIDEND">"c1579"</definedName>
    <definedName name="IQ_ANNUITY_LIAB">"c27"</definedName>
    <definedName name="IQ_ANNUITY_PAY">"c28"</definedName>
    <definedName name="IQ_ANNUITY_POLICY_EXP">"c29"</definedName>
    <definedName name="IQ_ANNUITY_REC">"c30"</definedName>
    <definedName name="IQ_ANNUITY_REV">"c31"</definedName>
    <definedName name="IQ_AP">"c32"</definedName>
    <definedName name="IQ_AP_BNK">"c33"</definedName>
    <definedName name="IQ_AP_BR">"c34"</definedName>
    <definedName name="IQ_AP_FIN">"c35"</definedName>
    <definedName name="IQ_AP_INS">"c36"</definedName>
    <definedName name="IQ_AP_REIT">"c37"</definedName>
    <definedName name="IQ_AP_UTI">"c38"</definedName>
    <definedName name="IQ_APIC">"c39"</definedName>
    <definedName name="IQ_AR">"c40"</definedName>
    <definedName name="IQ_AR_BR">"c41"</definedName>
    <definedName name="IQ_AR_LT">"c42"</definedName>
    <definedName name="IQ_AR_REIT">"c43"</definedName>
    <definedName name="IQ_AR_TURNS">"c44"</definedName>
    <definedName name="IQ_AR_UTI">"c45"</definedName>
    <definedName name="IQ_ARPU">"c2126"</definedName>
    <definedName name="IQ_ASSET_MGMT_FEE">"c46"</definedName>
    <definedName name="IQ_ASSET_TURNS">"c47"</definedName>
    <definedName name="IQ_ASSET_WRITEDOWN">"c48"</definedName>
    <definedName name="IQ_ASSET_WRITEDOWN_BNK">"c49"</definedName>
    <definedName name="IQ_ASSET_WRITEDOWN_BR">"c50"</definedName>
    <definedName name="IQ_ASSET_WRITEDOWN_CF">"c51"</definedName>
    <definedName name="IQ_ASSET_WRITEDOWN_CF_BNK">"c52"</definedName>
    <definedName name="IQ_ASSET_WRITEDOWN_CF_BR">"c53"</definedName>
    <definedName name="IQ_ASSET_WRITEDOWN_CF_FIN">"c54"</definedName>
    <definedName name="IQ_ASSET_WRITEDOWN_CF_INS">"c55"</definedName>
    <definedName name="IQ_ASSET_WRITEDOWN_CF_REIT">"c56"</definedName>
    <definedName name="IQ_ASSET_WRITEDOWN_CF_UTI">"c57"</definedName>
    <definedName name="IQ_ASSET_WRITEDOWN_FIN">"c58"</definedName>
    <definedName name="IQ_ASSET_WRITEDOWN_INS">"c59"</definedName>
    <definedName name="IQ_ASSET_WRITEDOWN_REIT">"c60"</definedName>
    <definedName name="IQ_ASSET_WRITEDOWN_UTI">"c61"</definedName>
    <definedName name="IQ_ASSETS_CAP_LEASE_DEPR">"c2068"</definedName>
    <definedName name="IQ_ASSETS_CAP_LEASE_GROSS">"c2069"</definedName>
    <definedName name="IQ_ASSETS_OPER_LEASE_DEPR">"c2070"</definedName>
    <definedName name="IQ_ASSETS_OPER_LEASE_GROSS">"c2071"</definedName>
    <definedName name="IQ_ASSUMED_AH_EARNED">"c2741"</definedName>
    <definedName name="IQ_ASSUMED_EARNED">"c2731"</definedName>
    <definedName name="IQ_ASSUMED_LIFE_EARNED">"c2736"</definedName>
    <definedName name="IQ_ASSUMED_LIFE_IN_FORCE">"c2766"</definedName>
    <definedName name="IQ_ASSUMED_PC_EARNED">"c2746"</definedName>
    <definedName name="IQ_ASSUMED_WRITTEN">"c2725"</definedName>
    <definedName name="IQ_AUDITOR_NAME">"c1539"</definedName>
    <definedName name="IQ_AUDITOR_OPINION">"c1540"</definedName>
    <definedName name="IQ_AUTO_WRITTEN">"c62"</definedName>
    <definedName name="IQ_AVG_BANK_ASSETS">"c2072"</definedName>
    <definedName name="IQ_AVG_BANK_LOANS">"c2073"</definedName>
    <definedName name="IQ_AVG_BROKER_REC">"c63"</definedName>
    <definedName name="IQ_AVG_BROKER_REC_NO">"c64"</definedName>
    <definedName name="IQ_AVG_BROKER_REC_NO_REUT">"c5315"</definedName>
    <definedName name="IQ_AVG_BROKER_REC_REUT">"c3630"</definedName>
    <definedName name="IQ_AVG_DAILY_VOL">"c65"</definedName>
    <definedName name="IQ_AVG_INDUSTRY_REC">"c4455"</definedName>
    <definedName name="IQ_AVG_INT_BEAR_LIAB">"c66"</definedName>
    <definedName name="IQ_AVG_INT_BEAR_LIAB_10YR_ANN_GROWTH">"c67"</definedName>
    <definedName name="IQ_AVG_INT_BEAR_LIAB_1YR_ANN_GROWTH">"c68"</definedName>
    <definedName name="IQ_AVG_INT_BEAR_LIAB_2YR_ANN_GROWTH">"c69"</definedName>
    <definedName name="IQ_AVG_INT_BEAR_LIAB_3YR_ANN_GROWTH">"c70"</definedName>
    <definedName name="IQ_AVG_INT_BEAR_LIAB_5YR_ANN_GROWTH">"c71"</definedName>
    <definedName name="IQ_AVG_INT_BEAR_LIAB_7YR_ANN_GROWTH">"c72"</definedName>
    <definedName name="IQ_AVG_INT_EARN_ASSETS">"c73"</definedName>
    <definedName name="IQ_AVG_INT_EARN_ASSETS_10YR_ANN_GROWTH">"c74"</definedName>
    <definedName name="IQ_AVG_INT_EARN_ASSETS_1YR_ANN_GROWTH">"c75"</definedName>
    <definedName name="IQ_AVG_INT_EARN_ASSETS_2YR_ANN_GROWTH">"c76"</definedName>
    <definedName name="IQ_AVG_INT_EARN_ASSETS_3YR_ANN_GROWTH">"c77"</definedName>
    <definedName name="IQ_AVG_INT_EARN_ASSETS_5YR_ANN_GROWTH">"c78"</definedName>
    <definedName name="IQ_AVG_INT_EARN_ASSETS_7YR_ANN_GROWTH">"c79"</definedName>
    <definedName name="IQ_AVG_MKTCAP">"c80"</definedName>
    <definedName name="IQ_AVG_PRICE">"c81"</definedName>
    <definedName name="IQ_AVG_SHAREOUTSTANDING">"c83"</definedName>
    <definedName name="IQ_AVG_TEV">"c84"</definedName>
    <definedName name="IQ_AVG_VOLUME">"c1346"</definedName>
    <definedName name="IQ_BANK_DEBT">"c2544"</definedName>
    <definedName name="IQ_BANK_DEBT_PCT">"c2545"</definedName>
    <definedName name="IQ_BASIC_EPS_EXCL">"c85"</definedName>
    <definedName name="IQ_BASIC_EPS_INCL">"c86"</definedName>
    <definedName name="IQ_BASIC_NORMAL_EPS">"c1592"</definedName>
    <definedName name="IQ_BASIC_WEIGHT">"c87"</definedName>
    <definedName name="IQ_BENCHMARK_SECURITY">"c2154"</definedName>
    <definedName name="IQ_BENCHMARK_SPRD">"c2153"</definedName>
    <definedName name="IQ_BETA">"c2133"</definedName>
    <definedName name="IQ_BETA_1YR">"c1966"</definedName>
    <definedName name="IQ_BETA_1YR_RSQ">"c2132"</definedName>
    <definedName name="IQ_BETA_2YR">"c1965"</definedName>
    <definedName name="IQ_BETA_2YR_RSQ">"c2131"</definedName>
    <definedName name="IQ_BETA_5YR">"c88"</definedName>
    <definedName name="IQ_BETA_5YR_RSQ">"c2130"</definedName>
    <definedName name="IQ_BIG_INT_BEAR_CD">"c89"</definedName>
    <definedName name="IQ_BOARD_MEMBER">"c96"</definedName>
    <definedName name="IQ_BOARD_MEMBER_BACKGROUND">"c2101"</definedName>
    <definedName name="IQ_BOARD_MEMBER_TITLE">"c97"</definedName>
    <definedName name="IQ_BOND_COUPON">"c2183"</definedName>
    <definedName name="IQ_BOND_COUPON_TYPE">"c2184"</definedName>
    <definedName name="IQ_BOND_PRICE">"c2162"</definedName>
    <definedName name="IQ_BROK_COMISSION">"c98"</definedName>
    <definedName name="IQ_BROK_COMMISSION">"c3514"</definedName>
    <definedName name="IQ_BUILDINGS">"c99"</definedName>
    <definedName name="IQ_BUS_SEG_ASSETS">"c4067"</definedName>
    <definedName name="IQ_BUS_SEG_ASSETS_ABS">"c4089"</definedName>
    <definedName name="IQ_BUS_SEG_ASSETS_TOTAL">"c4112"</definedName>
    <definedName name="IQ_BUS_SEG_CAPEX">"c4079"</definedName>
    <definedName name="IQ_BUS_SEG_CAPEX_ABS">"c4101"</definedName>
    <definedName name="IQ_BUS_SEG_CAPEX_TOTAL">"c4116"</definedName>
    <definedName name="IQ_BUS_SEG_DA">"c4078"</definedName>
    <definedName name="IQ_BUS_SEG_DA_ABS">"c4100"</definedName>
    <definedName name="IQ_BUS_SEG_DA_TOTAL">"c4115"</definedName>
    <definedName name="IQ_BUS_SEG_EARNINGS_OP">"c4063"</definedName>
    <definedName name="IQ_BUS_SEG_EARNINGS_OP_ABS">"c4085"</definedName>
    <definedName name="IQ_BUS_SEG_EARNINGS_OP_TOTAL">"c4108"</definedName>
    <definedName name="IQ_BUS_SEG_EBT">"c4064"</definedName>
    <definedName name="IQ_BUS_SEG_EBT_ABS">"c4086"</definedName>
    <definedName name="IQ_BUS_SEG_EBT_TOTAL">"c4110"</definedName>
    <definedName name="IQ_BUS_SEG_GP">"c4066"</definedName>
    <definedName name="IQ_BUS_SEG_GP_ABS">"c4088"</definedName>
    <definedName name="IQ_BUS_SEG_GP_TOTAL">"c4109"</definedName>
    <definedName name="IQ_BUS_SEG_INC_TAX">"c4077"</definedName>
    <definedName name="IQ_BUS_SEG_INC_TAX_ABS">"c4099"</definedName>
    <definedName name="IQ_BUS_SEG_INC_TAX_TOTAL">"c4114"</definedName>
    <definedName name="IQ_BUS_SEG_INTEREST_EXP">"c4076"</definedName>
    <definedName name="IQ_BUS_SEG_INTEREST_EXP_ABS">"c4098"</definedName>
    <definedName name="IQ_BUS_SEG_INTEREST_EXP_TOTAL">"c4113"</definedName>
    <definedName name="IQ_BUS_SEG_NAME">"c5482"</definedName>
    <definedName name="IQ_BUS_SEG_NAME_ABS">"c5483"</definedName>
    <definedName name="IQ_BUS_SEG_NI">"c4065"</definedName>
    <definedName name="IQ_BUS_SEG_NI_ABS">"c4087"</definedName>
    <definedName name="IQ_BUS_SEG_NI_TOTAL">"c4111"</definedName>
    <definedName name="IQ_BUS_SEG_OPER_INC">"c4062"</definedName>
    <definedName name="IQ_BUS_SEG_OPER_INC_ABS">"c4084"</definedName>
    <definedName name="IQ_BUS_SEG_OPER_INC_TOTAL">"c4107"</definedName>
    <definedName name="IQ_BUS_SEG_REV">"c4068"</definedName>
    <definedName name="IQ_BUS_SEG_REV_ABS">"c4090"</definedName>
    <definedName name="IQ_BUS_SEG_REV_TOTAL">"c4106"</definedName>
    <definedName name="IQ_BUSINESS_DESCRIPTION">"c322"</definedName>
    <definedName name="IQ_BV_OVER_SHARES">"c1349"</definedName>
    <definedName name="IQ_BV_SHARE">"c100"</definedName>
    <definedName name="IQ_CABLE_ARPU">"c2869"</definedName>
    <definedName name="IQ_CABLE_ARPU_ANALOG">"c2864"</definedName>
    <definedName name="IQ_CABLE_ARPU_BASIC">"c2866"</definedName>
    <definedName name="IQ_CABLE_ARPU_BBAND">"c2867"</definedName>
    <definedName name="IQ_CABLE_ARPU_DIG">"c2865"</definedName>
    <definedName name="IQ_CABLE_ARPU_PHONE">"c2868"</definedName>
    <definedName name="IQ_CABLE_BASIC_PENETRATION">"c2850"</definedName>
    <definedName name="IQ_CABLE_BBAND_PENETRATION">"c2852"</definedName>
    <definedName name="IQ_CABLE_BBAND_PENETRATION_THP">"c2851"</definedName>
    <definedName name="IQ_CABLE_CHURN">"c2874"</definedName>
    <definedName name="IQ_CABLE_CHURN_BASIC">"c2871"</definedName>
    <definedName name="IQ_CABLE_CHURN_BBAND">"c2872"</definedName>
    <definedName name="IQ_CABLE_CHURN_DIG">"c2870"</definedName>
    <definedName name="IQ_CABLE_CHURN_PHONE">"c2873"</definedName>
    <definedName name="IQ_CABLE_HOMES_PER_MILE">"c2849"</definedName>
    <definedName name="IQ_CABLE_HP_BBAND">"c2845"</definedName>
    <definedName name="IQ_CABLE_HP_DIG">"c2844"</definedName>
    <definedName name="IQ_CABLE_HP_PHONE">"c2846"</definedName>
    <definedName name="IQ_CABLE_MILES_PASSED">"c2848"</definedName>
    <definedName name="IQ_CABLE_OTHER_REV">"c2882"</definedName>
    <definedName name="IQ_CABLE_PHONE_PENETRATION">"c2853"</definedName>
    <definedName name="IQ_CABLE_PROGRAMMING_COSTS">"c2884"</definedName>
    <definedName name="IQ_CABLE_REV_ADVERT">"c2880"</definedName>
    <definedName name="IQ_CABLE_REV_ANALOG">"c2875"</definedName>
    <definedName name="IQ_CABLE_REV_BASIC">"c2877"</definedName>
    <definedName name="IQ_CABLE_REV_BBAND">"c2878"</definedName>
    <definedName name="IQ_CABLE_REV_COMMERCIAL">"c2881"</definedName>
    <definedName name="IQ_CABLE_REV_DIG">"c2876"</definedName>
    <definedName name="IQ_CABLE_REV_PHONE">"c2879"</definedName>
    <definedName name="IQ_CABLE_RGU">"c2863"</definedName>
    <definedName name="IQ_CABLE_SUBS_ANALOG">"c2855"</definedName>
    <definedName name="IQ_CABLE_SUBS_BASIC">"c2857"</definedName>
    <definedName name="IQ_CABLE_SUBS_BBAND">"c2858"</definedName>
    <definedName name="IQ_CABLE_SUBS_BUNDLED">"c2861"</definedName>
    <definedName name="IQ_CABLE_SUBS_DIG">"c2856"</definedName>
    <definedName name="IQ_CABLE_SUBS_NON_VIDEO">"c2860"</definedName>
    <definedName name="IQ_CABLE_SUBS_PHONE">"c2859"</definedName>
    <definedName name="IQ_CABLE_SUBS_TOTAL">"c2862"</definedName>
    <definedName name="IQ_CABLE_THP">"c2847"</definedName>
    <definedName name="IQ_CABLE_TOTAL_PENETRATION">"c2854"</definedName>
    <definedName name="IQ_CABLE_TOTAL_REV">"c2883"</definedName>
    <definedName name="IQ_CAL_Q">"c101"</definedName>
    <definedName name="IQ_CAL_Y">"c102"</definedName>
    <definedName name="IQ_CALC_TYPE_BS">"c3086"</definedName>
    <definedName name="IQ_CALC_TYPE_CF">"c3085"</definedName>
    <definedName name="IQ_CALC_TYPE_IS">"c3084"</definedName>
    <definedName name="IQ_CALL_DATE_SCHEDULE">"c2481"</definedName>
    <definedName name="IQ_CALL_FEATURE">"c2197"</definedName>
    <definedName name="IQ_CALL_PRICE_SCHEDULE">"c2482"</definedName>
    <definedName name="IQ_CALLABLE">"c2196"</definedName>
    <definedName name="IQ_CAP_LOSS_CF_1YR">"c3474"</definedName>
    <definedName name="IQ_CAP_LOSS_CF_2YR">"c3475"</definedName>
    <definedName name="IQ_CAP_LOSS_CF_3YR">"c3476"</definedName>
    <definedName name="IQ_CAP_LOSS_CF_4YR">"c3477"</definedName>
    <definedName name="IQ_CAP_LOSS_CF_5YR">"c3478"</definedName>
    <definedName name="IQ_CAP_LOSS_CF_AFTER_FIVE">"c3479"</definedName>
    <definedName name="IQ_CAP_LOSS_CF_MAX_YEAR">"c3482"</definedName>
    <definedName name="IQ_CAP_LOSS_CF_NO_EXP">"c3480"</definedName>
    <definedName name="IQ_CAP_LOSS_CF_TOTAL">"c3481"</definedName>
    <definedName name="IQ_CAPEX">"c103"</definedName>
    <definedName name="IQ_CAPEX_10YR_ANN_GROWTH">"c104"</definedName>
    <definedName name="IQ_CAPEX_1YR_ANN_GROWTH">"c105"</definedName>
    <definedName name="IQ_CAPEX_2YR_ANN_GROWTH">"c106"</definedName>
    <definedName name="IQ_CAPEX_3YR_ANN_GROWTH">"c107"</definedName>
    <definedName name="IQ_CAPEX_5YR_ANN_GROWTH">"c108"</definedName>
    <definedName name="IQ_CAPEX_7YR_ANN_GROWTH">"c109"</definedName>
    <definedName name="IQ_CAPEX_BNK">"c110"</definedName>
    <definedName name="IQ_CAPEX_BR">"c111"</definedName>
    <definedName name="IQ_CAPEX_FIN">"c112"</definedName>
    <definedName name="IQ_CAPEX_INS">"c113"</definedName>
    <definedName name="IQ_CAPEX_UTI">"c114"</definedName>
    <definedName name="IQ_CAPITAL_LEASE">"c1350"</definedName>
    <definedName name="IQ_CAPITAL_LEASES">"c115"</definedName>
    <definedName name="IQ_CAPITAL_LEASES_TOTAL">"c3031"</definedName>
    <definedName name="IQ_CAPITAL_LEASES_TOTAL_PCT">"c2506"</definedName>
    <definedName name="IQ_CAPITALIZED_INTEREST">"c3460"</definedName>
    <definedName name="IQ_CAPITALIZED_INTEREST_BOP">"c3459"</definedName>
    <definedName name="IQ_CAPITALIZED_INTEREST_EOP">"c3464"</definedName>
    <definedName name="IQ_CAPITALIZED_INTEREST_EXP">"c3461"</definedName>
    <definedName name="IQ_CAPITALIZED_INTEREST_OTHER_ADJ">"c3463"</definedName>
    <definedName name="IQ_CAPITALIZED_INTEREST_WRITE_OFF">"c3462"</definedName>
    <definedName name="IQ_CASH">"c1458"</definedName>
    <definedName name="IQ_CASH_ACQUIRE_CF">"c116"</definedName>
    <definedName name="IQ_CASH_CONVERSION">"c117"</definedName>
    <definedName name="IQ_CASH_DUE_BANKS">"c1351"</definedName>
    <definedName name="IQ_CASH_EQUIV">"c118"</definedName>
    <definedName name="IQ_CASH_FINAN">"c119"</definedName>
    <definedName name="IQ_CASH_FLOW_ACT_OR_EST">"c4154"</definedName>
    <definedName name="IQ_CASH_INTEREST">"c120"</definedName>
    <definedName name="IQ_CASH_INVEST">"c121"</definedName>
    <definedName name="IQ_CASH_OPER">"c122"</definedName>
    <definedName name="IQ_CASH_OPER_ACT_OR_EST">"c4164"</definedName>
    <definedName name="IQ_CASH_SEGREG">"c123"</definedName>
    <definedName name="IQ_CASH_SHARE">"c1911"</definedName>
    <definedName name="IQ_CASH_ST">"c1355"</definedName>
    <definedName name="IQ_CASH_ST_INVEST">"c124"</definedName>
    <definedName name="IQ_CASH_TAXES">"c125"</definedName>
    <definedName name="IQ_CEDED_AH_EARNED">"c2743"</definedName>
    <definedName name="IQ_CEDED_CLAIM_EXP_INCUR">"c2756"</definedName>
    <definedName name="IQ_CEDED_CLAIM_EXP_PAID">"c2759"</definedName>
    <definedName name="IQ_CEDED_CLAIM_EXP_RES">"c2753"</definedName>
    <definedName name="IQ_CEDED_EARNED">"c2733"</definedName>
    <definedName name="IQ_CEDED_LIFE_EARNED">"c2738"</definedName>
    <definedName name="IQ_CEDED_LIFE_IN_FORCE">"c2768"</definedName>
    <definedName name="IQ_CEDED_PC_EARNED">"c2748"</definedName>
    <definedName name="IQ_CEDED_WRITTEN">"c2727"</definedName>
    <definedName name="IQ_CFO_10YR_ANN_GROWTH">"c126"</definedName>
    <definedName name="IQ_CFO_1YR_ANN_GROWTH">"c127"</definedName>
    <definedName name="IQ_CFO_2YR_ANN_GROWTH">"c128"</definedName>
    <definedName name="IQ_CFO_3YR_ANN_GROWTH">"c129"</definedName>
    <definedName name="IQ_CFO_5YR_ANN_GROWTH">"c130"</definedName>
    <definedName name="IQ_CFO_7YR_ANN_GROWTH">"c131"</definedName>
    <definedName name="IQ_CFO_CURRENT_LIAB">"c132"</definedName>
    <definedName name="IQ_CHANGE_AP">"c133"</definedName>
    <definedName name="IQ_CHANGE_AP_BNK">"c134"</definedName>
    <definedName name="IQ_CHANGE_AP_BR">"c135"</definedName>
    <definedName name="IQ_CHANGE_AP_FIN">"c136"</definedName>
    <definedName name="IQ_CHANGE_AP_INS">"c137"</definedName>
    <definedName name="IQ_CHANGE_AP_REIT">"c138"</definedName>
    <definedName name="IQ_CHANGE_AP_UTI">"c139"</definedName>
    <definedName name="IQ_CHANGE_AR">"c140"</definedName>
    <definedName name="IQ_CHANGE_AR_BNK">"c141"</definedName>
    <definedName name="IQ_CHANGE_AR_BR">"c142"</definedName>
    <definedName name="IQ_CHANGE_AR_FIN">"c143"</definedName>
    <definedName name="IQ_CHANGE_AR_INS">"c144"</definedName>
    <definedName name="IQ_CHANGE_AR_REIT">"c145"</definedName>
    <definedName name="IQ_CHANGE_AR_UTI">"c146"</definedName>
    <definedName name="IQ_CHANGE_DEF_TAX">"c147"</definedName>
    <definedName name="IQ_CHANGE_DEPOSIT_ACCT">"c148"</definedName>
    <definedName name="IQ_CHANGE_INC_TAX">"c149"</definedName>
    <definedName name="IQ_CHANGE_INS_RES_LIAB">"c150"</definedName>
    <definedName name="IQ_CHANGE_INVENTORY">"c151"</definedName>
    <definedName name="IQ_CHANGE_NET_OPER_ASSETS">"c3592"</definedName>
    <definedName name="IQ_CHANGE_NET_WORKING_CAPITAL">"c1909"</definedName>
    <definedName name="IQ_CHANGE_OTHER_NET_OPER_ASSETS">"c3593"</definedName>
    <definedName name="IQ_CHANGE_OTHER_NET_OPER_ASSETS_BNK">"c3594"</definedName>
    <definedName name="IQ_CHANGE_OTHER_NET_OPER_ASSETS_BR">"c3595"</definedName>
    <definedName name="IQ_CHANGE_OTHER_NET_OPER_ASSETS_FIN">"c3596"</definedName>
    <definedName name="IQ_CHANGE_OTHER_NET_OPER_ASSETS_INS">"c3597"</definedName>
    <definedName name="IQ_CHANGE_OTHER_NET_OPER_ASSETS_REIT">"c3598"</definedName>
    <definedName name="IQ_CHANGE_OTHER_NET_OPER_ASSETS_UTI">"c3599"</definedName>
    <definedName name="IQ_CHANGE_OTHER_WORK_CAP">"c152"</definedName>
    <definedName name="IQ_CHANGE_OTHER_WORK_CAP_BNK">"c153"</definedName>
    <definedName name="IQ_CHANGE_OTHER_WORK_CAP_BR">"c154"</definedName>
    <definedName name="IQ_CHANGE_OTHER_WORK_CAP_FIN">"c155"</definedName>
    <definedName name="IQ_CHANGE_OTHER_WORK_CAP_INS">"c156"</definedName>
    <definedName name="IQ_CHANGE_OTHER_WORK_CAP_REIT">"c157"</definedName>
    <definedName name="IQ_CHANGE_OTHER_WORK_CAP_UTI">"c158"</definedName>
    <definedName name="IQ_CHANGE_TRADING_ASSETS">"c159"</definedName>
    <definedName name="IQ_CHANGE_UNEARN_REV">"c160"</definedName>
    <definedName name="IQ_CHANGE_WORK_CAP">"c161"</definedName>
    <definedName name="IQ_CHANGES_WORK_CAP">"c1357"</definedName>
    <definedName name="IQ_CHARGE_OFFS_GROSS">"c162"</definedName>
    <definedName name="IQ_CHARGE_OFFS_NET">"c163"</definedName>
    <definedName name="IQ_CHARGE_OFFS_RECOVERED">"c164"</definedName>
    <definedName name="IQ_CHARGE_OFFS_TOTAL_AVG_LOANS">"c165"</definedName>
    <definedName name="IQ_CITY">"c166"</definedName>
    <definedName name="IQ_CL_DUE_AFTER_FIVE">"c167"</definedName>
    <definedName name="IQ_CL_DUE_CY">"c168"</definedName>
    <definedName name="IQ_CL_DUE_CY1">"c169"</definedName>
    <definedName name="IQ_CL_DUE_CY2">"c170"</definedName>
    <definedName name="IQ_CL_DUE_CY3">"c171"</definedName>
    <definedName name="IQ_CL_DUE_CY4">"c172"</definedName>
    <definedName name="IQ_CL_DUE_NEXT_FIVE">"c173"</definedName>
    <definedName name="IQ_CL_OBLIGATION_IMMEDIATE">"c2253"</definedName>
    <definedName name="IQ_CLASSA_OPTIONS_BEG_OS">"c2679"</definedName>
    <definedName name="IQ_CLASSA_OPTIONS_CANCELLED">"c2682"</definedName>
    <definedName name="IQ_CLASSA_OPTIONS_END_OS">"c2683"</definedName>
    <definedName name="IQ_CLASSA_OPTIONS_EXERCISED">"c2681"</definedName>
    <definedName name="IQ_CLASSA_OPTIONS_GRANTED">"c2680"</definedName>
    <definedName name="IQ_CLASSA_OPTIONS_STRIKE_PRICE_OS">"c2684"</definedName>
    <definedName name="IQ_CLASSA_OUTSTANDING_BS_DATE">"c1971"</definedName>
    <definedName name="IQ_CLASSA_OUTSTANDING_FILING_DATE">"c1973"</definedName>
    <definedName name="IQ_CLASSA_STRIKE_PRICE_GRANTED">"c2685"</definedName>
    <definedName name="IQ_CLASSA_WARRANTS_BEG_OS">"c2705"</definedName>
    <definedName name="IQ_CLASSA_WARRANTS_CANCELLED">"c2708"</definedName>
    <definedName name="IQ_CLASSA_WARRANTS_END_OS">"c2709"</definedName>
    <definedName name="IQ_CLASSA_WARRANTS_EXERCISED">"c2707"</definedName>
    <definedName name="IQ_CLASSA_WARRANTS_ISSUED">"c2706"</definedName>
    <definedName name="IQ_CLASSA_WARRANTS_STRIKE_PRICE_ISSUED">"c2711"</definedName>
    <definedName name="IQ_CLASSA_WARRANTS_STRIKE_PRICE_OS">"c2710"</definedName>
    <definedName name="IQ_CLOSEPRICE">"c174"</definedName>
    <definedName name="IQ_CLOSEPRICE_ADJ">"c2115"</definedName>
    <definedName name="IQ_COGS">"c175"</definedName>
    <definedName name="IQ_COMBINED_RATIO">"c176"</definedName>
    <definedName name="IQ_COMMERCIAL_DOM">"c177"</definedName>
    <definedName name="IQ_COMMERCIAL_FIRE_WRITTEN">"c178"</definedName>
    <definedName name="IQ_COMMERCIAL_MORT">"c179"</definedName>
    <definedName name="IQ_COMMISS_FEES">"c180"</definedName>
    <definedName name="IQ_COMMISSION_DEF">"c181"</definedName>
    <definedName name="IQ_COMMON">"c182"</definedName>
    <definedName name="IQ_COMMON_APIC">"c183"</definedName>
    <definedName name="IQ_COMMON_APIC_BNK">"c184"</definedName>
    <definedName name="IQ_COMMON_APIC_BR">"c185"</definedName>
    <definedName name="IQ_COMMON_APIC_FIN">"c186"</definedName>
    <definedName name="IQ_COMMON_APIC_INS">"c187"</definedName>
    <definedName name="IQ_COMMON_APIC_REIT">"c188"</definedName>
    <definedName name="IQ_COMMON_APIC_UTI">"c189"</definedName>
    <definedName name="IQ_COMMON_DIV">"c3006"</definedName>
    <definedName name="IQ_COMMON_DIV_CF">"c190"</definedName>
    <definedName name="IQ_COMMON_EQUITY_10YR_ANN_GROWTH">"c191"</definedName>
    <definedName name="IQ_COMMON_EQUITY_1YR_ANN_GROWTH">"c192"</definedName>
    <definedName name="IQ_COMMON_EQUITY_2YR_ANN_GROWTH">"c193"</definedName>
    <definedName name="IQ_COMMON_EQUITY_3YR_ANN_GROWTH">"c194"</definedName>
    <definedName name="IQ_COMMON_EQUITY_5YR_ANN_GROWTH">"c195"</definedName>
    <definedName name="IQ_COMMON_EQUITY_7YR_ANN_GROWTH">"c196"</definedName>
    <definedName name="IQ_COMMON_ISSUED">"c197"</definedName>
    <definedName name="IQ_COMMON_ISSUED_BNK">"c198"</definedName>
    <definedName name="IQ_COMMON_ISSUED_BR">"c199"</definedName>
    <definedName name="IQ_COMMON_ISSUED_FIN">"c200"</definedName>
    <definedName name="IQ_COMMON_ISSUED_INS">"c201"</definedName>
    <definedName name="IQ_COMMON_ISSUED_REIT">"c202"</definedName>
    <definedName name="IQ_COMMON_ISSUED_UTI">"c203"</definedName>
    <definedName name="IQ_COMMON_PER_ADR">"c204"</definedName>
    <definedName name="IQ_COMMON_PREF_DIV_CF">"c205"</definedName>
    <definedName name="IQ_COMMON_REP">"c206"</definedName>
    <definedName name="IQ_COMMON_REP_BNK">"c207"</definedName>
    <definedName name="IQ_COMMON_REP_BR">"c208"</definedName>
    <definedName name="IQ_COMMON_REP_FIN">"c209"</definedName>
    <definedName name="IQ_COMMON_REP_INS">"c210"</definedName>
    <definedName name="IQ_COMMON_REP_REIT">"c211"</definedName>
    <definedName name="IQ_COMMON_REP_UTI">"c212"</definedName>
    <definedName name="IQ_COMMON_STOCK">"c1358"</definedName>
    <definedName name="IQ_COMP_BENEFITS">"c213"</definedName>
    <definedName name="IQ_COMPANY_ADDRESS">"c214"</definedName>
    <definedName name="IQ_COMPANY_ID">"c3513"</definedName>
    <definedName name="IQ_COMPANY_NAME">"c215"</definedName>
    <definedName name="IQ_COMPANY_NAME_LONG">"c1585"</definedName>
    <definedName name="IQ_COMPANY_PHONE">"c216"</definedName>
    <definedName name="IQ_COMPANY_STATUS">"c2097"</definedName>
    <definedName name="IQ_COMPANY_STREET1">"c217"</definedName>
    <definedName name="IQ_COMPANY_STREET2">"c218"</definedName>
    <definedName name="IQ_COMPANY_TICKER">"c219"</definedName>
    <definedName name="IQ_COMPANY_TYPE">"c2096"</definedName>
    <definedName name="IQ_COMPANY_WEBSITE">"c220"</definedName>
    <definedName name="IQ_COMPANY_ZIP">"c221"</definedName>
    <definedName name="IQ_CONSTRUCTION_LOANS">"c222"</definedName>
    <definedName name="IQ_CONSUMER_LOANS">"c223"</definedName>
    <definedName name="IQ_CONV_DATE">"c2191"</definedName>
    <definedName name="IQ_CONV_EXP_DATE">"c3043"</definedName>
    <definedName name="IQ_CONV_PREMIUM">"c2195"</definedName>
    <definedName name="IQ_CONV_PRICE">"c2193"</definedName>
    <definedName name="IQ_CONV_RATE">"c2192"</definedName>
    <definedName name="IQ_CONV_RATIO">"c2192"</definedName>
    <definedName name="IQ_CONV_SECURITY">"c2189"</definedName>
    <definedName name="IQ_CONV_SECURITY_ISSUER">"c2190"</definedName>
    <definedName name="IQ_CONV_SECURITY_PRICE">"c2194"</definedName>
    <definedName name="IQ_CONVERT">"c2536"</definedName>
    <definedName name="IQ_CONVERT_PCT">"c2537"</definedName>
    <definedName name="IQ_CONVEXITY">"c2182"</definedName>
    <definedName name="IQ_COST_BORROWING">"c2936"</definedName>
    <definedName name="IQ_COST_BORROWINGS">"c225"</definedName>
    <definedName name="IQ_COST_REV">"c226"</definedName>
    <definedName name="IQ_COST_REVENUE">"c1359"</definedName>
    <definedName name="IQ_COST_SAVINGS">"c227"</definedName>
    <definedName name="IQ_COST_SERVICE">"c228"</definedName>
    <definedName name="IQ_COST_TOTAL_BORROWINGS">"c229"</definedName>
    <definedName name="IQ_COUNTRY_NAME">"c230"</definedName>
    <definedName name="IQ_COVERED_POPS">"c2124"</definedName>
    <definedName name="IQ_CP">"c2495"</definedName>
    <definedName name="IQ_CP_PCT">"c2496"</definedName>
    <definedName name="IQ_CQ">5000</definedName>
    <definedName name="IQ_CREDIT_CARD_FEE_BNK">"c231"</definedName>
    <definedName name="IQ_CREDIT_CARD_FEE_FIN">"c1583"</definedName>
    <definedName name="IQ_CREDIT_LOSS_CF">"c232"</definedName>
    <definedName name="IQ_CUMULATIVE_SPLIT_FACTOR">"c2094"</definedName>
    <definedName name="IQ_CURR_DOMESTIC_TAXES">"c2074"</definedName>
    <definedName name="IQ_CURR_FOREIGN_TAXES">"c2075"</definedName>
    <definedName name="IQ_CURRENCY_FACTOR_BS">"c233"</definedName>
    <definedName name="IQ_CURRENCY_FACTOR_IS">"c234"</definedName>
    <definedName name="IQ_CURRENCY_GAIN">"c235"</definedName>
    <definedName name="IQ_CURRENCY_GAIN_BR">"c236"</definedName>
    <definedName name="IQ_CURRENCY_GAIN_FIN">"c237"</definedName>
    <definedName name="IQ_CURRENCY_GAIN_INS">"c238"</definedName>
    <definedName name="IQ_CURRENCY_GAIN_REIT">"c239"</definedName>
    <definedName name="IQ_CURRENCY_GAIN_UTI">"c240"</definedName>
    <definedName name="IQ_CURRENT_PORT">"c241"</definedName>
    <definedName name="IQ_CURRENT_PORT_BNK">"c242"</definedName>
    <definedName name="IQ_CURRENT_PORT_DEBT">"c243"</definedName>
    <definedName name="IQ_CURRENT_PORT_DEBT_BNK">"c244"</definedName>
    <definedName name="IQ_CURRENT_PORT_DEBT_BR">"c1567"</definedName>
    <definedName name="IQ_CURRENT_PORT_DEBT_FIN">"c1568"</definedName>
    <definedName name="IQ_CURRENT_PORT_DEBT_INS">"c1569"</definedName>
    <definedName name="IQ_CURRENT_PORT_DEBT_REIT">"c1570"</definedName>
    <definedName name="IQ_CURRENT_PORT_DEBT_UTI">"c1571"</definedName>
    <definedName name="IQ_CURRENT_PORT_LEASES">"c245"</definedName>
    <definedName name="IQ_CURRENT_PORT_PCT">"c2541"</definedName>
    <definedName name="IQ_CURRENT_RATIO">"c246"</definedName>
    <definedName name="IQ_CUSIP">"c2245"</definedName>
    <definedName name="IQ_CY">10000</definedName>
    <definedName name="IQ_DA">"c247"</definedName>
    <definedName name="IQ_DA_BR">"c248"</definedName>
    <definedName name="IQ_DA_CF">"c249"</definedName>
    <definedName name="IQ_DA_CF_BNK">"c250"</definedName>
    <definedName name="IQ_DA_CF_BR">"c251"</definedName>
    <definedName name="IQ_DA_CF_FIN">"c252"</definedName>
    <definedName name="IQ_DA_CF_INS">"c253"</definedName>
    <definedName name="IQ_DA_CF_REIT">"c254"</definedName>
    <definedName name="IQ_DA_CF_UTI">"c255"</definedName>
    <definedName name="IQ_DA_EBITDA">"c5528"</definedName>
    <definedName name="IQ_DA_FIN">"c256"</definedName>
    <definedName name="IQ_DA_INS">"c257"</definedName>
    <definedName name="IQ_DA_REIT">"c258"</definedName>
    <definedName name="IQ_DA_SUPPL">"c259"</definedName>
    <definedName name="IQ_DA_SUPPL_BR">"c260"</definedName>
    <definedName name="IQ_DA_SUPPL_CF">"c261"</definedName>
    <definedName name="IQ_DA_SUPPL_CF_BNK">"c262"</definedName>
    <definedName name="IQ_DA_SUPPL_CF_BR">"c263"</definedName>
    <definedName name="IQ_DA_SUPPL_CF_FIN">"c264"</definedName>
    <definedName name="IQ_DA_SUPPL_CF_INS">"c265"</definedName>
    <definedName name="IQ_DA_SUPPL_CF_REIT">"c266"</definedName>
    <definedName name="IQ_DA_SUPPL_CF_UTI">"c267"</definedName>
    <definedName name="IQ_DA_SUPPL_FIN">"c268"</definedName>
    <definedName name="IQ_DA_SUPPL_INS">"c269"</definedName>
    <definedName name="IQ_DA_SUPPL_REIT">"c270"</definedName>
    <definedName name="IQ_DA_SUPPL_UTI">"c271"</definedName>
    <definedName name="IQ_DA_UTI">"c272"</definedName>
    <definedName name="IQ_DATED_DATE">"c2185"</definedName>
    <definedName name="IQ_DAY_COUNT">"c2161"</definedName>
    <definedName name="IQ_DAYS_COVER_SHORT">"c1578"</definedName>
    <definedName name="IQ_DAYS_INVENTORY_OUT">"c273"</definedName>
    <definedName name="IQ_DAYS_PAY_OUTST">"c1362"</definedName>
    <definedName name="IQ_DAYS_PAYABLE_OUT">"c274"</definedName>
    <definedName name="IQ_DAYS_SALES_OUT">"c275"</definedName>
    <definedName name="IQ_DAYS_SALES_OUTST">"c1363"</definedName>
    <definedName name="IQ_DEBT_ADJ">"c2515"</definedName>
    <definedName name="IQ_DEBT_ADJ_PCT">"c2516"</definedName>
    <definedName name="IQ_DEBT_EQUIV_NET_PBO">"c2938"</definedName>
    <definedName name="IQ_DEBT_EQUIV_OPER_LEASE">"c2935"</definedName>
    <definedName name="IQ_DEF_ACQ_CST">"c1364"</definedName>
    <definedName name="IQ_DEF_AMORT">"c276"</definedName>
    <definedName name="IQ_DEF_AMORT_BNK">"c277"</definedName>
    <definedName name="IQ_DEF_AMORT_BR">"c278"</definedName>
    <definedName name="IQ_DEF_AMORT_FIN">"c279"</definedName>
    <definedName name="IQ_DEF_AMORT_INS">"c280"</definedName>
    <definedName name="IQ_DEF_AMORT_REIT">"c281"</definedName>
    <definedName name="IQ_DEF_AMORT_UTI">"c282"</definedName>
    <definedName name="IQ_DEF_BENEFIT_INTEREST_COST">"c283"</definedName>
    <definedName name="IQ_DEF_BENEFIT_INTEREST_COST_DOMESTIC">"c2652"</definedName>
    <definedName name="IQ_DEF_BENEFIT_INTEREST_COST_FOREIGN">"c2660"</definedName>
    <definedName name="IQ_DEF_BENEFIT_OTHER_COST">"c284"</definedName>
    <definedName name="IQ_DEF_BENEFIT_OTHER_COST_DOMESTIC">"c2654"</definedName>
    <definedName name="IQ_DEF_BENEFIT_OTHER_COST_FOREIGN">"c2662"</definedName>
    <definedName name="IQ_DEF_BENEFIT_ROA">"c285"</definedName>
    <definedName name="IQ_DEF_BENEFIT_ROA_DOMESTIC">"c2653"</definedName>
    <definedName name="IQ_DEF_BENEFIT_ROA_FOREIGN">"c2661"</definedName>
    <definedName name="IQ_DEF_BENEFIT_SERVICE_COST">"c286"</definedName>
    <definedName name="IQ_DEF_BENEFIT_SERVICE_COST_DOMESTIC">"c2651"</definedName>
    <definedName name="IQ_DEF_BENEFIT_SERVICE_COST_FOREIGN">"c2659"</definedName>
    <definedName name="IQ_DEF_BENEFIT_TOTAL_COST">"c287"</definedName>
    <definedName name="IQ_DEF_BENEFIT_TOTAL_COST_DOMESTIC">"c2655"</definedName>
    <definedName name="IQ_DEF_BENEFIT_TOTAL_COST_FOREIGN">"c2663"</definedName>
    <definedName name="IQ_DEF_CHARGES_BR">"c288"</definedName>
    <definedName name="IQ_DEF_CHARGES_CF">"c289"</definedName>
    <definedName name="IQ_DEF_CHARGES_FIN">"c290"</definedName>
    <definedName name="IQ_DEF_CHARGES_INS">"c291"</definedName>
    <definedName name="IQ_DEF_CHARGES_LT">"c292"</definedName>
    <definedName name="IQ_DEF_CHARGES_LT_BNK">"c293"</definedName>
    <definedName name="IQ_DEF_CHARGES_LT_BR">"c294"</definedName>
    <definedName name="IQ_DEF_CHARGES_LT_FIN">"c295"</definedName>
    <definedName name="IQ_DEF_CHARGES_LT_INS">"c296"</definedName>
    <definedName name="IQ_DEF_CHARGES_LT_REIT">"c297"</definedName>
    <definedName name="IQ_DEF_CHARGES_LT_UTI">"c298"</definedName>
    <definedName name="IQ_DEF_CHARGES_REIT">"c299"</definedName>
    <definedName name="IQ_DEF_CONTRIBUTION_TOTAL_COST">"c300"</definedName>
    <definedName name="IQ_DEF_INC_TAX">"c1365"</definedName>
    <definedName name="IQ_DEF_POLICY_ACQ_COSTS">"c301"</definedName>
    <definedName name="IQ_DEF_POLICY_ACQ_COSTS_CF">"c302"</definedName>
    <definedName name="IQ_DEF_POLICY_AMORT">"c303"</definedName>
    <definedName name="IQ_DEF_TAX_ASSET_LT_BR">"c304"</definedName>
    <definedName name="IQ_DEF_TAX_ASSET_LT_FIN">"c305"</definedName>
    <definedName name="IQ_DEF_TAX_ASSET_LT_INS">"c306"</definedName>
    <definedName name="IQ_DEF_TAX_ASSET_LT_REIT">"c307"</definedName>
    <definedName name="IQ_DEF_TAX_ASSET_LT_UTI">"c308"</definedName>
    <definedName name="IQ_DEF_TAX_ASSETS_CURRENT">"c309"</definedName>
    <definedName name="IQ_DEF_TAX_ASSETS_LT">"c310"</definedName>
    <definedName name="IQ_DEF_TAX_ASSETS_LT_BNK">"c311"</definedName>
    <definedName name="IQ_DEF_TAX_LIAB_CURRENT">"c312"</definedName>
    <definedName name="IQ_DEF_TAX_LIAB_LT">"c313"</definedName>
    <definedName name="IQ_DEF_TAX_LIAB_LT_BNK">"c314"</definedName>
    <definedName name="IQ_DEF_TAX_LIAB_LT_BR">"c315"</definedName>
    <definedName name="IQ_DEF_TAX_LIAB_LT_FIN">"c316"</definedName>
    <definedName name="IQ_DEF_TAX_LIAB_LT_INS">"c317"</definedName>
    <definedName name="IQ_DEF_TAX_LIAB_LT_REIT">"c318"</definedName>
    <definedName name="IQ_DEF_TAX_LIAB_LT_UTI">"c319"</definedName>
    <definedName name="IQ_DEFERRED_DOMESTIC_TAXES">"c2077"</definedName>
    <definedName name="IQ_DEFERRED_FOREIGN_TAXES">"c2078"</definedName>
    <definedName name="IQ_DEFERRED_INC_TAX">"c1447"</definedName>
    <definedName name="IQ_DEFERRED_TAXES">"c1356"</definedName>
    <definedName name="IQ_DEMAND_DEP">"c320"</definedName>
    <definedName name="IQ_DEPOSITS_FIN">"c321"</definedName>
    <definedName name="IQ_DEPOSITS_INTEREST_SECURITIES">"c5509"</definedName>
    <definedName name="IQ_DEPRE_AMORT">"c1360"</definedName>
    <definedName name="IQ_DEPRE_AMORT_SUPPL">"c1593"</definedName>
    <definedName name="IQ_DEPRE_DEPLE">"c1361"</definedName>
    <definedName name="IQ_DEPRE_SUPP">"c1443"</definedName>
    <definedName name="IQ_DESCRIPTION_LONG">"c1520"</definedName>
    <definedName name="IQ_DEVELOP_LAND">"c323"</definedName>
    <definedName name="IQ_DIFF_LASTCLOSE_TARGET_PRICE">"c1854"</definedName>
    <definedName name="IQ_DILUT_ADJUST">"c1621"</definedName>
    <definedName name="IQ_DILUT_EPS_EXCL">"c324"</definedName>
    <definedName name="IQ_DILUT_EPS_INCL">"c325"</definedName>
    <definedName name="IQ_DILUT_EPS_NORM">"c1903"</definedName>
    <definedName name="IQ_DILUT_NI">"c2079"</definedName>
    <definedName name="IQ_DILUT_NORMAL_EPS">"c1594"</definedName>
    <definedName name="IQ_DILUT_WEIGHT">"c326"</definedName>
    <definedName name="IQ_DIRECT_AH_EARNED">"c2740"</definedName>
    <definedName name="IQ_DIRECT_EARNED">"c2730"</definedName>
    <definedName name="IQ_DIRECT_LIFE_EARNED">"c2735"</definedName>
    <definedName name="IQ_DIRECT_LIFE_IN_FORCE">"c2765"</definedName>
    <definedName name="IQ_DIRECT_PC_EARNED">"c2745"</definedName>
    <definedName name="IQ_DIRECT_WRITTEN">"c2724"</definedName>
    <definedName name="IQ_DISCONT_OPER">"c1367"</definedName>
    <definedName name="IQ_DISCOUNT_RATE_PENSION_DOMESTIC">"c327"</definedName>
    <definedName name="IQ_DISCOUNT_RATE_PENSION_FOREIGN">"c328"</definedName>
    <definedName name="IQ_DISTR_EXCESS_EARN">"c329"</definedName>
    <definedName name="IQ_DISTRIBUTABLE_CASH">"c3002"</definedName>
    <definedName name="IQ_DISTRIBUTABLE_CASH_ACT_OR_EST">"c4278"</definedName>
    <definedName name="IQ_DISTRIBUTABLE_CASH_PAYOUT">"c3005"</definedName>
    <definedName name="IQ_DISTRIBUTABLE_CASH_SHARE">"c3003"</definedName>
    <definedName name="IQ_DISTRIBUTABLE_CASH_SHARE_ACT_OR_EST">"c4286"</definedName>
    <definedName name="IQ_DIV_AMOUNT">"c3041"</definedName>
    <definedName name="IQ_DIV_PAYMENT_DATE">"c2205"</definedName>
    <definedName name="IQ_DIV_RECORD_DATE">"c2204"</definedName>
    <definedName name="IQ_DIV_SHARE">"c330"</definedName>
    <definedName name="IQ_DIVEST_CF">"c331"</definedName>
    <definedName name="IQ_DIVID_SHARE">"c1366"</definedName>
    <definedName name="IQ_DIVIDEND_YIELD">"c332"</definedName>
    <definedName name="IQ_DO">"c333"</definedName>
    <definedName name="IQ_DO_ASSETS_CURRENT">"c334"</definedName>
    <definedName name="IQ_DO_ASSETS_LT">"c335"</definedName>
    <definedName name="IQ_DO_CF">"c336"</definedName>
    <definedName name="IQ_DPAC_ACC">"c2799"</definedName>
    <definedName name="IQ_DPAC_AMORT">"c2795"</definedName>
    <definedName name="IQ_DPAC_BEG">"c2791"</definedName>
    <definedName name="IQ_DPAC_COMMISSIONS">"c2792"</definedName>
    <definedName name="IQ_DPAC_END">"c2801"</definedName>
    <definedName name="IQ_DPAC_FX">"c2798"</definedName>
    <definedName name="IQ_DPAC_OTHER_ADJ">"c2800"</definedName>
    <definedName name="IQ_DPAC_OTHERS">"c2793"</definedName>
    <definedName name="IQ_DPAC_PERIOD">"c2794"</definedName>
    <definedName name="IQ_DPAC_REAL_GAIN">"c2797"</definedName>
    <definedName name="IQ_DPAC_UNREAL_GAIN">"c2796"</definedName>
    <definedName name="IQ_DPS_10YR_ANN_GROWTH">"c337"</definedName>
    <definedName name="IQ_DPS_1YR_ANN_GROWTH">"c338"</definedName>
    <definedName name="IQ_DPS_2YR_ANN_GROWTH">"c339"</definedName>
    <definedName name="IQ_DPS_3YR_ANN_GROWTH">"c340"</definedName>
    <definedName name="IQ_DPS_5YR_ANN_GROWTH">"c341"</definedName>
    <definedName name="IQ_DPS_7YR_ANN_GROWTH">"c342"</definedName>
    <definedName name="IQ_DURATION">"c2181"</definedName>
    <definedName name="IQ_EARNING_ASSET_YIELD">"c343"</definedName>
    <definedName name="IQ_EARNING_CO">"c344"</definedName>
    <definedName name="IQ_EARNING_CO_10YR_ANN_GROWTH">"c345"</definedName>
    <definedName name="IQ_EARNING_CO_1YR_ANN_GROWTH">"c346"</definedName>
    <definedName name="IQ_EARNING_CO_2YR_ANN_GROWTH">"c347"</definedName>
    <definedName name="IQ_EARNING_CO_3YR_ANN_GROWTH">"c348"</definedName>
    <definedName name="IQ_EARNING_CO_5YR_ANN_GROWTH">"c349"</definedName>
    <definedName name="IQ_EARNING_CO_7YR_ANN_GROWTH">"c350"</definedName>
    <definedName name="IQ_EARNING_CO_MARGIN">"c351"</definedName>
    <definedName name="IQ_EARNINGS_ANNOUNCE_DATE">"c1649"</definedName>
    <definedName name="IQ_EARNINGS_ANNOUNCE_DATE_REUT">"c5314"</definedName>
    <definedName name="IQ_EBIT">"c352"</definedName>
    <definedName name="IQ_EBIT_10YR_ANN_GROWTH">"c353"</definedName>
    <definedName name="IQ_EBIT_1YR_ANN_GROWTH">"c354"</definedName>
    <definedName name="IQ_EBIT_2YR_ANN_GROWTH">"c355"</definedName>
    <definedName name="IQ_EBIT_3YR_ANN_GROWTH">"c356"</definedName>
    <definedName name="IQ_EBIT_5YR_ANN_GROWTH">"c357"</definedName>
    <definedName name="IQ_EBIT_7YR_ANN_GROWTH">"c358"</definedName>
    <definedName name="IQ_EBIT_EQ_INC">"c3498"</definedName>
    <definedName name="IQ_EBIT_EQ_INC_EXCL_SBC">"c3502"</definedName>
    <definedName name="IQ_EBIT_EXCL_SBC">"c3082"</definedName>
    <definedName name="IQ_EBIT_GW_ACT_OR_EST">"c4306"</definedName>
    <definedName name="IQ_EBIT_INT">"c360"</definedName>
    <definedName name="IQ_EBIT_MARGIN">"c359"</definedName>
    <definedName name="IQ_EBIT_OVER_IE">"c1369"</definedName>
    <definedName name="IQ_EBIT_SBC_ACT_OR_EST">"c4316"</definedName>
    <definedName name="IQ_EBIT_SBC_GW_ACT_OR_EST">"c4320"</definedName>
    <definedName name="IQ_EBITA">"c1910"</definedName>
    <definedName name="IQ_EBITA_10YR_ANN_GROWTH">"c1954"</definedName>
    <definedName name="IQ_EBITA_1YR_ANN_GROWTH">"c1949"</definedName>
    <definedName name="IQ_EBITA_2YR_ANN_GROWTH">"c1950"</definedName>
    <definedName name="IQ_EBITA_3YR_ANN_GROWTH">"c1951"</definedName>
    <definedName name="IQ_EBITA_5YR_ANN_GROWTH">"c1952"</definedName>
    <definedName name="IQ_EBITA_7YR_ANN_GROWTH">"c1953"</definedName>
    <definedName name="IQ_EBITA_EQ_INC">"c3497"</definedName>
    <definedName name="IQ_EBITA_EQ_INC_EXCL_SBC">"c3501"</definedName>
    <definedName name="IQ_EBITA_EXCL_SBC">"c3080"</definedName>
    <definedName name="IQ_EBITA_MARGIN">"c1963"</definedName>
    <definedName name="IQ_EBITDA">"c361"</definedName>
    <definedName name="IQ_EBITDA_10YR_ANN_GROWTH">"c362"</definedName>
    <definedName name="IQ_EBITDA_1YR_ANN_GROWTH">"c363"</definedName>
    <definedName name="IQ_EBITDA_2YR_ANN_GROWTH">"c364"</definedName>
    <definedName name="IQ_EBITDA_3YR_ANN_GROWTH">"c365"</definedName>
    <definedName name="IQ_EBITDA_5YR_ANN_GROWTH">"c366"</definedName>
    <definedName name="IQ_EBITDA_7YR_ANN_GROWTH">"c367"</definedName>
    <definedName name="IQ_EBITDA_ACT_OR_EST">"c2215"</definedName>
    <definedName name="IQ_EBITDA_CAPEX_INT">"c368"</definedName>
    <definedName name="IQ_EBITDA_CAPEX_OVER_TOTAL_IE">"c1370"</definedName>
    <definedName name="IQ_EBITDA_EQ_INC">"c3496"</definedName>
    <definedName name="IQ_EBITDA_EQ_INC_EXCL_SBC">"c3500"</definedName>
    <definedName name="IQ_EBITDA_EST">"c369"</definedName>
    <definedName name="IQ_EBITDA_EST_REUT">"c3640"</definedName>
    <definedName name="IQ_EBITDA_EXCL_SBC">"c3081"</definedName>
    <definedName name="IQ_EBITDA_HIGH_EST">"c370"</definedName>
    <definedName name="IQ_EBITDA_HIGH_EST_REUT">"c3642"</definedName>
    <definedName name="IQ_EBITDA_INT">"c373"</definedName>
    <definedName name="IQ_EBITDA_LOW_EST">"c371"</definedName>
    <definedName name="IQ_EBITDA_LOW_EST_REUT">"c3643"</definedName>
    <definedName name="IQ_EBITDA_MARGIN">"c372"</definedName>
    <definedName name="IQ_EBITDA_MEDIAN_EST">"c1663"</definedName>
    <definedName name="IQ_EBITDA_MEDIAN_EST_REUT">"c3641"</definedName>
    <definedName name="IQ_EBITDA_NUM_EST">"c374"</definedName>
    <definedName name="IQ_EBITDA_NUM_EST_REUT">"c3644"</definedName>
    <definedName name="IQ_EBITDA_OVER_TOTAL_IE">"c1371"</definedName>
    <definedName name="IQ_EBITDA_SBC_ACT_OR_EST">"c4337"</definedName>
    <definedName name="IQ_EBITDA_STDDEV_EST">"c375"</definedName>
    <definedName name="IQ_EBITDA_STDDEV_EST_REUT">"c3645"</definedName>
    <definedName name="IQ_EBITDAR">"c2989"</definedName>
    <definedName name="IQ_EBITDAR_EQ_INC">"c3499"</definedName>
    <definedName name="IQ_EBITDAR_EQ_INC_EXCL_SBC">"c3503"</definedName>
    <definedName name="IQ_EBITDAR_EXCL_SBC">"c3083"</definedName>
    <definedName name="IQ_EBT">"c376"</definedName>
    <definedName name="IQ_EBT_BNK">"c377"</definedName>
    <definedName name="IQ_EBT_BR">"c378"</definedName>
    <definedName name="IQ_EBT_EXCL">"c379"</definedName>
    <definedName name="IQ_EBT_EXCL_BNK">"c380"</definedName>
    <definedName name="IQ_EBT_EXCL_BR">"c381"</definedName>
    <definedName name="IQ_EBT_EXCL_FIN">"c382"</definedName>
    <definedName name="IQ_EBT_EXCL_INS">"c383"</definedName>
    <definedName name="IQ_EBT_EXCL_MARGIN">"c1462"</definedName>
    <definedName name="IQ_EBT_EXCL_REIT">"c384"</definedName>
    <definedName name="IQ_EBT_EXCL_UTI">"c385"</definedName>
    <definedName name="IQ_EBT_FIN">"c386"</definedName>
    <definedName name="IQ_EBT_INCL_MARGIN">"c387"</definedName>
    <definedName name="IQ_EBT_INS">"c388"</definedName>
    <definedName name="IQ_EBT_REIT">"c389"</definedName>
    <definedName name="IQ_EBT_SBC_ACT_OR_EST">"c4350"</definedName>
    <definedName name="IQ_EBT_SBC_GW_ACT_OR_EST">"c4354"</definedName>
    <definedName name="IQ_EBT_UTI">"c390"</definedName>
    <definedName name="IQ_EFFECT_SPECIAL_CHARGE">"c1595"</definedName>
    <definedName name="IQ_EFFECT_TAX_RATE">"c1899"</definedName>
    <definedName name="IQ_EFFICIENCY_RATIO">"c391"</definedName>
    <definedName name="IQ_EMPLOYEES">"c392"</definedName>
    <definedName name="IQ_ENTERPRISE_VALUE">"c1348"</definedName>
    <definedName name="IQ_EPS_10YR_ANN_GROWTH">"c393"</definedName>
    <definedName name="IQ_EPS_1YR_ANN_GROWTH">"c394"</definedName>
    <definedName name="IQ_EPS_2YR_ANN_GROWTH">"c395"</definedName>
    <definedName name="IQ_EPS_3YR_ANN_GROWTH">"c396"</definedName>
    <definedName name="IQ_EPS_5YR_ANN_GROWTH">"c397"</definedName>
    <definedName name="IQ_EPS_7YR_ANN_GROWTH">"c398"</definedName>
    <definedName name="IQ_EPS_ACT_OR_EST">"c2213"</definedName>
    <definedName name="IQ_EPS_EST">"c399"</definedName>
    <definedName name="IQ_EPS_EST_REUT">"c5453"</definedName>
    <definedName name="IQ_EPS_HIGH_EST">"c400"</definedName>
    <definedName name="IQ_EPS_HIGH_EST_REUT">"c5454"</definedName>
    <definedName name="IQ_EPS_LOW_EST">"c401"</definedName>
    <definedName name="IQ_EPS_LOW_EST_REUT">"c5455"</definedName>
    <definedName name="IQ_EPS_MEDIAN_EST">"c1661"</definedName>
    <definedName name="IQ_EPS_MEDIAN_EST_REUT">"c5456"</definedName>
    <definedName name="IQ_EPS_NORM">"c1902"</definedName>
    <definedName name="IQ_EPS_NUM_EST">"c402"</definedName>
    <definedName name="IQ_EPS_NUM_EST_REUT">"c5451"</definedName>
    <definedName name="IQ_EPS_SBC_ACT_OR_EST">"c4376"</definedName>
    <definedName name="IQ_EPS_SBC_GW_ACT_OR_EST">"c4380"</definedName>
    <definedName name="IQ_EPS_STDDEV_EST">"c403"</definedName>
    <definedName name="IQ_EPS_STDDEV_EST_REUT">"c5452"</definedName>
    <definedName name="IQ_EQUITY_AFFIL">"c1451"</definedName>
    <definedName name="IQ_EQUITY_METHOD">"c404"</definedName>
    <definedName name="IQ_EQV_OVER_BV">"c1596"</definedName>
    <definedName name="IQ_EQV_OVER_LTM_PRETAX_INC">"c1390"</definedName>
    <definedName name="IQ_ESOP_DEBT">"c1597"</definedName>
    <definedName name="IQ_EST_ACT_EPS">"c1648"</definedName>
    <definedName name="IQ_EST_CURRENCY">"c2140"</definedName>
    <definedName name="IQ_EST_CURRENCY_REUT">"c5437"</definedName>
    <definedName name="IQ_EST_DATE">"c1634"</definedName>
    <definedName name="IQ_EST_DATE_REUT">"c5438"</definedName>
    <definedName name="IQ_EST_EPS_DIFF">"c1864"</definedName>
    <definedName name="IQ_EST_EPS_GROWTH_1YR">"c1636"</definedName>
    <definedName name="IQ_EST_EPS_GROWTH_1YR_REUT">"c3646"</definedName>
    <definedName name="IQ_EST_EPS_GROWTH_5YR">"c1655"</definedName>
    <definedName name="IQ_EST_EPS_GROWTH_5YR_REUT">"c3633"</definedName>
    <definedName name="IQ_EST_EPS_GROWTH_Q_1YR">"c1641"</definedName>
    <definedName name="IQ_EST_EPS_GROWTH_Q_1YR_REUT">"c5410"</definedName>
    <definedName name="IQ_EST_VENDOR">"c5564"</definedName>
    <definedName name="IQ_EV_OVER_EMPLOYEE">"c1428"</definedName>
    <definedName name="IQ_EV_OVER_LTM_EBIT">"c1426"</definedName>
    <definedName name="IQ_EV_OVER_LTM_EBITDA">"c1427"</definedName>
    <definedName name="IQ_EV_OVER_LTM_REVENUE">"c1429"</definedName>
    <definedName name="IQ_EVAL_DATE">"c2180"</definedName>
    <definedName name="IQ_EXCHANGE">"c405"</definedName>
    <definedName name="IQ_EXCISE_TAXES_EXCL_SALES">"c5515"</definedName>
    <definedName name="IQ_EXCISE_TAXES_INCL_SALES">"c5514"</definedName>
    <definedName name="IQ_EXERCISE_PRICE">"c1897"</definedName>
    <definedName name="IQ_EXERCISED">"c406"</definedName>
    <definedName name="IQ_EXP_RETURN_PENSION_DOMESTIC">"c407"</definedName>
    <definedName name="IQ_EXP_RETURN_PENSION_FOREIGN">"c408"</definedName>
    <definedName name="IQ_EXPLORE_DRILL">"c409"</definedName>
    <definedName name="IQ_EXTRA_ACC_ITEMS">"c410"</definedName>
    <definedName name="IQ_EXTRA_ACC_ITEMS_BNK">"c411"</definedName>
    <definedName name="IQ_EXTRA_ACC_ITEMS_BR">"c412"</definedName>
    <definedName name="IQ_EXTRA_ACC_ITEMS_FIN">"c413"</definedName>
    <definedName name="IQ_EXTRA_ACC_ITEMS_INS">"c414"</definedName>
    <definedName name="IQ_EXTRA_ACC_ITEMS_REIT">"c415"</definedName>
    <definedName name="IQ_EXTRA_ACC_ITEMS_UTI">"c416"</definedName>
    <definedName name="IQ_EXTRA_ITEMS">"c1459"</definedName>
    <definedName name="IQ_FDIC">"c417"</definedName>
    <definedName name="IQ_FEDFUNDS_SOLD">"c2256"</definedName>
    <definedName name="IQ_FFO">"c1574"</definedName>
    <definedName name="IQ_FFO_ADJ_ACT_OR_EST">"c4435"</definedName>
    <definedName name="IQ_FFO_PAYOUT_RATIO">"c3492"</definedName>
    <definedName name="IQ_FFO_SHARE_ACT_OR_EST">"c4446"</definedName>
    <definedName name="IQ_FHLB_DEBT">"c423"</definedName>
    <definedName name="IQ_FHLB_DUE_CY">"c2080"</definedName>
    <definedName name="IQ_FHLB_DUE_CY1">"c2081"</definedName>
    <definedName name="IQ_FHLB_DUE_CY2">"c2082"</definedName>
    <definedName name="IQ_FHLB_DUE_CY3">"c2083"</definedName>
    <definedName name="IQ_FHLB_DUE_CY4">"c2084"</definedName>
    <definedName name="IQ_FHLB_DUE_NEXT_FIVE">"c2085"</definedName>
    <definedName name="IQ_FILING_CURRENCY">"c2129"</definedName>
    <definedName name="IQ_FILINGDATE_BS">"c424"</definedName>
    <definedName name="IQ_FILINGDATE_CF">"c425"</definedName>
    <definedName name="IQ_FILINGDATE_IS">"c426"</definedName>
    <definedName name="IQ_FILM_RIGHTS">"c2254"</definedName>
    <definedName name="IQ_FIN_DIV_ASSETS_CURRENT">"c427"</definedName>
    <definedName name="IQ_FIN_DIV_ASSETS_LT">"c428"</definedName>
    <definedName name="IQ_FIN_DIV_CURRENT_PORT_DEBT_TOTAL">"c5524"</definedName>
    <definedName name="IQ_FIN_DIV_CURRENT_PORT_LEASES_TOTAL">"c5523"</definedName>
    <definedName name="IQ_FIN_DIV_DEBT_CURRENT">"c429"</definedName>
    <definedName name="IQ_FIN_DIV_DEBT_LT">"c430"</definedName>
    <definedName name="IQ_FIN_DIV_DEBT_LT_TOTAL">"c5526"</definedName>
    <definedName name="IQ_FIN_DIV_EXP">"c431"</definedName>
    <definedName name="IQ_FIN_DIV_INT_EXP">"c432"</definedName>
    <definedName name="IQ_FIN_DIV_LEASES_LT_TOTAL">"c5525"</definedName>
    <definedName name="IQ_FIN_DIV_LIAB_CURRENT">"c433"</definedName>
    <definedName name="IQ_FIN_DIV_LIAB_LT">"c434"</definedName>
    <definedName name="IQ_FIN_DIV_LOANS_CURRENT">"c435"</definedName>
    <definedName name="IQ_FIN_DIV_LOANS_LT">"c436"</definedName>
    <definedName name="IQ_FIN_DIV_NOTES_PAY_TOTAL">"c5522"</definedName>
    <definedName name="IQ_FIN_DIV_REV">"c437"</definedName>
    <definedName name="IQ_FIN_DIV_ST_DEBT_TOTAL">"c5527"</definedName>
    <definedName name="IQ_FINANCING_CASH">"c1405"</definedName>
    <definedName name="IQ_FINANCING_CASH_SUPPL">"c1406"</definedName>
    <definedName name="IQ_FINISHED_INV">"c438"</definedName>
    <definedName name="IQ_FIRST_INT_DATE">"c2186"</definedName>
    <definedName name="IQ_FIRST_YEAR_LIFE">"c439"</definedName>
    <definedName name="IQ_FIRST_YEAR_LIFE_PREM">"c2787"</definedName>
    <definedName name="IQ_FIRST_YEAR_PREM">"c2786"</definedName>
    <definedName name="IQ_FIRSTPRICINGDATE">"c3050"</definedName>
    <definedName name="IQ_FISCAL_Q">"c440"</definedName>
    <definedName name="IQ_FISCAL_Y">"c441"</definedName>
    <definedName name="IQ_FIVE_PERCENT_OWNER">"c442"</definedName>
    <definedName name="IQ_FIVEPERCENT_PERCENT">"c443"</definedName>
    <definedName name="IQ_FIVEPERCENT_SHARES">"c444"</definedName>
    <definedName name="IQ_FIXED_ASSET_TURNS">"c445"</definedName>
    <definedName name="IQ_FLOAT_PERCENT">"c1575"</definedName>
    <definedName name="IQ_FOREIGN_DEP_IB">"c446"</definedName>
    <definedName name="IQ_FOREIGN_DEP_NON_IB">"c447"</definedName>
    <definedName name="IQ_FOREIGN_EXCHANGE">"c1376"</definedName>
    <definedName name="IQ_FOREIGN_LOANS">"c448"</definedName>
    <definedName name="IQ_FQ">500</definedName>
    <definedName name="IQ_FUEL">"c449"</definedName>
    <definedName name="IQ_FULL_TIME">"c450"</definedName>
    <definedName name="IQ_FWD_CY">10001</definedName>
    <definedName name="IQ_FWD_CY1">10002</definedName>
    <definedName name="IQ_FWD_CY2">10003</definedName>
    <definedName name="IQ_FWD_FY">1001</definedName>
    <definedName name="IQ_FWD_FY1">1002</definedName>
    <definedName name="IQ_FWD_FY2">1003</definedName>
    <definedName name="IQ_FWD_Q">501</definedName>
    <definedName name="IQ_FWD_Q1">502</definedName>
    <definedName name="IQ_FWD_Q2">503</definedName>
    <definedName name="IQ_FX">"c451"</definedName>
    <definedName name="IQ_FY">1000</definedName>
    <definedName name="IQ_GA_EXP">"c2241"</definedName>
    <definedName name="IQ_GAIN_ASSETS">"c452"</definedName>
    <definedName name="IQ_GAIN_ASSETS_BNK">"c453"</definedName>
    <definedName name="IQ_GAIN_ASSETS_BR">"c454"</definedName>
    <definedName name="IQ_GAIN_ASSETS_CF">"c455"</definedName>
    <definedName name="IQ_GAIN_ASSETS_CF_BNK">"c456"</definedName>
    <definedName name="IQ_GAIN_ASSETS_CF_BR">"c457"</definedName>
    <definedName name="IQ_GAIN_ASSETS_CF_FIN">"c458"</definedName>
    <definedName name="IQ_GAIN_ASSETS_CF_INS">"c459"</definedName>
    <definedName name="IQ_GAIN_ASSETS_CF_REIT">"c460"</definedName>
    <definedName name="IQ_GAIN_ASSETS_CF_UTI">"c461"</definedName>
    <definedName name="IQ_GAIN_ASSETS_FIN">"c462"</definedName>
    <definedName name="IQ_GAIN_ASSETS_INS">"c463"</definedName>
    <definedName name="IQ_GAIN_ASSETS_REIT">"c471"</definedName>
    <definedName name="IQ_GAIN_ASSETS_REV">"c472"</definedName>
    <definedName name="IQ_GAIN_ASSETS_REV_BNK">"c473"</definedName>
    <definedName name="IQ_GAIN_ASSETS_REV_BR">"c474"</definedName>
    <definedName name="IQ_GAIN_ASSETS_REV_FIN">"c475"</definedName>
    <definedName name="IQ_GAIN_ASSETS_REV_INS">"c476"</definedName>
    <definedName name="IQ_GAIN_ASSETS_REV_REIT">"c477"</definedName>
    <definedName name="IQ_GAIN_ASSETS_REV_UTI">"c478"</definedName>
    <definedName name="IQ_GAIN_ASSETS_UTI">"c479"</definedName>
    <definedName name="IQ_GAIN_INVEST">"c1463"</definedName>
    <definedName name="IQ_GAIN_INVEST_BNK">"c1582"</definedName>
    <definedName name="IQ_GAIN_INVEST_BR">"c1464"</definedName>
    <definedName name="IQ_GAIN_INVEST_CF">"c480"</definedName>
    <definedName name="IQ_GAIN_INVEST_CF_BNK">"c481"</definedName>
    <definedName name="IQ_GAIN_INVEST_CF_BR">"c482"</definedName>
    <definedName name="IQ_GAIN_INVEST_CF_FIN">"c483"</definedName>
    <definedName name="IQ_GAIN_INVEST_CF_INS">"c484"</definedName>
    <definedName name="IQ_GAIN_INVEST_CF_REIT">"c485"</definedName>
    <definedName name="IQ_GAIN_INVEST_CF_UTI">"c486"</definedName>
    <definedName name="IQ_GAIN_INVEST_FIN">"c1465"</definedName>
    <definedName name="IQ_GAIN_INVEST_INS">"c1466"</definedName>
    <definedName name="IQ_GAIN_INVEST_REIT">"c1467"</definedName>
    <definedName name="IQ_GAIN_INVEST_REV">"c494"</definedName>
    <definedName name="IQ_GAIN_INVEST_REV_BNK">"c495"</definedName>
    <definedName name="IQ_GAIN_INVEST_REV_BR">"c496"</definedName>
    <definedName name="IQ_GAIN_INVEST_REV_FIN">"c497"</definedName>
    <definedName name="IQ_GAIN_INVEST_REV_INS">"c498"</definedName>
    <definedName name="IQ_GAIN_INVEST_REV_REIT">"c499"</definedName>
    <definedName name="IQ_GAIN_INVEST_REV_UTI">"c500"</definedName>
    <definedName name="IQ_GAIN_INVEST_UTI">"c1468"</definedName>
    <definedName name="IQ_GAIN_LOANS_REC">"c501"</definedName>
    <definedName name="IQ_GAIN_LOANS_RECEIV">"c502"</definedName>
    <definedName name="IQ_GAIN_LOANS_RECEIV_REV_FIN">"c503"</definedName>
    <definedName name="IQ_GAIN_LOANS_REV">"c504"</definedName>
    <definedName name="IQ_GAIN_SALE_ASSETS">"c1377"</definedName>
    <definedName name="IQ_GEO_SEG_ASSETS">"c4069"</definedName>
    <definedName name="IQ_GEO_SEG_ASSETS_ABS">"c4091"</definedName>
    <definedName name="IQ_GEO_SEG_ASSETS_TOTAL">"c4123"</definedName>
    <definedName name="IQ_GEO_SEG_CAPEX">"c4083"</definedName>
    <definedName name="IQ_GEO_SEG_CAPEX_ABS">"c4105"</definedName>
    <definedName name="IQ_GEO_SEG_CAPEX_TOTAL">"c4127"</definedName>
    <definedName name="IQ_GEO_SEG_DA">"c4082"</definedName>
    <definedName name="IQ_GEO_SEG_DA_ABS">"c4104"</definedName>
    <definedName name="IQ_GEO_SEG_DA_TOTAL">"c4126"</definedName>
    <definedName name="IQ_GEO_SEG_EARNINGS_OP">"c4073"</definedName>
    <definedName name="IQ_GEO_SEG_EARNINGS_OP_ABS">"c4095"</definedName>
    <definedName name="IQ_GEO_SEG_EARNINGS_OP_TOTAL">"c4119"</definedName>
    <definedName name="IQ_GEO_SEG_EBT">"c4072"</definedName>
    <definedName name="IQ_GEO_SEG_EBT_ABS">"c4094"</definedName>
    <definedName name="IQ_GEO_SEG_EBT_TOTAL">"c4121"</definedName>
    <definedName name="IQ_GEO_SEG_GP">"c4070"</definedName>
    <definedName name="IQ_GEO_SEG_GP_ABS">"c4092"</definedName>
    <definedName name="IQ_GEO_SEG_GP_TOTAL">"c4120"</definedName>
    <definedName name="IQ_GEO_SEG_INC_TAX">"c4081"</definedName>
    <definedName name="IQ_GEO_SEG_INC_TAX_ABS">"c4103"</definedName>
    <definedName name="IQ_GEO_SEG_INC_TAX_TOTAL">"c4125"</definedName>
    <definedName name="IQ_GEO_SEG_INTEREST_EXP">"c4080"</definedName>
    <definedName name="IQ_GEO_SEG_INTEREST_EXP_ABS">"c4102"</definedName>
    <definedName name="IQ_GEO_SEG_INTEREST_EXP_TOTAL">"c4124"</definedName>
    <definedName name="IQ_GEO_SEG_NAME">"c5484"</definedName>
    <definedName name="IQ_GEO_SEG_NAME_ABS">"c5485"</definedName>
    <definedName name="IQ_GEO_SEG_NI">"c4071"</definedName>
    <definedName name="IQ_GEO_SEG_NI_ABS">"c4093"</definedName>
    <definedName name="IQ_GEO_SEG_NI_TOTAL">"c4122"</definedName>
    <definedName name="IQ_GEO_SEG_OPER_INC">"c4075"</definedName>
    <definedName name="IQ_GEO_SEG_OPER_INC_ABS">"c4097"</definedName>
    <definedName name="IQ_GEO_SEG_OPER_INC_TOTAL">"c4118"</definedName>
    <definedName name="IQ_GEO_SEG_REV">"c4074"</definedName>
    <definedName name="IQ_GEO_SEG_REV_ABS">"c4096"</definedName>
    <definedName name="IQ_GEO_SEG_REV_TOTAL">"c4117"</definedName>
    <definedName name="IQ_GOODWILL_NET">"c1380"</definedName>
    <definedName name="IQ_GP">"c511"</definedName>
    <definedName name="IQ_GP_10YR_ANN_GROWTH">"c512"</definedName>
    <definedName name="IQ_GP_1YR_ANN_GROWTH">"c513"</definedName>
    <definedName name="IQ_GP_2YR_ANN_GROWTH">"c514"</definedName>
    <definedName name="IQ_GP_3YR_ANN_GROWTH">"c515"</definedName>
    <definedName name="IQ_GP_5YR_ANN_GROWTH">"c516"</definedName>
    <definedName name="IQ_GP_7YR_ANN_GROWTH">"c517"</definedName>
    <definedName name="IQ_GPPE">"c518"</definedName>
    <definedName name="IQ_GROSS_AH_EARNED">"c2742"</definedName>
    <definedName name="IQ_GROSS_CLAIM_EXP_INCUR">"c2755"</definedName>
    <definedName name="IQ_GROSS_CLAIM_EXP_PAID">"c2758"</definedName>
    <definedName name="IQ_GROSS_CLAIM_EXP_RES">"c2752"</definedName>
    <definedName name="IQ_GROSS_DIVID">"c1446"</definedName>
    <definedName name="IQ_GROSS_EARNED">"c2732"</definedName>
    <definedName name="IQ_GROSS_LIFE_EARNED">"c2737"</definedName>
    <definedName name="IQ_GROSS_LIFE_IN_FORCE">"c2767"</definedName>
    <definedName name="IQ_GROSS_LOANS">"c521"</definedName>
    <definedName name="IQ_GROSS_LOANS_10YR_ANN_GROWTH">"c522"</definedName>
    <definedName name="IQ_GROSS_LOANS_1YR_ANN_GROWTH">"c523"</definedName>
    <definedName name="IQ_GROSS_LOANS_2YR_ANN_GROWTH">"c524"</definedName>
    <definedName name="IQ_GROSS_LOANS_3YR_ANN_GROWTH">"c525"</definedName>
    <definedName name="IQ_GROSS_LOANS_5YR_ANN_GROWTH">"c526"</definedName>
    <definedName name="IQ_GROSS_LOANS_7YR_ANN_GROWTH">"c527"</definedName>
    <definedName name="IQ_GROSS_LOANS_TOTAL_DEPOSITS">"c528"</definedName>
    <definedName name="IQ_GROSS_MARGIN">"c529"</definedName>
    <definedName name="IQ_GROSS_PC_EARNED">"c2747"</definedName>
    <definedName name="IQ_GROSS_PROFIT">"c1378"</definedName>
    <definedName name="IQ_GROSS_SPRD">"c2155"</definedName>
    <definedName name="IQ_GROSS_WRITTEN">"c2726"</definedName>
    <definedName name="IQ_GW">"c530"</definedName>
    <definedName name="IQ_GW_AMORT_BR">"c532"</definedName>
    <definedName name="IQ_GW_AMORT_FIN">"c540"</definedName>
    <definedName name="IQ_GW_AMORT_INS">"c541"</definedName>
    <definedName name="IQ_GW_AMORT_REIT">"c542"</definedName>
    <definedName name="IQ_GW_AMORT_UTI">"c543"</definedName>
    <definedName name="IQ_GW_INTAN_AMORT">"c1469"</definedName>
    <definedName name="IQ_GW_INTAN_AMORT_BNK">"c544"</definedName>
    <definedName name="IQ_GW_INTAN_AMORT_BR">"c1470"</definedName>
    <definedName name="IQ_GW_INTAN_AMORT_CF">"c1471"</definedName>
    <definedName name="IQ_GW_INTAN_AMORT_CF_BNK">"c1472"</definedName>
    <definedName name="IQ_GW_INTAN_AMORT_CF_BR">"c1473"</definedName>
    <definedName name="IQ_GW_INTAN_AMORT_CF_FIN">"c1474"</definedName>
    <definedName name="IQ_GW_INTAN_AMORT_CF_INS">"c1475"</definedName>
    <definedName name="IQ_GW_INTAN_AMORT_CF_REIT">"c1476"</definedName>
    <definedName name="IQ_GW_INTAN_AMORT_CF_UTI">"c1477"</definedName>
    <definedName name="IQ_GW_INTAN_AMORT_FIN">"c1478"</definedName>
    <definedName name="IQ_GW_INTAN_AMORT_INS">"c1479"</definedName>
    <definedName name="IQ_GW_INTAN_AMORT_REIT">"c1480"</definedName>
    <definedName name="IQ_GW_INTAN_AMORT_UTI">"c1481"</definedName>
    <definedName name="IQ_HIGH_TARGET_PRICE">"c1651"</definedName>
    <definedName name="IQ_HIGH_TARGET_PRICE_REUT">"c5317"</definedName>
    <definedName name="IQ_HIGHPRICE">"c545"</definedName>
    <definedName name="IQ_HOMEOWNERS_WRITTEN">"c546"</definedName>
    <definedName name="IQ_IMPAIR_OIL">"c547"</definedName>
    <definedName name="IQ_IMPAIRMENT_GW">"c548"</definedName>
    <definedName name="IQ_IMPUT_OPER_LEASE_DEPR">"c2987"</definedName>
    <definedName name="IQ_IMPUT_OPER_LEASE_INT_EXP">"c2986"</definedName>
    <definedName name="IQ_INC_AFTER_TAX">"c1598"</definedName>
    <definedName name="IQ_INC_AVAIL_EXCL">"c1395"</definedName>
    <definedName name="IQ_INC_AVAIL_INCL">"c1396"</definedName>
    <definedName name="IQ_INC_BEFORE_TAX">"c1375"</definedName>
    <definedName name="IQ_INC_EQUITY">"c549"</definedName>
    <definedName name="IQ_INC_EQUITY_BR">"c550"</definedName>
    <definedName name="IQ_INC_EQUITY_CF">"c551"</definedName>
    <definedName name="IQ_INC_EQUITY_FIN">"c552"</definedName>
    <definedName name="IQ_INC_EQUITY_INS">"c553"</definedName>
    <definedName name="IQ_INC_EQUITY_REC_BNK">"c554"</definedName>
    <definedName name="IQ_INC_EQUITY_REIT">"c555"</definedName>
    <definedName name="IQ_INC_EQUITY_REV_BNK">"c556"</definedName>
    <definedName name="IQ_INC_EQUITY_UTI">"c557"</definedName>
    <definedName name="IQ_INC_REAL_ESTATE_REC">"c558"</definedName>
    <definedName name="IQ_INC_REAL_ESTATE_REV">"c559"</definedName>
    <definedName name="IQ_INC_TAX">"c560"</definedName>
    <definedName name="IQ_INC_TAX_EXCL">"c1599"</definedName>
    <definedName name="IQ_INC_TAX_PAY_CURRENT">"c561"</definedName>
    <definedName name="IQ_INC_TRADE_ACT">"c562"</definedName>
    <definedName name="IQ_INDUSTRY">"c3601"</definedName>
    <definedName name="IQ_INDUSTRY_GROUP">"c3602"</definedName>
    <definedName name="IQ_INDUSTRY_SECTOR">"c3603"</definedName>
    <definedName name="IQ_INS_ANNUITY_LIAB">"c563"</definedName>
    <definedName name="IQ_INS_ANNUITY_REV">"c2788"</definedName>
    <definedName name="IQ_INS_DIV_EXP">"c564"</definedName>
    <definedName name="IQ_INS_DIV_REV">"c565"</definedName>
    <definedName name="IQ_INS_IN_FORCE">"c566"</definedName>
    <definedName name="IQ_INS_LIAB">"c567"</definedName>
    <definedName name="IQ_INS_POLICY_EXP">"c568"</definedName>
    <definedName name="IQ_INS_REV">"c569"</definedName>
    <definedName name="IQ_INS_SETTLE">"c570"</definedName>
    <definedName name="IQ_INS_SETTLE_BNK">"c571"</definedName>
    <definedName name="IQ_INS_SETTLE_BR">"c572"</definedName>
    <definedName name="IQ_INS_SETTLE_FIN">"c573"</definedName>
    <definedName name="IQ_INS_SETTLE_INS">"c574"</definedName>
    <definedName name="IQ_INS_SETTLE_REIT">"c575"</definedName>
    <definedName name="IQ_INS_SETTLE_UTI">"c576"</definedName>
    <definedName name="IQ_INSIDER_3MTH_BOUGHT_PCT">"c1534"</definedName>
    <definedName name="IQ_INSIDER_3MTH_NET_PCT">"c1535"</definedName>
    <definedName name="IQ_INSIDER_3MTH_SOLD_PCT">"c1533"</definedName>
    <definedName name="IQ_INSIDER_6MTH_BOUGHT_PCT">"c1537"</definedName>
    <definedName name="IQ_INSIDER_6MTH_NET_PCT">"c1538"</definedName>
    <definedName name="IQ_INSIDER_6MTH_SOLD_PCT">"c1536"</definedName>
    <definedName name="IQ_INSIDER_OVER_TOTAL">"c1581"</definedName>
    <definedName name="IQ_INSIDER_OWNER">"c577"</definedName>
    <definedName name="IQ_INSIDER_PERCENT">"c578"</definedName>
    <definedName name="IQ_INSIDER_SHARES">"c579"</definedName>
    <definedName name="IQ_INSTITUTIONAL_OVER_TOTAL">"c1580"</definedName>
    <definedName name="IQ_INSTITUTIONAL_OWNER">"c580"</definedName>
    <definedName name="IQ_INSTITUTIONAL_PERCENT">"c581"</definedName>
    <definedName name="IQ_INSTITUTIONAL_SHARES">"c582"</definedName>
    <definedName name="IQ_INSUR_RECEIV">"c1600"</definedName>
    <definedName name="IQ_INT_BORROW">"c583"</definedName>
    <definedName name="IQ_INT_DEPOSITS">"c584"</definedName>
    <definedName name="IQ_INT_DIV_INC">"c585"</definedName>
    <definedName name="IQ_INT_EXP_BR">"c586"</definedName>
    <definedName name="IQ_INT_EXP_COVERAGE">"c587"</definedName>
    <definedName name="IQ_INT_EXP_FIN">"c588"</definedName>
    <definedName name="IQ_INT_EXP_INCL_CAP">"c2988"</definedName>
    <definedName name="IQ_INT_EXP_INS">"c589"</definedName>
    <definedName name="IQ_INT_EXP_LTD">"c2086"</definedName>
    <definedName name="IQ_INT_EXP_REIT">"c590"</definedName>
    <definedName name="IQ_INT_EXP_TOTAL">"c591"</definedName>
    <definedName name="IQ_INT_EXP_UTI">"c592"</definedName>
    <definedName name="IQ_INT_INC_BR">"c593"</definedName>
    <definedName name="IQ_INT_INC_FIN">"c594"</definedName>
    <definedName name="IQ_INT_INC_INVEST">"c595"</definedName>
    <definedName name="IQ_INT_INC_LOANS">"c596"</definedName>
    <definedName name="IQ_INT_INC_REIT">"c597"</definedName>
    <definedName name="IQ_INT_INC_TOTAL">"c598"</definedName>
    <definedName name="IQ_INT_INC_UTI">"c599"</definedName>
    <definedName name="IQ_INT_INV_INC">"c600"</definedName>
    <definedName name="IQ_INT_INV_INC_REIT">"c601"</definedName>
    <definedName name="IQ_INT_INV_INC_UTI">"c602"</definedName>
    <definedName name="IQ_INT_ON_BORROWING_COVERAGE">"c603"</definedName>
    <definedName name="IQ_INT_RATE_SPREAD">"c604"</definedName>
    <definedName name="IQ_INTANGIBLES_NET">"c1407"</definedName>
    <definedName name="IQ_INTEREST_CASH_DEPOSITS">"c2255"</definedName>
    <definedName name="IQ_INTEREST_EXP">"c618"</definedName>
    <definedName name="IQ_INTEREST_EXP_NET">"c1450"</definedName>
    <definedName name="IQ_INTEREST_EXP_NON">"c1383"</definedName>
    <definedName name="IQ_INTEREST_EXP_SUPPL">"c1460"</definedName>
    <definedName name="IQ_INTEREST_INC">"c1393"</definedName>
    <definedName name="IQ_INTEREST_INC_NON">"c1384"</definedName>
    <definedName name="IQ_INTEREST_INVEST_INC">"c619"</definedName>
    <definedName name="IQ_INV_10YR_ANN_GROWTH">"c1930"</definedName>
    <definedName name="IQ_INV_1YR_ANN_GROWTH">"c1925"</definedName>
    <definedName name="IQ_INV_2YR_ANN_GROWTH">"c1926"</definedName>
    <definedName name="IQ_INV_3YR_ANN_GROWTH">"c1927"</definedName>
    <definedName name="IQ_INV_5YR_ANN_GROWTH">"c1928"</definedName>
    <definedName name="IQ_INV_7YR_ANN_GROWTH">"c1929"</definedName>
    <definedName name="IQ_INV_BANKING_FEE">"c620"</definedName>
    <definedName name="IQ_INV_METHOD">"c621"</definedName>
    <definedName name="IQ_INVENTORY">"c622"</definedName>
    <definedName name="IQ_INVENTORY_TURNS">"c623"</definedName>
    <definedName name="IQ_INVENTORY_UTI">"c624"</definedName>
    <definedName name="IQ_INVEST_DEBT">"c625"</definedName>
    <definedName name="IQ_INVEST_EQUITY_PREF">"c626"</definedName>
    <definedName name="IQ_INVEST_FHLB">"c627"</definedName>
    <definedName name="IQ_INVEST_GOV_SECURITY">"c5510"</definedName>
    <definedName name="IQ_INVEST_LOANS_CF">"c628"</definedName>
    <definedName name="IQ_INVEST_LOANS_CF_BNK">"c629"</definedName>
    <definedName name="IQ_INVEST_LOANS_CF_BR">"c630"</definedName>
    <definedName name="IQ_INVEST_LOANS_CF_FIN">"c631"</definedName>
    <definedName name="IQ_INVEST_LOANS_CF_INS">"c632"</definedName>
    <definedName name="IQ_INVEST_LOANS_CF_REIT">"c633"</definedName>
    <definedName name="IQ_INVEST_LOANS_CF_UTI">"c634"</definedName>
    <definedName name="IQ_INVEST_MUNI_SECURITY">"c5512"</definedName>
    <definedName name="IQ_INVEST_REAL_ESTATE">"c635"</definedName>
    <definedName name="IQ_INVEST_SECURITY">"c636"</definedName>
    <definedName name="IQ_INVEST_SECURITY_CF">"c637"</definedName>
    <definedName name="IQ_INVEST_SECURITY_CF_BNK">"c638"</definedName>
    <definedName name="IQ_INVEST_SECURITY_CF_BR">"c639"</definedName>
    <definedName name="IQ_INVEST_SECURITY_CF_FIN">"c640"</definedName>
    <definedName name="IQ_INVEST_SECURITY_CF_INS">"c641"</definedName>
    <definedName name="IQ_INVEST_SECURITY_CF_REIT">"c642"</definedName>
    <definedName name="IQ_INVEST_SECURITY_CF_UTI">"c643"</definedName>
    <definedName name="IQ_INVEST_SECURITY_SUPPL">"c5511"</definedName>
    <definedName name="IQ_IPRD">"c644"</definedName>
    <definedName name="IQ_ISS_DEBT_NET">"c1391"</definedName>
    <definedName name="IQ_ISS_STOCK_NET">"c1601"</definedName>
    <definedName name="IQ_ISSUE_CURRENCY">"c2156"</definedName>
    <definedName name="IQ_ISSUE_NAME">"c2142"</definedName>
    <definedName name="IQ_ISSUER">"c2143"</definedName>
    <definedName name="IQ_ISSUER_CIQID">"c2258"</definedName>
    <definedName name="IQ_ISSUER_PARENT">"c2144"</definedName>
    <definedName name="IQ_ISSUER_PARENT_CIQID">"c2260"</definedName>
    <definedName name="IQ_ISSUER_PARENT_TICKER">"c2259"</definedName>
    <definedName name="IQ_ISSUER_TICKER">"c2252"</definedName>
    <definedName name="IQ_JR_SUB_DEBT">"c2534"</definedName>
    <definedName name="IQ_JR_SUB_DEBT_EBITDA">"c2560"</definedName>
    <definedName name="IQ_JR_SUB_DEBT_EBITDA_CAPEX">"c2561"</definedName>
    <definedName name="IQ_JR_SUB_DEBT_PCT">"c2535"</definedName>
    <definedName name="IQ_LAND">"c645"</definedName>
    <definedName name="IQ_LAST_PMT_DATE">"c2188"</definedName>
    <definedName name="IQ_LAST_SPLIT_DATE">"c2095"</definedName>
    <definedName name="IQ_LAST_SPLIT_FACTOR">"c2093"</definedName>
    <definedName name="IQ_LASTPRICINGDATE">"c3051"</definedName>
    <definedName name="IQ_LASTSALEPRICE">"c646"</definedName>
    <definedName name="IQ_LASTSALEPRICE_DATE">"c2109"</definedName>
    <definedName name="IQ_LATESTK">1000</definedName>
    <definedName name="IQ_LATESTQ">500</definedName>
    <definedName name="IQ_LEGAL_SETTLE">"c647"</definedName>
    <definedName name="IQ_LEGAL_SETTLE_BNK">"c648"</definedName>
    <definedName name="IQ_LEGAL_SETTLE_BR">"c649"</definedName>
    <definedName name="IQ_LEGAL_SETTLE_FIN">"c650"</definedName>
    <definedName name="IQ_LEGAL_SETTLE_INS">"c651"</definedName>
    <definedName name="IQ_LEGAL_SETTLE_REIT">"c652"</definedName>
    <definedName name="IQ_LEGAL_SETTLE_UTI">"c653"</definedName>
    <definedName name="IQ_LEVERAGE_RATIO">"c654"</definedName>
    <definedName name="IQ_LEVERED_FCF">"c1907"</definedName>
    <definedName name="IQ_LFCF_10YR_ANN_GROWTH">"c1942"</definedName>
    <definedName name="IQ_LFCF_1YR_ANN_GROWTH">"c1937"</definedName>
    <definedName name="IQ_LFCF_2YR_ANN_GROWTH">"c1938"</definedName>
    <definedName name="IQ_LFCF_3YR_ANN_GROWTH">"c1939"</definedName>
    <definedName name="IQ_LFCF_5YR_ANN_GROWTH">"c1940"</definedName>
    <definedName name="IQ_LFCF_7YR_ANN_GROWTH">"c1941"</definedName>
    <definedName name="IQ_LFCF_MARGIN">"c1961"</definedName>
    <definedName name="IQ_LH_STATUTORY_SURPLUS">"c2771"</definedName>
    <definedName name="IQ_LICENSED_POPS">"c2123"</definedName>
    <definedName name="IQ_LIFE_EARNED">"c2739"</definedName>
    <definedName name="IQ_LIFOR">"c655"</definedName>
    <definedName name="IQ_LL">"c656"</definedName>
    <definedName name="IQ_LOAN_LEASE_RECEIV">"c657"</definedName>
    <definedName name="IQ_LOAN_LOSS">"c1386"</definedName>
    <definedName name="IQ_LOAN_SERVICE_REV">"c658"</definedName>
    <definedName name="IQ_LOANS_CF">"c659"</definedName>
    <definedName name="IQ_LOANS_CF_BNK">"c660"</definedName>
    <definedName name="IQ_LOANS_CF_BR">"c661"</definedName>
    <definedName name="IQ_LOANS_CF_FIN">"c662"</definedName>
    <definedName name="IQ_LOANS_CF_INS">"c663"</definedName>
    <definedName name="IQ_LOANS_CF_REIT">"c664"</definedName>
    <definedName name="IQ_LOANS_CF_UTI">"c665"</definedName>
    <definedName name="IQ_LOANS_FOR_SALE">"c666"</definedName>
    <definedName name="IQ_LOANS_PAST_DUE">"c667"</definedName>
    <definedName name="IQ_LOANS_RECEIV_CURRENT">"c668"</definedName>
    <definedName name="IQ_LOANS_RECEIV_LT">"c669"</definedName>
    <definedName name="IQ_LOANS_RECEIV_LT_UTI">"c670"</definedName>
    <definedName name="IQ_LONG_TERM_DEBT">"c1387"</definedName>
    <definedName name="IQ_LONG_TERM_DEBT_OVER_TOTAL_CAP">"c1388"</definedName>
    <definedName name="IQ_LONG_TERM_GROWTH">"c671"</definedName>
    <definedName name="IQ_LONG_TERM_INV">"c1389"</definedName>
    <definedName name="IQ_LOSS_LOSS_EXP">"c672"</definedName>
    <definedName name="IQ_LOSS_TO_NET_EARNED">"c2751"</definedName>
    <definedName name="IQ_LOW_TARGET_PRICE">"c1652"</definedName>
    <definedName name="IQ_LOW_TARGET_PRICE_REUT">"c5318"</definedName>
    <definedName name="IQ_LOWPRICE">"c673"</definedName>
    <definedName name="IQ_LT_DEBT">"c674"</definedName>
    <definedName name="IQ_LT_DEBT_BNK">"c675"</definedName>
    <definedName name="IQ_LT_DEBT_BR">"c676"</definedName>
    <definedName name="IQ_LT_DEBT_CAPITAL">"c677"</definedName>
    <definedName name="IQ_LT_DEBT_CAPITAL_LEASES">"c2542"</definedName>
    <definedName name="IQ_LT_DEBT_CAPITAL_LEASES_PCT">"c2543"</definedName>
    <definedName name="IQ_LT_DEBT_EQUITY">"c678"</definedName>
    <definedName name="IQ_LT_DEBT_FIN">"c679"</definedName>
    <definedName name="IQ_LT_DEBT_INS">"c680"</definedName>
    <definedName name="IQ_LT_DEBT_ISSUED">"c681"</definedName>
    <definedName name="IQ_LT_DEBT_ISSUED_BNK">"c682"</definedName>
    <definedName name="IQ_LT_DEBT_ISSUED_BR">"c683"</definedName>
    <definedName name="IQ_LT_DEBT_ISSUED_FIN">"c684"</definedName>
    <definedName name="IQ_LT_DEBT_ISSUED_INS">"c685"</definedName>
    <definedName name="IQ_LT_DEBT_ISSUED_REIT">"c686"</definedName>
    <definedName name="IQ_LT_DEBT_ISSUED_UTI">"c687"</definedName>
    <definedName name="IQ_LT_DEBT_REIT">"c688"</definedName>
    <definedName name="IQ_LT_DEBT_REPAID">"c689"</definedName>
    <definedName name="IQ_LT_DEBT_REPAID_BNK">"c690"</definedName>
    <definedName name="IQ_LT_DEBT_REPAID_BR">"c691"</definedName>
    <definedName name="IQ_LT_DEBT_REPAID_FIN">"c692"</definedName>
    <definedName name="IQ_LT_DEBT_REPAID_INS">"c693"</definedName>
    <definedName name="IQ_LT_DEBT_REPAID_REIT">"c694"</definedName>
    <definedName name="IQ_LT_DEBT_REPAID_UTI">"c695"</definedName>
    <definedName name="IQ_LT_DEBT_UTI">"c696"</definedName>
    <definedName name="IQ_LT_INVEST">"c697"</definedName>
    <definedName name="IQ_LT_INVEST_BR">"c698"</definedName>
    <definedName name="IQ_LT_INVEST_FIN">"c699"</definedName>
    <definedName name="IQ_LT_INVEST_REIT">"c700"</definedName>
    <definedName name="IQ_LT_INVEST_UTI">"c701"</definedName>
    <definedName name="IQ_LT_NOTE_RECEIV">"c1602"</definedName>
    <definedName name="IQ_LTD_DUE_AFTER_FIVE">"c704"</definedName>
    <definedName name="IQ_LTD_DUE_CY">"c705"</definedName>
    <definedName name="IQ_LTD_DUE_CY1">"c706"</definedName>
    <definedName name="IQ_LTD_DUE_CY2">"c707"</definedName>
    <definedName name="IQ_LTD_DUE_CY3">"c708"</definedName>
    <definedName name="IQ_LTD_DUE_CY4">"c709"</definedName>
    <definedName name="IQ_LTD_DUE_NEXT_FIVE">"c710"</definedName>
    <definedName name="IQ_LTM">2000</definedName>
    <definedName name="IQ_LTM_REVENUE_OVER_EMPLOYEES">"c1437"</definedName>
    <definedName name="IQ_MACHINERY">"c711"</definedName>
    <definedName name="IQ_MAINT_CAPEX">"c2947"</definedName>
    <definedName name="IQ_MAINT_CAPEX_ACT_OR_EST">"c4458"</definedName>
    <definedName name="IQ_MAINT_REPAIR">"c2087"</definedName>
    <definedName name="IQ_MAKE_WHOLE_END_DATE">"c2493"</definedName>
    <definedName name="IQ_MAKE_WHOLE_SPREAD">"c2494"</definedName>
    <definedName name="IQ_MAKE_WHOLE_START_DATE">"c2492"</definedName>
    <definedName name="IQ_MARKET_CAP_LFCF">"c2209"</definedName>
    <definedName name="IQ_MARKETCAP">"c712"</definedName>
    <definedName name="IQ_MARKETING">"c2239"</definedName>
    <definedName name="IQ_MATURITY_DATE">"c2146"</definedName>
    <definedName name="IQ_MC_RATIO">"c2783"</definedName>
    <definedName name="IQ_MC_STATUTORY_SURPLUS">"c2772"</definedName>
    <definedName name="IQ_MEDIAN_TARGET_PRICE">"c1650"</definedName>
    <definedName name="IQ_MEDIAN_TARGET_PRICE_REUT">"c5316"</definedName>
    <definedName name="IQ_MERGER">"c713"</definedName>
    <definedName name="IQ_MERGER_BNK">"c714"</definedName>
    <definedName name="IQ_MERGER_BR">"c715"</definedName>
    <definedName name="IQ_MERGER_FIN">"c716"</definedName>
    <definedName name="IQ_MERGER_INS">"c717"</definedName>
    <definedName name="IQ_MERGER_REIT">"c718"</definedName>
    <definedName name="IQ_MERGER_RESTRUCTURE">"c719"</definedName>
    <definedName name="IQ_MERGER_RESTRUCTURE_BNK">"c720"</definedName>
    <definedName name="IQ_MERGER_RESTRUCTURE_BR">"c721"</definedName>
    <definedName name="IQ_MERGER_RESTRUCTURE_FIN">"c722"</definedName>
    <definedName name="IQ_MERGER_RESTRUCTURE_INS">"c723"</definedName>
    <definedName name="IQ_MERGER_RESTRUCTURE_REIT">"c724"</definedName>
    <definedName name="IQ_MERGER_RESTRUCTURE_UTI">"c725"</definedName>
    <definedName name="IQ_MERGER_UTI">"c726"</definedName>
    <definedName name="IQ_MINORITY_INTEREST">"c727"</definedName>
    <definedName name="IQ_MINORITY_INTEREST_BNK">"c728"</definedName>
    <definedName name="IQ_MINORITY_INTEREST_BR">"c729"</definedName>
    <definedName name="IQ_MINORITY_INTEREST_CF">"c730"</definedName>
    <definedName name="IQ_MINORITY_INTEREST_FIN">"c731"</definedName>
    <definedName name="IQ_MINORITY_INTEREST_INS">"c732"</definedName>
    <definedName name="IQ_MINORITY_INTEREST_IS">"c733"</definedName>
    <definedName name="IQ_MINORITY_INTEREST_REIT">"c734"</definedName>
    <definedName name="IQ_MINORITY_INTEREST_TOTAL">"c1905"</definedName>
    <definedName name="IQ_MINORITY_INTEREST_UTI">"c735"</definedName>
    <definedName name="IQ_MISC_ADJUST_CF">"c736"</definedName>
    <definedName name="IQ_MISC_EARN_ADJ">"c1603"</definedName>
    <definedName name="IQ_MKTCAP_EBT_EXCL">"c737"</definedName>
    <definedName name="IQ_MKTCAP_EBT_EXCL_AVG">"c738"</definedName>
    <definedName name="IQ_MKTCAP_EBT_INCL_AVG">"c739"</definedName>
    <definedName name="IQ_MKTCAP_TOTAL_REV">"c740"</definedName>
    <definedName name="IQ_MKTCAP_TOTAL_REV_AVG">"c741"</definedName>
    <definedName name="IQ_MKTCAP_TOTAL_REV_FWD">"c742"</definedName>
    <definedName name="IQ_MKTCAP_TOTAL_REV_FWD_REUT">"c4048"</definedName>
    <definedName name="IQ_MM_ACCOUNT">"c743"</definedName>
    <definedName name="IQ_MORT_BANK_ACT">"c744"</definedName>
    <definedName name="IQ_MORT_BANKING_FEE">"c745"</definedName>
    <definedName name="IQ_MORT_INT_INC">"c746"</definedName>
    <definedName name="IQ_MORT_LOANS">"c747"</definedName>
    <definedName name="IQ_MORT_SECURITY">"c748"</definedName>
    <definedName name="IQ_MORTGAGE_SERV_RIGHTS">"c2242"</definedName>
    <definedName name="IQ_NET_CHANGE">"c749"</definedName>
    <definedName name="IQ_NET_CLAIM_EXP_INCUR">"c2757"</definedName>
    <definedName name="IQ_NET_CLAIM_EXP_INCUR_CY">"c2761"</definedName>
    <definedName name="IQ_NET_CLAIM_EXP_INCUR_PY">"c2762"</definedName>
    <definedName name="IQ_NET_CLAIM_EXP_PAID">"c2760"</definedName>
    <definedName name="IQ_NET_CLAIM_EXP_PAID_CY">"c2763"</definedName>
    <definedName name="IQ_NET_CLAIM_EXP_PAID_PY">"c2764"</definedName>
    <definedName name="IQ_NET_CLAIM_EXP_RES">"c2754"</definedName>
    <definedName name="IQ_NET_DEBT">"c1584"</definedName>
    <definedName name="IQ_NET_DEBT_EBITDA">"c750"</definedName>
    <definedName name="IQ_NET_DEBT_EBITDA_CAPEX">"c2949"</definedName>
    <definedName name="IQ_NET_DEBT_ISSUED">"c751"</definedName>
    <definedName name="IQ_NET_DEBT_ISSUED_BNK">"c752"</definedName>
    <definedName name="IQ_NET_DEBT_ISSUED_BR">"c753"</definedName>
    <definedName name="IQ_NET_DEBT_ISSUED_FIN">"c754"</definedName>
    <definedName name="IQ_NET_DEBT_ISSUED_INS">"c755"</definedName>
    <definedName name="IQ_NET_DEBT_ISSUED_REIT">"c756"</definedName>
    <definedName name="IQ_NET_DEBT_ISSUED_UTI">"c757"</definedName>
    <definedName name="IQ_NET_EARNED">"c2734"</definedName>
    <definedName name="IQ_NET_INC">"c1394"</definedName>
    <definedName name="IQ_NET_INC_BEFORE">"c1368"</definedName>
    <definedName name="IQ_NET_INC_CF">"c1397"</definedName>
    <definedName name="IQ_NET_INC_MARGIN">"c1398"</definedName>
    <definedName name="IQ_NET_INT_INC_10YR_ANN_GROWTH">"c758"</definedName>
    <definedName name="IQ_NET_INT_INC_1YR_ANN_GROWTH">"c759"</definedName>
    <definedName name="IQ_NET_INT_INC_2YR_ANN_GROWTH">"c760"</definedName>
    <definedName name="IQ_NET_INT_INC_3YR_ANN_GROWTH">"c761"</definedName>
    <definedName name="IQ_NET_INT_INC_5YR_ANN_GROWTH">"c762"</definedName>
    <definedName name="IQ_NET_INT_INC_7YR_ANN_GROWTH">"c763"</definedName>
    <definedName name="IQ_NET_INT_INC_BNK">"c764"</definedName>
    <definedName name="IQ_NET_INT_INC_BR">"c765"</definedName>
    <definedName name="IQ_NET_INT_INC_FIN">"c766"</definedName>
    <definedName name="IQ_NET_INT_INC_TOTAL_REV">"c767"</definedName>
    <definedName name="IQ_NET_INT_MARGIN">"c768"</definedName>
    <definedName name="IQ_NET_INTEREST_EXP">"c769"</definedName>
    <definedName name="IQ_NET_INTEREST_EXP_REIT">"c770"</definedName>
    <definedName name="IQ_NET_INTEREST_EXP_UTI">"c771"</definedName>
    <definedName name="IQ_NET_INTEREST_INC">"c1392"</definedName>
    <definedName name="IQ_NET_INTEREST_INC_AFTER_LL">"c1604"</definedName>
    <definedName name="IQ_NET_LIFE_INS_IN_FORCE">"c2769"</definedName>
    <definedName name="IQ_NET_LOANS">"c772"</definedName>
    <definedName name="IQ_NET_LOANS_10YR_ANN_GROWTH">"c773"</definedName>
    <definedName name="IQ_NET_LOANS_1YR_ANN_GROWTH">"c774"</definedName>
    <definedName name="IQ_NET_LOANS_2YR_ANN_GROWTH">"c775"</definedName>
    <definedName name="IQ_NET_LOANS_3YR_ANN_GROWTH">"c776"</definedName>
    <definedName name="IQ_NET_LOANS_5YR_ANN_GROWTH">"c777"</definedName>
    <definedName name="IQ_NET_LOANS_7YR_ANN_GROWTH">"c778"</definedName>
    <definedName name="IQ_NET_LOANS_TOTAL_DEPOSITS">"c779"</definedName>
    <definedName name="IQ_NET_RENTAL_EXP_FN">"c780"</definedName>
    <definedName name="IQ_NET_TO_GROSS_EARNED">"c2750"</definedName>
    <definedName name="IQ_NET_TO_GROSS_WRITTEN">"c2729"</definedName>
    <definedName name="IQ_NET_WORKING_CAP">"c3493"</definedName>
    <definedName name="IQ_NET_WRITTEN">"c2728"</definedName>
    <definedName name="IQ_NEW_PREM">"c2785"</definedName>
    <definedName name="IQ_NEXT_CALL_DATE">"c2198"</definedName>
    <definedName name="IQ_NEXT_CALL_PRICE">"c2199"</definedName>
    <definedName name="IQ_NEXT_INT_DATE">"c2187"</definedName>
    <definedName name="IQ_NEXT_PUT_DATE">"c2200"</definedName>
    <definedName name="IQ_NEXT_PUT_PRICE">"c2201"</definedName>
    <definedName name="IQ_NEXT_SINK_FUND_AMOUNT">"c2490"</definedName>
    <definedName name="IQ_NEXT_SINK_FUND_DATE">"c2489"</definedName>
    <definedName name="IQ_NEXT_SINK_FUND_PRICE">"c2491"</definedName>
    <definedName name="IQ_NI">"c781"</definedName>
    <definedName name="IQ_NI_10YR_ANN_GROWTH">"c782"</definedName>
    <definedName name="IQ_NI_1YR_ANN_GROWTH">"c783"</definedName>
    <definedName name="IQ_NI_2YR_ANN_GROWTH">"c784"</definedName>
    <definedName name="IQ_NI_3YR_ANN_GROWTH">"c785"</definedName>
    <definedName name="IQ_NI_5YR_ANN_GROWTH">"c786"</definedName>
    <definedName name="IQ_NI_7YR_ANN_GROWTH">"c787"</definedName>
    <definedName name="IQ_NI_AFTER_CAPITALIZED">"c788"</definedName>
    <definedName name="IQ_NI_AVAIL_EXCL">"c789"</definedName>
    <definedName name="IQ_NI_AVAIL_EXCL_MARGIN">"c790"</definedName>
    <definedName name="IQ_NI_AVAIL_INCL">"c791"</definedName>
    <definedName name="IQ_NI_BEFORE_CAPITALIZED">"c792"</definedName>
    <definedName name="IQ_NI_CF">"c793"</definedName>
    <definedName name="IQ_NI_MARGIN">"c794"</definedName>
    <definedName name="IQ_NI_NORM">"c1901"</definedName>
    <definedName name="IQ_NI_NORM_10YR_ANN_GROWTH">"c1960"</definedName>
    <definedName name="IQ_NI_NORM_1YR_ANN_GROWTH">"c1955"</definedName>
    <definedName name="IQ_NI_NORM_2YR_ANN_GROWTH">"c1956"</definedName>
    <definedName name="IQ_NI_NORM_3YR_ANN_GROWTH">"c1957"</definedName>
    <definedName name="IQ_NI_NORM_5YR_ANN_GROWTH">"c1958"</definedName>
    <definedName name="IQ_NI_NORM_7YR_ANN_GROWTH">"c1959"</definedName>
    <definedName name="IQ_NI_NORM_MARGIN">"c1964"</definedName>
    <definedName name="IQ_NI_SBC_ACT_OR_EST">"c4474"</definedName>
    <definedName name="IQ_NI_SBC_GW_ACT_OR_EST">"c4478"</definedName>
    <definedName name="IQ_NI_SFAS">"c795"</definedName>
    <definedName name="IQ_NOL_CF_1YR">"c3465"</definedName>
    <definedName name="IQ_NOL_CF_2YR">"c3466"</definedName>
    <definedName name="IQ_NOL_CF_3YR">"c3467"</definedName>
    <definedName name="IQ_NOL_CF_4YR">"c3468"</definedName>
    <definedName name="IQ_NOL_CF_5YR">"c3469"</definedName>
    <definedName name="IQ_NOL_CF_AFTER_FIVE">"c3470"</definedName>
    <definedName name="IQ_NOL_CF_MAX_YEAR">"c3473"</definedName>
    <definedName name="IQ_NOL_CF_NO_EXP">"c3471"</definedName>
    <definedName name="IQ_NOL_CF_TOTAL">"c3472"</definedName>
    <definedName name="IQ_NON_ACCRUAL_LOANS">"c796"</definedName>
    <definedName name="IQ_NON_CASH">"c1399"</definedName>
    <definedName name="IQ_NON_CASH_ITEMS">"c797"</definedName>
    <definedName name="IQ_NON_INS_EXP">"c798"</definedName>
    <definedName name="IQ_NON_INS_REV">"c799"</definedName>
    <definedName name="IQ_NON_INT_BEAR_CD">"c800"</definedName>
    <definedName name="IQ_NON_INT_EXP">"c801"</definedName>
    <definedName name="IQ_NON_INT_INC">"c802"</definedName>
    <definedName name="IQ_NON_INT_INC_10YR_ANN_GROWTH">"c803"</definedName>
    <definedName name="IQ_NON_INT_INC_1YR_ANN_GROWTH">"c804"</definedName>
    <definedName name="IQ_NON_INT_INC_2YR_ANN_GROWTH">"c805"</definedName>
    <definedName name="IQ_NON_INT_INC_3YR_ANN_GROWTH">"c806"</definedName>
    <definedName name="IQ_NON_INT_INC_5YR_ANN_GROWTH">"c807"</definedName>
    <definedName name="IQ_NON_INT_INC_7YR_ANN_GROWTH">"c808"</definedName>
    <definedName name="IQ_NON_INTEREST_EXP">"c1400"</definedName>
    <definedName name="IQ_NON_INTEREST_INC">"c1401"</definedName>
    <definedName name="IQ_NON_OPER_EXP">"c809"</definedName>
    <definedName name="IQ_NON_OPER_INC">"c810"</definedName>
    <definedName name="IQ_NON_PERF_ASSETS_10YR_ANN_GROWTH">"c811"</definedName>
    <definedName name="IQ_NON_PERF_ASSETS_1YR_ANN_GROWTH">"c812"</definedName>
    <definedName name="IQ_NON_PERF_ASSETS_2YR_ANN_GROWTH">"c813"</definedName>
    <definedName name="IQ_NON_PERF_ASSETS_3YR_ANN_GROWTH">"c814"</definedName>
    <definedName name="IQ_NON_PERF_ASSETS_5YR_ANN_GROWTH">"c815"</definedName>
    <definedName name="IQ_NON_PERF_ASSETS_7YR_ANN_GROWTH">"c816"</definedName>
    <definedName name="IQ_NON_PERF_ASSETS_TOTAL_ASSETS">"c817"</definedName>
    <definedName name="IQ_NON_PERF_LOANS_10YR_ANN_GROWTH">"c818"</definedName>
    <definedName name="IQ_NON_PERF_LOANS_1YR_ANN_GROWTH">"c819"</definedName>
    <definedName name="IQ_NON_PERF_LOANS_2YR_ANN_GROWTH">"c820"</definedName>
    <definedName name="IQ_NON_PERF_LOANS_3YR_ANN_GROWTH">"c821"</definedName>
    <definedName name="IQ_NON_PERF_LOANS_5YR_ANN_GROWTH">"c822"</definedName>
    <definedName name="IQ_NON_PERF_LOANS_7YR_ANN_GROWTH">"c823"</definedName>
    <definedName name="IQ_NON_PERF_LOANS_TOTAL_ASSETS">"c824"</definedName>
    <definedName name="IQ_NON_PERF_LOANS_TOTAL_LOANS">"c825"</definedName>
    <definedName name="IQ_NON_PERFORMING_ASSETS">"c826"</definedName>
    <definedName name="IQ_NON_PERFORMING_LOANS">"c827"</definedName>
    <definedName name="IQ_NONCASH_PENSION_EXP">"c3000"</definedName>
    <definedName name="IQ_NONRECOURSE_DEBT">"c2550"</definedName>
    <definedName name="IQ_NONRECOURSE_DEBT_PCT">"c2551"</definedName>
    <definedName name="IQ_NONUTIL_REV">"c2089"</definedName>
    <definedName name="IQ_NORMAL_INC_AFTER">"c1605"</definedName>
    <definedName name="IQ_NORMAL_INC_AVAIL">"c1606"</definedName>
    <definedName name="IQ_NORMAL_INC_BEFORE">"c1607"</definedName>
    <definedName name="IQ_NOTES_PAY">"c1423"</definedName>
    <definedName name="IQ_NOW_ACCOUNT">"c828"</definedName>
    <definedName name="IQ_NPPE">"c829"</definedName>
    <definedName name="IQ_NPPE_10YR_ANN_GROWTH">"c830"</definedName>
    <definedName name="IQ_NPPE_1YR_ANN_GROWTH">"c831"</definedName>
    <definedName name="IQ_NPPE_2YR_ANN_GROWTH">"c832"</definedName>
    <definedName name="IQ_NPPE_3YR_ANN_GROWTH">"c833"</definedName>
    <definedName name="IQ_NPPE_5YR_ANN_GROWTH">"c834"</definedName>
    <definedName name="IQ_NPPE_7YR_ANN_GROWTH">"c835"</definedName>
    <definedName name="IQ_NTM">6000</definedName>
    <definedName name="IQ_NUKE">"c836"</definedName>
    <definedName name="IQ_NUKE_CF">"c837"</definedName>
    <definedName name="IQ_NUKE_CONTR">"c838"</definedName>
    <definedName name="IQ_NUM_BRANCHES">"c2088"</definedName>
    <definedName name="IQ_NUMBER_ADRHOLDERS">"c1970"</definedName>
    <definedName name="IQ_NUMBER_DAYS">"c1904"</definedName>
    <definedName name="IQ_NUMBER_SHAREHOLDERS">"c1967"</definedName>
    <definedName name="IQ_NUMBER_SHAREHOLDERS_CLASSA">"c1968"</definedName>
    <definedName name="IQ_NUMBER_SHAREHOLDERS_OTHER">"c1969"</definedName>
    <definedName name="IQ_OCCUPY_EXP">"c839"</definedName>
    <definedName name="IQ_OFFER_AMOUNT">"c2152"</definedName>
    <definedName name="IQ_OFFER_COUPON">"c2147"</definedName>
    <definedName name="IQ_OFFER_COUPON_TYPE">"c2148"</definedName>
    <definedName name="IQ_OFFER_DATE">"c2149"</definedName>
    <definedName name="IQ_OFFER_PRICE">"c2150"</definedName>
    <definedName name="IQ_OFFER_YIELD">"c2151"</definedName>
    <definedName name="IQ_OG_10DISC">"c1998"</definedName>
    <definedName name="IQ_OG_10DISC_GAS">"c2018"</definedName>
    <definedName name="IQ_OG_10DISC_OIL">"c2008"</definedName>
    <definedName name="IQ_OG_ACQ_COST_PROVED">"c1975"</definedName>
    <definedName name="IQ_OG_ACQ_COST_PROVED_GAS">"c1987"</definedName>
    <definedName name="IQ_OG_ACQ_COST_PROVED_OIL">"c1981"</definedName>
    <definedName name="IQ_OG_ACQ_COST_UNPROVED">"c1976"</definedName>
    <definedName name="IQ_OG_ACQ_COST_UNPROVED_GAS">"c1988"</definedName>
    <definedName name="IQ_OG_ACQ_COST_UNPROVED_OIL">"c1982"</definedName>
    <definedName name="IQ_OG_AVG_DAILY_PROD_GAS">"c2910"</definedName>
    <definedName name="IQ_OG_AVG_DAILY_PROD_NGL">"c2911"</definedName>
    <definedName name="IQ_OG_AVG_DAILY_PROD_OIL">"c2909"</definedName>
    <definedName name="IQ_OG_CLOSE_BALANCE_GAS">"c2049"</definedName>
    <definedName name="IQ_OG_CLOSE_BALANCE_NGL">"c2920"</definedName>
    <definedName name="IQ_OG_CLOSE_BALANCE_OIL">"c2037"</definedName>
    <definedName name="IQ_OG_DCF_BEFORE_TAXES">"c2023"</definedName>
    <definedName name="IQ_OG_DCF_BEFORE_TAXES_GAS">"c2025"</definedName>
    <definedName name="IQ_OG_DCF_BEFORE_TAXES_OIL">"c2024"</definedName>
    <definedName name="IQ_OG_DEVELOPED_RESERVES_GAS">"c2053"</definedName>
    <definedName name="IQ_OG_DEVELOPED_RESERVES_NGL">"c2922"</definedName>
    <definedName name="IQ_OG_DEVELOPED_RESERVES_OIL">"c2054"</definedName>
    <definedName name="IQ_OG_DEVELOPMENT_COSTS">"c1978"</definedName>
    <definedName name="IQ_OG_DEVELOPMENT_COSTS_GAS">"c1990"</definedName>
    <definedName name="IQ_OG_DEVELOPMENT_COSTS_OIL">"c1984"</definedName>
    <definedName name="IQ_OG_EQUITY_DCF">"c2002"</definedName>
    <definedName name="IQ_OG_EQUITY_DCF_GAS">"c2022"</definedName>
    <definedName name="IQ_OG_EQUITY_DCF_OIL">"c2012"</definedName>
    <definedName name="IQ_OG_EQUTY_RESERVES_GAS">"c2050"</definedName>
    <definedName name="IQ_OG_EQUTY_RESERVES_NGL">"c2921"</definedName>
    <definedName name="IQ_OG_EQUTY_RESERVES_OIL">"c2038"</definedName>
    <definedName name="IQ_OG_EXPLORATION_COSTS">"c1977"</definedName>
    <definedName name="IQ_OG_EXPLORATION_COSTS_GAS">"c1989"</definedName>
    <definedName name="IQ_OG_EXPLORATION_COSTS_OIL">"c1983"</definedName>
    <definedName name="IQ_OG_EXT_DISC_GAS">"c2043"</definedName>
    <definedName name="IQ_OG_EXT_DISC_NGL">"c2914"</definedName>
    <definedName name="IQ_OG_EXT_DISC_OIL">"c2031"</definedName>
    <definedName name="IQ_OG_FUTURE_CASH_INFLOWS">"c1993"</definedName>
    <definedName name="IQ_OG_FUTURE_CASH_INFLOWS_GAS">"c2013"</definedName>
    <definedName name="IQ_OG_FUTURE_CASH_INFLOWS_OIL">"c2003"</definedName>
    <definedName name="IQ_OG_FUTURE_DEVELOPMENT_COSTS">"c1995"</definedName>
    <definedName name="IQ_OG_FUTURE_DEVELOPMENT_COSTS_GAS">"c2015"</definedName>
    <definedName name="IQ_OG_FUTURE_DEVELOPMENT_COSTS_OIL">"c2005"</definedName>
    <definedName name="IQ_OG_FUTURE_INC_TAXES">"c1997"</definedName>
    <definedName name="IQ_OG_FUTURE_INC_TAXES_GAS">"c2017"</definedName>
    <definedName name="IQ_OG_FUTURE_INC_TAXES_OIL">"c2007"</definedName>
    <definedName name="IQ_OG_FUTURE_PRODUCTION_COSTS">"c1994"</definedName>
    <definedName name="IQ_OG_FUTURE_PRODUCTION_COSTS_GAS">"c2014"</definedName>
    <definedName name="IQ_OG_FUTURE_PRODUCTION_COSTS_OIL">"c2004"</definedName>
    <definedName name="IQ_OG_GAS_PRICE_HEDGED">"c2056"</definedName>
    <definedName name="IQ_OG_GAS_PRICE_UNHEDGED">"c2058"</definedName>
    <definedName name="IQ_OG_IMPROVED_RECOVERY_GAS">"c2044"</definedName>
    <definedName name="IQ_OG_IMPROVED_RECOVERY_NGL">"c2915"</definedName>
    <definedName name="IQ_OG_IMPROVED_RECOVERY_OIL">"c2032"</definedName>
    <definedName name="IQ_OG_LIQUID_GAS_PRICE_HEDGED">"c2233"</definedName>
    <definedName name="IQ_OG_LIQUID_GAS_PRICE_UNHEDGED">"c2234"</definedName>
    <definedName name="IQ_OG_NET_FUTURE_CASH_FLOWS">"c1996"</definedName>
    <definedName name="IQ_OG_NET_FUTURE_CASH_FLOWS_GAS">"c2016"</definedName>
    <definedName name="IQ_OG_NET_FUTURE_CASH_FLOWS_OIL">"c2006"</definedName>
    <definedName name="IQ_OG_OIL_PRICE_HEDGED">"c2055"</definedName>
    <definedName name="IQ_OG_OIL_PRICE_UNHEDGED">"c2057"</definedName>
    <definedName name="IQ_OG_OPEN_BALANCE_GAS">"c2041"</definedName>
    <definedName name="IQ_OG_OPEN_BALANCE_NGL">"c2912"</definedName>
    <definedName name="IQ_OG_OPEN_BALANCE_OIL">"c2029"</definedName>
    <definedName name="IQ_OG_OTHER_ADJ_FCF">"c1999"</definedName>
    <definedName name="IQ_OG_OTHER_ADJ_FCF_GAS">"c2019"</definedName>
    <definedName name="IQ_OG_OTHER_ADJ_FCF_OIL">"c2009"</definedName>
    <definedName name="IQ_OG_OTHER_ADJ_GAS">"c2048"</definedName>
    <definedName name="IQ_OG_OTHER_ADJ_NGL">"c2919"</definedName>
    <definedName name="IQ_OG_OTHER_ADJ_OIL">"c2036"</definedName>
    <definedName name="IQ_OG_OTHER_COSTS">"c1979"</definedName>
    <definedName name="IQ_OG_OTHER_COSTS_GAS">"c1991"</definedName>
    <definedName name="IQ_OG_OTHER_COSTS_OIL">"c1985"</definedName>
    <definedName name="IQ_OG_PRODUCTION_GAS">"c2047"</definedName>
    <definedName name="IQ_OG_PRODUCTION_NGL">"c2918"</definedName>
    <definedName name="IQ_OG_PRODUCTION_OIL">"c2035"</definedName>
    <definedName name="IQ_OG_PURCHASES_GAS">"c2045"</definedName>
    <definedName name="IQ_OG_PURCHASES_NGL">"c2916"</definedName>
    <definedName name="IQ_OG_PURCHASES_OIL">"c2033"</definedName>
    <definedName name="IQ_OG_REVISIONS_GAS">"c2042"</definedName>
    <definedName name="IQ_OG_REVISIONS_NGL">"c2913"</definedName>
    <definedName name="IQ_OG_REVISIONS_OIL">"c2030"</definedName>
    <definedName name="IQ_OG_SALES_IN_PLACE_GAS">"c2046"</definedName>
    <definedName name="IQ_OG_SALES_IN_PLACE_NGL">"c2917"</definedName>
    <definedName name="IQ_OG_SALES_IN_PLACE_OIL">"c2034"</definedName>
    <definedName name="IQ_OG_STANDARDIZED_DCF">"c2000"</definedName>
    <definedName name="IQ_OG_STANDARDIZED_DCF_GAS">"c2020"</definedName>
    <definedName name="IQ_OG_STANDARDIZED_DCF_HEDGED">"c2001"</definedName>
    <definedName name="IQ_OG_STANDARDIZED_DCF_HEDGED_GAS">"c2021"</definedName>
    <definedName name="IQ_OG_STANDARDIZED_DCF_HEDGED_OIL">"c2011"</definedName>
    <definedName name="IQ_OG_STANDARDIZED_DCF_OIL">"c2010"</definedName>
    <definedName name="IQ_OG_TAXES">"c2026"</definedName>
    <definedName name="IQ_OG_TAXES_GAS">"c2028"</definedName>
    <definedName name="IQ_OG_TAXES_OIL">"c2027"</definedName>
    <definedName name="IQ_OG_TOTAL_COSTS">"c1980"</definedName>
    <definedName name="IQ_OG_TOTAL_COSTS_GAS">"c1992"</definedName>
    <definedName name="IQ_OG_TOTAL_COSTS_OIL">"c1986"</definedName>
    <definedName name="IQ_OG_TOTAL_EST_PROVED_RESERVES_GAS">"c2052"</definedName>
    <definedName name="IQ_OG_TOTAL_GAS_PRODUCTION">"c2060"</definedName>
    <definedName name="IQ_OG_TOTAL_LIQUID_GAS_PRODUCTION">"c2235"</definedName>
    <definedName name="IQ_OG_TOTAL_OIL_PRODUCTION">"c2059"</definedName>
    <definedName name="IQ_OG_UNDEVELOPED_RESERVES_GAS">"c2051"</definedName>
    <definedName name="IQ_OG_UNDEVELOPED_RESERVES_NGL">"c2923"</definedName>
    <definedName name="IQ_OG_UNDEVELOPED_RESERVES_OIL">"c2039"</definedName>
    <definedName name="IQ_OIL_IMPAIR">"c840"</definedName>
    <definedName name="IQ_OL_COMM_AFTER_FIVE">"c841"</definedName>
    <definedName name="IQ_OL_COMM_CY">"c842"</definedName>
    <definedName name="IQ_OL_COMM_CY1">"c843"</definedName>
    <definedName name="IQ_OL_COMM_CY2">"c844"</definedName>
    <definedName name="IQ_OL_COMM_CY3">"c845"</definedName>
    <definedName name="IQ_OL_COMM_CY4">"c846"</definedName>
    <definedName name="IQ_OL_COMM_NEXT_FIVE">"c847"</definedName>
    <definedName name="IQ_OPEB_ACCRUED_LIAB">"c3308"</definedName>
    <definedName name="IQ_OPEB_ACCRUED_LIAB_DOM">"c3306"</definedName>
    <definedName name="IQ_OPEB_ACCRUED_LIAB_FOREIGN">"c3307"</definedName>
    <definedName name="IQ_OPEB_ACCUM_OTHER_CI">"c3314"</definedName>
    <definedName name="IQ_OPEB_ACCUM_OTHER_CI_DOM">"c3312"</definedName>
    <definedName name="IQ_OPEB_ACCUM_OTHER_CI_FOREIGN">"c3313"</definedName>
    <definedName name="IQ_OPEB_ASSETS">"c3356"</definedName>
    <definedName name="IQ_OPEB_ASSETS_ACQ">"c3347"</definedName>
    <definedName name="IQ_OPEB_ASSETS_ACQ_DOM">"c3345"</definedName>
    <definedName name="IQ_OPEB_ASSETS_ACQ_FOREIGN">"c3346"</definedName>
    <definedName name="IQ_OPEB_ASSETS_ACTUAL_RETURN">"c3332"</definedName>
    <definedName name="IQ_OPEB_ASSETS_ACTUAL_RETURN_DOM">"c3330"</definedName>
    <definedName name="IQ_OPEB_ASSETS_ACTUAL_RETURN_FOREIGN">"c3331"</definedName>
    <definedName name="IQ_OPEB_ASSETS_BEG">"c3329"</definedName>
    <definedName name="IQ_OPEB_ASSETS_BEG_DOM">"c3327"</definedName>
    <definedName name="IQ_OPEB_ASSETS_BEG_FOREIGN">"c3328"</definedName>
    <definedName name="IQ_OPEB_ASSETS_BENEFITS_PAID">"c3341"</definedName>
    <definedName name="IQ_OPEB_ASSETS_BENEFITS_PAID_DOM">"c3339"</definedName>
    <definedName name="IQ_OPEB_ASSETS_BENEFITS_PAID_FOREIGN">"c3340"</definedName>
    <definedName name="IQ_OPEB_ASSETS_CURTAIL">"c3350"</definedName>
    <definedName name="IQ_OPEB_ASSETS_CURTAIL_DOM">"c3348"</definedName>
    <definedName name="IQ_OPEB_ASSETS_CURTAIL_FOREIGN">"c3349"</definedName>
    <definedName name="IQ_OPEB_ASSETS_DOM">"c3354"</definedName>
    <definedName name="IQ_OPEB_ASSETS_EMPLOYER_CONTRIBUTIONS">"c3335"</definedName>
    <definedName name="IQ_OPEB_ASSETS_EMPLOYER_CONTRIBUTIONS_DOM">"c3333"</definedName>
    <definedName name="IQ_OPEB_ASSETS_EMPLOYER_CONTRIBUTIONS_FOREIGN">"c3334"</definedName>
    <definedName name="IQ_OPEB_ASSETS_FOREIGN">"c3355"</definedName>
    <definedName name="IQ_OPEB_ASSETS_FX_ADJ">"c3344"</definedName>
    <definedName name="IQ_OPEB_ASSETS_FX_ADJ_DOM">"c3342"</definedName>
    <definedName name="IQ_OPEB_ASSETS_FX_ADJ_FOREIGN">"c3343"</definedName>
    <definedName name="IQ_OPEB_ASSETS_OTHER_PLAN_ADJ">"c3353"</definedName>
    <definedName name="IQ_OPEB_ASSETS_OTHER_PLAN_ADJ_DOM">"c3351"</definedName>
    <definedName name="IQ_OPEB_ASSETS_OTHER_PLAN_ADJ_FOREIGN">"c3352"</definedName>
    <definedName name="IQ_OPEB_ASSETS_PARTICIP_CONTRIBUTIONS">"c3338"</definedName>
    <definedName name="IQ_OPEB_ASSETS_PARTICIP_CONTRIBUTIONS_DOM">"c3336"</definedName>
    <definedName name="IQ_OPEB_ASSETS_PARTICIP_CONTRIBUTIONS_FOREIGN">"c3337"</definedName>
    <definedName name="IQ_OPEB_BENEFIT_INFO_DATE">"c3410"</definedName>
    <definedName name="IQ_OPEB_BENEFIT_INFO_DATE_DOM">"c3408"</definedName>
    <definedName name="IQ_OPEB_BENEFIT_INFO_DATE_FOREIGN">"c3409"</definedName>
    <definedName name="IQ_OPEB_BREAKDOWN_EQ">"c3275"</definedName>
    <definedName name="IQ_OPEB_BREAKDOWN_EQ_DOM">"c3273"</definedName>
    <definedName name="IQ_OPEB_BREAKDOWN_EQ_FOREIGN">"c3274"</definedName>
    <definedName name="IQ_OPEB_BREAKDOWN_FI">"c3278"</definedName>
    <definedName name="IQ_OPEB_BREAKDOWN_FI_DOM">"c3276"</definedName>
    <definedName name="IQ_OPEB_BREAKDOWN_FI_FOREIGN">"c3277"</definedName>
    <definedName name="IQ_OPEB_BREAKDOWN_OTHER">"c3284"</definedName>
    <definedName name="IQ_OPEB_BREAKDOWN_OTHER_DOM">"c3282"</definedName>
    <definedName name="IQ_OPEB_BREAKDOWN_OTHER_FOREIGN">"c3283"</definedName>
    <definedName name="IQ_OPEB_BREAKDOWN_PCT_EQ">"c3263"</definedName>
    <definedName name="IQ_OPEB_BREAKDOWN_PCT_EQ_DOM">"c3261"</definedName>
    <definedName name="IQ_OPEB_BREAKDOWN_PCT_EQ_FOREIGN">"c3262"</definedName>
    <definedName name="IQ_OPEB_BREAKDOWN_PCT_FI">"c3266"</definedName>
    <definedName name="IQ_OPEB_BREAKDOWN_PCT_FI_DOM">"c3264"</definedName>
    <definedName name="IQ_OPEB_BREAKDOWN_PCT_FI_FOREIGN">"c3265"</definedName>
    <definedName name="IQ_OPEB_BREAKDOWN_PCT_OTHER">"c3272"</definedName>
    <definedName name="IQ_OPEB_BREAKDOWN_PCT_OTHER_DOM">"c3270"</definedName>
    <definedName name="IQ_OPEB_BREAKDOWN_PCT_OTHER_FOREIGN">"c3271"</definedName>
    <definedName name="IQ_OPEB_BREAKDOWN_PCT_RE">"c3269"</definedName>
    <definedName name="IQ_OPEB_BREAKDOWN_PCT_RE_DOM">"c3267"</definedName>
    <definedName name="IQ_OPEB_BREAKDOWN_PCT_RE_FOREIGN">"c3268"</definedName>
    <definedName name="IQ_OPEB_BREAKDOWN_RE">"c3281"</definedName>
    <definedName name="IQ_OPEB_BREAKDOWN_RE_DOM">"c3279"</definedName>
    <definedName name="IQ_OPEB_BREAKDOWN_RE_FOREIGN">"c3280"</definedName>
    <definedName name="IQ_OPEB_DECREASE_EFFECT_PBO">"c3458"</definedName>
    <definedName name="IQ_OPEB_DECREASE_EFFECT_PBO_DOM">"c3456"</definedName>
    <definedName name="IQ_OPEB_DECREASE_EFFECT_PBO_FOREIGN">"c3457"</definedName>
    <definedName name="IQ_OPEB_DECREASE_EFFECT_SERVICE_INT_COST">"c3455"</definedName>
    <definedName name="IQ_OPEB_DECREASE_EFFECT_SERVICE_INT_COST_DOM">"c3453"</definedName>
    <definedName name="IQ_OPEB_DECREASE_EFFECT_SERVICE_INT_COST_FOREIGN">"c3454"</definedName>
    <definedName name="IQ_OPEB_DISC_RATE_MAX">"c3422"</definedName>
    <definedName name="IQ_OPEB_DISC_RATE_MAX_DOM">"c3420"</definedName>
    <definedName name="IQ_OPEB_DISC_RATE_MAX_FOREIGN">"c3421"</definedName>
    <definedName name="IQ_OPEB_DISC_RATE_MIN">"c3419"</definedName>
    <definedName name="IQ_OPEB_DISC_RATE_MIN_DOM">"c3417"</definedName>
    <definedName name="IQ_OPEB_DISC_RATE_MIN_FOREIGN">"c3418"</definedName>
    <definedName name="IQ_OPEB_EST_BENEFIT_1YR">"c3287"</definedName>
    <definedName name="IQ_OPEB_EST_BENEFIT_1YR_DOM">"c3285"</definedName>
    <definedName name="IQ_OPEB_EST_BENEFIT_1YR_FOREIGN">"c3286"</definedName>
    <definedName name="IQ_OPEB_EST_BENEFIT_2YR">"c3290"</definedName>
    <definedName name="IQ_OPEB_EST_BENEFIT_2YR_DOM">"c3288"</definedName>
    <definedName name="IQ_OPEB_EST_BENEFIT_2YR_FOREIGN">"c3289"</definedName>
    <definedName name="IQ_OPEB_EST_BENEFIT_3YR">"c3293"</definedName>
    <definedName name="IQ_OPEB_EST_BENEFIT_3YR_DOM">"c3291"</definedName>
    <definedName name="IQ_OPEB_EST_BENEFIT_3YR_FOREIGN">"c3292"</definedName>
    <definedName name="IQ_OPEB_EST_BENEFIT_4YR">"c3296"</definedName>
    <definedName name="IQ_OPEB_EST_BENEFIT_4YR_DOM">"c3294"</definedName>
    <definedName name="IQ_OPEB_EST_BENEFIT_4YR_FOREIGN">"c3295"</definedName>
    <definedName name="IQ_OPEB_EST_BENEFIT_5YR">"c3299"</definedName>
    <definedName name="IQ_OPEB_EST_BENEFIT_5YR_DOM">"c3297"</definedName>
    <definedName name="IQ_OPEB_EST_BENEFIT_5YR_FOREIGN">"c3298"</definedName>
    <definedName name="IQ_OPEB_EST_BENEFIT_AFTER5">"c3302"</definedName>
    <definedName name="IQ_OPEB_EST_BENEFIT_AFTER5_DOM">"c3300"</definedName>
    <definedName name="IQ_OPEB_EST_BENEFIT_AFTER5_FOREIGN">"c3301"</definedName>
    <definedName name="IQ_OPEB_EXP_RATE_RETURN_MAX">"c3434"</definedName>
    <definedName name="IQ_OPEB_EXP_RATE_RETURN_MAX_DOM">"c3432"</definedName>
    <definedName name="IQ_OPEB_EXP_RATE_RETURN_MAX_FOREIGN">"c3433"</definedName>
    <definedName name="IQ_OPEB_EXP_RATE_RETURN_MIN">"c3431"</definedName>
    <definedName name="IQ_OPEB_EXP_RATE_RETURN_MIN_DOM">"c3429"</definedName>
    <definedName name="IQ_OPEB_EXP_RATE_RETURN_MIN_FOREIGN">"c3430"</definedName>
    <definedName name="IQ_OPEB_EXP_RETURN">"c3398"</definedName>
    <definedName name="IQ_OPEB_EXP_RETURN_DOM">"c3396"</definedName>
    <definedName name="IQ_OPEB_EXP_RETURN_FOREIGN">"c3397"</definedName>
    <definedName name="IQ_OPEB_HEALTH_COST_TREND_INITIAL">"c3413"</definedName>
    <definedName name="IQ_OPEB_HEALTH_COST_TREND_INITIAL_DOM">"c3411"</definedName>
    <definedName name="IQ_OPEB_HEALTH_COST_TREND_INITIAL_FOREIGN">"c3412"</definedName>
    <definedName name="IQ_OPEB_HEALTH_COST_TREND_ULTIMATE">"c3416"</definedName>
    <definedName name="IQ_OPEB_HEALTH_COST_TREND_ULTIMATE_DOM">"c3414"</definedName>
    <definedName name="IQ_OPEB_HEALTH_COST_TREND_ULTIMATE_FOREIGN">"c3415"</definedName>
    <definedName name="IQ_OPEB_INCREASE_EFFECT_PBO">"c3452"</definedName>
    <definedName name="IQ_OPEB_INCREASE_EFFECT_PBO_DOM">"c3450"</definedName>
    <definedName name="IQ_OPEB_INCREASE_EFFECT_PBO_FOREIGN">"c3451"</definedName>
    <definedName name="IQ_OPEB_INCREASE_EFFECT_SERVICE_INT_COST">"c3449"</definedName>
    <definedName name="IQ_OPEB_INCREASE_EFFECT_SERVICE_INT_COST_DOM">"c3447"</definedName>
    <definedName name="IQ_OPEB_INCREASE_EFFECT_SERVICE_INT_COST_FOREIGN">"c3448"</definedName>
    <definedName name="IQ_OPEB_INTAN_ASSETS">"c3311"</definedName>
    <definedName name="IQ_OPEB_INTAN_ASSETS_DOM">"c3309"</definedName>
    <definedName name="IQ_OPEB_INTAN_ASSETS_FOREIGN">"c3310"</definedName>
    <definedName name="IQ_OPEB_INTEREST_COST">"c3395"</definedName>
    <definedName name="IQ_OPEB_INTEREST_COST_DOM">"c3393"</definedName>
    <definedName name="IQ_OPEB_INTEREST_COST_FOREIGN">"c3394"</definedName>
    <definedName name="IQ_OPEB_NET_ASSET_RECOG">"c3326"</definedName>
    <definedName name="IQ_OPEB_NET_ASSET_RECOG_DOM">"c3324"</definedName>
    <definedName name="IQ_OPEB_NET_ASSET_RECOG_FOREIGN">"c3325"</definedName>
    <definedName name="IQ_OPEB_OBLIGATION_ACCUMULATED">"c3407"</definedName>
    <definedName name="IQ_OPEB_OBLIGATION_ACCUMULATED_DOM">"c3405"</definedName>
    <definedName name="IQ_OPEB_OBLIGATION_ACCUMULATED_FOREIGN">"c3406"</definedName>
    <definedName name="IQ_OPEB_OBLIGATION_ACQ">"c3380"</definedName>
    <definedName name="IQ_OPEB_OBLIGATION_ACQ_DOM">"c3378"</definedName>
    <definedName name="IQ_OPEB_OBLIGATION_ACQ_FOREIGN">"c3379"</definedName>
    <definedName name="IQ_OPEB_OBLIGATION_ACTUARIAL_GAIN_LOSS">"c3371"</definedName>
    <definedName name="IQ_OPEB_OBLIGATION_ACTUARIAL_GAIN_LOSS_DOM">"c3369"</definedName>
    <definedName name="IQ_OPEB_OBLIGATION_ACTUARIAL_GAIN_LOSS_FOREIGN">"c3370"</definedName>
    <definedName name="IQ_OPEB_OBLIGATION_BEG">"c3359"</definedName>
    <definedName name="IQ_OPEB_OBLIGATION_BEG_DOM">"c3357"</definedName>
    <definedName name="IQ_OPEB_OBLIGATION_BEG_FOREIGN">"c3358"</definedName>
    <definedName name="IQ_OPEB_OBLIGATION_CURTAIL">"c3383"</definedName>
    <definedName name="IQ_OPEB_OBLIGATION_CURTAIL_DOM">"c3381"</definedName>
    <definedName name="IQ_OPEB_OBLIGATION_CURTAIL_FOREIGN">"c3382"</definedName>
    <definedName name="IQ_OPEB_OBLIGATION_EMPLOYEE_CONTRIBUTIONS">"c3368"</definedName>
    <definedName name="IQ_OPEB_OBLIGATION_EMPLOYEE_CONTRIBUTIONS_DOM">"c3366"</definedName>
    <definedName name="IQ_OPEB_OBLIGATION_EMPLOYEE_CONTRIBUTIONS_FOREIGN">"c3367"</definedName>
    <definedName name="IQ_OPEB_OBLIGATION_FX_ADJ">"c3377"</definedName>
    <definedName name="IQ_OPEB_OBLIGATION_FX_ADJ_DOM">"c3375"</definedName>
    <definedName name="IQ_OPEB_OBLIGATION_FX_ADJ_FOREIGN">"c3376"</definedName>
    <definedName name="IQ_OPEB_OBLIGATION_INTEREST_COST">"c3365"</definedName>
    <definedName name="IQ_OPEB_OBLIGATION_INTEREST_COST_DOM">"c3363"</definedName>
    <definedName name="IQ_OPEB_OBLIGATION_INTEREST_COST_FOREIGN">"c3364"</definedName>
    <definedName name="IQ_OPEB_OBLIGATION_OTHER_PLAN_ADJ">"c3386"</definedName>
    <definedName name="IQ_OPEB_OBLIGATION_OTHER_PLAN_ADJ_DOM">"c3384"</definedName>
    <definedName name="IQ_OPEB_OBLIGATION_OTHER_PLAN_ADJ_FOREIGN">"c3385"</definedName>
    <definedName name="IQ_OPEB_OBLIGATION_PAID">"c3374"</definedName>
    <definedName name="IQ_OPEB_OBLIGATION_PAID_DOM">"c3372"</definedName>
    <definedName name="IQ_OPEB_OBLIGATION_PAID_FOREIGN">"c3373"</definedName>
    <definedName name="IQ_OPEB_OBLIGATION_PROJECTED">"c3389"</definedName>
    <definedName name="IQ_OPEB_OBLIGATION_PROJECTED_DOM">"c3387"</definedName>
    <definedName name="IQ_OPEB_OBLIGATION_PROJECTED_FOREIGN">"c3388"</definedName>
    <definedName name="IQ_OPEB_OBLIGATION_SERVICE_COST">"c3362"</definedName>
    <definedName name="IQ_OPEB_OBLIGATION_SERVICE_COST_DOM">"c3360"</definedName>
    <definedName name="IQ_OPEB_OBLIGATION_SERVICE_COST_FOREIGN">"c3361"</definedName>
    <definedName name="IQ_OPEB_OTHER">"c3317"</definedName>
    <definedName name="IQ_OPEB_OTHER_ADJ">"c3323"</definedName>
    <definedName name="IQ_OPEB_OTHER_ADJ_DOM">"c3321"</definedName>
    <definedName name="IQ_OPEB_OTHER_ADJ_FOREIGN">"c3322"</definedName>
    <definedName name="IQ_OPEB_OTHER_COST">"c3401"</definedName>
    <definedName name="IQ_OPEB_OTHER_COST_DOM">"c3399"</definedName>
    <definedName name="IQ_OPEB_OTHER_COST_FOREIGN">"c3400"</definedName>
    <definedName name="IQ_OPEB_OTHER_DOM">"c3315"</definedName>
    <definedName name="IQ_OPEB_OTHER_FOREIGN">"c3316"</definedName>
    <definedName name="IQ_OPEB_PBO_ASSUMED_RATE_RET_MAX">"c3440"</definedName>
    <definedName name="IQ_OPEB_PBO_ASSUMED_RATE_RET_MAX_DOM">"c3438"</definedName>
    <definedName name="IQ_OPEB_PBO_ASSUMED_RATE_RET_MAX_FOREIGN">"c3439"</definedName>
    <definedName name="IQ_OPEB_PBO_ASSUMED_RATE_RET_MIN">"c3437"</definedName>
    <definedName name="IQ_OPEB_PBO_ASSUMED_RATE_RET_MIN_DOM">"c3435"</definedName>
    <definedName name="IQ_OPEB_PBO_ASSUMED_RATE_RET_MIN_FOREIGN">"c3436"</definedName>
    <definedName name="IQ_OPEB_PBO_RATE_COMP_INCREASE_MAX">"c3446"</definedName>
    <definedName name="IQ_OPEB_PBO_RATE_COMP_INCREASE_MAX_DOM">"c3444"</definedName>
    <definedName name="IQ_OPEB_PBO_RATE_COMP_INCREASE_MAX_FOREIGN">"c3445"</definedName>
    <definedName name="IQ_OPEB_PBO_RATE_COMP_INCREASE_MIN">"c3443"</definedName>
    <definedName name="IQ_OPEB_PBO_RATE_COMP_INCREASE_MIN_DOM">"c3441"</definedName>
    <definedName name="IQ_OPEB_PBO_RATE_COMP_INCREASE_MIN_FOREIGN">"c3442"</definedName>
    <definedName name="IQ_OPEB_PREPAID_COST">"c3305"</definedName>
    <definedName name="IQ_OPEB_PREPAID_COST_DOM">"c3303"</definedName>
    <definedName name="IQ_OPEB_PREPAID_COST_FOREIGN">"c3304"</definedName>
    <definedName name="IQ_OPEB_RATE_COMP_INCREASE_MAX">"c3428"</definedName>
    <definedName name="IQ_OPEB_RATE_COMP_INCREASE_MAX_DOM">"c3426"</definedName>
    <definedName name="IQ_OPEB_RATE_COMP_INCREASE_MAX_FOREIGN">"c3427"</definedName>
    <definedName name="IQ_OPEB_RATE_COMP_INCREASE_MIN">"c3425"</definedName>
    <definedName name="IQ_OPEB_RATE_COMP_INCREASE_MIN_DOM">"c3423"</definedName>
    <definedName name="IQ_OPEB_RATE_COMP_INCREASE_MIN_FOREIGN">"c3424"</definedName>
    <definedName name="IQ_OPEB_SERVICE_COST">"c3392"</definedName>
    <definedName name="IQ_OPEB_SERVICE_COST_DOM">"c3390"</definedName>
    <definedName name="IQ_OPEB_SERVICE_COST_FOREIGN">"c3391"</definedName>
    <definedName name="IQ_OPEB_TOTAL_COST">"c3404"</definedName>
    <definedName name="IQ_OPEB_TOTAL_COST_DOM">"c3402"</definedName>
    <definedName name="IQ_OPEB_TOTAL_COST_FOREIGN">"c3403"</definedName>
    <definedName name="IQ_OPEB_UNRECOG_PRIOR">"c3320"</definedName>
    <definedName name="IQ_OPEB_UNRECOG_PRIOR_DOM">"c3318"</definedName>
    <definedName name="IQ_OPEB_UNRECOG_PRIOR_FOREIGN">"c3319"</definedName>
    <definedName name="IQ_OPENPRICE">"c848"</definedName>
    <definedName name="IQ_OPER_INC">"c849"</definedName>
    <definedName name="IQ_OPER_INC_BR">"c850"</definedName>
    <definedName name="IQ_OPER_INC_FIN">"c851"</definedName>
    <definedName name="IQ_OPER_INC_INS">"c852"</definedName>
    <definedName name="IQ_OPER_INC_MARGIN">"c1448"</definedName>
    <definedName name="IQ_OPER_INC_REIT">"c853"</definedName>
    <definedName name="IQ_OPER_INC_UTI">"c854"</definedName>
    <definedName name="IQ_OPERATIONS_EXP">"c855"</definedName>
    <definedName name="IQ_OPTIONS_BEG_OS">"c1572"</definedName>
    <definedName name="IQ_OPTIONS_CANCELLED">"c856"</definedName>
    <definedName name="IQ_OPTIONS_END_OS">"c1573"</definedName>
    <definedName name="IQ_OPTIONS_EXERCISED">"c2116"</definedName>
    <definedName name="IQ_OPTIONS_GRANTED">"c2673"</definedName>
    <definedName name="IQ_OPTIONS_ISSUED">"c857"</definedName>
    <definedName name="IQ_OPTIONS_STRIKE_PRICE_GRANTED">"c2678"</definedName>
    <definedName name="IQ_OPTIONS_STRIKE_PRICE_OS">"c2677"</definedName>
    <definedName name="IQ_ORDER_BACKLOG">"c2090"</definedName>
    <definedName name="IQ_OTHER_ADJUST_GROSS_LOANS">"c859"</definedName>
    <definedName name="IQ_OTHER_AMORT">"c5563"</definedName>
    <definedName name="IQ_OTHER_ASSETS">"c860"</definedName>
    <definedName name="IQ_OTHER_ASSETS_BNK">"c861"</definedName>
    <definedName name="IQ_OTHER_ASSETS_BR">"c862"</definedName>
    <definedName name="IQ_OTHER_ASSETS_FIN">"c863"</definedName>
    <definedName name="IQ_OTHER_ASSETS_INS">"c864"</definedName>
    <definedName name="IQ_OTHER_ASSETS_REIT">"c865"</definedName>
    <definedName name="IQ_OTHER_ASSETS_SERV_RIGHTS">"c2243"</definedName>
    <definedName name="IQ_OTHER_ASSETS_UTI">"c866"</definedName>
    <definedName name="IQ_OTHER_BEARING_LIAB">"c1608"</definedName>
    <definedName name="IQ_OTHER_BENEFITS_OBLIGATION">"c867"</definedName>
    <definedName name="IQ_OTHER_CA">"c868"</definedName>
    <definedName name="IQ_OTHER_CA_SUPPL">"c869"</definedName>
    <definedName name="IQ_OTHER_CA_SUPPL_BNK">"c870"</definedName>
    <definedName name="IQ_OTHER_CA_SUPPL_BR">"c871"</definedName>
    <definedName name="IQ_OTHER_CA_SUPPL_FIN">"c872"</definedName>
    <definedName name="IQ_OTHER_CA_SUPPL_INS">"c873"</definedName>
    <definedName name="IQ_OTHER_CA_SUPPL_REIT">"c874"</definedName>
    <definedName name="IQ_OTHER_CA_SUPPL_UTI">"c875"</definedName>
    <definedName name="IQ_OTHER_CA_UTI">"c876"</definedName>
    <definedName name="IQ_OTHER_CL">"c877"</definedName>
    <definedName name="IQ_OTHER_CL_SUPPL">"c878"</definedName>
    <definedName name="IQ_OTHER_CL_SUPPL_BNK">"c879"</definedName>
    <definedName name="IQ_OTHER_CL_SUPPL_BR">"c880"</definedName>
    <definedName name="IQ_OTHER_CL_SUPPL_FIN">"c881"</definedName>
    <definedName name="IQ_OTHER_CL_SUPPL_REIT">"c882"</definedName>
    <definedName name="IQ_OTHER_CL_SUPPL_UTI">"c883"</definedName>
    <definedName name="IQ_OTHER_CL_UTI">"c884"</definedName>
    <definedName name="IQ_OTHER_CURRENT_ASSETS">"c1403"</definedName>
    <definedName name="IQ_OTHER_CURRENT_LIAB">"c1404"</definedName>
    <definedName name="IQ_OTHER_DEBT">"c2507"</definedName>
    <definedName name="IQ_OTHER_DEBT_PCT">"c2508"</definedName>
    <definedName name="IQ_OTHER_DEP">"c885"</definedName>
    <definedName name="IQ_OTHER_EARNING">"c1609"</definedName>
    <definedName name="IQ_OTHER_EQUITY">"c886"</definedName>
    <definedName name="IQ_OTHER_EQUITY_BNK">"c887"</definedName>
    <definedName name="IQ_OTHER_EQUITY_BR">"c888"</definedName>
    <definedName name="IQ_OTHER_EQUITY_FIN">"c889"</definedName>
    <definedName name="IQ_OTHER_EQUITY_INS">"c890"</definedName>
    <definedName name="IQ_OTHER_EQUITY_REIT">"c891"</definedName>
    <definedName name="IQ_OTHER_EQUITY_UTI">"c892"</definedName>
    <definedName name="IQ_OTHER_FINANCE_ACT">"c893"</definedName>
    <definedName name="IQ_OTHER_FINANCE_ACT_BNK">"c894"</definedName>
    <definedName name="IQ_OTHER_FINANCE_ACT_BR">"c895"</definedName>
    <definedName name="IQ_OTHER_FINANCE_ACT_FIN">"c896"</definedName>
    <definedName name="IQ_OTHER_FINANCE_ACT_INS">"c897"</definedName>
    <definedName name="IQ_OTHER_FINANCE_ACT_REIT">"c898"</definedName>
    <definedName name="IQ_OTHER_FINANCE_ACT_SUPPL">"c899"</definedName>
    <definedName name="IQ_OTHER_FINANCE_ACT_SUPPL_BNK">"c900"</definedName>
    <definedName name="IQ_OTHER_FINANCE_ACT_SUPPL_BR">"c901"</definedName>
    <definedName name="IQ_OTHER_FINANCE_ACT_SUPPL_FIN">"c902"</definedName>
    <definedName name="IQ_OTHER_FINANCE_ACT_SUPPL_INS">"c903"</definedName>
    <definedName name="IQ_OTHER_FINANCE_ACT_SUPPL_REIT">"c904"</definedName>
    <definedName name="IQ_OTHER_FINANCE_ACT_SUPPL_UTI">"c905"</definedName>
    <definedName name="IQ_OTHER_FINANCE_ACT_UTI">"c906"</definedName>
    <definedName name="IQ_OTHER_INTAN">"c907"</definedName>
    <definedName name="IQ_OTHER_INTAN_BNK">"c908"</definedName>
    <definedName name="IQ_OTHER_INTAN_BR">"c909"</definedName>
    <definedName name="IQ_OTHER_INTAN_FIN">"c910"</definedName>
    <definedName name="IQ_OTHER_INTAN_INS">"c911"</definedName>
    <definedName name="IQ_OTHER_INTAN_REIT">"c912"</definedName>
    <definedName name="IQ_OTHER_INTAN_UTI">"c913"</definedName>
    <definedName name="IQ_OTHER_INV">"c914"</definedName>
    <definedName name="IQ_OTHER_INVEST">"c915"</definedName>
    <definedName name="IQ_OTHER_INVEST_ACT">"c916"</definedName>
    <definedName name="IQ_OTHER_INVEST_ACT_BNK">"c917"</definedName>
    <definedName name="IQ_OTHER_INVEST_ACT_BR">"c918"</definedName>
    <definedName name="IQ_OTHER_INVEST_ACT_FIN">"c919"</definedName>
    <definedName name="IQ_OTHER_INVEST_ACT_INS">"c920"</definedName>
    <definedName name="IQ_OTHER_INVEST_ACT_REIT">"c921"</definedName>
    <definedName name="IQ_OTHER_INVEST_ACT_SUPPL">"c922"</definedName>
    <definedName name="IQ_OTHER_INVEST_ACT_SUPPL_BNK">"c923"</definedName>
    <definedName name="IQ_OTHER_INVEST_ACT_SUPPL_BR">"c924"</definedName>
    <definedName name="IQ_OTHER_INVEST_ACT_SUPPL_FIN">"c925"</definedName>
    <definedName name="IQ_OTHER_INVEST_ACT_SUPPL_INS">"c926"</definedName>
    <definedName name="IQ_OTHER_INVEST_ACT_SUPPL_REIT">"c927"</definedName>
    <definedName name="IQ_OTHER_INVEST_ACT_SUPPL_UTI">"c928"</definedName>
    <definedName name="IQ_OTHER_INVEST_ACT_UTI">"c929"</definedName>
    <definedName name="IQ_OTHER_INVESTING">"c1408"</definedName>
    <definedName name="IQ_OTHER_LIAB">"c930"</definedName>
    <definedName name="IQ_OTHER_LIAB_BNK">"c931"</definedName>
    <definedName name="IQ_OTHER_LIAB_BR">"c932"</definedName>
    <definedName name="IQ_OTHER_LIAB_FIN">"c933"</definedName>
    <definedName name="IQ_OTHER_LIAB_INS">"c934"</definedName>
    <definedName name="IQ_OTHER_LIAB_LT">"c935"</definedName>
    <definedName name="IQ_OTHER_LIAB_LT_BNK">"c936"</definedName>
    <definedName name="IQ_OTHER_LIAB_LT_BR">"c937"</definedName>
    <definedName name="IQ_OTHER_LIAB_LT_FIN">"c938"</definedName>
    <definedName name="IQ_OTHER_LIAB_LT_INS">"c939"</definedName>
    <definedName name="IQ_OTHER_LIAB_LT_REIT">"c940"</definedName>
    <definedName name="IQ_OTHER_LIAB_LT_UTI">"c941"</definedName>
    <definedName name="IQ_OTHER_LIAB_REIT">"c942"</definedName>
    <definedName name="IQ_OTHER_LIAB_UTI">"c943"</definedName>
    <definedName name="IQ_OTHER_LIAB_WRITTEN">"c944"</definedName>
    <definedName name="IQ_OTHER_LOANS">"c945"</definedName>
    <definedName name="IQ_OTHER_LONG_TERM">"c1409"</definedName>
    <definedName name="IQ_OTHER_LT_ASSETS">"c946"</definedName>
    <definedName name="IQ_OTHER_LT_ASSETS_BNK">"c947"</definedName>
    <definedName name="IQ_OTHER_LT_ASSETS_BR">"c948"</definedName>
    <definedName name="IQ_OTHER_LT_ASSETS_FIN">"c949"</definedName>
    <definedName name="IQ_OTHER_LT_ASSETS_INS">"c950"</definedName>
    <definedName name="IQ_OTHER_LT_ASSETS_REIT">"c951"</definedName>
    <definedName name="IQ_OTHER_LT_ASSETS_UTI">"c952"</definedName>
    <definedName name="IQ_OTHER_NET">"c1453"</definedName>
    <definedName name="IQ_OTHER_NON_INT_EXP">"c953"</definedName>
    <definedName name="IQ_OTHER_NON_INT_EXP_TOTAL">"c954"</definedName>
    <definedName name="IQ_OTHER_NON_INT_INC">"c955"</definedName>
    <definedName name="IQ_OTHER_NON_OPER_EXP">"c956"</definedName>
    <definedName name="IQ_OTHER_NON_OPER_EXP_BR">"c957"</definedName>
    <definedName name="IQ_OTHER_NON_OPER_EXP_FIN">"c958"</definedName>
    <definedName name="IQ_OTHER_NON_OPER_EXP_INS">"c959"</definedName>
    <definedName name="IQ_OTHER_NON_OPER_EXP_REIT">"c960"</definedName>
    <definedName name="IQ_OTHER_NON_OPER_EXP_SUPPL">"c961"</definedName>
    <definedName name="IQ_OTHER_NON_OPER_EXP_SUPPL_BR">"c962"</definedName>
    <definedName name="IQ_OTHER_NON_OPER_EXP_SUPPL_FIN">"c963"</definedName>
    <definedName name="IQ_OTHER_NON_OPER_EXP_SUPPL_INS">"c964"</definedName>
    <definedName name="IQ_OTHER_NON_OPER_EXP_SUPPL_REIT">"c965"</definedName>
    <definedName name="IQ_OTHER_NON_OPER_EXP_SUPPL_UTI">"c966"</definedName>
    <definedName name="IQ_OTHER_NON_OPER_EXP_UTI">"c967"</definedName>
    <definedName name="IQ_OTHER_OPER">"c982"</definedName>
    <definedName name="IQ_OTHER_OPER_ACT">"c983"</definedName>
    <definedName name="IQ_OTHER_OPER_ACT_BNK">"c984"</definedName>
    <definedName name="IQ_OTHER_OPER_ACT_BR">"c985"</definedName>
    <definedName name="IQ_OTHER_OPER_ACT_FIN">"c986"</definedName>
    <definedName name="IQ_OTHER_OPER_ACT_INS">"c987"</definedName>
    <definedName name="IQ_OTHER_OPER_ACT_REIT">"c988"</definedName>
    <definedName name="IQ_OTHER_OPER_ACT_UTI">"c989"</definedName>
    <definedName name="IQ_OTHER_OPER_BR">"c990"</definedName>
    <definedName name="IQ_OTHER_OPER_FIN">"c991"</definedName>
    <definedName name="IQ_OTHER_OPER_INS">"c992"</definedName>
    <definedName name="IQ_OTHER_OPER_REIT">"c993"</definedName>
    <definedName name="IQ_OTHER_OPER_SUPPL_BR">"c994"</definedName>
    <definedName name="IQ_OTHER_OPER_SUPPL_FIN">"c995"</definedName>
    <definedName name="IQ_OTHER_OPER_SUPPL_INS">"c996"</definedName>
    <definedName name="IQ_OTHER_OPER_SUPPL_REIT">"c997"</definedName>
    <definedName name="IQ_OTHER_OPER_SUPPL_UTI">"c998"</definedName>
    <definedName name="IQ_OTHER_OPER_TOT_BNK">"c999"</definedName>
    <definedName name="IQ_OTHER_OPER_TOT_BR">"c1000"</definedName>
    <definedName name="IQ_OTHER_OPER_TOT_FIN">"c1001"</definedName>
    <definedName name="IQ_OTHER_OPER_TOT_INS">"c1002"</definedName>
    <definedName name="IQ_OTHER_OPER_TOT_REIT">"c1003"</definedName>
    <definedName name="IQ_OTHER_OPER_TOT_UTI">"c1004"</definedName>
    <definedName name="IQ_OTHER_OPER_UTI">"c1005"</definedName>
    <definedName name="IQ_OTHER_OPTIONS_BEG_OS">"c2686"</definedName>
    <definedName name="IQ_OTHER_OPTIONS_CANCELLED">"c2689"</definedName>
    <definedName name="IQ_OTHER_OPTIONS_END_OS">"c2690"</definedName>
    <definedName name="IQ_OTHER_OPTIONS_EXERCISED">"c2688"</definedName>
    <definedName name="IQ_OTHER_OPTIONS_GRANTED">"c2687"</definedName>
    <definedName name="IQ_OTHER_OPTIONS_STRIKE_PRICE_OS">"c2691"</definedName>
    <definedName name="IQ_OTHER_OUTSTANDING_BS_DATE">"c1972"</definedName>
    <definedName name="IQ_OTHER_OUTSTANDING_FILING_DATE">"c1974"</definedName>
    <definedName name="IQ_OTHER_PC_WRITTEN">"c1006"</definedName>
    <definedName name="IQ_OTHER_REAL_ESTATE">"c1007"</definedName>
    <definedName name="IQ_OTHER_RECEIV">"c1008"</definedName>
    <definedName name="IQ_OTHER_RECEIV_INS">"c1009"</definedName>
    <definedName name="IQ_OTHER_REV">"c1010"</definedName>
    <definedName name="IQ_OTHER_REV_BR">"c1011"</definedName>
    <definedName name="IQ_OTHER_REV_FIN">"c1012"</definedName>
    <definedName name="IQ_OTHER_REV_INS">"c1013"</definedName>
    <definedName name="IQ_OTHER_REV_REIT">"c1014"</definedName>
    <definedName name="IQ_OTHER_REV_SUPPL">"c1015"</definedName>
    <definedName name="IQ_OTHER_REV_SUPPL_BR">"c1016"</definedName>
    <definedName name="IQ_OTHER_REV_SUPPL_FIN">"c1017"</definedName>
    <definedName name="IQ_OTHER_REV_SUPPL_INS">"c1018"</definedName>
    <definedName name="IQ_OTHER_REV_SUPPL_REIT">"c1019"</definedName>
    <definedName name="IQ_OTHER_REV_SUPPL_UTI">"c1020"</definedName>
    <definedName name="IQ_OTHER_REV_UTI">"c1021"</definedName>
    <definedName name="IQ_OTHER_REVENUE">"c1410"</definedName>
    <definedName name="IQ_OTHER_STRIKE_PRICE_GRANTED">"c2692"</definedName>
    <definedName name="IQ_OTHER_UNDRAWN">"c2522"</definedName>
    <definedName name="IQ_OTHER_UNUSUAL">"c1488"</definedName>
    <definedName name="IQ_OTHER_UNUSUAL_BNK">"c1560"</definedName>
    <definedName name="IQ_OTHER_UNUSUAL_BR">"c1561"</definedName>
    <definedName name="IQ_OTHER_UNUSUAL_FIN">"c1562"</definedName>
    <definedName name="IQ_OTHER_UNUSUAL_INS">"c1563"</definedName>
    <definedName name="IQ_OTHER_UNUSUAL_REIT">"c1564"</definedName>
    <definedName name="IQ_OTHER_UNUSUAL_SUPPL">"c1494"</definedName>
    <definedName name="IQ_OTHER_UNUSUAL_SUPPL_BNK">"c1495"</definedName>
    <definedName name="IQ_OTHER_UNUSUAL_SUPPL_BR">"c1496"</definedName>
    <definedName name="IQ_OTHER_UNUSUAL_SUPPL_FIN">"c1497"</definedName>
    <definedName name="IQ_OTHER_UNUSUAL_SUPPL_INS">"c1498"</definedName>
    <definedName name="IQ_OTHER_UNUSUAL_SUPPL_REIT">"c1499"</definedName>
    <definedName name="IQ_OTHER_UNUSUAL_SUPPL_UTI">"c1500"</definedName>
    <definedName name="IQ_OTHER_UNUSUAL_UTI">"c1565"</definedName>
    <definedName name="IQ_OTHER_WARRANTS_BEG_OS">"c2712"</definedName>
    <definedName name="IQ_OTHER_WARRANTS_CANCELLED">"c2715"</definedName>
    <definedName name="IQ_OTHER_WARRANTS_END_OS">"c2716"</definedName>
    <definedName name="IQ_OTHER_WARRANTS_EXERCISED">"c2714"</definedName>
    <definedName name="IQ_OTHER_WARRANTS_ISSUED">"c2713"</definedName>
    <definedName name="IQ_OTHER_WARRANTS_STRIKE_PRICE_ISSUED">"c2718"</definedName>
    <definedName name="IQ_OTHER_WARRANTS_STRIKE_PRICE_OS">"c2717"</definedName>
    <definedName name="IQ_OUTSTANDING_BS_DATE">"c2128"</definedName>
    <definedName name="IQ_OUTSTANDING_FILING_DATE">"c1023"</definedName>
    <definedName name="IQ_OWNERSHIP">"c2160"</definedName>
    <definedName name="IQ_PART_TIME">"c1024"</definedName>
    <definedName name="IQ_PAY_ACCRUED">"c1457"</definedName>
    <definedName name="IQ_PAYOUT_RATIO">"c1900"</definedName>
    <definedName name="IQ_PBV">"c1025"</definedName>
    <definedName name="IQ_PBV_AVG">"c1026"</definedName>
    <definedName name="IQ_PC_EARNED">"c2749"</definedName>
    <definedName name="IQ_PC_GAAP_COMBINED_RATIO">"c2781"</definedName>
    <definedName name="IQ_PC_GAAP_COMBINED_RATIO_EXCL_CL">"c2782"</definedName>
    <definedName name="IQ_PC_GAAP_EXPENSE_RATIO">"c2780"</definedName>
    <definedName name="IQ_PC_GAAP_LOSS">"c2779"</definedName>
    <definedName name="IQ_PC_POLICY_BENEFITS_EXP">"c2790"</definedName>
    <definedName name="IQ_PC_STAT_COMBINED_RATIO">"c2778"</definedName>
    <definedName name="IQ_PC_STAT_COMBINED_RATIO_EXCL_DIV">"c2777"</definedName>
    <definedName name="IQ_PC_STAT_DIVIDEND_RATIO">"c2776"</definedName>
    <definedName name="IQ_PC_STAT_EXPENSE_RATIO">"c2775"</definedName>
    <definedName name="IQ_PC_STAT_LOSS_RATIO">"c2774"</definedName>
    <definedName name="IQ_PC_STATUTORY_SURPLUS">"c2770"</definedName>
    <definedName name="IQ_PC_WRITTEN">"c1027"</definedName>
    <definedName name="IQ_PE_EXCL">"c1028"</definedName>
    <definedName name="IQ_PE_EXCL_AVG">"c1029"</definedName>
    <definedName name="IQ_PE_EXCL_FWD">"c1030"</definedName>
    <definedName name="IQ_PE_EXCL_FWD_REUT">"c4049"</definedName>
    <definedName name="IQ_PE_NORMALIZED">"c2207"</definedName>
    <definedName name="IQ_PE_RATIO">"c1610"</definedName>
    <definedName name="IQ_PEG_FWD">"c1863"</definedName>
    <definedName name="IQ_PEG_FWD_REUT">"c4052"</definedName>
    <definedName name="IQ_PENSION">"c1031"</definedName>
    <definedName name="IQ_PENSION_ACCRUED_LIAB">"c3134"</definedName>
    <definedName name="IQ_PENSION_ACCRUED_LIAB_DOM">"c3132"</definedName>
    <definedName name="IQ_PENSION_ACCRUED_LIAB_FOREIGN">"c3133"</definedName>
    <definedName name="IQ_PENSION_ACCUM_OTHER_CI">"c3140"</definedName>
    <definedName name="IQ_PENSION_ACCUM_OTHER_CI_DOM">"c3138"</definedName>
    <definedName name="IQ_PENSION_ACCUM_OTHER_CI_FOREIGN">"c3139"</definedName>
    <definedName name="IQ_PENSION_ACCUMULATED_OBLIGATION">"c3570"</definedName>
    <definedName name="IQ_PENSION_ACCUMULATED_OBLIGATION_DOMESTIC">"c3568"</definedName>
    <definedName name="IQ_PENSION_ACCUMULATED_OBLIGATION_FOREIGN">"c3569"</definedName>
    <definedName name="IQ_PENSION_ASSETS">"c3182"</definedName>
    <definedName name="IQ_PENSION_ASSETS_ACQ">"c3173"</definedName>
    <definedName name="IQ_PENSION_ASSETS_ACQ_DOM">"c3171"</definedName>
    <definedName name="IQ_PENSION_ASSETS_ACQ_FOREIGN">"c3172"</definedName>
    <definedName name="IQ_PENSION_ASSETS_ACTUAL_RETURN">"c3158"</definedName>
    <definedName name="IQ_PENSION_ASSETS_ACTUAL_RETURN_DOM">"c3156"</definedName>
    <definedName name="IQ_PENSION_ASSETS_ACTUAL_RETURN_FOREIGN">"c3157"</definedName>
    <definedName name="IQ_PENSION_ASSETS_BEG">"c3155"</definedName>
    <definedName name="IQ_PENSION_ASSETS_BEG_DOM">"c3153"</definedName>
    <definedName name="IQ_PENSION_ASSETS_BEG_FOREIGN">"c3154"</definedName>
    <definedName name="IQ_PENSION_ASSETS_BENEFITS_PAID">"c3167"</definedName>
    <definedName name="IQ_PENSION_ASSETS_BENEFITS_PAID_DOM">"c3165"</definedName>
    <definedName name="IQ_PENSION_ASSETS_BENEFITS_PAID_FOREIGN">"c3166"</definedName>
    <definedName name="IQ_PENSION_ASSETS_CURTAIL">"c3176"</definedName>
    <definedName name="IQ_PENSION_ASSETS_CURTAIL_DOM">"c3174"</definedName>
    <definedName name="IQ_PENSION_ASSETS_CURTAIL_FOREIGN">"c3175"</definedName>
    <definedName name="IQ_PENSION_ASSETS_DOM">"c3180"</definedName>
    <definedName name="IQ_PENSION_ASSETS_EMPLOYER_CONTRIBUTIONS">"c3161"</definedName>
    <definedName name="IQ_PENSION_ASSETS_EMPLOYER_CONTRIBUTIONS_DOM">"c3159"</definedName>
    <definedName name="IQ_PENSION_ASSETS_EMPLOYER_CONTRIBUTIONS_FOREIGN">"c3160"</definedName>
    <definedName name="IQ_PENSION_ASSETS_FOREIGN">"c3181"</definedName>
    <definedName name="IQ_PENSION_ASSETS_FX_ADJ">"c3170"</definedName>
    <definedName name="IQ_PENSION_ASSETS_FX_ADJ_DOM">"c3168"</definedName>
    <definedName name="IQ_PENSION_ASSETS_FX_ADJ_FOREIGN">"c3169"</definedName>
    <definedName name="IQ_PENSION_ASSETS_OTHER_PLAN_ADJ">"c3179"</definedName>
    <definedName name="IQ_PENSION_ASSETS_OTHER_PLAN_ADJ_DOM">"c3177"</definedName>
    <definedName name="IQ_PENSION_ASSETS_OTHER_PLAN_ADJ_FOREIGN">"c3178"</definedName>
    <definedName name="IQ_PENSION_ASSETS_PARTICIP_CONTRIBUTIONS">"c3164"</definedName>
    <definedName name="IQ_PENSION_ASSETS_PARTICIP_CONTRIBUTIONS_DOM">"c3162"</definedName>
    <definedName name="IQ_PENSION_ASSETS_PARTICIP_CONTRIBUTIONS_FOREIGN">"c3163"</definedName>
    <definedName name="IQ_PENSION_BENEFIT_INFO_DATE">"c3230"</definedName>
    <definedName name="IQ_PENSION_BENEFIT_INFO_DATE_DOM">"c3228"</definedName>
    <definedName name="IQ_PENSION_BENEFIT_INFO_DATE_FOREIGN">"c3229"</definedName>
    <definedName name="IQ_PENSION_BREAKDOWN_EQ">"c3101"</definedName>
    <definedName name="IQ_PENSION_BREAKDOWN_EQ_DOM">"c3099"</definedName>
    <definedName name="IQ_PENSION_BREAKDOWN_EQ_FOREIGN">"c3100"</definedName>
    <definedName name="IQ_PENSION_BREAKDOWN_FI">"c3104"</definedName>
    <definedName name="IQ_PENSION_BREAKDOWN_FI_DOM">"c3102"</definedName>
    <definedName name="IQ_PENSION_BREAKDOWN_FI_FOREIGN">"c3103"</definedName>
    <definedName name="IQ_PENSION_BREAKDOWN_OTHER">"c3110"</definedName>
    <definedName name="IQ_PENSION_BREAKDOWN_OTHER_DOM">"c3108"</definedName>
    <definedName name="IQ_PENSION_BREAKDOWN_OTHER_FOREIGN">"c3109"</definedName>
    <definedName name="IQ_PENSION_BREAKDOWN_PCT_EQ">"c3089"</definedName>
    <definedName name="IQ_PENSION_BREAKDOWN_PCT_EQ_DOM">"c3087"</definedName>
    <definedName name="IQ_PENSION_BREAKDOWN_PCT_EQ_FOREIGN">"c3088"</definedName>
    <definedName name="IQ_PENSION_BREAKDOWN_PCT_FI">"c3092"</definedName>
    <definedName name="IQ_PENSION_BREAKDOWN_PCT_FI_DOM">"c3090"</definedName>
    <definedName name="IQ_PENSION_BREAKDOWN_PCT_FI_FOREIGN">"c3091"</definedName>
    <definedName name="IQ_PENSION_BREAKDOWN_PCT_OTHER">"c3098"</definedName>
    <definedName name="IQ_PENSION_BREAKDOWN_PCT_OTHER_DOM">"c3096"</definedName>
    <definedName name="IQ_PENSION_BREAKDOWN_PCT_OTHER_FOREIGN">"c3097"</definedName>
    <definedName name="IQ_PENSION_BREAKDOWN_PCT_RE">"c3095"</definedName>
    <definedName name="IQ_PENSION_BREAKDOWN_PCT_RE_DOM">"c3093"</definedName>
    <definedName name="IQ_PENSION_BREAKDOWN_PCT_RE_FOREIGN">"c3094"</definedName>
    <definedName name="IQ_PENSION_BREAKDOWN_RE">"c3107"</definedName>
    <definedName name="IQ_PENSION_BREAKDOWN_RE_DOM">"c3105"</definedName>
    <definedName name="IQ_PENSION_BREAKDOWN_RE_FOREIGN">"c3106"</definedName>
    <definedName name="IQ_PENSION_CONTRIBUTION_TOTAL_COST">"c3559"</definedName>
    <definedName name="IQ_PENSION_DISC_RATE_MAX">"c3236"</definedName>
    <definedName name="IQ_PENSION_DISC_RATE_MAX_DOM">"c3234"</definedName>
    <definedName name="IQ_PENSION_DISC_RATE_MAX_FOREIGN">"c3235"</definedName>
    <definedName name="IQ_PENSION_DISC_RATE_MIN">"c3233"</definedName>
    <definedName name="IQ_PENSION_DISC_RATE_MIN_DOM">"c3231"</definedName>
    <definedName name="IQ_PENSION_DISC_RATE_MIN_FOREIGN">"c3232"</definedName>
    <definedName name="IQ_PENSION_DISCOUNT_RATE_DOMESTIC">"c3573"</definedName>
    <definedName name="IQ_PENSION_DISCOUNT_RATE_FOREIGN">"c3574"</definedName>
    <definedName name="IQ_PENSION_EST_BENEFIT_1YR">"c3113"</definedName>
    <definedName name="IQ_PENSION_EST_BENEFIT_1YR_DOM">"c3111"</definedName>
    <definedName name="IQ_PENSION_EST_BENEFIT_1YR_FOREIGN">"c3112"</definedName>
    <definedName name="IQ_PENSION_EST_BENEFIT_2YR">"c3116"</definedName>
    <definedName name="IQ_PENSION_EST_BENEFIT_2YR_DOM">"c3114"</definedName>
    <definedName name="IQ_PENSION_EST_BENEFIT_2YR_FOREIGN">"c3115"</definedName>
    <definedName name="IQ_PENSION_EST_BENEFIT_3YR">"c3119"</definedName>
    <definedName name="IQ_PENSION_EST_BENEFIT_3YR_DOM">"c3117"</definedName>
    <definedName name="IQ_PENSION_EST_BENEFIT_3YR_FOREIGN">"c3118"</definedName>
    <definedName name="IQ_PENSION_EST_BENEFIT_4YR">"c3122"</definedName>
    <definedName name="IQ_PENSION_EST_BENEFIT_4YR_DOM">"c3120"</definedName>
    <definedName name="IQ_PENSION_EST_BENEFIT_4YR_FOREIGN">"c3121"</definedName>
    <definedName name="IQ_PENSION_EST_BENEFIT_5YR">"c3125"</definedName>
    <definedName name="IQ_PENSION_EST_BENEFIT_5YR_DOM">"c3123"</definedName>
    <definedName name="IQ_PENSION_EST_BENEFIT_5YR_FOREIGN">"c3124"</definedName>
    <definedName name="IQ_PENSION_EST_BENEFIT_AFTER5">"c3128"</definedName>
    <definedName name="IQ_PENSION_EST_BENEFIT_AFTER5_DOM">"c3126"</definedName>
    <definedName name="IQ_PENSION_EST_BENEFIT_AFTER5_FOREIGN">"c3127"</definedName>
    <definedName name="IQ_PENSION_EST_CONTRIBUTIONS_NEXTYR">"c3218"</definedName>
    <definedName name="IQ_PENSION_EST_CONTRIBUTIONS_NEXTYR_DOM">"c3216"</definedName>
    <definedName name="IQ_PENSION_EST_CONTRIBUTIONS_NEXTYR_FOREIGN">"c3217"</definedName>
    <definedName name="IQ_PENSION_EXP_RATE_RETURN_MAX">"c3248"</definedName>
    <definedName name="IQ_PENSION_EXP_RATE_RETURN_MAX_DOM">"c3246"</definedName>
    <definedName name="IQ_PENSION_EXP_RATE_RETURN_MAX_FOREIGN">"c3247"</definedName>
    <definedName name="IQ_PENSION_EXP_RATE_RETURN_MIN">"c3245"</definedName>
    <definedName name="IQ_PENSION_EXP_RATE_RETURN_MIN_DOM">"c3243"</definedName>
    <definedName name="IQ_PENSION_EXP_RATE_RETURN_MIN_FOREIGN">"c3244"</definedName>
    <definedName name="IQ_PENSION_EXP_RETURN_DOMESTIC">"c3571"</definedName>
    <definedName name="IQ_PENSION_EXP_RETURN_FOREIGN">"c3572"</definedName>
    <definedName name="IQ_PENSION_INTAN_ASSETS">"c3137"</definedName>
    <definedName name="IQ_PENSION_INTAN_ASSETS_DOM">"c3135"</definedName>
    <definedName name="IQ_PENSION_INTAN_ASSETS_FOREIGN">"c3136"</definedName>
    <definedName name="IQ_PENSION_INTEREST_COST">"c3582"</definedName>
    <definedName name="IQ_PENSION_INTEREST_COST_DOM">"c3580"</definedName>
    <definedName name="IQ_PENSION_INTEREST_COST_FOREIGN">"c3581"</definedName>
    <definedName name="IQ_PENSION_NET_ASSET_RECOG">"c3152"</definedName>
    <definedName name="IQ_PENSION_NET_ASSET_RECOG_DOM">"c3150"</definedName>
    <definedName name="IQ_PENSION_NET_ASSET_RECOG_FOREIGN">"c3151"</definedName>
    <definedName name="IQ_PENSION_OBLIGATION_ACQ">"c3206"</definedName>
    <definedName name="IQ_PENSION_OBLIGATION_ACQ_DOM">"c3204"</definedName>
    <definedName name="IQ_PENSION_OBLIGATION_ACQ_FOREIGN">"c3205"</definedName>
    <definedName name="IQ_PENSION_OBLIGATION_ACTUARIAL_GAIN_LOSS">"c3197"</definedName>
    <definedName name="IQ_PENSION_OBLIGATION_ACTUARIAL_GAIN_LOSS_DOM">"c3195"</definedName>
    <definedName name="IQ_PENSION_OBLIGATION_ACTUARIAL_GAIN_LOSS_FOREIGN">"c3196"</definedName>
    <definedName name="IQ_PENSION_OBLIGATION_BEG">"c3185"</definedName>
    <definedName name="IQ_PENSION_OBLIGATION_BEG_DOM">"c3183"</definedName>
    <definedName name="IQ_PENSION_OBLIGATION_BEG_FOREIGN">"c3184"</definedName>
    <definedName name="IQ_PENSION_OBLIGATION_CURTAIL">"c3209"</definedName>
    <definedName name="IQ_PENSION_OBLIGATION_CURTAIL_DOM">"c3207"</definedName>
    <definedName name="IQ_PENSION_OBLIGATION_CURTAIL_FOREIGN">"c3208"</definedName>
    <definedName name="IQ_PENSION_OBLIGATION_EMPLOYEE_CONTRIBUTIONS">"c3194"</definedName>
    <definedName name="IQ_PENSION_OBLIGATION_EMPLOYEE_CONTRIBUTIONS_DOM">"c3192"</definedName>
    <definedName name="IQ_PENSION_OBLIGATION_EMPLOYEE_CONTRIBUTIONS_FOREIGN">"c3193"</definedName>
    <definedName name="IQ_PENSION_OBLIGATION_FX_ADJ">"c3203"</definedName>
    <definedName name="IQ_PENSION_OBLIGATION_FX_ADJ_DOM">"c3201"</definedName>
    <definedName name="IQ_PENSION_OBLIGATION_FX_ADJ_FOREIGN">"c3202"</definedName>
    <definedName name="IQ_PENSION_OBLIGATION_INTEREST_COST">"c3191"</definedName>
    <definedName name="IQ_PENSION_OBLIGATION_INTEREST_COST_DOM">"c3189"</definedName>
    <definedName name="IQ_PENSION_OBLIGATION_INTEREST_COST_FOREIGN">"c3190"</definedName>
    <definedName name="IQ_PENSION_OBLIGATION_OTHER_COST">"c3555"</definedName>
    <definedName name="IQ_PENSION_OBLIGATION_OTHER_COST_DOM">"c3553"</definedName>
    <definedName name="IQ_PENSION_OBLIGATION_OTHER_COST_FOREIGN">"c3554"</definedName>
    <definedName name="IQ_PENSION_OBLIGATION_OTHER_PLAN_ADJ">"c3212"</definedName>
    <definedName name="IQ_PENSION_OBLIGATION_OTHER_PLAN_ADJ_DOM">"c3210"</definedName>
    <definedName name="IQ_PENSION_OBLIGATION_OTHER_PLAN_ADJ_FOREIGN">"c3211"</definedName>
    <definedName name="IQ_PENSION_OBLIGATION_PAID">"c3200"</definedName>
    <definedName name="IQ_PENSION_OBLIGATION_PAID_DOM">"c3198"</definedName>
    <definedName name="IQ_PENSION_OBLIGATION_PAID_FOREIGN">"c3199"</definedName>
    <definedName name="IQ_PENSION_OBLIGATION_PROJECTED">"c3215"</definedName>
    <definedName name="IQ_PENSION_OBLIGATION_PROJECTED_DOM">"c3213"</definedName>
    <definedName name="IQ_PENSION_OBLIGATION_PROJECTED_FOREIGN">"c3214"</definedName>
    <definedName name="IQ_PENSION_OBLIGATION_ROA">"c3552"</definedName>
    <definedName name="IQ_PENSION_OBLIGATION_ROA_DOM">"c3550"</definedName>
    <definedName name="IQ_PENSION_OBLIGATION_ROA_FOREIGN">"c3551"</definedName>
    <definedName name="IQ_PENSION_OBLIGATION_SERVICE_COST">"c3188"</definedName>
    <definedName name="IQ_PENSION_OBLIGATION_SERVICE_COST_DOM">"c3186"</definedName>
    <definedName name="IQ_PENSION_OBLIGATION_SERVICE_COST_FOREIGN">"c3187"</definedName>
    <definedName name="IQ_PENSION_OBLIGATION_TOTAL_COST">"c3558"</definedName>
    <definedName name="IQ_PENSION_OBLIGATION_TOTAL_COST_DOM">"c3556"</definedName>
    <definedName name="IQ_PENSION_OBLIGATION_TOTAL_COST_FOREIGN">"c3557"</definedName>
    <definedName name="IQ_PENSION_OTHER">"c3143"</definedName>
    <definedName name="IQ_PENSION_OTHER_ADJ">"c3149"</definedName>
    <definedName name="IQ_PENSION_OTHER_ADJ_DOM">"c3147"</definedName>
    <definedName name="IQ_PENSION_OTHER_ADJ_FOREIGN">"c3148"</definedName>
    <definedName name="IQ_PENSION_OTHER_DOM">"c3141"</definedName>
    <definedName name="IQ_PENSION_OTHER_FOREIGN">"c3142"</definedName>
    <definedName name="IQ_PENSION_PBO_ASSUMED_RATE_RET_MAX">"c3254"</definedName>
    <definedName name="IQ_PENSION_PBO_ASSUMED_RATE_RET_MAX_DOM">"c3252"</definedName>
    <definedName name="IQ_PENSION_PBO_ASSUMED_RATE_RET_MAX_FOREIGN">"c3253"</definedName>
    <definedName name="IQ_PENSION_PBO_ASSUMED_RATE_RET_MIN">"c3251"</definedName>
    <definedName name="IQ_PENSION_PBO_ASSUMED_RATE_RET_MIN_DOM">"c3249"</definedName>
    <definedName name="IQ_PENSION_PBO_ASSUMED_RATE_RET_MIN_FOREIGN">"c3250"</definedName>
    <definedName name="IQ_PENSION_PBO_RATE_COMP_INCREASE_MAX">"c3260"</definedName>
    <definedName name="IQ_PENSION_PBO_RATE_COMP_INCREASE_MAX_DOM">"c3258"</definedName>
    <definedName name="IQ_PENSION_PBO_RATE_COMP_INCREASE_MAX_FOREIGN">"c3259"</definedName>
    <definedName name="IQ_PENSION_PBO_RATE_COMP_INCREASE_MIN">"c3257"</definedName>
    <definedName name="IQ_PENSION_PBO_RATE_COMP_INCREASE_MIN_DOM">"c3255"</definedName>
    <definedName name="IQ_PENSION_PBO_RATE_COMP_INCREASE_MIN_FOREIGN">"c3256"</definedName>
    <definedName name="IQ_PENSION_PREPAID_COST">"c3131"</definedName>
    <definedName name="IQ_PENSION_PREPAID_COST_DOM">"c3129"</definedName>
    <definedName name="IQ_PENSION_PREPAID_COST_FOREIGN">"c3130"</definedName>
    <definedName name="IQ_PENSION_PROJECTED_OBLIGATION">"c3566"</definedName>
    <definedName name="IQ_PENSION_PROJECTED_OBLIGATION_DOMESTIC">"c3564"</definedName>
    <definedName name="IQ_PENSION_PROJECTED_OBLIGATION_FOREIGN">"c3565"</definedName>
    <definedName name="IQ_PENSION_QUART_ADDL_CONTRIBUTIONS_EXP">"c3224"</definedName>
    <definedName name="IQ_PENSION_QUART_ADDL_CONTRIBUTIONS_EXP_DOM">"c3222"</definedName>
    <definedName name="IQ_PENSION_QUART_ADDL_CONTRIBUTIONS_EXP_FOREIGN">"c3223"</definedName>
    <definedName name="IQ_PENSION_QUART_EMPLOYER_CONTRIBUTIONS">"c3221"</definedName>
    <definedName name="IQ_PENSION_QUART_EMPLOYER_CONTRIBUTIONS_DOM">"c3219"</definedName>
    <definedName name="IQ_PENSION_QUART_EMPLOYER_CONTRIBUTIONS_FOREIGN">"c3220"</definedName>
    <definedName name="IQ_PENSION_RATE_COMP_GROWTH_DOMESTIC">"c3575"</definedName>
    <definedName name="IQ_PENSION_RATE_COMP_GROWTH_FOREIGN">"c3576"</definedName>
    <definedName name="IQ_PENSION_RATE_COMP_INCREASE_MAX">"c3242"</definedName>
    <definedName name="IQ_PENSION_RATE_COMP_INCREASE_MAX_DOM">"c3240"</definedName>
    <definedName name="IQ_PENSION_RATE_COMP_INCREASE_MAX_FOREIGN">"c3241"</definedName>
    <definedName name="IQ_PENSION_RATE_COMP_INCREASE_MIN">"c3239"</definedName>
    <definedName name="IQ_PENSION_RATE_COMP_INCREASE_MIN_DOM">"c3237"</definedName>
    <definedName name="IQ_PENSION_RATE_COMP_INCREASE_MIN_FOREIGN">"c3238"</definedName>
    <definedName name="IQ_PENSION_SERVICE_COST">"c3579"</definedName>
    <definedName name="IQ_PENSION_SERVICE_COST_DOM">"c3577"</definedName>
    <definedName name="IQ_PENSION_SERVICE_COST_FOREIGN">"c3578"</definedName>
    <definedName name="IQ_PENSION_TOTAL_ASSETS">"c3563"</definedName>
    <definedName name="IQ_PENSION_TOTAL_ASSETS_DOMESTIC">"c3561"</definedName>
    <definedName name="IQ_PENSION_TOTAL_ASSETS_FOREIGN">"c3562"</definedName>
    <definedName name="IQ_PENSION_TOTAL_EXP">"c3560"</definedName>
    <definedName name="IQ_PENSION_UNFUNDED_ADDL_MIN_LIAB">"c3227"</definedName>
    <definedName name="IQ_PENSION_UNFUNDED_ADDL_MIN_LIAB_DOM">"c3225"</definedName>
    <definedName name="IQ_PENSION_UNFUNDED_ADDL_MIN_LIAB_FOREIGN">"c3226"</definedName>
    <definedName name="IQ_PENSION_UNRECOG_PRIOR">"c3146"</definedName>
    <definedName name="IQ_PENSION_UNRECOG_PRIOR_DOM">"c3144"</definedName>
    <definedName name="IQ_PENSION_UNRECOG_PRIOR_FOREIGN">"c3145"</definedName>
    <definedName name="IQ_PENSION_UV_LIAB">"c3567"</definedName>
    <definedName name="IQ_PERIODDATE">"c1414"</definedName>
    <definedName name="IQ_PERIODDATE_BS">"c1032"</definedName>
    <definedName name="IQ_PERIODDATE_CF">"c1033"</definedName>
    <definedName name="IQ_PERIODDATE_IS">"c1034"</definedName>
    <definedName name="IQ_PERIODLENGTH_CF">"c1502"</definedName>
    <definedName name="IQ_PERIODLENGTH_IS">"c1503"</definedName>
    <definedName name="IQ_PERTYPE">"c1611"</definedName>
    <definedName name="IQ_PLL">"c2114"</definedName>
    <definedName name="IQ_PMT_FREQ">"c2236"</definedName>
    <definedName name="IQ_POISON_PUT_EFFECT_DATE">"c2486"</definedName>
    <definedName name="IQ_POISON_PUT_EXPIRATION_DATE">"c2487"</definedName>
    <definedName name="IQ_POISON_PUT_PRICE">"c2488"</definedName>
    <definedName name="IQ_POLICY_BENEFITS">"c1036"</definedName>
    <definedName name="IQ_POLICY_COST">"c1037"</definedName>
    <definedName name="IQ_POLICY_LIAB">"c1612"</definedName>
    <definedName name="IQ_POLICY_LOANS">"c1038"</definedName>
    <definedName name="IQ_POST_RETIRE_EXP">"c1039"</definedName>
    <definedName name="IQ_POSTPAID_CHURN">"c2121"</definedName>
    <definedName name="IQ_POSTPAID_SUBS">"c2118"</definedName>
    <definedName name="IQ_PRE_OPEN_COST">"c1040"</definedName>
    <definedName name="IQ_PREF_CONVERT">"c1041"</definedName>
    <definedName name="IQ_PREF_DIV_CF">"c1042"</definedName>
    <definedName name="IQ_PREF_DIV_OTHER">"c1043"</definedName>
    <definedName name="IQ_PREF_DIVID">"c1461"</definedName>
    <definedName name="IQ_PREF_EQUITY">"c1044"</definedName>
    <definedName name="IQ_PREF_ISSUED">"c1045"</definedName>
    <definedName name="IQ_PREF_ISSUED_BNK">"c1046"</definedName>
    <definedName name="IQ_PREF_ISSUED_BR">"c1047"</definedName>
    <definedName name="IQ_PREF_ISSUED_FIN">"c1048"</definedName>
    <definedName name="IQ_PREF_ISSUED_INS">"c1049"</definedName>
    <definedName name="IQ_PREF_ISSUED_REIT">"c1050"</definedName>
    <definedName name="IQ_PREF_ISSUED_UTI">"c1051"</definedName>
    <definedName name="IQ_PREF_NON_REDEEM">"c1052"</definedName>
    <definedName name="IQ_PREF_OTHER">"c1053"</definedName>
    <definedName name="IQ_PREF_OTHER_BNK">"c1054"</definedName>
    <definedName name="IQ_PREF_OTHER_BR">"c1055"</definedName>
    <definedName name="IQ_PREF_OTHER_FIN">"c1056"</definedName>
    <definedName name="IQ_PREF_OTHER_INS">"c1057"</definedName>
    <definedName name="IQ_PREF_OTHER_REIT">"c1058"</definedName>
    <definedName name="IQ_PREF_REDEEM">"c1059"</definedName>
    <definedName name="IQ_PREF_REP">"c1060"</definedName>
    <definedName name="IQ_PREF_REP_BNK">"c1061"</definedName>
    <definedName name="IQ_PREF_REP_BR">"c1062"</definedName>
    <definedName name="IQ_PREF_REP_FIN">"c1063"</definedName>
    <definedName name="IQ_PREF_REP_INS">"c1064"</definedName>
    <definedName name="IQ_PREF_REP_REIT">"c1065"</definedName>
    <definedName name="IQ_PREF_REP_UTI">"c1066"</definedName>
    <definedName name="IQ_PREF_STOCK">"c1416"</definedName>
    <definedName name="IQ_PREF_TOT">"c1415"</definedName>
    <definedName name="IQ_PREMIUMS_ANNUITY_REV">"c1067"</definedName>
    <definedName name="IQ_PREPAID_CHURN">"c2120"</definedName>
    <definedName name="IQ_PREPAID_EXP">"c1068"</definedName>
    <definedName name="IQ_PREPAID_EXPEN">"c1418"</definedName>
    <definedName name="IQ_PREPAID_SUBS">"c2117"</definedName>
    <definedName name="IQ_PRICE_OVER_BVPS">"c1412"</definedName>
    <definedName name="IQ_PRICE_OVER_LTM_EPS">"c1413"</definedName>
    <definedName name="IQ_PRICE_TARGET">"c82"</definedName>
    <definedName name="IQ_PRICE_TARGET_REUT">"c3631"</definedName>
    <definedName name="IQ_PRICEDATE">"c1069"</definedName>
    <definedName name="IQ_PRICING_DATE">"c1613"</definedName>
    <definedName name="IQ_PRIMARY_INDUSTRY">"c1070"</definedName>
    <definedName name="IQ_PRINCIPAL_AMT">"c2157"</definedName>
    <definedName name="IQ_PRO_FORMA_BASIC_EPS">"c1614"</definedName>
    <definedName name="IQ_PRO_FORMA_DILUT_EPS">"c1615"</definedName>
    <definedName name="IQ_PRO_FORMA_NET_INC">"c1452"</definedName>
    <definedName name="IQ_PROFESSIONAL">"c1071"</definedName>
    <definedName name="IQ_PROFESSIONAL_TITLE">"c1072"</definedName>
    <definedName name="IQ_PROJECTED_PENSION_OBLIGATION">"c1292"</definedName>
    <definedName name="IQ_PROJECTED_PENSION_OBLIGATION_DOMESTIC">"c2656"</definedName>
    <definedName name="IQ_PROJECTED_PENSION_OBLIGATION_FOREIGN">"c2664"</definedName>
    <definedName name="IQ_PROPERTY_EXP">"c1073"</definedName>
    <definedName name="IQ_PROPERTY_GROSS">"c1379"</definedName>
    <definedName name="IQ_PROPERTY_MGMT_FEE">"c1074"</definedName>
    <definedName name="IQ_PROPERTY_NET">"c1402"</definedName>
    <definedName name="IQ_PROV_BAD_DEBTS">"c1075"</definedName>
    <definedName name="IQ_PROV_BAD_DEBTS_CF">"c1076"</definedName>
    <definedName name="IQ_PROVISION_10YR_ANN_GROWTH">"c1077"</definedName>
    <definedName name="IQ_PROVISION_1YR_ANN_GROWTH">"c1078"</definedName>
    <definedName name="IQ_PROVISION_2YR_ANN_GROWTH">"c1079"</definedName>
    <definedName name="IQ_PROVISION_3YR_ANN_GROWTH">"c1080"</definedName>
    <definedName name="IQ_PROVISION_5YR_ANN_GROWTH">"c1081"</definedName>
    <definedName name="IQ_PROVISION_7YR_ANN_GROWTH">"c1082"</definedName>
    <definedName name="IQ_PROVISION_CHARGE_OFFS">"c1083"</definedName>
    <definedName name="IQ_PTBV">"c1084"</definedName>
    <definedName name="IQ_PTBV_AVG">"c1085"</definedName>
    <definedName name="IQ_PUT_DATE_SCHEDULE">"c2483"</definedName>
    <definedName name="IQ_PUT_NOTIFICATION">"c2485"</definedName>
    <definedName name="IQ_PUT_PRICE_SCHEDULE">"c2484"</definedName>
    <definedName name="IQ_QUICK_RATIO">"c1086"</definedName>
    <definedName name="IQ_RATE_COMP_GROWTH_DOMESTIC">"c1087"</definedName>
    <definedName name="IQ_RATE_COMP_GROWTH_FOREIGN">"c1088"</definedName>
    <definedName name="IQ_RAW_INV">"c1089"</definedName>
    <definedName name="IQ_RC">"c2497"</definedName>
    <definedName name="IQ_RC_PCT">"c2498"</definedName>
    <definedName name="IQ_RD_EXP">"c1090"</definedName>
    <definedName name="IQ_RD_EXP_FN">"c1091"</definedName>
    <definedName name="IQ_RE">"c1092"</definedName>
    <definedName name="IQ_REAL_ESTATE">"c1093"</definedName>
    <definedName name="IQ_REAL_ESTATE_ASSETS">"c1094"</definedName>
    <definedName name="IQ_RECURRING_PROFIT_ACT_OR_EST">"c4507"</definedName>
    <definedName name="IQ_RECURRING_PROFIT_SHARE_ACT_OR_EST">"c4508"</definedName>
    <definedName name="IQ_REDEEM_PREF_STOCK">"c1417"</definedName>
    <definedName name="IQ_REG_ASSETS">"c1095"</definedName>
    <definedName name="IQ_REINSUR_PAY">"c1096"</definedName>
    <definedName name="IQ_REINSUR_PAY_CF">"c1097"</definedName>
    <definedName name="IQ_REINSUR_RECOVER">"c1098"</definedName>
    <definedName name="IQ_REINSUR_RECOVER_CF">"c1099"</definedName>
    <definedName name="IQ_REINSURANCE">"c1100"</definedName>
    <definedName name="IQ_RENTAL_REV">"c1101"</definedName>
    <definedName name="IQ_RESEARCH_DEV">"c1419"</definedName>
    <definedName name="IQ_RESIDENTIAL_LOANS">"c1102"</definedName>
    <definedName name="IQ_RESTATEMENT_BS">"c1643"</definedName>
    <definedName name="IQ_RESTATEMENT_CF">"c1644"</definedName>
    <definedName name="IQ_RESTATEMENT_IS">"c1642"</definedName>
    <definedName name="IQ_RESTR_STOCK_COMP">"c3506"</definedName>
    <definedName name="IQ_RESTR_STOCK_COMP_PRETAX">"c3504"</definedName>
    <definedName name="IQ_RESTR_STOCK_COMP_TAX">"c3505"</definedName>
    <definedName name="IQ_RESTRICTED_CASH">"c1103"</definedName>
    <definedName name="IQ_RESTRUCTURE">"c1104"</definedName>
    <definedName name="IQ_RESTRUCTURE_BNK">"c1105"</definedName>
    <definedName name="IQ_RESTRUCTURE_BR">"c1106"</definedName>
    <definedName name="IQ_RESTRUCTURE_CF">"c1107"</definedName>
    <definedName name="IQ_RESTRUCTURE_FIN">"c1108"</definedName>
    <definedName name="IQ_RESTRUCTURE_INS">"c1109"</definedName>
    <definedName name="IQ_RESTRUCTURE_REIT">"c1110"</definedName>
    <definedName name="IQ_RESTRUCTURE_UTI">"c1111"</definedName>
    <definedName name="IQ_RESTRUCTURED_LOANS">"c1112"</definedName>
    <definedName name="IQ_RETAIL_ACQUIRED_FRANCHISE_STORES">"c2895"</definedName>
    <definedName name="IQ_RETAIL_ACQUIRED_OWNED_STORES">"c2903"</definedName>
    <definedName name="IQ_RETAIL_ACQUIRED_STORES">"c2887"</definedName>
    <definedName name="IQ_RETAIL_AVG_STORE_SIZE_GROSS">"c2066"</definedName>
    <definedName name="IQ_RETAIL_AVG_STORE_SIZE_NET">"c2067"</definedName>
    <definedName name="IQ_RETAIL_AVG_WK_SALES">"c2891"</definedName>
    <definedName name="IQ_RETAIL_AVG_WK_SALES_FRANCHISE">"c2899"</definedName>
    <definedName name="IQ_RETAIL_AVG_WK_SALES_OWNED">"c2907"</definedName>
    <definedName name="IQ_RETAIL_CLOSED_FRANCHISE_STORES">"c2896"</definedName>
    <definedName name="IQ_RETAIL_CLOSED_OWNED_STORES">"c2904"</definedName>
    <definedName name="IQ_RETAIL_CLOSED_STORES">"c2063"</definedName>
    <definedName name="IQ_RETAIL_FRANCHISE_STORES_BEG">"c2893"</definedName>
    <definedName name="IQ_RETAIL_OPENED_FRANCHISE_STORES">"c2894"</definedName>
    <definedName name="IQ_RETAIL_OPENED_OWNED_STORES">"c2902"</definedName>
    <definedName name="IQ_RETAIL_OPENED_STORES">"c2062"</definedName>
    <definedName name="IQ_RETAIL_OWNED_STORES_BEG">"c2901"</definedName>
    <definedName name="IQ_RETAIL_SALES_SQFT_ALL_GROSS">"c2138"</definedName>
    <definedName name="IQ_RETAIL_SALES_SQFT_ALL_NET">"c2139"</definedName>
    <definedName name="IQ_RETAIL_SALES_SQFT_COMPARABLE_GROSS">"c2136"</definedName>
    <definedName name="IQ_RETAIL_SALES_SQFT_COMPARABLE_NET">"c2137"</definedName>
    <definedName name="IQ_RETAIL_SALES_SQFT_OWNED_GROSS">"c2134"</definedName>
    <definedName name="IQ_RETAIL_SALES_SQFT_OWNED_NET">"c2135"</definedName>
    <definedName name="IQ_RETAIL_SOLD_FRANCHISE_STORES">"c2897"</definedName>
    <definedName name="IQ_RETAIL_SOLD_OWNED_STORES">"c2905"</definedName>
    <definedName name="IQ_RETAIL_SOLD_STORES">"c2889"</definedName>
    <definedName name="IQ_RETAIL_SQ_FOOTAGE">"c2064"</definedName>
    <definedName name="IQ_RETAIL_STORE_SELLING_AREA">"c2065"</definedName>
    <definedName name="IQ_RETAIL_STORES_BEG">"c2885"</definedName>
    <definedName name="IQ_RETAIL_TOTAL_FRANCHISE_STORES">"c2898"</definedName>
    <definedName name="IQ_RETAIL_TOTAL_OWNED_STORES">"c2906"</definedName>
    <definedName name="IQ_RETAIL_TOTAL_STORES">"c2061"</definedName>
    <definedName name="IQ_RETAINED_EARN">"c1420"</definedName>
    <definedName name="IQ_RETURN_ASSETS">"c1113"</definedName>
    <definedName name="IQ_RETURN_ASSETS_BANK">"c1114"</definedName>
    <definedName name="IQ_RETURN_ASSETS_BROK">"c1115"</definedName>
    <definedName name="IQ_RETURN_ASSETS_FS">"c1116"</definedName>
    <definedName name="IQ_RETURN_CAPITAL">"c1117"</definedName>
    <definedName name="IQ_RETURN_EQUITY">"c1118"</definedName>
    <definedName name="IQ_RETURN_EQUITY_BANK">"c1119"</definedName>
    <definedName name="IQ_RETURN_EQUITY_BROK">"c1120"</definedName>
    <definedName name="IQ_RETURN_EQUITY_FS">"c1121"</definedName>
    <definedName name="IQ_RETURN_INVESTMENT">"c1421"</definedName>
    <definedName name="IQ_REV">"c1122"</definedName>
    <definedName name="IQ_REV_BEFORE_LL">"c1123"</definedName>
    <definedName name="IQ_REV_STDDEV_EST">"c1124"</definedName>
    <definedName name="IQ_REV_STDDEV_EST_REUT">"c3639"</definedName>
    <definedName name="IQ_REV_UTI">"c1125"</definedName>
    <definedName name="IQ_REVENUE">"c1422"</definedName>
    <definedName name="IQ_REVENUE_ACT_OR_EST">"c2214"</definedName>
    <definedName name="IQ_REVENUE_EST">"c1126"</definedName>
    <definedName name="IQ_REVENUE_EST_REUT">"c3634"</definedName>
    <definedName name="IQ_REVENUE_HIGH_EST">"c1127"</definedName>
    <definedName name="IQ_REVENUE_HIGH_EST_REUT">"c3636"</definedName>
    <definedName name="IQ_REVENUE_LOW_EST">"c1128"</definedName>
    <definedName name="IQ_REVENUE_LOW_EST_REUT">"c3637"</definedName>
    <definedName name="IQ_REVENUE_MEDIAN_EST">"c1662"</definedName>
    <definedName name="IQ_REVENUE_MEDIAN_EST_REUT">"c3635"</definedName>
    <definedName name="IQ_REVENUE_NUM_EST">"c1129"</definedName>
    <definedName name="IQ_REVENUE_NUM_EST_REUT">"c3638"</definedName>
    <definedName name="IQ_REVISION_DATE_">39489.6256597222</definedName>
    <definedName name="IQ_RISK_ADJ_BANK_ASSETS">"c2670"</definedName>
    <definedName name="IQ_SALARY">"c1130"</definedName>
    <definedName name="IQ_SALE_INTAN_CF">"c1131"</definedName>
    <definedName name="IQ_SALE_INTAN_CF_BNK">"c1132"</definedName>
    <definedName name="IQ_SALE_INTAN_CF_BR">"c1133"</definedName>
    <definedName name="IQ_SALE_INTAN_CF_FIN">"c1134"</definedName>
    <definedName name="IQ_SALE_INTAN_CF_INS">"c1135"</definedName>
    <definedName name="IQ_SALE_INTAN_CF_REIT">"c1627"</definedName>
    <definedName name="IQ_SALE_INTAN_CF_UTI">"c1136"</definedName>
    <definedName name="IQ_SALE_PPE_CF">"c1137"</definedName>
    <definedName name="IQ_SALE_PPE_CF_BNK">"c1138"</definedName>
    <definedName name="IQ_SALE_PPE_CF_BR">"c1139"</definedName>
    <definedName name="IQ_SALE_PPE_CF_FIN">"c1140"</definedName>
    <definedName name="IQ_SALE_PPE_CF_INS">"c1141"</definedName>
    <definedName name="IQ_SALE_PPE_CF_UTI">"c1142"</definedName>
    <definedName name="IQ_SALE_RE_ASSETS">"c1629"</definedName>
    <definedName name="IQ_SALE_REAL_ESTATE_CF">"c1143"</definedName>
    <definedName name="IQ_SALE_REAL_ESTATE_CF_BNK">"c1144"</definedName>
    <definedName name="IQ_SALE_REAL_ESTATE_CF_BR">"c1145"</definedName>
    <definedName name="IQ_SALE_REAL_ESTATE_CF_FIN">"c1146"</definedName>
    <definedName name="IQ_SALE_REAL_ESTATE_CF_INS">"c1147"</definedName>
    <definedName name="IQ_SALE_REAL_ESTATE_CF_UTI">"c1148"</definedName>
    <definedName name="IQ_SALES_MARKETING">"c2240"</definedName>
    <definedName name="IQ_SAME_STORE">"c1149"</definedName>
    <definedName name="IQ_SAME_STORE_FRANCHISE">"c2900"</definedName>
    <definedName name="IQ_SAME_STORE_OWNED">"c2908"</definedName>
    <definedName name="IQ_SAME_STORE_TOTAL">"c2892"</definedName>
    <definedName name="IQ_SAVING_DEP">"c1150"</definedName>
    <definedName name="IQ_SEC_PURCHASED_RESELL">"c5513"</definedName>
    <definedName name="IQ_SECUR_RECEIV">"c1151"</definedName>
    <definedName name="IQ_SECURED_DEBT">"c2546"</definedName>
    <definedName name="IQ_SECURED_DEBT_PCT">"c2547"</definedName>
    <definedName name="IQ_SECURITY_BORROW">"c1152"</definedName>
    <definedName name="IQ_SECURITY_LEVEL">"c2159"</definedName>
    <definedName name="IQ_SECURITY_NOTES">"c2202"</definedName>
    <definedName name="IQ_SECURITY_OWN">"c1153"</definedName>
    <definedName name="IQ_SECURITY_RESELL">"c1154"</definedName>
    <definedName name="IQ_SECURITY_TYPE">"c2158"</definedName>
    <definedName name="IQ_SEPARATE_ACCT_ASSETS">"c1155"</definedName>
    <definedName name="IQ_SEPARATE_ACCT_LIAB">"c1156"</definedName>
    <definedName name="IQ_SERV_CHARGE_DEPOSITS">"c1157"</definedName>
    <definedName name="IQ_SGA">"c1158"</definedName>
    <definedName name="IQ_SGA_BNK">"c1159"</definedName>
    <definedName name="IQ_SGA_INS">"c1160"</definedName>
    <definedName name="IQ_SGA_MARGIN">"c1898"</definedName>
    <definedName name="IQ_SGA_REIT">"c1161"</definedName>
    <definedName name="IQ_SGA_SUPPL">"c1162"</definedName>
    <definedName name="IQ_SGA_UTI">"c1163"</definedName>
    <definedName name="IQ_SHAREOUTSTANDING">"c1347"</definedName>
    <definedName name="IQ_SHARESOUTSTANDING">"c1164"</definedName>
    <definedName name="IQ_SHORT_INTEREST">"c1165"</definedName>
    <definedName name="IQ_SHORT_INTEREST_OVER_FLOAT">"c1577"</definedName>
    <definedName name="IQ_SHORT_INTEREST_PERCENT">"c1576"</definedName>
    <definedName name="IQ_SHORT_TERM_INVEST">"c1425"</definedName>
    <definedName name="IQ_SMALL_INT_BEAR_CD">"c1166"</definedName>
    <definedName name="IQ_SOFTWARE">"c1167"</definedName>
    <definedName name="IQ_SOURCE">"c1168"</definedName>
    <definedName name="IQ_SP">"c2171"</definedName>
    <definedName name="IQ_SP_BANK">"c2637"</definedName>
    <definedName name="IQ_SP_BANK_ACTION">"c2636"</definedName>
    <definedName name="IQ_SP_BANK_DATE">"c2635"</definedName>
    <definedName name="IQ_SP_DATE">"c2172"</definedName>
    <definedName name="IQ_SP_FIN_ENHANCE_FX">"c2631"</definedName>
    <definedName name="IQ_SP_FIN_ENHANCE_FX_ACTION">"c2630"</definedName>
    <definedName name="IQ_SP_FIN_ENHANCE_FX_DATE">"c2629"</definedName>
    <definedName name="IQ_SP_FIN_ENHANCE_LC">"c2634"</definedName>
    <definedName name="IQ_SP_FIN_ENHANCE_LC_ACTION">"c2633"</definedName>
    <definedName name="IQ_SP_FIN_ENHANCE_LC_DATE">"c2632"</definedName>
    <definedName name="IQ_SP_FIN_STRENGTH_LC_ACTION_LT">"c2625"</definedName>
    <definedName name="IQ_SP_FIN_STRENGTH_LC_ACTION_ST">"c2626"</definedName>
    <definedName name="IQ_SP_FIN_STRENGTH_LC_DATE_LT">"c2623"</definedName>
    <definedName name="IQ_SP_FIN_STRENGTH_LC_DATE_ST">"c2624"</definedName>
    <definedName name="IQ_SP_FIN_STRENGTH_LC_LT">"c2627"</definedName>
    <definedName name="IQ_SP_FIN_STRENGTH_LC_ST">"c2628"</definedName>
    <definedName name="IQ_SP_FX_ACTION_LT">"c2613"</definedName>
    <definedName name="IQ_SP_FX_ACTION_ST">"c2614"</definedName>
    <definedName name="IQ_SP_FX_DATE_LT">"c2611"</definedName>
    <definedName name="IQ_SP_FX_DATE_ST">"c2612"</definedName>
    <definedName name="IQ_SP_FX_LT">"c2615"</definedName>
    <definedName name="IQ_SP_FX_ST">"c2616"</definedName>
    <definedName name="IQ_SP_ISSUE_ACTION">"c2644"</definedName>
    <definedName name="IQ_SP_ISSUE_DATE">"c2643"</definedName>
    <definedName name="IQ_SP_ISSUE_LT">"c2645"</definedName>
    <definedName name="IQ_SP_ISSUE_OUTLOOK_WATCH">"c2650"</definedName>
    <definedName name="IQ_SP_ISSUE_OUTLOOK_WATCH_DATE">"c2649"</definedName>
    <definedName name="IQ_SP_ISSUE_RECOVER">"c2648"</definedName>
    <definedName name="IQ_SP_ISSUE_RECOVER_ACTION">"c2647"</definedName>
    <definedName name="IQ_SP_ISSUE_RECOVER_DATE">"c2646"</definedName>
    <definedName name="IQ_SP_LC_ACTION_LT">"c2619"</definedName>
    <definedName name="IQ_SP_LC_ACTION_ST">"c2620"</definedName>
    <definedName name="IQ_SP_LC_DATE_LT">"c2617"</definedName>
    <definedName name="IQ_SP_LC_DATE_ST">"c2618"</definedName>
    <definedName name="IQ_SP_LC_LT">"c2621"</definedName>
    <definedName name="IQ_SP_LC_ST">"c2622"</definedName>
    <definedName name="IQ_SP_OUTLOOK_WATCH">"c2639"</definedName>
    <definedName name="IQ_SP_OUTLOOK_WATCH_DATE">"c2638"</definedName>
    <definedName name="IQ_SP_REASON">"c2174"</definedName>
    <definedName name="IQ_SP_STATUS">"c2173"</definedName>
    <definedName name="IQ_SPECIAL_DIV_CF">"c1169"</definedName>
    <definedName name="IQ_SPECIAL_DIV_CF_BNK">"c1170"</definedName>
    <definedName name="IQ_SPECIAL_DIV_CF_BR">"c1171"</definedName>
    <definedName name="IQ_SPECIAL_DIV_CF_FIN">"c1172"</definedName>
    <definedName name="IQ_SPECIAL_DIV_CF_INS">"c1173"</definedName>
    <definedName name="IQ_SPECIAL_DIV_CF_REIT">"c1174"</definedName>
    <definedName name="IQ_SPECIAL_DIV_CF_UTI">"c1175"</definedName>
    <definedName name="IQ_SPECIAL_DIV_SHARE">"c3007"</definedName>
    <definedName name="IQ_SR_BONDS_NOTES">"c2501"</definedName>
    <definedName name="IQ_SR_BONDS_NOTES_PCT">"c2502"</definedName>
    <definedName name="IQ_SR_DEBT">"c2526"</definedName>
    <definedName name="IQ_SR_DEBT_EBITDA">"c2552"</definedName>
    <definedName name="IQ_SR_DEBT_EBITDA_CAPEX">"c2553"</definedName>
    <definedName name="IQ_SR_DEBT_PCT">"c2527"</definedName>
    <definedName name="IQ_SR_SUB_DEBT">"c2530"</definedName>
    <definedName name="IQ_SR_SUB_DEBT_EBITDA">"c2556"</definedName>
    <definedName name="IQ_SR_SUB_DEBT_EBITDA_CAPEX">"c2557"</definedName>
    <definedName name="IQ_SR_SUB_DEBT_PCT">"c2531"</definedName>
    <definedName name="IQ_ST_DEBT">"c1176"</definedName>
    <definedName name="IQ_ST_DEBT_BNK">"c1177"</definedName>
    <definedName name="IQ_ST_DEBT_BR">"c1178"</definedName>
    <definedName name="IQ_ST_DEBT_FIN">"c1179"</definedName>
    <definedName name="IQ_ST_DEBT_INS">"c1180"</definedName>
    <definedName name="IQ_ST_DEBT_ISSUED">"c1181"</definedName>
    <definedName name="IQ_ST_DEBT_ISSUED_BNK">"c1182"</definedName>
    <definedName name="IQ_ST_DEBT_ISSUED_BR">"c1183"</definedName>
    <definedName name="IQ_ST_DEBT_ISSUED_FIN">"c1184"</definedName>
    <definedName name="IQ_ST_DEBT_ISSUED_INS">"c1185"</definedName>
    <definedName name="IQ_ST_DEBT_ISSUED_REIT">"c1186"</definedName>
    <definedName name="IQ_ST_DEBT_ISSUED_UTI">"c1187"</definedName>
    <definedName name="IQ_ST_DEBT_PCT">"c2539"</definedName>
    <definedName name="IQ_ST_DEBT_REIT">"c1188"</definedName>
    <definedName name="IQ_ST_DEBT_REPAID">"c1189"</definedName>
    <definedName name="IQ_ST_DEBT_REPAID_BNK">"c1190"</definedName>
    <definedName name="IQ_ST_DEBT_REPAID_BR">"c1191"</definedName>
    <definedName name="IQ_ST_DEBT_REPAID_FIN">"c1192"</definedName>
    <definedName name="IQ_ST_DEBT_REPAID_INS">"c1193"</definedName>
    <definedName name="IQ_ST_DEBT_REPAID_REIT">"c1194"</definedName>
    <definedName name="IQ_ST_DEBT_REPAID_UTI">"c1195"</definedName>
    <definedName name="IQ_ST_DEBT_UTI">"c1196"</definedName>
    <definedName name="IQ_ST_INVEST">"c1197"</definedName>
    <definedName name="IQ_ST_INVEST_UTI">"c1198"</definedName>
    <definedName name="IQ_ST_NOTE_RECEIV">"c1199"</definedName>
    <definedName name="IQ_STATE">"c1200"</definedName>
    <definedName name="IQ_STATUTORY_SURPLUS">"c1201"</definedName>
    <definedName name="IQ_STOCK_BASED">"c1202"</definedName>
    <definedName name="IQ_STOCK_BASED_AT">"c2999"</definedName>
    <definedName name="IQ_STOCK_BASED_CF">"c1203"</definedName>
    <definedName name="IQ_STOCK_BASED_COGS">"c2990"</definedName>
    <definedName name="IQ_STOCK_BASED_COMP">"c3512"</definedName>
    <definedName name="IQ_STOCK_BASED_COMP_PRETAX">"c3510"</definedName>
    <definedName name="IQ_STOCK_BASED_COMP_TAX">"c3511"</definedName>
    <definedName name="IQ_STOCK_BASED_GA">"c2993"</definedName>
    <definedName name="IQ_STOCK_BASED_OTHER">"c2995"</definedName>
    <definedName name="IQ_STOCK_BASED_RD">"c2991"</definedName>
    <definedName name="IQ_STOCK_BASED_SGA">"c2994"</definedName>
    <definedName name="IQ_STOCK_BASED_SM">"c2992"</definedName>
    <definedName name="IQ_STOCK_BASED_TOTAL">"c3040"</definedName>
    <definedName name="IQ_STOCK_OPTIONS_COMP">"c3509"</definedName>
    <definedName name="IQ_STOCK_OPTIONS_COMP_PRETAX">"c3507"</definedName>
    <definedName name="IQ_STOCK_OPTIONS_COMP_TAX">"c3508"</definedName>
    <definedName name="IQ_STRIKE_PRICE_ISSUED">"c1645"</definedName>
    <definedName name="IQ_STRIKE_PRICE_OS">"c1646"</definedName>
    <definedName name="IQ_STW">"c2166"</definedName>
    <definedName name="IQ_SUB_BONDS_NOTES">"c2503"</definedName>
    <definedName name="IQ_SUB_BONDS_NOTES_PCT">"c2504"</definedName>
    <definedName name="IQ_SUB_DEBT">"c2532"</definedName>
    <definedName name="IQ_SUB_DEBT_EBITDA">"c2558"</definedName>
    <definedName name="IQ_SUB_DEBT_EBITDA_CAPEX">"c2559"</definedName>
    <definedName name="IQ_SUB_DEBT_PCT">"c2533"</definedName>
    <definedName name="IQ_SUB_LEASE_AFTER_FIVE">"c1207"</definedName>
    <definedName name="IQ_SUB_LEASE_INC_CY">"c1208"</definedName>
    <definedName name="IQ_SUB_LEASE_INC_CY1">"c1209"</definedName>
    <definedName name="IQ_SUB_LEASE_INC_CY2">"c1210"</definedName>
    <definedName name="IQ_SUB_LEASE_INC_CY3">"c1211"</definedName>
    <definedName name="IQ_SUB_LEASE_INC_CY4">"c1212"</definedName>
    <definedName name="IQ_SUB_LEASE_NEXT_FIVE">"c1213"</definedName>
    <definedName name="IQ_SVA">"c1214"</definedName>
    <definedName name="IQ_TARGET_PRICE_NUM">"c1653"</definedName>
    <definedName name="IQ_TARGET_PRICE_NUM_REUT">"c5319"</definedName>
    <definedName name="IQ_TARGET_PRICE_STDDEV">"c1654"</definedName>
    <definedName name="IQ_TARGET_PRICE_STDDEV_REUT">"c5320"</definedName>
    <definedName name="IQ_TAX_BENEFIT_CF_1YR">"c3483"</definedName>
    <definedName name="IQ_TAX_BENEFIT_CF_2YR">"c3484"</definedName>
    <definedName name="IQ_TAX_BENEFIT_CF_3YR">"c3485"</definedName>
    <definedName name="IQ_TAX_BENEFIT_CF_4YR">"c3486"</definedName>
    <definedName name="IQ_TAX_BENEFIT_CF_5YR">"c3487"</definedName>
    <definedName name="IQ_TAX_BENEFIT_CF_AFTER_FIVE">"c3488"</definedName>
    <definedName name="IQ_TAX_BENEFIT_CF_MAX_YEAR">"c3491"</definedName>
    <definedName name="IQ_TAX_BENEFIT_CF_NO_EXP">"c3489"</definedName>
    <definedName name="IQ_TAX_BENEFIT_CF_TOTAL">"c3490"</definedName>
    <definedName name="IQ_TAX_BENEFIT_OPTIONS">"c1215"</definedName>
    <definedName name="IQ_TAX_EQUIV_NET_INT_INC">"c1216"</definedName>
    <definedName name="IQ_TBV">"c1906"</definedName>
    <definedName name="IQ_TBV_10YR_ANN_GROWTH">"c1936"</definedName>
    <definedName name="IQ_TBV_1YR_ANN_GROWTH">"c1931"</definedName>
    <definedName name="IQ_TBV_2YR_ANN_GROWTH">"c1932"</definedName>
    <definedName name="IQ_TBV_3YR_ANN_GROWTH">"c1933"</definedName>
    <definedName name="IQ_TBV_5YR_ANN_GROWTH">"c1934"</definedName>
    <definedName name="IQ_TBV_7YR_ANN_GROWTH">"c1935"</definedName>
    <definedName name="IQ_TBV_SHARE">"c1217"</definedName>
    <definedName name="IQ_TEMPLATE">"c1521"</definedName>
    <definedName name="IQ_TENANT">"c1218"</definedName>
    <definedName name="IQ_TERM_LOANS">"c2499"</definedName>
    <definedName name="IQ_TERM_LOANS_PCT">"c2500"</definedName>
    <definedName name="IQ_TEV">"c1219"</definedName>
    <definedName name="IQ_TEV_EBIT">"c1220"</definedName>
    <definedName name="IQ_TEV_EBIT_AVG">"c1221"</definedName>
    <definedName name="IQ_TEV_EBITDA">"c1222"</definedName>
    <definedName name="IQ_TEV_EBITDA_AVG">"c1223"</definedName>
    <definedName name="IQ_TEV_EBITDA_FWD">"c1224"</definedName>
    <definedName name="IQ_TEV_EBITDA_FWD_REUT">"c4050"</definedName>
    <definedName name="IQ_TEV_EMPLOYEE_AVG">"c1225"</definedName>
    <definedName name="IQ_TEV_TOTAL_REV">"c1226"</definedName>
    <definedName name="IQ_TEV_TOTAL_REV_AVG">"c1227"</definedName>
    <definedName name="IQ_TEV_TOTAL_REV_FWD">"c1228"</definedName>
    <definedName name="IQ_TEV_TOTAL_REV_FWD_REUT">"c4051"</definedName>
    <definedName name="IQ_TEV_UFCF">"c2208"</definedName>
    <definedName name="IQ_TIER_ONE_CAPITAL">"c2667"</definedName>
    <definedName name="IQ_TIER_ONE_RATIO">"c1229"</definedName>
    <definedName name="IQ_TIER_TWO_CAPITAL">"c2669"</definedName>
    <definedName name="IQ_TIME_DEP">"c1230"</definedName>
    <definedName name="IQ_TODAY">0</definedName>
    <definedName name="IQ_TOT_ADJ_INC">"c1616"</definedName>
    <definedName name="IQ_TOTAL_AR_BR">"c1231"</definedName>
    <definedName name="IQ_TOTAL_AR_REIT">"c1232"</definedName>
    <definedName name="IQ_TOTAL_AR_UTI">"c1233"</definedName>
    <definedName name="IQ_TOTAL_ASSETS">"c1234"</definedName>
    <definedName name="IQ_TOTAL_ASSETS_10YR_ANN_GROWTH">"c1235"</definedName>
    <definedName name="IQ_TOTAL_ASSETS_1YR_ANN_GROWTH">"c1236"</definedName>
    <definedName name="IQ_TOTAL_ASSETS_2YR_ANN_GROWTH">"c1237"</definedName>
    <definedName name="IQ_TOTAL_ASSETS_3YR_ANN_GROWTH">"c1238"</definedName>
    <definedName name="IQ_TOTAL_ASSETS_5YR_ANN_GROWTH">"c1239"</definedName>
    <definedName name="IQ_TOTAL_ASSETS_7YR_ANN_GROWTH">"c1240"</definedName>
    <definedName name="IQ_TOTAL_AVG_CE_TOTAL_AVG_ASSETS">"c1241"</definedName>
    <definedName name="IQ_TOTAL_AVG_EQUITY_TOTAL_AVG_ASSETS">"c1242"</definedName>
    <definedName name="IQ_TOTAL_BANK_CAPITAL">"c2668"</definedName>
    <definedName name="IQ_TOTAL_CA">"c1243"</definedName>
    <definedName name="IQ_TOTAL_CAP">"c1507"</definedName>
    <definedName name="IQ_TOTAL_CAPITAL_RATIO">"c1244"</definedName>
    <definedName name="IQ_TOTAL_CASH_DIVID">"c1455"</definedName>
    <definedName name="IQ_TOTAL_CASH_FINAN">"c1352"</definedName>
    <definedName name="IQ_TOTAL_CASH_INVEST">"c1353"</definedName>
    <definedName name="IQ_TOTAL_CASH_OPER">"c1354"</definedName>
    <definedName name="IQ_TOTAL_CHURN">"c2122"</definedName>
    <definedName name="IQ_TOTAL_CL">"c1245"</definedName>
    <definedName name="IQ_TOTAL_COMMON">"c1411"</definedName>
    <definedName name="IQ_TOTAL_COMMON_EQUITY">"c1246"</definedName>
    <definedName name="IQ_TOTAL_CURRENT_ASSETS">"c1430"</definedName>
    <definedName name="IQ_TOTAL_CURRENT_LIAB">"c1431"</definedName>
    <definedName name="IQ_TOTAL_DEBT">"c1247"</definedName>
    <definedName name="IQ_TOTAL_DEBT_CAPITAL">"c1248"</definedName>
    <definedName name="IQ_TOTAL_DEBT_EBITDA">"c1249"</definedName>
    <definedName name="IQ_TOTAL_DEBT_EBITDA_CAPEX">"c2948"</definedName>
    <definedName name="IQ_TOTAL_DEBT_EQUITY">"c1250"</definedName>
    <definedName name="IQ_TOTAL_DEBT_EXCL_FIN">"c2937"</definedName>
    <definedName name="IQ_TOTAL_DEBT_ISSUED">"c1251"</definedName>
    <definedName name="IQ_TOTAL_DEBT_ISSUED_BNK">"c1252"</definedName>
    <definedName name="IQ_TOTAL_DEBT_ISSUED_BR">"c1253"</definedName>
    <definedName name="IQ_TOTAL_DEBT_ISSUED_FIN">"c1254"</definedName>
    <definedName name="IQ_TOTAL_DEBT_ISSUED_REIT">"c1255"</definedName>
    <definedName name="IQ_TOTAL_DEBT_ISSUED_UTI">"c1256"</definedName>
    <definedName name="IQ_TOTAL_DEBT_ISSUES_INS">"c1257"</definedName>
    <definedName name="IQ_TOTAL_DEBT_OVER_EBITDA">"c1433"</definedName>
    <definedName name="IQ_TOTAL_DEBT_OVER_TOTAL_BV">"c1434"</definedName>
    <definedName name="IQ_TOTAL_DEBT_OVER_TOTAL_CAP">"c1432"</definedName>
    <definedName name="IQ_TOTAL_DEBT_REPAID">"c1258"</definedName>
    <definedName name="IQ_TOTAL_DEBT_REPAID_BNK">"c1259"</definedName>
    <definedName name="IQ_TOTAL_DEBT_REPAID_BR">"c1260"</definedName>
    <definedName name="IQ_TOTAL_DEBT_REPAID_FIN">"c1261"</definedName>
    <definedName name="IQ_TOTAL_DEBT_REPAID_INS">"c1262"</definedName>
    <definedName name="IQ_TOTAL_DEBT_REPAID_REIT">"c1263"</definedName>
    <definedName name="IQ_TOTAL_DEBT_REPAID_UTI">"c1264"</definedName>
    <definedName name="IQ_TOTAL_DEPOSITS">"c1265"</definedName>
    <definedName name="IQ_TOTAL_DIV_PAID_CF">"c1266"</definedName>
    <definedName name="IQ_TOTAL_EMPLOYEE">"c2141"</definedName>
    <definedName name="IQ_TOTAL_EMPLOYEES">"c1522"</definedName>
    <definedName name="IQ_TOTAL_EQUITY">"c1267"</definedName>
    <definedName name="IQ_TOTAL_EQUITY_10YR_ANN_GROWTH">"c1268"</definedName>
    <definedName name="IQ_TOTAL_EQUITY_1YR_ANN_GROWTH">"c1269"</definedName>
    <definedName name="IQ_TOTAL_EQUITY_2YR_ANN_GROWTH">"c1270"</definedName>
    <definedName name="IQ_TOTAL_EQUITY_3YR_ANN_GROWTH">"c1271"</definedName>
    <definedName name="IQ_TOTAL_EQUITY_5YR_ANN_GROWTH">"c1272"</definedName>
    <definedName name="IQ_TOTAL_EQUITY_7YR_ANN_GROWTH">"c1273"</definedName>
    <definedName name="IQ_TOTAL_EQUITY_ALLOWANCE_TOTAL_LOANS">"c1274"</definedName>
    <definedName name="IQ_TOTAL_INTEREST_EXP">"c1382"</definedName>
    <definedName name="IQ_TOTAL_INVENTORY">"c1385"</definedName>
    <definedName name="IQ_TOTAL_INVEST">"c1275"</definedName>
    <definedName name="IQ_TOTAL_LIAB">"c1276"</definedName>
    <definedName name="IQ_TOTAL_LIAB_BNK">"c1277"</definedName>
    <definedName name="IQ_TOTAL_LIAB_BR">"c1278"</definedName>
    <definedName name="IQ_TOTAL_LIAB_EQUITY">"c1279"</definedName>
    <definedName name="IQ_TOTAL_LIAB_FIN">"c1280"</definedName>
    <definedName name="IQ_TOTAL_LIAB_INS">"c1281"</definedName>
    <definedName name="IQ_TOTAL_LIAB_REIT">"c1282"</definedName>
    <definedName name="IQ_TOTAL_LIAB_SHAREHOLD">"c1435"</definedName>
    <definedName name="IQ_TOTAL_LIAB_TOTAL_ASSETS">"c1283"</definedName>
    <definedName name="IQ_TOTAL_LONG_DEBT">"c1617"</definedName>
    <definedName name="IQ_TOTAL_NON_REC">"c1444"</definedName>
    <definedName name="IQ_TOTAL_OPER_EXP_BR">"c1284"</definedName>
    <definedName name="IQ_TOTAL_OPER_EXP_FIN">"c1285"</definedName>
    <definedName name="IQ_TOTAL_OPER_EXP_INS">"c1286"</definedName>
    <definedName name="IQ_TOTAL_OPER_EXP_REIT">"c1287"</definedName>
    <definedName name="IQ_TOTAL_OPER_EXP_UTI">"c1288"</definedName>
    <definedName name="IQ_TOTAL_OPER_EXPEN">"c1445"</definedName>
    <definedName name="IQ_TOTAL_OPTIONS_BEG_OS">"c2693"</definedName>
    <definedName name="IQ_TOTAL_OPTIONS_CANCELLED">"c2696"</definedName>
    <definedName name="IQ_TOTAL_OPTIONS_END_OS">"c2697"</definedName>
    <definedName name="IQ_TOTAL_OPTIONS_EXERCISED">"c2695"</definedName>
    <definedName name="IQ_TOTAL_OPTIONS_GRANTED">"c2694"</definedName>
    <definedName name="IQ_TOTAL_OTHER_OPER">"c1289"</definedName>
    <definedName name="IQ_TOTAL_OUTSTANDING_BS_DATE">"c1022"</definedName>
    <definedName name="IQ_TOTAL_OUTSTANDING_FILING_DATE">"c2107"</definedName>
    <definedName name="IQ_TOTAL_PENSION_ASSETS">"c1290"</definedName>
    <definedName name="IQ_TOTAL_PENSION_ASSETS_DOMESTIC">"c2658"</definedName>
    <definedName name="IQ_TOTAL_PENSION_ASSETS_FOREIGN">"c2666"</definedName>
    <definedName name="IQ_TOTAL_PENSION_EXP">"c1291"</definedName>
    <definedName name="IQ_TOTAL_PRINCIPAL">"c2509"</definedName>
    <definedName name="IQ_TOTAL_PRINCIPAL_PCT">"c2510"</definedName>
    <definedName name="IQ_TOTAL_PROVED_RESERVES_NGL">"c2924"</definedName>
    <definedName name="IQ_TOTAL_PROVED_RESERVES_OIL">"c2040"</definedName>
    <definedName name="IQ_TOTAL_RECEIV">"c1293"</definedName>
    <definedName name="IQ_TOTAL_REV">"c1294"</definedName>
    <definedName name="IQ_TOTAL_REV_10YR_ANN_GROWTH">"c1295"</definedName>
    <definedName name="IQ_TOTAL_REV_1YR_ANN_GROWTH">"c1296"</definedName>
    <definedName name="IQ_TOTAL_REV_2YR_ANN_GROWTH">"c1297"</definedName>
    <definedName name="IQ_TOTAL_REV_3YR_ANN_GROWTH">"c1298"</definedName>
    <definedName name="IQ_TOTAL_REV_5YR_ANN_GROWTH">"c1299"</definedName>
    <definedName name="IQ_TOTAL_REV_7YR_ANN_GROWTH">"c1300"</definedName>
    <definedName name="IQ_TOTAL_REV_AS_REPORTED">"c1301"</definedName>
    <definedName name="IQ_TOTAL_REV_BNK">"c1302"</definedName>
    <definedName name="IQ_TOTAL_REV_BR">"c1303"</definedName>
    <definedName name="IQ_TOTAL_REV_EMPLOYEE">"c1304"</definedName>
    <definedName name="IQ_TOTAL_REV_FIN">"c1305"</definedName>
    <definedName name="IQ_TOTAL_REV_INS">"c1306"</definedName>
    <definedName name="IQ_TOTAL_REV_REIT">"c1307"</definedName>
    <definedName name="IQ_TOTAL_REV_SHARE">"c1912"</definedName>
    <definedName name="IQ_TOTAL_REV_UTI">"c1308"</definedName>
    <definedName name="IQ_TOTAL_REVENUE">"c1436"</definedName>
    <definedName name="IQ_TOTAL_SPECIAL">"c1618"</definedName>
    <definedName name="IQ_TOTAL_ST_BORROW">"c1424"</definedName>
    <definedName name="IQ_TOTAL_SUB_DEBT">"c2528"</definedName>
    <definedName name="IQ_TOTAL_SUB_DEBT_EBITDA">"c2554"</definedName>
    <definedName name="IQ_TOTAL_SUB_DEBT_EBITDA_CAPEX">"c2555"</definedName>
    <definedName name="IQ_TOTAL_SUB_DEBT_PCT">"c2529"</definedName>
    <definedName name="IQ_TOTAL_SUBS">"c2119"</definedName>
    <definedName name="IQ_TOTAL_UNUSUAL">"c1508"</definedName>
    <definedName name="IQ_TOTAL_UNUSUAL_BNK">"c5516"</definedName>
    <definedName name="IQ_TOTAL_UNUSUAL_BR">"c5517"</definedName>
    <definedName name="IQ_TOTAL_UNUSUAL_FIN">"c5518"</definedName>
    <definedName name="IQ_TOTAL_UNUSUAL_INS">"c5519"</definedName>
    <definedName name="IQ_TOTAL_UNUSUAL_REIT">"c5520"</definedName>
    <definedName name="IQ_TOTAL_UNUSUAL_UTI">"c5521"</definedName>
    <definedName name="IQ_TOTAL_WARRANTS_BEG_OS">"c2719"</definedName>
    <definedName name="IQ_TOTAL_WARRANTS_CANCELLED">"c2722"</definedName>
    <definedName name="IQ_TOTAL_WARRANTS_END_OS">"c2723"</definedName>
    <definedName name="IQ_TOTAL_WARRANTS_EXERCISED">"c2721"</definedName>
    <definedName name="IQ_TOTAL_WARRANTS_ISSUED">"c2720"</definedName>
    <definedName name="IQ_TR_ACCT_METHOD">"c2363"</definedName>
    <definedName name="IQ_TR_ACQ_52_WK_HI_PCT">"c2348"</definedName>
    <definedName name="IQ_TR_ACQ_52_WK_LOW_PCT">"c2347"</definedName>
    <definedName name="IQ_TR_ACQ_CASH_ST_INVEST">"c2372"</definedName>
    <definedName name="IQ_TR_ACQ_CLOSEPRICE_1D">"c3027"</definedName>
    <definedName name="IQ_TR_ACQ_DILUT_EPS_EXCL">"c3028"</definedName>
    <definedName name="IQ_TR_ACQ_EARNING_CO">"c2379"</definedName>
    <definedName name="IQ_TR_ACQ_EBIT">"c2380"</definedName>
    <definedName name="IQ_TR_ACQ_EBIT_EQ_INC">"c3611"</definedName>
    <definedName name="IQ_TR_ACQ_EBITDA">"c2381"</definedName>
    <definedName name="IQ_TR_ACQ_EBITDA_EQ_INC">"c3610"</definedName>
    <definedName name="IQ_TR_ACQ_FILING_CURRENCY">"c3033"</definedName>
    <definedName name="IQ_TR_ACQ_FILINGDATE">"c3607"</definedName>
    <definedName name="IQ_TR_ACQ_MCAP_1DAY">"c2345"</definedName>
    <definedName name="IQ_TR_ACQ_MIN_INT">"c2374"</definedName>
    <definedName name="IQ_TR_ACQ_NET_DEBT">"c2373"</definedName>
    <definedName name="IQ_TR_ACQ_NI">"c2378"</definedName>
    <definedName name="IQ_TR_ACQ_PERIODDATE">"c3606"</definedName>
    <definedName name="IQ_TR_ACQ_PRICEDATE_1D">"c2346"</definedName>
    <definedName name="IQ_TR_ACQ_RETURN">"c2349"</definedName>
    <definedName name="IQ_TR_ACQ_STOCKYEARHIGH_1D">"c2343"</definedName>
    <definedName name="IQ_TR_ACQ_STOCKYEARLOW_1D">"c2344"</definedName>
    <definedName name="IQ_TR_ACQ_TOTAL_ASSETS">"c2371"</definedName>
    <definedName name="IQ_TR_ACQ_TOTAL_COMMON_EQ">"c2377"</definedName>
    <definedName name="IQ_TR_ACQ_TOTAL_DEBT">"c2376"</definedName>
    <definedName name="IQ_TR_ACQ_TOTAL_PREF">"c2375"</definedName>
    <definedName name="IQ_TR_ACQ_TOTAL_REV">"c2382"</definedName>
    <definedName name="IQ_TR_ADJ_SIZE">"c3024"</definedName>
    <definedName name="IQ_TR_ANN_DATE">"c2395"</definedName>
    <definedName name="IQ_TR_ANN_DATE_BL">"c2394"</definedName>
    <definedName name="IQ_TR_BID_DATE">"c2357"</definedName>
    <definedName name="IQ_TR_BLUESKY_FEES">"c2277"</definedName>
    <definedName name="IQ_TR_BUY_ACC_ADVISORS">"c3048"</definedName>
    <definedName name="IQ_TR_BUY_FIN_ADVISORS">"c3045"</definedName>
    <definedName name="IQ_TR_BUY_LEG_ADVISORS">"c2387"</definedName>
    <definedName name="IQ_TR_BUYER_ID">"c2404"</definedName>
    <definedName name="IQ_TR_BUYERNAME">"c2401"</definedName>
    <definedName name="IQ_TR_CANCELLED_DATE">"c2284"</definedName>
    <definedName name="IQ_TR_CASH_CONSID_PCT">"c2296"</definedName>
    <definedName name="IQ_TR_CASH_ST_INVEST">"c3025"</definedName>
    <definedName name="IQ_TR_CHANGE_CONTROL">"c2365"</definedName>
    <definedName name="IQ_TR_CLOSED_DATE">"c2283"</definedName>
    <definedName name="IQ_TR_CO_NET_PROCEEDS">"c2268"</definedName>
    <definedName name="IQ_TR_CO_NET_PROCEEDS_PCT">"c2270"</definedName>
    <definedName name="IQ_TR_COMMENTS">"c2383"</definedName>
    <definedName name="IQ_TR_CURRENCY">"c3016"</definedName>
    <definedName name="IQ_TR_DEAL_ATTITUDE">"c2364"</definedName>
    <definedName name="IQ_TR_DEAL_CONDITIONS">"c2367"</definedName>
    <definedName name="IQ_TR_DEAL_RESOLUTION">"c2391"</definedName>
    <definedName name="IQ_TR_DEAL_RESPONSES">"c2366"</definedName>
    <definedName name="IQ_TR_DEBT_CONSID_PCT">"c2299"</definedName>
    <definedName name="IQ_TR_DEF_AGRMT_DATE">"c2285"</definedName>
    <definedName name="IQ_TR_DISCLOSED_FEES_EXP">"c2288"</definedName>
    <definedName name="IQ_TR_EARNOUTS">"c3023"</definedName>
    <definedName name="IQ_TR_EXPIRED_DATE">"c2412"</definedName>
    <definedName name="IQ_TR_GROSS_OFFERING_AMT">"c2262"</definedName>
    <definedName name="IQ_TR_HYBRID_CONSID_PCT">"c2300"</definedName>
    <definedName name="IQ_TR_IMPLIED_EQ">"c3018"</definedName>
    <definedName name="IQ_TR_IMPLIED_EQ_BV">"c3019"</definedName>
    <definedName name="IQ_TR_IMPLIED_EQ_NI_LTM">"c3020"</definedName>
    <definedName name="IQ_TR_IMPLIED_EV">"c2301"</definedName>
    <definedName name="IQ_TR_IMPLIED_EV_BV">"c2306"</definedName>
    <definedName name="IQ_TR_IMPLIED_EV_EBIT">"c2302"</definedName>
    <definedName name="IQ_TR_IMPLIED_EV_EBITDA">"c2303"</definedName>
    <definedName name="IQ_TR_IMPLIED_EV_NI_LTM">"c2307"</definedName>
    <definedName name="IQ_TR_IMPLIED_EV_REV">"c2304"</definedName>
    <definedName name="IQ_TR_INIT_FILED_DATE">"c3495"</definedName>
    <definedName name="IQ_TR_LOI_DATE">"c2282"</definedName>
    <definedName name="IQ_TR_MAJ_MIN_STAKE">"c2389"</definedName>
    <definedName name="IQ_TR_NEGOTIATED_BUYBACK_PRICE">"c2414"</definedName>
    <definedName name="IQ_TR_NET_ASSUM_LIABILITIES">"c2308"</definedName>
    <definedName name="IQ_TR_NET_PROCEEDS">"c2267"</definedName>
    <definedName name="IQ_TR_OFFER_DATE">"c2265"</definedName>
    <definedName name="IQ_TR_OFFER_DATE_MA">"c3035"</definedName>
    <definedName name="IQ_TR_OFFER_PER_SHARE">"c3017"</definedName>
    <definedName name="IQ_TR_OPTIONS_CONSID_PCT">"c2311"</definedName>
    <definedName name="IQ_TR_OTHER_CONSID">"c3022"</definedName>
    <definedName name="IQ_TR_PCT_SOUGHT">"c2309"</definedName>
    <definedName name="IQ_TR_PFEATURES">"c2384"</definedName>
    <definedName name="IQ_TR_PIPE_CONV_PRICE_SHARE">"c2292"</definedName>
    <definedName name="IQ_TR_PIPE_CPN_PCT">"c2291"</definedName>
    <definedName name="IQ_TR_PIPE_NUMBER_SHARES">"c2293"</definedName>
    <definedName name="IQ_TR_PIPE_PPS">"c2290"</definedName>
    <definedName name="IQ_TR_POSTMONEY_VAL">"c2286"</definedName>
    <definedName name="IQ_TR_PREDEAL_SITUATION">"c2390"</definedName>
    <definedName name="IQ_TR_PREF_CONSID_PCT">"c2310"</definedName>
    <definedName name="IQ_TR_PREMONEY_VAL">"c2287"</definedName>
    <definedName name="IQ_TR_PRINTING_FEES">"c2276"</definedName>
    <definedName name="IQ_TR_PT_MONETARY_VALUES">"c2415"</definedName>
    <definedName name="IQ_TR_PT_NUMBER_SHARES">"c2417"</definedName>
    <definedName name="IQ_TR_PT_PCT_SHARES">"c2416"</definedName>
    <definedName name="IQ_TR_RATING_FEES">"c2275"</definedName>
    <definedName name="IQ_TR_REG_EFFECT_DATE">"c2264"</definedName>
    <definedName name="IQ_TR_REG_FILED_DATE">"c2263"</definedName>
    <definedName name="IQ_TR_RENEWAL_BUYBACK">"c2413"</definedName>
    <definedName name="IQ_TR_ROUND_NUMBER">"c2295"</definedName>
    <definedName name="IQ_TR_SEC_FEES">"c2274"</definedName>
    <definedName name="IQ_TR_SECURITY_TYPE_REG">"c2279"</definedName>
    <definedName name="IQ_TR_SELL_ACC_ADVISORS">"c3049"</definedName>
    <definedName name="IQ_TR_SELL_FIN_ADVISORS">"c3046"</definedName>
    <definedName name="IQ_TR_SELL_LEG_ADVISORS">"c2388"</definedName>
    <definedName name="IQ_TR_SELLER_ID">"c2406"</definedName>
    <definedName name="IQ_TR_SELLERNAME">"c2402"</definedName>
    <definedName name="IQ_TR_SFEATURES">"c2385"</definedName>
    <definedName name="IQ_TR_SH_NET_PROCEEDS">"c2269"</definedName>
    <definedName name="IQ_TR_SH_NET_PROCEEDS_PCT">"c2271"</definedName>
    <definedName name="IQ_TR_SPECIAL_COMMITTEE">"c2362"</definedName>
    <definedName name="IQ_TR_STATUS">"c2399"</definedName>
    <definedName name="IQ_TR_STOCK_CONSID_PCT">"c2312"</definedName>
    <definedName name="IQ_TR_SUSPENDED_DATE">"c2407"</definedName>
    <definedName name="IQ_TR_TARGET_52WKHI_PCT">"c2351"</definedName>
    <definedName name="IQ_TR_TARGET_52WKLOW_PCT">"c2350"</definedName>
    <definedName name="IQ_TR_TARGET_ACC_ADVISORS">"c3047"</definedName>
    <definedName name="IQ_TR_TARGET_CASH_ST_INVEST">"c2327"</definedName>
    <definedName name="IQ_TR_TARGET_CLOSEPRICE_1D">"c2352"</definedName>
    <definedName name="IQ_TR_TARGET_CLOSEPRICE_1M">"c2354"</definedName>
    <definedName name="IQ_TR_TARGET_CLOSEPRICE_1W">"c2353"</definedName>
    <definedName name="IQ_TR_TARGET_DILUT_EPS_EXCL">"c2324"</definedName>
    <definedName name="IQ_TR_TARGET_EARNING_CO">"c2332"</definedName>
    <definedName name="IQ_TR_TARGET_EBIT">"c2333"</definedName>
    <definedName name="IQ_TR_TARGET_EBIT_EQ_INC">"c3609"</definedName>
    <definedName name="IQ_TR_TARGET_EBITDA">"c2334"</definedName>
    <definedName name="IQ_TR_TARGET_EBITDA_EQ_INC">"c3608"</definedName>
    <definedName name="IQ_TR_TARGET_FILING_CURRENCY">"c3034"</definedName>
    <definedName name="IQ_TR_TARGET_FILINGDATE">"c3605"</definedName>
    <definedName name="IQ_TR_TARGET_FIN_ADVISORS">"c3044"</definedName>
    <definedName name="IQ_TR_TARGET_ID">"c2405"</definedName>
    <definedName name="IQ_TR_TARGET_LEG_ADVISORS">"c2386"</definedName>
    <definedName name="IQ_TR_TARGET_MARKETCAP">"c2342"</definedName>
    <definedName name="IQ_TR_TARGET_MIN_INT">"c2328"</definedName>
    <definedName name="IQ_TR_TARGET_NET_DEBT">"c2326"</definedName>
    <definedName name="IQ_TR_TARGET_NI">"c2331"</definedName>
    <definedName name="IQ_TR_TARGET_PERIODDATE">"c3604"</definedName>
    <definedName name="IQ_TR_TARGET_PRICEDATE_1D">"c2341"</definedName>
    <definedName name="IQ_TR_TARGET_RETURN">"c2355"</definedName>
    <definedName name="IQ_TR_TARGET_SEC_DETAIL">"c3021"</definedName>
    <definedName name="IQ_TR_TARGET_SEC_TI_ID">"c2368"</definedName>
    <definedName name="IQ_TR_TARGET_SEC_TYPE">"c2369"</definedName>
    <definedName name="IQ_TR_TARGET_SPD">"c2313"</definedName>
    <definedName name="IQ_TR_TARGET_SPD_PCT">"c2314"</definedName>
    <definedName name="IQ_TR_TARGET_STOCKPREMIUM_1D">"c2336"</definedName>
    <definedName name="IQ_TR_TARGET_STOCKPREMIUM_1M">"c2337"</definedName>
    <definedName name="IQ_TR_TARGET_STOCKPREMIUM_1W">"c2338"</definedName>
    <definedName name="IQ_TR_TARGET_STOCKYEARHIGH_1D">"c2339"</definedName>
    <definedName name="IQ_TR_TARGET_STOCKYEARLOW_1D">"c2340"</definedName>
    <definedName name="IQ_TR_TARGET_TOTAL_ASSETS">"c2325"</definedName>
    <definedName name="IQ_TR_TARGET_TOTAL_COMMON_EQ">"c2421"</definedName>
    <definedName name="IQ_TR_TARGET_TOTAL_DEBT">"c2330"</definedName>
    <definedName name="IQ_TR_TARGET_TOTAL_PREF">"c2329"</definedName>
    <definedName name="IQ_TR_TARGET_TOTAL_REV">"c2335"</definedName>
    <definedName name="IQ_TR_TARGETNAME">"c2403"</definedName>
    <definedName name="IQ_TR_TERM_FEE">"c2298"</definedName>
    <definedName name="IQ_TR_TERM_FEE_PCT">"c2297"</definedName>
    <definedName name="IQ_TR_TODATE">"c3036"</definedName>
    <definedName name="IQ_TR_TODATE_MONETARY_VALUE">"c2418"</definedName>
    <definedName name="IQ_TR_TODATE_NUMBER_SHARES">"c2420"</definedName>
    <definedName name="IQ_TR_TODATE_PCT_SHARES">"c2419"</definedName>
    <definedName name="IQ_TR_TOTAL_ACCT_FEES">"c2273"</definedName>
    <definedName name="IQ_TR_TOTAL_CASH">"c2315"</definedName>
    <definedName name="IQ_TR_TOTAL_CONSID_SH">"c2316"</definedName>
    <definedName name="IQ_TR_TOTAL_DEBT">"c2317"</definedName>
    <definedName name="IQ_TR_TOTAL_GROSS_TV">"c2318"</definedName>
    <definedName name="IQ_TR_TOTAL_HYBRID">"c2319"</definedName>
    <definedName name="IQ_TR_TOTAL_LEGAL_FEES">"c2272"</definedName>
    <definedName name="IQ_TR_TOTAL_NET_TV">"c2320"</definedName>
    <definedName name="IQ_TR_TOTAL_NEWMONEY">"c2289"</definedName>
    <definedName name="IQ_TR_TOTAL_OPTIONS">"c2322"</definedName>
    <definedName name="IQ_TR_TOTAL_OPTIONS_BUYER">"c3026"</definedName>
    <definedName name="IQ_TR_TOTAL_PREFERRED">"c2321"</definedName>
    <definedName name="IQ_TR_TOTAL_REG_AMT">"c2261"</definedName>
    <definedName name="IQ_TR_TOTAL_STOCK">"c2323"</definedName>
    <definedName name="IQ_TR_TOTAL_TAKEDOWNS">"c2278"</definedName>
    <definedName name="IQ_TR_TOTAL_UW_COMP">"c2280"</definedName>
    <definedName name="IQ_TR_TOTALVALUE">"c2400"</definedName>
    <definedName name="IQ_TR_TRANSACTION_TYPE">"c2398"</definedName>
    <definedName name="IQ_TR_WITHDRAWN_DTE">"c2266"</definedName>
    <definedName name="IQ_TRADE_AR">"c1345"</definedName>
    <definedName name="IQ_TRADE_PRINCIPAL">"c1309"</definedName>
    <definedName name="IQ_TRADING_ASSETS">"c1310"</definedName>
    <definedName name="IQ_TRADING_CURRENCY">"c2212"</definedName>
    <definedName name="IQ_TREASURY">"c1311"</definedName>
    <definedName name="IQ_TREASURY_OTHER_EQUITY">"c1312"</definedName>
    <definedName name="IQ_TREASURY_OTHER_EQUITY_BNK">"c1313"</definedName>
    <definedName name="IQ_TREASURY_OTHER_EQUITY_BR">"c1314"</definedName>
    <definedName name="IQ_TREASURY_OTHER_EQUITY_FIN">"c1315"</definedName>
    <definedName name="IQ_TREASURY_OTHER_EQUITY_INS">"c1316"</definedName>
    <definedName name="IQ_TREASURY_OTHER_EQUITY_REIT">"c1317"</definedName>
    <definedName name="IQ_TREASURY_OTHER_EQUITY_UTI">"c1318"</definedName>
    <definedName name="IQ_TREASURY_STOCK">"c1438"</definedName>
    <definedName name="IQ_TRUST_INC">"c1319"</definedName>
    <definedName name="IQ_TRUST_PREF">"c1320"</definedName>
    <definedName name="IQ_TRUST_PREFERRED">"c3029"</definedName>
    <definedName name="IQ_TRUST_PREFERRED_PCT">"c3030"</definedName>
    <definedName name="IQ_UFCF_10YR_ANN_GROWTH">"c1948"</definedName>
    <definedName name="IQ_UFCF_1YR_ANN_GROWTH">"c1943"</definedName>
    <definedName name="IQ_UFCF_2YR_ANN_GROWTH">"c1944"</definedName>
    <definedName name="IQ_UFCF_3YR_ANN_GROWTH">"c1945"</definedName>
    <definedName name="IQ_UFCF_5YR_ANN_GROWTH">"c1946"</definedName>
    <definedName name="IQ_UFCF_7YR_ANN_GROWTH">"c1947"</definedName>
    <definedName name="IQ_UFCF_MARGIN">"c1962"</definedName>
    <definedName name="IQ_ULT_PARENT">"c3037"</definedName>
    <definedName name="IQ_ULT_PARENT_CIQID">"c3039"</definedName>
    <definedName name="IQ_ULT_PARENT_TICKER">"c3038"</definedName>
    <definedName name="IQ_UNAMORT_DISC">"c2513"</definedName>
    <definedName name="IQ_UNAMORT_DISC_PCT">"c2514"</definedName>
    <definedName name="IQ_UNAMORT_PREMIUM">"c2511"</definedName>
    <definedName name="IQ_UNAMORT_PREMIUM_PCT">"c2512"</definedName>
    <definedName name="IQ_UNDRAWN_CP">"c2518"</definedName>
    <definedName name="IQ_UNDRAWN_CREDIT">"c3032"</definedName>
    <definedName name="IQ_UNDRAWN_RC">"c2517"</definedName>
    <definedName name="IQ_UNDRAWN_TL">"c2519"</definedName>
    <definedName name="IQ_UNEARN_PREMIUM">"c1321"</definedName>
    <definedName name="IQ_UNEARN_REV_CURRENT">"c1322"</definedName>
    <definedName name="IQ_UNEARN_REV_CURRENT_BNK">"c1323"</definedName>
    <definedName name="IQ_UNEARN_REV_CURRENT_BR">"c1324"</definedName>
    <definedName name="IQ_UNEARN_REV_CURRENT_FIN">"c1325"</definedName>
    <definedName name="IQ_UNEARN_REV_CURRENT_INS">"c1326"</definedName>
    <definedName name="IQ_UNEARN_REV_CURRENT_REIT">"c1327"</definedName>
    <definedName name="IQ_UNEARN_REV_CURRENT_UTI">"c1328"</definedName>
    <definedName name="IQ_UNEARN_REV_LT">"c1329"</definedName>
    <definedName name="IQ_UNLEVERED_FCF">"c1908"</definedName>
    <definedName name="IQ_UNPAID_CLAIMS">"c1330"</definedName>
    <definedName name="IQ_UNREALIZED_GAIN">"c1619"</definedName>
    <definedName name="IQ_UNSECURED_DEBT">"c2548"</definedName>
    <definedName name="IQ_UNSECURED_DEBT_PCT">"c2549"</definedName>
    <definedName name="IQ_UNUSUAL_EXP">"c1456"</definedName>
    <definedName name="IQ_US_GAAP">"c1331"</definedName>
    <definedName name="IQ_US_GAAP_BASIC_EPS_EXCL">"c2984"</definedName>
    <definedName name="IQ_US_GAAP_BASIC_EPS_INCL">"c2982"</definedName>
    <definedName name="IQ_US_GAAP_BASIC_WEIGHT">"c2980"</definedName>
    <definedName name="IQ_US_GAAP_CA_ADJ">"c2925"</definedName>
    <definedName name="IQ_US_GAAP_CASH_FINAN">"c2945"</definedName>
    <definedName name="IQ_US_GAAP_CASH_FINAN_ADJ">"c2941"</definedName>
    <definedName name="IQ_US_GAAP_CASH_INVEST">"c2944"</definedName>
    <definedName name="IQ_US_GAAP_CASH_INVEST_ADJ">"c2940"</definedName>
    <definedName name="IQ_US_GAAP_CASH_OPER">"c2943"</definedName>
    <definedName name="IQ_US_GAAP_CASH_OPER_ADJ">"c2939"</definedName>
    <definedName name="IQ_US_GAAP_CL_ADJ">"c2927"</definedName>
    <definedName name="IQ_US_GAAP_COST_REV_ADJ">"c2951"</definedName>
    <definedName name="IQ_US_GAAP_DILUT_EPS_EXCL">"c2985"</definedName>
    <definedName name="IQ_US_GAAP_DILUT_EPS_INCL">"c2983"</definedName>
    <definedName name="IQ_US_GAAP_DILUT_NI">"c2979"</definedName>
    <definedName name="IQ_US_GAAP_DILUT_WEIGHT">"c2981"</definedName>
    <definedName name="IQ_US_GAAP_DO_ADJ">"c2959"</definedName>
    <definedName name="IQ_US_GAAP_EXTRA_ACC_ITEMS_ADJ">"c2958"</definedName>
    <definedName name="IQ_US_GAAP_INC_TAX_ADJ">"c2961"</definedName>
    <definedName name="IQ_US_GAAP_INTEREST_EXP_ADJ">"c2957"</definedName>
    <definedName name="IQ_US_GAAP_LIAB_LT_ADJ">"c2928"</definedName>
    <definedName name="IQ_US_GAAP_LIAB_TOTAL_LIAB">"c2933"</definedName>
    <definedName name="IQ_US_GAAP_MINORITY_INTEREST_IS_ADJ">"c2960"</definedName>
    <definedName name="IQ_US_GAAP_NCA_ADJ">"c2926"</definedName>
    <definedName name="IQ_US_GAAP_NET_CHANGE">"c2946"</definedName>
    <definedName name="IQ_US_GAAP_NET_CHANGE_ADJ">"c2942"</definedName>
    <definedName name="IQ_US_GAAP_NI">"c2976"</definedName>
    <definedName name="IQ_US_GAAP_NI_ADJ">"c2963"</definedName>
    <definedName name="IQ_US_GAAP_NI_AVAIL_INCL">"c2978"</definedName>
    <definedName name="IQ_US_GAAP_OTHER_ADJ_ADJ">"c2962"</definedName>
    <definedName name="IQ_US_GAAP_OTHER_NON_OPER_ADJ">"c2955"</definedName>
    <definedName name="IQ_US_GAAP_OTHER_OPER_ADJ">"c2954"</definedName>
    <definedName name="IQ_US_GAAP_RD_ADJ">"c2953"</definedName>
    <definedName name="IQ_US_GAAP_SGA_ADJ">"c2952"</definedName>
    <definedName name="IQ_US_GAAP_TOTAL_ASSETS">"c2931"</definedName>
    <definedName name="IQ_US_GAAP_TOTAL_EQUITY">"c2934"</definedName>
    <definedName name="IQ_US_GAAP_TOTAL_EQUITY_ADJ">"c2929"</definedName>
    <definedName name="IQ_US_GAAP_TOTAL_REV_ADJ">"c2950"</definedName>
    <definedName name="IQ_US_GAAP_TOTAL_UNUSUAL_ADJ">"c2956"</definedName>
    <definedName name="IQ_UTIL_PPE_NET">"c1620"</definedName>
    <definedName name="IQ_UTIL_REV">"c2091"</definedName>
    <definedName name="IQ_UV_PENSION_LIAB">"c1332"</definedName>
    <definedName name="IQ_VALUE_TRADED_LAST_3MTH">"c1530"</definedName>
    <definedName name="IQ_VALUE_TRADED_LAST_6MTH">"c1531"</definedName>
    <definedName name="IQ_VALUE_TRADED_LAST_MTH">"c1529"</definedName>
    <definedName name="IQ_VALUE_TRADED_LAST_WK">"c1528"</definedName>
    <definedName name="IQ_VALUE_TRADED_LAST_YR">"c1532"</definedName>
    <definedName name="IQ_VOL_LAST_3MTH">"c1525"</definedName>
    <definedName name="IQ_VOL_LAST_6MTH">"c1526"</definedName>
    <definedName name="IQ_VOL_LAST_MTH">"c1524"</definedName>
    <definedName name="IQ_VOL_LAST_WK">"c1523"</definedName>
    <definedName name="IQ_VOL_LAST_YR">"c1527"</definedName>
    <definedName name="IQ_VOLUME">"c1333"</definedName>
    <definedName name="IQ_WARRANTS_BEG_OS">"c2698"</definedName>
    <definedName name="IQ_WARRANTS_CANCELLED">"c2701"</definedName>
    <definedName name="IQ_WARRANTS_END_OS">"c2702"</definedName>
    <definedName name="IQ_WARRANTS_EXERCISED">"c2700"</definedName>
    <definedName name="IQ_WARRANTS_ISSUED">"c2699"</definedName>
    <definedName name="IQ_WARRANTS_STRIKE_PRICE_ISSUED">"c2704"</definedName>
    <definedName name="IQ_WARRANTS_STRIKE_PRICE_OS">"c2703"</definedName>
    <definedName name="IQ_WEIGHTED_AVG_PRICE">"c1334"</definedName>
    <definedName name="IQ_WIP_INV">"c1335"</definedName>
    <definedName name="IQ_WORKING_CAP">"c3494"</definedName>
    <definedName name="IQ_WORKMEN_WRITTEN">"c1336"</definedName>
    <definedName name="IQ_XDIV_DATE">"c2203"</definedName>
    <definedName name="IQ_YEARHIGH">"c1337"</definedName>
    <definedName name="IQ_YEARHIGH_DATE">"c2250"</definedName>
    <definedName name="IQ_YEARLOW">"c1338"</definedName>
    <definedName name="IQ_YEARLOW_DATE">"c2251"</definedName>
    <definedName name="IQ_YTD">3000</definedName>
    <definedName name="IQ_YTW">"c2163"</definedName>
    <definedName name="IQ_YTW_DATE">"c2164"</definedName>
    <definedName name="IQ_YTW_DATE_TYPE">"c2165"</definedName>
    <definedName name="IQ_Z_SCORE">"c1339"</definedName>
    <definedName name="KeepVersions" localSheetId="18">IndexInformation!$B$8</definedName>
    <definedName name="LanguageCode">IndexInformation!$B$38</definedName>
    <definedName name="LastCell" localSheetId="0">ImportantDisclosures!$A$22</definedName>
    <definedName name="Linking_1" localSheetId="16">DCF!$B$1:$K$49</definedName>
    <definedName name="Linking_10">bal!$A$6:$AH$46</definedName>
    <definedName name="Linking_11">flow!$A$6:$AI$53</definedName>
    <definedName name="Linking_12">flow!$A$6:$AI$50</definedName>
    <definedName name="Linking_3">DCF!$A$1:$K$51</definedName>
    <definedName name="Linking_4">sumry!$A$7:$FV$60</definedName>
    <definedName name="Linking_5">flow!$A$6:$AH$62</definedName>
    <definedName name="Linking_6">sumry!$A$7:$FX$60</definedName>
    <definedName name="Linking_7">bal!$B$6:$AI$46</definedName>
    <definedName name="Linking_8">flow!$B$6:$AJ$62</definedName>
    <definedName name="Linking_9">sumry!$A$7:$FW$60</definedName>
    <definedName name="Linking_Range_1">[12]Income!$A$2:$AH$87</definedName>
    <definedName name="Linking_Range_10">'qtrP&amp;L'!$A$6:$CT$182</definedName>
    <definedName name="Linking_Range_11">'yrP&amp;L'!$A$4:$AR$56</definedName>
    <definedName name="Linking_Range_12">bal!$A$6:$AB$46</definedName>
    <definedName name="Linking_Range_13">flow!$A$6:$AD$50</definedName>
    <definedName name="Linking_Range_14">flow!$A$6:$AC$50</definedName>
    <definedName name="Linking_Range_16">bal!$A$6:$AC$46</definedName>
    <definedName name="Linking_Range_18">sumry!$A$7:$FQ$60</definedName>
    <definedName name="Linking_Range_2">[12]Income!$AN$2:$GE$87</definedName>
    <definedName name="Linking_Range_26">sumry!$A$7:$FS$60</definedName>
    <definedName name="Linking_Range_27">bal!$A$6:$AD$46</definedName>
    <definedName name="Linking_Range_28">flow!$A$6:$AE$50</definedName>
    <definedName name="Linking_Range_29">sumry!$A$7:$FS$67</definedName>
    <definedName name="Linking_Range_3">'[4]Fig2-5.MasterTable'!$B$424:$AQ$492</definedName>
    <definedName name="Linking_Range_30">'qtrP&amp;L'!$A$6:$DB$84</definedName>
    <definedName name="Linking_Range_31">'qtrP&amp;L'!$A$6:$DB$134</definedName>
    <definedName name="Linking_Range_32">'qtrP&amp;L'!$A$6:$DB$192</definedName>
    <definedName name="Linking_Range_33">'yrP&amp;L'!$A$5:$AR$56</definedName>
    <definedName name="Linking_Range_34">bal!$A$6:$AE$46</definedName>
    <definedName name="Linking_Range_35">flow!$A$6:$AF$53</definedName>
    <definedName name="Linking_Range_36">sumry!$A$7:$FT$67</definedName>
    <definedName name="Linking_Range_37">'qtrP&amp;L'!$A$6:$DB$202</definedName>
    <definedName name="Linking_Range_38">flow!$A$6:$AF$50</definedName>
    <definedName name="Linking_Range_4">sumry!$A$7:$FR$67</definedName>
    <definedName name="Linking_Range_40">sumry!$A$7:$FT$60</definedName>
    <definedName name="Linking_Range_41">flow!$A$6:$AF$54</definedName>
    <definedName name="Linking_Range_42">sumry!$A$7:$FU$60</definedName>
    <definedName name="Linking_Range_43">bal!$A$6:$AF$46</definedName>
    <definedName name="Linking_Range_44">flow!$A$6:$AG$50</definedName>
    <definedName name="Linking_Range_45">bal!$A$6:$AG$46</definedName>
    <definedName name="Linking_Range_46">flow!$A$6:$AH$50</definedName>
    <definedName name="Linking_Range_47">sumry!$A$7:$FV$67</definedName>
    <definedName name="Linking_Range_5">'qtrP&amp;L'!$A$6:$CT$96</definedName>
    <definedName name="Linking_Range_6">'qtrP&amp;L'!$A$6:$CT$94</definedName>
    <definedName name="Linking_Range_7">'qtrP&amp;L'!$A$6:$CS$84</definedName>
    <definedName name="Linking_Range_8">'qtrP&amp;L'!$A$6:$CT$134</definedName>
    <definedName name="Linking_Range_9">'qtrP&amp;L'!$A$6:$CT$84</definedName>
    <definedName name="lookup_period">[12]Income!$A$1:$IV$1</definedName>
    <definedName name="MacroVersion" localSheetId="18">IndexInformation!$B$1</definedName>
    <definedName name="me">"Button 5"</definedName>
    <definedName name="ModelPrice" localSheetId="0">ImportantDisclosures!$A$14</definedName>
    <definedName name="MtCap">10000000000</definedName>
    <definedName name="Multiplier" localSheetId="18">IndexInformation!$B$35</definedName>
    <definedName name="NextYearEPS" localSheetId="18">IndexInformation!$B$13</definedName>
    <definedName name="NextYearTotalRevenue" localSheetId="18">IndexInformation!$B$12</definedName>
    <definedName name="NextYearTotalRevenueActual" localSheetId="18">IndexInformation!$B$33</definedName>
    <definedName name="NVCURR">[16]I!$B$1:$U$51</definedName>
    <definedName name="ObjectType">IndexInformation!$B$37</definedName>
    <definedName name="PANA" localSheetId="19">ModPubIndex!$A$11</definedName>
    <definedName name="PathName" localSheetId="18">IndexInformation!$B$25</definedName>
    <definedName name="_xlnm.Print_Area" localSheetId="10">bal!$A$1:$AE$46</definedName>
    <definedName name="_xlnm.Print_Area" localSheetId="1">BullBaseBear!$A$41:$P$123</definedName>
    <definedName name="_xlnm.Print_Area" localSheetId="9">flow!$A$1:$AE$50</definedName>
    <definedName name="_xlnm.Print_Area" localSheetId="5">'qtrP&amp;L'!$A$1:$DJ$202</definedName>
    <definedName name="_xlnm.Print_Area" localSheetId="4">qtrSales!$A$1:$AN$147</definedName>
    <definedName name="_xlnm.Print_Area" localSheetId="3">sgadetail!$A$1:$V$56</definedName>
    <definedName name="_xlnm.Print_Area" localSheetId="2">sumry!$A$1:$FU$67</definedName>
    <definedName name="_xlnm.Print_Area" localSheetId="13">turn!$A$5:$AJ$70</definedName>
    <definedName name="_xlnm.Print_Area" localSheetId="12">wc!$A$1:$AZ$57</definedName>
    <definedName name="_xlnm.Print_Area" localSheetId="7">'yrP&amp;L'!$A$1:$AS$58</definedName>
    <definedName name="_xlnm.Print_Area" localSheetId="6">yrSales!$A$1:$AS$101</definedName>
    <definedName name="_xlnm.Print_Area">#REF!</definedName>
    <definedName name="_xlnm.Print_Titles" localSheetId="5">'qtrP&amp;L'!$A:$A,'qtrP&amp;L'!$1:$6</definedName>
    <definedName name="_xlnm.Print_Titles" localSheetId="3">sgadetail!$A:$A,sgadetail!$1:$6</definedName>
    <definedName name="_xlnm.Print_Titles" localSheetId="7">'yrP&amp;L'!$A:$A,'yrP&amp;L'!$1:$6</definedName>
    <definedName name="_xlnm.Print_Titles" localSheetId="6">yrSales!$A:$A,yrSales!$1:$6</definedName>
    <definedName name="_xlnm.Print_Titles">#REF!</definedName>
    <definedName name="PRODUCT" localSheetId="19">ModPubIndex!$A$6</definedName>
    <definedName name="ProImportExport.ImportFile" localSheetId="16">DCF!ProImportExport.ImportFile</definedName>
    <definedName name="ProImportExport.ImportFile">DCF!ProImportExport.ImportFile</definedName>
    <definedName name="ProImportExport.SaveNewFile" localSheetId="16">DCF!ProImportExport.SaveNewFile</definedName>
    <definedName name="ProImportExport.SaveNewFile">DCF!ProImportExport.SaveNewFile</definedName>
    <definedName name="ProjectName" localSheetId="16">{"Client Name or Project Name"}</definedName>
    <definedName name="ProjectName" localSheetId="17">{"Client Name or Project Name"}</definedName>
    <definedName name="ProjectName" localSheetId="3">{"Client Name or Project Name"}</definedName>
    <definedName name="ProjectName" localSheetId="8">{"Client Name or Project Name"}</definedName>
    <definedName name="ProjectName">{"Client Name or Project Name"}</definedName>
    <definedName name="PSYM" localSheetId="19">ModPubIndex!$A$4</definedName>
    <definedName name="PublishDate" localSheetId="18">IndexInformation!$B$2</definedName>
    <definedName name="qtr_store_model">[12]Income!$BQ$103:$CB$171</definedName>
    <definedName name="Rating" localSheetId="18">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l_Forw" localSheetId="3">OFFSET(Date_Range,0,10,,1)</definedName>
    <definedName name="Rel_Forw" localSheetId="8">OFFSET(Date_Range,0,10,,1)</definedName>
    <definedName name="Rel_Forw">OFFSET(Date_Range,0,10,,1)</definedName>
    <definedName name="RepairedName0359" hidden="1">"iQShowAnnual"</definedName>
    <definedName name="ResearchTopic" localSheetId="18">IndexInformation!$B$4</definedName>
    <definedName name="RIC" localSheetId="18">IndexInformation!$B$21</definedName>
    <definedName name="s" localSheetId="16">{"Client Name or Project Name"}</definedName>
    <definedName name="s">{"Client Name or Project Name"}</definedName>
    <definedName name="sales_1">[12]Income!$A$113:$IV$113</definedName>
    <definedName name="sales_2">[12]Income!$A$114:$IV$114</definedName>
    <definedName name="sales_3">[12]Income!$A$115:$IV$115</definedName>
    <definedName name="SaveNewFile" localSheetId="16">DCF!SaveNewFile</definedName>
    <definedName name="SaveNewFile">DCF!SaveNewFile</definedName>
    <definedName name="SECSettlement" localSheetId="0">ImportantDisclosures!#REF!</definedName>
    <definedName name="SEDOL" localSheetId="18">IndexInformation!$B$22</definedName>
    <definedName name="SourceDefined" localSheetId="0">ImportantDisclosures!$A$19</definedName>
    <definedName name="Sp">"       "</definedName>
    <definedName name="StockRating" localSheetId="0">ImportantDisclosures!$A$11</definedName>
    <definedName name="SubjectCode" localSheetId="18">IndexInformation!$B$6</definedName>
    <definedName name="SubmitterUserId">IndexInformation!$B$39</definedName>
    <definedName name="SUPPRESSED" localSheetId="19">ModPubIndex!$A$13</definedName>
    <definedName name="TargetPrice" localSheetId="0">ImportantDisclosures!$A$15</definedName>
    <definedName name="TemplateRegion">IndexInformation!$B$36</definedName>
    <definedName name="Ticker" localSheetId="0">ImportantDisclosures!$A$10</definedName>
    <definedName name="TickerRegion">IndexInformation!$B$41</definedName>
    <definedName name="Tickers" localSheetId="18">IndexInformation!$B$19</definedName>
    <definedName name="TRSLTicker">"M.N"</definedName>
    <definedName name="Update_This">[15]!Update_This</definedName>
    <definedName name="UpdateReason" localSheetId="18">IndexInformation!$B$17</definedName>
    <definedName name="USRegDisclosures" localSheetId="0">ImportantDisclosures!#REF!</definedName>
    <definedName name="Version">"June 29, 2004"</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Industry.xls." hidden="1">{#N/A,#N/A,FALSE,"Earnings";#N/A,#N/A,FALSE,"Overview";#N/A,#N/A,FALSE,"Summary";#N/A,#N/A,FALSE,"Summary II";#N/A,#N/A,FALSE,"R&amp;D";#N/A,#N/A,FALSE,"R&amp;D Forecast";#N/A,#N/A,FALSE,"Tax Adj";#N/A,#N/A,FALSE,"Goodwill";#N/A,#N/A,FALSE,"FX ";#N/A,#N/A,FALSE,"Consolidation";#N/A,#N/A,FALSE,"Provisions"}</definedName>
    <definedName name="xaxislabels">OFFSET([6]LIZ!$AD$31,0,0,COUNTA([6]LIZ!$AD$31:$AD$37)+1,1)</definedName>
    <definedName name="xbrlAssumption">bal!$AQ:$AQ</definedName>
    <definedName name="xbrlDates">bal!$81:$81</definedName>
    <definedName name="xbrlFormat">bal!$AO:$AO</definedName>
    <definedName name="xbrlLabels">bal!$B:$B</definedName>
    <definedName name="xbrlNames">bal!$AM:$AM</definedName>
    <definedName name="xbrlReverseSign">bal!$AP:$AP</definedName>
    <definedName name="xbrlScale">bal!$AN:$AN</definedName>
  </definedNames>
  <calcPr calcId="145621"/>
</workbook>
</file>

<file path=xl/calcChain.xml><?xml version="1.0" encoding="utf-8"?>
<calcChain xmlns="http://schemas.openxmlformats.org/spreadsheetml/2006/main">
  <c r="AE42" i="9" l="1"/>
  <c r="AE26" i="9"/>
  <c r="AF30" i="10"/>
  <c r="C30" i="87" l="1"/>
  <c r="D13" i="87"/>
  <c r="E13" i="87"/>
  <c r="F13" i="87"/>
  <c r="G13" i="87"/>
  <c r="D15" i="87"/>
  <c r="E15" i="87"/>
  <c r="F15" i="87"/>
  <c r="G15" i="87"/>
  <c r="C15" i="87"/>
  <c r="C13" i="87"/>
  <c r="C34" i="87"/>
  <c r="FT7" i="11" l="1"/>
  <c r="AE89" i="9" l="1"/>
  <c r="AD89" i="9"/>
  <c r="AC89" i="9"/>
  <c r="AB89" i="9"/>
  <c r="AA89" i="9"/>
  <c r="Z89" i="9"/>
  <c r="Y89" i="9"/>
  <c r="X89" i="9"/>
  <c r="W89" i="9"/>
  <c r="V89" i="9"/>
  <c r="U89" i="9"/>
  <c r="T89" i="9"/>
  <c r="S89" i="9"/>
  <c r="R89" i="9"/>
  <c r="Q89" i="9"/>
  <c r="P89" i="9"/>
  <c r="AD87" i="9"/>
  <c r="AC87" i="9"/>
  <c r="AB87" i="9"/>
  <c r="AA87" i="9"/>
  <c r="Z87" i="9"/>
  <c r="Y87" i="9"/>
  <c r="X87" i="9"/>
  <c r="W87" i="9"/>
  <c r="V87" i="9"/>
  <c r="U87" i="9"/>
  <c r="T87" i="9"/>
  <c r="S87" i="9"/>
  <c r="R87" i="9"/>
  <c r="Q87" i="9"/>
  <c r="P87" i="9"/>
  <c r="P86" i="9"/>
  <c r="O92" i="9"/>
  <c r="O91" i="9"/>
  <c r="FY21" i="11"/>
  <c r="FX21" i="11"/>
  <c r="FW21" i="11"/>
  <c r="FV21" i="11"/>
  <c r="FU21" i="11"/>
  <c r="FT21" i="11"/>
  <c r="FS21" i="11"/>
  <c r="EW12" i="11" l="1"/>
  <c r="Q116" i="72" l="1"/>
  <c r="R116" i="72"/>
  <c r="EF65" i="11" l="1"/>
  <c r="P116" i="72" l="1"/>
  <c r="P87" i="72"/>
  <c r="P89" i="72"/>
  <c r="P75" i="72"/>
  <c r="EL17" i="11"/>
  <c r="EG17" i="11"/>
  <c r="EF20" i="11" l="1"/>
  <c r="EE20" i="11"/>
  <c r="ED20" i="11"/>
  <c r="EC20" i="11"/>
  <c r="EK20" i="11"/>
  <c r="EJ20" i="11"/>
  <c r="EI20" i="11"/>
  <c r="EH20" i="11"/>
  <c r="EP20" i="11"/>
  <c r="EO20" i="11"/>
  <c r="EN20" i="11"/>
  <c r="EM20" i="11"/>
  <c r="DL118" i="1" l="1"/>
  <c r="AG19" i="10" l="1"/>
  <c r="G132" i="3"/>
  <c r="G131" i="3"/>
  <c r="G133" i="3"/>
  <c r="G130" i="3"/>
  <c r="DP191" i="1"/>
  <c r="DP190" i="1"/>
  <c r="DP189" i="1"/>
  <c r="DP188" i="1"/>
  <c r="DP178" i="1"/>
  <c r="AL59" i="7"/>
  <c r="AL53" i="7"/>
  <c r="AL47" i="7"/>
  <c r="AL29" i="7"/>
  <c r="AL35" i="7" s="1"/>
  <c r="BU37" i="6"/>
  <c r="BT37" i="6"/>
  <c r="BU25" i="6"/>
  <c r="BU19" i="6"/>
  <c r="AG23" i="58"/>
  <c r="AF54" i="58"/>
  <c r="AF64" i="58"/>
  <c r="AE30" i="10"/>
  <c r="AE40" i="10"/>
  <c r="AE29" i="10"/>
  <c r="AE39" i="10"/>
  <c r="AF19" i="10"/>
  <c r="AF40" i="10"/>
  <c r="AF13" i="10"/>
  <c r="AJ44" i="58"/>
  <c r="AJ43" i="58"/>
  <c r="AJ42" i="58"/>
  <c r="AJ41" i="58"/>
  <c r="AF44" i="58"/>
  <c r="DP63" i="1"/>
  <c r="DL182" i="1"/>
  <c r="DL139" i="1"/>
  <c r="DL138" i="1"/>
  <c r="DL140" i="1"/>
  <c r="DL141" i="1"/>
  <c r="DL121" i="1"/>
  <c r="DL120" i="1"/>
  <c r="DL119" i="1"/>
  <c r="DH140" i="1"/>
  <c r="DH141" i="1"/>
  <c r="DH138" i="1"/>
  <c r="DH118" i="1"/>
  <c r="DH121" i="1"/>
  <c r="DH120" i="1"/>
  <c r="DH119" i="1"/>
  <c r="DL42" i="1"/>
  <c r="AE56" i="10" l="1"/>
  <c r="AF56" i="10"/>
  <c r="AG56" i="10" s="1"/>
  <c r="AH56" i="10" s="1"/>
  <c r="AI56" i="10" s="1"/>
  <c r="AG30" i="5"/>
  <c r="AG28" i="5"/>
  <c r="FS20" i="11" s="1"/>
  <c r="AG11" i="5"/>
  <c r="FS11" i="11" s="1"/>
  <c r="DH139" i="1" l="1"/>
  <c r="AD42" i="9" l="1"/>
  <c r="AD33" i="9"/>
  <c r="AD27" i="9"/>
  <c r="AD26" i="9"/>
  <c r="DP74" i="1"/>
  <c r="DP68" i="1"/>
  <c r="DL72" i="1"/>
  <c r="AH30" i="5" s="1"/>
  <c r="DH72" i="1"/>
  <c r="DL74" i="1"/>
  <c r="DL73" i="1"/>
  <c r="DH74" i="1"/>
  <c r="DH73" i="1"/>
  <c r="DP64" i="1"/>
  <c r="DL65" i="1"/>
  <c r="DL64" i="1"/>
  <c r="DH65" i="1"/>
  <c r="DH64" i="1"/>
  <c r="DH63" i="1"/>
  <c r="DP65" i="1"/>
  <c r="DN68" i="1"/>
  <c r="DL31" i="1"/>
  <c r="DL30" i="1"/>
  <c r="DL29" i="1"/>
  <c r="DH32" i="1"/>
  <c r="DH31" i="1"/>
  <c r="DH30" i="1"/>
  <c r="DH29" i="1"/>
  <c r="R125" i="3"/>
  <c r="R124" i="3"/>
  <c r="R123" i="3"/>
  <c r="R119" i="3"/>
  <c r="R118" i="3"/>
  <c r="R117" i="3"/>
  <c r="R116" i="3"/>
  <c r="DM22" i="1"/>
  <c r="DQ21" i="1"/>
  <c r="DM21" i="1"/>
  <c r="DH25" i="1"/>
  <c r="DQ19" i="1"/>
  <c r="DH24" i="1"/>
  <c r="DP72" i="1" l="1"/>
  <c r="AI30" i="5" s="1"/>
  <c r="AJ30" i="5" s="1"/>
  <c r="AK30" i="5" s="1"/>
  <c r="AL30" i="5" s="1"/>
  <c r="AM30" i="5" s="1"/>
  <c r="DP73" i="1"/>
  <c r="DM68" i="1"/>
  <c r="DI68" i="1"/>
  <c r="DQ22" i="1"/>
  <c r="DP24" i="1"/>
  <c r="DP23" i="1"/>
  <c r="AI11" i="5" s="1"/>
  <c r="DM19" i="1"/>
  <c r="DQ20" i="1"/>
  <c r="DH23" i="1"/>
  <c r="DL24" i="1"/>
  <c r="DM24" i="1" s="1"/>
  <c r="DP25" i="1"/>
  <c r="DL23" i="1"/>
  <c r="AH11" i="5" s="1"/>
  <c r="FT11" i="11" s="1"/>
  <c r="DM20" i="1"/>
  <c r="DL25" i="1"/>
  <c r="AJ11" i="5" l="1"/>
  <c r="FV11" i="11" s="1"/>
  <c r="FU11" i="11"/>
  <c r="AH12" i="5"/>
  <c r="AI12" i="5"/>
  <c r="DM25" i="1"/>
  <c r="DM23" i="1"/>
  <c r="DQ24" i="1"/>
  <c r="DQ25" i="1"/>
  <c r="DQ23" i="1"/>
  <c r="AJ12" i="5" l="1"/>
  <c r="AK11" i="5"/>
  <c r="FW11" i="11" s="1"/>
  <c r="AL11" i="5"/>
  <c r="FX11" i="11" s="1"/>
  <c r="AK12" i="5"/>
  <c r="AM11" i="5" l="1"/>
  <c r="AL12" i="5"/>
  <c r="AM12" i="5" l="1"/>
  <c r="FY11" i="11"/>
  <c r="AF24" i="58" l="1"/>
  <c r="AF63" i="58" l="1"/>
  <c r="BT54" i="6" l="1"/>
  <c r="BT48" i="6"/>
  <c r="BU48" i="6"/>
  <c r="BU36" i="6"/>
  <c r="BT36" i="6"/>
  <c r="BU24" i="6"/>
  <c r="BU18" i="6"/>
  <c r="BU12" i="6"/>
  <c r="AL52" i="7"/>
  <c r="AL58" i="7"/>
  <c r="AL46" i="7"/>
  <c r="AL34" i="7"/>
  <c r="AL28" i="7"/>
  <c r="AG22" i="58"/>
  <c r="DK172" i="1"/>
  <c r="DP142" i="1" l="1"/>
  <c r="DP179" i="1"/>
  <c r="DP180" i="1" s="1"/>
  <c r="DP181" i="1" s="1"/>
  <c r="FT37" i="11" l="1"/>
  <c r="FU37" i="11" s="1"/>
  <c r="FV37" i="11" l="1"/>
  <c r="FW37" i="11" s="1"/>
  <c r="AL43" i="58"/>
  <c r="AJ24" i="58"/>
  <c r="FY56" i="11"/>
  <c r="FY30" i="11"/>
  <c r="AL41" i="58" l="1"/>
  <c r="EM41" i="11" a="1"/>
  <c r="AL42" i="58"/>
  <c r="AL44" i="58"/>
  <c r="AJ45" i="58"/>
  <c r="H15" i="87"/>
  <c r="EP41" i="11" l="1"/>
  <c r="EO41" i="11"/>
  <c r="EN41" i="11"/>
  <c r="EM41" i="11"/>
  <c r="BX10" i="6"/>
  <c r="BX11" i="6"/>
  <c r="DR13" i="1" l="1"/>
  <c r="DR12" i="1"/>
  <c r="DR11" i="1"/>
  <c r="DR10" i="1"/>
  <c r="DL10" i="1"/>
  <c r="C130" i="3"/>
  <c r="R130" i="3" s="1"/>
  <c r="D130" i="8" s="1"/>
  <c r="C131" i="3"/>
  <c r="R131" i="3" s="1"/>
  <c r="D131" i="8" s="1"/>
  <c r="U170" i="72"/>
  <c r="U169" i="72"/>
  <c r="U125" i="72"/>
  <c r="U42" i="72"/>
  <c r="U83" i="72" s="1"/>
  <c r="U124" i="72" s="1"/>
  <c r="K18" i="87"/>
  <c r="AK25" i="10"/>
  <c r="AM9" i="5"/>
  <c r="U36" i="72" s="1"/>
  <c r="U171" i="72" s="1"/>
  <c r="AP133" i="3"/>
  <c r="AP132" i="3"/>
  <c r="C132" i="3"/>
  <c r="AP131" i="3"/>
  <c r="AP130" i="3"/>
  <c r="BA65" i="58"/>
  <c r="AZ57" i="58"/>
  <c r="AZ56" i="58"/>
  <c r="BA55" i="58"/>
  <c r="FY35" i="11"/>
  <c r="FY23" i="11"/>
  <c r="FY22" i="11"/>
  <c r="DQ202" i="1"/>
  <c r="DP182" i="1"/>
  <c r="DP144" i="1"/>
  <c r="DP143" i="1"/>
  <c r="DP104" i="1"/>
  <c r="DP103" i="1"/>
  <c r="DP102" i="1"/>
  <c r="DP94" i="1"/>
  <c r="DP93" i="1"/>
  <c r="DP92" i="1"/>
  <c r="DP84" i="1"/>
  <c r="DP83" i="1"/>
  <c r="DL49" i="1" l="1"/>
  <c r="DL108" i="1" s="1"/>
  <c r="DL128" i="1" s="1"/>
  <c r="DM59" i="1"/>
  <c r="DP10" i="1"/>
  <c r="DQ59" i="1" s="1"/>
  <c r="DP11" i="1"/>
  <c r="DQ60" i="1" s="1"/>
  <c r="U116" i="72"/>
  <c r="C133" i="3"/>
  <c r="DP82" i="1"/>
  <c r="EH28" i="11" l="1"/>
  <c r="DL148" i="1"/>
  <c r="DL158" i="1"/>
  <c r="DM69" i="1"/>
  <c r="DQ78" i="1"/>
  <c r="DQ10" i="1"/>
  <c r="DP15" i="1"/>
  <c r="AK41" i="58"/>
  <c r="DP29" i="1"/>
  <c r="AK42" i="58"/>
  <c r="DQ79" i="1"/>
  <c r="DP30" i="1"/>
  <c r="U172" i="72"/>
  <c r="DR15" i="1" l="1"/>
  <c r="DQ64" i="1"/>
  <c r="DQ68" i="1"/>
  <c r="BZ10" i="6"/>
  <c r="DQ83" i="1"/>
  <c r="DP34" i="1"/>
  <c r="DQ34" i="1" l="1"/>
  <c r="DL11" i="1" l="1"/>
  <c r="DM60" i="1" s="1"/>
  <c r="AF62" i="58"/>
  <c r="AG21" i="58"/>
  <c r="AL33" i="7"/>
  <c r="AL27" i="7"/>
  <c r="AL45" i="7" s="1"/>
  <c r="BT47" i="6"/>
  <c r="BT35" i="6"/>
  <c r="BU23" i="6"/>
  <c r="BU17" i="6"/>
  <c r="BU11" i="6"/>
  <c r="DM30" i="1"/>
  <c r="DR30" i="1" s="1"/>
  <c r="DQ11" i="1" l="1"/>
  <c r="BZ11" i="6" s="1"/>
  <c r="DL50" i="1"/>
  <c r="DL109" i="1" s="1"/>
  <c r="AL57" i="7"/>
  <c r="AL51" i="7"/>
  <c r="D3" i="64" l="1"/>
  <c r="E3" i="64" s="1"/>
  <c r="F3" i="64" s="1"/>
  <c r="G3" i="64" s="1"/>
  <c r="H3" i="64" s="1"/>
  <c r="I3" i="64" s="1"/>
  <c r="J3" i="64" s="1"/>
  <c r="K3" i="64" s="1"/>
  <c r="L3" i="64" s="1"/>
  <c r="M3" i="64" s="1"/>
  <c r="N3" i="64" s="1"/>
  <c r="O3" i="64" s="1"/>
  <c r="C6" i="64"/>
  <c r="C25" i="64" s="1"/>
  <c r="D6" i="64"/>
  <c r="E6" i="64"/>
  <c r="E25" i="64" s="1"/>
  <c r="F6" i="64"/>
  <c r="G6" i="64"/>
  <c r="H6" i="64"/>
  <c r="I6" i="64"/>
  <c r="I25" i="64" s="1"/>
  <c r="J6" i="64"/>
  <c r="K6" i="64"/>
  <c r="K25" i="64" s="1"/>
  <c r="L6" i="64"/>
  <c r="M6" i="64"/>
  <c r="M25" i="64" s="1"/>
  <c r="N6" i="64"/>
  <c r="O6" i="64"/>
  <c r="P6" i="64"/>
  <c r="Q6" i="64"/>
  <c r="Q25" i="64" s="1"/>
  <c r="R6" i="64"/>
  <c r="S6" i="64"/>
  <c r="S25" i="64" s="1"/>
  <c r="T6" i="64"/>
  <c r="T25" i="64" s="1"/>
  <c r="D15" i="64"/>
  <c r="E15" i="64" s="1"/>
  <c r="F15" i="64" s="1"/>
  <c r="G15" i="64" s="1"/>
  <c r="H15" i="64" s="1"/>
  <c r="I15" i="64" s="1"/>
  <c r="J15" i="64" s="1"/>
  <c r="K15" i="64" s="1"/>
  <c r="L15" i="64" s="1"/>
  <c r="M15" i="64" s="1"/>
  <c r="N15" i="64" s="1"/>
  <c r="D22" i="64"/>
  <c r="E22" i="64" s="1"/>
  <c r="F22" i="64" s="1"/>
  <c r="G22" i="64" s="1"/>
  <c r="H22" i="64" s="1"/>
  <c r="I22" i="64" s="1"/>
  <c r="J22" i="64" s="1"/>
  <c r="K22" i="64" s="1"/>
  <c r="L22" i="64" s="1"/>
  <c r="M22" i="64" s="1"/>
  <c r="N22" i="64" s="1"/>
  <c r="D25" i="64"/>
  <c r="G25" i="64"/>
  <c r="H25" i="64"/>
  <c r="L25" i="64"/>
  <c r="O25" i="64"/>
  <c r="P25" i="64"/>
  <c r="D35" i="64"/>
  <c r="E35" i="64" s="1"/>
  <c r="F35" i="64" s="1"/>
  <c r="G35" i="64" s="1"/>
  <c r="H35" i="64" s="1"/>
  <c r="I35" i="64" s="1"/>
  <c r="J35" i="64" s="1"/>
  <c r="K35" i="64" s="1"/>
  <c r="L35" i="64" s="1"/>
  <c r="M35" i="64" s="1"/>
  <c r="N35" i="64" s="1"/>
  <c r="C38" i="64"/>
  <c r="D38" i="64"/>
  <c r="D102" i="64" s="1"/>
  <c r="E38" i="64"/>
  <c r="F38" i="64"/>
  <c r="J40" i="64"/>
  <c r="K40" i="64"/>
  <c r="K41" i="64" s="1"/>
  <c r="L40" i="64"/>
  <c r="M40" i="64"/>
  <c r="N41" i="64" s="1"/>
  <c r="N40" i="64"/>
  <c r="O40" i="64"/>
  <c r="O41" i="64" s="1"/>
  <c r="P40" i="64"/>
  <c r="Q40" i="64"/>
  <c r="R40" i="64"/>
  <c r="S40" i="64"/>
  <c r="T41" i="64" s="1"/>
  <c r="T40" i="64"/>
  <c r="D41" i="64"/>
  <c r="E41" i="64"/>
  <c r="F41" i="64"/>
  <c r="G41" i="64"/>
  <c r="H41" i="64"/>
  <c r="I41" i="64"/>
  <c r="J41" i="64"/>
  <c r="C47" i="64"/>
  <c r="C53" i="64"/>
  <c r="D53" i="64"/>
  <c r="E53" i="64"/>
  <c r="F53" i="64"/>
  <c r="G53" i="64"/>
  <c r="H53" i="64"/>
  <c r="I53" i="64"/>
  <c r="J53" i="64"/>
  <c r="K53" i="64"/>
  <c r="L53" i="64"/>
  <c r="M53" i="64"/>
  <c r="N53" i="64"/>
  <c r="O53" i="64"/>
  <c r="P53" i="64"/>
  <c r="Q53" i="64"/>
  <c r="R53" i="64"/>
  <c r="S53" i="64"/>
  <c r="T53" i="64"/>
  <c r="C56" i="64"/>
  <c r="D56" i="64"/>
  <c r="D59" i="64" s="1"/>
  <c r="E56" i="64"/>
  <c r="F56" i="64"/>
  <c r="G56" i="64"/>
  <c r="H56" i="64"/>
  <c r="H59" i="64" s="1"/>
  <c r="I56" i="64"/>
  <c r="J56" i="64"/>
  <c r="K56" i="64"/>
  <c r="K59" i="64" s="1"/>
  <c r="L56" i="64"/>
  <c r="L59" i="64" s="1"/>
  <c r="M56" i="64"/>
  <c r="N56" i="64"/>
  <c r="O56" i="64"/>
  <c r="O59" i="64" s="1"/>
  <c r="P56" i="64"/>
  <c r="Q56" i="64"/>
  <c r="R56" i="64"/>
  <c r="R57" i="64" s="1"/>
  <c r="S56" i="64"/>
  <c r="S59" i="64" s="1"/>
  <c r="G57" i="64"/>
  <c r="C59" i="64"/>
  <c r="E59" i="64"/>
  <c r="G59" i="64"/>
  <c r="I59" i="64"/>
  <c r="M59" i="64"/>
  <c r="Q59" i="64"/>
  <c r="C61" i="64"/>
  <c r="D61" i="64"/>
  <c r="D138" i="64" s="1"/>
  <c r="E61" i="64"/>
  <c r="F61" i="64"/>
  <c r="F138" i="64" s="1"/>
  <c r="G61" i="64"/>
  <c r="H61" i="64"/>
  <c r="H138" i="64" s="1"/>
  <c r="I61" i="64"/>
  <c r="J61" i="64"/>
  <c r="J138" i="64" s="1"/>
  <c r="K61" i="64"/>
  <c r="L61" i="64"/>
  <c r="L138" i="64" s="1"/>
  <c r="M61" i="64"/>
  <c r="N61" i="64"/>
  <c r="N138" i="64" s="1"/>
  <c r="O61" i="64"/>
  <c r="P61" i="64"/>
  <c r="P138" i="64" s="1"/>
  <c r="Q61" i="64"/>
  <c r="R61" i="64"/>
  <c r="R138" i="64" s="1"/>
  <c r="S61" i="64"/>
  <c r="T61" i="64"/>
  <c r="D64" i="64"/>
  <c r="E64" i="64" s="1"/>
  <c r="F64" i="64" s="1"/>
  <c r="G64" i="64" s="1"/>
  <c r="H64" i="64" s="1"/>
  <c r="I64" i="64" s="1"/>
  <c r="J64" i="64" s="1"/>
  <c r="K64" i="64" s="1"/>
  <c r="L64" i="64" s="1"/>
  <c r="M64" i="64" s="1"/>
  <c r="N64" i="64" s="1"/>
  <c r="T71" i="64"/>
  <c r="T56" i="64" s="1"/>
  <c r="C72" i="64"/>
  <c r="D72" i="64"/>
  <c r="D73" i="64" s="1"/>
  <c r="E72" i="64"/>
  <c r="F72" i="64"/>
  <c r="G72" i="64"/>
  <c r="H72" i="64"/>
  <c r="I72" i="64"/>
  <c r="J106" i="64" s="1"/>
  <c r="J72" i="64"/>
  <c r="K72" i="64"/>
  <c r="K73" i="64" s="1"/>
  <c r="L72" i="64"/>
  <c r="M72" i="64"/>
  <c r="N106" i="64" s="1"/>
  <c r="N72" i="64"/>
  <c r="O72" i="64"/>
  <c r="P72" i="64"/>
  <c r="Q72" i="64"/>
  <c r="R106" i="64" s="1"/>
  <c r="R72" i="64"/>
  <c r="S72" i="64"/>
  <c r="T72" i="64"/>
  <c r="T73" i="64" s="1"/>
  <c r="F73" i="64"/>
  <c r="H73" i="64"/>
  <c r="J73" i="64"/>
  <c r="L73" i="64"/>
  <c r="N73" i="64"/>
  <c r="P73" i="64"/>
  <c r="R73" i="64"/>
  <c r="J74" i="64"/>
  <c r="D100" i="64"/>
  <c r="E100" i="64" s="1"/>
  <c r="F100" i="64" s="1"/>
  <c r="G100" i="64" s="1"/>
  <c r="H100" i="64" s="1"/>
  <c r="I100" i="64" s="1"/>
  <c r="J100" i="64" s="1"/>
  <c r="K100" i="64" s="1"/>
  <c r="L100" i="64" s="1"/>
  <c r="M100" i="64" s="1"/>
  <c r="N100" i="64" s="1"/>
  <c r="C101" i="64"/>
  <c r="D101" i="64"/>
  <c r="E101" i="64"/>
  <c r="G101" i="64"/>
  <c r="H101" i="64"/>
  <c r="I101" i="64"/>
  <c r="J101" i="64"/>
  <c r="K101" i="64"/>
  <c r="L101" i="64"/>
  <c r="M101" i="64"/>
  <c r="N101" i="64"/>
  <c r="O101" i="64"/>
  <c r="P101" i="64"/>
  <c r="Q101" i="64"/>
  <c r="R101" i="64"/>
  <c r="S101" i="64"/>
  <c r="T101" i="64"/>
  <c r="B102" i="64"/>
  <c r="C102" i="64"/>
  <c r="E102" i="64"/>
  <c r="G102" i="64"/>
  <c r="H102" i="64"/>
  <c r="I102" i="64"/>
  <c r="J102" i="64"/>
  <c r="K102" i="64"/>
  <c r="L102" i="64"/>
  <c r="M102" i="64"/>
  <c r="N102" i="64"/>
  <c r="O102" i="64"/>
  <c r="P102" i="64"/>
  <c r="Q102" i="64"/>
  <c r="R102" i="64"/>
  <c r="S102" i="64"/>
  <c r="T102" i="64"/>
  <c r="B103" i="64"/>
  <c r="C103" i="64"/>
  <c r="D103" i="64"/>
  <c r="E103" i="64"/>
  <c r="G103" i="64"/>
  <c r="H103" i="64"/>
  <c r="I103" i="64"/>
  <c r="J103" i="64"/>
  <c r="K103" i="64"/>
  <c r="L103" i="64"/>
  <c r="M103" i="64"/>
  <c r="N103" i="64"/>
  <c r="O103" i="64"/>
  <c r="P103" i="64"/>
  <c r="Q103" i="64"/>
  <c r="R103" i="64"/>
  <c r="S103" i="64"/>
  <c r="T103" i="64"/>
  <c r="B104" i="64"/>
  <c r="C104" i="64"/>
  <c r="E104" i="64"/>
  <c r="G104" i="64"/>
  <c r="H104" i="64"/>
  <c r="I104" i="64"/>
  <c r="J104" i="64"/>
  <c r="K104" i="64"/>
  <c r="L104" i="64"/>
  <c r="M104" i="64"/>
  <c r="N104" i="64"/>
  <c r="O104" i="64"/>
  <c r="P104" i="64"/>
  <c r="Q104" i="64"/>
  <c r="R104" i="64"/>
  <c r="S104" i="64"/>
  <c r="T104" i="64"/>
  <c r="B105" i="64"/>
  <c r="C105" i="64"/>
  <c r="D105" i="64"/>
  <c r="E105" i="64"/>
  <c r="G105" i="64"/>
  <c r="H105" i="64"/>
  <c r="I105" i="64"/>
  <c r="J105" i="64"/>
  <c r="K105" i="64"/>
  <c r="L105" i="64"/>
  <c r="M105" i="64"/>
  <c r="N105" i="64"/>
  <c r="O105" i="64"/>
  <c r="P105" i="64"/>
  <c r="Q105" i="64"/>
  <c r="R105" i="64"/>
  <c r="S105" i="64"/>
  <c r="T105" i="64"/>
  <c r="B106" i="64"/>
  <c r="C106" i="64"/>
  <c r="E106" i="64"/>
  <c r="G106" i="64"/>
  <c r="I106" i="64"/>
  <c r="K106" i="64"/>
  <c r="M106" i="64"/>
  <c r="O106" i="64"/>
  <c r="Q106" i="64"/>
  <c r="S106" i="64"/>
  <c r="B107" i="64"/>
  <c r="G107" i="64"/>
  <c r="I107" i="64"/>
  <c r="Q107" i="64"/>
  <c r="B108" i="64"/>
  <c r="B109" i="64"/>
  <c r="B110" i="64"/>
  <c r="B111" i="64"/>
  <c r="B112" i="64"/>
  <c r="B113" i="64"/>
  <c r="B114" i="64"/>
  <c r="B115" i="64"/>
  <c r="B116" i="64"/>
  <c r="B117" i="64"/>
  <c r="B118" i="64"/>
  <c r="B119" i="64"/>
  <c r="A120" i="64"/>
  <c r="A121" i="64" s="1"/>
  <c r="B120" i="64"/>
  <c r="B121" i="64"/>
  <c r="D136" i="64"/>
  <c r="E136" i="64" s="1"/>
  <c r="F136" i="64" s="1"/>
  <c r="G136" i="64" s="1"/>
  <c r="H136" i="64" s="1"/>
  <c r="I136" i="64" s="1"/>
  <c r="J136" i="64" s="1"/>
  <c r="K136" i="64" s="1"/>
  <c r="L136" i="64" s="1"/>
  <c r="M136" i="64" s="1"/>
  <c r="N136" i="64" s="1"/>
  <c r="C138" i="64"/>
  <c r="E138" i="64"/>
  <c r="G138" i="64"/>
  <c r="I138" i="64"/>
  <c r="K138" i="64"/>
  <c r="M138" i="64"/>
  <c r="O138" i="64"/>
  <c r="Q138" i="64"/>
  <c r="B142" i="64"/>
  <c r="B143" i="64" s="1"/>
  <c r="B144" i="64" s="1"/>
  <c r="B145" i="64" s="1"/>
  <c r="B146" i="64" s="1"/>
  <c r="B147" i="64" s="1"/>
  <c r="B148" i="64" s="1"/>
  <c r="B149" i="64" s="1"/>
  <c r="B150" i="64" s="1"/>
  <c r="B151" i="64" s="1"/>
  <c r="B152" i="64" s="1"/>
  <c r="B153" i="64" s="1"/>
  <c r="B154" i="64" s="1"/>
  <c r="B155" i="64" s="1"/>
  <c r="B156" i="64" s="1"/>
  <c r="B157" i="64" s="1"/>
  <c r="B158" i="64" s="1"/>
  <c r="B159" i="64" s="1"/>
  <c r="B160" i="64" s="1"/>
  <c r="B161" i="64" s="1"/>
  <c r="B162" i="64" s="1"/>
  <c r="B163" i="64" s="1"/>
  <c r="B164" i="64" s="1"/>
  <c r="B165" i="64" s="1"/>
  <c r="B166" i="64" s="1"/>
  <c r="B167" i="64" s="1"/>
  <c r="B168" i="64" s="1"/>
  <c r="B169" i="64" s="1"/>
  <c r="D23" i="87"/>
  <c r="E23" i="87" s="1"/>
  <c r="F23" i="87"/>
  <c r="G23" i="87" s="1"/>
  <c r="I33" i="87"/>
  <c r="V11" i="8"/>
  <c r="V12" i="8"/>
  <c r="V13" i="8"/>
  <c r="D95" i="8"/>
  <c r="D96" i="8"/>
  <c r="D97" i="8"/>
  <c r="D98" i="8"/>
  <c r="D102" i="8"/>
  <c r="L102" i="8" s="1"/>
  <c r="D103" i="8"/>
  <c r="D104" i="8"/>
  <c r="L104" i="8" s="1"/>
  <c r="D105" i="8"/>
  <c r="D109" i="8"/>
  <c r="L109" i="8"/>
  <c r="D110" i="8"/>
  <c r="D111" i="8"/>
  <c r="D112" i="8"/>
  <c r="D116" i="8"/>
  <c r="D117" i="8"/>
  <c r="L117" i="8" s="1"/>
  <c r="D118" i="8"/>
  <c r="D119" i="8"/>
  <c r="L119" i="8" s="1"/>
  <c r="D123" i="8"/>
  <c r="T7" i="6"/>
  <c r="P7" i="6" s="1"/>
  <c r="L7" i="6" s="1"/>
  <c r="H7" i="6" s="1"/>
  <c r="D7" i="6" s="1"/>
  <c r="AB7" i="6"/>
  <c r="AF7" i="6" s="1"/>
  <c r="AJ7" i="6" s="1"/>
  <c r="AN7" i="6" s="1"/>
  <c r="AR7" i="6" s="1"/>
  <c r="AV7" i="6" s="1"/>
  <c r="AZ7" i="6" s="1"/>
  <c r="BD7" i="6" s="1"/>
  <c r="BH7" i="6" s="1"/>
  <c r="BL7" i="6" s="1"/>
  <c r="BP7" i="6" s="1"/>
  <c r="BT7" i="6" s="1"/>
  <c r="BX7" i="6" s="1"/>
  <c r="M10" i="6"/>
  <c r="Q10" i="6"/>
  <c r="U10" i="6"/>
  <c r="Y10" i="6"/>
  <c r="AC10" i="6"/>
  <c r="AG10" i="6"/>
  <c r="AK10" i="6"/>
  <c r="AO10" i="6"/>
  <c r="AS10" i="6"/>
  <c r="AW10" i="6"/>
  <c r="BA10" i="6"/>
  <c r="BE10" i="6"/>
  <c r="BI10" i="6"/>
  <c r="BM10" i="6"/>
  <c r="BQ10" i="6"/>
  <c r="BU10" i="6"/>
  <c r="M11" i="6"/>
  <c r="Q11" i="6"/>
  <c r="U11" i="6"/>
  <c r="Y11" i="6"/>
  <c r="AC11" i="6"/>
  <c r="AG11" i="6"/>
  <c r="AK11" i="6"/>
  <c r="AO11" i="6"/>
  <c r="AS11" i="6"/>
  <c r="AW11" i="6"/>
  <c r="BA11" i="6"/>
  <c r="BE11" i="6"/>
  <c r="BI11" i="6"/>
  <c r="BM11" i="6"/>
  <c r="BQ11" i="6"/>
  <c r="M12" i="6"/>
  <c r="Q12" i="6"/>
  <c r="U12" i="6"/>
  <c r="Y12" i="6"/>
  <c r="AC12" i="6"/>
  <c r="AG12" i="6"/>
  <c r="AK12" i="6"/>
  <c r="AO12" i="6"/>
  <c r="AS12" i="6"/>
  <c r="AW12" i="6"/>
  <c r="BA12" i="6"/>
  <c r="BE12" i="6"/>
  <c r="BI12" i="6"/>
  <c r="BM12" i="6"/>
  <c r="BQ12" i="6"/>
  <c r="BX12" i="6"/>
  <c r="I13" i="6"/>
  <c r="M13" i="6"/>
  <c r="Q13" i="6"/>
  <c r="U13" i="6"/>
  <c r="Y13" i="6"/>
  <c r="AC13" i="6"/>
  <c r="AG13" i="6"/>
  <c r="AK13" i="6"/>
  <c r="AO13" i="6"/>
  <c r="AS13" i="6"/>
  <c r="AW13" i="6"/>
  <c r="BA13" i="6"/>
  <c r="BE13" i="6"/>
  <c r="BI13" i="6"/>
  <c r="BM13" i="6"/>
  <c r="BQ13" i="6"/>
  <c r="M16" i="6"/>
  <c r="Q16" i="6"/>
  <c r="U16" i="6"/>
  <c r="Y16" i="6"/>
  <c r="AC16" i="6"/>
  <c r="AG16" i="6"/>
  <c r="AK16" i="6"/>
  <c r="AO16" i="6"/>
  <c r="AS16" i="6"/>
  <c r="AW16" i="6"/>
  <c r="BA16" i="6"/>
  <c r="BE16" i="6"/>
  <c r="BI16" i="6"/>
  <c r="BM16" i="6"/>
  <c r="BQ16" i="6"/>
  <c r="BU16" i="6"/>
  <c r="M17" i="6"/>
  <c r="Q17" i="6"/>
  <c r="U17" i="6"/>
  <c r="Y17" i="6"/>
  <c r="AC17" i="6"/>
  <c r="AG17" i="6"/>
  <c r="AK17" i="6"/>
  <c r="AO17" i="6"/>
  <c r="AS17" i="6"/>
  <c r="AW17" i="6"/>
  <c r="BA17" i="6"/>
  <c r="BE17" i="6"/>
  <c r="BI17" i="6"/>
  <c r="BM17" i="6"/>
  <c r="BQ17" i="6"/>
  <c r="M18" i="6"/>
  <c r="Q18" i="6"/>
  <c r="U18" i="6"/>
  <c r="Y18" i="6"/>
  <c r="AC18" i="6"/>
  <c r="AG18" i="6"/>
  <c r="AK18" i="6"/>
  <c r="AO18" i="6"/>
  <c r="AS18" i="6"/>
  <c r="AW18" i="6"/>
  <c r="BA18" i="6"/>
  <c r="BE18" i="6"/>
  <c r="BI18" i="6"/>
  <c r="BM18" i="6"/>
  <c r="BQ18" i="6"/>
  <c r="I19" i="6"/>
  <c r="M19" i="6"/>
  <c r="Q19" i="6"/>
  <c r="U19" i="6"/>
  <c r="Y19" i="6"/>
  <c r="AC19" i="6"/>
  <c r="AG19" i="6"/>
  <c r="AK19" i="6"/>
  <c r="AO19" i="6"/>
  <c r="AS19" i="6"/>
  <c r="AW19" i="6"/>
  <c r="BA19" i="6"/>
  <c r="BE19" i="6"/>
  <c r="BI19" i="6"/>
  <c r="BM19" i="6"/>
  <c r="BQ19" i="6"/>
  <c r="M22" i="6"/>
  <c r="Q22" i="6"/>
  <c r="U22" i="6"/>
  <c r="Y22" i="6"/>
  <c r="AC22" i="6"/>
  <c r="AG22" i="6"/>
  <c r="AK22" i="6"/>
  <c r="AO22" i="6"/>
  <c r="AS22" i="6"/>
  <c r="AW22" i="6"/>
  <c r="BA22" i="6"/>
  <c r="BE22" i="6"/>
  <c r="BI22" i="6"/>
  <c r="BM22" i="6"/>
  <c r="BQ22" i="6"/>
  <c r="BU22" i="6"/>
  <c r="M23" i="6"/>
  <c r="Q23" i="6"/>
  <c r="U23" i="6"/>
  <c r="Y23" i="6"/>
  <c r="AC23" i="6"/>
  <c r="AG23" i="6"/>
  <c r="AK23" i="6"/>
  <c r="AO23" i="6"/>
  <c r="AS23" i="6"/>
  <c r="AW23" i="6"/>
  <c r="BA23" i="6"/>
  <c r="BE23" i="6"/>
  <c r="BI23" i="6"/>
  <c r="BM23" i="6"/>
  <c r="BQ23" i="6"/>
  <c r="M24" i="6"/>
  <c r="Q24" i="6"/>
  <c r="U24" i="6"/>
  <c r="Y24" i="6"/>
  <c r="AC24" i="6"/>
  <c r="AG24" i="6"/>
  <c r="AK24" i="6"/>
  <c r="AO24" i="6"/>
  <c r="AS24" i="6"/>
  <c r="AW24" i="6"/>
  <c r="BA24" i="6"/>
  <c r="BE24" i="6"/>
  <c r="BI24" i="6"/>
  <c r="BM24" i="6"/>
  <c r="I25" i="6"/>
  <c r="M25" i="6"/>
  <c r="Q25" i="6"/>
  <c r="U25" i="6"/>
  <c r="Y25" i="6"/>
  <c r="AC25" i="6"/>
  <c r="AG25" i="6"/>
  <c r="AK25" i="6"/>
  <c r="AO25" i="6"/>
  <c r="AS25" i="6"/>
  <c r="AW25" i="6"/>
  <c r="BA25" i="6"/>
  <c r="BE25" i="6"/>
  <c r="BI25" i="6"/>
  <c r="BM25" i="6"/>
  <c r="BQ25" i="6"/>
  <c r="AB28" i="6"/>
  <c r="D31" i="6"/>
  <c r="H31" i="6"/>
  <c r="M34" i="6"/>
  <c r="Q34" i="6"/>
  <c r="U34" i="6"/>
  <c r="Y34" i="6"/>
  <c r="AC34" i="6"/>
  <c r="AG34" i="6"/>
  <c r="AK34" i="6"/>
  <c r="AO34" i="6"/>
  <c r="AS34" i="6"/>
  <c r="AW34" i="6"/>
  <c r="BA34" i="6"/>
  <c r="BD34" i="6"/>
  <c r="BE34" i="6"/>
  <c r="BH34" i="6"/>
  <c r="BI34" i="6"/>
  <c r="BL34" i="6"/>
  <c r="BP34" i="6"/>
  <c r="BT34" i="6"/>
  <c r="M35" i="6"/>
  <c r="Q35" i="6"/>
  <c r="U35" i="6"/>
  <c r="Y35" i="6"/>
  <c r="AC35" i="6"/>
  <c r="AG35" i="6"/>
  <c r="AK35" i="6"/>
  <c r="AO35" i="6"/>
  <c r="AS35" i="6"/>
  <c r="AW35" i="6"/>
  <c r="BA35" i="6"/>
  <c r="BD35" i="6"/>
  <c r="BE35" i="6" s="1"/>
  <c r="BH35" i="6"/>
  <c r="BI35" i="6" s="1"/>
  <c r="BL35" i="6"/>
  <c r="BM35" i="6" s="1"/>
  <c r="BP35" i="6"/>
  <c r="M36" i="6"/>
  <c r="Q36" i="6"/>
  <c r="U36" i="6"/>
  <c r="Y36" i="6"/>
  <c r="AC36" i="6"/>
  <c r="AG36" i="6"/>
  <c r="AK36" i="6"/>
  <c r="AO36" i="6"/>
  <c r="AS36" i="6"/>
  <c r="AV36" i="6"/>
  <c r="AW36" i="6"/>
  <c r="AZ36" i="6"/>
  <c r="BA36" i="6"/>
  <c r="BD36" i="6"/>
  <c r="BE36" i="6"/>
  <c r="BH36" i="6"/>
  <c r="BI36" i="6" s="1"/>
  <c r="BL36" i="6"/>
  <c r="BM36" i="6" s="1"/>
  <c r="BP36" i="6"/>
  <c r="BP48" i="6" s="1"/>
  <c r="I37" i="6"/>
  <c r="M37" i="6"/>
  <c r="Q37" i="6"/>
  <c r="U37" i="6"/>
  <c r="Y37" i="6"/>
  <c r="AC37" i="6"/>
  <c r="AG37" i="6"/>
  <c r="AK37" i="6"/>
  <c r="AO37" i="6"/>
  <c r="AS37" i="6"/>
  <c r="AV37" i="6"/>
  <c r="AW37" i="6"/>
  <c r="AZ37" i="6"/>
  <c r="BA37" i="6" s="1"/>
  <c r="BD37" i="6"/>
  <c r="BE37" i="6" s="1"/>
  <c r="BH37" i="6"/>
  <c r="BI37" i="6" s="1"/>
  <c r="BL37" i="6"/>
  <c r="BM37" i="6" s="1"/>
  <c r="BP37" i="6"/>
  <c r="BQ37" i="6" s="1"/>
  <c r="M40" i="6"/>
  <c r="Q40" i="6"/>
  <c r="U40" i="6"/>
  <c r="Y40" i="6"/>
  <c r="AC40" i="6"/>
  <c r="AG40" i="6"/>
  <c r="AK40" i="6"/>
  <c r="AO40" i="6"/>
  <c r="AS40" i="6"/>
  <c r="AW40" i="6"/>
  <c r="BA40" i="6"/>
  <c r="BD40" i="6"/>
  <c r="BH40" i="6"/>
  <c r="BI40" i="6" s="1"/>
  <c r="BL40" i="6"/>
  <c r="BL46" i="6" s="1"/>
  <c r="M41" i="6"/>
  <c r="Q41" i="6"/>
  <c r="U41" i="6"/>
  <c r="Y41" i="6"/>
  <c r="AC41" i="6"/>
  <c r="AG41" i="6"/>
  <c r="AK41" i="6"/>
  <c r="AO41" i="6"/>
  <c r="AS41" i="6"/>
  <c r="AW41" i="6"/>
  <c r="BA41" i="6"/>
  <c r="BD41" i="6"/>
  <c r="BI41" i="6" s="1"/>
  <c r="BM41" i="6"/>
  <c r="M42" i="6"/>
  <c r="Q42" i="6"/>
  <c r="U42" i="6"/>
  <c r="Y42" i="6"/>
  <c r="AC42" i="6"/>
  <c r="AG42" i="6"/>
  <c r="AK42" i="6"/>
  <c r="AO42" i="6"/>
  <c r="AS42" i="6"/>
  <c r="AV42" i="6"/>
  <c r="AW42" i="6"/>
  <c r="AZ42" i="6"/>
  <c r="BA42" i="6"/>
  <c r="BD42" i="6"/>
  <c r="BE42" i="6"/>
  <c r="BH42" i="6"/>
  <c r="BI42" i="6" s="1"/>
  <c r="BL42" i="6"/>
  <c r="BM42" i="6" s="1"/>
  <c r="I43" i="6"/>
  <c r="M43" i="6"/>
  <c r="Q43" i="6"/>
  <c r="U43" i="6"/>
  <c r="Y43" i="6"/>
  <c r="AC43" i="6"/>
  <c r="AG43" i="6"/>
  <c r="AK43" i="6"/>
  <c r="AO43" i="6"/>
  <c r="AS43" i="6"/>
  <c r="AW43" i="6"/>
  <c r="AZ43" i="6"/>
  <c r="BA43" i="6"/>
  <c r="BD43" i="6"/>
  <c r="BE43" i="6"/>
  <c r="BH43" i="6"/>
  <c r="BL43" i="6"/>
  <c r="H46" i="6"/>
  <c r="L46" i="6"/>
  <c r="M46" i="6" s="1"/>
  <c r="P46" i="6"/>
  <c r="Q46" i="6"/>
  <c r="T46" i="6"/>
  <c r="U46" i="6"/>
  <c r="X46" i="6"/>
  <c r="Y46" i="6"/>
  <c r="AB46" i="6"/>
  <c r="AC46" i="6" s="1"/>
  <c r="AF46" i="6"/>
  <c r="AF52" i="6" s="1"/>
  <c r="AJ46" i="6"/>
  <c r="AN46" i="6"/>
  <c r="AO46" i="6" s="1"/>
  <c r="AR46" i="6"/>
  <c r="AV46" i="6"/>
  <c r="AZ46" i="6"/>
  <c r="BA46" i="6"/>
  <c r="H47" i="6"/>
  <c r="L47" i="6"/>
  <c r="P53" i="6" s="1"/>
  <c r="P47" i="6"/>
  <c r="Q47" i="6"/>
  <c r="T47" i="6"/>
  <c r="T53" i="6" s="1"/>
  <c r="X47" i="6"/>
  <c r="Y47" i="6" s="1"/>
  <c r="AB47" i="6"/>
  <c r="AF47" i="6"/>
  <c r="AJ47" i="6"/>
  <c r="AN47" i="6"/>
  <c r="AR47" i="6"/>
  <c r="AS47" i="6"/>
  <c r="AV47" i="6"/>
  <c r="AW47" i="6"/>
  <c r="AZ47" i="6"/>
  <c r="H48" i="6"/>
  <c r="L48" i="6"/>
  <c r="P48" i="6"/>
  <c r="Q48" i="6" s="1"/>
  <c r="T48" i="6"/>
  <c r="U48" i="6"/>
  <c r="X48" i="6"/>
  <c r="Y48" i="6"/>
  <c r="AB48" i="6"/>
  <c r="AC48" i="6"/>
  <c r="AF48" i="6"/>
  <c r="AG48" i="6" s="1"/>
  <c r="AJ48" i="6"/>
  <c r="AJ54" i="6" s="1"/>
  <c r="AN48" i="6"/>
  <c r="AR48" i="6"/>
  <c r="AS48" i="6" s="1"/>
  <c r="AV48" i="6"/>
  <c r="AZ48" i="6"/>
  <c r="BD48" i="6"/>
  <c r="BE48" i="6"/>
  <c r="D49" i="6"/>
  <c r="H49" i="6"/>
  <c r="L49" i="6"/>
  <c r="M49" i="6" s="1"/>
  <c r="P49" i="6"/>
  <c r="T49" i="6"/>
  <c r="U49" i="6" s="1"/>
  <c r="X49" i="6"/>
  <c r="AB49" i="6"/>
  <c r="AF49" i="6"/>
  <c r="AG49" i="6"/>
  <c r="AJ49" i="6"/>
  <c r="AK49" i="6"/>
  <c r="AN49" i="6"/>
  <c r="AR49" i="6"/>
  <c r="AS49" i="6" s="1"/>
  <c r="AV49" i="6"/>
  <c r="AW49" i="6" s="1"/>
  <c r="BD49" i="6"/>
  <c r="L52" i="6"/>
  <c r="T52" i="6"/>
  <c r="X52" i="6"/>
  <c r="AB52" i="6"/>
  <c r="AR52" i="6"/>
  <c r="AZ52" i="6"/>
  <c r="AB53" i="6"/>
  <c r="AR53" i="6"/>
  <c r="X54" i="6"/>
  <c r="AB54" i="6"/>
  <c r="AF54" i="6"/>
  <c r="AR54" i="6"/>
  <c r="BD54" i="6"/>
  <c r="AF55" i="6"/>
  <c r="H5" i="7"/>
  <c r="L5" i="7"/>
  <c r="N5" i="7"/>
  <c r="P5" i="7" s="1"/>
  <c r="R5" i="7" s="1"/>
  <c r="T5" i="7" s="1"/>
  <c r="V5" i="7" s="1"/>
  <c r="X5" i="7" s="1"/>
  <c r="Z5" i="7" s="1"/>
  <c r="AB5" i="7" s="1"/>
  <c r="AD5" i="7" s="1"/>
  <c r="AF5" i="7" s="1"/>
  <c r="AH5" i="7" s="1"/>
  <c r="AJ5" i="7" s="1"/>
  <c r="AL5" i="7" s="1"/>
  <c r="AN5" i="7" s="1"/>
  <c r="AB17" i="7"/>
  <c r="AD17" i="7"/>
  <c r="AF17" i="7"/>
  <c r="AB23" i="7"/>
  <c r="AD23" i="7"/>
  <c r="AF23" i="7"/>
  <c r="AF29" i="7" s="1"/>
  <c r="F26" i="7"/>
  <c r="H26" i="7"/>
  <c r="J26" i="7"/>
  <c r="J32" i="7" s="1"/>
  <c r="L26" i="7"/>
  <c r="L32" i="7" s="1"/>
  <c r="N26" i="7"/>
  <c r="P26" i="7"/>
  <c r="R26" i="7"/>
  <c r="R32" i="7" s="1"/>
  <c r="T26" i="7"/>
  <c r="T32" i="7" s="1"/>
  <c r="V26" i="7"/>
  <c r="X26" i="7"/>
  <c r="X32" i="7" s="1"/>
  <c r="Z26" i="7"/>
  <c r="Z32" i="7" s="1"/>
  <c r="AB26" i="7"/>
  <c r="AB32" i="7" s="1"/>
  <c r="AD26" i="7"/>
  <c r="AF26" i="7"/>
  <c r="AH26" i="7"/>
  <c r="AH32" i="7" s="1"/>
  <c r="AJ26" i="7"/>
  <c r="AJ32" i="7" s="1"/>
  <c r="AL26" i="7"/>
  <c r="F27" i="7"/>
  <c r="H27" i="7"/>
  <c r="H33" i="7" s="1"/>
  <c r="J27" i="7"/>
  <c r="J33" i="7" s="1"/>
  <c r="L27" i="7"/>
  <c r="N27" i="7"/>
  <c r="P27" i="7"/>
  <c r="P33" i="7" s="1"/>
  <c r="R27" i="7"/>
  <c r="R33" i="7" s="1"/>
  <c r="T27" i="7"/>
  <c r="V27" i="7"/>
  <c r="V33" i="7" s="1"/>
  <c r="X27" i="7"/>
  <c r="X33" i="7" s="1"/>
  <c r="Z27" i="7"/>
  <c r="Z33" i="7" s="1"/>
  <c r="AB27" i="7"/>
  <c r="AD27" i="7"/>
  <c r="AF27" i="7"/>
  <c r="AF33" i="7" s="1"/>
  <c r="AH27" i="7"/>
  <c r="AH33" i="7" s="1"/>
  <c r="AJ27" i="7"/>
  <c r="F28" i="7"/>
  <c r="H28" i="7"/>
  <c r="H34" i="7" s="1"/>
  <c r="J28" i="7"/>
  <c r="J34" i="7" s="1"/>
  <c r="L28" i="7"/>
  <c r="N28" i="7"/>
  <c r="P28" i="7"/>
  <c r="P34" i="7" s="1"/>
  <c r="R28" i="7"/>
  <c r="R34" i="7" s="1"/>
  <c r="T28" i="7"/>
  <c r="V28" i="7"/>
  <c r="V34" i="7" s="1"/>
  <c r="X28" i="7"/>
  <c r="X34" i="7" s="1"/>
  <c r="Y28" i="7"/>
  <c r="Y34" i="7" s="1"/>
  <c r="Z28" i="7"/>
  <c r="AB28" i="7"/>
  <c r="AD28" i="7"/>
  <c r="AD34" i="7" s="1"/>
  <c r="AF28" i="7"/>
  <c r="AH28" i="7"/>
  <c r="AJ28" i="7"/>
  <c r="D29" i="7"/>
  <c r="D35" i="7" s="1"/>
  <c r="F29" i="7"/>
  <c r="H29" i="7"/>
  <c r="J29" i="7"/>
  <c r="L29" i="7"/>
  <c r="L35" i="7" s="1"/>
  <c r="N29" i="7"/>
  <c r="P29" i="7"/>
  <c r="R29" i="7"/>
  <c r="T29" i="7"/>
  <c r="T35" i="7" s="1"/>
  <c r="V29" i="7"/>
  <c r="X29" i="7"/>
  <c r="Z29" i="7"/>
  <c r="AH29" i="7"/>
  <c r="AH35" i="7" s="1"/>
  <c r="AJ29" i="7"/>
  <c r="F32" i="7"/>
  <c r="N32" i="7"/>
  <c r="V32" i="7"/>
  <c r="AD32" i="7"/>
  <c r="AD56" i="7" s="1"/>
  <c r="AL32" i="7"/>
  <c r="L33" i="7"/>
  <c r="T33" i="7"/>
  <c r="AB33" i="7"/>
  <c r="AB57" i="7" s="1"/>
  <c r="AJ33" i="7"/>
  <c r="L34" i="7"/>
  <c r="T34" i="7"/>
  <c r="Z34" i="7"/>
  <c r="Z58" i="7" s="1"/>
  <c r="AH34" i="7"/>
  <c r="H35" i="7"/>
  <c r="P35" i="7"/>
  <c r="X35" i="7"/>
  <c r="X59" i="7" s="1"/>
  <c r="F44" i="7"/>
  <c r="J44" i="7"/>
  <c r="J50" i="7" s="1"/>
  <c r="N44" i="7"/>
  <c r="N50" i="7" s="1"/>
  <c r="R44" i="7"/>
  <c r="R50" i="7" s="1"/>
  <c r="V44" i="7"/>
  <c r="X44" i="7"/>
  <c r="X50" i="7" s="1"/>
  <c r="Z44" i="7"/>
  <c r="Z50" i="7" s="1"/>
  <c r="AD44" i="7"/>
  <c r="AD50" i="7" s="1"/>
  <c r="AH44" i="7"/>
  <c r="AH50" i="7" s="1"/>
  <c r="AL44" i="7"/>
  <c r="H45" i="7"/>
  <c r="H51" i="7" s="1"/>
  <c r="L45" i="7"/>
  <c r="L51" i="7" s="1"/>
  <c r="P45" i="7"/>
  <c r="P51" i="7" s="1"/>
  <c r="T45" i="7"/>
  <c r="V45" i="7"/>
  <c r="V51" i="7" s="1"/>
  <c r="X45" i="7"/>
  <c r="X51" i="7" s="1"/>
  <c r="AB45" i="7"/>
  <c r="AB51" i="7" s="1"/>
  <c r="AF45" i="7"/>
  <c r="AF51" i="7" s="1"/>
  <c r="AJ45" i="7"/>
  <c r="H46" i="7"/>
  <c r="H52" i="7" s="1"/>
  <c r="L46" i="7"/>
  <c r="L52" i="7" s="1"/>
  <c r="P46" i="7"/>
  <c r="P52" i="7" s="1"/>
  <c r="T46" i="7"/>
  <c r="X46" i="7"/>
  <c r="X52" i="7" s="1"/>
  <c r="Z46" i="7"/>
  <c r="Z52" i="7" s="1"/>
  <c r="AD46" i="7"/>
  <c r="AH46" i="7"/>
  <c r="AH52" i="7" s="1"/>
  <c r="D47" i="7"/>
  <c r="H47" i="7"/>
  <c r="H53" i="7" s="1"/>
  <c r="L47" i="7"/>
  <c r="P47" i="7"/>
  <c r="P53" i="7" s="1"/>
  <c r="T47" i="7"/>
  <c r="X47" i="7"/>
  <c r="X53" i="7" s="1"/>
  <c r="AH47" i="7"/>
  <c r="AH53" i="7" s="1"/>
  <c r="F50" i="7"/>
  <c r="V50" i="7"/>
  <c r="AL50" i="7"/>
  <c r="T51" i="7"/>
  <c r="AJ51" i="7"/>
  <c r="T52" i="7"/>
  <c r="E6" i="9"/>
  <c r="G6" i="9"/>
  <c r="H6" i="9" s="1"/>
  <c r="I6" i="9" s="1"/>
  <c r="J6" i="9" s="1"/>
  <c r="K6" i="9" s="1"/>
  <c r="L6" i="9" s="1"/>
  <c r="M6" i="9" s="1"/>
  <c r="N6" i="9" s="1"/>
  <c r="O6" i="9" s="1"/>
  <c r="P6" i="9" s="1"/>
  <c r="Q6" i="9" s="1"/>
  <c r="R6" i="9" s="1"/>
  <c r="S6" i="9" s="1"/>
  <c r="T6" i="9" s="1"/>
  <c r="U6" i="9" s="1"/>
  <c r="V6" i="9" s="1"/>
  <c r="W6" i="9" s="1"/>
  <c r="X6" i="9" s="1"/>
  <c r="Y6" i="9" s="1"/>
  <c r="Z6" i="9" s="1"/>
  <c r="AA6" i="9" s="1"/>
  <c r="AB6" i="9" s="1"/>
  <c r="AC6" i="9" s="1"/>
  <c r="AD6" i="9" s="1"/>
  <c r="AE6" i="9" s="1"/>
  <c r="AF6" i="9" s="1"/>
  <c r="AG6" i="9" s="1"/>
  <c r="AH6" i="9" s="1"/>
  <c r="AI6" i="9" s="1"/>
  <c r="AJ6" i="9" s="1"/>
  <c r="E9" i="9"/>
  <c r="F9" i="9"/>
  <c r="F54" i="9" s="1"/>
  <c r="AC11" i="9"/>
  <c r="AD11" i="9"/>
  <c r="AD56" i="9" s="1"/>
  <c r="E15" i="9"/>
  <c r="F15" i="9"/>
  <c r="F22" i="9" s="1"/>
  <c r="AC15" i="9"/>
  <c r="AC22" i="9" s="1"/>
  <c r="AF18" i="9"/>
  <c r="AG18" i="9" s="1"/>
  <c r="AH18" i="9" s="1"/>
  <c r="AI18" i="9" s="1"/>
  <c r="AJ18" i="9" s="1"/>
  <c r="AF19" i="9"/>
  <c r="AG19" i="9" s="1"/>
  <c r="AH19" i="9" s="1"/>
  <c r="AI19" i="9" s="1"/>
  <c r="AJ19" i="9" s="1"/>
  <c r="AA21" i="9"/>
  <c r="AA56" i="9" s="1"/>
  <c r="E22" i="9"/>
  <c r="Z26" i="9"/>
  <c r="Z30" i="9" s="1"/>
  <c r="AA26" i="9"/>
  <c r="AA76" i="9" s="1"/>
  <c r="AB26" i="9"/>
  <c r="AC26" i="9"/>
  <c r="AC30" i="9" s="1"/>
  <c r="AC37" i="9" s="1"/>
  <c r="AD30" i="9"/>
  <c r="AA27" i="9"/>
  <c r="E30" i="9"/>
  <c r="F30" i="9"/>
  <c r="G30" i="9"/>
  <c r="H30" i="9"/>
  <c r="I30" i="9"/>
  <c r="J30" i="9"/>
  <c r="K30" i="9"/>
  <c r="L30" i="9"/>
  <c r="M30" i="9"/>
  <c r="N30" i="9"/>
  <c r="O30" i="9"/>
  <c r="P30" i="9"/>
  <c r="Q30" i="9"/>
  <c r="R30" i="9"/>
  <c r="S30" i="9"/>
  <c r="T30" i="9"/>
  <c r="U30" i="9"/>
  <c r="V30" i="9"/>
  <c r="W30" i="9"/>
  <c r="X30" i="9"/>
  <c r="Y30" i="9"/>
  <c r="AB30" i="9"/>
  <c r="AF34" i="9"/>
  <c r="AG34" i="9" s="1"/>
  <c r="AH34" i="9" s="1"/>
  <c r="AI34" i="9" s="1"/>
  <c r="AJ34" i="9" s="1"/>
  <c r="E35" i="9"/>
  <c r="F35" i="9"/>
  <c r="F37" i="9" s="1"/>
  <c r="G35" i="9"/>
  <c r="G37" i="9" s="1"/>
  <c r="H35" i="9"/>
  <c r="I35" i="9"/>
  <c r="J35" i="9"/>
  <c r="J37" i="9" s="1"/>
  <c r="K35" i="9"/>
  <c r="K37" i="9" s="1"/>
  <c r="L35" i="9"/>
  <c r="L37" i="9" s="1"/>
  <c r="M35" i="9"/>
  <c r="N35" i="9"/>
  <c r="N37" i="9" s="1"/>
  <c r="O35" i="9"/>
  <c r="O37" i="9" s="1"/>
  <c r="P35" i="9"/>
  <c r="Q35" i="9"/>
  <c r="R35" i="9"/>
  <c r="R37" i="9" s="1"/>
  <c r="S35" i="9"/>
  <c r="S37" i="9" s="1"/>
  <c r="T35" i="9"/>
  <c r="U35" i="9"/>
  <c r="V35" i="9"/>
  <c r="V37" i="9" s="1"/>
  <c r="W35" i="9"/>
  <c r="W37" i="9" s="1"/>
  <c r="X35" i="9"/>
  <c r="Y35" i="9"/>
  <c r="Z35" i="9"/>
  <c r="AA35" i="9"/>
  <c r="AB35" i="9"/>
  <c r="AC35" i="9"/>
  <c r="AD35" i="9"/>
  <c r="AB37" i="9"/>
  <c r="AB40" i="9"/>
  <c r="AE40" i="9"/>
  <c r="G41" i="9"/>
  <c r="H41" i="9"/>
  <c r="H44" i="9" s="1"/>
  <c r="Z42" i="9"/>
  <c r="AA42" i="9"/>
  <c r="AB42" i="9"/>
  <c r="AC42" i="9"/>
  <c r="I43" i="9"/>
  <c r="J43" i="9"/>
  <c r="K43" i="9"/>
  <c r="K44" i="9" s="1"/>
  <c r="L43" i="9"/>
  <c r="N43" i="9"/>
  <c r="N44" i="9" s="1"/>
  <c r="N46" i="9" s="1"/>
  <c r="O43" i="9"/>
  <c r="O44" i="9" s="1"/>
  <c r="P43" i="9"/>
  <c r="P44" i="9" s="1"/>
  <c r="P57" i="9" s="1"/>
  <c r="Q43" i="9"/>
  <c r="R43" i="9"/>
  <c r="S43" i="9"/>
  <c r="S44" i="9" s="1"/>
  <c r="T43" i="9"/>
  <c r="U43" i="9"/>
  <c r="V43" i="9"/>
  <c r="X43" i="9"/>
  <c r="Y43" i="9"/>
  <c r="AA43" i="9"/>
  <c r="AB43" i="9"/>
  <c r="AC43" i="9"/>
  <c r="AD43" i="9"/>
  <c r="E44" i="9"/>
  <c r="F44" i="9"/>
  <c r="F46" i="9" s="1"/>
  <c r="G44" i="9"/>
  <c r="I44" i="9"/>
  <c r="J44" i="9"/>
  <c r="L44" i="9"/>
  <c r="L57" i="9" s="1"/>
  <c r="M44" i="9"/>
  <c r="Q44" i="9"/>
  <c r="R44" i="9"/>
  <c r="U44" i="9"/>
  <c r="U57" i="9" s="1"/>
  <c r="V44" i="9"/>
  <c r="V46" i="9" s="1"/>
  <c r="W44" i="9"/>
  <c r="Y44" i="9"/>
  <c r="Z44" i="9"/>
  <c r="AB41" i="7" s="1"/>
  <c r="AA44" i="9"/>
  <c r="AD41" i="7" s="1"/>
  <c r="E53" i="9"/>
  <c r="F53" i="9"/>
  <c r="G53" i="9"/>
  <c r="H53" i="9"/>
  <c r="I53" i="9"/>
  <c r="J53" i="9"/>
  <c r="K53" i="9"/>
  <c r="K57" i="9" s="1"/>
  <c r="L53" i="9"/>
  <c r="M53" i="9"/>
  <c r="N53" i="9"/>
  <c r="O53" i="9"/>
  <c r="P53" i="9"/>
  <c r="Q53" i="9"/>
  <c r="R53" i="9"/>
  <c r="S53" i="9"/>
  <c r="T53" i="9"/>
  <c r="U53" i="9"/>
  <c r="V53" i="9"/>
  <c r="W53" i="9"/>
  <c r="W55" i="9" s="1"/>
  <c r="W58" i="9" s="1"/>
  <c r="X53" i="9"/>
  <c r="Y53" i="9"/>
  <c r="Z53" i="9"/>
  <c r="AA53" i="9"/>
  <c r="AB53" i="9"/>
  <c r="AC53" i="9"/>
  <c r="AD53" i="9"/>
  <c r="K55" i="9"/>
  <c r="K58" i="9" s="1"/>
  <c r="AA55" i="9"/>
  <c r="AA58" i="9" s="1"/>
  <c r="I56" i="9"/>
  <c r="J56" i="9"/>
  <c r="K56" i="9"/>
  <c r="L56" i="9"/>
  <c r="M56" i="9"/>
  <c r="N56" i="9"/>
  <c r="O56" i="9"/>
  <c r="P56" i="9"/>
  <c r="Q56" i="9"/>
  <c r="R56" i="9"/>
  <c r="S56" i="9"/>
  <c r="T56" i="9"/>
  <c r="U56" i="9"/>
  <c r="V56" i="9"/>
  <c r="W56" i="9"/>
  <c r="X56" i="9"/>
  <c r="Y56" i="9"/>
  <c r="Z56" i="9"/>
  <c r="AB56" i="9"/>
  <c r="E67" i="9"/>
  <c r="F67" i="9"/>
  <c r="G67" i="9"/>
  <c r="H67" i="9"/>
  <c r="I67" i="9"/>
  <c r="E68" i="9"/>
  <c r="F68" i="9"/>
  <c r="G68" i="9"/>
  <c r="H68" i="9"/>
  <c r="I68" i="9"/>
  <c r="J68" i="9"/>
  <c r="E69" i="9"/>
  <c r="F69" i="9"/>
  <c r="G69" i="9"/>
  <c r="H69" i="9"/>
  <c r="I69" i="9"/>
  <c r="J69" i="9"/>
  <c r="AG72" i="9"/>
  <c r="AH72" i="9" s="1"/>
  <c r="E75" i="9"/>
  <c r="F75" i="9"/>
  <c r="G75" i="9"/>
  <c r="H75" i="9"/>
  <c r="I75" i="9"/>
  <c r="E76" i="9"/>
  <c r="F76" i="9"/>
  <c r="G76" i="9"/>
  <c r="H76" i="9"/>
  <c r="I76" i="9"/>
  <c r="J76" i="9"/>
  <c r="K76" i="9"/>
  <c r="L76" i="9"/>
  <c r="M76" i="9"/>
  <c r="N76" i="9"/>
  <c r="O76" i="9"/>
  <c r="P76" i="9"/>
  <c r="Q76" i="9"/>
  <c r="R76" i="9"/>
  <c r="S76" i="9"/>
  <c r="T76" i="9"/>
  <c r="U76" i="9"/>
  <c r="V76" i="9"/>
  <c r="W76" i="9"/>
  <c r="X76" i="9"/>
  <c r="Y76" i="9"/>
  <c r="Z76" i="9"/>
  <c r="AB76" i="9"/>
  <c r="U80" i="9"/>
  <c r="V80" i="9"/>
  <c r="W80" i="9"/>
  <c r="X80" i="9"/>
  <c r="Y80" i="9"/>
  <c r="Z80" i="9"/>
  <c r="AA80" i="9"/>
  <c r="AB80" i="9"/>
  <c r="AD80" i="9"/>
  <c r="L6" i="10"/>
  <c r="AA13" i="10"/>
  <c r="AB13" i="10"/>
  <c r="AC13" i="10"/>
  <c r="AD13" i="10"/>
  <c r="AE13" i="10"/>
  <c r="T15" i="10"/>
  <c r="U15" i="10"/>
  <c r="E17" i="10"/>
  <c r="F17" i="10"/>
  <c r="G17" i="10"/>
  <c r="H17" i="10"/>
  <c r="I17" i="10"/>
  <c r="J17" i="10"/>
  <c r="K17" i="10"/>
  <c r="L17" i="10"/>
  <c r="T19" i="10"/>
  <c r="Z19" i="10"/>
  <c r="AA19" i="10"/>
  <c r="AB19" i="10"/>
  <c r="AC19" i="10"/>
  <c r="AD19" i="10"/>
  <c r="AE19" i="10"/>
  <c r="AA23" i="10"/>
  <c r="AG25" i="10"/>
  <c r="AH25" i="10"/>
  <c r="AI25" i="10"/>
  <c r="AJ25" i="10"/>
  <c r="AA27" i="10"/>
  <c r="AB27" i="10"/>
  <c r="AB31" i="10" s="1"/>
  <c r="AB33" i="10" s="1"/>
  <c r="AC27" i="10"/>
  <c r="AC31" i="10" s="1"/>
  <c r="AC33" i="10" s="1"/>
  <c r="AD29" i="10"/>
  <c r="AD31" i="10" s="1"/>
  <c r="AD33" i="10" s="1"/>
  <c r="N30" i="10"/>
  <c r="N31" i="10" s="1"/>
  <c r="J31" i="10"/>
  <c r="K31" i="10"/>
  <c r="L31" i="10"/>
  <c r="L33" i="10" s="1"/>
  <c r="M31" i="10"/>
  <c r="O31" i="10"/>
  <c r="P31" i="10"/>
  <c r="P33" i="10" s="1"/>
  <c r="Q31" i="10"/>
  <c r="R31" i="10"/>
  <c r="S31" i="10"/>
  <c r="T31" i="10"/>
  <c r="T33" i="10" s="1"/>
  <c r="U31" i="10"/>
  <c r="V31" i="10"/>
  <c r="W31" i="10"/>
  <c r="X31" i="10"/>
  <c r="X33" i="10" s="1"/>
  <c r="Y31" i="10"/>
  <c r="Z31" i="10"/>
  <c r="AA31" i="10"/>
  <c r="AE31" i="10"/>
  <c r="E33" i="10"/>
  <c r="F33" i="10"/>
  <c r="G33" i="10"/>
  <c r="H33" i="10"/>
  <c r="I33" i="10"/>
  <c r="J33" i="10"/>
  <c r="K33" i="10"/>
  <c r="M33" i="10"/>
  <c r="N33" i="10"/>
  <c r="O33" i="10"/>
  <c r="Q33" i="10"/>
  <c r="R33" i="10"/>
  <c r="S33" i="10"/>
  <c r="U33" i="10"/>
  <c r="V33" i="10"/>
  <c r="W33" i="10"/>
  <c r="Y33" i="10"/>
  <c r="Z33" i="10"/>
  <c r="AA33" i="10"/>
  <c r="AE33" i="10"/>
  <c r="E35" i="10"/>
  <c r="F35" i="10"/>
  <c r="G35" i="10"/>
  <c r="H35" i="10"/>
  <c r="I35" i="10"/>
  <c r="J35" i="10"/>
  <c r="K35" i="10"/>
  <c r="L35" i="10"/>
  <c r="AA37" i="10"/>
  <c r="AB37" i="10"/>
  <c r="AC37" i="10"/>
  <c r="AD37" i="10"/>
  <c r="AB38" i="10"/>
  <c r="AC38" i="10"/>
  <c r="AB39" i="10"/>
  <c r="AD39" i="10"/>
  <c r="AE45" i="10"/>
  <c r="AD40" i="10"/>
  <c r="AB41" i="10"/>
  <c r="AB45" i="10" s="1"/>
  <c r="AC41" i="10"/>
  <c r="AC43" i="10"/>
  <c r="E45" i="10"/>
  <c r="F45" i="10"/>
  <c r="G45" i="10"/>
  <c r="H45" i="10"/>
  <c r="H48" i="10" s="1"/>
  <c r="I45" i="10"/>
  <c r="J45" i="10"/>
  <c r="J48" i="10" s="1"/>
  <c r="J53" i="10" s="1"/>
  <c r="K45" i="10"/>
  <c r="L45" i="10"/>
  <c r="L48" i="10" s="1"/>
  <c r="L53" i="10" s="1"/>
  <c r="M45" i="10"/>
  <c r="N45" i="10"/>
  <c r="O45" i="10"/>
  <c r="P45" i="10"/>
  <c r="Q45" i="10"/>
  <c r="R45" i="10"/>
  <c r="S45" i="10"/>
  <c r="T45" i="10"/>
  <c r="U45" i="10"/>
  <c r="V45" i="10"/>
  <c r="W45" i="10"/>
  <c r="X45" i="10"/>
  <c r="Y45" i="10"/>
  <c r="Z45" i="10"/>
  <c r="AA45" i="10"/>
  <c r="AC45" i="10"/>
  <c r="F47" i="10"/>
  <c r="G47" i="10"/>
  <c r="H47" i="10"/>
  <c r="E48" i="10"/>
  <c r="F48" i="10"/>
  <c r="G48" i="10"/>
  <c r="V49" i="10"/>
  <c r="X49" i="10"/>
  <c r="G53" i="10"/>
  <c r="J56" i="10"/>
  <c r="D39" i="54"/>
  <c r="I39" i="54"/>
  <c r="D40" i="54"/>
  <c r="I40" i="54"/>
  <c r="D41" i="54"/>
  <c r="I41" i="54"/>
  <c r="D42" i="54"/>
  <c r="I42" i="54"/>
  <c r="D43" i="54"/>
  <c r="I43" i="54"/>
  <c r="D44" i="54"/>
  <c r="I44" i="54"/>
  <c r="D45" i="54"/>
  <c r="I45" i="54"/>
  <c r="D46" i="54"/>
  <c r="I46" i="54"/>
  <c r="D47" i="54"/>
  <c r="I47" i="54"/>
  <c r="D48" i="54"/>
  <c r="I48" i="54"/>
  <c r="D49" i="54"/>
  <c r="I49" i="54"/>
  <c r="D50" i="54"/>
  <c r="I50" i="54"/>
  <c r="D53" i="54"/>
  <c r="I53" i="54"/>
  <c r="D54" i="54"/>
  <c r="I54" i="54"/>
  <c r="D55" i="54"/>
  <c r="I55" i="54"/>
  <c r="D56" i="54"/>
  <c r="I56" i="54"/>
  <c r="D57" i="54"/>
  <c r="I57" i="54"/>
  <c r="D58" i="54"/>
  <c r="I58" i="54"/>
  <c r="D59" i="54"/>
  <c r="I59" i="54"/>
  <c r="D60" i="54"/>
  <c r="I60" i="54"/>
  <c r="D61" i="54"/>
  <c r="I61" i="54"/>
  <c r="D62" i="54"/>
  <c r="I62" i="54"/>
  <c r="D63" i="54"/>
  <c r="I63" i="54"/>
  <c r="D64" i="54"/>
  <c r="I64" i="54"/>
  <c r="D67" i="54"/>
  <c r="I67" i="54"/>
  <c r="D68" i="54"/>
  <c r="I68" i="54"/>
  <c r="D69" i="54"/>
  <c r="I69" i="54"/>
  <c r="D70" i="54"/>
  <c r="I70" i="54"/>
  <c r="D71" i="54"/>
  <c r="I71" i="54"/>
  <c r="D72" i="54"/>
  <c r="I72" i="54"/>
  <c r="D73" i="54"/>
  <c r="I73" i="54"/>
  <c r="D74" i="54"/>
  <c r="I74" i="54"/>
  <c r="D75" i="54"/>
  <c r="I75" i="54"/>
  <c r="D76" i="54"/>
  <c r="I76" i="54"/>
  <c r="D77" i="54"/>
  <c r="I77" i="54"/>
  <c r="D78" i="54"/>
  <c r="I78" i="54"/>
  <c r="D81" i="54"/>
  <c r="I81" i="54"/>
  <c r="D82" i="54"/>
  <c r="I82" i="54"/>
  <c r="D83" i="54"/>
  <c r="I83" i="54"/>
  <c r="D84" i="54"/>
  <c r="I84" i="54"/>
  <c r="D85" i="54"/>
  <c r="I85" i="54"/>
  <c r="D86" i="54"/>
  <c r="I86" i="54"/>
  <c r="D87" i="54"/>
  <c r="I87" i="54"/>
  <c r="D88" i="54"/>
  <c r="I88" i="54"/>
  <c r="D89" i="54"/>
  <c r="I89" i="54"/>
  <c r="D90" i="54"/>
  <c r="I90" i="54"/>
  <c r="D91" i="54"/>
  <c r="I91" i="54"/>
  <c r="D92" i="54"/>
  <c r="I92" i="54"/>
  <c r="D95" i="54"/>
  <c r="I95" i="54"/>
  <c r="D96" i="54"/>
  <c r="I96" i="54"/>
  <c r="D97" i="54"/>
  <c r="I97" i="54"/>
  <c r="D98" i="54"/>
  <c r="I98" i="54"/>
  <c r="D99" i="54"/>
  <c r="I99" i="54"/>
  <c r="D100" i="54"/>
  <c r="I100" i="54"/>
  <c r="D101" i="54"/>
  <c r="I101" i="54"/>
  <c r="D102" i="54"/>
  <c r="I102" i="54"/>
  <c r="D103" i="54"/>
  <c r="I103" i="54"/>
  <c r="D104" i="54"/>
  <c r="I104" i="54"/>
  <c r="D105" i="54"/>
  <c r="I105" i="54"/>
  <c r="D106" i="54"/>
  <c r="I106" i="54"/>
  <c r="M108" i="54"/>
  <c r="D109" i="54"/>
  <c r="I109" i="54"/>
  <c r="D110" i="54"/>
  <c r="I110" i="54"/>
  <c r="M110" i="54"/>
  <c r="N110" i="54"/>
  <c r="D111" i="54"/>
  <c r="I111" i="54"/>
  <c r="D112" i="54"/>
  <c r="I112" i="54"/>
  <c r="D113" i="54"/>
  <c r="I113" i="54"/>
  <c r="D114" i="54"/>
  <c r="I114" i="54"/>
  <c r="D115" i="54"/>
  <c r="I115" i="54"/>
  <c r="D116" i="54"/>
  <c r="I116" i="54"/>
  <c r="D117" i="54"/>
  <c r="I117" i="54"/>
  <c r="D118" i="54"/>
  <c r="I118" i="54"/>
  <c r="D119" i="54"/>
  <c r="I119" i="54"/>
  <c r="D120" i="54"/>
  <c r="I120" i="54"/>
  <c r="D123" i="54"/>
  <c r="I123" i="54"/>
  <c r="D124" i="54"/>
  <c r="I124" i="54"/>
  <c r="D125" i="54"/>
  <c r="I125" i="54"/>
  <c r="D126" i="54"/>
  <c r="I126" i="54"/>
  <c r="D127" i="54"/>
  <c r="I127" i="54"/>
  <c r="D128" i="54"/>
  <c r="I128" i="54"/>
  <c r="D129" i="54"/>
  <c r="I129" i="54"/>
  <c r="D130" i="54"/>
  <c r="I130" i="54"/>
  <c r="D131" i="54"/>
  <c r="I131" i="54"/>
  <c r="D132" i="54"/>
  <c r="I132" i="54"/>
  <c r="D133" i="54"/>
  <c r="I133" i="54"/>
  <c r="D134" i="54"/>
  <c r="I134" i="54"/>
  <c r="B136" i="54"/>
  <c r="B122" i="54" s="1"/>
  <c r="B108" i="54" s="1"/>
  <c r="B94" i="54" s="1"/>
  <c r="B80" i="54" s="1"/>
  <c r="B66" i="54" s="1"/>
  <c r="B52" i="54" s="1"/>
  <c r="B38" i="54" s="1"/>
  <c r="B24" i="54" s="1"/>
  <c r="B18" i="54" s="1"/>
  <c r="B12" i="54" s="1"/>
  <c r="B6" i="54" s="1"/>
  <c r="H136" i="54"/>
  <c r="H122" i="54" s="1"/>
  <c r="H108" i="54" s="1"/>
  <c r="H94" i="54" s="1"/>
  <c r="H80" i="54" s="1"/>
  <c r="H66" i="54" s="1"/>
  <c r="H52" i="54" s="1"/>
  <c r="H38" i="54" s="1"/>
  <c r="H24" i="54" s="1"/>
  <c r="H18" i="54" s="1"/>
  <c r="H12" i="54" s="1"/>
  <c r="H6" i="54" s="1"/>
  <c r="D137" i="54"/>
  <c r="I137" i="54"/>
  <c r="D138" i="54"/>
  <c r="I138" i="54"/>
  <c r="D139" i="54"/>
  <c r="I139" i="54"/>
  <c r="D140" i="54"/>
  <c r="I140" i="54"/>
  <c r="D141" i="54"/>
  <c r="I141" i="54"/>
  <c r="D142" i="54"/>
  <c r="I142" i="54"/>
  <c r="D143" i="54"/>
  <c r="I143" i="54"/>
  <c r="D144" i="54"/>
  <c r="I144" i="54"/>
  <c r="D145" i="54"/>
  <c r="I145" i="54"/>
  <c r="D146" i="54"/>
  <c r="I146" i="54"/>
  <c r="D147" i="54"/>
  <c r="I147" i="54"/>
  <c r="D148" i="54"/>
  <c r="I148" i="54"/>
  <c r="D151" i="54"/>
  <c r="I151" i="54"/>
  <c r="D152" i="54"/>
  <c r="I152" i="54"/>
  <c r="D153" i="54"/>
  <c r="I153" i="54"/>
  <c r="D154" i="54"/>
  <c r="I154" i="54"/>
  <c r="D155" i="54"/>
  <c r="I155" i="54"/>
  <c r="D156" i="54"/>
  <c r="I156" i="54"/>
  <c r="D157" i="54"/>
  <c r="I157" i="54"/>
  <c r="D158" i="54"/>
  <c r="I158" i="54"/>
  <c r="D159" i="54"/>
  <c r="I159" i="54"/>
  <c r="D160" i="54"/>
  <c r="I160" i="54"/>
  <c r="D161" i="54"/>
  <c r="I161" i="54"/>
  <c r="D162" i="54"/>
  <c r="I162" i="54"/>
  <c r="D165" i="54"/>
  <c r="I165" i="54"/>
  <c r="D166" i="54"/>
  <c r="I166" i="54"/>
  <c r="D167" i="54"/>
  <c r="D168" i="54"/>
  <c r="D171" i="54"/>
  <c r="I171" i="54"/>
  <c r="D172" i="54"/>
  <c r="I172" i="54"/>
  <c r="D173" i="54"/>
  <c r="I173" i="54"/>
  <c r="D174" i="54"/>
  <c r="I174" i="54"/>
  <c r="C177" i="54"/>
  <c r="D177" i="54" s="1"/>
  <c r="K177" i="54"/>
  <c r="D178" i="54"/>
  <c r="K178" i="54"/>
  <c r="C179" i="54"/>
  <c r="D179" i="54" s="1"/>
  <c r="K179" i="54"/>
  <c r="D180" i="54"/>
  <c r="K180" i="54"/>
  <c r="O180" i="54"/>
  <c r="P180" i="54"/>
  <c r="Q180" i="54"/>
  <c r="C183" i="54"/>
  <c r="I183" i="54"/>
  <c r="C184" i="54"/>
  <c r="C185" i="54"/>
  <c r="I118" i="3" s="1"/>
  <c r="V118" i="8" s="1"/>
  <c r="C186" i="54"/>
  <c r="D186" i="54"/>
  <c r="E186" i="54"/>
  <c r="C189" i="54"/>
  <c r="K198" i="54"/>
  <c r="B210" i="54"/>
  <c r="B216" i="54" s="1"/>
  <c r="B222" i="54" s="1"/>
  <c r="B236" i="54" s="1"/>
  <c r="B250" i="54" s="1"/>
  <c r="B264" i="54" s="1"/>
  <c r="B278" i="54" s="1"/>
  <c r="B292" i="54" s="1"/>
  <c r="B306" i="54" s="1"/>
  <c r="B320" i="54" s="1"/>
  <c r="B334" i="54" s="1"/>
  <c r="B348" i="54" s="1"/>
  <c r="B362" i="54" s="1"/>
  <c r="B368" i="54" s="1"/>
  <c r="B374" i="54" s="1"/>
  <c r="B380" i="54" s="1"/>
  <c r="B386" i="54" s="1"/>
  <c r="B392" i="54" s="1"/>
  <c r="C217" i="54"/>
  <c r="C279" i="54"/>
  <c r="C282" i="54"/>
  <c r="C283" i="54" s="1"/>
  <c r="C285" i="54"/>
  <c r="C286" i="54" s="1"/>
  <c r="C288" i="54"/>
  <c r="C289" i="54"/>
  <c r="D290" i="54"/>
  <c r="C293" i="54"/>
  <c r="C294" i="54" s="1"/>
  <c r="D295" i="54"/>
  <c r="C296" i="54"/>
  <c r="D298" i="54"/>
  <c r="C299" i="54"/>
  <c r="C300" i="54" s="1"/>
  <c r="D300" i="54" s="1"/>
  <c r="D301" i="54"/>
  <c r="C302" i="54"/>
  <c r="D302" i="54"/>
  <c r="D304" i="54"/>
  <c r="C307" i="54"/>
  <c r="D309" i="54"/>
  <c r="C310" i="54"/>
  <c r="C311" i="54" s="1"/>
  <c r="D312" i="54"/>
  <c r="C313" i="54"/>
  <c r="D313" i="54" s="1"/>
  <c r="C314" i="54"/>
  <c r="D315" i="54"/>
  <c r="C316" i="54"/>
  <c r="C317" i="54" s="1"/>
  <c r="D318" i="54"/>
  <c r="C321" i="54"/>
  <c r="C322" i="54" s="1"/>
  <c r="D323" i="54"/>
  <c r="C324" i="54"/>
  <c r="C325" i="54" s="1"/>
  <c r="D324" i="54"/>
  <c r="D326" i="54"/>
  <c r="C327" i="54"/>
  <c r="C328" i="54" s="1"/>
  <c r="D329" i="54"/>
  <c r="C330" i="54"/>
  <c r="C331" i="54"/>
  <c r="D332" i="54"/>
  <c r="C335" i="54"/>
  <c r="D337" i="54"/>
  <c r="C338" i="54"/>
  <c r="C339" i="54" s="1"/>
  <c r="D339" i="54" s="1"/>
  <c r="D338" i="54"/>
  <c r="D340" i="54"/>
  <c r="C341" i="54"/>
  <c r="C342" i="54" s="1"/>
  <c r="D342" i="54" s="1"/>
  <c r="D343" i="54"/>
  <c r="C344" i="54"/>
  <c r="C345" i="54" s="1"/>
  <c r="D359" i="54" s="1"/>
  <c r="D344" i="54"/>
  <c r="D346" i="54"/>
  <c r="C349" i="54"/>
  <c r="C350" i="54" s="1"/>
  <c r="D351" i="54"/>
  <c r="C352" i="54"/>
  <c r="C353" i="54"/>
  <c r="D353" i="54" s="1"/>
  <c r="D354" i="54"/>
  <c r="D357" i="54"/>
  <c r="D358" i="54"/>
  <c r="C360" i="54"/>
  <c r="D366" i="54" s="1"/>
  <c r="C363" i="54"/>
  <c r="D363" i="54" s="1"/>
  <c r="D364" i="54"/>
  <c r="D365" i="54"/>
  <c r="D369" i="54"/>
  <c r="D370" i="54"/>
  <c r="D371" i="54"/>
  <c r="D372" i="54"/>
  <c r="D375" i="54"/>
  <c r="D376" i="54"/>
  <c r="D377" i="54"/>
  <c r="D378" i="54"/>
  <c r="D381" i="54"/>
  <c r="D382" i="54"/>
  <c r="D383" i="54"/>
  <c r="D384" i="54"/>
  <c r="D387" i="54"/>
  <c r="P5" i="5"/>
  <c r="V5" i="5"/>
  <c r="W5" i="5" s="1"/>
  <c r="AO5" i="5"/>
  <c r="AQ5" i="5"/>
  <c r="C7" i="5"/>
  <c r="C11" i="4" s="1"/>
  <c r="C9" i="5"/>
  <c r="AJ9" i="5"/>
  <c r="R36" i="72" s="1"/>
  <c r="AK9" i="5"/>
  <c r="S36" i="72" s="1"/>
  <c r="S116" i="72" s="1"/>
  <c r="S172" i="72" s="1"/>
  <c r="AL9" i="5"/>
  <c r="T36" i="72" s="1"/>
  <c r="T116" i="72" s="1"/>
  <c r="C14" i="5"/>
  <c r="B15" i="5"/>
  <c r="L15" i="5"/>
  <c r="C18" i="5"/>
  <c r="B19" i="5"/>
  <c r="L19" i="5"/>
  <c r="B22" i="5"/>
  <c r="B36" i="5" s="1"/>
  <c r="B37" i="5" s="1"/>
  <c r="L22" i="5"/>
  <c r="B23" i="5"/>
  <c r="C25" i="5"/>
  <c r="E26" i="5" s="1"/>
  <c r="L25" i="5"/>
  <c r="L36" i="5" s="1"/>
  <c r="C32" i="5"/>
  <c r="B34" i="5"/>
  <c r="C34" i="5"/>
  <c r="C39" i="5"/>
  <c r="Q40" i="5"/>
  <c r="C45" i="5"/>
  <c r="D45" i="5"/>
  <c r="B5" i="4"/>
  <c r="C5" i="4"/>
  <c r="C27" i="4" s="1"/>
  <c r="D5" i="4"/>
  <c r="I5" i="4"/>
  <c r="L5" i="4"/>
  <c r="Q5" i="4"/>
  <c r="R5" i="4"/>
  <c r="S5" i="4"/>
  <c r="T5" i="4"/>
  <c r="U5" i="4"/>
  <c r="V5" i="4"/>
  <c r="D6" i="4"/>
  <c r="E6" i="4"/>
  <c r="B11" i="4"/>
  <c r="L11" i="4"/>
  <c r="AU25" i="4"/>
  <c r="L35" i="4"/>
  <c r="AW37" i="4"/>
  <c r="M39" i="4"/>
  <c r="M40" i="4" s="1"/>
  <c r="N39" i="4"/>
  <c r="N40" i="4" s="1"/>
  <c r="O39" i="4"/>
  <c r="O40" i="4" s="1"/>
  <c r="P39" i="4"/>
  <c r="P40" i="4" s="1"/>
  <c r="Q39" i="4"/>
  <c r="Q40" i="4" s="1"/>
  <c r="R39" i="4"/>
  <c r="R40" i="4" s="1"/>
  <c r="S39" i="4"/>
  <c r="S40" i="4" s="1"/>
  <c r="T39" i="4"/>
  <c r="T40" i="4" s="1"/>
  <c r="U39" i="4"/>
  <c r="U40" i="4" s="1"/>
  <c r="V39" i="4"/>
  <c r="V40" i="4" s="1"/>
  <c r="W39" i="4"/>
  <c r="W40" i="4" s="1"/>
  <c r="X39" i="4"/>
  <c r="X40" i="4" s="1"/>
  <c r="Y39" i="4"/>
  <c r="Y40" i="4" s="1"/>
  <c r="Z39" i="4"/>
  <c r="AA39" i="4"/>
  <c r="AA40" i="4" s="1"/>
  <c r="AB39" i="4"/>
  <c r="AB40" i="4" s="1"/>
  <c r="AC39" i="4"/>
  <c r="L40" i="4"/>
  <c r="Z40" i="4"/>
  <c r="AC41" i="4"/>
  <c r="AD39" i="4" s="1"/>
  <c r="AD41" i="4"/>
  <c r="AE39" i="4" s="1"/>
  <c r="AE41" i="4"/>
  <c r="AF39" i="4" s="1"/>
  <c r="AF41" i="4"/>
  <c r="AG41" i="4"/>
  <c r="AH39" i="4" s="1"/>
  <c r="L42" i="4"/>
  <c r="M42" i="4"/>
  <c r="M43" i="4" s="1"/>
  <c r="N42" i="4"/>
  <c r="N21" i="4" s="1"/>
  <c r="EZ66" i="11" s="1"/>
  <c r="O42" i="4"/>
  <c r="O21" i="4" s="1"/>
  <c r="FA66" i="11" s="1"/>
  <c r="Q42" i="4"/>
  <c r="R42" i="4"/>
  <c r="R21" i="4" s="1"/>
  <c r="S42" i="4"/>
  <c r="S21" i="4" s="1"/>
  <c r="FE66" i="11" s="1"/>
  <c r="U42" i="4"/>
  <c r="V42" i="4"/>
  <c r="V21" i="4" s="1"/>
  <c r="FH66" i="11" s="1"/>
  <c r="W42" i="4"/>
  <c r="W21" i="4" s="1"/>
  <c r="FI66" i="11" s="1"/>
  <c r="Y42" i="4"/>
  <c r="Z42" i="4"/>
  <c r="Z21" i="4" s="1"/>
  <c r="FL66" i="11" s="1"/>
  <c r="AA42" i="4"/>
  <c r="AA21" i="4" s="1"/>
  <c r="FM66" i="11" s="1"/>
  <c r="N45" i="4"/>
  <c r="O45" i="4"/>
  <c r="P45" i="4"/>
  <c r="Q45" i="4"/>
  <c r="R45" i="4"/>
  <c r="S45" i="4"/>
  <c r="T45" i="4"/>
  <c r="U45" i="4"/>
  <c r="U46" i="4" s="1"/>
  <c r="V45" i="4"/>
  <c r="W45" i="4"/>
  <c r="X45" i="4"/>
  <c r="Y45" i="4"/>
  <c r="Z45" i="4"/>
  <c r="AA45" i="4"/>
  <c r="AB45" i="4"/>
  <c r="AC47" i="4"/>
  <c r="AC48" i="4" s="1"/>
  <c r="AD47" i="4"/>
  <c r="Z99" i="3" s="1"/>
  <c r="AE47" i="4"/>
  <c r="AF47" i="4"/>
  <c r="AG47" i="4"/>
  <c r="FS64" i="11" s="1"/>
  <c r="FS76" i="11" s="1"/>
  <c r="AO47" i="4"/>
  <c r="AU47" i="4"/>
  <c r="M48" i="4"/>
  <c r="N48" i="4"/>
  <c r="O48" i="4"/>
  <c r="P48" i="4"/>
  <c r="Q48" i="4"/>
  <c r="R48" i="4"/>
  <c r="S48" i="4"/>
  <c r="T48" i="4"/>
  <c r="U48" i="4"/>
  <c r="V48" i="4"/>
  <c r="W48" i="4"/>
  <c r="X48" i="4"/>
  <c r="Y48" i="4"/>
  <c r="Z48" i="4"/>
  <c r="AA48" i="4"/>
  <c r="AB48" i="4"/>
  <c r="H6" i="1"/>
  <c r="AJ6" i="1"/>
  <c r="AN6" i="1" s="1"/>
  <c r="AR6" i="1" s="1"/>
  <c r="BP6" i="1"/>
  <c r="BT6" i="1" s="1"/>
  <c r="BX6" i="1" s="1"/>
  <c r="CB6" i="1" s="1"/>
  <c r="CF6" i="1" s="1"/>
  <c r="CJ6" i="1" s="1"/>
  <c r="CN6" i="1" s="1"/>
  <c r="CZ8" i="1"/>
  <c r="I10" i="1"/>
  <c r="M10" i="1"/>
  <c r="Q10" i="1"/>
  <c r="U10" i="1"/>
  <c r="AC10" i="1"/>
  <c r="AG10" i="1"/>
  <c r="BA78" i="1"/>
  <c r="BE39" i="1"/>
  <c r="BH49" i="1"/>
  <c r="BM39" i="1"/>
  <c r="BQ39" i="1"/>
  <c r="BU29" i="1"/>
  <c r="BY29" i="1"/>
  <c r="CB49" i="1"/>
  <c r="CC49" i="1" s="1"/>
  <c r="I41" i="58"/>
  <c r="CS39" i="1"/>
  <c r="CX10" i="1"/>
  <c r="CZ10" i="1"/>
  <c r="DB10" i="1"/>
  <c r="DD10" i="1"/>
  <c r="DF10" i="1"/>
  <c r="DH10" i="1"/>
  <c r="DJ10" i="1"/>
  <c r="DN10" i="1"/>
  <c r="DT10" i="1" s="1"/>
  <c r="I11" i="1"/>
  <c r="M11" i="1"/>
  <c r="Q11" i="1"/>
  <c r="U11" i="1"/>
  <c r="AC11" i="1"/>
  <c r="AJ50" i="1"/>
  <c r="AS30" i="1"/>
  <c r="AW79" i="1"/>
  <c r="BA40" i="1"/>
  <c r="BE40" i="1"/>
  <c r="BM30" i="1"/>
  <c r="BU30" i="1"/>
  <c r="CB50" i="1"/>
  <c r="CB159" i="1" s="1"/>
  <c r="CK30" i="1"/>
  <c r="CS79" i="1"/>
  <c r="CX11" i="1"/>
  <c r="CZ11" i="1"/>
  <c r="DA30" i="1" s="1"/>
  <c r="DB11" i="1"/>
  <c r="DD11" i="1"/>
  <c r="Y42" i="58" s="1"/>
  <c r="DF11" i="1"/>
  <c r="DH11" i="1"/>
  <c r="DJ11" i="1"/>
  <c r="DN11" i="1"/>
  <c r="DT11" i="1" s="1"/>
  <c r="I12" i="1"/>
  <c r="M12" i="1"/>
  <c r="Q12" i="1"/>
  <c r="U12" i="1"/>
  <c r="AC12" i="1"/>
  <c r="AG12" i="1"/>
  <c r="AK41" i="1"/>
  <c r="AO41" i="1"/>
  <c r="AS41" i="1"/>
  <c r="AW31" i="1"/>
  <c r="BA31" i="1"/>
  <c r="BH51" i="1"/>
  <c r="BH110" i="1" s="1"/>
  <c r="BI120" i="1" s="1"/>
  <c r="BP51" i="1"/>
  <c r="BU80" i="1"/>
  <c r="BY31" i="1"/>
  <c r="CC31" i="1"/>
  <c r="CG80" i="1"/>
  <c r="CK80" i="1"/>
  <c r="I43" i="58"/>
  <c r="CX12" i="1"/>
  <c r="CZ12" i="1"/>
  <c r="DB12" i="1"/>
  <c r="DD12" i="1"/>
  <c r="DE31" i="1" s="1"/>
  <c r="DF12" i="1"/>
  <c r="DH12" i="1"/>
  <c r="DJ12" i="1"/>
  <c r="DN12" i="1"/>
  <c r="DT12" i="1" s="1"/>
  <c r="I13" i="1"/>
  <c r="M13" i="1"/>
  <c r="Q13" i="1"/>
  <c r="U13" i="1"/>
  <c r="AC13" i="1"/>
  <c r="AK42" i="1"/>
  <c r="AN52" i="1"/>
  <c r="AN111" i="1" s="1"/>
  <c r="AS81" i="1"/>
  <c r="AZ52" i="1"/>
  <c r="BA52" i="1" s="1"/>
  <c r="BM42" i="1"/>
  <c r="BQ42" i="1"/>
  <c r="BU42" i="1"/>
  <c r="BY42" i="1"/>
  <c r="CC32" i="1"/>
  <c r="CK42" i="1"/>
  <c r="CN52" i="1"/>
  <c r="CV13" i="1"/>
  <c r="CW32" i="1" s="1"/>
  <c r="CX13" i="1"/>
  <c r="CZ13" i="1"/>
  <c r="U44" i="58" s="1"/>
  <c r="DB13" i="1"/>
  <c r="DD13" i="1"/>
  <c r="DE81" i="1" s="1"/>
  <c r="DF13" i="1"/>
  <c r="DH13" i="1"/>
  <c r="DJ13" i="1"/>
  <c r="DN13" i="1"/>
  <c r="DT13" i="1" s="1"/>
  <c r="I14" i="1"/>
  <c r="M14" i="1"/>
  <c r="Q14" i="1"/>
  <c r="U14" i="1"/>
  <c r="AB14" i="1"/>
  <c r="AK14" i="1"/>
  <c r="BE14" i="1"/>
  <c r="BI14" i="1"/>
  <c r="DB14" i="1"/>
  <c r="DJ14" i="1"/>
  <c r="D15" i="1"/>
  <c r="H15" i="1"/>
  <c r="L15" i="1"/>
  <c r="N15" i="1" s="1"/>
  <c r="P15" i="1"/>
  <c r="R15" i="1"/>
  <c r="T15" i="1"/>
  <c r="X15" i="1"/>
  <c r="AB15" i="1"/>
  <c r="AD15" i="1" s="1"/>
  <c r="AC15" i="1"/>
  <c r="CV15" i="1"/>
  <c r="D16" i="1"/>
  <c r="H16" i="1"/>
  <c r="J16" i="1" s="1"/>
  <c r="L16" i="1"/>
  <c r="P16" i="1"/>
  <c r="R16" i="1" s="1"/>
  <c r="Q16" i="1"/>
  <c r="T16" i="1"/>
  <c r="X16" i="1"/>
  <c r="AB16" i="1"/>
  <c r="AD16" i="1"/>
  <c r="CZ27" i="1"/>
  <c r="E29" i="1"/>
  <c r="I29" i="1"/>
  <c r="M29" i="1"/>
  <c r="N29" i="1" s="1"/>
  <c r="Q29" i="1"/>
  <c r="U29" i="1"/>
  <c r="Y29" i="1"/>
  <c r="AC29" i="1"/>
  <c r="CW29" i="1"/>
  <c r="E30" i="1"/>
  <c r="I30" i="1"/>
  <c r="J30" i="1" s="1"/>
  <c r="M30" i="1"/>
  <c r="Q30" i="1"/>
  <c r="U30" i="1"/>
  <c r="Y30" i="1"/>
  <c r="AC30" i="1"/>
  <c r="CW30" i="1"/>
  <c r="E31" i="1"/>
  <c r="I31" i="1"/>
  <c r="M31" i="1"/>
  <c r="Q31" i="1"/>
  <c r="U31" i="1"/>
  <c r="V31" i="1" s="1"/>
  <c r="Y31" i="1"/>
  <c r="AC31" i="1"/>
  <c r="BU31" i="1"/>
  <c r="CW31" i="1"/>
  <c r="E32" i="1"/>
  <c r="I32" i="1"/>
  <c r="J32" i="1" s="1"/>
  <c r="M32" i="1"/>
  <c r="Q32" i="1"/>
  <c r="R32" i="1" s="1"/>
  <c r="U32" i="1"/>
  <c r="V32" i="1" s="1"/>
  <c r="Y32" i="1"/>
  <c r="AC32" i="1"/>
  <c r="CO32" i="1"/>
  <c r="E33" i="1"/>
  <c r="I33" i="1"/>
  <c r="M33" i="1"/>
  <c r="Q33" i="1"/>
  <c r="U33" i="1"/>
  <c r="Y33" i="1"/>
  <c r="AB33" i="1"/>
  <c r="AG33" i="1"/>
  <c r="AK33" i="1"/>
  <c r="AS33" i="1"/>
  <c r="BA33" i="1"/>
  <c r="BE33" i="1"/>
  <c r="BI33" i="1"/>
  <c r="CJ33" i="1"/>
  <c r="CN33" i="1"/>
  <c r="CR33" i="1"/>
  <c r="CV33" i="1"/>
  <c r="CZ33" i="1"/>
  <c r="DD33" i="1"/>
  <c r="DH33" i="1"/>
  <c r="D34" i="1"/>
  <c r="H34" i="1"/>
  <c r="L34" i="1"/>
  <c r="P34" i="1"/>
  <c r="Q34" i="1" s="1"/>
  <c r="T34" i="1"/>
  <c r="X34" i="1"/>
  <c r="AB34" i="1"/>
  <c r="AC34" i="1" s="1"/>
  <c r="AF34" i="1"/>
  <c r="AJ34" i="1"/>
  <c r="AN34" i="1"/>
  <c r="AR34" i="1"/>
  <c r="AV34" i="1"/>
  <c r="AZ34" i="1"/>
  <c r="BD34" i="1"/>
  <c r="BH34" i="1"/>
  <c r="BL34" i="1"/>
  <c r="BP34" i="1"/>
  <c r="BT34" i="1"/>
  <c r="BX34" i="1"/>
  <c r="CB34" i="1"/>
  <c r="CF34" i="1"/>
  <c r="CJ34" i="1"/>
  <c r="CN34" i="1"/>
  <c r="CR34" i="1"/>
  <c r="CV34" i="1"/>
  <c r="CZ34" i="1"/>
  <c r="DD34" i="1"/>
  <c r="DH34" i="1"/>
  <c r="D35" i="1"/>
  <c r="E35" i="1" s="1"/>
  <c r="H35" i="1"/>
  <c r="L35" i="1"/>
  <c r="P35" i="1"/>
  <c r="T35" i="1"/>
  <c r="X35" i="1"/>
  <c r="AB35" i="1"/>
  <c r="AC35" i="1"/>
  <c r="AF35" i="1"/>
  <c r="AJ35" i="1"/>
  <c r="AN35" i="1"/>
  <c r="AR35" i="1"/>
  <c r="AV35" i="1"/>
  <c r="AZ35" i="1"/>
  <c r="BD35" i="1"/>
  <c r="BH35" i="1"/>
  <c r="BL35" i="1"/>
  <c r="BP35" i="1"/>
  <c r="BT35" i="1"/>
  <c r="BX35" i="1"/>
  <c r="CB35" i="1"/>
  <c r="CF35" i="1"/>
  <c r="CJ35" i="1"/>
  <c r="CN35" i="1"/>
  <c r="CR35" i="1"/>
  <c r="CV35" i="1"/>
  <c r="CZ35" i="1"/>
  <c r="DD35" i="1"/>
  <c r="EJ35" i="1"/>
  <c r="CZ37" i="1"/>
  <c r="EC37" i="1"/>
  <c r="EE37" i="1"/>
  <c r="EI37" i="1"/>
  <c r="EO37" i="1"/>
  <c r="EC38" i="1"/>
  <c r="EE38" i="1" s="1"/>
  <c r="EH38" i="1"/>
  <c r="EI38" i="1" s="1"/>
  <c r="E39" i="1"/>
  <c r="I39" i="1"/>
  <c r="J39" i="1"/>
  <c r="M39" i="1"/>
  <c r="N39" i="1"/>
  <c r="Q39" i="1"/>
  <c r="R39" i="1"/>
  <c r="U39" i="1"/>
  <c r="V39" i="1"/>
  <c r="Y39" i="1"/>
  <c r="AC39" i="1"/>
  <c r="AD39" i="1"/>
  <c r="AH39" i="1"/>
  <c r="AL39" i="1"/>
  <c r="AP39" i="1"/>
  <c r="AT39" i="1"/>
  <c r="AX39" i="1"/>
  <c r="BB39" i="1"/>
  <c r="BF39" i="1"/>
  <c r="BJ39" i="1"/>
  <c r="BN39" i="1"/>
  <c r="BR39" i="1"/>
  <c r="BV39" i="1"/>
  <c r="BY39" i="1"/>
  <c r="BZ39" i="1"/>
  <c r="CD39" i="1"/>
  <c r="CH39" i="1"/>
  <c r="CL39" i="1"/>
  <c r="CP39" i="1"/>
  <c r="CT39" i="1"/>
  <c r="CW39" i="1"/>
  <c r="CX39" i="1"/>
  <c r="DB39" i="1"/>
  <c r="DF39" i="1"/>
  <c r="DM39" i="1"/>
  <c r="EH39" i="1"/>
  <c r="EI39" i="1" s="1"/>
  <c r="E40" i="1"/>
  <c r="I40" i="1"/>
  <c r="J40" i="1"/>
  <c r="M40" i="1"/>
  <c r="N40" i="1"/>
  <c r="Q40" i="1"/>
  <c r="R40" i="1"/>
  <c r="U40" i="1"/>
  <c r="V40" i="1"/>
  <c r="Y40" i="1"/>
  <c r="AC40" i="1"/>
  <c r="AD40" i="1"/>
  <c r="AH40" i="1"/>
  <c r="AL40" i="1"/>
  <c r="AP40" i="1"/>
  <c r="AT40" i="1"/>
  <c r="AX40" i="1"/>
  <c r="BB40" i="1"/>
  <c r="BF40" i="1"/>
  <c r="BJ40" i="1"/>
  <c r="BN40" i="1"/>
  <c r="BR40" i="1"/>
  <c r="BV40" i="1"/>
  <c r="BZ40" i="1"/>
  <c r="CD40" i="1"/>
  <c r="CH40" i="1"/>
  <c r="CL40" i="1"/>
  <c r="CP40" i="1"/>
  <c r="CT40" i="1"/>
  <c r="CW40" i="1"/>
  <c r="CX40" i="1"/>
  <c r="DB40" i="1"/>
  <c r="DF40" i="1"/>
  <c r="DY40" i="1"/>
  <c r="EG40" i="1"/>
  <c r="EH40" i="1"/>
  <c r="E41" i="1"/>
  <c r="I41" i="1"/>
  <c r="J41" i="1"/>
  <c r="M41" i="1"/>
  <c r="N41" i="1"/>
  <c r="Q41" i="1"/>
  <c r="R41" i="1"/>
  <c r="U41" i="1"/>
  <c r="V41" i="1"/>
  <c r="Y41" i="1"/>
  <c r="AC41" i="1"/>
  <c r="AD41" i="1"/>
  <c r="AH41" i="1"/>
  <c r="AL41" i="1"/>
  <c r="AP41" i="1"/>
  <c r="AT41" i="1"/>
  <c r="AX41" i="1"/>
  <c r="BB41" i="1"/>
  <c r="BF41" i="1"/>
  <c r="BJ41" i="1"/>
  <c r="BN41" i="1"/>
  <c r="BR41" i="1"/>
  <c r="BV41" i="1"/>
  <c r="BZ41" i="1"/>
  <c r="CD41" i="1"/>
  <c r="CH41" i="1"/>
  <c r="CL41" i="1"/>
  <c r="CP41" i="1"/>
  <c r="CT41" i="1"/>
  <c r="CW41" i="1"/>
  <c r="CX41" i="1"/>
  <c r="CZ41" i="1"/>
  <c r="DB41" i="1"/>
  <c r="DD41" i="1"/>
  <c r="ED41" i="1"/>
  <c r="EI41" i="1"/>
  <c r="E42" i="1"/>
  <c r="I42" i="1"/>
  <c r="J42" i="1"/>
  <c r="M42" i="1"/>
  <c r="N42" i="1"/>
  <c r="Q42" i="1"/>
  <c r="R42" i="1"/>
  <c r="U42" i="1"/>
  <c r="V42" i="1"/>
  <c r="Y42" i="1"/>
  <c r="AC42" i="1"/>
  <c r="AD42" i="1"/>
  <c r="AH42" i="1"/>
  <c r="AL42" i="1"/>
  <c r="AP42" i="1"/>
  <c r="AT42" i="1"/>
  <c r="AX42" i="1"/>
  <c r="BB42" i="1"/>
  <c r="BF42" i="1"/>
  <c r="BJ42" i="1"/>
  <c r="BN42" i="1"/>
  <c r="BR42" i="1"/>
  <c r="BV42" i="1"/>
  <c r="BZ42" i="1"/>
  <c r="CD42" i="1"/>
  <c r="CG42" i="1"/>
  <c r="CH42" i="1"/>
  <c r="CL42" i="1"/>
  <c r="CP42" i="1"/>
  <c r="CR42" i="1"/>
  <c r="CV42" i="1"/>
  <c r="CV45" i="1" s="1"/>
  <c r="CZ42" i="1"/>
  <c r="DD42" i="1"/>
  <c r="X64" i="58" s="1"/>
  <c r="E43" i="1"/>
  <c r="I43" i="1"/>
  <c r="J43" i="1"/>
  <c r="M43" i="1"/>
  <c r="N43" i="1"/>
  <c r="Q43" i="1"/>
  <c r="R43" i="1"/>
  <c r="U43" i="1"/>
  <c r="V43" i="1"/>
  <c r="Y43" i="1"/>
  <c r="AB43" i="1"/>
  <c r="AG43" i="1"/>
  <c r="AK43" i="1"/>
  <c r="AL43" i="1"/>
  <c r="AP43" i="1"/>
  <c r="AS43" i="1"/>
  <c r="AT43" i="1"/>
  <c r="AX43" i="1"/>
  <c r="BA43" i="1"/>
  <c r="BB43" i="1"/>
  <c r="BE43" i="1"/>
  <c r="BF43" i="1"/>
  <c r="BI43" i="1"/>
  <c r="BJ43" i="1"/>
  <c r="BN43" i="1"/>
  <c r="BR43" i="1"/>
  <c r="BV43" i="1"/>
  <c r="BZ43" i="1"/>
  <c r="CD43" i="1"/>
  <c r="CH43" i="1"/>
  <c r="CJ43" i="1"/>
  <c r="CL43" i="1" s="1"/>
  <c r="CN43" i="1"/>
  <c r="CP43" i="1" s="1"/>
  <c r="CV43" i="1"/>
  <c r="D44" i="1"/>
  <c r="H44" i="1"/>
  <c r="L44" i="1"/>
  <c r="N44" i="1" s="1"/>
  <c r="P44" i="1"/>
  <c r="T44" i="1"/>
  <c r="X44" i="1"/>
  <c r="AB44" i="1"/>
  <c r="AC44" i="1" s="1"/>
  <c r="AF44" i="1"/>
  <c r="AJ44" i="1"/>
  <c r="AN44" i="1"/>
  <c r="AR44" i="1"/>
  <c r="AV44" i="1"/>
  <c r="AZ44" i="1"/>
  <c r="BD44" i="1"/>
  <c r="BH44" i="1"/>
  <c r="BJ44" i="1" s="1"/>
  <c r="BL44" i="1"/>
  <c r="BP44" i="1"/>
  <c r="BT44" i="1"/>
  <c r="BX44" i="1"/>
  <c r="CB44" i="1"/>
  <c r="CF44" i="1"/>
  <c r="CJ44" i="1"/>
  <c r="CN44" i="1"/>
  <c r="CR44" i="1"/>
  <c r="CV44" i="1"/>
  <c r="CZ44" i="1"/>
  <c r="DD44" i="1"/>
  <c r="D45" i="1"/>
  <c r="E45" i="1" s="1"/>
  <c r="H45" i="1"/>
  <c r="I45" i="1" s="1"/>
  <c r="L45" i="1"/>
  <c r="P45" i="1"/>
  <c r="R45" i="1" s="1"/>
  <c r="T45" i="1"/>
  <c r="X45" i="1"/>
  <c r="AB45" i="1"/>
  <c r="AF45" i="1"/>
  <c r="AJ45" i="1"/>
  <c r="AP45" i="1" s="1"/>
  <c r="AN45" i="1"/>
  <c r="AR45" i="1"/>
  <c r="AV45" i="1"/>
  <c r="AX45" i="1" s="1"/>
  <c r="AZ45" i="1"/>
  <c r="BD45" i="1"/>
  <c r="BF45" i="1" s="1"/>
  <c r="BH45" i="1"/>
  <c r="BL45" i="1"/>
  <c r="BN45" i="1" s="1"/>
  <c r="BP45" i="1"/>
  <c r="BT45" i="1"/>
  <c r="BX45" i="1"/>
  <c r="CB45" i="1"/>
  <c r="CF45" i="1"/>
  <c r="CJ45" i="1"/>
  <c r="CL45" i="1"/>
  <c r="CN45" i="1"/>
  <c r="D49" i="1"/>
  <c r="E49" i="1" s="1"/>
  <c r="H49" i="1"/>
  <c r="J49" i="1" s="1"/>
  <c r="L49" i="1"/>
  <c r="M49" i="1" s="1"/>
  <c r="P49" i="1"/>
  <c r="T49" i="1"/>
  <c r="U49" i="1" s="1"/>
  <c r="X49" i="1"/>
  <c r="Y49" i="1" s="1"/>
  <c r="AB49" i="1"/>
  <c r="CV49" i="1"/>
  <c r="CV108" i="1" s="1"/>
  <c r="CV128" i="1" s="1"/>
  <c r="CW128" i="1" s="1"/>
  <c r="D50" i="1"/>
  <c r="H50" i="1"/>
  <c r="L50" i="1"/>
  <c r="M50" i="1" s="1"/>
  <c r="P50" i="1"/>
  <c r="T50" i="1"/>
  <c r="X50" i="1"/>
  <c r="Y50" i="1" s="1"/>
  <c r="AB50" i="1"/>
  <c r="CV50" i="1"/>
  <c r="D51" i="1"/>
  <c r="H51" i="1"/>
  <c r="I51" i="1"/>
  <c r="L51" i="1"/>
  <c r="M51" i="1" s="1"/>
  <c r="P51" i="1"/>
  <c r="T51" i="1"/>
  <c r="X51" i="1"/>
  <c r="Y51" i="1" s="1"/>
  <c r="AB51" i="1"/>
  <c r="BT51" i="1"/>
  <c r="BU51" i="1" s="1"/>
  <c r="CV51" i="1"/>
  <c r="CW51" i="1"/>
  <c r="D52" i="1"/>
  <c r="H52" i="1"/>
  <c r="I52" i="1" s="1"/>
  <c r="L52" i="1"/>
  <c r="L111" i="1" s="1"/>
  <c r="P52" i="1"/>
  <c r="Q52" i="1" s="1"/>
  <c r="T52" i="1"/>
  <c r="X52" i="1"/>
  <c r="X111" i="1" s="1"/>
  <c r="Y121" i="1" s="1"/>
  <c r="AB52" i="1"/>
  <c r="D53" i="1"/>
  <c r="E53" i="1" s="1"/>
  <c r="H53" i="1"/>
  <c r="L53" i="1"/>
  <c r="P53" i="1"/>
  <c r="Q53" i="1" s="1"/>
  <c r="T53" i="1"/>
  <c r="U53" i="1" s="1"/>
  <c r="X53" i="1"/>
  <c r="Y53" i="1" s="1"/>
  <c r="AF53" i="1"/>
  <c r="AJ53" i="1"/>
  <c r="AJ112" i="1" s="1"/>
  <c r="AR53" i="1"/>
  <c r="AS53" i="1" s="1"/>
  <c r="AZ53" i="1"/>
  <c r="AZ112" i="1" s="1"/>
  <c r="BA112" i="1" s="1"/>
  <c r="BD53" i="1"/>
  <c r="BH53" i="1"/>
  <c r="BH112" i="1" s="1"/>
  <c r="AB55" i="1"/>
  <c r="CZ76" i="1"/>
  <c r="E78" i="1"/>
  <c r="I78" i="1"/>
  <c r="M78" i="1"/>
  <c r="Q78" i="1"/>
  <c r="U78" i="1"/>
  <c r="Y78" i="1"/>
  <c r="AC78" i="1"/>
  <c r="BY78" i="1"/>
  <c r="CW78" i="1"/>
  <c r="DL78" i="1"/>
  <c r="DM78" i="1" s="1"/>
  <c r="E79" i="1"/>
  <c r="I79" i="1"/>
  <c r="M79" i="1"/>
  <c r="Q79" i="1"/>
  <c r="U79" i="1"/>
  <c r="Y79" i="1"/>
  <c r="AC79" i="1"/>
  <c r="CW79" i="1"/>
  <c r="E80" i="1"/>
  <c r="I80" i="1"/>
  <c r="M80" i="1"/>
  <c r="Q80" i="1"/>
  <c r="U80" i="1"/>
  <c r="Y80" i="1"/>
  <c r="AC80" i="1"/>
  <c r="CW80" i="1"/>
  <c r="E81" i="1"/>
  <c r="I81" i="1"/>
  <c r="M81" i="1"/>
  <c r="Q81" i="1"/>
  <c r="U81" i="1"/>
  <c r="Y81" i="1"/>
  <c r="AC81" i="1"/>
  <c r="CR81" i="1"/>
  <c r="E82" i="1"/>
  <c r="I82" i="1"/>
  <c r="M82" i="1"/>
  <c r="Q82" i="1"/>
  <c r="U82" i="1"/>
  <c r="Y82" i="1"/>
  <c r="AB82" i="1"/>
  <c r="AG82" i="1"/>
  <c r="AK82" i="1"/>
  <c r="AS82" i="1"/>
  <c r="BA82" i="1"/>
  <c r="BE82" i="1"/>
  <c r="BI82" i="1"/>
  <c r="CJ82" i="1"/>
  <c r="CN82" i="1"/>
  <c r="CV82" i="1"/>
  <c r="CZ82" i="1"/>
  <c r="DD82" i="1"/>
  <c r="DH82" i="1"/>
  <c r="DL82" i="1"/>
  <c r="D83" i="1"/>
  <c r="E83" i="1" s="1"/>
  <c r="H83" i="1"/>
  <c r="L83" i="1"/>
  <c r="P83" i="1"/>
  <c r="Q83" i="1" s="1"/>
  <c r="T83" i="1"/>
  <c r="X83" i="1"/>
  <c r="AB83" i="1"/>
  <c r="AC83" i="1" s="1"/>
  <c r="AF83" i="1"/>
  <c r="AJ83" i="1"/>
  <c r="AN83" i="1"/>
  <c r="AR83" i="1"/>
  <c r="AV83" i="1"/>
  <c r="AZ83" i="1"/>
  <c r="BD83" i="1"/>
  <c r="BH83" i="1"/>
  <c r="BL83" i="1"/>
  <c r="BP83" i="1"/>
  <c r="BT83" i="1"/>
  <c r="BX83" i="1"/>
  <c r="CB83" i="1"/>
  <c r="CF83" i="1"/>
  <c r="CJ83" i="1"/>
  <c r="CN83" i="1"/>
  <c r="CR83" i="1"/>
  <c r="CV83" i="1"/>
  <c r="CW83" i="1" s="1"/>
  <c r="CZ83" i="1"/>
  <c r="DD83" i="1"/>
  <c r="DH83" i="1"/>
  <c r="D84" i="1"/>
  <c r="E84" i="1" s="1"/>
  <c r="H84" i="1"/>
  <c r="I84" i="1" s="1"/>
  <c r="L84" i="1"/>
  <c r="P84" i="1"/>
  <c r="Q84" i="1" s="1"/>
  <c r="T84" i="1"/>
  <c r="U84" i="1" s="1"/>
  <c r="X84" i="1"/>
  <c r="AB84" i="1"/>
  <c r="AF84" i="1"/>
  <c r="AJ84" i="1"/>
  <c r="AN84" i="1"/>
  <c r="AR84" i="1"/>
  <c r="AV84" i="1"/>
  <c r="AZ84" i="1"/>
  <c r="BD84" i="1"/>
  <c r="BH84" i="1"/>
  <c r="BL84" i="1"/>
  <c r="BP84" i="1"/>
  <c r="BT84" i="1"/>
  <c r="BX84" i="1"/>
  <c r="CB84" i="1"/>
  <c r="CF84" i="1"/>
  <c r="CJ84" i="1"/>
  <c r="CN84" i="1"/>
  <c r="CV84" i="1"/>
  <c r="CZ84" i="1"/>
  <c r="DD84" i="1"/>
  <c r="DH84" i="1"/>
  <c r="DL84" i="1"/>
  <c r="CR92" i="1"/>
  <c r="CV92" i="1"/>
  <c r="CZ92" i="1"/>
  <c r="DD92" i="1"/>
  <c r="DH92" i="1"/>
  <c r="DL92" i="1"/>
  <c r="D93" i="1"/>
  <c r="H93" i="1"/>
  <c r="L93" i="1"/>
  <c r="P93" i="1"/>
  <c r="T93" i="1"/>
  <c r="X93" i="1"/>
  <c r="AB93" i="1"/>
  <c r="AF93" i="1"/>
  <c r="AJ93" i="1"/>
  <c r="AN93" i="1"/>
  <c r="AR93" i="1"/>
  <c r="AV93" i="1"/>
  <c r="AZ93" i="1"/>
  <c r="BD93" i="1"/>
  <c r="BH93" i="1"/>
  <c r="BL93" i="1"/>
  <c r="BP93" i="1"/>
  <c r="BT93" i="1"/>
  <c r="BX93" i="1"/>
  <c r="CB93" i="1"/>
  <c r="CF93" i="1"/>
  <c r="CJ93" i="1"/>
  <c r="CN93" i="1"/>
  <c r="CR93" i="1"/>
  <c r="CV93" i="1"/>
  <c r="CZ93" i="1"/>
  <c r="DD93" i="1"/>
  <c r="DH93" i="1"/>
  <c r="DL93" i="1"/>
  <c r="D94" i="1"/>
  <c r="H94" i="1"/>
  <c r="L94" i="1"/>
  <c r="P94" i="1"/>
  <c r="T94" i="1"/>
  <c r="X94" i="1"/>
  <c r="AB94" i="1"/>
  <c r="AF94" i="1"/>
  <c r="AJ94" i="1"/>
  <c r="AN94" i="1"/>
  <c r="AR94" i="1"/>
  <c r="AV94" i="1"/>
  <c r="AZ94" i="1"/>
  <c r="BD94" i="1"/>
  <c r="BH94" i="1"/>
  <c r="BL94" i="1"/>
  <c r="BP94" i="1"/>
  <c r="BT94" i="1"/>
  <c r="BX94" i="1"/>
  <c r="CB94" i="1"/>
  <c r="CF94" i="1"/>
  <c r="CJ94" i="1"/>
  <c r="CN94" i="1"/>
  <c r="CR94" i="1"/>
  <c r="CV94" i="1"/>
  <c r="CZ94" i="1"/>
  <c r="DD94" i="1"/>
  <c r="DH94" i="1"/>
  <c r="DL94" i="1"/>
  <c r="AB102" i="1"/>
  <c r="CR102" i="1"/>
  <c r="CV102" i="1"/>
  <c r="CZ102" i="1"/>
  <c r="DD102" i="1"/>
  <c r="DH102" i="1"/>
  <c r="DL102" i="1"/>
  <c r="D103" i="1"/>
  <c r="H103" i="1"/>
  <c r="L103" i="1"/>
  <c r="P103" i="1"/>
  <c r="T103" i="1"/>
  <c r="X103" i="1"/>
  <c r="AB103" i="1"/>
  <c r="AF103" i="1"/>
  <c r="AJ103" i="1"/>
  <c r="AN103" i="1"/>
  <c r="AR103" i="1"/>
  <c r="AV103" i="1"/>
  <c r="AZ103" i="1"/>
  <c r="BD103" i="1"/>
  <c r="BH103" i="1"/>
  <c r="BL103" i="1"/>
  <c r="BP103" i="1"/>
  <c r="BT103" i="1"/>
  <c r="BX103" i="1"/>
  <c r="CB103" i="1"/>
  <c r="CF103" i="1"/>
  <c r="CJ103" i="1"/>
  <c r="CN103" i="1"/>
  <c r="CR103" i="1"/>
  <c r="CV103" i="1"/>
  <c r="CZ103" i="1"/>
  <c r="DD103" i="1"/>
  <c r="DH103" i="1"/>
  <c r="DL103" i="1"/>
  <c r="D104" i="1"/>
  <c r="H104" i="1"/>
  <c r="L104" i="1"/>
  <c r="P104" i="1"/>
  <c r="T104" i="1"/>
  <c r="X104" i="1"/>
  <c r="AB104" i="1"/>
  <c r="AF104" i="1"/>
  <c r="AJ104" i="1"/>
  <c r="AN104" i="1"/>
  <c r="AR104" i="1"/>
  <c r="AV104" i="1"/>
  <c r="AZ104" i="1"/>
  <c r="BD104" i="1"/>
  <c r="BH104" i="1"/>
  <c r="BL104" i="1"/>
  <c r="BP104" i="1"/>
  <c r="BT104" i="1"/>
  <c r="BX104" i="1"/>
  <c r="CB104" i="1"/>
  <c r="CF104" i="1"/>
  <c r="CJ104" i="1"/>
  <c r="CN104" i="1"/>
  <c r="CR104" i="1"/>
  <c r="CV104" i="1"/>
  <c r="CZ104" i="1"/>
  <c r="DD104" i="1"/>
  <c r="DH104" i="1"/>
  <c r="DL104" i="1"/>
  <c r="T108" i="1"/>
  <c r="U108" i="1" s="1"/>
  <c r="P109" i="1"/>
  <c r="P129" i="1" s="1"/>
  <c r="Q129" i="1" s="1"/>
  <c r="H110" i="1"/>
  <c r="I110" i="1" s="1"/>
  <c r="T110" i="1"/>
  <c r="U120" i="1" s="1"/>
  <c r="X110" i="1"/>
  <c r="CV110" i="1"/>
  <c r="H111" i="1"/>
  <c r="I121" i="1" s="1"/>
  <c r="P112" i="1"/>
  <c r="Q112" i="1" s="1"/>
  <c r="AR112" i="1"/>
  <c r="AS122" i="1" s="1"/>
  <c r="M118" i="1"/>
  <c r="M119" i="1"/>
  <c r="M120" i="1"/>
  <c r="DD120" i="1"/>
  <c r="M121" i="1"/>
  <c r="CR121" i="1"/>
  <c r="CV121" i="1"/>
  <c r="CZ121" i="1"/>
  <c r="DD121" i="1"/>
  <c r="M122" i="1"/>
  <c r="AB122" i="1"/>
  <c r="CJ122" i="1"/>
  <c r="CN122" i="1"/>
  <c r="CV122" i="1"/>
  <c r="D123" i="1"/>
  <c r="H123" i="1"/>
  <c r="L123" i="1"/>
  <c r="P123" i="1"/>
  <c r="T123" i="1"/>
  <c r="X123" i="1"/>
  <c r="AB123" i="1"/>
  <c r="AF123" i="1"/>
  <c r="AJ123" i="1"/>
  <c r="AN123" i="1"/>
  <c r="AR123" i="1"/>
  <c r="AV123" i="1"/>
  <c r="AZ123" i="1"/>
  <c r="BD123" i="1"/>
  <c r="BH123" i="1"/>
  <c r="BL123" i="1"/>
  <c r="BP123" i="1"/>
  <c r="BT123" i="1"/>
  <c r="BX123" i="1"/>
  <c r="CB123" i="1"/>
  <c r="CF123" i="1"/>
  <c r="CJ123" i="1"/>
  <c r="CN123" i="1"/>
  <c r="CR123" i="1"/>
  <c r="CV123" i="1"/>
  <c r="CZ123" i="1"/>
  <c r="DD123" i="1"/>
  <c r="DH123" i="1"/>
  <c r="D124" i="1"/>
  <c r="H124" i="1"/>
  <c r="L124" i="1"/>
  <c r="P124" i="1"/>
  <c r="T124" i="1"/>
  <c r="X124" i="1"/>
  <c r="AB124" i="1"/>
  <c r="AF124" i="1"/>
  <c r="AJ124" i="1"/>
  <c r="AN124" i="1"/>
  <c r="AR124" i="1"/>
  <c r="AV124" i="1"/>
  <c r="AZ124" i="1"/>
  <c r="BD124" i="1"/>
  <c r="BH124" i="1"/>
  <c r="BL124" i="1"/>
  <c r="BP124" i="1"/>
  <c r="BT124" i="1"/>
  <c r="BX124" i="1"/>
  <c r="CB124" i="1"/>
  <c r="CF124" i="1"/>
  <c r="CJ124" i="1"/>
  <c r="CN124" i="1"/>
  <c r="CV124" i="1"/>
  <c r="M138" i="1"/>
  <c r="DL142" i="1"/>
  <c r="M139" i="1"/>
  <c r="M140" i="1"/>
  <c r="DD140" i="1"/>
  <c r="M141" i="1"/>
  <c r="CR141" i="1"/>
  <c r="CZ141" i="1"/>
  <c r="CZ144" i="1" s="1"/>
  <c r="DD141" i="1"/>
  <c r="M142" i="1"/>
  <c r="BX142" i="1"/>
  <c r="CJ142" i="1"/>
  <c r="CN142" i="1"/>
  <c r="D143" i="1"/>
  <c r="H143" i="1"/>
  <c r="L143" i="1"/>
  <c r="P143" i="1"/>
  <c r="T143" i="1"/>
  <c r="X143" i="1"/>
  <c r="AB143" i="1"/>
  <c r="AF143" i="1"/>
  <c r="AJ143" i="1"/>
  <c r="AN143" i="1"/>
  <c r="AR143" i="1"/>
  <c r="AV143" i="1"/>
  <c r="AZ143" i="1"/>
  <c r="BD143" i="1"/>
  <c r="BH143" i="1"/>
  <c r="BL143" i="1"/>
  <c r="BP143" i="1"/>
  <c r="BT143" i="1"/>
  <c r="BX143" i="1"/>
  <c r="CB143" i="1"/>
  <c r="CF143" i="1"/>
  <c r="CJ143" i="1"/>
  <c r="CN143" i="1"/>
  <c r="CR143" i="1"/>
  <c r="CV143" i="1"/>
  <c r="CZ143" i="1"/>
  <c r="DD143" i="1"/>
  <c r="D144" i="1"/>
  <c r="H144" i="1"/>
  <c r="L144" i="1"/>
  <c r="P144" i="1"/>
  <c r="T144" i="1"/>
  <c r="X144" i="1"/>
  <c r="AB144" i="1"/>
  <c r="AF144" i="1"/>
  <c r="AJ144" i="1"/>
  <c r="AN144" i="1"/>
  <c r="AR144" i="1"/>
  <c r="AV144" i="1"/>
  <c r="AZ144" i="1"/>
  <c r="BD144" i="1"/>
  <c r="BH144" i="1"/>
  <c r="BL144" i="1"/>
  <c r="BP144" i="1"/>
  <c r="BT144" i="1"/>
  <c r="BX144" i="1"/>
  <c r="CB144" i="1"/>
  <c r="CF144" i="1"/>
  <c r="CJ144" i="1"/>
  <c r="CN144" i="1"/>
  <c r="DL144" i="1"/>
  <c r="CZ182" i="1"/>
  <c r="CZ192" i="1"/>
  <c r="CT198" i="1"/>
  <c r="CX198" i="1"/>
  <c r="DB198" i="1"/>
  <c r="DF198" i="1"/>
  <c r="DJ198" i="1"/>
  <c r="CX199" i="1"/>
  <c r="DB199" i="1"/>
  <c r="DE199" i="1"/>
  <c r="DF199" i="1" s="1"/>
  <c r="CS200" i="1"/>
  <c r="CT200" i="1" s="1"/>
  <c r="CX200" i="1"/>
  <c r="DB200" i="1"/>
  <c r="DF200" i="1"/>
  <c r="DJ200" i="1"/>
  <c r="DH200" i="1" s="1"/>
  <c r="CW201" i="1"/>
  <c r="CX201" i="1"/>
  <c r="DB201" i="1"/>
  <c r="CZ201" i="1" s="1"/>
  <c r="CZ202" i="1" s="1"/>
  <c r="DJ201" i="1"/>
  <c r="CW202" i="1"/>
  <c r="CX202" i="1" s="1"/>
  <c r="DA202" i="1"/>
  <c r="DB202" i="1" s="1"/>
  <c r="DD202" i="1"/>
  <c r="DE202" i="1"/>
  <c r="DH202" i="1"/>
  <c r="DI202" i="1"/>
  <c r="DM202" i="1"/>
  <c r="I14" i="3"/>
  <c r="V14" i="8" s="1"/>
  <c r="V15" i="8" s="1"/>
  <c r="Z14" i="3"/>
  <c r="AB14" i="8" s="1"/>
  <c r="I18" i="3"/>
  <c r="V18" i="8" s="1"/>
  <c r="I19" i="3"/>
  <c r="I20" i="3"/>
  <c r="V20" i="8" s="1"/>
  <c r="I21" i="3"/>
  <c r="V21" i="8" s="1"/>
  <c r="V22" i="8" s="1"/>
  <c r="I25" i="3"/>
  <c r="V25" i="8" s="1"/>
  <c r="I26" i="3"/>
  <c r="V26" i="8" s="1"/>
  <c r="I27" i="3"/>
  <c r="V27" i="8" s="1"/>
  <c r="I28" i="3"/>
  <c r="V28" i="8" s="1"/>
  <c r="V29" i="8" s="1"/>
  <c r="I32" i="3"/>
  <c r="V32" i="8" s="1"/>
  <c r="I33" i="3"/>
  <c r="V33" i="8" s="1"/>
  <c r="I34" i="3"/>
  <c r="V34" i="8" s="1"/>
  <c r="I35" i="3"/>
  <c r="I39" i="3"/>
  <c r="V39" i="8" s="1"/>
  <c r="I40" i="3"/>
  <c r="V40" i="8" s="1"/>
  <c r="I41" i="3"/>
  <c r="V41" i="8" s="1"/>
  <c r="I42" i="3"/>
  <c r="V42" i="8" s="1"/>
  <c r="V43" i="8" s="1"/>
  <c r="I46" i="3"/>
  <c r="I47" i="3"/>
  <c r="V47" i="8" s="1"/>
  <c r="I48" i="3"/>
  <c r="V48" i="8" s="1"/>
  <c r="I49" i="3"/>
  <c r="I53" i="3"/>
  <c r="V53" i="8" s="1"/>
  <c r="I54" i="3"/>
  <c r="V54" i="8" s="1"/>
  <c r="J54" i="3"/>
  <c r="Z54" i="3"/>
  <c r="AB54" i="8" s="1"/>
  <c r="I55" i="3"/>
  <c r="V55" i="8" s="1"/>
  <c r="Z55" i="3"/>
  <c r="AB55" i="8" s="1"/>
  <c r="I56" i="3"/>
  <c r="V56" i="8" s="1"/>
  <c r="V57" i="8" s="1"/>
  <c r="Z56" i="3"/>
  <c r="AB56" i="8" s="1"/>
  <c r="I60" i="3"/>
  <c r="V60" i="8" s="1"/>
  <c r="Z60" i="3"/>
  <c r="I61" i="3"/>
  <c r="K61" i="3" s="1"/>
  <c r="Z61" i="3"/>
  <c r="I62" i="3"/>
  <c r="V62" i="8" s="1"/>
  <c r="Z62" i="3"/>
  <c r="AB62" i="8" s="1"/>
  <c r="I63" i="3"/>
  <c r="V63" i="8" s="1"/>
  <c r="V64" i="8" s="1"/>
  <c r="Z63" i="3"/>
  <c r="AB63" i="8" s="1"/>
  <c r="I67" i="3"/>
  <c r="I68" i="3"/>
  <c r="V68" i="8" s="1"/>
  <c r="Z68" i="3"/>
  <c r="AB68" i="8" s="1"/>
  <c r="I69" i="3"/>
  <c r="V69" i="8" s="1"/>
  <c r="Z69" i="3"/>
  <c r="AB69" i="8" s="1"/>
  <c r="I70" i="3"/>
  <c r="Z70" i="3"/>
  <c r="AB70" i="8" s="1"/>
  <c r="I74" i="3"/>
  <c r="V74" i="8" s="1"/>
  <c r="Z74" i="3"/>
  <c r="I75" i="3"/>
  <c r="Z75" i="3"/>
  <c r="I76" i="3"/>
  <c r="V76" i="8" s="1"/>
  <c r="Z76" i="3"/>
  <c r="AB76" i="8" s="1"/>
  <c r="I77" i="3"/>
  <c r="V77" i="8" s="1"/>
  <c r="V78" i="8" s="1"/>
  <c r="Z77" i="3"/>
  <c r="AB77" i="8" s="1"/>
  <c r="I81" i="3"/>
  <c r="K81" i="3"/>
  <c r="I82" i="3"/>
  <c r="V82" i="8" s="1"/>
  <c r="K82" i="3"/>
  <c r="Z82" i="3"/>
  <c r="AB82" i="8" s="1"/>
  <c r="I83" i="3"/>
  <c r="V83" i="8" s="1"/>
  <c r="Z83" i="3"/>
  <c r="AB83" i="8" s="1"/>
  <c r="I84" i="3"/>
  <c r="V84" i="8" s="1"/>
  <c r="V85" i="8" s="1"/>
  <c r="Z84" i="3"/>
  <c r="AB84" i="8" s="1"/>
  <c r="I88" i="3"/>
  <c r="Z88" i="3"/>
  <c r="I89" i="3"/>
  <c r="V89" i="8" s="1"/>
  <c r="Z89" i="3"/>
  <c r="I90" i="3"/>
  <c r="V90" i="8" s="1"/>
  <c r="Z90" i="3"/>
  <c r="AB90" i="8" s="1"/>
  <c r="I91" i="3"/>
  <c r="V91" i="8" s="1"/>
  <c r="V92" i="8" s="1"/>
  <c r="Z91" i="3"/>
  <c r="AB91" i="8" s="1"/>
  <c r="I95" i="3"/>
  <c r="Z95" i="3"/>
  <c r="AP95" i="3"/>
  <c r="AO95" i="3" s="1"/>
  <c r="I96" i="3"/>
  <c r="V96" i="8" s="1"/>
  <c r="T96" i="3"/>
  <c r="Z96" i="3"/>
  <c r="AB96" i="8" s="1"/>
  <c r="AP96" i="3"/>
  <c r="AO96" i="3" s="1"/>
  <c r="I97" i="3"/>
  <c r="V97" i="8" s="1"/>
  <c r="Z97" i="3"/>
  <c r="AB97" i="8" s="1"/>
  <c r="AP97" i="3"/>
  <c r="AO97" i="3" s="1"/>
  <c r="I98" i="3"/>
  <c r="Z98" i="3"/>
  <c r="AB98" i="8" s="1"/>
  <c r="AO98" i="3"/>
  <c r="T98" i="3" s="1"/>
  <c r="AI98" i="3" s="1"/>
  <c r="AP98" i="3"/>
  <c r="E99" i="3"/>
  <c r="R99" i="3"/>
  <c r="D99" i="8" s="1"/>
  <c r="AI99" i="3"/>
  <c r="AI100" i="3"/>
  <c r="I102" i="3"/>
  <c r="V102" i="8" s="1"/>
  <c r="Z102" i="3"/>
  <c r="AB102" i="8" s="1"/>
  <c r="AP102" i="3"/>
  <c r="I103" i="3"/>
  <c r="K103" i="3"/>
  <c r="Z103" i="3"/>
  <c r="AB103" i="8" s="1"/>
  <c r="AB103" i="3"/>
  <c r="AO103" i="3"/>
  <c r="AP103" i="3"/>
  <c r="I104" i="3"/>
  <c r="V104" i="8" s="1"/>
  <c r="Z104" i="3"/>
  <c r="AB104" i="8" s="1"/>
  <c r="AP104" i="3"/>
  <c r="I105" i="3"/>
  <c r="V105" i="8" s="1"/>
  <c r="V106" i="8" s="1"/>
  <c r="Z105" i="3"/>
  <c r="AB105" i="8" s="1"/>
  <c r="AP105" i="3"/>
  <c r="C106" i="3"/>
  <c r="G106" i="3" s="1"/>
  <c r="R106" i="3"/>
  <c r="D106" i="8" s="1"/>
  <c r="L106" i="8" s="1"/>
  <c r="T106" i="3"/>
  <c r="Z106" i="3"/>
  <c r="AI106" i="3"/>
  <c r="AI107" i="3"/>
  <c r="I109" i="3"/>
  <c r="V109" i="8" s="1"/>
  <c r="Z109" i="3"/>
  <c r="AB109" i="8" s="1"/>
  <c r="AP109" i="3"/>
  <c r="I110" i="3"/>
  <c r="V110" i="8" s="1"/>
  <c r="Z110" i="3"/>
  <c r="AB110" i="8" s="1"/>
  <c r="AP110" i="3"/>
  <c r="I111" i="3"/>
  <c r="K111" i="3"/>
  <c r="Z111" i="3"/>
  <c r="AB111" i="8" s="1"/>
  <c r="AB111" i="3"/>
  <c r="AP111" i="3"/>
  <c r="I112" i="3"/>
  <c r="V112" i="8" s="1"/>
  <c r="V113" i="8" s="1"/>
  <c r="Z112" i="3"/>
  <c r="AB112" i="8" s="1"/>
  <c r="AP112" i="3"/>
  <c r="R113" i="3"/>
  <c r="AI114" i="3"/>
  <c r="I116" i="3"/>
  <c r="V116" i="8" s="1"/>
  <c r="J116" i="3"/>
  <c r="Z116" i="3"/>
  <c r="AP116" i="3"/>
  <c r="I117" i="3"/>
  <c r="V117" i="8" s="1"/>
  <c r="K117" i="3"/>
  <c r="Z117" i="3"/>
  <c r="AB117" i="8" s="1"/>
  <c r="AP117" i="3"/>
  <c r="Z118" i="3"/>
  <c r="AB118" i="8" s="1"/>
  <c r="AP118" i="3"/>
  <c r="I119" i="3"/>
  <c r="V119" i="8" s="1"/>
  <c r="V120" i="8" s="1"/>
  <c r="J119" i="3"/>
  <c r="Z119" i="3"/>
  <c r="AB119" i="8" s="1"/>
  <c r="AB119" i="3"/>
  <c r="AP119" i="3"/>
  <c r="R120" i="3"/>
  <c r="D120" i="8" s="1"/>
  <c r="I123" i="3"/>
  <c r="K123" i="3"/>
  <c r="Z123" i="3"/>
  <c r="AB123" i="8" s="1"/>
  <c r="AB123" i="3"/>
  <c r="AP123" i="3"/>
  <c r="AP124" i="3"/>
  <c r="R132" i="3"/>
  <c r="AP125" i="3"/>
  <c r="R133" i="3"/>
  <c r="AP126" i="3"/>
  <c r="H6" i="58"/>
  <c r="D10" i="58"/>
  <c r="J10" i="58" s="1"/>
  <c r="L10" i="58"/>
  <c r="N10" i="58" s="1"/>
  <c r="H11" i="58"/>
  <c r="D11" i="58" s="1"/>
  <c r="J11" i="58" s="1"/>
  <c r="D12" i="58"/>
  <c r="J12" i="58" s="1"/>
  <c r="L12" i="58"/>
  <c r="P12" i="58" s="1"/>
  <c r="D13" i="58"/>
  <c r="J13" i="58" s="1"/>
  <c r="L13" i="58"/>
  <c r="I14" i="58"/>
  <c r="M14" i="58"/>
  <c r="Q14" i="58"/>
  <c r="U14" i="58"/>
  <c r="H15" i="58"/>
  <c r="J15" i="58" s="1"/>
  <c r="H16" i="58"/>
  <c r="X16" i="58"/>
  <c r="AG20" i="58"/>
  <c r="AG24" i="58" s="1"/>
  <c r="AF25" i="58"/>
  <c r="AC22" i="58"/>
  <c r="H24" i="58"/>
  <c r="D24" i="58" s="1"/>
  <c r="L24" i="58"/>
  <c r="AB24" i="58"/>
  <c r="AB25" i="58"/>
  <c r="AB26" i="58"/>
  <c r="L31" i="58"/>
  <c r="Q31" i="58"/>
  <c r="D32" i="58"/>
  <c r="L32" i="58"/>
  <c r="Q32" i="58"/>
  <c r="H33" i="58"/>
  <c r="L33" i="58" s="1"/>
  <c r="Q33" i="58"/>
  <c r="L34" i="58"/>
  <c r="Q34" i="58"/>
  <c r="I35" i="58"/>
  <c r="M35" i="58"/>
  <c r="AF39" i="58"/>
  <c r="Q41" i="58"/>
  <c r="AD41" i="58"/>
  <c r="AG41" i="58"/>
  <c r="AH41" i="58"/>
  <c r="L42" i="58"/>
  <c r="Q42" i="58"/>
  <c r="AC42" i="58"/>
  <c r="AD42" i="58"/>
  <c r="AH42" i="58"/>
  <c r="L43" i="58"/>
  <c r="P43" i="58" s="1"/>
  <c r="DN41" i="11" s="1" a="1"/>
  <c r="DP41" i="11" s="1"/>
  <c r="AD43" i="58"/>
  <c r="AH43" i="58"/>
  <c r="AH44" i="58"/>
  <c r="D45" i="58"/>
  <c r="H45" i="58"/>
  <c r="T45" i="58"/>
  <c r="X45" i="58"/>
  <c r="X44" i="58" s="1"/>
  <c r="AB45" i="58"/>
  <c r="AO55" i="58"/>
  <c r="AS55" i="58"/>
  <c r="AW55" i="58"/>
  <c r="AN56" i="58"/>
  <c r="AR56" i="58"/>
  <c r="AV56" i="58"/>
  <c r="AN57" i="58"/>
  <c r="AR57" i="58"/>
  <c r="AV57" i="58"/>
  <c r="D61" i="58"/>
  <c r="H61" i="58"/>
  <c r="H51" i="58" s="1"/>
  <c r="L61" i="58"/>
  <c r="P61" i="58"/>
  <c r="T61" i="58"/>
  <c r="X61" i="58"/>
  <c r="AB61" i="58"/>
  <c r="AF61" i="58"/>
  <c r="D62" i="58"/>
  <c r="D52" i="58" s="1"/>
  <c r="H62" i="58"/>
  <c r="L62" i="58"/>
  <c r="P62" i="58"/>
  <c r="Q62" i="58" s="1"/>
  <c r="T62" i="58"/>
  <c r="X62" i="58"/>
  <c r="AB62" i="58"/>
  <c r="D63" i="58"/>
  <c r="H63" i="58"/>
  <c r="L63" i="58"/>
  <c r="P63" i="58"/>
  <c r="Q63" i="58" s="1"/>
  <c r="T63" i="58"/>
  <c r="AB63" i="58"/>
  <c r="D64" i="58"/>
  <c r="H64" i="58"/>
  <c r="H54" i="58" s="1"/>
  <c r="P64" i="58"/>
  <c r="T64" i="58"/>
  <c r="AB64" i="58"/>
  <c r="D65" i="58"/>
  <c r="H65" i="58"/>
  <c r="AO65" i="58"/>
  <c r="AS65" i="58"/>
  <c r="AW65" i="58"/>
  <c r="BA6" i="11"/>
  <c r="BB6" i="11" s="1"/>
  <c r="BC6" i="11" s="1"/>
  <c r="BD6" i="11" s="1"/>
  <c r="BU6" i="11"/>
  <c r="BV6" i="11" s="1"/>
  <c r="BZ6" i="11"/>
  <c r="CA6" i="11"/>
  <c r="CB6" i="11" s="1"/>
  <c r="AV7" i="11"/>
  <c r="BP7" i="11"/>
  <c r="BP6" i="11" s="1"/>
  <c r="BQ6" i="11" s="1"/>
  <c r="CE7" i="11"/>
  <c r="CJ7" i="11"/>
  <c r="ES7" i="11"/>
  <c r="ET7" i="11" s="1"/>
  <c r="EY7" i="11"/>
  <c r="EZ7" i="11" s="1"/>
  <c r="EX10" i="11"/>
  <c r="EX12" i="11" s="1"/>
  <c r="AX13" i="11"/>
  <c r="EX13" i="11"/>
  <c r="EX16" i="11"/>
  <c r="EX22" i="11"/>
  <c r="FS22" i="11"/>
  <c r="FT22" i="11"/>
  <c r="FU22" i="11"/>
  <c r="FV22" i="11"/>
  <c r="FW22" i="11"/>
  <c r="FX22" i="11"/>
  <c r="ER23" i="11"/>
  <c r="EX23" i="11"/>
  <c r="FS23" i="11"/>
  <c r="FT23" i="11"/>
  <c r="FU23" i="11"/>
  <c r="FV23" i="11"/>
  <c r="FW23" i="11"/>
  <c r="FX23" i="11"/>
  <c r="EU26" i="11"/>
  <c r="EX26" i="11"/>
  <c r="FJ26" i="11"/>
  <c r="ET30" i="11"/>
  <c r="EX30" i="11"/>
  <c r="EY30" i="11"/>
  <c r="FM30" i="11"/>
  <c r="FV30" i="11"/>
  <c r="FW30" i="11"/>
  <c r="FX30" i="11"/>
  <c r="EX36" i="11"/>
  <c r="AW38" i="11"/>
  <c r="AY38" i="11"/>
  <c r="ES38" i="11"/>
  <c r="DL41" i="11"/>
  <c r="DS41" i="11" a="1"/>
  <c r="DT41" i="11" s="1"/>
  <c r="DX41" i="11" a="1"/>
  <c r="DY41" i="11" s="1"/>
  <c r="EC41" i="11" a="1"/>
  <c r="EC41" i="11" s="1"/>
  <c r="EH41" i="11" a="1"/>
  <c r="EJ41" i="11" s="1"/>
  <c r="ER41" i="11"/>
  <c r="ES41" i="11"/>
  <c r="ET41" i="11"/>
  <c r="EU41" i="11"/>
  <c r="EX41" i="11"/>
  <c r="EV41" i="11" s="1"/>
  <c r="EY41" i="11"/>
  <c r="EZ41" i="11"/>
  <c r="FA41" i="11"/>
  <c r="FB41" i="11"/>
  <c r="FC41" i="11"/>
  <c r="FD41" i="11"/>
  <c r="FE41" i="11"/>
  <c r="FF41" i="11"/>
  <c r="FG41" i="11"/>
  <c r="C12" i="72" s="1"/>
  <c r="FH41" i="11"/>
  <c r="D12" i="72" s="1"/>
  <c r="D92" i="72" s="1"/>
  <c r="FI41" i="11"/>
  <c r="E12" i="72" s="1"/>
  <c r="E133" i="72" s="1"/>
  <c r="FJ41" i="11"/>
  <c r="F12" i="72" s="1"/>
  <c r="F133" i="72" s="1"/>
  <c r="FK41" i="11"/>
  <c r="FL41" i="11"/>
  <c r="FM41" i="11"/>
  <c r="I12" i="72" s="1"/>
  <c r="I92" i="72" s="1"/>
  <c r="FN41" i="11"/>
  <c r="J12" i="72" s="1"/>
  <c r="J133" i="72" s="1"/>
  <c r="FO41" i="11"/>
  <c r="K12" i="72" s="1"/>
  <c r="FP41" i="11"/>
  <c r="FQ41" i="11"/>
  <c r="FR41" i="11"/>
  <c r="FS41" i="11"/>
  <c r="DD43" i="11"/>
  <c r="FK50" i="11"/>
  <c r="FV56" i="11"/>
  <c r="FW56" i="11"/>
  <c r="FX56" i="11"/>
  <c r="DS62" i="11"/>
  <c r="DQ62" i="11" s="1"/>
  <c r="DT62" i="11"/>
  <c r="EX62" i="11"/>
  <c r="EX63" i="11"/>
  <c r="C42" i="64" s="1"/>
  <c r="EY63" i="11"/>
  <c r="EZ63" i="11"/>
  <c r="E42" i="64" s="1"/>
  <c r="FA63" i="11"/>
  <c r="F42" i="64" s="1"/>
  <c r="FB63" i="11"/>
  <c r="G42" i="64" s="1"/>
  <c r="FC63" i="11"/>
  <c r="FD63" i="11"/>
  <c r="I42" i="64" s="1"/>
  <c r="FE63" i="11"/>
  <c r="J42" i="64" s="1"/>
  <c r="FF63" i="11"/>
  <c r="FF75" i="11" s="1"/>
  <c r="FG63" i="11"/>
  <c r="FH63" i="11"/>
  <c r="M42" i="64" s="1"/>
  <c r="FI63" i="11"/>
  <c r="N42" i="64" s="1"/>
  <c r="FJ63" i="11"/>
  <c r="FJ75" i="11" s="1"/>
  <c r="FK63" i="11"/>
  <c r="FL63" i="11"/>
  <c r="Q42" i="64" s="1"/>
  <c r="FM63" i="11"/>
  <c r="R42" i="64" s="1"/>
  <c r="FN63" i="11"/>
  <c r="FN75" i="11" s="1"/>
  <c r="FO63" i="11"/>
  <c r="FO75" i="11" s="1"/>
  <c r="FP63" i="11"/>
  <c r="FP75" i="11" s="1"/>
  <c r="DL64" i="11"/>
  <c r="DN64" i="11"/>
  <c r="DO64" i="11"/>
  <c r="DP64" i="11"/>
  <c r="DQ64" i="11"/>
  <c r="DS64" i="11"/>
  <c r="DT64" i="11"/>
  <c r="DU64" i="11"/>
  <c r="DV64" i="11"/>
  <c r="EC64" i="11"/>
  <c r="ED65" i="11"/>
  <c r="EX64" i="11"/>
  <c r="EY64" i="11"/>
  <c r="EY76" i="11" s="1"/>
  <c r="EZ64" i="11"/>
  <c r="EZ76" i="11" s="1"/>
  <c r="FA64" i="11"/>
  <c r="FB64" i="11"/>
  <c r="FB76" i="11" s="1"/>
  <c r="FC64" i="11"/>
  <c r="FC76" i="11" s="1"/>
  <c r="FD64" i="11"/>
  <c r="FE64" i="11"/>
  <c r="FF64" i="11"/>
  <c r="FF76" i="11" s="1"/>
  <c r="FG64" i="11"/>
  <c r="FH64" i="11"/>
  <c r="FH76" i="11" s="1"/>
  <c r="FI64" i="11"/>
  <c r="FI76" i="11" s="1"/>
  <c r="FJ64" i="11"/>
  <c r="FJ76" i="11" s="1"/>
  <c r="FK64" i="11"/>
  <c r="FK76" i="11" s="1"/>
  <c r="FL64" i="11"/>
  <c r="FL76" i="11" s="1"/>
  <c r="FM64" i="11"/>
  <c r="FN64" i="11"/>
  <c r="FO64" i="11"/>
  <c r="FO76" i="11" s="1"/>
  <c r="FQ64" i="11"/>
  <c r="FQ76" i="11" s="1"/>
  <c r="FD66" i="11"/>
  <c r="FH68" i="11"/>
  <c r="BZ75" i="11"/>
  <c r="CA75" i="11"/>
  <c r="CB75" i="11"/>
  <c r="FD75" i="11"/>
  <c r="FR75" i="11"/>
  <c r="FA76" i="11"/>
  <c r="FE76" i="11"/>
  <c r="FM76" i="11"/>
  <c r="FU87" i="11"/>
  <c r="FU88" i="11" s="1"/>
  <c r="DA88" i="11"/>
  <c r="G12" i="72"/>
  <c r="G51" i="72" s="1"/>
  <c r="H12" i="72"/>
  <c r="H92" i="72" s="1"/>
  <c r="M12" i="72"/>
  <c r="M92" i="72" s="1"/>
  <c r="F18" i="72"/>
  <c r="F57" i="72" s="1"/>
  <c r="AB28" i="72"/>
  <c r="AB29" i="72"/>
  <c r="C116" i="72"/>
  <c r="D75" i="72"/>
  <c r="E116" i="72"/>
  <c r="F75" i="72"/>
  <c r="G75" i="72"/>
  <c r="H75" i="72"/>
  <c r="M42" i="72"/>
  <c r="M83" i="72" s="1"/>
  <c r="M124" i="72" s="1"/>
  <c r="N42" i="72"/>
  <c r="O42" i="72"/>
  <c r="O83" i="72" s="1"/>
  <c r="O124" i="72" s="1"/>
  <c r="R42" i="72"/>
  <c r="R83" i="72" s="1"/>
  <c r="R124" i="72" s="1"/>
  <c r="S42" i="72"/>
  <c r="S83" i="72" s="1"/>
  <c r="S124" i="72" s="1"/>
  <c r="T42" i="72"/>
  <c r="N61" i="72"/>
  <c r="O61" i="72"/>
  <c r="AD65" i="72"/>
  <c r="C75" i="72"/>
  <c r="N83" i="72"/>
  <c r="N124" i="72" s="1"/>
  <c r="T83" i="72"/>
  <c r="T124" i="72" s="1"/>
  <c r="N87" i="72"/>
  <c r="O87" i="72"/>
  <c r="N89" i="72"/>
  <c r="O89" i="72"/>
  <c r="C124" i="72"/>
  <c r="D124" i="72"/>
  <c r="E124" i="72"/>
  <c r="F124" i="72"/>
  <c r="G124" i="72"/>
  <c r="H124" i="72"/>
  <c r="I124" i="72"/>
  <c r="J124" i="72"/>
  <c r="K124" i="72"/>
  <c r="L124" i="72"/>
  <c r="P124" i="72"/>
  <c r="Q124" i="72"/>
  <c r="C125" i="72"/>
  <c r="D125" i="72"/>
  <c r="E125" i="72"/>
  <c r="F125" i="72"/>
  <c r="G125" i="72"/>
  <c r="H125" i="72"/>
  <c r="I125" i="72"/>
  <c r="J125" i="72"/>
  <c r="K125" i="72"/>
  <c r="L125" i="72"/>
  <c r="M125" i="72"/>
  <c r="N125" i="72"/>
  <c r="O125" i="72"/>
  <c r="P125" i="72"/>
  <c r="Q125" i="72"/>
  <c r="R125" i="72"/>
  <c r="S125" i="72"/>
  <c r="T125" i="72"/>
  <c r="Q169" i="72"/>
  <c r="S169" i="72"/>
  <c r="P170" i="72"/>
  <c r="P169" i="72" s="1"/>
  <c r="Q170" i="72"/>
  <c r="R170" i="72"/>
  <c r="R169" i="72" s="1"/>
  <c r="S170" i="72"/>
  <c r="T170" i="72"/>
  <c r="T169" i="72" s="1"/>
  <c r="K108" i="64" l="1"/>
  <c r="L107" i="64"/>
  <c r="J75" i="64"/>
  <c r="M57" i="64"/>
  <c r="E57" i="64"/>
  <c r="S41" i="64"/>
  <c r="S138" i="64"/>
  <c r="Q57" i="64"/>
  <c r="T54" i="64"/>
  <c r="R54" i="64"/>
  <c r="P54" i="64"/>
  <c r="N54" i="64"/>
  <c r="L54" i="64"/>
  <c r="J54" i="64"/>
  <c r="H54" i="64"/>
  <c r="F54" i="64"/>
  <c r="P41" i="64"/>
  <c r="AD29" i="7"/>
  <c r="AD47" i="7" s="1"/>
  <c r="AD53" i="7" s="1"/>
  <c r="DV65" i="11" s="1"/>
  <c r="AV56" i="11"/>
  <c r="AY36" i="11"/>
  <c r="E169" i="72"/>
  <c r="J33" i="3"/>
  <c r="J25" i="3"/>
  <c r="DI30" i="1"/>
  <c r="DI60" i="1"/>
  <c r="AB102" i="3"/>
  <c r="J84" i="3"/>
  <c r="AB69" i="3"/>
  <c r="J68" i="3"/>
  <c r="J63" i="3"/>
  <c r="J60" i="3"/>
  <c r="AB55" i="3"/>
  <c r="DZ42" i="1"/>
  <c r="DI32" i="1"/>
  <c r="DI62" i="1"/>
  <c r="DH51" i="1"/>
  <c r="DH110" i="1" s="1"/>
  <c r="DI31" i="1"/>
  <c r="DI61" i="1"/>
  <c r="K97" i="3"/>
  <c r="K32" i="3"/>
  <c r="K26" i="3"/>
  <c r="J18" i="3"/>
  <c r="O12" i="72"/>
  <c r="O51" i="72" s="1"/>
  <c r="J96" i="3"/>
  <c r="J77" i="3"/>
  <c r="K53" i="3"/>
  <c r="J40" i="3"/>
  <c r="J20" i="3"/>
  <c r="DI29" i="1"/>
  <c r="DI59" i="1"/>
  <c r="F169" i="72"/>
  <c r="F116" i="72"/>
  <c r="F139" i="72"/>
  <c r="F98" i="72"/>
  <c r="AA43" i="4"/>
  <c r="FS63" i="11"/>
  <c r="FS75" i="11" s="1"/>
  <c r="Z120" i="3"/>
  <c r="AC42" i="4"/>
  <c r="AB42" i="4"/>
  <c r="AB21" i="4" s="1"/>
  <c r="FN66" i="11" s="1"/>
  <c r="X42" i="4"/>
  <c r="X21" i="4" s="1"/>
  <c r="FJ66" i="11" s="1"/>
  <c r="T42" i="4"/>
  <c r="T21" i="4" s="1"/>
  <c r="FF66" i="11" s="1"/>
  <c r="P42" i="4"/>
  <c r="P21" i="4" s="1"/>
  <c r="FB66" i="11" s="1"/>
  <c r="S43" i="4"/>
  <c r="AB46" i="4"/>
  <c r="X46" i="4"/>
  <c r="T46" i="4"/>
  <c r="P46" i="4"/>
  <c r="FD65" i="11"/>
  <c r="O22" i="4"/>
  <c r="AF42" i="4"/>
  <c r="AC40" i="4"/>
  <c r="FI75" i="11"/>
  <c r="R171" i="72"/>
  <c r="R172" i="72"/>
  <c r="FQ63" i="11"/>
  <c r="FQ75" i="11" s="1"/>
  <c r="Z10" i="4"/>
  <c r="FP64" i="11"/>
  <c r="AC45" i="4"/>
  <c r="AA57" i="9"/>
  <c r="G55" i="9"/>
  <c r="G58" i="9" s="1"/>
  <c r="M42" i="58"/>
  <c r="CC80" i="1"/>
  <c r="AB66" i="58"/>
  <c r="BE79" i="1"/>
  <c r="AJ52" i="1"/>
  <c r="AK52" i="1" s="1"/>
  <c r="DD51" i="1"/>
  <c r="DD110" i="1" s="1"/>
  <c r="DE110" i="1" s="1"/>
  <c r="BT52" i="1"/>
  <c r="BU52" i="1" s="1"/>
  <c r="AC63" i="58"/>
  <c r="Q64" i="58"/>
  <c r="I44" i="58"/>
  <c r="CR50" i="1"/>
  <c r="CS50" i="1" s="1"/>
  <c r="CO42" i="1"/>
  <c r="X55" i="1"/>
  <c r="Y55" i="1" s="1"/>
  <c r="M16" i="1"/>
  <c r="AC16" i="1"/>
  <c r="Q15" i="1"/>
  <c r="BF53" i="1"/>
  <c r="Z45" i="1"/>
  <c r="CT44" i="1"/>
  <c r="CD44" i="1"/>
  <c r="CW42" i="1"/>
  <c r="AD31" i="1"/>
  <c r="AX23" i="11"/>
  <c r="AW19" i="11"/>
  <c r="DH142" i="1"/>
  <c r="AC84" i="1"/>
  <c r="P54" i="1"/>
  <c r="AC45" i="1"/>
  <c r="BZ44" i="1"/>
  <c r="CC42" i="1"/>
  <c r="M34" i="1"/>
  <c r="N34" i="1" s="1"/>
  <c r="D54" i="1"/>
  <c r="E54" i="1" s="1"/>
  <c r="ER38" i="11"/>
  <c r="D108" i="1"/>
  <c r="M83" i="1"/>
  <c r="CV52" i="1"/>
  <c r="CW52" i="1" s="1"/>
  <c r="R50" i="1"/>
  <c r="V49" i="1"/>
  <c r="BV45" i="1"/>
  <c r="CX44" i="1"/>
  <c r="CH44" i="1"/>
  <c r="BR44" i="1"/>
  <c r="BB44" i="1"/>
  <c r="AL44" i="1"/>
  <c r="DB42" i="1"/>
  <c r="EI40" i="1"/>
  <c r="V29" i="1"/>
  <c r="J50" i="1"/>
  <c r="D109" i="1"/>
  <c r="E109" i="1" s="1"/>
  <c r="CT42" i="1"/>
  <c r="CR45" i="1"/>
  <c r="CT45" i="1" s="1"/>
  <c r="L64" i="58"/>
  <c r="M64" i="58" s="1"/>
  <c r="CK32" i="1"/>
  <c r="CP32" i="1" s="1"/>
  <c r="CJ52" i="1"/>
  <c r="CK52" i="1" s="1"/>
  <c r="E44" i="58"/>
  <c r="BU32" i="1"/>
  <c r="BU81" i="1"/>
  <c r="BE42" i="1"/>
  <c r="BD52" i="1"/>
  <c r="BE52" i="1" s="1"/>
  <c r="AV52" i="1"/>
  <c r="AW52" i="1" s="1"/>
  <c r="AW81" i="1"/>
  <c r="AW42" i="1"/>
  <c r="DA31" i="1"/>
  <c r="DB31" i="1" s="1"/>
  <c r="DA80" i="1"/>
  <c r="U43" i="58"/>
  <c r="BI40" i="1"/>
  <c r="BI30" i="1"/>
  <c r="BN30" i="1" s="1"/>
  <c r="AK30" i="1"/>
  <c r="AK79" i="1"/>
  <c r="DE39" i="1"/>
  <c r="Y41" i="58"/>
  <c r="U63" i="58"/>
  <c r="AC44" i="58"/>
  <c r="DL143" i="1"/>
  <c r="CZ142" i="1"/>
  <c r="D112" i="1"/>
  <c r="CZ52" i="1"/>
  <c r="DB52" i="1" s="1"/>
  <c r="AD43" i="1"/>
  <c r="AH43" i="1"/>
  <c r="Z16" i="1"/>
  <c r="Y45" i="1"/>
  <c r="Y84" i="1"/>
  <c r="CX15" i="1"/>
  <c r="CW34" i="1"/>
  <c r="V15" i="1"/>
  <c r="U83" i="1"/>
  <c r="CK78" i="1"/>
  <c r="CK39" i="1"/>
  <c r="AY37" i="11"/>
  <c r="AX36" i="11"/>
  <c r="AX30" i="11"/>
  <c r="AX26" i="11"/>
  <c r="AX16" i="11"/>
  <c r="AC43" i="58"/>
  <c r="M41" i="58"/>
  <c r="P108" i="1"/>
  <c r="P113" i="1" s="1"/>
  <c r="CK81" i="1"/>
  <c r="BI79" i="1"/>
  <c r="R53" i="1"/>
  <c r="AC49" i="1"/>
  <c r="AD49" i="1"/>
  <c r="CZ45" i="1"/>
  <c r="DB45" i="1" s="1"/>
  <c r="CZ43" i="1"/>
  <c r="T55" i="1"/>
  <c r="N16" i="1"/>
  <c r="L55" i="1"/>
  <c r="M55" i="1" s="1"/>
  <c r="AV16" i="11"/>
  <c r="AX56" i="11"/>
  <c r="AX37" i="11"/>
  <c r="AW26" i="11"/>
  <c r="AY16" i="11"/>
  <c r="E64" i="58"/>
  <c r="CS201" i="1"/>
  <c r="CS202" i="1" s="1"/>
  <c r="CT202" i="1" s="1"/>
  <c r="CT201" i="1" s="1"/>
  <c r="L108" i="1"/>
  <c r="L128" i="1" s="1"/>
  <c r="M128" i="1" s="1"/>
  <c r="DI81" i="1"/>
  <c r="CC81" i="1"/>
  <c r="AB54" i="1"/>
  <c r="AC54" i="1" s="1"/>
  <c r="CB52" i="1"/>
  <c r="CB161" i="1" s="1"/>
  <c r="E50" i="1"/>
  <c r="M44" i="1"/>
  <c r="DF41" i="1"/>
  <c r="X63" i="58"/>
  <c r="Z63" i="58" s="1"/>
  <c r="AD29" i="1"/>
  <c r="M84" i="1"/>
  <c r="AC82" i="1"/>
  <c r="J53" i="1"/>
  <c r="M45" i="1"/>
  <c r="BN44" i="1"/>
  <c r="I34" i="1"/>
  <c r="BI13" i="1"/>
  <c r="R13" i="6" s="1"/>
  <c r="R19" i="6" s="1"/>
  <c r="M15" i="1"/>
  <c r="EX38" i="11"/>
  <c r="AX38" i="11"/>
  <c r="AW37" i="11"/>
  <c r="AV36" i="11"/>
  <c r="AY30" i="11"/>
  <c r="AW23" i="11"/>
  <c r="AX19" i="11"/>
  <c r="AC64" i="58"/>
  <c r="E52" i="58"/>
  <c r="U61" i="58"/>
  <c r="E42" i="58"/>
  <c r="DH144" i="1"/>
  <c r="AZ132" i="1"/>
  <c r="BA132" i="1" s="1"/>
  <c r="BU79" i="1"/>
  <c r="BL50" i="1"/>
  <c r="AH45" i="1"/>
  <c r="AX44" i="1"/>
  <c r="AH44" i="1"/>
  <c r="R44" i="1"/>
  <c r="E44" i="1"/>
  <c r="DA41" i="1"/>
  <c r="M35" i="1"/>
  <c r="U34" i="1"/>
  <c r="V34" i="1" s="1"/>
  <c r="E34" i="1"/>
  <c r="AL33" i="1"/>
  <c r="J33" i="1"/>
  <c r="N32" i="1"/>
  <c r="AW56" i="11"/>
  <c r="U15" i="1"/>
  <c r="CK29" i="1"/>
  <c r="DH52" i="1"/>
  <c r="DH111" i="1" s="1"/>
  <c r="DH49" i="1"/>
  <c r="DI79" i="1"/>
  <c r="DH50" i="1"/>
  <c r="DH109" i="1" s="1"/>
  <c r="AI120" i="3"/>
  <c r="CO81" i="1"/>
  <c r="BA81" i="1"/>
  <c r="CJ49" i="1"/>
  <c r="CK49" i="1" s="1"/>
  <c r="BY41" i="1"/>
  <c r="DE40" i="1"/>
  <c r="CJ15" i="1"/>
  <c r="CJ54" i="1" s="1"/>
  <c r="CK54" i="1" s="1"/>
  <c r="E41" i="58"/>
  <c r="CS78" i="1"/>
  <c r="BM29" i="1"/>
  <c r="CR15" i="1"/>
  <c r="CS34" i="1" s="1"/>
  <c r="BQ41" i="1"/>
  <c r="BI32" i="1"/>
  <c r="E43" i="58"/>
  <c r="U42" i="58"/>
  <c r="BQ78" i="1"/>
  <c r="BX49" i="1"/>
  <c r="BX108" i="1" s="1"/>
  <c r="BX128" i="1" s="1"/>
  <c r="BX148" i="1" s="1"/>
  <c r="BX168" i="1" s="1"/>
  <c r="BA39" i="1"/>
  <c r="BI78" i="1"/>
  <c r="BP49" i="1"/>
  <c r="BP108" i="1" s="1"/>
  <c r="BQ108" i="1" s="1"/>
  <c r="BI39" i="1"/>
  <c r="BQ29" i="1"/>
  <c r="BR29" i="1" s="1"/>
  <c r="E63" i="58"/>
  <c r="AW80" i="1"/>
  <c r="AN51" i="1"/>
  <c r="AO51" i="1" s="1"/>
  <c r="DI40" i="1"/>
  <c r="CS40" i="1"/>
  <c r="AO31" i="1"/>
  <c r="CS30" i="1"/>
  <c r="CX30" i="1" s="1"/>
  <c r="BT16" i="1"/>
  <c r="BU45" i="1" s="1"/>
  <c r="CW11" i="1"/>
  <c r="BF11" i="6" s="1"/>
  <c r="BF17" i="6" s="1"/>
  <c r="BF23" i="6" s="1"/>
  <c r="CS11" i="1"/>
  <c r="BB11" i="6" s="1"/>
  <c r="BB23" i="6" s="1"/>
  <c r="BB47" i="6" s="1"/>
  <c r="AO80" i="1"/>
  <c r="BT50" i="1"/>
  <c r="BT109" i="1" s="1"/>
  <c r="BU109" i="1" s="1"/>
  <c r="CC41" i="1"/>
  <c r="BU41" i="1"/>
  <c r="AW41" i="1"/>
  <c r="DN30" i="1"/>
  <c r="DT30" i="1" s="1"/>
  <c r="CK79" i="1"/>
  <c r="AV51" i="1"/>
  <c r="CJ50" i="1"/>
  <c r="CJ109" i="1" s="1"/>
  <c r="BD15" i="1"/>
  <c r="BD54" i="1" s="1"/>
  <c r="BE54" i="1" s="1"/>
  <c r="CF14" i="1"/>
  <c r="CG43" i="1" s="1"/>
  <c r="CC12" i="1"/>
  <c r="AL12" i="6" s="1"/>
  <c r="AL18" i="6" s="1"/>
  <c r="BQ51" i="1"/>
  <c r="BP110" i="1"/>
  <c r="BQ120" i="1" s="1"/>
  <c r="BQ80" i="1"/>
  <c r="DE78" i="1"/>
  <c r="BI42" i="1"/>
  <c r="BA42" i="1"/>
  <c r="AS42" i="1"/>
  <c r="BA32" i="1"/>
  <c r="BQ31" i="1"/>
  <c r="BV31" i="1" s="1"/>
  <c r="BA30" i="1"/>
  <c r="DE29" i="1"/>
  <c r="AZ16" i="1"/>
  <c r="BA84" i="1" s="1"/>
  <c r="CR16" i="1"/>
  <c r="BZ29" i="1"/>
  <c r="AJ16" i="1"/>
  <c r="AL16" i="1" s="1"/>
  <c r="Y62" i="58"/>
  <c r="Y61" i="58"/>
  <c r="DE80" i="1"/>
  <c r="BI80" i="1"/>
  <c r="AK80" i="1"/>
  <c r="DE79" i="1"/>
  <c r="CG79" i="1"/>
  <c r="BA79" i="1"/>
  <c r="BH50" i="1"/>
  <c r="AK32" i="1"/>
  <c r="BI31" i="1"/>
  <c r="AK31" i="1"/>
  <c r="BU12" i="1"/>
  <c r="AD12" i="6" s="1"/>
  <c r="Y43" i="58"/>
  <c r="I42" i="58"/>
  <c r="BI81" i="1"/>
  <c r="BY80" i="1"/>
  <c r="BA80" i="1"/>
  <c r="AS79" i="1"/>
  <c r="BH52" i="1"/>
  <c r="BI52" i="1" s="1"/>
  <c r="BX51" i="1"/>
  <c r="BZ51" i="1" s="1"/>
  <c r="AJ51" i="1"/>
  <c r="AZ50" i="1"/>
  <c r="BA50" i="1" s="1"/>
  <c r="DD49" i="1"/>
  <c r="DA10" i="1"/>
  <c r="BJ10" i="6" s="1"/>
  <c r="BJ16" i="6" s="1"/>
  <c r="BJ22" i="6" s="1"/>
  <c r="DA78" i="1"/>
  <c r="DE10" i="1"/>
  <c r="AN49" i="1"/>
  <c r="AO29" i="1"/>
  <c r="AO39" i="1"/>
  <c r="AD22" i="58"/>
  <c r="AH63" i="58"/>
  <c r="AB67" i="58"/>
  <c r="AD26" i="58" s="1"/>
  <c r="U41" i="58"/>
  <c r="AZ111" i="1"/>
  <c r="BA121" i="1" s="1"/>
  <c r="CB108" i="1"/>
  <c r="CC108" i="1" s="1"/>
  <c r="CC78" i="1"/>
  <c r="V53" i="1"/>
  <c r="Y52" i="1"/>
  <c r="M52" i="1"/>
  <c r="N52" i="1" s="1"/>
  <c r="V51" i="1"/>
  <c r="CZ49" i="1"/>
  <c r="DB49" i="1" s="1"/>
  <c r="DA39" i="1"/>
  <c r="AV14" i="1"/>
  <c r="CG32" i="1"/>
  <c r="CF52" i="1"/>
  <c r="CG81" i="1"/>
  <c r="CS10" i="1"/>
  <c r="BB10" i="6" s="1"/>
  <c r="BB22" i="6" s="1"/>
  <c r="BB46" i="6" s="1"/>
  <c r="CS29" i="1"/>
  <c r="CX29" i="1" s="1"/>
  <c r="CC10" i="1"/>
  <c r="AL10" i="6" s="1"/>
  <c r="AL22" i="6" s="1"/>
  <c r="AL46" i="6" s="1"/>
  <c r="U62" i="58"/>
  <c r="V62" i="58"/>
  <c r="BE30" i="1"/>
  <c r="BD50" i="1"/>
  <c r="AC41" i="58"/>
  <c r="T112" i="1"/>
  <c r="U122" i="1" s="1"/>
  <c r="BU78" i="1"/>
  <c r="AW78" i="1"/>
  <c r="AV50" i="1"/>
  <c r="I50" i="1"/>
  <c r="N50" i="1" s="1"/>
  <c r="H109" i="1"/>
  <c r="H129" i="1" s="1"/>
  <c r="H149" i="1" s="1"/>
  <c r="I149" i="1" s="1"/>
  <c r="BT49" i="1"/>
  <c r="DZ39" i="1"/>
  <c r="CC39" i="1"/>
  <c r="BU39" i="1"/>
  <c r="AW39" i="1"/>
  <c r="AW30" i="1"/>
  <c r="AX30" i="1" s="1"/>
  <c r="CC29" i="1"/>
  <c r="CD29" i="1" s="1"/>
  <c r="AW29" i="1"/>
  <c r="AS12" i="1"/>
  <c r="AS31" i="1"/>
  <c r="AR51" i="1"/>
  <c r="AS80" i="1"/>
  <c r="DD15" i="1"/>
  <c r="DE83" i="1" s="1"/>
  <c r="DE30" i="1"/>
  <c r="DF30" i="1" s="1"/>
  <c r="DD50" i="1"/>
  <c r="DD109" i="1" s="1"/>
  <c r="DE109" i="1" s="1"/>
  <c r="DD14" i="1"/>
  <c r="BP15" i="1"/>
  <c r="BR15" i="1" s="1"/>
  <c r="BQ79" i="1"/>
  <c r="BI11" i="1"/>
  <c r="R11" i="6" s="1"/>
  <c r="R23" i="6" s="1"/>
  <c r="R47" i="6" s="1"/>
  <c r="AV49" i="1"/>
  <c r="AW49" i="1" s="1"/>
  <c r="AV15" i="1"/>
  <c r="AX15" i="1" s="1"/>
  <c r="EX19" i="11"/>
  <c r="BT110" i="1"/>
  <c r="BU120" i="1" s="1"/>
  <c r="X109" i="1"/>
  <c r="Y119" i="1" s="1"/>
  <c r="AG78" i="1"/>
  <c r="BT111" i="1"/>
  <c r="BU121" i="1" s="1"/>
  <c r="AC52" i="1"/>
  <c r="AD52" i="1"/>
  <c r="AB111" i="1"/>
  <c r="AC121" i="1" s="1"/>
  <c r="AW40" i="1"/>
  <c r="AG39" i="1"/>
  <c r="DA29" i="1"/>
  <c r="DB29" i="1" s="1"/>
  <c r="AG29" i="1"/>
  <c r="AH29" i="1" s="1"/>
  <c r="CV16" i="1"/>
  <c r="CW84" i="1" s="1"/>
  <c r="CW81" i="1"/>
  <c r="Q44" i="58"/>
  <c r="CO13" i="1"/>
  <c r="AX13" i="6" s="1"/>
  <c r="AX19" i="6" s="1"/>
  <c r="BE32" i="1"/>
  <c r="BE81" i="1"/>
  <c r="AW32" i="1"/>
  <c r="AV16" i="1"/>
  <c r="AW84" i="1" s="1"/>
  <c r="DA12" i="1"/>
  <c r="BJ12" i="6" s="1"/>
  <c r="BJ18" i="6" s="1"/>
  <c r="BJ24" i="6" s="1"/>
  <c r="CZ51" i="1"/>
  <c r="DE12" i="1"/>
  <c r="CB16" i="1"/>
  <c r="CC35" i="1" s="1"/>
  <c r="CB51" i="1"/>
  <c r="AW12" i="1"/>
  <c r="F12" i="6" s="1"/>
  <c r="F18" i="6" s="1"/>
  <c r="AR16" i="1"/>
  <c r="AR55" i="1" s="1"/>
  <c r="AO12" i="1"/>
  <c r="Y64" i="58"/>
  <c r="I54" i="58"/>
  <c r="I62" i="58"/>
  <c r="I51" i="58"/>
  <c r="AK81" i="1"/>
  <c r="V52" i="1"/>
  <c r="N51" i="1"/>
  <c r="BM13" i="1"/>
  <c r="V13" i="6" s="1"/>
  <c r="V25" i="6" s="1"/>
  <c r="V49" i="6" s="1"/>
  <c r="BA12" i="1"/>
  <c r="J12" i="6" s="1"/>
  <c r="BM11" i="1"/>
  <c r="V11" i="6" s="1"/>
  <c r="V17" i="6" s="1"/>
  <c r="BY10" i="1"/>
  <c r="AH10" i="6" s="1"/>
  <c r="AH22" i="6" s="1"/>
  <c r="AH46" i="6" s="1"/>
  <c r="BA10" i="1"/>
  <c r="J10" i="6" s="1"/>
  <c r="E55" i="9"/>
  <c r="E58" i="9" s="1"/>
  <c r="L46" i="9"/>
  <c r="U55" i="9"/>
  <c r="U58" i="9" s="1"/>
  <c r="H130" i="1"/>
  <c r="I130" i="1" s="1"/>
  <c r="BP75" i="11"/>
  <c r="EY38" i="11"/>
  <c r="T128" i="1"/>
  <c r="T148" i="1" s="1"/>
  <c r="U148" i="1" s="1"/>
  <c r="BA122" i="1"/>
  <c r="AZ162" i="1"/>
  <c r="AZ152" i="1"/>
  <c r="BA152" i="1" s="1"/>
  <c r="Y111" i="1"/>
  <c r="I120" i="1"/>
  <c r="DU13" i="1"/>
  <c r="K51" i="72"/>
  <c r="K92" i="72"/>
  <c r="K133" i="72"/>
  <c r="C51" i="72"/>
  <c r="C133" i="72"/>
  <c r="BR6" i="11"/>
  <c r="BR75" i="11" s="1"/>
  <c r="D113" i="8"/>
  <c r="AI113" i="3"/>
  <c r="AO110" i="3"/>
  <c r="T103" i="3"/>
  <c r="V98" i="8"/>
  <c r="V99" i="8" s="1"/>
  <c r="J98" i="3"/>
  <c r="AI96" i="3"/>
  <c r="AB95" i="8"/>
  <c r="AB95" i="3"/>
  <c r="AB96" i="3"/>
  <c r="V75" i="8"/>
  <c r="J75" i="3"/>
  <c r="V67" i="8"/>
  <c r="K68" i="3"/>
  <c r="M68" i="3" s="1"/>
  <c r="J67" i="3"/>
  <c r="AB61" i="8"/>
  <c r="AB62" i="3"/>
  <c r="AD62" i="3" s="1"/>
  <c r="BI122" i="1"/>
  <c r="BI112" i="1"/>
  <c r="AO121" i="1"/>
  <c r="AO111" i="1"/>
  <c r="M111" i="1"/>
  <c r="L131" i="1"/>
  <c r="CW120" i="1"/>
  <c r="CW110" i="1"/>
  <c r="E108" i="1"/>
  <c r="U55" i="1"/>
  <c r="E51" i="1"/>
  <c r="D110" i="1"/>
  <c r="U50" i="1"/>
  <c r="V50" i="1"/>
  <c r="DB44" i="1"/>
  <c r="AP44" i="1"/>
  <c r="J31" i="1"/>
  <c r="N31" i="1"/>
  <c r="Z15" i="1"/>
  <c r="X54" i="1"/>
  <c r="Y54" i="1" s="1"/>
  <c r="CG33" i="1"/>
  <c r="BX16" i="1"/>
  <c r="BY35" i="1" s="1"/>
  <c r="BY32" i="1"/>
  <c r="CD32" i="1" s="1"/>
  <c r="BY13" i="1"/>
  <c r="AH13" i="6" s="1"/>
  <c r="AH25" i="6" s="1"/>
  <c r="AH49" i="6" s="1"/>
  <c r="BX52" i="1"/>
  <c r="BY81" i="1"/>
  <c r="BP16" i="1"/>
  <c r="BQ84" i="1" s="1"/>
  <c r="BQ32" i="1"/>
  <c r="BL51" i="1"/>
  <c r="BN51" i="1" s="1"/>
  <c r="BM80" i="1"/>
  <c r="BM12" i="1"/>
  <c r="V12" i="6" s="1"/>
  <c r="V24" i="6" s="1"/>
  <c r="V48" i="6" s="1"/>
  <c r="BM31" i="1"/>
  <c r="BM41" i="1"/>
  <c r="BL16" i="1"/>
  <c r="BL55" i="1" s="1"/>
  <c r="BM55" i="1" s="1"/>
  <c r="BE12" i="1"/>
  <c r="N12" i="6" s="1"/>
  <c r="BE31" i="1"/>
  <c r="BD16" i="1"/>
  <c r="BD55" i="1" s="1"/>
  <c r="BE41" i="1"/>
  <c r="BD51" i="1"/>
  <c r="BJ51" i="1" s="1"/>
  <c r="BE80" i="1"/>
  <c r="AO30" i="1"/>
  <c r="AT30" i="1" s="1"/>
  <c r="AO40" i="1"/>
  <c r="AO79" i="1"/>
  <c r="AN15" i="1"/>
  <c r="AO83" i="1" s="1"/>
  <c r="AN50" i="1"/>
  <c r="AO50" i="1" s="1"/>
  <c r="AG11" i="1"/>
  <c r="AG40" i="1"/>
  <c r="AG79" i="1"/>
  <c r="AG30" i="1"/>
  <c r="AH30" i="1" s="1"/>
  <c r="AF50" i="1"/>
  <c r="AL50" i="1" s="1"/>
  <c r="DH15" i="1"/>
  <c r="DH14" i="1"/>
  <c r="DI78" i="1"/>
  <c r="AR15" i="1"/>
  <c r="AS83" i="1" s="1"/>
  <c r="AS29" i="1"/>
  <c r="AS10" i="1"/>
  <c r="AR49" i="1"/>
  <c r="AS39" i="1"/>
  <c r="AJ15" i="1"/>
  <c r="AJ54" i="1" s="1"/>
  <c r="AK29" i="1"/>
  <c r="AK39" i="1"/>
  <c r="AJ49" i="1"/>
  <c r="AK49" i="1" s="1"/>
  <c r="AK78" i="1"/>
  <c r="Y46" i="4"/>
  <c r="Z46" i="4"/>
  <c r="Q46" i="4"/>
  <c r="R46" i="4"/>
  <c r="C280" i="54"/>
  <c r="D294" i="54" s="1"/>
  <c r="Z53" i="3"/>
  <c r="C190" i="54"/>
  <c r="D189" i="54"/>
  <c r="X55" i="6"/>
  <c r="AC49" i="6"/>
  <c r="AF53" i="6"/>
  <c r="AC47" i="6"/>
  <c r="BU35" i="6"/>
  <c r="BP47" i="6"/>
  <c r="BQ35" i="6"/>
  <c r="BQ34" i="6"/>
  <c r="BP46" i="6"/>
  <c r="F104" i="64"/>
  <c r="F102" i="64"/>
  <c r="F101" i="64"/>
  <c r="F105" i="64"/>
  <c r="H51" i="72"/>
  <c r="EY62" i="11"/>
  <c r="EY56" i="11"/>
  <c r="DP13" i="1"/>
  <c r="DQ62" i="1" s="1"/>
  <c r="D133" i="8"/>
  <c r="V111" i="8"/>
  <c r="J111" i="3"/>
  <c r="K112" i="3"/>
  <c r="AD103" i="3"/>
  <c r="V103" i="8"/>
  <c r="K104" i="3"/>
  <c r="M104" i="3" s="1"/>
  <c r="J103" i="3"/>
  <c r="J102" i="3"/>
  <c r="V95" i="8"/>
  <c r="K96" i="3"/>
  <c r="J95" i="3"/>
  <c r="AB88" i="8"/>
  <c r="AB89" i="3"/>
  <c r="AB74" i="8"/>
  <c r="AB74" i="3"/>
  <c r="AB75" i="3"/>
  <c r="V70" i="8"/>
  <c r="V71" i="8" s="1"/>
  <c r="J70" i="3"/>
  <c r="K74" i="3"/>
  <c r="V49" i="8"/>
  <c r="V50" i="8" s="1"/>
  <c r="J49" i="3"/>
  <c r="V46" i="8"/>
  <c r="J46" i="3"/>
  <c r="K47" i="3"/>
  <c r="K46" i="3"/>
  <c r="V35" i="8"/>
  <c r="V36" i="8" s="1"/>
  <c r="J35" i="3"/>
  <c r="CR144" i="1"/>
  <c r="AJ132" i="1"/>
  <c r="AK112" i="1"/>
  <c r="AK122" i="1"/>
  <c r="E112" i="1"/>
  <c r="E122" i="1"/>
  <c r="BI110" i="1"/>
  <c r="BH130" i="1"/>
  <c r="BI130" i="1" s="1"/>
  <c r="BH160" i="1"/>
  <c r="Y110" i="1"/>
  <c r="Y120" i="1"/>
  <c r="X130" i="1"/>
  <c r="T109" i="1"/>
  <c r="T113" i="1" s="1"/>
  <c r="U113" i="1" s="1"/>
  <c r="AG53" i="1"/>
  <c r="AF112" i="1"/>
  <c r="CC50" i="1"/>
  <c r="CB109" i="1"/>
  <c r="CC109" i="1" s="1"/>
  <c r="AK50" i="1"/>
  <c r="AJ109" i="1"/>
  <c r="CD45" i="1"/>
  <c r="CL44" i="1"/>
  <c r="Y44" i="1"/>
  <c r="Z44" i="1"/>
  <c r="N30" i="1"/>
  <c r="R30" i="1"/>
  <c r="AF15" i="1"/>
  <c r="AH15" i="1" s="1"/>
  <c r="DA81" i="1"/>
  <c r="CZ16" i="1"/>
  <c r="DA35" i="1" s="1"/>
  <c r="DA42" i="1"/>
  <c r="CS13" i="1"/>
  <c r="BB13" i="6" s="1"/>
  <c r="BB25" i="6" s="1"/>
  <c r="BB49" i="6" s="1"/>
  <c r="CS32" i="1"/>
  <c r="CX32" i="1" s="1"/>
  <c r="CR52" i="1"/>
  <c r="CX52" i="1" s="1"/>
  <c r="CO12" i="1"/>
  <c r="AX12" i="6" s="1"/>
  <c r="AX18" i="6" s="1"/>
  <c r="CO41" i="1"/>
  <c r="CN51" i="1"/>
  <c r="CO51" i="1" s="1"/>
  <c r="CO80" i="1"/>
  <c r="CG12" i="1"/>
  <c r="AP12" i="6" s="1"/>
  <c r="CG41" i="1"/>
  <c r="CF51" i="1"/>
  <c r="CF16" i="1"/>
  <c r="CG84" i="1" s="1"/>
  <c r="CG31" i="1"/>
  <c r="CO11" i="1"/>
  <c r="AX11" i="6" s="1"/>
  <c r="AX23" i="6" s="1"/>
  <c r="AX47" i="6" s="1"/>
  <c r="CO30" i="1"/>
  <c r="CO40" i="1"/>
  <c r="CN50" i="1"/>
  <c r="CO50" i="1" s="1"/>
  <c r="CO79" i="1"/>
  <c r="CG40" i="1"/>
  <c r="CF50" i="1"/>
  <c r="BY11" i="1"/>
  <c r="AH11" i="6" s="1"/>
  <c r="AH23" i="6" s="1"/>
  <c r="AH47" i="6" s="1"/>
  <c r="BX50" i="1"/>
  <c r="CD50" i="1" s="1"/>
  <c r="BY40" i="1"/>
  <c r="BX15" i="1"/>
  <c r="BY83" i="1" s="1"/>
  <c r="BY30" i="1"/>
  <c r="BZ30" i="1" s="1"/>
  <c r="BY79" i="1"/>
  <c r="BQ11" i="1"/>
  <c r="Z11" i="6" s="1"/>
  <c r="Z23" i="6" s="1"/>
  <c r="Z47" i="6" s="1"/>
  <c r="BQ30" i="1"/>
  <c r="BR30" i="1" s="1"/>
  <c r="BQ40" i="1"/>
  <c r="BP14" i="1"/>
  <c r="BL15" i="1"/>
  <c r="BN15" i="1" s="1"/>
  <c r="BL49" i="1"/>
  <c r="BN49" i="1" s="1"/>
  <c r="BM10" i="1"/>
  <c r="V10" i="6" s="1"/>
  <c r="BL14" i="1"/>
  <c r="BM78" i="1"/>
  <c r="BE10" i="1"/>
  <c r="N10" i="6" s="1"/>
  <c r="BE78" i="1"/>
  <c r="BE29" i="1"/>
  <c r="BD49" i="1"/>
  <c r="BJ49" i="1" s="1"/>
  <c r="AW10" i="1"/>
  <c r="F10" i="6" s="1"/>
  <c r="F16" i="6" s="1"/>
  <c r="AD45" i="4"/>
  <c r="AD46" i="4" s="1"/>
  <c r="AD48" i="4"/>
  <c r="Z18" i="3"/>
  <c r="AB18" i="8" s="1"/>
  <c r="C218" i="54"/>
  <c r="AW48" i="6"/>
  <c r="AV54" i="6"/>
  <c r="BA48" i="6"/>
  <c r="AK46" i="6"/>
  <c r="AJ52" i="6"/>
  <c r="BD46" i="6"/>
  <c r="BE40" i="6"/>
  <c r="F74" i="64"/>
  <c r="F75" i="64" s="1"/>
  <c r="E107" i="64"/>
  <c r="AC28" i="72"/>
  <c r="L12" i="72"/>
  <c r="L92" i="72" s="1"/>
  <c r="AW30" i="11"/>
  <c r="AV26" i="11"/>
  <c r="AV23" i="11"/>
  <c r="AV19" i="11"/>
  <c r="EX15" i="11"/>
  <c r="EX46" i="11" s="1"/>
  <c r="AY10" i="11"/>
  <c r="AY12" i="11" s="1"/>
  <c r="P33" i="58"/>
  <c r="T33" i="58" s="1"/>
  <c r="X33" i="58" s="1"/>
  <c r="V123" i="8"/>
  <c r="J123" i="3"/>
  <c r="C120" i="3"/>
  <c r="G120" i="3" s="1"/>
  <c r="AB89" i="8"/>
  <c r="AB90" i="3"/>
  <c r="V88" i="8"/>
  <c r="J88" i="3"/>
  <c r="K89" i="3"/>
  <c r="M89" i="3" s="1"/>
  <c r="V81" i="8"/>
  <c r="J81" i="3"/>
  <c r="AB75" i="8"/>
  <c r="AB76" i="3"/>
  <c r="AD76" i="3" s="1"/>
  <c r="J74" i="3"/>
  <c r="AD69" i="3"/>
  <c r="V61" i="8"/>
  <c r="J61" i="3"/>
  <c r="H159" i="1"/>
  <c r="H169" i="1" s="1"/>
  <c r="Q108" i="1"/>
  <c r="P128" i="1"/>
  <c r="P133" i="1" s="1"/>
  <c r="BQ81" i="1"/>
  <c r="CO52" i="1"/>
  <c r="CN111" i="1"/>
  <c r="BP52" i="1"/>
  <c r="AO52" i="1"/>
  <c r="AP52" i="1"/>
  <c r="E52" i="1"/>
  <c r="D111" i="1"/>
  <c r="CW50" i="1"/>
  <c r="CV109" i="1"/>
  <c r="CV113" i="1" s="1"/>
  <c r="AD50" i="1"/>
  <c r="AB109" i="1"/>
  <c r="AC109" i="1" s="1"/>
  <c r="AC50" i="1"/>
  <c r="BI49" i="1"/>
  <c r="BH108" i="1"/>
  <c r="BH158" i="1" s="1"/>
  <c r="Q49" i="1"/>
  <c r="R49" i="1"/>
  <c r="DF44" i="1"/>
  <c r="BV44" i="1"/>
  <c r="AT44" i="1"/>
  <c r="I44" i="1"/>
  <c r="J44" i="1"/>
  <c r="DE42" i="1"/>
  <c r="DF42" i="1"/>
  <c r="DY39" i="1"/>
  <c r="DN39" i="1"/>
  <c r="DI39" i="1"/>
  <c r="DH44" i="1"/>
  <c r="DJ44" i="1" s="1"/>
  <c r="DH43" i="1"/>
  <c r="P55" i="1"/>
  <c r="R55" i="1" s="1"/>
  <c r="Q35" i="1"/>
  <c r="Y34" i="1"/>
  <c r="V16" i="1"/>
  <c r="U45" i="1"/>
  <c r="J15" i="1"/>
  <c r="H54" i="1"/>
  <c r="AG14" i="1"/>
  <c r="AC14" i="1"/>
  <c r="AD14" i="1"/>
  <c r="EX56" i="11" s="1"/>
  <c r="CZ15" i="1"/>
  <c r="DA83" i="1" s="1"/>
  <c r="DA40" i="1"/>
  <c r="DA11" i="1"/>
  <c r="BJ11" i="6" s="1"/>
  <c r="BJ17" i="6" s="1"/>
  <c r="BJ23" i="6" s="1"/>
  <c r="DA79" i="1"/>
  <c r="DZ40" i="1"/>
  <c r="CZ50" i="1"/>
  <c r="DA50" i="1" s="1"/>
  <c r="AS11" i="1"/>
  <c r="CO10" i="1"/>
  <c r="AX10" i="6" s="1"/>
  <c r="AX22" i="6" s="1"/>
  <c r="AX46" i="6" s="1"/>
  <c r="CN15" i="1"/>
  <c r="CO34" i="1" s="1"/>
  <c r="CO29" i="1"/>
  <c r="CO39" i="1"/>
  <c r="CN49" i="1"/>
  <c r="CG10" i="1"/>
  <c r="AP10" i="6" s="1"/>
  <c r="CF49" i="1"/>
  <c r="CH49" i="1" s="1"/>
  <c r="CF15" i="1"/>
  <c r="CF54" i="1" s="1"/>
  <c r="CG29" i="1"/>
  <c r="CG39" i="1"/>
  <c r="CG78" i="1"/>
  <c r="O5" i="5"/>
  <c r="P5" i="4"/>
  <c r="P27" i="4" s="1"/>
  <c r="Y55" i="9"/>
  <c r="Y57" i="9"/>
  <c r="Q55" i="9"/>
  <c r="Q58" i="9" s="1"/>
  <c r="Q57" i="9"/>
  <c r="M55" i="9"/>
  <c r="M57" i="9"/>
  <c r="I55" i="9"/>
  <c r="I58" i="9" s="1"/>
  <c r="I57" i="9"/>
  <c r="AF43" i="9"/>
  <c r="AG43" i="9" s="1"/>
  <c r="AH43" i="9" s="1"/>
  <c r="AI43" i="9" s="1"/>
  <c r="AJ43" i="9" s="1"/>
  <c r="AD44" i="9"/>
  <c r="AD55" i="9" s="1"/>
  <c r="AD58" i="9" s="1"/>
  <c r="X37" i="9"/>
  <c r="T37" i="9"/>
  <c r="P37" i="9"/>
  <c r="P46" i="9" s="1"/>
  <c r="H37" i="9"/>
  <c r="Z35" i="7"/>
  <c r="Z47" i="7"/>
  <c r="Z53" i="7"/>
  <c r="DT65" i="11" s="1"/>
  <c r="R35" i="7"/>
  <c r="R59" i="7" s="1"/>
  <c r="R47" i="7"/>
  <c r="R53" i="7" s="1"/>
  <c r="J35" i="7"/>
  <c r="J47" i="7"/>
  <c r="J53" i="7" s="1"/>
  <c r="AJ34" i="7"/>
  <c r="AJ46" i="7"/>
  <c r="AJ52" i="7" s="1"/>
  <c r="AB34" i="7"/>
  <c r="AB58" i="7" s="1"/>
  <c r="AB46" i="7"/>
  <c r="AB52" i="7" s="1"/>
  <c r="N34" i="7"/>
  <c r="N58" i="7" s="1"/>
  <c r="N46" i="7"/>
  <c r="N52" i="7" s="1"/>
  <c r="F34" i="7"/>
  <c r="F46" i="7"/>
  <c r="F52" i="7" s="1"/>
  <c r="AD33" i="7"/>
  <c r="AD57" i="7" s="1"/>
  <c r="AD45" i="7"/>
  <c r="AD51" i="7" s="1"/>
  <c r="V57" i="7"/>
  <c r="N33" i="7"/>
  <c r="N45" i="7"/>
  <c r="N51" i="7" s="1"/>
  <c r="F33" i="7"/>
  <c r="F57" i="7" s="1"/>
  <c r="F45" i="7"/>
  <c r="F51" i="7" s="1"/>
  <c r="AF32" i="7"/>
  <c r="AF44" i="7"/>
  <c r="AF50" i="7" s="1"/>
  <c r="X56" i="7"/>
  <c r="P32" i="7"/>
  <c r="P44" i="7"/>
  <c r="P50" i="7" s="1"/>
  <c r="H32" i="7"/>
  <c r="H56" i="7" s="1"/>
  <c r="H44" i="7"/>
  <c r="H50" i="7" s="1"/>
  <c r="AB29" i="7"/>
  <c r="T55" i="6"/>
  <c r="P55" i="6"/>
  <c r="Q49" i="6"/>
  <c r="M48" i="6"/>
  <c r="L54" i="6"/>
  <c r="AJ53" i="6"/>
  <c r="AO47" i="6"/>
  <c r="AB116" i="8"/>
  <c r="AB116" i="3"/>
  <c r="C169" i="72"/>
  <c r="G169" i="72"/>
  <c r="FB75" i="11"/>
  <c r="BU75" i="11"/>
  <c r="FA65" i="11"/>
  <c r="AY56" i="11"/>
  <c r="AV38" i="11"/>
  <c r="AV37" i="11"/>
  <c r="AW36" i="11"/>
  <c r="AV30" i="11"/>
  <c r="AY26" i="11"/>
  <c r="AY23" i="11"/>
  <c r="AY19" i="11"/>
  <c r="AY13" i="11"/>
  <c r="AX10" i="11"/>
  <c r="AX12" i="11" s="1"/>
  <c r="L53" i="58"/>
  <c r="M53" i="58" s="1"/>
  <c r="AC61" i="58"/>
  <c r="L51" i="58"/>
  <c r="M51" i="58" s="1"/>
  <c r="N13" i="58"/>
  <c r="L16" i="58"/>
  <c r="DP12" i="1"/>
  <c r="DQ61" i="1" s="1"/>
  <c r="D132" i="8"/>
  <c r="R134" i="3"/>
  <c r="AD123" i="3"/>
  <c r="J89" i="3"/>
  <c r="K75" i="3"/>
  <c r="M75" i="3" s="1"/>
  <c r="K67" i="3"/>
  <c r="AB60" i="8"/>
  <c r="AB61" i="3"/>
  <c r="AB60" i="3"/>
  <c r="J47" i="3"/>
  <c r="K39" i="3"/>
  <c r="M39" i="3" s="1"/>
  <c r="J28" i="3"/>
  <c r="V19" i="8"/>
  <c r="K19" i="3"/>
  <c r="M26" i="3" s="1"/>
  <c r="L110" i="1"/>
  <c r="I119" i="1"/>
  <c r="CO78" i="1"/>
  <c r="AS78" i="1"/>
  <c r="Q54" i="1"/>
  <c r="BH162" i="1"/>
  <c r="BI53" i="1"/>
  <c r="BJ53" i="1"/>
  <c r="M53" i="1"/>
  <c r="L112" i="1"/>
  <c r="M112" i="1" s="1"/>
  <c r="J51" i="1"/>
  <c r="BP50" i="1"/>
  <c r="DM108" i="1"/>
  <c r="CP44" i="1"/>
  <c r="BF44" i="1"/>
  <c r="AD44" i="1"/>
  <c r="DJ41" i="1"/>
  <c r="DI41" i="1"/>
  <c r="DY41" i="1"/>
  <c r="DH45" i="1"/>
  <c r="AC33" i="1"/>
  <c r="AH33" i="1" s="1"/>
  <c r="CO31" i="1"/>
  <c r="CG30" i="1"/>
  <c r="CL30" i="1" s="1"/>
  <c r="DE13" i="1"/>
  <c r="AO32" i="1"/>
  <c r="AN16" i="1"/>
  <c r="AN55" i="1" s="1"/>
  <c r="AO81" i="1"/>
  <c r="AO42" i="1"/>
  <c r="AG13" i="1"/>
  <c r="AG32" i="1"/>
  <c r="AG81" i="1"/>
  <c r="AF52" i="1"/>
  <c r="AF16" i="1"/>
  <c r="AG84" i="1" s="1"/>
  <c r="AG42" i="1"/>
  <c r="DH16" i="1"/>
  <c r="DI65" i="1" s="1"/>
  <c r="DZ41" i="1"/>
  <c r="DI80" i="1"/>
  <c r="DJ31" i="1"/>
  <c r="DJ51" i="1"/>
  <c r="CS12" i="1"/>
  <c r="BB12" i="6" s="1"/>
  <c r="BB18" i="6" s="1"/>
  <c r="U16" i="1"/>
  <c r="DE11" i="1"/>
  <c r="V46" i="4"/>
  <c r="D349" i="54"/>
  <c r="D335" i="54"/>
  <c r="Z81" i="3"/>
  <c r="D307" i="54"/>
  <c r="Z67" i="3"/>
  <c r="E57" i="9"/>
  <c r="V46" i="7"/>
  <c r="V52" i="7" s="1"/>
  <c r="AJ35" i="7"/>
  <c r="AJ59" i="7" s="1"/>
  <c r="AJ47" i="7"/>
  <c r="AN54" i="6"/>
  <c r="AO48" i="6"/>
  <c r="BH47" i="6"/>
  <c r="AG47" i="6"/>
  <c r="AS46" i="6"/>
  <c r="AW46" i="6"/>
  <c r="BU34" i="6"/>
  <c r="F103" i="64"/>
  <c r="K74" i="64"/>
  <c r="T106" i="64"/>
  <c r="S107" i="64"/>
  <c r="S73" i="64"/>
  <c r="O73" i="64"/>
  <c r="P106" i="64"/>
  <c r="O74" i="64"/>
  <c r="O107" i="64"/>
  <c r="K75" i="64"/>
  <c r="L106" i="64"/>
  <c r="K107" i="64"/>
  <c r="H106" i="64"/>
  <c r="G73" i="64"/>
  <c r="G74" i="64"/>
  <c r="D106" i="64"/>
  <c r="C107" i="64"/>
  <c r="C73" i="64"/>
  <c r="S57" i="64"/>
  <c r="R59" i="64"/>
  <c r="N57" i="64"/>
  <c r="N59" i="64"/>
  <c r="O57" i="64"/>
  <c r="J59" i="64"/>
  <c r="J57" i="64"/>
  <c r="F57" i="64"/>
  <c r="F59" i="64"/>
  <c r="R41" i="64"/>
  <c r="AD55" i="1"/>
  <c r="AD51" i="1"/>
  <c r="T54" i="1"/>
  <c r="U54" i="1" s="1"/>
  <c r="DJ42" i="1"/>
  <c r="R29" i="1"/>
  <c r="CK12" i="1"/>
  <c r="AT12" i="6" s="1"/>
  <c r="BI12" i="1"/>
  <c r="R12" i="6" s="1"/>
  <c r="R24" i="6" s="1"/>
  <c r="R48" i="6" s="1"/>
  <c r="CC11" i="1"/>
  <c r="AL11" i="6" s="1"/>
  <c r="AL23" i="6" s="1"/>
  <c r="AL47" i="6" s="1"/>
  <c r="BI10" i="1"/>
  <c r="R10" i="6" s="1"/>
  <c r="R22" i="6" s="1"/>
  <c r="R46" i="6" s="1"/>
  <c r="AF21" i="4"/>
  <c r="FR66" i="11" s="1"/>
  <c r="AA22" i="4"/>
  <c r="W22" i="4"/>
  <c r="S22" i="4"/>
  <c r="D345" i="54"/>
  <c r="D328" i="54"/>
  <c r="D310" i="54"/>
  <c r="AD45" i="10"/>
  <c r="F48" i="9"/>
  <c r="H59" i="7"/>
  <c r="L58" i="7"/>
  <c r="L57" i="7"/>
  <c r="N56" i="7"/>
  <c r="AO105" i="3"/>
  <c r="K54" i="3"/>
  <c r="M54" i="3" s="1"/>
  <c r="K33" i="3"/>
  <c r="M33" i="3" s="1"/>
  <c r="CV158" i="1"/>
  <c r="DD124" i="1"/>
  <c r="DD122" i="1"/>
  <c r="P111" i="1"/>
  <c r="AB110" i="1"/>
  <c r="DL83" i="1"/>
  <c r="I83" i="1"/>
  <c r="D55" i="1"/>
  <c r="E55" i="1" s="1"/>
  <c r="AL53" i="1"/>
  <c r="J52" i="1"/>
  <c r="CJ51" i="1"/>
  <c r="R51" i="1"/>
  <c r="CR49" i="1"/>
  <c r="AZ49" i="1"/>
  <c r="AF49" i="1"/>
  <c r="V45" i="1"/>
  <c r="J45" i="1"/>
  <c r="CS41" i="1"/>
  <c r="CK41" i="1"/>
  <c r="AG41" i="1"/>
  <c r="AS40" i="1"/>
  <c r="AK40" i="1"/>
  <c r="DH35" i="1"/>
  <c r="H55" i="1"/>
  <c r="I55" i="1" s="1"/>
  <c r="N55" i="1" s="1"/>
  <c r="AD34" i="1"/>
  <c r="BF33" i="1"/>
  <c r="V33" i="1"/>
  <c r="DE32" i="1"/>
  <c r="CH32" i="1"/>
  <c r="BM32" i="1"/>
  <c r="AS32" i="1"/>
  <c r="CS31" i="1"/>
  <c r="CX31" i="1" s="1"/>
  <c r="CH31" i="1"/>
  <c r="BB31" i="1"/>
  <c r="AG31" i="1"/>
  <c r="BA29" i="1"/>
  <c r="BT15" i="1"/>
  <c r="BT54" i="1" s="1"/>
  <c r="BU54" i="1" s="1"/>
  <c r="BH15" i="1"/>
  <c r="BI44" i="1" s="1"/>
  <c r="CR14" i="1"/>
  <c r="CS33" i="1" s="1"/>
  <c r="DI13" i="1"/>
  <c r="CN16" i="1"/>
  <c r="CO84" i="1" s="1"/>
  <c r="AW13" i="1"/>
  <c r="F13" i="6" s="1"/>
  <c r="F19" i="6" s="1"/>
  <c r="F43" i="6" s="1"/>
  <c r="DU12" i="1"/>
  <c r="CW12" i="1"/>
  <c r="BF12" i="6" s="1"/>
  <c r="BF18" i="6" s="1"/>
  <c r="BF36" i="6" s="1"/>
  <c r="AK12" i="1"/>
  <c r="AW11" i="1"/>
  <c r="F11" i="6" s="1"/>
  <c r="F17" i="6" s="1"/>
  <c r="DU10" i="1"/>
  <c r="CW10" i="1"/>
  <c r="BF10" i="6" s="1"/>
  <c r="BF16" i="6" s="1"/>
  <c r="BF34" i="6" s="1"/>
  <c r="W46" i="4"/>
  <c r="S46" i="4"/>
  <c r="O46" i="4"/>
  <c r="O43" i="4"/>
  <c r="B35" i="4"/>
  <c r="B36" i="4" s="1"/>
  <c r="AB10" i="4"/>
  <c r="X10" i="4"/>
  <c r="D330" i="54"/>
  <c r="D316" i="54"/>
  <c r="F53" i="10"/>
  <c r="E53" i="10"/>
  <c r="W57" i="9"/>
  <c r="G57" i="9"/>
  <c r="AB47" i="7"/>
  <c r="AB53" i="7" s="1"/>
  <c r="DU65" i="11" s="1"/>
  <c r="J46" i="9"/>
  <c r="Y37" i="9"/>
  <c r="U37" i="9"/>
  <c r="U46" i="9" s="1"/>
  <c r="Q37" i="9"/>
  <c r="M37" i="9"/>
  <c r="I37" i="9"/>
  <c r="E37" i="9"/>
  <c r="E46" i="9" s="1"/>
  <c r="E48" i="9" s="1"/>
  <c r="AC76" i="9"/>
  <c r="ED64" i="11" s="1"/>
  <c r="V47" i="7"/>
  <c r="V53" i="7" s="1"/>
  <c r="DQ65" i="11" s="1"/>
  <c r="N47" i="7"/>
  <c r="N53" i="7" s="1"/>
  <c r="F47" i="7"/>
  <c r="F53" i="7" s="1"/>
  <c r="AF46" i="7"/>
  <c r="AF52" i="7" s="1"/>
  <c r="AH58" i="7"/>
  <c r="AJ57" i="7"/>
  <c r="AL56" i="7"/>
  <c r="F56" i="7"/>
  <c r="T59" i="7"/>
  <c r="L59" i="7"/>
  <c r="D59" i="7"/>
  <c r="AD58" i="7"/>
  <c r="X58" i="7"/>
  <c r="P58" i="7"/>
  <c r="H58" i="7"/>
  <c r="AF57" i="7"/>
  <c r="X57" i="7"/>
  <c r="P57" i="7"/>
  <c r="H57" i="7"/>
  <c r="AH56" i="7"/>
  <c r="Z56" i="7"/>
  <c r="R56" i="7"/>
  <c r="J56" i="7"/>
  <c r="AV55" i="6"/>
  <c r="BL49" i="6"/>
  <c r="H55" i="6"/>
  <c r="BL48" i="6"/>
  <c r="BP54" i="6" s="1"/>
  <c r="AZ54" i="6"/>
  <c r="BL47" i="6"/>
  <c r="BM47" i="6" s="1"/>
  <c r="M47" i="6"/>
  <c r="BH46" i="6"/>
  <c r="AV52" i="6"/>
  <c r="H132" i="8"/>
  <c r="H131" i="8"/>
  <c r="H130" i="8"/>
  <c r="L110" i="8"/>
  <c r="M107" i="64"/>
  <c r="F106" i="64"/>
  <c r="D104" i="64"/>
  <c r="N74" i="64"/>
  <c r="I57" i="64"/>
  <c r="P57" i="64"/>
  <c r="L57" i="64"/>
  <c r="H57" i="64"/>
  <c r="D57" i="64"/>
  <c r="Q54" i="64"/>
  <c r="M54" i="64"/>
  <c r="I54" i="64"/>
  <c r="E54" i="64"/>
  <c r="K116" i="3"/>
  <c r="K90" i="3"/>
  <c r="M97" i="3" s="1"/>
  <c r="K60" i="3"/>
  <c r="J56" i="3"/>
  <c r="J53" i="3"/>
  <c r="J42" i="3"/>
  <c r="K40" i="3"/>
  <c r="M40" i="3" s="1"/>
  <c r="J39" i="3"/>
  <c r="J32" i="3"/>
  <c r="J26" i="3"/>
  <c r="K25" i="3"/>
  <c r="M32" i="3" s="1"/>
  <c r="K21" i="3"/>
  <c r="DE201" i="1"/>
  <c r="DF202" i="1" s="1"/>
  <c r="Q119" i="1"/>
  <c r="BD112" i="1"/>
  <c r="AS112" i="1"/>
  <c r="AJ111" i="1"/>
  <c r="I111" i="1"/>
  <c r="U110" i="1"/>
  <c r="Q109" i="1"/>
  <c r="CW108" i="1"/>
  <c r="AB108" i="1"/>
  <c r="AB128" i="1" s="1"/>
  <c r="M108" i="1"/>
  <c r="Y83" i="1"/>
  <c r="CS81" i="1"/>
  <c r="BM81" i="1"/>
  <c r="CS80" i="1"/>
  <c r="AG80" i="1"/>
  <c r="CC79" i="1"/>
  <c r="BM79" i="1"/>
  <c r="AO78" i="1"/>
  <c r="L54" i="1"/>
  <c r="M54" i="1" s="1"/>
  <c r="BE53" i="1"/>
  <c r="DD52" i="1"/>
  <c r="BL52" i="1"/>
  <c r="BM52" i="1" s="1"/>
  <c r="AR52" i="1"/>
  <c r="AX52" i="1" s="1"/>
  <c r="R52" i="1"/>
  <c r="CR51" i="1"/>
  <c r="CX51" i="1" s="1"/>
  <c r="AZ51" i="1"/>
  <c r="AF51" i="1"/>
  <c r="U51" i="1"/>
  <c r="AR50" i="1"/>
  <c r="Q50" i="1"/>
  <c r="CP45" i="1"/>
  <c r="BZ45" i="1"/>
  <c r="BJ45" i="1"/>
  <c r="AT45" i="1"/>
  <c r="AD45" i="1"/>
  <c r="N45" i="1"/>
  <c r="CW44" i="1"/>
  <c r="U44" i="1"/>
  <c r="DY42" i="1"/>
  <c r="CX42" i="1"/>
  <c r="BI41" i="1"/>
  <c r="BA41" i="1"/>
  <c r="CK40" i="1"/>
  <c r="CC40" i="1"/>
  <c r="BU40" i="1"/>
  <c r="BM40" i="1"/>
  <c r="U35" i="1"/>
  <c r="R33" i="1"/>
  <c r="CK31" i="1"/>
  <c r="BZ31" i="1"/>
  <c r="R31" i="1"/>
  <c r="CC30" i="1"/>
  <c r="V30" i="1"/>
  <c r="BI29" i="1"/>
  <c r="J29" i="1"/>
  <c r="CJ16" i="1"/>
  <c r="CK35" i="1" s="1"/>
  <c r="CB15" i="1"/>
  <c r="CD15" i="1" s="1"/>
  <c r="AZ15" i="1"/>
  <c r="AZ54" i="1" s="1"/>
  <c r="CB14" i="1"/>
  <c r="CC13" i="1"/>
  <c r="AL13" i="6" s="1"/>
  <c r="AL25" i="6" s="1"/>
  <c r="AL49" i="6" s="1"/>
  <c r="BH16" i="1"/>
  <c r="BI84" i="1" s="1"/>
  <c r="AS13" i="1"/>
  <c r="BY12" i="1"/>
  <c r="AH12" i="6" s="1"/>
  <c r="AH18" i="6" s="1"/>
  <c r="BQ12" i="1"/>
  <c r="Z12" i="6" s="1"/>
  <c r="DU11" i="1"/>
  <c r="BQ10" i="1"/>
  <c r="Z10" i="6" s="1"/>
  <c r="W43" i="4"/>
  <c r="AA10" i="4"/>
  <c r="D327" i="54"/>
  <c r="D325" i="54"/>
  <c r="C297" i="54"/>
  <c r="D293" i="54"/>
  <c r="K48" i="10"/>
  <c r="K53" i="10" s="1"/>
  <c r="AD76" i="9"/>
  <c r="EE64" i="11" s="1"/>
  <c r="Q46" i="9"/>
  <c r="W46" i="9"/>
  <c r="K46" i="9"/>
  <c r="G46" i="9"/>
  <c r="P59" i="7"/>
  <c r="T58" i="7"/>
  <c r="T57" i="7"/>
  <c r="V56" i="7"/>
  <c r="AH59" i="7"/>
  <c r="P54" i="6"/>
  <c r="L53" i="6"/>
  <c r="AN52" i="6"/>
  <c r="AN55" i="6"/>
  <c r="AJ55" i="6"/>
  <c r="AK48" i="6"/>
  <c r="T54" i="6"/>
  <c r="AZ53" i="6"/>
  <c r="AV53" i="6"/>
  <c r="BT46" i="6"/>
  <c r="AG46" i="6"/>
  <c r="P52" i="6"/>
  <c r="BH49" i="6"/>
  <c r="BM34" i="6"/>
  <c r="N75" i="64"/>
  <c r="R74" i="64"/>
  <c r="R75" i="64" s="1"/>
  <c r="J76" i="64"/>
  <c r="K110" i="64" s="1"/>
  <c r="P59" i="64"/>
  <c r="K57" i="64"/>
  <c r="S54" i="64"/>
  <c r="O54" i="64"/>
  <c r="K54" i="64"/>
  <c r="G54" i="64"/>
  <c r="Q41" i="64"/>
  <c r="M41" i="64"/>
  <c r="G116" i="72"/>
  <c r="DP62" i="11"/>
  <c r="FA7" i="11"/>
  <c r="EZ56" i="11"/>
  <c r="EZ62" i="11"/>
  <c r="EZ38" i="11"/>
  <c r="BW6" i="11"/>
  <c r="BV75" i="11"/>
  <c r="BS6" i="11"/>
  <c r="C92" i="72"/>
  <c r="BQ75" i="11"/>
  <c r="DS65" i="11"/>
  <c r="BK7" i="11"/>
  <c r="EX75" i="11"/>
  <c r="AB110" i="3"/>
  <c r="AD110" i="3" s="1"/>
  <c r="M123" i="3"/>
  <c r="J110" i="3"/>
  <c r="D185" i="54"/>
  <c r="N16" i="58"/>
  <c r="Z62" i="58"/>
  <c r="X66" i="58"/>
  <c r="AD61" i="58"/>
  <c r="R63" i="58"/>
  <c r="Z61" i="58"/>
  <c r="AD45" i="58"/>
  <c r="N12" i="58"/>
  <c r="P10" i="58"/>
  <c r="T10" i="58" s="1"/>
  <c r="X10" i="58" s="1"/>
  <c r="P34" i="58"/>
  <c r="T34" i="58" s="1"/>
  <c r="X34" i="58" s="1"/>
  <c r="D33" i="58"/>
  <c r="D34" i="58" s="1"/>
  <c r="D54" i="58" s="1"/>
  <c r="E54" i="58" s="1"/>
  <c r="T26" i="58"/>
  <c r="U26" i="58" s="1"/>
  <c r="M16" i="58"/>
  <c r="I15" i="58"/>
  <c r="P13" i="58"/>
  <c r="AD64" i="58"/>
  <c r="M63" i="58"/>
  <c r="E62" i="58"/>
  <c r="FT41" i="11"/>
  <c r="P12" i="72" s="1"/>
  <c r="AL45" i="58"/>
  <c r="P32" i="58"/>
  <c r="T32" i="58" s="1"/>
  <c r="X32" i="58" s="1"/>
  <c r="X24" i="58"/>
  <c r="M43" i="58"/>
  <c r="G133" i="72"/>
  <c r="H169" i="72"/>
  <c r="D169" i="72"/>
  <c r="L123" i="8"/>
  <c r="L130" i="8"/>
  <c r="L113" i="8"/>
  <c r="L118" i="8"/>
  <c r="L105" i="8"/>
  <c r="L103" i="8"/>
  <c r="L112" i="8"/>
  <c r="L116" i="8"/>
  <c r="AC80" i="9"/>
  <c r="AC56" i="9"/>
  <c r="S171" i="72"/>
  <c r="O133" i="72"/>
  <c r="G92" i="72"/>
  <c r="L36" i="4"/>
  <c r="O92" i="72"/>
  <c r="D51" i="72"/>
  <c r="FA75" i="11"/>
  <c r="FL65" i="11"/>
  <c r="FH65" i="11"/>
  <c r="L17" i="4"/>
  <c r="AE42" i="4"/>
  <c r="AE21" i="4" s="1"/>
  <c r="FQ66" i="11" s="1"/>
  <c r="Y10" i="4"/>
  <c r="C12" i="4"/>
  <c r="FM75" i="11"/>
  <c r="FE75" i="11"/>
  <c r="FR64" i="11"/>
  <c r="FR76" i="11" s="1"/>
  <c r="Z113" i="3"/>
  <c r="AC10" i="4"/>
  <c r="FD76" i="11"/>
  <c r="FQ65" i="11"/>
  <c r="R43" i="64"/>
  <c r="R45" i="64" s="1"/>
  <c r="N43" i="64"/>
  <c r="N45" i="64" s="1"/>
  <c r="J43" i="64"/>
  <c r="F43" i="64"/>
  <c r="F45" i="64" s="1"/>
  <c r="AE48" i="4"/>
  <c r="AG48" i="4"/>
  <c r="AC46" i="4"/>
  <c r="EX17" i="11"/>
  <c r="EX48" i="11" s="1"/>
  <c r="EX47" i="11"/>
  <c r="FM65" i="11"/>
  <c r="N12" i="72"/>
  <c r="N133" i="72" s="1"/>
  <c r="FG76" i="11"/>
  <c r="EZ75" i="11"/>
  <c r="EZ65" i="11"/>
  <c r="FH75" i="11"/>
  <c r="FC65" i="11"/>
  <c r="FO65" i="11"/>
  <c r="EY65" i="11"/>
  <c r="DV41" i="11"/>
  <c r="J92" i="72"/>
  <c r="J51" i="72"/>
  <c r="EA41" i="11"/>
  <c r="DX41" i="11"/>
  <c r="DS41" i="11"/>
  <c r="F92" i="72"/>
  <c r="F51" i="72"/>
  <c r="DZ41" i="11"/>
  <c r="ED41" i="11"/>
  <c r="DU41" i="11"/>
  <c r="AD23" i="58"/>
  <c r="Z21" i="58"/>
  <c r="V63" i="58"/>
  <c r="I61" i="58"/>
  <c r="V21" i="58"/>
  <c r="T66" i="58"/>
  <c r="P53" i="58"/>
  <c r="Q53" i="58" s="1"/>
  <c r="I64" i="58"/>
  <c r="P65" i="58"/>
  <c r="BQ13" i="1"/>
  <c r="Z13" i="6" s="1"/>
  <c r="Z19" i="6" s="1"/>
  <c r="AK13" i="1"/>
  <c r="CJ14" i="1"/>
  <c r="CK82" i="1" s="1"/>
  <c r="AK10" i="1"/>
  <c r="BV51" i="1"/>
  <c r="CZ14" i="1"/>
  <c r="CN14" i="1"/>
  <c r="I65" i="58" s="1"/>
  <c r="CG11" i="1"/>
  <c r="AP11" i="6" s="1"/>
  <c r="AP17" i="6" s="1"/>
  <c r="BA11" i="1"/>
  <c r="J11" i="6" s="1"/>
  <c r="J23" i="6" s="1"/>
  <c r="J47" i="6" s="1"/>
  <c r="DA13" i="1"/>
  <c r="BJ13" i="6" s="1"/>
  <c r="BJ19" i="6" s="1"/>
  <c r="BJ37" i="6" s="1"/>
  <c r="CG13" i="1"/>
  <c r="AP13" i="6" s="1"/>
  <c r="AP19" i="6" s="1"/>
  <c r="BA13" i="1"/>
  <c r="J13" i="6" s="1"/>
  <c r="J25" i="6" s="1"/>
  <c r="J49" i="6" s="1"/>
  <c r="BT14" i="1"/>
  <c r="BT53" i="1" s="1"/>
  <c r="AN14" i="1"/>
  <c r="AN53" i="1" s="1"/>
  <c r="DB30" i="1"/>
  <c r="BX14" i="1"/>
  <c r="BY82" i="1" s="1"/>
  <c r="AK11" i="1"/>
  <c r="C19" i="5"/>
  <c r="C20" i="5" s="1"/>
  <c r="AH45" i="58"/>
  <c r="C15" i="5"/>
  <c r="C16" i="5" s="1"/>
  <c r="C22" i="5"/>
  <c r="C23" i="5" s="1"/>
  <c r="C26" i="5"/>
  <c r="T172" i="72"/>
  <c r="I133" i="72"/>
  <c r="E92" i="72"/>
  <c r="E75" i="72"/>
  <c r="T171" i="72"/>
  <c r="H133" i="72"/>
  <c r="D133" i="72"/>
  <c r="H116" i="72"/>
  <c r="D116" i="72"/>
  <c r="M51" i="72"/>
  <c r="I51" i="72"/>
  <c r="E51" i="72"/>
  <c r="M133" i="72"/>
  <c r="FN76" i="11"/>
  <c r="EX76" i="11"/>
  <c r="FL75" i="11"/>
  <c r="FI65" i="11"/>
  <c r="EU7" i="11"/>
  <c r="ET38" i="11"/>
  <c r="FN65" i="11"/>
  <c r="FJ65" i="11"/>
  <c r="FF65" i="11"/>
  <c r="G43" i="64"/>
  <c r="FB65" i="11"/>
  <c r="DO62" i="11"/>
  <c r="FX37" i="11"/>
  <c r="FY37" i="11" s="1"/>
  <c r="FG65" i="11"/>
  <c r="J45" i="64"/>
  <c r="P42" i="64"/>
  <c r="P43" i="64" s="1"/>
  <c r="FK75" i="11"/>
  <c r="L42" i="64"/>
  <c r="L43" i="64" s="1"/>
  <c r="FG75" i="11"/>
  <c r="H42" i="64"/>
  <c r="H43" i="64" s="1"/>
  <c r="FC75" i="11"/>
  <c r="D42" i="64"/>
  <c r="D43" i="64" s="1"/>
  <c r="D45" i="64" s="1"/>
  <c r="EY75" i="11"/>
  <c r="AB53" i="58"/>
  <c r="FK65" i="11"/>
  <c r="FE65" i="11"/>
  <c r="CC6" i="11"/>
  <c r="EI41" i="11"/>
  <c r="EE41" i="11"/>
  <c r="DO41" i="11"/>
  <c r="Z23" i="58"/>
  <c r="AC23" i="58"/>
  <c r="X26" i="58"/>
  <c r="Y23" i="58"/>
  <c r="Y21" i="58"/>
  <c r="AC21" i="58"/>
  <c r="T110" i="3"/>
  <c r="AO117" i="3"/>
  <c r="AO102" i="3"/>
  <c r="T95" i="3"/>
  <c r="AG10" i="10"/>
  <c r="AN45" i="58"/>
  <c r="AD25" i="58"/>
  <c r="D125" i="8"/>
  <c r="DL12" i="1"/>
  <c r="AO104" i="3"/>
  <c r="T97" i="3"/>
  <c r="EK41" i="11"/>
  <c r="EH41" i="11"/>
  <c r="DQ41" i="11"/>
  <c r="DN41" i="11"/>
  <c r="CJ6" i="11"/>
  <c r="CO7" i="11"/>
  <c r="V64" i="58"/>
  <c r="V23" i="58"/>
  <c r="T65" i="58"/>
  <c r="U64" i="58"/>
  <c r="T67" i="58"/>
  <c r="H53" i="58"/>
  <c r="I53" i="58" s="1"/>
  <c r="I63" i="58"/>
  <c r="AD21" i="58"/>
  <c r="AD62" i="58"/>
  <c r="AC62" i="58"/>
  <c r="AB65" i="58"/>
  <c r="M62" i="58"/>
  <c r="AH61" i="58"/>
  <c r="AH20" i="58"/>
  <c r="AG61" i="58"/>
  <c r="R61" i="58"/>
  <c r="P66" i="58"/>
  <c r="Q61" i="58"/>
  <c r="P45" i="58"/>
  <c r="Q43" i="58"/>
  <c r="L35" i="58"/>
  <c r="P31" i="58"/>
  <c r="AF26" i="58"/>
  <c r="Q43" i="64"/>
  <c r="M43" i="64"/>
  <c r="I43" i="64"/>
  <c r="E43" i="64"/>
  <c r="EF41" i="11"/>
  <c r="L44" i="58"/>
  <c r="M44" i="58" s="1"/>
  <c r="CE6" i="11"/>
  <c r="AV6" i="11"/>
  <c r="AQ7" i="11"/>
  <c r="AW10" i="11"/>
  <c r="AW12" i="11" s="1"/>
  <c r="AW13" i="11"/>
  <c r="AW16" i="11"/>
  <c r="AV10" i="11"/>
  <c r="AV12" i="11" s="1"/>
  <c r="AV13" i="11"/>
  <c r="D51" i="58"/>
  <c r="E51" i="58" s="1"/>
  <c r="E61" i="58"/>
  <c r="Y44" i="58"/>
  <c r="AD44" i="58"/>
  <c r="J16" i="58"/>
  <c r="I16" i="58"/>
  <c r="R12" i="58"/>
  <c r="P16" i="58"/>
  <c r="T12" i="58"/>
  <c r="D126" i="8"/>
  <c r="DL13" i="1"/>
  <c r="AO112" i="3"/>
  <c r="T105" i="3"/>
  <c r="Z64" i="58"/>
  <c r="R62" i="58"/>
  <c r="V61" i="58"/>
  <c r="P54" i="58"/>
  <c r="Q54" i="58" s="1"/>
  <c r="H52" i="58"/>
  <c r="I52" i="58" s="1"/>
  <c r="AD20" i="58"/>
  <c r="L11" i="58"/>
  <c r="L120" i="8"/>
  <c r="K119" i="3"/>
  <c r="M119" i="3" s="1"/>
  <c r="AB118" i="3"/>
  <c r="AD118" i="3" s="1"/>
  <c r="J118" i="3"/>
  <c r="T113" i="3"/>
  <c r="K110" i="3"/>
  <c r="AB109" i="3"/>
  <c r="J109" i="3"/>
  <c r="AB105" i="3"/>
  <c r="J105" i="3"/>
  <c r="AD102" i="3"/>
  <c r="K102" i="3"/>
  <c r="K98" i="3"/>
  <c r="AB97" i="3"/>
  <c r="AD97" i="3" s="1"/>
  <c r="K95" i="3"/>
  <c r="J91" i="3"/>
  <c r="AB88" i="3"/>
  <c r="K88" i="3"/>
  <c r="AB84" i="3"/>
  <c r="K84" i="3"/>
  <c r="J83" i="3"/>
  <c r="M81" i="3"/>
  <c r="AB77" i="3"/>
  <c r="K77" i="3"/>
  <c r="J76" i="3"/>
  <c r="M74" i="3"/>
  <c r="AB70" i="3"/>
  <c r="K70" i="3"/>
  <c r="J69" i="3"/>
  <c r="M67" i="3"/>
  <c r="AB63" i="3"/>
  <c r="K63" i="3"/>
  <c r="J62" i="3"/>
  <c r="M60" i="3"/>
  <c r="AB56" i="3"/>
  <c r="K56" i="3"/>
  <c r="J55" i="3"/>
  <c r="M53" i="3"/>
  <c r="K49" i="3"/>
  <c r="J48" i="3"/>
  <c r="K42" i="3"/>
  <c r="J41" i="3"/>
  <c r="K35" i="3"/>
  <c r="J34" i="3"/>
  <c r="K28" i="3"/>
  <c r="M28" i="3" s="1"/>
  <c r="J27" i="3"/>
  <c r="K20" i="3"/>
  <c r="K18" i="3"/>
  <c r="DL201" i="1"/>
  <c r="CV148" i="1"/>
  <c r="DD144" i="1"/>
  <c r="DD142" i="1"/>
  <c r="AB22" i="4"/>
  <c r="X22" i="4"/>
  <c r="T22" i="4"/>
  <c r="P22" i="4"/>
  <c r="I129" i="1"/>
  <c r="CR122" i="1"/>
  <c r="CR124" i="1"/>
  <c r="V54" i="1"/>
  <c r="AD40" i="4"/>
  <c r="AD42" i="4"/>
  <c r="L40" i="5"/>
  <c r="L42" i="5"/>
  <c r="L37" i="5"/>
  <c r="W5" i="4"/>
  <c r="X5" i="5"/>
  <c r="E113" i="3"/>
  <c r="DF14" i="1" s="1"/>
  <c r="AB98" i="3"/>
  <c r="J92" i="3"/>
  <c r="AB18" i="3"/>
  <c r="CZ122" i="1"/>
  <c r="CZ124" i="1"/>
  <c r="DH122" i="1"/>
  <c r="EJ38" i="1"/>
  <c r="EJ45" i="1" s="1"/>
  <c r="AF40" i="4"/>
  <c r="P67" i="58"/>
  <c r="M61" i="58"/>
  <c r="H14" i="58"/>
  <c r="T120" i="3"/>
  <c r="K118" i="3"/>
  <c r="M118" i="3" s="1"/>
  <c r="AB117" i="3"/>
  <c r="AD117" i="3" s="1"/>
  <c r="J117" i="3"/>
  <c r="C113" i="3"/>
  <c r="G113" i="3" s="1"/>
  <c r="AB112" i="3"/>
  <c r="J112" i="3"/>
  <c r="K109" i="3"/>
  <c r="K105" i="3"/>
  <c r="AB104" i="3"/>
  <c r="J104" i="3"/>
  <c r="T99" i="3"/>
  <c r="J97" i="3"/>
  <c r="AB91" i="3"/>
  <c r="AD91" i="3" s="1"/>
  <c r="K91" i="3"/>
  <c r="M91" i="3" s="1"/>
  <c r="J90" i="3"/>
  <c r="J85" i="3"/>
  <c r="AB83" i="3"/>
  <c r="K83" i="3"/>
  <c r="J82" i="3"/>
  <c r="K76" i="3"/>
  <c r="K69" i="3"/>
  <c r="M69" i="3" s="1"/>
  <c r="K62" i="3"/>
  <c r="K55" i="3"/>
  <c r="K57" i="3" s="1"/>
  <c r="M57" i="3" s="1"/>
  <c r="K48" i="3"/>
  <c r="K50" i="3" s="1"/>
  <c r="K41" i="3"/>
  <c r="M41" i="3" s="1"/>
  <c r="K34" i="3"/>
  <c r="K27" i="3"/>
  <c r="M27" i="3" s="1"/>
  <c r="J21" i="3"/>
  <c r="J19" i="3"/>
  <c r="DJ202" i="1"/>
  <c r="DH124" i="1"/>
  <c r="P149" i="1"/>
  <c r="AR132" i="1"/>
  <c r="AN131" i="1"/>
  <c r="CV130" i="1"/>
  <c r="D128" i="1"/>
  <c r="CW118" i="1"/>
  <c r="U118" i="1"/>
  <c r="E118" i="1"/>
  <c r="X114" i="1"/>
  <c r="Y114" i="1" s="1"/>
  <c r="H114" i="1"/>
  <c r="I114" i="1" s="1"/>
  <c r="X112" i="1"/>
  <c r="H112" i="1"/>
  <c r="T111" i="1"/>
  <c r="P110" i="1"/>
  <c r="L109" i="1"/>
  <c r="X108" i="1"/>
  <c r="H108" i="1"/>
  <c r="AC55" i="1"/>
  <c r="CV54" i="1"/>
  <c r="BA53" i="1"/>
  <c r="AK53" i="1"/>
  <c r="I53" i="1"/>
  <c r="DI52" i="1"/>
  <c r="U52" i="1"/>
  <c r="BI51" i="1"/>
  <c r="AC51" i="1"/>
  <c r="Q51" i="1"/>
  <c r="DM49" i="1"/>
  <c r="CW49" i="1"/>
  <c r="I49" i="1"/>
  <c r="N49" i="1" s="1"/>
  <c r="DD45" i="1"/>
  <c r="CH45" i="1"/>
  <c r="BR45" i="1"/>
  <c r="BB45" i="1"/>
  <c r="AW45" i="1"/>
  <c r="AL45" i="1"/>
  <c r="Q45" i="1"/>
  <c r="V44" i="1"/>
  <c r="Q44" i="1"/>
  <c r="DD43" i="1"/>
  <c r="DJ43" i="1" s="1"/>
  <c r="CR43" i="1"/>
  <c r="AC43" i="1"/>
  <c r="DI42" i="1"/>
  <c r="CS42" i="1"/>
  <c r="DE41" i="1"/>
  <c r="EC40" i="1"/>
  <c r="EE40" i="1" s="1"/>
  <c r="DJ40" i="1"/>
  <c r="DJ39" i="1"/>
  <c r="EN37" i="1"/>
  <c r="EJ37" i="1"/>
  <c r="EK37" i="1" s="1"/>
  <c r="Y35" i="1"/>
  <c r="Z35" i="1" s="1"/>
  <c r="I35" i="1"/>
  <c r="J35" i="1" s="1"/>
  <c r="BJ33" i="1"/>
  <c r="N33" i="1"/>
  <c r="AD32" i="1"/>
  <c r="CD31" i="1"/>
  <c r="AD30" i="1"/>
  <c r="I16" i="1"/>
  <c r="I15" i="1"/>
  <c r="CK13" i="1"/>
  <c r="AT13" i="6" s="1"/>
  <c r="BU13" i="1"/>
  <c r="AD13" i="6" s="1"/>
  <c r="BE13" i="1"/>
  <c r="N13" i="6" s="1"/>
  <c r="AO13" i="1"/>
  <c r="CK11" i="1"/>
  <c r="AT11" i="6" s="1"/>
  <c r="BU11" i="1"/>
  <c r="AD11" i="6" s="1"/>
  <c r="BE11" i="1"/>
  <c r="N11" i="6" s="1"/>
  <c r="AO11" i="1"/>
  <c r="DM10" i="1"/>
  <c r="CK10" i="1"/>
  <c r="BU10" i="1"/>
  <c r="AO10" i="1"/>
  <c r="AV6" i="1"/>
  <c r="Q25" i="5" s="1"/>
  <c r="AF48" i="4"/>
  <c r="AA46" i="4"/>
  <c r="AE45" i="4"/>
  <c r="AE46" i="4" s="1"/>
  <c r="AB43" i="4"/>
  <c r="X43" i="4"/>
  <c r="T43" i="4"/>
  <c r="P43" i="4"/>
  <c r="AE40" i="4"/>
  <c r="Q27" i="4"/>
  <c r="D27" i="4"/>
  <c r="P56" i="5"/>
  <c r="B42" i="5"/>
  <c r="Q32" i="5"/>
  <c r="FC22" i="11" s="1"/>
  <c r="O25" i="5"/>
  <c r="O18" i="5"/>
  <c r="I18" i="5"/>
  <c r="D18" i="5"/>
  <c r="O14" i="5"/>
  <c r="I14" i="5"/>
  <c r="D14" i="5"/>
  <c r="D9" i="5"/>
  <c r="Q7" i="5"/>
  <c r="D360" i="54"/>
  <c r="D356" i="54"/>
  <c r="D352" i="54"/>
  <c r="C336" i="54"/>
  <c r="D331" i="54"/>
  <c r="C308" i="54"/>
  <c r="D308" i="54" s="1"/>
  <c r="C303" i="54"/>
  <c r="I185" i="54"/>
  <c r="AE53" i="9"/>
  <c r="AF32" i="9"/>
  <c r="Y46" i="9"/>
  <c r="R46" i="9"/>
  <c r="M46" i="9"/>
  <c r="I46" i="9"/>
  <c r="H57" i="9"/>
  <c r="H46" i="9"/>
  <c r="BI46" i="6"/>
  <c r="EC39" i="1"/>
  <c r="EE39" i="1" s="1"/>
  <c r="AH17" i="6"/>
  <c r="AG39" i="4"/>
  <c r="O56" i="5"/>
  <c r="I56" i="5"/>
  <c r="EU36" i="11" s="1"/>
  <c r="Q45" i="5"/>
  <c r="FC30" i="11" s="1"/>
  <c r="P39" i="5"/>
  <c r="D39" i="5"/>
  <c r="Q34" i="5"/>
  <c r="FC23" i="11" s="1"/>
  <c r="P32" i="5"/>
  <c r="FB22" i="11" s="1"/>
  <c r="I25" i="5"/>
  <c r="D25" i="5"/>
  <c r="D26" i="5" s="1"/>
  <c r="AG9" i="5"/>
  <c r="Q9" i="5"/>
  <c r="P7" i="5"/>
  <c r="I184" i="54"/>
  <c r="D184" i="54"/>
  <c r="S57" i="9"/>
  <c r="S46" i="9"/>
  <c r="S55" i="9"/>
  <c r="S58" i="9" s="1"/>
  <c r="O57" i="9"/>
  <c r="O46" i="9"/>
  <c r="O55" i="9"/>
  <c r="O58" i="9" s="1"/>
  <c r="BP52" i="6"/>
  <c r="BQ46" i="6"/>
  <c r="BM46" i="6"/>
  <c r="BL52" i="6"/>
  <c r="BE46" i="6"/>
  <c r="BD52" i="6"/>
  <c r="BH52" i="6"/>
  <c r="V22" i="6"/>
  <c r="V46" i="6" s="1"/>
  <c r="V16" i="6"/>
  <c r="AG45" i="4"/>
  <c r="Z43" i="4"/>
  <c r="V43" i="4"/>
  <c r="R43" i="4"/>
  <c r="N43" i="4"/>
  <c r="AC21" i="4"/>
  <c r="Y21" i="4"/>
  <c r="U21" i="4"/>
  <c r="V22" i="4" s="1"/>
  <c r="Q21" i="4"/>
  <c r="R22" i="4" s="1"/>
  <c r="M21" i="4"/>
  <c r="EY66" i="11" s="1"/>
  <c r="P45" i="5"/>
  <c r="FB30" i="11" s="1"/>
  <c r="O39" i="5"/>
  <c r="P34" i="5"/>
  <c r="FB23" i="11" s="1"/>
  <c r="D34" i="5"/>
  <c r="O32" i="5"/>
  <c r="FA22" i="11" s="1"/>
  <c r="I32" i="5"/>
  <c r="EU22" i="11" s="1"/>
  <c r="Q18" i="5"/>
  <c r="Q14" i="5"/>
  <c r="P9" i="5"/>
  <c r="I7" i="5"/>
  <c r="N5" i="5"/>
  <c r="D341" i="54"/>
  <c r="D355" i="54"/>
  <c r="D321" i="54"/>
  <c r="D314" i="54"/>
  <c r="D299" i="54"/>
  <c r="AI72" i="9"/>
  <c r="AJ72" i="9" s="1"/>
  <c r="AD37" i="9"/>
  <c r="AD46" i="9" s="1"/>
  <c r="Z37" i="9"/>
  <c r="BM49" i="6"/>
  <c r="BH55" i="6"/>
  <c r="BI49" i="6"/>
  <c r="BL55" i="6"/>
  <c r="H14" i="8"/>
  <c r="H33" i="8"/>
  <c r="H35" i="8"/>
  <c r="H40" i="8"/>
  <c r="H42" i="8"/>
  <c r="H47" i="8"/>
  <c r="H49" i="8"/>
  <c r="H54" i="8"/>
  <c r="H56" i="8"/>
  <c r="H61" i="8"/>
  <c r="H63" i="8"/>
  <c r="H68" i="8"/>
  <c r="H70" i="8"/>
  <c r="H75" i="8"/>
  <c r="H77" i="8"/>
  <c r="H82" i="8"/>
  <c r="H84" i="8"/>
  <c r="H89" i="8"/>
  <c r="H91" i="8"/>
  <c r="H99" i="8"/>
  <c r="H102" i="8"/>
  <c r="H104" i="8"/>
  <c r="H117" i="8"/>
  <c r="H119" i="8"/>
  <c r="H13" i="8"/>
  <c r="H18" i="8"/>
  <c r="H19" i="8"/>
  <c r="H20" i="8"/>
  <c r="H21" i="8"/>
  <c r="H26" i="8"/>
  <c r="H28" i="8"/>
  <c r="H12" i="8"/>
  <c r="H15" i="8"/>
  <c r="H29" i="8"/>
  <c r="H32" i="8"/>
  <c r="H34" i="8"/>
  <c r="H36" i="8"/>
  <c r="H39" i="8"/>
  <c r="H41" i="8"/>
  <c r="H43" i="8"/>
  <c r="H46" i="8"/>
  <c r="H48" i="8"/>
  <c r="H50" i="8"/>
  <c r="H53" i="8"/>
  <c r="H55" i="8"/>
  <c r="H57" i="8"/>
  <c r="H60" i="8"/>
  <c r="H62" i="8"/>
  <c r="H64" i="8"/>
  <c r="H67" i="8"/>
  <c r="H69" i="8"/>
  <c r="H71" i="8"/>
  <c r="H74" i="8"/>
  <c r="H11" i="8"/>
  <c r="H22" i="8"/>
  <c r="H25" i="8"/>
  <c r="H27" i="8"/>
  <c r="H96" i="8"/>
  <c r="H81" i="8"/>
  <c r="H111" i="8"/>
  <c r="H125" i="8"/>
  <c r="H76" i="8"/>
  <c r="H83" i="8"/>
  <c r="H90" i="8"/>
  <c r="H98" i="8"/>
  <c r="H109" i="8"/>
  <c r="H112" i="8"/>
  <c r="H116" i="8"/>
  <c r="H118" i="8"/>
  <c r="H123" i="8"/>
  <c r="H78" i="8"/>
  <c r="H92" i="8"/>
  <c r="H97" i="8"/>
  <c r="H103" i="8"/>
  <c r="H105" i="8"/>
  <c r="H110" i="8"/>
  <c r="H113" i="8"/>
  <c r="H85" i="8"/>
  <c r="H88" i="8"/>
  <c r="H95" i="8"/>
  <c r="H106" i="8"/>
  <c r="H120" i="8"/>
  <c r="H124" i="8"/>
  <c r="DH143" i="1"/>
  <c r="CR142" i="1"/>
  <c r="BH132" i="1"/>
  <c r="X131" i="1"/>
  <c r="H131" i="1"/>
  <c r="T130" i="1"/>
  <c r="Q122" i="1"/>
  <c r="CR84" i="1"/>
  <c r="AB53" i="1"/>
  <c r="DA32" i="1"/>
  <c r="DB32" i="1" s="1"/>
  <c r="DM29" i="1"/>
  <c r="DD16" i="1"/>
  <c r="CV14" i="1"/>
  <c r="CW13" i="1"/>
  <c r="BF13" i="6" s="1"/>
  <c r="BF19" i="6" s="1"/>
  <c r="DI12" i="1"/>
  <c r="DI11" i="1"/>
  <c r="DI10" i="1"/>
  <c r="AF45" i="4"/>
  <c r="I27" i="4"/>
  <c r="O45" i="5"/>
  <c r="FA30" i="11" s="1"/>
  <c r="B40" i="5"/>
  <c r="O34" i="5"/>
  <c r="FA23" i="11" s="1"/>
  <c r="I34" i="5"/>
  <c r="P25" i="5"/>
  <c r="P18" i="5"/>
  <c r="P14" i="5"/>
  <c r="I9" i="5"/>
  <c r="D7" i="5"/>
  <c r="D296" i="54"/>
  <c r="D190" i="54"/>
  <c r="C191" i="54"/>
  <c r="D183" i="54"/>
  <c r="H50" i="10"/>
  <c r="H53" i="10"/>
  <c r="AF35" i="7"/>
  <c r="I186" i="54"/>
  <c r="AD57" i="9"/>
  <c r="Z57" i="9"/>
  <c r="V57" i="9"/>
  <c r="R57" i="9"/>
  <c r="N57" i="9"/>
  <c r="J57" i="9"/>
  <c r="F57" i="9"/>
  <c r="P55" i="9"/>
  <c r="L55" i="9"/>
  <c r="L58" i="9" s="1"/>
  <c r="H55" i="9"/>
  <c r="H58" i="9" s="1"/>
  <c r="AJ53" i="7"/>
  <c r="EE65" i="11" s="1"/>
  <c r="T53" i="7"/>
  <c r="DP65" i="11" s="1"/>
  <c r="L53" i="7"/>
  <c r="D53" i="7"/>
  <c r="AD52" i="7"/>
  <c r="R46" i="7"/>
  <c r="R58" i="7" s="1"/>
  <c r="J46" i="7"/>
  <c r="J58" i="7" s="1"/>
  <c r="AH45" i="7"/>
  <c r="AH57" i="7" s="1"/>
  <c r="Z45" i="7"/>
  <c r="Z57" i="7" s="1"/>
  <c r="R45" i="7"/>
  <c r="R57" i="7" s="1"/>
  <c r="J45" i="7"/>
  <c r="J57" i="7" s="1"/>
  <c r="AJ44" i="7"/>
  <c r="AJ56" i="7" s="1"/>
  <c r="AB44" i="7"/>
  <c r="AB56" i="7" s="1"/>
  <c r="T44" i="7"/>
  <c r="T56" i="7" s="1"/>
  <c r="L44" i="7"/>
  <c r="L56" i="7" s="1"/>
  <c r="C44" i="87"/>
  <c r="BP49" i="6"/>
  <c r="AZ49" i="6"/>
  <c r="AO49" i="6"/>
  <c r="Y49" i="6"/>
  <c r="I49" i="6"/>
  <c r="BH48" i="6"/>
  <c r="BM48" i="6" s="1"/>
  <c r="BQ47" i="6"/>
  <c r="BA47" i="6"/>
  <c r="AK47" i="6"/>
  <c r="U47" i="6"/>
  <c r="BI43" i="6"/>
  <c r="BE41" i="6"/>
  <c r="BM40" i="6"/>
  <c r="I48" i="10"/>
  <c r="I53" i="10" s="1"/>
  <c r="K6" i="10"/>
  <c r="Y58" i="9"/>
  <c r="M58" i="9"/>
  <c r="Z55" i="9"/>
  <c r="Z58" i="9" s="1"/>
  <c r="V55" i="9"/>
  <c r="V58" i="9" s="1"/>
  <c r="R55" i="9"/>
  <c r="R58" i="9" s="1"/>
  <c r="N55" i="9"/>
  <c r="N58" i="9" s="1"/>
  <c r="J55" i="9"/>
  <c r="J58" i="9" s="1"/>
  <c r="F55" i="9"/>
  <c r="F58" i="9" s="1"/>
  <c r="AC54" i="9"/>
  <c r="E54" i="9"/>
  <c r="Z46" i="9"/>
  <c r="AC44" i="9"/>
  <c r="R52" i="7"/>
  <c r="J52" i="7"/>
  <c r="Z51" i="7"/>
  <c r="R51" i="7"/>
  <c r="J51" i="7"/>
  <c r="AB50" i="7"/>
  <c r="T50" i="7"/>
  <c r="L50" i="7"/>
  <c r="V35" i="7"/>
  <c r="V59" i="7" s="1"/>
  <c r="N35" i="7"/>
  <c r="F35" i="7"/>
  <c r="F59" i="7" s="1"/>
  <c r="AF34" i="7"/>
  <c r="AF58" i="7" s="1"/>
  <c r="AR55" i="6"/>
  <c r="AB55" i="6"/>
  <c r="L55" i="6"/>
  <c r="AN53" i="6"/>
  <c r="X53" i="6"/>
  <c r="BD47" i="6"/>
  <c r="L111" i="8"/>
  <c r="P58" i="9"/>
  <c r="AB44" i="9"/>
  <c r="AB55" i="9" s="1"/>
  <c r="AB58" i="9" s="1"/>
  <c r="X44" i="9"/>
  <c r="T44" i="9"/>
  <c r="AF42" i="9"/>
  <c r="AG42" i="9" s="1"/>
  <c r="AH42" i="9" s="1"/>
  <c r="AI42" i="9" s="1"/>
  <c r="AJ42" i="9" s="1"/>
  <c r="AF40" i="9"/>
  <c r="AA30" i="9"/>
  <c r="AA37" i="9" s="1"/>
  <c r="AA46" i="9" s="1"/>
  <c r="H23" i="87"/>
  <c r="I23" i="87" s="1"/>
  <c r="J23" i="87" s="1"/>
  <c r="K23" i="87" s="1"/>
  <c r="S42" i="64"/>
  <c r="S43" i="64" s="1"/>
  <c r="O42" i="64"/>
  <c r="O43" i="64" s="1"/>
  <c r="K42" i="64"/>
  <c r="K43" i="64" s="1"/>
  <c r="O15" i="64"/>
  <c r="O35" i="64"/>
  <c r="P3" i="64"/>
  <c r="O64" i="64"/>
  <c r="O100" i="64"/>
  <c r="O22" i="64"/>
  <c r="O136" i="64"/>
  <c r="A122" i="64"/>
  <c r="B122" i="64"/>
  <c r="T57" i="64"/>
  <c r="T59" i="64"/>
  <c r="T42" i="64"/>
  <c r="U42" i="64" s="1"/>
  <c r="V42" i="64" s="1"/>
  <c r="W42" i="64" s="1"/>
  <c r="T74" i="64"/>
  <c r="P74" i="64"/>
  <c r="P75" i="64" s="1"/>
  <c r="L74" i="64"/>
  <c r="H74" i="64"/>
  <c r="D74" i="64"/>
  <c r="Q73" i="64"/>
  <c r="Q74" i="64" s="1"/>
  <c r="M73" i="64"/>
  <c r="I73" i="64"/>
  <c r="E73" i="64"/>
  <c r="E74" i="64" s="1"/>
  <c r="L41" i="64"/>
  <c r="R25" i="64"/>
  <c r="N25" i="64"/>
  <c r="J25" i="64"/>
  <c r="F25" i="64"/>
  <c r="N76" i="64" l="1"/>
  <c r="O109" i="64"/>
  <c r="T138" i="64"/>
  <c r="L133" i="72"/>
  <c r="L51" i="72"/>
  <c r="AD77" i="3"/>
  <c r="DM62" i="1"/>
  <c r="DM32" i="1"/>
  <c r="DJ15" i="1"/>
  <c r="DI64" i="1"/>
  <c r="DH108" i="1"/>
  <c r="DI49" i="1"/>
  <c r="DL51" i="1"/>
  <c r="DL110" i="1" s="1"/>
  <c r="DM61" i="1"/>
  <c r="P51" i="72"/>
  <c r="P92" i="72"/>
  <c r="DI82" i="1"/>
  <c r="DH53" i="1"/>
  <c r="DH112" i="1" s="1"/>
  <c r="DI63" i="1"/>
  <c r="AC43" i="4"/>
  <c r="Q43" i="4"/>
  <c r="U43" i="4"/>
  <c r="Y43" i="4"/>
  <c r="AF43" i="4"/>
  <c r="FP65" i="11"/>
  <c r="FP76" i="11"/>
  <c r="E59" i="9"/>
  <c r="DN61" i="1"/>
  <c r="DN49" i="1"/>
  <c r="DM70" i="1"/>
  <c r="Z22" i="58"/>
  <c r="BQ35" i="1"/>
  <c r="V18" i="6"/>
  <c r="V36" i="6" s="1"/>
  <c r="J52" i="58"/>
  <c r="AG16" i="1"/>
  <c r="CL32" i="1"/>
  <c r="DI121" i="1"/>
  <c r="DI71" i="1"/>
  <c r="AG45" i="1"/>
  <c r="BB52" i="1"/>
  <c r="X67" i="58"/>
  <c r="AD67" i="58" s="1"/>
  <c r="AH16" i="1"/>
  <c r="BJ31" i="1"/>
  <c r="BV32" i="1"/>
  <c r="DF51" i="1"/>
  <c r="AT51" i="1"/>
  <c r="R18" i="6"/>
  <c r="BF51" i="1"/>
  <c r="BP55" i="1"/>
  <c r="BQ55" i="1" s="1"/>
  <c r="DA52" i="1"/>
  <c r="AX24" i="6"/>
  <c r="AX48" i="6" s="1"/>
  <c r="BZ32" i="1"/>
  <c r="DE51" i="1"/>
  <c r="DE50" i="1"/>
  <c r="AL52" i="1"/>
  <c r="CT30" i="1"/>
  <c r="BY148" i="1"/>
  <c r="AJ174" i="1"/>
  <c r="DD130" i="1"/>
  <c r="DD160" i="1" s="1"/>
  <c r="DE120" i="1"/>
  <c r="BX160" i="1"/>
  <c r="AX49" i="1"/>
  <c r="BZ52" i="1"/>
  <c r="BV29" i="1"/>
  <c r="Y63" i="58"/>
  <c r="CP29" i="1"/>
  <c r="CT50" i="1"/>
  <c r="CX50" i="1"/>
  <c r="BU84" i="1"/>
  <c r="BF50" i="1"/>
  <c r="CL52" i="1"/>
  <c r="CR109" i="1"/>
  <c r="CS119" i="1" s="1"/>
  <c r="BP54" i="1"/>
  <c r="BV54" i="1" s="1"/>
  <c r="CT49" i="1"/>
  <c r="DE34" i="1"/>
  <c r="DD129" i="1"/>
  <c r="DE129" i="1" s="1"/>
  <c r="R17" i="6"/>
  <c r="R41" i="6" s="1"/>
  <c r="CN53" i="1"/>
  <c r="CO53" i="1" s="1"/>
  <c r="CG44" i="1"/>
  <c r="CB111" i="1"/>
  <c r="CC111" i="1" s="1"/>
  <c r="AV108" i="1"/>
  <c r="AV128" i="1" s="1"/>
  <c r="BX110" i="1"/>
  <c r="BX130" i="1" s="1"/>
  <c r="BT160" i="1"/>
  <c r="AT31" i="1"/>
  <c r="CJ111" i="1"/>
  <c r="CK111" i="1" s="1"/>
  <c r="AN110" i="1"/>
  <c r="AN130" i="1" s="1"/>
  <c r="BB32" i="1"/>
  <c r="BJ43" i="6"/>
  <c r="BJ49" i="6" s="1"/>
  <c r="Y66" i="58"/>
  <c r="R34" i="1"/>
  <c r="AZ55" i="1"/>
  <c r="BA55" i="1" s="1"/>
  <c r="CR55" i="1"/>
  <c r="CS55" i="1" s="1"/>
  <c r="R25" i="6"/>
  <c r="R49" i="6" s="1"/>
  <c r="AG34" i="1"/>
  <c r="AH34" i="1" s="1"/>
  <c r="CS44" i="1"/>
  <c r="BE50" i="1"/>
  <c r="DJ32" i="1"/>
  <c r="DF31" i="1"/>
  <c r="BA45" i="1"/>
  <c r="DE44" i="1"/>
  <c r="BU50" i="1"/>
  <c r="AO43" i="1"/>
  <c r="CL49" i="1"/>
  <c r="DI33" i="1"/>
  <c r="BB16" i="1"/>
  <c r="AP31" i="1"/>
  <c r="Q113" i="1"/>
  <c r="Q123" i="1"/>
  <c r="BB17" i="6"/>
  <c r="BB41" i="6" s="1"/>
  <c r="BY108" i="1"/>
  <c r="L27" i="4"/>
  <c r="AX47" i="11"/>
  <c r="CZ111" i="1"/>
  <c r="CZ131" i="1" s="1"/>
  <c r="CZ151" i="1" s="1"/>
  <c r="BE35" i="1"/>
  <c r="BY49" i="1"/>
  <c r="AC119" i="1"/>
  <c r="L65" i="58"/>
  <c r="M65" i="58" s="1"/>
  <c r="N65" i="58" s="1"/>
  <c r="CD49" i="1"/>
  <c r="CS109" i="1"/>
  <c r="R64" i="58"/>
  <c r="BQ44" i="1"/>
  <c r="CV111" i="1"/>
  <c r="CV114" i="1" s="1"/>
  <c r="CW124" i="1" s="1"/>
  <c r="BR51" i="1"/>
  <c r="Q118" i="1"/>
  <c r="AV111" i="1"/>
  <c r="AW111" i="1" s="1"/>
  <c r="BY118" i="1"/>
  <c r="AC66" i="58"/>
  <c r="N64" i="58"/>
  <c r="V35" i="1"/>
  <c r="BY44" i="1"/>
  <c r="I109" i="1"/>
  <c r="BU110" i="1"/>
  <c r="D113" i="1"/>
  <c r="E113" i="1" s="1"/>
  <c r="E119" i="1"/>
  <c r="AV54" i="1"/>
  <c r="AW54" i="1" s="1"/>
  <c r="BY128" i="1"/>
  <c r="J34" i="1"/>
  <c r="CS16" i="1"/>
  <c r="BM50" i="1"/>
  <c r="BL109" i="1"/>
  <c r="DE119" i="1"/>
  <c r="AZ131" i="1"/>
  <c r="AZ151" i="1" s="1"/>
  <c r="BV15" i="1"/>
  <c r="CS45" i="1"/>
  <c r="AS51" i="1"/>
  <c r="Q55" i="1"/>
  <c r="CT16" i="1"/>
  <c r="AX51" i="1"/>
  <c r="BU111" i="1"/>
  <c r="BF49" i="1"/>
  <c r="CL51" i="1"/>
  <c r="AZ161" i="1"/>
  <c r="AY47" i="11"/>
  <c r="CK44" i="1"/>
  <c r="CG82" i="1"/>
  <c r="AR110" i="1"/>
  <c r="AS120" i="1" s="1"/>
  <c r="Y109" i="1"/>
  <c r="CR54" i="1"/>
  <c r="CS54" i="1" s="1"/>
  <c r="BB50" i="1"/>
  <c r="AZ109" i="1"/>
  <c r="BA109" i="1" s="1"/>
  <c r="BJ30" i="1"/>
  <c r="BP130" i="1"/>
  <c r="BQ130" i="1" s="1"/>
  <c r="AL16" i="6"/>
  <c r="AL34" i="6" s="1"/>
  <c r="CL15" i="1"/>
  <c r="AW34" i="1"/>
  <c r="CX45" i="1"/>
  <c r="CK50" i="1"/>
  <c r="BT114" i="1"/>
  <c r="BU124" i="1" s="1"/>
  <c r="Z17" i="6"/>
  <c r="Z41" i="6" s="1"/>
  <c r="L148" i="1"/>
  <c r="M148" i="1" s="1"/>
  <c r="BY43" i="1"/>
  <c r="AD63" i="58"/>
  <c r="X53" i="58"/>
  <c r="Y53" i="58" s="1"/>
  <c r="AL30" i="1"/>
  <c r="BN29" i="1"/>
  <c r="AL51" i="1"/>
  <c r="BQ110" i="1"/>
  <c r="AL31" i="1"/>
  <c r="AX32" i="1"/>
  <c r="CS83" i="1"/>
  <c r="BT130" i="1"/>
  <c r="BA111" i="1"/>
  <c r="Z34" i="1"/>
  <c r="CS35" i="1"/>
  <c r="BD109" i="1"/>
  <c r="BE119" i="1" s="1"/>
  <c r="CT15" i="1"/>
  <c r="AL29" i="1"/>
  <c r="BR31" i="1"/>
  <c r="CF53" i="1"/>
  <c r="CG53" i="1" s="1"/>
  <c r="BF52" i="1"/>
  <c r="BD111" i="1"/>
  <c r="CK34" i="1"/>
  <c r="CP34" i="1" s="1"/>
  <c r="Q56" i="5"/>
  <c r="O56" i="10" s="1"/>
  <c r="CS84" i="1"/>
  <c r="D129" i="1"/>
  <c r="E129" i="1" s="1"/>
  <c r="BT131" i="1"/>
  <c r="BT151" i="1" s="1"/>
  <c r="BT161" i="1"/>
  <c r="BF41" i="6"/>
  <c r="BF47" i="6" s="1"/>
  <c r="CW15" i="1"/>
  <c r="AH31" i="1"/>
  <c r="AW44" i="1"/>
  <c r="CC45" i="1"/>
  <c r="DJ45" i="1"/>
  <c r="BY51" i="1"/>
  <c r="CC52" i="1"/>
  <c r="CZ55" i="1"/>
  <c r="DA55" i="1" s="1"/>
  <c r="X65" i="58"/>
  <c r="Z24" i="58" s="1"/>
  <c r="BI35" i="1"/>
  <c r="J63" i="58"/>
  <c r="CH52" i="1"/>
  <c r="CZ53" i="1"/>
  <c r="DA53" i="1" s="1"/>
  <c r="CP52" i="1"/>
  <c r="BA35" i="1"/>
  <c r="BN50" i="1"/>
  <c r="CK83" i="1"/>
  <c r="CH29" i="1"/>
  <c r="R35" i="1"/>
  <c r="BQ83" i="1"/>
  <c r="CL50" i="1"/>
  <c r="AT29" i="1"/>
  <c r="CZ110" i="1"/>
  <c r="CD51" i="1"/>
  <c r="BF32" i="1"/>
  <c r="BX158" i="1"/>
  <c r="AW83" i="1"/>
  <c r="DF49" i="1"/>
  <c r="DJ29" i="1"/>
  <c r="CO14" i="1"/>
  <c r="DI43" i="1"/>
  <c r="AC45" i="58"/>
  <c r="BB16" i="6"/>
  <c r="BB34" i="6" s="1"/>
  <c r="BJ35" i="6"/>
  <c r="BF35" i="6"/>
  <c r="J51" i="58"/>
  <c r="N51" i="58"/>
  <c r="BJ41" i="6"/>
  <c r="BJ47" i="6" s="1"/>
  <c r="AH19" i="6"/>
  <c r="AH37" i="6" s="1"/>
  <c r="AL17" i="6"/>
  <c r="AL35" i="6" s="1"/>
  <c r="AX15" i="11"/>
  <c r="AX46" i="11" s="1"/>
  <c r="DI34" i="1"/>
  <c r="CG49" i="1"/>
  <c r="BQ15" i="1"/>
  <c r="BX53" i="1"/>
  <c r="BZ53" i="1" s="1"/>
  <c r="CJ108" i="1"/>
  <c r="CK118" i="1" s="1"/>
  <c r="CT29" i="1"/>
  <c r="BU119" i="1"/>
  <c r="BY33" i="1"/>
  <c r="DI15" i="1"/>
  <c r="AK44" i="1"/>
  <c r="DF50" i="1"/>
  <c r="AF54" i="1"/>
  <c r="CO15" i="1"/>
  <c r="DI83" i="1"/>
  <c r="BP158" i="1"/>
  <c r="AG15" i="1"/>
  <c r="DI16" i="1"/>
  <c r="BF15" i="1"/>
  <c r="DI44" i="1"/>
  <c r="DH54" i="1"/>
  <c r="BB24" i="6"/>
  <c r="BB48" i="6" s="1"/>
  <c r="BT55" i="1"/>
  <c r="BV55" i="1" s="1"/>
  <c r="CK14" i="1"/>
  <c r="BZ16" i="1"/>
  <c r="E65" i="58"/>
  <c r="J65" i="58" s="1"/>
  <c r="BR49" i="1"/>
  <c r="BV30" i="1"/>
  <c r="BT129" i="1"/>
  <c r="BJ42" i="6"/>
  <c r="BJ48" i="6" s="1"/>
  <c r="BF22" i="6"/>
  <c r="BV16" i="1"/>
  <c r="CS52" i="1"/>
  <c r="CJ53" i="1"/>
  <c r="CJ112" i="1" s="1"/>
  <c r="CJ162" i="1" s="1"/>
  <c r="CX49" i="1"/>
  <c r="BV49" i="1"/>
  <c r="BM16" i="1"/>
  <c r="BY15" i="1"/>
  <c r="BE83" i="1"/>
  <c r="BU35" i="1"/>
  <c r="CF55" i="1"/>
  <c r="CG55" i="1" s="1"/>
  <c r="BE44" i="1"/>
  <c r="BV50" i="1"/>
  <c r="BY34" i="1"/>
  <c r="BP128" i="1"/>
  <c r="BP148" i="1" s="1"/>
  <c r="BP168" i="1" s="1"/>
  <c r="BT159" i="1"/>
  <c r="BF42" i="6"/>
  <c r="BF48" i="6" s="1"/>
  <c r="BQ49" i="1"/>
  <c r="BQ118" i="1"/>
  <c r="CK43" i="1"/>
  <c r="CK33" i="1"/>
  <c r="CL33" i="1" s="1"/>
  <c r="J64" i="58"/>
  <c r="CP31" i="1"/>
  <c r="CG35" i="1"/>
  <c r="CL35" i="1" s="1"/>
  <c r="AL32" i="1"/>
  <c r="BE34" i="1"/>
  <c r="AW51" i="1"/>
  <c r="AV110" i="1"/>
  <c r="V19" i="6"/>
  <c r="V37" i="6" s="1"/>
  <c r="AG44" i="1"/>
  <c r="DA43" i="1"/>
  <c r="BJ16" i="1"/>
  <c r="DI50" i="1"/>
  <c r="N62" i="58"/>
  <c r="BN16" i="1"/>
  <c r="BR55" i="1"/>
  <c r="BY45" i="1"/>
  <c r="BM35" i="1"/>
  <c r="AL24" i="6"/>
  <c r="AL48" i="6" s="1"/>
  <c r="CC34" i="1"/>
  <c r="BX55" i="1"/>
  <c r="BI16" i="1"/>
  <c r="J62" i="58"/>
  <c r="BY84" i="1"/>
  <c r="AK35" i="1"/>
  <c r="AG83" i="1"/>
  <c r="AK45" i="1"/>
  <c r="BJ32" i="1"/>
  <c r="CC44" i="1"/>
  <c r="BM45" i="1"/>
  <c r="BH55" i="1"/>
  <c r="BN55" i="1" s="1"/>
  <c r="CN55" i="1"/>
  <c r="AS34" i="1"/>
  <c r="AS44" i="1"/>
  <c r="BM84" i="1"/>
  <c r="AP49" i="1"/>
  <c r="AP32" i="1"/>
  <c r="BP160" i="1"/>
  <c r="BF24" i="6"/>
  <c r="AP15" i="1"/>
  <c r="BN31" i="1"/>
  <c r="BM34" i="1"/>
  <c r="DA33" i="1"/>
  <c r="J19" i="6"/>
  <c r="J43" i="6" s="1"/>
  <c r="CT32" i="1"/>
  <c r="BL54" i="1"/>
  <c r="BM54" i="1" s="1"/>
  <c r="CO44" i="1"/>
  <c r="AJ55" i="1"/>
  <c r="AK55" i="1" s="1"/>
  <c r="AK84" i="1"/>
  <c r="AP29" i="1"/>
  <c r="AL19" i="6"/>
  <c r="AL37" i="6" s="1"/>
  <c r="AX25" i="6"/>
  <c r="AX49" i="6" s="1"/>
  <c r="AO15" i="1"/>
  <c r="BF40" i="6"/>
  <c r="BF46" i="6" s="1"/>
  <c r="BM44" i="1"/>
  <c r="DA82" i="1"/>
  <c r="BQ16" i="1"/>
  <c r="CC14" i="1"/>
  <c r="CB158" i="1"/>
  <c r="CB163" i="1" s="1"/>
  <c r="BM83" i="1"/>
  <c r="BF29" i="1"/>
  <c r="BQ14" i="1"/>
  <c r="DI14" i="1"/>
  <c r="CB128" i="1"/>
  <c r="CC128" i="1" s="1"/>
  <c r="DF29" i="1"/>
  <c r="BJ50" i="1"/>
  <c r="BB30" i="1"/>
  <c r="CP30" i="1"/>
  <c r="BF31" i="1"/>
  <c r="N61" i="58"/>
  <c r="BA16" i="1"/>
  <c r="J61" i="58"/>
  <c r="CD16" i="1"/>
  <c r="BJ52" i="1"/>
  <c r="CC16" i="1"/>
  <c r="BH111" i="1"/>
  <c r="BH161" i="1" s="1"/>
  <c r="BH164" i="1" s="1"/>
  <c r="BR32" i="1"/>
  <c r="CT31" i="1"/>
  <c r="CB55" i="1"/>
  <c r="BJ40" i="6"/>
  <c r="BJ46" i="6" s="1"/>
  <c r="BJ36" i="6"/>
  <c r="CW16" i="1"/>
  <c r="BF30" i="1"/>
  <c r="BI50" i="1"/>
  <c r="AP51" i="1"/>
  <c r="DE130" i="1"/>
  <c r="J54" i="58"/>
  <c r="BR52" i="1"/>
  <c r="CC118" i="1"/>
  <c r="AV109" i="1"/>
  <c r="AW109" i="1" s="1"/>
  <c r="CS82" i="1"/>
  <c r="BB19" i="6"/>
  <c r="BB37" i="6" s="1"/>
  <c r="BJ34" i="6"/>
  <c r="AP16" i="1"/>
  <c r="AX31" i="1"/>
  <c r="CR53" i="1"/>
  <c r="CR112" i="1" s="1"/>
  <c r="CS122" i="1" s="1"/>
  <c r="DD150" i="1"/>
  <c r="DD170" i="1" s="1"/>
  <c r="BB49" i="1"/>
  <c r="DJ30" i="1"/>
  <c r="DU30" i="1" s="1"/>
  <c r="AO35" i="1"/>
  <c r="CV55" i="1"/>
  <c r="CD52" i="1"/>
  <c r="CW45" i="1"/>
  <c r="CB113" i="1"/>
  <c r="CC113" i="1" s="1"/>
  <c r="AW50" i="1"/>
  <c r="CC84" i="1"/>
  <c r="DE14" i="1"/>
  <c r="AX29" i="1"/>
  <c r="DE49" i="1"/>
  <c r="DD108" i="1"/>
  <c r="AJ110" i="1"/>
  <c r="AJ114" i="1" s="1"/>
  <c r="AJ173" i="1"/>
  <c r="BH109" i="1"/>
  <c r="BH113" i="1" s="1"/>
  <c r="BI123" i="1" s="1"/>
  <c r="AO16" i="1"/>
  <c r="BF16" i="1"/>
  <c r="CL29" i="1"/>
  <c r="AT32" i="1"/>
  <c r="AH32" i="1"/>
  <c r="BY14" i="1"/>
  <c r="BM15" i="1"/>
  <c r="DA16" i="1"/>
  <c r="CW35" i="1"/>
  <c r="AC67" i="58"/>
  <c r="CX16" i="1"/>
  <c r="AS16" i="1"/>
  <c r="AK51" i="1"/>
  <c r="AK16" i="1"/>
  <c r="DE33" i="1"/>
  <c r="DA51" i="1"/>
  <c r="CC51" i="1"/>
  <c r="CB110" i="1"/>
  <c r="DA49" i="1"/>
  <c r="CZ108" i="1"/>
  <c r="AC111" i="1"/>
  <c r="AB131" i="1"/>
  <c r="O7" i="5"/>
  <c r="L62" i="9" s="1"/>
  <c r="AH24" i="6"/>
  <c r="AH48" i="6" s="1"/>
  <c r="AS35" i="1"/>
  <c r="AS14" i="1"/>
  <c r="CG15" i="1"/>
  <c r="AP30" i="1"/>
  <c r="AD54" i="1"/>
  <c r="DE82" i="1"/>
  <c r="V23" i="6"/>
  <c r="V47" i="6" s="1"/>
  <c r="F37" i="6"/>
  <c r="F25" i="6" s="1"/>
  <c r="F49" i="6" s="1"/>
  <c r="AH16" i="6"/>
  <c r="AH40" i="6" s="1"/>
  <c r="AX17" i="6"/>
  <c r="AX35" i="6" s="1"/>
  <c r="AT16" i="1"/>
  <c r="CS14" i="1"/>
  <c r="AO14" i="1"/>
  <c r="AO33" i="1"/>
  <c r="DJ50" i="1"/>
  <c r="T158" i="1"/>
  <c r="AG63" i="58"/>
  <c r="DM31" i="1"/>
  <c r="DR31" i="1" s="1"/>
  <c r="DB51" i="1"/>
  <c r="DM118" i="1"/>
  <c r="BB29" i="1"/>
  <c r="X129" i="1"/>
  <c r="X149" i="1" s="1"/>
  <c r="Y149" i="1" s="1"/>
  <c r="U112" i="1"/>
  <c r="AS45" i="1"/>
  <c r="AX16" i="1"/>
  <c r="AW35" i="1"/>
  <c r="AV55" i="1"/>
  <c r="AW55" i="1" s="1"/>
  <c r="AS84" i="1"/>
  <c r="BA14" i="1"/>
  <c r="AV53" i="1"/>
  <c r="AW14" i="1"/>
  <c r="AW33" i="1"/>
  <c r="AW43" i="1"/>
  <c r="AW82" i="1"/>
  <c r="AN108" i="1"/>
  <c r="AO49" i="1"/>
  <c r="BU49" i="1"/>
  <c r="BT108" i="1"/>
  <c r="BT158" i="1" s="1"/>
  <c r="CF161" i="1"/>
  <c r="CG161" i="1" s="1"/>
  <c r="CF111" i="1"/>
  <c r="CG52" i="1"/>
  <c r="BA49" i="1"/>
  <c r="N53" i="1"/>
  <c r="AO82" i="1"/>
  <c r="AW15" i="1"/>
  <c r="N130" i="8"/>
  <c r="AP23" i="6"/>
  <c r="AP47" i="6" s="1"/>
  <c r="CO43" i="1"/>
  <c r="U128" i="1"/>
  <c r="AD66" i="58"/>
  <c r="Z66" i="58"/>
  <c r="BY50" i="1"/>
  <c r="AT52" i="1"/>
  <c r="BI108" i="1"/>
  <c r="AW16" i="1"/>
  <c r="BI15" i="1"/>
  <c r="U66" i="58"/>
  <c r="V128" i="1"/>
  <c r="BN12" i="6"/>
  <c r="BN18" i="6" s="1"/>
  <c r="C111" i="3"/>
  <c r="G111" i="3" s="1"/>
  <c r="DF15" i="1"/>
  <c r="DD54" i="1"/>
  <c r="BQ34" i="1"/>
  <c r="BN10" i="6"/>
  <c r="BN16" i="6" s="1"/>
  <c r="BN34" i="6" s="1"/>
  <c r="C109" i="3"/>
  <c r="G109" i="3" s="1"/>
  <c r="BZ49" i="1"/>
  <c r="H150" i="1"/>
  <c r="AZ172" i="1"/>
  <c r="EX42" i="11"/>
  <c r="EX52" i="11" s="1"/>
  <c r="EX24" i="11"/>
  <c r="EX49" i="11" s="1"/>
  <c r="R53" i="58"/>
  <c r="CW113" i="1"/>
  <c r="CW123" i="1"/>
  <c r="DI111" i="1"/>
  <c r="AB129" i="1"/>
  <c r="N132" i="8"/>
  <c r="AY15" i="11"/>
  <c r="AY46" i="11" s="1"/>
  <c r="P56" i="7"/>
  <c r="F58" i="7"/>
  <c r="AJ58" i="7"/>
  <c r="Z59" i="7"/>
  <c r="CP15" i="1"/>
  <c r="CN54" i="1"/>
  <c r="DB15" i="1"/>
  <c r="CZ54" i="1"/>
  <c r="DB54" i="1" s="1"/>
  <c r="DE15" i="1"/>
  <c r="DA15" i="1"/>
  <c r="DA34" i="1"/>
  <c r="I54" i="1"/>
  <c r="N54" i="1" s="1"/>
  <c r="J54" i="1"/>
  <c r="Q128" i="1"/>
  <c r="P148" i="1"/>
  <c r="P153" i="1" s="1"/>
  <c r="Q153" i="1" s="1"/>
  <c r="R128" i="1"/>
  <c r="M82" i="3"/>
  <c r="BE49" i="1"/>
  <c r="BD108" i="1"/>
  <c r="CH51" i="1"/>
  <c r="CF110" i="1"/>
  <c r="CF160" i="1"/>
  <c r="CG51" i="1"/>
  <c r="CP51" i="1"/>
  <c r="CN110" i="1"/>
  <c r="CS15" i="1"/>
  <c r="BI83" i="1"/>
  <c r="BH150" i="1"/>
  <c r="M61" i="3"/>
  <c r="H108" i="64"/>
  <c r="AN54" i="1"/>
  <c r="AO54" i="1" s="1"/>
  <c r="AO34" i="1"/>
  <c r="CF112" i="1"/>
  <c r="V55" i="1"/>
  <c r="CC43" i="1"/>
  <c r="CB53" i="1"/>
  <c r="CC82" i="1"/>
  <c r="CC33" i="1"/>
  <c r="CH33" i="1" s="1"/>
  <c r="CR110" i="1"/>
  <c r="CS51" i="1"/>
  <c r="AK111" i="1"/>
  <c r="AK121" i="1"/>
  <c r="AG49" i="1"/>
  <c r="AF108" i="1"/>
  <c r="DI51" i="1"/>
  <c r="DH114" i="1"/>
  <c r="DI114" i="1" s="1"/>
  <c r="CL31" i="1"/>
  <c r="AG52" i="1"/>
  <c r="CJ55" i="1"/>
  <c r="CK55" i="1" s="1"/>
  <c r="CX43" i="1"/>
  <c r="M34" i="3"/>
  <c r="M62" i="3"/>
  <c r="CG16" i="1"/>
  <c r="J55" i="1"/>
  <c r="BA15" i="1"/>
  <c r="BU43" i="1"/>
  <c r="CO35" i="1"/>
  <c r="M46" i="3"/>
  <c r="AB78" i="3"/>
  <c r="M84" i="3"/>
  <c r="V10" i="58"/>
  <c r="J77" i="64"/>
  <c r="D297" i="54"/>
  <c r="D311" i="54"/>
  <c r="BB15" i="1"/>
  <c r="BA34" i="1"/>
  <c r="BA83" i="1"/>
  <c r="BA44" i="1"/>
  <c r="BE112" i="1"/>
  <c r="BD132" i="1"/>
  <c r="BE122" i="1"/>
  <c r="BD162" i="1"/>
  <c r="BE162" i="1" s="1"/>
  <c r="R76" i="64"/>
  <c r="J132" i="8"/>
  <c r="P132" i="8"/>
  <c r="AZ108" i="1"/>
  <c r="Q111" i="1"/>
  <c r="Q121" i="1"/>
  <c r="P131" i="1"/>
  <c r="U123" i="1"/>
  <c r="D107" i="64"/>
  <c r="C74" i="64"/>
  <c r="C108" i="64"/>
  <c r="H107" i="64"/>
  <c r="G108" i="64"/>
  <c r="L108" i="64"/>
  <c r="K109" i="64"/>
  <c r="AB81" i="8"/>
  <c r="AD81" i="8" s="1"/>
  <c r="AB82" i="3"/>
  <c r="AD82" i="3" s="1"/>
  <c r="AB81" i="3"/>
  <c r="AD81" i="3" s="1"/>
  <c r="BN11" i="6"/>
  <c r="C110" i="3"/>
  <c r="G110" i="3" s="1"/>
  <c r="AF110" i="3" s="1"/>
  <c r="AW108" i="1"/>
  <c r="AW118" i="1"/>
  <c r="BQ50" i="1"/>
  <c r="BP109" i="1"/>
  <c r="BP159" i="1" s="1"/>
  <c r="BR50" i="1"/>
  <c r="DQ80" i="1"/>
  <c r="AK43" i="58"/>
  <c r="DQ12" i="1"/>
  <c r="BZ12" i="6" s="1"/>
  <c r="DP31" i="1"/>
  <c r="DP16" i="1"/>
  <c r="DQ65" i="1" s="1"/>
  <c r="DP14" i="1"/>
  <c r="K76" i="64"/>
  <c r="O9" i="5"/>
  <c r="O5" i="4"/>
  <c r="O27" i="4" s="1"/>
  <c r="CO49" i="1"/>
  <c r="CP49" i="1"/>
  <c r="CN108" i="1"/>
  <c r="CW109" i="1"/>
  <c r="CV129" i="1"/>
  <c r="CW119" i="1"/>
  <c r="E111" i="1"/>
  <c r="D131" i="1"/>
  <c r="J131" i="1" s="1"/>
  <c r="E121" i="1"/>
  <c r="BQ52" i="1"/>
  <c r="BP111" i="1"/>
  <c r="BV52" i="1"/>
  <c r="BJ29" i="1"/>
  <c r="BM14" i="1"/>
  <c r="BM43" i="1"/>
  <c r="BL53" i="1"/>
  <c r="BM82" i="1"/>
  <c r="BM33" i="1"/>
  <c r="BN33" i="1" s="1"/>
  <c r="BQ33" i="1"/>
  <c r="BQ43" i="1"/>
  <c r="BP53" i="1"/>
  <c r="BV53" i="1" s="1"/>
  <c r="BQ82" i="1"/>
  <c r="BZ50" i="1"/>
  <c r="BX159" i="1"/>
  <c r="BX109" i="1"/>
  <c r="AK109" i="1"/>
  <c r="AJ129" i="1"/>
  <c r="AK119" i="1"/>
  <c r="CB129" i="1"/>
  <c r="CC119" i="1"/>
  <c r="AG112" i="1"/>
  <c r="AG122" i="1"/>
  <c r="BP53" i="6"/>
  <c r="BU47" i="6"/>
  <c r="BT53" i="6"/>
  <c r="AL15" i="1"/>
  <c r="AK83" i="1"/>
  <c r="AK34" i="1"/>
  <c r="BE51" i="1"/>
  <c r="BD110" i="1"/>
  <c r="BR16" i="1"/>
  <c r="BQ45" i="1"/>
  <c r="AO44" i="1"/>
  <c r="CK119" i="1"/>
  <c r="CK109" i="1"/>
  <c r="CJ129" i="1"/>
  <c r="M111" i="3"/>
  <c r="DE52" i="1"/>
  <c r="DD111" i="1"/>
  <c r="P131" i="8"/>
  <c r="J131" i="8"/>
  <c r="P108" i="64"/>
  <c r="AH52" i="1"/>
  <c r="AF111" i="1"/>
  <c r="N59" i="7"/>
  <c r="AJ131" i="1"/>
  <c r="AP131" i="1" s="1"/>
  <c r="N131" i="8"/>
  <c r="BY16" i="1"/>
  <c r="AB106" i="3"/>
  <c r="AD112" i="3"/>
  <c r="BU82" i="1"/>
  <c r="AP25" i="6"/>
  <c r="AP49" i="6" s="1"/>
  <c r="CP16" i="1"/>
  <c r="M63" i="3"/>
  <c r="AD84" i="3"/>
  <c r="AH49" i="1"/>
  <c r="BN32" i="1"/>
  <c r="BT52" i="6"/>
  <c r="BU46" i="6"/>
  <c r="AH51" i="1"/>
  <c r="AF110" i="1"/>
  <c r="AG51" i="1"/>
  <c r="AS52" i="1"/>
  <c r="AR111" i="1"/>
  <c r="AB113" i="1"/>
  <c r="AC108" i="1"/>
  <c r="AC118" i="1"/>
  <c r="N77" i="64"/>
  <c r="N78" i="64" s="1"/>
  <c r="BR13" i="6"/>
  <c r="BR19" i="6" s="1"/>
  <c r="C119" i="3"/>
  <c r="G119" i="3" s="1"/>
  <c r="O119" i="3" s="1"/>
  <c r="CS49" i="1"/>
  <c r="CR108" i="1"/>
  <c r="BU83" i="1"/>
  <c r="BI45" i="1"/>
  <c r="P107" i="64"/>
  <c r="O108" i="64"/>
  <c r="AO84" i="1"/>
  <c r="AO45" i="1"/>
  <c r="BN13" i="6"/>
  <c r="BN19" i="6" s="1"/>
  <c r="C112" i="3"/>
  <c r="G112" i="3" s="1"/>
  <c r="CH30" i="1"/>
  <c r="BU34" i="1"/>
  <c r="DH131" i="1"/>
  <c r="EF28" i="11" s="1"/>
  <c r="R54" i="1"/>
  <c r="CC83" i="1"/>
  <c r="D134" i="8"/>
  <c r="T134" i="3"/>
  <c r="E134" i="3"/>
  <c r="DR14" i="1" s="1"/>
  <c r="AI134" i="3"/>
  <c r="BQ48" i="6"/>
  <c r="CH15" i="1"/>
  <c r="CG83" i="1"/>
  <c r="BU44" i="1"/>
  <c r="CO111" i="1"/>
  <c r="CN131" i="1"/>
  <c r="CO121" i="1"/>
  <c r="CD30" i="1"/>
  <c r="CP50" i="1"/>
  <c r="CN109" i="1"/>
  <c r="U109" i="1"/>
  <c r="T129" i="1"/>
  <c r="U119" i="1"/>
  <c r="AK132" i="1"/>
  <c r="AJ152" i="1"/>
  <c r="AJ162" i="1"/>
  <c r="M96" i="3"/>
  <c r="DP32" i="1"/>
  <c r="DQ13" i="1"/>
  <c r="BZ13" i="6" s="1"/>
  <c r="AK44" i="58"/>
  <c r="DQ81" i="1"/>
  <c r="C388" i="54"/>
  <c r="I124" i="3"/>
  <c r="AL49" i="1"/>
  <c r="AJ108" i="1"/>
  <c r="AS15" i="1"/>
  <c r="AR54" i="1"/>
  <c r="AT15" i="1"/>
  <c r="AG50" i="1"/>
  <c r="AH50" i="1"/>
  <c r="AF109" i="1"/>
  <c r="V96" i="3"/>
  <c r="M103" i="3"/>
  <c r="CK84" i="1"/>
  <c r="CK45" i="1"/>
  <c r="AT50" i="1"/>
  <c r="AR109" i="1"/>
  <c r="BJ15" i="1"/>
  <c r="BH54" i="1"/>
  <c r="AB114" i="1"/>
  <c r="AC110" i="1"/>
  <c r="AC120" i="1"/>
  <c r="AB130" i="1"/>
  <c r="CO45" i="1"/>
  <c r="G109" i="64"/>
  <c r="T107" i="64"/>
  <c r="S108" i="64"/>
  <c r="S74" i="64"/>
  <c r="DJ16" i="1"/>
  <c r="DH55" i="1"/>
  <c r="DI84" i="1"/>
  <c r="J78" i="64"/>
  <c r="AF46" i="4"/>
  <c r="CL16" i="1"/>
  <c r="AD33" i="1"/>
  <c r="CT34" i="1"/>
  <c r="DI45" i="1"/>
  <c r="BU14" i="1"/>
  <c r="BU33" i="1"/>
  <c r="CO16" i="1"/>
  <c r="DL202" i="1"/>
  <c r="DP198" i="1"/>
  <c r="M49" i="3"/>
  <c r="AS50" i="1"/>
  <c r="CT51" i="1"/>
  <c r="CC15" i="1"/>
  <c r="DF52" i="1"/>
  <c r="BB51" i="1"/>
  <c r="AZ110" i="1"/>
  <c r="AZ160" i="1" s="1"/>
  <c r="BA51" i="1"/>
  <c r="BN52" i="1"/>
  <c r="BL111" i="1"/>
  <c r="CB54" i="1"/>
  <c r="CH54" i="1" s="1"/>
  <c r="DI35" i="1"/>
  <c r="CK51" i="1"/>
  <c r="CJ110" i="1"/>
  <c r="BI34" i="1"/>
  <c r="BJ34" i="1" s="1"/>
  <c r="G75" i="64"/>
  <c r="O75" i="64"/>
  <c r="O76" i="64" s="1"/>
  <c r="P110" i="64" s="1"/>
  <c r="S75" i="64"/>
  <c r="S110" i="64" s="1"/>
  <c r="BL53" i="6"/>
  <c r="AB67" i="8"/>
  <c r="AD67" i="8" s="1"/>
  <c r="AB67" i="3"/>
  <c r="AD74" i="3" s="1"/>
  <c r="AB68" i="3"/>
  <c r="AD68" i="3" s="1"/>
  <c r="AF55" i="1"/>
  <c r="AG35" i="1"/>
  <c r="DJ52" i="1"/>
  <c r="M110" i="1"/>
  <c r="L114" i="1"/>
  <c r="L130" i="1"/>
  <c r="AF56" i="7"/>
  <c r="N57" i="7"/>
  <c r="V58" i="7"/>
  <c r="J59" i="7"/>
  <c r="CF108" i="1"/>
  <c r="CF158" i="1"/>
  <c r="DB50" i="1"/>
  <c r="CZ109" i="1"/>
  <c r="BH128" i="1"/>
  <c r="BI118" i="1"/>
  <c r="F76" i="64"/>
  <c r="C219" i="54"/>
  <c r="Z19" i="3"/>
  <c r="BM49" i="1"/>
  <c r="BL108" i="1"/>
  <c r="BL158" i="1" s="1"/>
  <c r="BM158" i="1" s="1"/>
  <c r="BZ15" i="1"/>
  <c r="BX54" i="1"/>
  <c r="CG50" i="1"/>
  <c r="CH50" i="1"/>
  <c r="CF159" i="1"/>
  <c r="CF109" i="1"/>
  <c r="CH16" i="1"/>
  <c r="CG45" i="1"/>
  <c r="CT52" i="1"/>
  <c r="CR111" i="1"/>
  <c r="DB16" i="1"/>
  <c r="DA84" i="1"/>
  <c r="DA45" i="1"/>
  <c r="Y130" i="1"/>
  <c r="X150" i="1"/>
  <c r="M47" i="3"/>
  <c r="AD89" i="3"/>
  <c r="AB53" i="8"/>
  <c r="AD53" i="8" s="1"/>
  <c r="AB54" i="3"/>
  <c r="AT49" i="1"/>
  <c r="AR108" i="1"/>
  <c r="AS49" i="1"/>
  <c r="AP50" i="1"/>
  <c r="AN109" i="1"/>
  <c r="BE84" i="1"/>
  <c r="BE45" i="1"/>
  <c r="BL110" i="1"/>
  <c r="BL160" i="1" s="1"/>
  <c r="BM51" i="1"/>
  <c r="BY52" i="1"/>
  <c r="BX161" i="1"/>
  <c r="BX111" i="1"/>
  <c r="CG14" i="1"/>
  <c r="CG34" i="1"/>
  <c r="DA44" i="1"/>
  <c r="AX50" i="1"/>
  <c r="E120" i="1"/>
  <c r="D114" i="1"/>
  <c r="E110" i="1"/>
  <c r="D130" i="1"/>
  <c r="CZ130" i="1"/>
  <c r="DB130" i="1" s="1"/>
  <c r="CO83" i="1"/>
  <c r="M131" i="1"/>
  <c r="L151" i="1"/>
  <c r="L171" i="1"/>
  <c r="AD96" i="3"/>
  <c r="AK96" i="3"/>
  <c r="AI103" i="3"/>
  <c r="AK103" i="3" s="1"/>
  <c r="V103" i="3"/>
  <c r="X103" i="3" s="1"/>
  <c r="BK6" i="11"/>
  <c r="BF7" i="11"/>
  <c r="BF6" i="11" s="1"/>
  <c r="BG6" i="11" s="1"/>
  <c r="BH6" i="11" s="1"/>
  <c r="BI6" i="11" s="1"/>
  <c r="BX6" i="11"/>
  <c r="BX75" i="11" s="1"/>
  <c r="BW75" i="11"/>
  <c r="FB7" i="11"/>
  <c r="FA38" i="11"/>
  <c r="FA62" i="11"/>
  <c r="FA56" i="11"/>
  <c r="BS75" i="11"/>
  <c r="V22" i="58"/>
  <c r="T24" i="58"/>
  <c r="U24" i="58" s="1"/>
  <c r="R10" i="58"/>
  <c r="AF17" i="9"/>
  <c r="P51" i="58"/>
  <c r="Q51" i="58" s="1"/>
  <c r="R51" i="58" s="1"/>
  <c r="Y20" i="58"/>
  <c r="Y22" i="58"/>
  <c r="V20" i="58"/>
  <c r="X54" i="58"/>
  <c r="D53" i="58"/>
  <c r="E53" i="58" s="1"/>
  <c r="J53" i="58" s="1"/>
  <c r="X25" i="58"/>
  <c r="AC20" i="58"/>
  <c r="T25" i="58"/>
  <c r="U25" i="58" s="1"/>
  <c r="AB54" i="58"/>
  <c r="Z20" i="58"/>
  <c r="T13" i="58"/>
  <c r="R13" i="58"/>
  <c r="D35" i="58"/>
  <c r="F44" i="64"/>
  <c r="DN29" i="1"/>
  <c r="DR29" i="1"/>
  <c r="L126" i="8"/>
  <c r="L133" i="8"/>
  <c r="L125" i="8"/>
  <c r="L132" i="8"/>
  <c r="R16" i="6"/>
  <c r="R40" i="6" s="1"/>
  <c r="AX16" i="6"/>
  <c r="AX40" i="6" s="1"/>
  <c r="Z25" i="6"/>
  <c r="Z49" i="6" s="1"/>
  <c r="BJ25" i="6"/>
  <c r="J17" i="6"/>
  <c r="J35" i="6" s="1"/>
  <c r="FR65" i="11"/>
  <c r="FS65" i="11"/>
  <c r="AF22" i="4"/>
  <c r="N51" i="72"/>
  <c r="N92" i="72"/>
  <c r="P133" i="72"/>
  <c r="CO33" i="1"/>
  <c r="CT33" i="1" s="1"/>
  <c r="AK15" i="1"/>
  <c r="CO82" i="1"/>
  <c r="DL14" i="1"/>
  <c r="C35" i="4"/>
  <c r="C36" i="4" s="1"/>
  <c r="C36" i="5"/>
  <c r="C37" i="5" s="1"/>
  <c r="K44" i="64"/>
  <c r="K45" i="64"/>
  <c r="L44" i="64"/>
  <c r="L45" i="64"/>
  <c r="R108" i="64"/>
  <c r="Q109" i="64"/>
  <c r="O44" i="64"/>
  <c r="O45" i="64"/>
  <c r="AK106" i="3"/>
  <c r="S44" i="64"/>
  <c r="S45" i="64"/>
  <c r="EL37" i="1"/>
  <c r="EQ37" i="1"/>
  <c r="EK44" i="1"/>
  <c r="EM37" i="1"/>
  <c r="J107" i="64"/>
  <c r="I108" i="64"/>
  <c r="T57" i="9"/>
  <c r="T46" i="9"/>
  <c r="BI47" i="6"/>
  <c r="BD53" i="6"/>
  <c r="BE47" i="6"/>
  <c r="BH53" i="6"/>
  <c r="AJ50" i="7"/>
  <c r="AH51" i="7"/>
  <c r="J6" i="10"/>
  <c r="G9" i="9"/>
  <c r="I47" i="10"/>
  <c r="I50" i="10" s="1"/>
  <c r="C192" i="54"/>
  <c r="D191" i="54"/>
  <c r="I125" i="3"/>
  <c r="M63" i="9"/>
  <c r="P15" i="5"/>
  <c r="FB13" i="11"/>
  <c r="P26" i="5"/>
  <c r="FB19" i="11"/>
  <c r="I45" i="5"/>
  <c r="EU30" i="11" s="1"/>
  <c r="EU23" i="11"/>
  <c r="BR12" i="6"/>
  <c r="BR18" i="6" s="1"/>
  <c r="C118" i="3"/>
  <c r="G118" i="3" s="1"/>
  <c r="CW14" i="1"/>
  <c r="CX14" i="1"/>
  <c r="CW33" i="1"/>
  <c r="CX33" i="1" s="1"/>
  <c r="CV53" i="1"/>
  <c r="N95" i="8"/>
  <c r="AD95" i="8"/>
  <c r="J95" i="8"/>
  <c r="P95" i="8"/>
  <c r="X95" i="8"/>
  <c r="N97" i="8"/>
  <c r="AD97" i="8"/>
  <c r="P97" i="8"/>
  <c r="X97" i="8"/>
  <c r="J97" i="8"/>
  <c r="P118" i="8"/>
  <c r="AD118" i="8"/>
  <c r="J118" i="8"/>
  <c r="N118" i="8"/>
  <c r="X118" i="8"/>
  <c r="J98" i="8"/>
  <c r="P98" i="8"/>
  <c r="AD98" i="8"/>
  <c r="N98" i="8"/>
  <c r="X98" i="8"/>
  <c r="N125" i="8"/>
  <c r="J125" i="8"/>
  <c r="P125" i="8"/>
  <c r="J27" i="8"/>
  <c r="N27" i="8"/>
  <c r="P27" i="8"/>
  <c r="X27" i="8"/>
  <c r="N74" i="8"/>
  <c r="AD74" i="8"/>
  <c r="P74" i="8"/>
  <c r="X74" i="8"/>
  <c r="J74" i="8"/>
  <c r="N55" i="8"/>
  <c r="AD55" i="8"/>
  <c r="P55" i="8"/>
  <c r="X55" i="8"/>
  <c r="J55" i="8"/>
  <c r="N46" i="8"/>
  <c r="P46" i="8"/>
  <c r="X46" i="8"/>
  <c r="J46" i="8"/>
  <c r="N21" i="8"/>
  <c r="P21" i="8"/>
  <c r="X21" i="8"/>
  <c r="J21" i="8"/>
  <c r="J13" i="8"/>
  <c r="P13" i="8"/>
  <c r="P102" i="8"/>
  <c r="X102" i="8"/>
  <c r="J102" i="8"/>
  <c r="AD102" i="8"/>
  <c r="N102" i="8"/>
  <c r="P84" i="8"/>
  <c r="X84" i="8"/>
  <c r="N84" i="8"/>
  <c r="AD84" i="8"/>
  <c r="J84" i="8"/>
  <c r="P70" i="8"/>
  <c r="X70" i="8"/>
  <c r="J70" i="8"/>
  <c r="N70" i="8"/>
  <c r="AD70" i="8"/>
  <c r="P56" i="8"/>
  <c r="X56" i="8"/>
  <c r="J56" i="8"/>
  <c r="N56" i="8"/>
  <c r="AD56" i="8"/>
  <c r="P42" i="8"/>
  <c r="X42" i="8"/>
  <c r="J42" i="8"/>
  <c r="N42" i="8"/>
  <c r="AD14" i="8"/>
  <c r="J14" i="8"/>
  <c r="P14" i="8"/>
  <c r="X14" i="8"/>
  <c r="F59" i="9"/>
  <c r="Q26" i="5"/>
  <c r="FC19" i="11"/>
  <c r="FA26" i="11"/>
  <c r="Y22" i="4"/>
  <c r="FK66" i="11"/>
  <c r="V35" i="6"/>
  <c r="V41" i="6"/>
  <c r="BB35" i="6"/>
  <c r="AL36" i="6"/>
  <c r="AL42" i="6"/>
  <c r="EU19" i="11"/>
  <c r="FB26" i="11"/>
  <c r="M56" i="10"/>
  <c r="FA36" i="11"/>
  <c r="R37" i="6"/>
  <c r="R43" i="6"/>
  <c r="AX37" i="6"/>
  <c r="AX43" i="6"/>
  <c r="I15" i="5"/>
  <c r="EU13" i="11"/>
  <c r="AD10" i="6"/>
  <c r="BU15" i="1"/>
  <c r="N17" i="6"/>
  <c r="N23" i="6"/>
  <c r="N47" i="6" s="1"/>
  <c r="N25" i="6"/>
  <c r="N49" i="6" s="1"/>
  <c r="N19" i="6"/>
  <c r="EC41" i="1"/>
  <c r="CS43" i="1"/>
  <c r="CT43" i="1"/>
  <c r="BE55" i="1"/>
  <c r="I108" i="1"/>
  <c r="I118" i="1"/>
  <c r="H113" i="1"/>
  <c r="H128" i="1"/>
  <c r="U111" i="1"/>
  <c r="T114" i="1"/>
  <c r="U121" i="1"/>
  <c r="T131" i="1"/>
  <c r="T134" i="1" s="1"/>
  <c r="AC128" i="1"/>
  <c r="AB148" i="1"/>
  <c r="C389" i="54"/>
  <c r="Z37" i="6"/>
  <c r="Z43" i="6"/>
  <c r="M83" i="3"/>
  <c r="M90" i="3"/>
  <c r="D14" i="58"/>
  <c r="D55" i="58" s="1"/>
  <c r="E55" i="58" s="1"/>
  <c r="H55" i="58"/>
  <c r="I55" i="58" s="1"/>
  <c r="BU16" i="1"/>
  <c r="DA14" i="1"/>
  <c r="DF32" i="1"/>
  <c r="CX34" i="1"/>
  <c r="EK38" i="1"/>
  <c r="AD98" i="3"/>
  <c r="CK16" i="1"/>
  <c r="DH129" i="1"/>
  <c r="ED28" i="11" s="1"/>
  <c r="DI109" i="1"/>
  <c r="M56" i="3"/>
  <c r="AD88" i="3"/>
  <c r="AB92" i="3"/>
  <c r="AD109" i="3"/>
  <c r="AD116" i="3"/>
  <c r="AB113" i="3"/>
  <c r="N11" i="58"/>
  <c r="L15" i="58"/>
  <c r="P11" i="58"/>
  <c r="L14" i="58"/>
  <c r="N14" i="58" s="1"/>
  <c r="AD119" i="3"/>
  <c r="Z12" i="58"/>
  <c r="T53" i="58"/>
  <c r="Y12" i="58"/>
  <c r="T16" i="58"/>
  <c r="V12" i="58"/>
  <c r="L52" i="58"/>
  <c r="L54" i="58"/>
  <c r="M54" i="58" s="1"/>
  <c r="N54" i="58" s="1"/>
  <c r="M44" i="64"/>
  <c r="M45" i="64"/>
  <c r="K120" i="3"/>
  <c r="V120" i="3" s="1"/>
  <c r="L45" i="58"/>
  <c r="AC65" i="58"/>
  <c r="AD65" i="58"/>
  <c r="V65" i="58"/>
  <c r="U65" i="58"/>
  <c r="T168" i="1"/>
  <c r="K64" i="3"/>
  <c r="M64" i="3" s="1"/>
  <c r="DL16" i="1"/>
  <c r="DM12" i="1"/>
  <c r="DM80" i="1"/>
  <c r="AG43" i="58"/>
  <c r="N53" i="58"/>
  <c r="K36" i="3"/>
  <c r="AI95" i="3"/>
  <c r="AK95" i="3" s="1"/>
  <c r="V95" i="3"/>
  <c r="AI110" i="3"/>
  <c r="AK110" i="3" s="1"/>
  <c r="V110" i="3"/>
  <c r="AC26" i="58"/>
  <c r="Z26" i="58"/>
  <c r="Y26" i="58"/>
  <c r="AC53" i="58"/>
  <c r="V43" i="64"/>
  <c r="DO65" i="11"/>
  <c r="DN62" i="11"/>
  <c r="Q65" i="58"/>
  <c r="H44" i="64"/>
  <c r="H45" i="64"/>
  <c r="N107" i="64"/>
  <c r="M108" i="64"/>
  <c r="X42" i="64"/>
  <c r="W40" i="64"/>
  <c r="B123" i="64"/>
  <c r="A123" i="64"/>
  <c r="D75" i="64"/>
  <c r="T75" i="64"/>
  <c r="F108" i="64"/>
  <c r="X57" i="9"/>
  <c r="X46" i="9"/>
  <c r="AJ19" i="10"/>
  <c r="AC46" i="9"/>
  <c r="AC48" i="9" s="1"/>
  <c r="AC57" i="9"/>
  <c r="BI48" i="6"/>
  <c r="BH54" i="6"/>
  <c r="BL54" i="6"/>
  <c r="BA49" i="6"/>
  <c r="AZ55" i="6"/>
  <c r="BR11" i="6"/>
  <c r="BR17" i="6" s="1"/>
  <c r="C117" i="3"/>
  <c r="G117" i="3" s="1"/>
  <c r="AC53" i="1"/>
  <c r="AH53" i="1"/>
  <c r="AB112" i="1"/>
  <c r="AD53" i="1"/>
  <c r="J124" i="8"/>
  <c r="N124" i="8"/>
  <c r="P124" i="8"/>
  <c r="J88" i="8"/>
  <c r="N88" i="8"/>
  <c r="AD88" i="8"/>
  <c r="P88" i="8"/>
  <c r="X88" i="8"/>
  <c r="N110" i="8"/>
  <c r="AD110" i="8"/>
  <c r="X110" i="8"/>
  <c r="P110" i="8"/>
  <c r="J110" i="8"/>
  <c r="P116" i="8"/>
  <c r="AD116" i="8"/>
  <c r="J116" i="8"/>
  <c r="N116" i="8"/>
  <c r="X116" i="8"/>
  <c r="J90" i="8"/>
  <c r="X90" i="8"/>
  <c r="N90" i="8"/>
  <c r="AD90" i="8"/>
  <c r="P90" i="8"/>
  <c r="J111" i="8"/>
  <c r="AD111" i="8"/>
  <c r="N111" i="8"/>
  <c r="X111" i="8"/>
  <c r="P111" i="8"/>
  <c r="J25" i="8"/>
  <c r="N25" i="8"/>
  <c r="P25" i="8"/>
  <c r="X25" i="8"/>
  <c r="N62" i="8"/>
  <c r="AD62" i="8"/>
  <c r="P62" i="8"/>
  <c r="X62" i="8"/>
  <c r="J62" i="8"/>
  <c r="N53" i="8"/>
  <c r="P53" i="8"/>
  <c r="X53" i="8"/>
  <c r="J53" i="8"/>
  <c r="N34" i="8"/>
  <c r="P34" i="8"/>
  <c r="X34" i="8"/>
  <c r="J34" i="8"/>
  <c r="P12" i="8"/>
  <c r="J12" i="8"/>
  <c r="N20" i="8"/>
  <c r="P20" i="8"/>
  <c r="X20" i="8"/>
  <c r="J20" i="8"/>
  <c r="P119" i="8"/>
  <c r="X119" i="8"/>
  <c r="N119" i="8"/>
  <c r="J119" i="8"/>
  <c r="AD119" i="8"/>
  <c r="P82" i="8"/>
  <c r="X82" i="8"/>
  <c r="J82" i="8"/>
  <c r="N82" i="8"/>
  <c r="AD82" i="8"/>
  <c r="P68" i="8"/>
  <c r="X68" i="8"/>
  <c r="J68" i="8"/>
  <c r="N68" i="8"/>
  <c r="AD68" i="8"/>
  <c r="P54" i="8"/>
  <c r="X54" i="8"/>
  <c r="J54" i="8"/>
  <c r="N54" i="8"/>
  <c r="AD54" i="8"/>
  <c r="P40" i="8"/>
  <c r="X40" i="8"/>
  <c r="J40" i="8"/>
  <c r="N40" i="8"/>
  <c r="M5" i="5"/>
  <c r="N7" i="5"/>
  <c r="N32" i="5"/>
  <c r="EZ22" i="11" s="1"/>
  <c r="N39" i="5"/>
  <c r="N5" i="4"/>
  <c r="N27" i="4" s="1"/>
  <c r="N56" i="5"/>
  <c r="N14" i="5"/>
  <c r="N18" i="5"/>
  <c r="N25" i="5"/>
  <c r="O26" i="5" s="1"/>
  <c r="N9" i="5"/>
  <c r="N34" i="5"/>
  <c r="EZ23" i="11" s="1"/>
  <c r="N45" i="5"/>
  <c r="EZ30" i="11" s="1"/>
  <c r="AC22" i="4"/>
  <c r="FO66" i="11"/>
  <c r="AG46" i="4"/>
  <c r="AH36" i="6"/>
  <c r="AH42" i="6"/>
  <c r="EJ39" i="1"/>
  <c r="EJ46" i="1" s="1"/>
  <c r="AC55" i="9"/>
  <c r="AC58" i="9" s="1"/>
  <c r="D336" i="54"/>
  <c r="D350" i="54"/>
  <c r="L63" i="9"/>
  <c r="FA13" i="11"/>
  <c r="D19" i="5"/>
  <c r="D20" i="5" s="1"/>
  <c r="FA19" i="11"/>
  <c r="AT10" i="6"/>
  <c r="CK15" i="1"/>
  <c r="AD17" i="6"/>
  <c r="AD23" i="6"/>
  <c r="AD47" i="6" s="1"/>
  <c r="AD25" i="6"/>
  <c r="AD49" i="6" s="1"/>
  <c r="AD19" i="6"/>
  <c r="CW43" i="1"/>
  <c r="BA54" i="1"/>
  <c r="CG54" i="1"/>
  <c r="Y108" i="1"/>
  <c r="Y118" i="1"/>
  <c r="X113" i="1"/>
  <c r="X128" i="1"/>
  <c r="I112" i="1"/>
  <c r="I122" i="1"/>
  <c r="AS132" i="1"/>
  <c r="AR162" i="1"/>
  <c r="AR152" i="1"/>
  <c r="Z22" i="4"/>
  <c r="Z16" i="6"/>
  <c r="Z22" i="6"/>
  <c r="Z46" i="6" s="1"/>
  <c r="AP35" i="6"/>
  <c r="AP41" i="6"/>
  <c r="AD83" i="3"/>
  <c r="AD90" i="3"/>
  <c r="AD104" i="3"/>
  <c r="AD111" i="3"/>
  <c r="Q67" i="58"/>
  <c r="R67" i="58"/>
  <c r="AD18" i="6"/>
  <c r="AD24" i="6"/>
  <c r="AD48" i="6" s="1"/>
  <c r="CW82" i="1"/>
  <c r="D322" i="54"/>
  <c r="AD43" i="4"/>
  <c r="AD21" i="4"/>
  <c r="BU53" i="1"/>
  <c r="BT112" i="1"/>
  <c r="BT162" i="1" s="1"/>
  <c r="AP37" i="6"/>
  <c r="AP43" i="6"/>
  <c r="Z18" i="6"/>
  <c r="Z24" i="6"/>
  <c r="Z48" i="6" s="1"/>
  <c r="AT18" i="6"/>
  <c r="AT24" i="6"/>
  <c r="AT48" i="6" s="1"/>
  <c r="Y124" i="1"/>
  <c r="M98" i="3"/>
  <c r="V98" i="3"/>
  <c r="M110" i="3"/>
  <c r="M117" i="3"/>
  <c r="Q16" i="58"/>
  <c r="R16" i="58"/>
  <c r="AW15" i="11"/>
  <c r="Q44" i="64"/>
  <c r="Q45" i="64"/>
  <c r="K71" i="3"/>
  <c r="M71" i="3" s="1"/>
  <c r="R66" i="58"/>
  <c r="Q66" i="58"/>
  <c r="V66" i="58"/>
  <c r="CK6" i="11"/>
  <c r="CJ75" i="11"/>
  <c r="CJ76" i="11"/>
  <c r="AB99" i="3"/>
  <c r="Y24" i="58"/>
  <c r="K43" i="3"/>
  <c r="M43" i="3" s="1"/>
  <c r="AO109" i="3"/>
  <c r="T102" i="3"/>
  <c r="AB120" i="3"/>
  <c r="V40" i="64"/>
  <c r="N44" i="64"/>
  <c r="U40" i="64"/>
  <c r="U41" i="64" s="1"/>
  <c r="R107" i="64"/>
  <c r="Q75" i="64"/>
  <c r="Q108" i="64"/>
  <c r="L109" i="64"/>
  <c r="Q3" i="64"/>
  <c r="P15" i="64"/>
  <c r="P22" i="64"/>
  <c r="P35" i="64"/>
  <c r="P136" i="64"/>
  <c r="P64" i="64"/>
  <c r="P100" i="64"/>
  <c r="H75" i="64"/>
  <c r="I74" i="64"/>
  <c r="AG40" i="9"/>
  <c r="AB57" i="9"/>
  <c r="AF41" i="7"/>
  <c r="AF47" i="7" s="1"/>
  <c r="AF53" i="7" s="1"/>
  <c r="EC65" i="11" s="1"/>
  <c r="AB46" i="9"/>
  <c r="BE49" i="6"/>
  <c r="T55" i="9"/>
  <c r="T58" i="9" s="1"/>
  <c r="M64" i="9"/>
  <c r="P19" i="5"/>
  <c r="FB16" i="11"/>
  <c r="BR10" i="6"/>
  <c r="C116" i="3"/>
  <c r="G116" i="3" s="1"/>
  <c r="BF43" i="6"/>
  <c r="BF49" i="6" s="1"/>
  <c r="BF25" i="6"/>
  <c r="BF37" i="6"/>
  <c r="DE16" i="1"/>
  <c r="DF16" i="1"/>
  <c r="DE35" i="1"/>
  <c r="DD55" i="1"/>
  <c r="H151" i="1"/>
  <c r="H134" i="1"/>
  <c r="H171" i="1"/>
  <c r="I131" i="1"/>
  <c r="BI132" i="1"/>
  <c r="BH152" i="1"/>
  <c r="N105" i="8"/>
  <c r="X105" i="8"/>
  <c r="P105" i="8"/>
  <c r="AD105" i="8"/>
  <c r="J105" i="8"/>
  <c r="N112" i="8"/>
  <c r="AD112" i="8"/>
  <c r="P112" i="8"/>
  <c r="J112" i="8"/>
  <c r="X112" i="8"/>
  <c r="Z112" i="8" s="1"/>
  <c r="N83" i="8"/>
  <c r="AD83" i="8"/>
  <c r="J83" i="8"/>
  <c r="P83" i="8"/>
  <c r="X83" i="8"/>
  <c r="N81" i="8"/>
  <c r="J81" i="8"/>
  <c r="P81" i="8"/>
  <c r="X81" i="8"/>
  <c r="N69" i="8"/>
  <c r="AD69" i="8"/>
  <c r="P69" i="8"/>
  <c r="X69" i="8"/>
  <c r="J69" i="8"/>
  <c r="N60" i="8"/>
  <c r="AD60" i="8"/>
  <c r="P60" i="8"/>
  <c r="X60" i="8"/>
  <c r="J60" i="8"/>
  <c r="N41" i="8"/>
  <c r="P41" i="8"/>
  <c r="X41" i="8"/>
  <c r="J41" i="8"/>
  <c r="N32" i="8"/>
  <c r="P32" i="8"/>
  <c r="X32" i="8"/>
  <c r="J32" i="8"/>
  <c r="N28" i="8"/>
  <c r="P28" i="8"/>
  <c r="X28" i="8"/>
  <c r="J28" i="8"/>
  <c r="N19" i="8"/>
  <c r="P19" i="8"/>
  <c r="X19" i="8"/>
  <c r="J19" i="8"/>
  <c r="P117" i="8"/>
  <c r="X117" i="8"/>
  <c r="N117" i="8"/>
  <c r="J117" i="8"/>
  <c r="AD117" i="8"/>
  <c r="P91" i="8"/>
  <c r="X91" i="8"/>
  <c r="N91" i="8"/>
  <c r="AD91" i="8"/>
  <c r="J91" i="8"/>
  <c r="P77" i="8"/>
  <c r="X77" i="8"/>
  <c r="J77" i="8"/>
  <c r="N77" i="8"/>
  <c r="AD77" i="8"/>
  <c r="P63" i="8"/>
  <c r="X63" i="8"/>
  <c r="J63" i="8"/>
  <c r="N63" i="8"/>
  <c r="AD63" i="8"/>
  <c r="P49" i="8"/>
  <c r="X49" i="8"/>
  <c r="J49" i="8"/>
  <c r="N49" i="8"/>
  <c r="P35" i="8"/>
  <c r="X35" i="8"/>
  <c r="J35" i="8"/>
  <c r="N35" i="8"/>
  <c r="I22" i="5"/>
  <c r="I11" i="4"/>
  <c r="EU10" i="11"/>
  <c r="EU12" i="11" s="1"/>
  <c r="N64" i="9"/>
  <c r="Q19" i="5"/>
  <c r="FC16" i="11"/>
  <c r="Q22" i="4"/>
  <c r="FC66" i="11"/>
  <c r="V34" i="6"/>
  <c r="V40" i="6"/>
  <c r="BB36" i="6"/>
  <c r="BB42" i="6"/>
  <c r="M62" i="9"/>
  <c r="N62" i="10"/>
  <c r="P22" i="5"/>
  <c r="P11" i="4"/>
  <c r="FB10" i="11"/>
  <c r="FB12" i="11" s="1"/>
  <c r="O36" i="72"/>
  <c r="O116" i="72" s="1"/>
  <c r="D303" i="54"/>
  <c r="D317" i="54"/>
  <c r="N62" i="9"/>
  <c r="O62" i="10"/>
  <c r="Q8" i="5"/>
  <c r="Q22" i="5"/>
  <c r="Q11" i="4"/>
  <c r="FC10" i="11"/>
  <c r="FC12" i="11" s="1"/>
  <c r="I19" i="5"/>
  <c r="EU16" i="11"/>
  <c r="N56" i="10"/>
  <c r="FB36" i="11"/>
  <c r="AZ6" i="1"/>
  <c r="R15" i="3" s="1"/>
  <c r="C12" i="3"/>
  <c r="BB10" i="11"/>
  <c r="BB12" i="11" s="1"/>
  <c r="BB13" i="11"/>
  <c r="BB16" i="11"/>
  <c r="R14" i="3"/>
  <c r="C11" i="3"/>
  <c r="BA10" i="11"/>
  <c r="BA12" i="11" s="1"/>
  <c r="BA13" i="11"/>
  <c r="BD13" i="11"/>
  <c r="BA16" i="11"/>
  <c r="BB19" i="11"/>
  <c r="BG19" i="11"/>
  <c r="BB22" i="11"/>
  <c r="BB23" i="11"/>
  <c r="BD26" i="11"/>
  <c r="BA30" i="11"/>
  <c r="BC36" i="11"/>
  <c r="BC37" i="11"/>
  <c r="BA38" i="11"/>
  <c r="BC56" i="11"/>
  <c r="BC16" i="11"/>
  <c r="BC19" i="11"/>
  <c r="BC22" i="11"/>
  <c r="BC23" i="11"/>
  <c r="BA26" i="11"/>
  <c r="BF26" i="11"/>
  <c r="BB30" i="11"/>
  <c r="BD36" i="11"/>
  <c r="BD37" i="11"/>
  <c r="BB38" i="11"/>
  <c r="BC10" i="11"/>
  <c r="BC12" i="11" s="1"/>
  <c r="BD16" i="11"/>
  <c r="BD19" i="11"/>
  <c r="BD22" i="11"/>
  <c r="BD23" i="11"/>
  <c r="BI23" i="11"/>
  <c r="BB26" i="11"/>
  <c r="BC30" i="11"/>
  <c r="BH30" i="11"/>
  <c r="BA36" i="11"/>
  <c r="BA37" i="11"/>
  <c r="BF37" i="11"/>
  <c r="BC38" i="11"/>
  <c r="BD10" i="11"/>
  <c r="BD12" i="11" s="1"/>
  <c r="BC13" i="11"/>
  <c r="BA19" i="11"/>
  <c r="BA22" i="11"/>
  <c r="BA23" i="11"/>
  <c r="BC26" i="11"/>
  <c r="BD30" i="11"/>
  <c r="BB36" i="11"/>
  <c r="BB37" i="11"/>
  <c r="BD38" i="11"/>
  <c r="BB56" i="11"/>
  <c r="BI56" i="11"/>
  <c r="BA56" i="11"/>
  <c r="BD56" i="11"/>
  <c r="BV10" i="6"/>
  <c r="C123" i="3"/>
  <c r="G123" i="3" s="1"/>
  <c r="AT17" i="6"/>
  <c r="AT23" i="6"/>
  <c r="AT47" i="6" s="1"/>
  <c r="AT25" i="6"/>
  <c r="AT49" i="6" s="1"/>
  <c r="AT19" i="6"/>
  <c r="EJ44" i="1"/>
  <c r="EJ40" i="1"/>
  <c r="EJ47" i="1" s="1"/>
  <c r="DE43" i="1"/>
  <c r="DD53" i="1"/>
  <c r="DF43" i="1"/>
  <c r="M109" i="1"/>
  <c r="L129" i="1"/>
  <c r="Y112" i="1"/>
  <c r="Y122" i="1"/>
  <c r="CW130" i="1"/>
  <c r="CV160" i="1"/>
  <c r="CV150" i="1"/>
  <c r="BE15" i="1"/>
  <c r="CD35" i="1"/>
  <c r="P159" i="1"/>
  <c r="Q149" i="1"/>
  <c r="M48" i="3"/>
  <c r="M76" i="3"/>
  <c r="M105" i="3"/>
  <c r="M112" i="3"/>
  <c r="CN162" i="1"/>
  <c r="EE41" i="1"/>
  <c r="CL54" i="1"/>
  <c r="X5" i="4"/>
  <c r="Y5" i="5"/>
  <c r="L50" i="5"/>
  <c r="EX34" i="11" s="1"/>
  <c r="L43" i="5"/>
  <c r="L47" i="5"/>
  <c r="EX28" i="11"/>
  <c r="AO53" i="1"/>
  <c r="AT53" i="1"/>
  <c r="AP53" i="1"/>
  <c r="AN112" i="1"/>
  <c r="AP16" i="6"/>
  <c r="AP22" i="6"/>
  <c r="AP46" i="6" s="1"/>
  <c r="CO55" i="1"/>
  <c r="L158" i="1"/>
  <c r="BE16" i="1"/>
  <c r="M35" i="3"/>
  <c r="M42" i="3"/>
  <c r="AD63" i="3"/>
  <c r="M70" i="3"/>
  <c r="M95" i="3"/>
  <c r="K99" i="3"/>
  <c r="V99" i="3" s="1"/>
  <c r="AD105" i="3"/>
  <c r="V105" i="3"/>
  <c r="X105" i="3" s="1"/>
  <c r="AI105" i="3"/>
  <c r="AK105" i="3" s="1"/>
  <c r="DM13" i="1"/>
  <c r="DM81" i="1"/>
  <c r="AG44" i="58"/>
  <c r="AV15" i="11"/>
  <c r="AV47" i="11"/>
  <c r="AQ6" i="11"/>
  <c r="AR10" i="11"/>
  <c r="AR12" i="11" s="1"/>
  <c r="AR13" i="11"/>
  <c r="AR16" i="11"/>
  <c r="AW57" i="11" s="1"/>
  <c r="AL7" i="11"/>
  <c r="AQ10" i="11"/>
  <c r="AQ13" i="11"/>
  <c r="AT13" i="11"/>
  <c r="AT16" i="11"/>
  <c r="AR19" i="11"/>
  <c r="AR23" i="11"/>
  <c r="AT26" i="11"/>
  <c r="AQ30" i="11"/>
  <c r="AS36" i="11"/>
  <c r="AS37" i="11"/>
  <c r="AQ38" i="11"/>
  <c r="AS56" i="11"/>
  <c r="AS19" i="11"/>
  <c r="AS23" i="11"/>
  <c r="AQ26" i="11"/>
  <c r="AR30" i="11"/>
  <c r="AT36" i="11"/>
  <c r="AT37" i="11"/>
  <c r="AR38" i="11"/>
  <c r="AS10" i="11"/>
  <c r="AS12" i="11" s="1"/>
  <c r="AQ16" i="11"/>
  <c r="AT19" i="11"/>
  <c r="AT23" i="11"/>
  <c r="AR26" i="11"/>
  <c r="AS30" i="11"/>
  <c r="AQ36" i="11"/>
  <c r="AQ37" i="11"/>
  <c r="AS38" i="11"/>
  <c r="AT10" i="11"/>
  <c r="AT12" i="11" s="1"/>
  <c r="AS13" i="11"/>
  <c r="AS16" i="11"/>
  <c r="AQ19" i="11"/>
  <c r="AQ23" i="11"/>
  <c r="AS26" i="11"/>
  <c r="AT30" i="11"/>
  <c r="AR36" i="11"/>
  <c r="AR37" i="11"/>
  <c r="AT38" i="11"/>
  <c r="AR56" i="11"/>
  <c r="AT56" i="11"/>
  <c r="AQ56" i="11"/>
  <c r="E44" i="64"/>
  <c r="E45" i="64"/>
  <c r="U43" i="64"/>
  <c r="AB85" i="3"/>
  <c r="AD85" i="3" s="1"/>
  <c r="AC24" i="58"/>
  <c r="T31" i="58"/>
  <c r="P35" i="58"/>
  <c r="Q35" i="58" s="1"/>
  <c r="U67" i="58"/>
  <c r="V67" i="58"/>
  <c r="CO6" i="11"/>
  <c r="CT7" i="11"/>
  <c r="DI119" i="1"/>
  <c r="V97" i="3"/>
  <c r="AI97" i="3"/>
  <c r="AK97" i="3" s="1"/>
  <c r="Z10" i="58"/>
  <c r="AH10" i="10"/>
  <c r="AP45" i="58"/>
  <c r="AR45" i="58"/>
  <c r="EV7" i="11"/>
  <c r="EV38" i="11" s="1"/>
  <c r="EU38" i="11"/>
  <c r="P44" i="64"/>
  <c r="P45" i="64"/>
  <c r="F107" i="64"/>
  <c r="E75" i="64"/>
  <c r="E108" i="64"/>
  <c r="P76" i="64"/>
  <c r="P77" i="64"/>
  <c r="P109" i="64"/>
  <c r="J79" i="64"/>
  <c r="L75" i="64"/>
  <c r="L110" i="64" s="1"/>
  <c r="M74" i="64"/>
  <c r="BQ49" i="6"/>
  <c r="BP55" i="6"/>
  <c r="X55" i="9"/>
  <c r="X58" i="9" s="1"/>
  <c r="D22" i="5"/>
  <c r="D11" i="4"/>
  <c r="D12" i="4" s="1"/>
  <c r="E12" i="4" s="1"/>
  <c r="D8" i="5"/>
  <c r="T150" i="1"/>
  <c r="U130" i="1"/>
  <c r="X151" i="1"/>
  <c r="X134" i="1"/>
  <c r="Y131" i="1"/>
  <c r="Q133" i="1"/>
  <c r="N103" i="8"/>
  <c r="X103" i="8"/>
  <c r="P103" i="8"/>
  <c r="AD103" i="8"/>
  <c r="J103" i="8"/>
  <c r="N123" i="8"/>
  <c r="AD123" i="8"/>
  <c r="P123" i="8"/>
  <c r="J123" i="8"/>
  <c r="X123" i="8"/>
  <c r="J109" i="8"/>
  <c r="P109" i="8"/>
  <c r="AD109" i="8"/>
  <c r="N109" i="8"/>
  <c r="X109" i="8"/>
  <c r="N76" i="8"/>
  <c r="AD76" i="8"/>
  <c r="J76" i="8"/>
  <c r="P76" i="8"/>
  <c r="X76" i="8"/>
  <c r="J96" i="8"/>
  <c r="P96" i="8"/>
  <c r="X96" i="8"/>
  <c r="N96" i="8"/>
  <c r="AD96" i="8"/>
  <c r="N67" i="8"/>
  <c r="P67" i="8"/>
  <c r="X67" i="8"/>
  <c r="J67" i="8"/>
  <c r="N48" i="8"/>
  <c r="P48" i="8"/>
  <c r="X48" i="8"/>
  <c r="J48" i="8"/>
  <c r="N39" i="8"/>
  <c r="P39" i="8"/>
  <c r="X39" i="8"/>
  <c r="J39" i="8"/>
  <c r="N26" i="8"/>
  <c r="P26" i="8"/>
  <c r="X26" i="8"/>
  <c r="J26" i="8"/>
  <c r="N18" i="8"/>
  <c r="P18" i="8"/>
  <c r="X18" i="8"/>
  <c r="J18" i="8"/>
  <c r="AD18" i="8"/>
  <c r="P104" i="8"/>
  <c r="X104" i="8"/>
  <c r="J104" i="8"/>
  <c r="AD104" i="8"/>
  <c r="N104" i="8"/>
  <c r="P89" i="8"/>
  <c r="X89" i="8"/>
  <c r="N89" i="8"/>
  <c r="AD89" i="8"/>
  <c r="J89" i="8"/>
  <c r="P75" i="8"/>
  <c r="X75" i="8"/>
  <c r="J75" i="8"/>
  <c r="N75" i="8"/>
  <c r="AD75" i="8"/>
  <c r="P61" i="8"/>
  <c r="X61" i="8"/>
  <c r="J61" i="8"/>
  <c r="N61" i="8"/>
  <c r="AD61" i="8"/>
  <c r="P47" i="8"/>
  <c r="X47" i="8"/>
  <c r="J47" i="8"/>
  <c r="N47" i="8"/>
  <c r="P33" i="8"/>
  <c r="X33" i="8"/>
  <c r="Z33" i="8" s="1"/>
  <c r="J33" i="8"/>
  <c r="N33" i="8"/>
  <c r="N63" i="9"/>
  <c r="Q15" i="5"/>
  <c r="FC13" i="11"/>
  <c r="U22" i="4"/>
  <c r="FG66" i="11"/>
  <c r="BD55" i="6"/>
  <c r="AG40" i="4"/>
  <c r="AG42" i="4"/>
  <c r="AH35" i="6"/>
  <c r="AH41" i="6"/>
  <c r="R36" i="6"/>
  <c r="R42" i="6"/>
  <c r="AX36" i="6"/>
  <c r="AX42" i="6"/>
  <c r="AF53" i="9"/>
  <c r="AG32" i="9"/>
  <c r="D15" i="5"/>
  <c r="D16" i="5" s="1"/>
  <c r="L64" i="9"/>
  <c r="FA16" i="11"/>
  <c r="B43" i="5"/>
  <c r="B47" i="5"/>
  <c r="DE45" i="1"/>
  <c r="DF45" i="1"/>
  <c r="DJ49" i="1"/>
  <c r="AK54" i="1"/>
  <c r="BQ54" i="1"/>
  <c r="CW54" i="1"/>
  <c r="AO55" i="1"/>
  <c r="Q110" i="1"/>
  <c r="P114" i="1"/>
  <c r="Q120" i="1"/>
  <c r="P130" i="1"/>
  <c r="V130" i="1" s="1"/>
  <c r="L113" i="1"/>
  <c r="E128" i="1"/>
  <c r="D148" i="1"/>
  <c r="AO131" i="1"/>
  <c r="AN161" i="1"/>
  <c r="AT34" i="11" s="1"/>
  <c r="AN151" i="1"/>
  <c r="N22" i="6"/>
  <c r="N46" i="6" s="1"/>
  <c r="N16" i="6"/>
  <c r="AT55" i="1"/>
  <c r="AS55" i="1"/>
  <c r="M55" i="3"/>
  <c r="M109" i="3"/>
  <c r="K113" i="3"/>
  <c r="N22" i="4"/>
  <c r="J18" i="6"/>
  <c r="J24" i="6"/>
  <c r="J48" i="6" s="1"/>
  <c r="AP18" i="6"/>
  <c r="AP24" i="6"/>
  <c r="AP48" i="6" s="1"/>
  <c r="I124" i="1"/>
  <c r="J16" i="6"/>
  <c r="J22" i="6"/>
  <c r="J46" i="6" s="1"/>
  <c r="AD35" i="1"/>
  <c r="AC39" i="5"/>
  <c r="DL15" i="1"/>
  <c r="DM79" i="1"/>
  <c r="DM11" i="1"/>
  <c r="AG42" i="58"/>
  <c r="AE43" i="4"/>
  <c r="N18" i="6"/>
  <c r="N24" i="6"/>
  <c r="N48" i="6" s="1"/>
  <c r="N35" i="1"/>
  <c r="BF54" i="1"/>
  <c r="DE84" i="1"/>
  <c r="CW148" i="1"/>
  <c r="CV168" i="1"/>
  <c r="K22" i="3"/>
  <c r="M25" i="3"/>
  <c r="AB64" i="3"/>
  <c r="AD70" i="3"/>
  <c r="M77" i="3"/>
  <c r="M88" i="3"/>
  <c r="K92" i="3"/>
  <c r="AD95" i="3"/>
  <c r="M102" i="3"/>
  <c r="K106" i="3"/>
  <c r="M116" i="3"/>
  <c r="K78" i="3"/>
  <c r="M78" i="3" s="1"/>
  <c r="T112" i="3"/>
  <c r="AO119" i="3"/>
  <c r="AW47" i="11"/>
  <c r="AW22" i="11"/>
  <c r="AX22" i="11"/>
  <c r="AY22" i="11"/>
  <c r="AW6" i="11"/>
  <c r="AX6" i="11" s="1"/>
  <c r="AY6" i="11" s="1"/>
  <c r="AV22" i="11"/>
  <c r="CF6" i="11"/>
  <c r="CE75" i="11"/>
  <c r="I44" i="64"/>
  <c r="I45" i="64"/>
  <c r="AK98" i="3"/>
  <c r="AD24" i="58"/>
  <c r="K29" i="3"/>
  <c r="T104" i="3"/>
  <c r="AO111" i="3"/>
  <c r="FU41" i="11"/>
  <c r="K85" i="3"/>
  <c r="T117" i="3"/>
  <c r="AO124" i="3"/>
  <c r="AO131" i="3" s="1"/>
  <c r="T131" i="3" s="1"/>
  <c r="AI131" i="3" s="1"/>
  <c r="N63" i="58"/>
  <c r="CC75" i="11"/>
  <c r="J44" i="64"/>
  <c r="R44" i="64"/>
  <c r="Y67" i="58"/>
  <c r="G44" i="64"/>
  <c r="G45" i="64"/>
  <c r="W43" i="64"/>
  <c r="T43" i="64"/>
  <c r="G110" i="64" l="1"/>
  <c r="F77" i="64"/>
  <c r="F78" i="64" s="1"/>
  <c r="U138" i="64"/>
  <c r="V138" i="64" s="1"/>
  <c r="W138" i="64" s="1"/>
  <c r="X138" i="64" s="1"/>
  <c r="Y138" i="64" s="1"/>
  <c r="Z138" i="64" s="1"/>
  <c r="AA138" i="64" s="1"/>
  <c r="AB138" i="64" s="1"/>
  <c r="AC138" i="64" s="1"/>
  <c r="AV55" i="11"/>
  <c r="AQ12" i="11"/>
  <c r="BI34" i="11"/>
  <c r="BV13" i="6"/>
  <c r="C126" i="3"/>
  <c r="G126" i="3" s="1"/>
  <c r="DR32" i="1"/>
  <c r="DN32" i="1"/>
  <c r="DT32" i="1" s="1"/>
  <c r="DQ15" i="1"/>
  <c r="DM64" i="1"/>
  <c r="AC54" i="58"/>
  <c r="AH54" i="58"/>
  <c r="Y129" i="1"/>
  <c r="DN16" i="1"/>
  <c r="DM65" i="1"/>
  <c r="DM14" i="1"/>
  <c r="DH151" i="1"/>
  <c r="DH161" i="1"/>
  <c r="DH149" i="1"/>
  <c r="DH159" i="1"/>
  <c r="DM128" i="1"/>
  <c r="DI69" i="1"/>
  <c r="DN69" i="1"/>
  <c r="DI70" i="1"/>
  <c r="DN72" i="1"/>
  <c r="CN112" i="1"/>
  <c r="AW121" i="1"/>
  <c r="Z67" i="58"/>
  <c r="BA119" i="1"/>
  <c r="AZ129" i="1"/>
  <c r="AZ149" i="1" s="1"/>
  <c r="BA149" i="1" s="1"/>
  <c r="DI72" i="1"/>
  <c r="DN60" i="1"/>
  <c r="DN70" i="1"/>
  <c r="V42" i="6"/>
  <c r="R35" i="6"/>
  <c r="BY120" i="1"/>
  <c r="DI53" i="1"/>
  <c r="DI54" i="1"/>
  <c r="DM71" i="1"/>
  <c r="DN71" i="1"/>
  <c r="DI55" i="1"/>
  <c r="CC121" i="1"/>
  <c r="BR35" i="1"/>
  <c r="BV35" i="1"/>
  <c r="BY160" i="1"/>
  <c r="DN59" i="1"/>
  <c r="DJ33" i="1"/>
  <c r="AN150" i="1"/>
  <c r="AO150" i="1" s="1"/>
  <c r="AO130" i="1"/>
  <c r="CB131" i="1"/>
  <c r="CB151" i="1" s="1"/>
  <c r="BU131" i="1"/>
  <c r="Y65" i="58"/>
  <c r="AS110" i="1"/>
  <c r="CR129" i="1"/>
  <c r="CR159" i="1" s="1"/>
  <c r="Z35" i="6"/>
  <c r="AV131" i="1"/>
  <c r="BB131" i="1" s="1"/>
  <c r="BD129" i="1"/>
  <c r="BD149" i="1" s="1"/>
  <c r="BY110" i="1"/>
  <c r="AL34" i="1"/>
  <c r="CZ114" i="1"/>
  <c r="DA114" i="1" s="1"/>
  <c r="DA121" i="1"/>
  <c r="DD149" i="1"/>
  <c r="DE149" i="1" s="1"/>
  <c r="DB55" i="1"/>
  <c r="BU160" i="1"/>
  <c r="BT164" i="1"/>
  <c r="AO110" i="1"/>
  <c r="AN114" i="1"/>
  <c r="DD159" i="1"/>
  <c r="CZ161" i="1"/>
  <c r="BF55" i="1"/>
  <c r="CV131" i="1"/>
  <c r="CV161" i="1" s="1"/>
  <c r="CV164" i="1" s="1"/>
  <c r="AO120" i="1"/>
  <c r="CK121" i="1"/>
  <c r="CJ131" i="1"/>
  <c r="BU55" i="1"/>
  <c r="BA131" i="1"/>
  <c r="DA131" i="1"/>
  <c r="CD53" i="1"/>
  <c r="CW114" i="1"/>
  <c r="BB35" i="1"/>
  <c r="AT35" i="1"/>
  <c r="DJ34" i="1"/>
  <c r="CJ161" i="1"/>
  <c r="CK161" i="1" s="1"/>
  <c r="CZ112" i="1"/>
  <c r="DA112" i="1" s="1"/>
  <c r="D149" i="1"/>
  <c r="DB53" i="1"/>
  <c r="BU114" i="1"/>
  <c r="BF35" i="1"/>
  <c r="EK40" i="1"/>
  <c r="Z65" i="58"/>
  <c r="CJ113" i="1"/>
  <c r="CK113" i="1" s="1"/>
  <c r="AR130" i="1"/>
  <c r="AR160" i="1" s="1"/>
  <c r="CX35" i="1"/>
  <c r="DF33" i="1"/>
  <c r="CT55" i="1"/>
  <c r="DA110" i="1"/>
  <c r="BQ128" i="1"/>
  <c r="BB55" i="1"/>
  <c r="CP55" i="1"/>
  <c r="BB40" i="6"/>
  <c r="FC36" i="11"/>
  <c r="BB54" i="1"/>
  <c r="AN134" i="1"/>
  <c r="AO134" i="1" s="1"/>
  <c r="BQ148" i="1"/>
  <c r="AV161" i="1"/>
  <c r="BA161" i="1" s="1"/>
  <c r="CW121" i="1"/>
  <c r="CV141" i="1" s="1"/>
  <c r="CV144" i="1" s="1"/>
  <c r="CD128" i="1"/>
  <c r="DA111" i="1"/>
  <c r="AD129" i="1"/>
  <c r="AN160" i="1"/>
  <c r="AS34" i="11" s="1"/>
  <c r="BZ55" i="1"/>
  <c r="E123" i="1"/>
  <c r="BN35" i="1"/>
  <c r="BV130" i="1"/>
  <c r="BZ35" i="1"/>
  <c r="R65" i="58"/>
  <c r="DE150" i="1"/>
  <c r="BJ35" i="1"/>
  <c r="AF109" i="3"/>
  <c r="AL40" i="6"/>
  <c r="CW111" i="1"/>
  <c r="CB148" i="1"/>
  <c r="CB168" i="1" s="1"/>
  <c r="X159" i="1"/>
  <c r="CD34" i="1"/>
  <c r="AV114" i="1"/>
  <c r="AW114" i="1" s="1"/>
  <c r="O109" i="3"/>
  <c r="CX54" i="1"/>
  <c r="BT134" i="1"/>
  <c r="BU134" i="1" s="1"/>
  <c r="CV134" i="1"/>
  <c r="CW134" i="1" s="1"/>
  <c r="BP150" i="1"/>
  <c r="BQ150" i="1" s="1"/>
  <c r="AD53" i="58"/>
  <c r="X57" i="58"/>
  <c r="Y57" i="58" s="1"/>
  <c r="BE109" i="1"/>
  <c r="CK108" i="1"/>
  <c r="BT150" i="1"/>
  <c r="BT170" i="1" s="1"/>
  <c r="BB34" i="1"/>
  <c r="CF162" i="1"/>
  <c r="CK162" i="1" s="1"/>
  <c r="AP35" i="1"/>
  <c r="BE121" i="1"/>
  <c r="BE111" i="1"/>
  <c r="BD131" i="1"/>
  <c r="BL129" i="1"/>
  <c r="BM119" i="1"/>
  <c r="BM109" i="1"/>
  <c r="BF16" i="11"/>
  <c r="BF57" i="11" s="1"/>
  <c r="BG13" i="11"/>
  <c r="J129" i="1"/>
  <c r="BF19" i="11"/>
  <c r="BH38" i="11"/>
  <c r="BF36" i="11"/>
  <c r="BG26" i="11"/>
  <c r="BG30" i="11"/>
  <c r="BH23" i="11"/>
  <c r="BG16" i="11"/>
  <c r="BG57" i="11" s="1"/>
  <c r="E13" i="3"/>
  <c r="AH43" i="6"/>
  <c r="BD159" i="1"/>
  <c r="BU130" i="1"/>
  <c r="CT35" i="1"/>
  <c r="C15" i="3"/>
  <c r="CD55" i="1"/>
  <c r="AX34" i="1"/>
  <c r="BL159" i="1"/>
  <c r="BQ159" i="1" s="1"/>
  <c r="D133" i="1"/>
  <c r="E133" i="1" s="1"/>
  <c r="AP55" i="1"/>
  <c r="AL13" i="8"/>
  <c r="AC129" i="1"/>
  <c r="BI10" i="11"/>
  <c r="BI12" i="11" s="1"/>
  <c r="E14" i="3"/>
  <c r="E12" i="3"/>
  <c r="G12" i="3" s="1"/>
  <c r="V43" i="6"/>
  <c r="Z53" i="58"/>
  <c r="AK131" i="1"/>
  <c r="DA120" i="1"/>
  <c r="CL34" i="1"/>
  <c r="CJ128" i="1"/>
  <c r="CJ148" i="1" s="1"/>
  <c r="AZ159" i="1"/>
  <c r="BG34" i="11" s="1"/>
  <c r="BD161" i="1"/>
  <c r="BE161" i="1" s="1"/>
  <c r="BX112" i="1"/>
  <c r="BY122" i="1" s="1"/>
  <c r="BV33" i="1"/>
  <c r="DJ53" i="1"/>
  <c r="AX17" i="11"/>
  <c r="AX48" i="11" s="1"/>
  <c r="O15" i="5"/>
  <c r="P16" i="5" s="1"/>
  <c r="O8" i="5"/>
  <c r="DI122" i="1"/>
  <c r="O11" i="4"/>
  <c r="P12" i="4" s="1"/>
  <c r="P31" i="4" s="1"/>
  <c r="AL41" i="6"/>
  <c r="P8" i="5"/>
  <c r="AH54" i="1"/>
  <c r="AG54" i="1"/>
  <c r="BY53" i="1"/>
  <c r="CL53" i="1"/>
  <c r="BI113" i="1"/>
  <c r="BH131" i="1"/>
  <c r="AL54" i="1"/>
  <c r="BX162" i="1"/>
  <c r="DM148" i="1"/>
  <c r="BF34" i="1"/>
  <c r="CP53" i="1"/>
  <c r="CK53" i="1"/>
  <c r="AX41" i="6"/>
  <c r="BJ55" i="1"/>
  <c r="BH114" i="1"/>
  <c r="BI114" i="1" s="1"/>
  <c r="BI121" i="1"/>
  <c r="BT149" i="1"/>
  <c r="BU129" i="1"/>
  <c r="AZ169" i="1"/>
  <c r="BG35" i="11" s="1"/>
  <c r="CH35" i="1"/>
  <c r="CC158" i="1"/>
  <c r="O112" i="3"/>
  <c r="BI55" i="1"/>
  <c r="BR34" i="1"/>
  <c r="BY55" i="1"/>
  <c r="CT53" i="1"/>
  <c r="R34" i="6"/>
  <c r="AV130" i="1"/>
  <c r="AW110" i="1"/>
  <c r="AW120" i="1"/>
  <c r="BR54" i="1"/>
  <c r="CS53" i="1"/>
  <c r="BB43" i="6"/>
  <c r="AV129" i="1"/>
  <c r="AV159" i="1" s="1"/>
  <c r="BR33" i="1"/>
  <c r="BT163" i="1"/>
  <c r="BU158" i="1"/>
  <c r="BY158" i="1"/>
  <c r="AX35" i="1"/>
  <c r="CC123" i="1"/>
  <c r="J37" i="6"/>
  <c r="AL43" i="6"/>
  <c r="AV113" i="1"/>
  <c r="AW113" i="1" s="1"/>
  <c r="CC55" i="1"/>
  <c r="CH55" i="1"/>
  <c r="AH34" i="6"/>
  <c r="O22" i="5"/>
  <c r="O23" i="5" s="1"/>
  <c r="BA129" i="1"/>
  <c r="AW119" i="1"/>
  <c r="BI111" i="1"/>
  <c r="DN31" i="1"/>
  <c r="DT31" i="1" s="1"/>
  <c r="BI109" i="1"/>
  <c r="BH129" i="1"/>
  <c r="BI119" i="1"/>
  <c r="DB35" i="1"/>
  <c r="CW55" i="1"/>
  <c r="CX55" i="1"/>
  <c r="AK110" i="1"/>
  <c r="AJ130" i="1"/>
  <c r="AJ134" i="1" s="1"/>
  <c r="AK120" i="1"/>
  <c r="BH159" i="1"/>
  <c r="DE118" i="1"/>
  <c r="DE108" i="1"/>
  <c r="DD113" i="1"/>
  <c r="DD128" i="1"/>
  <c r="AO108" i="1"/>
  <c r="AN128" i="1"/>
  <c r="AO118" i="1"/>
  <c r="AB151" i="1"/>
  <c r="AC131" i="1"/>
  <c r="BN22" i="6"/>
  <c r="BV12" i="6"/>
  <c r="C125" i="3"/>
  <c r="G125" i="3" s="1"/>
  <c r="EX50" i="11"/>
  <c r="BN42" i="6"/>
  <c r="BN48" i="6" s="1"/>
  <c r="BN24" i="6"/>
  <c r="BN36" i="6"/>
  <c r="CG111" i="1"/>
  <c r="CG121" i="1"/>
  <c r="CF131" i="1"/>
  <c r="AW53" i="1"/>
  <c r="AV112" i="1"/>
  <c r="AX53" i="1"/>
  <c r="BB53" i="1"/>
  <c r="CC110" i="1"/>
  <c r="CB130" i="1"/>
  <c r="CD130" i="1" s="1"/>
  <c r="CC120" i="1"/>
  <c r="CP35" i="1"/>
  <c r="DB33" i="1"/>
  <c r="J41" i="6"/>
  <c r="M62" i="10"/>
  <c r="CL55" i="1"/>
  <c r="Y54" i="58"/>
  <c r="BN40" i="6"/>
  <c r="BN46" i="6" s="1"/>
  <c r="AB132" i="1"/>
  <c r="CB114" i="1"/>
  <c r="CC114" i="1" s="1"/>
  <c r="BN34" i="1"/>
  <c r="DE54" i="1"/>
  <c r="DJ54" i="1"/>
  <c r="AD131" i="1"/>
  <c r="AX55" i="1"/>
  <c r="CB160" i="1"/>
  <c r="CG160" i="1" s="1"/>
  <c r="CD33" i="1"/>
  <c r="O19" i="5"/>
  <c r="P20" i="5" s="1"/>
  <c r="FA10" i="11"/>
  <c r="AF111" i="3"/>
  <c r="BV34" i="1"/>
  <c r="AF112" i="3"/>
  <c r="O111" i="3"/>
  <c r="BU108" i="1"/>
  <c r="BT128" i="1"/>
  <c r="BU118" i="1"/>
  <c r="BT113" i="1"/>
  <c r="BB33" i="1"/>
  <c r="AX33" i="1"/>
  <c r="AP33" i="1"/>
  <c r="AT33" i="1"/>
  <c r="DA118" i="1"/>
  <c r="CZ128" i="1"/>
  <c r="DA108" i="1"/>
  <c r="AF59" i="7"/>
  <c r="H160" i="1"/>
  <c r="H170" i="1" s="1"/>
  <c r="I150" i="1"/>
  <c r="Z105" i="8"/>
  <c r="AY17" i="11"/>
  <c r="AY48" i="11" s="1"/>
  <c r="AB149" i="1"/>
  <c r="AB159" i="1" s="1"/>
  <c r="N131" i="1"/>
  <c r="AB133" i="1"/>
  <c r="AC133" i="1" s="1"/>
  <c r="BI162" i="1"/>
  <c r="T132" i="1"/>
  <c r="U132" i="1" s="1"/>
  <c r="AJ151" i="1"/>
  <c r="AK151" i="1" s="1"/>
  <c r="BU159" i="1"/>
  <c r="BP163" i="1"/>
  <c r="AF77" i="8"/>
  <c r="Z91" i="8"/>
  <c r="AG45" i="58"/>
  <c r="AI9" i="5"/>
  <c r="Q36" i="72" s="1"/>
  <c r="R54" i="58"/>
  <c r="CZ150" i="1"/>
  <c r="DA130" i="1"/>
  <c r="CZ160" i="1"/>
  <c r="DA160" i="1" s="1"/>
  <c r="DF130" i="1"/>
  <c r="C220" i="54"/>
  <c r="Z20" i="3"/>
  <c r="AH35" i="1"/>
  <c r="AL35" i="1"/>
  <c r="AZ164" i="1"/>
  <c r="DP199" i="1"/>
  <c r="AC114" i="1"/>
  <c r="AC124" i="1"/>
  <c r="DE111" i="1"/>
  <c r="DD131" i="1"/>
  <c r="DJ131" i="1" s="1"/>
  <c r="DE121" i="1"/>
  <c r="DD114" i="1"/>
  <c r="CC129" i="1"/>
  <c r="CB149" i="1"/>
  <c r="CB133" i="1"/>
  <c r="DQ82" i="1"/>
  <c r="AK45" i="58"/>
  <c r="P151" i="1"/>
  <c r="R131" i="1"/>
  <c r="Q131" i="1"/>
  <c r="AZ128" i="1"/>
  <c r="BA108" i="1"/>
  <c r="BA118" i="1"/>
  <c r="AZ113" i="1"/>
  <c r="BE132" i="1"/>
  <c r="BD152" i="1"/>
  <c r="BF132" i="1"/>
  <c r="DI110" i="1"/>
  <c r="DH130" i="1"/>
  <c r="EE28" i="11" s="1"/>
  <c r="DI120" i="1"/>
  <c r="AP34" i="1"/>
  <c r="AT34" i="1"/>
  <c r="CF164" i="1"/>
  <c r="BE108" i="1"/>
  <c r="BD128" i="1"/>
  <c r="BJ128" i="1" s="1"/>
  <c r="BD113" i="1"/>
  <c r="BE118" i="1"/>
  <c r="M85" i="3"/>
  <c r="BG10" i="11"/>
  <c r="BG12" i="11" s="1"/>
  <c r="CP33" i="1"/>
  <c r="Z61" i="8"/>
  <c r="Z39" i="8"/>
  <c r="AF109" i="8"/>
  <c r="BI38" i="11"/>
  <c r="BG36" i="11"/>
  <c r="BH26" i="11"/>
  <c r="BI16" i="11"/>
  <c r="BG38" i="11"/>
  <c r="BI36" i="11"/>
  <c r="BH19" i="11"/>
  <c r="BH13" i="11"/>
  <c r="BF38" i="11"/>
  <c r="BH36" i="11"/>
  <c r="BF30" i="11"/>
  <c r="BG23" i="11"/>
  <c r="BH10" i="11"/>
  <c r="R12" i="3"/>
  <c r="D12" i="8" s="1"/>
  <c r="C14" i="3"/>
  <c r="C13" i="3"/>
  <c r="E11" i="3"/>
  <c r="G11" i="3" s="1"/>
  <c r="O110" i="3"/>
  <c r="AF119" i="3"/>
  <c r="CZ134" i="1"/>
  <c r="AJ161" i="1"/>
  <c r="AO34" i="11" s="1"/>
  <c r="AT59" i="11" s="1"/>
  <c r="AM103" i="3"/>
  <c r="M151" i="1"/>
  <c r="L161" i="1"/>
  <c r="E114" i="1"/>
  <c r="E124" i="1"/>
  <c r="BM108" i="1"/>
  <c r="BL113" i="1"/>
  <c r="BM118" i="1"/>
  <c r="BL128" i="1"/>
  <c r="CJ133" i="1"/>
  <c r="CK133" i="1" s="1"/>
  <c r="CJ168" i="1"/>
  <c r="BH148" i="1"/>
  <c r="BI128" i="1"/>
  <c r="CF128" i="1"/>
  <c r="CG108" i="1"/>
  <c r="CF113" i="1"/>
  <c r="CG118" i="1"/>
  <c r="M130" i="1"/>
  <c r="N130" i="1" s="1"/>
  <c r="L150" i="1"/>
  <c r="L134" i="1"/>
  <c r="BX150" i="1"/>
  <c r="BZ130" i="1"/>
  <c r="BY130" i="1"/>
  <c r="AH55" i="1"/>
  <c r="AG55" i="1"/>
  <c r="AL55" i="1"/>
  <c r="BL161" i="1"/>
  <c r="BM161" i="1" s="1"/>
  <c r="BL131" i="1"/>
  <c r="BM111" i="1"/>
  <c r="BM121" i="1"/>
  <c r="BA120" i="1"/>
  <c r="BA110" i="1"/>
  <c r="AZ114" i="1"/>
  <c r="AZ130" i="1"/>
  <c r="AD130" i="1"/>
  <c r="AC130" i="1"/>
  <c r="AB134" i="1"/>
  <c r="AC134" i="1" s="1"/>
  <c r="AB150" i="1"/>
  <c r="BI54" i="1"/>
  <c r="BN54" i="1"/>
  <c r="BJ54" i="1"/>
  <c r="AK152" i="1"/>
  <c r="AJ172" i="1"/>
  <c r="CN171" i="1"/>
  <c r="CN151" i="1"/>
  <c r="CO151" i="1" s="1"/>
  <c r="CN161" i="1"/>
  <c r="CO131" i="1"/>
  <c r="BR43" i="6"/>
  <c r="BR49" i="6" s="1"/>
  <c r="BR25" i="6"/>
  <c r="BR37" i="6"/>
  <c r="CK129" i="1"/>
  <c r="CJ149" i="1"/>
  <c r="BX163" i="1"/>
  <c r="BY159" i="1"/>
  <c r="CC159" i="1"/>
  <c r="BM53" i="1"/>
  <c r="BL112" i="1"/>
  <c r="BN53" i="1"/>
  <c r="BQ111" i="1"/>
  <c r="BP131" i="1"/>
  <c r="BQ121" i="1"/>
  <c r="BP114" i="1"/>
  <c r="CO108" i="1"/>
  <c r="CO118" i="1"/>
  <c r="CN113" i="1"/>
  <c r="CN128" i="1"/>
  <c r="DQ84" i="1"/>
  <c r="DQ16" i="1"/>
  <c r="AV148" i="1"/>
  <c r="AV158" i="1"/>
  <c r="AW128" i="1"/>
  <c r="BN17" i="6"/>
  <c r="G76" i="64"/>
  <c r="CC53" i="1"/>
  <c r="CB112" i="1"/>
  <c r="CB162" i="1"/>
  <c r="CG112" i="1"/>
  <c r="CG122" i="1"/>
  <c r="BH170" i="1"/>
  <c r="BI150" i="1"/>
  <c r="CO110" i="1"/>
  <c r="CO120" i="1"/>
  <c r="CN130" i="1"/>
  <c r="CN114" i="1"/>
  <c r="CG120" i="1"/>
  <c r="CG110" i="1"/>
  <c r="CF130" i="1"/>
  <c r="CF114" i="1"/>
  <c r="DA54" i="1"/>
  <c r="DF54" i="1"/>
  <c r="N79" i="64"/>
  <c r="BQ160" i="1"/>
  <c r="AK108" i="1"/>
  <c r="AJ128" i="1"/>
  <c r="AJ113" i="1"/>
  <c r="AK118" i="1"/>
  <c r="BN43" i="6"/>
  <c r="BN49" i="6" s="1"/>
  <c r="BN25" i="6"/>
  <c r="BN37" i="6"/>
  <c r="AS111" i="1"/>
  <c r="AR131" i="1"/>
  <c r="AS121" i="1"/>
  <c r="AR114" i="1"/>
  <c r="BY109" i="1"/>
  <c r="BX129" i="1"/>
  <c r="BX113" i="1"/>
  <c r="BY119" i="1"/>
  <c r="E131" i="1"/>
  <c r="D151" i="1"/>
  <c r="D132" i="1"/>
  <c r="E132" i="1" s="1"/>
  <c r="X110" i="3"/>
  <c r="X160" i="1"/>
  <c r="X170" i="1" s="1"/>
  <c r="Y150" i="1"/>
  <c r="CR131" i="1"/>
  <c r="CS111" i="1"/>
  <c r="CS121" i="1"/>
  <c r="BZ54" i="1"/>
  <c r="BY54" i="1"/>
  <c r="BF129" i="1"/>
  <c r="DA119" i="1"/>
  <c r="DA109" i="1"/>
  <c r="CZ129" i="1"/>
  <c r="CZ113" i="1"/>
  <c r="M114" i="1"/>
  <c r="M124" i="1"/>
  <c r="AF129" i="1"/>
  <c r="AL129" i="1" s="1"/>
  <c r="AG119" i="1"/>
  <c r="AG109" i="1"/>
  <c r="U129" i="1"/>
  <c r="V129" i="1"/>
  <c r="T149" i="1"/>
  <c r="T133" i="1"/>
  <c r="CS108" i="1"/>
  <c r="CR113" i="1"/>
  <c r="CS118" i="1"/>
  <c r="CR128" i="1"/>
  <c r="AC113" i="1"/>
  <c r="AC123" i="1"/>
  <c r="O111" i="64"/>
  <c r="AJ149" i="1"/>
  <c r="AK149" i="1" s="1"/>
  <c r="AJ169" i="1"/>
  <c r="AM35" i="11" s="1"/>
  <c r="AJ159" i="1"/>
  <c r="AM34" i="11" s="1"/>
  <c r="AK129" i="1"/>
  <c r="K111" i="64"/>
  <c r="K77" i="64"/>
  <c r="R77" i="64"/>
  <c r="R78" i="64" s="1"/>
  <c r="CS110" i="1"/>
  <c r="CS120" i="1"/>
  <c r="CR114" i="1"/>
  <c r="CR130" i="1"/>
  <c r="P158" i="1"/>
  <c r="Q148" i="1"/>
  <c r="V148" i="1" s="1"/>
  <c r="DB34" i="1"/>
  <c r="DF34" i="1"/>
  <c r="N80" i="64"/>
  <c r="BX171" i="1"/>
  <c r="BX164" i="1"/>
  <c r="CG158" i="1"/>
  <c r="CF163" i="1"/>
  <c r="CG163" i="1" s="1"/>
  <c r="AD61" i="3"/>
  <c r="BM160" i="1"/>
  <c r="AF114" i="1"/>
  <c r="AF131" i="1"/>
  <c r="AG121" i="1"/>
  <c r="AG111" i="1"/>
  <c r="AK114" i="1"/>
  <c r="AK124" i="1"/>
  <c r="BE110" i="1"/>
  <c r="BE120" i="1"/>
  <c r="BD130" i="1"/>
  <c r="BD114" i="1"/>
  <c r="BP112" i="1"/>
  <c r="BP162" i="1" s="1"/>
  <c r="BQ53" i="1"/>
  <c r="BR53" i="1"/>
  <c r="BJ132" i="1"/>
  <c r="H109" i="64"/>
  <c r="AR113" i="1"/>
  <c r="AS118" i="1"/>
  <c r="AR128" i="1"/>
  <c r="AS108" i="1"/>
  <c r="CG109" i="1"/>
  <c r="CG119" i="1"/>
  <c r="CF129" i="1"/>
  <c r="CD54" i="1"/>
  <c r="CC54" i="1"/>
  <c r="AT54" i="1"/>
  <c r="AX54" i="1"/>
  <c r="AS54" i="1"/>
  <c r="V124" i="8"/>
  <c r="X124" i="8" s="1"/>
  <c r="Z124" i="8" s="1"/>
  <c r="J124" i="3"/>
  <c r="K124" i="3"/>
  <c r="M124" i="3" s="1"/>
  <c r="M92" i="3"/>
  <c r="BZ33" i="1"/>
  <c r="AL15" i="8"/>
  <c r="BF56" i="11"/>
  <c r="BG56" i="11"/>
  <c r="BG37" i="11"/>
  <c r="BI30" i="11"/>
  <c r="BF23" i="11"/>
  <c r="BI19" i="11"/>
  <c r="BI13" i="11"/>
  <c r="BI37" i="11"/>
  <c r="BH16" i="11"/>
  <c r="BH56" i="11"/>
  <c r="BH37" i="11"/>
  <c r="BH34" i="11"/>
  <c r="BI26" i="11"/>
  <c r="E15" i="3"/>
  <c r="R11" i="3"/>
  <c r="D11" i="8" s="1"/>
  <c r="R13" i="3"/>
  <c r="D13" i="8" s="1"/>
  <c r="Z117" i="8"/>
  <c r="BY161" i="1"/>
  <c r="AJ54" i="58"/>
  <c r="EK39" i="1"/>
  <c r="EK41" i="1" s="1"/>
  <c r="AM110" i="3"/>
  <c r="V24" i="58"/>
  <c r="CH34" i="1"/>
  <c r="T109" i="64"/>
  <c r="DT29" i="1"/>
  <c r="DU29" i="1"/>
  <c r="J130" i="1"/>
  <c r="D134" i="1"/>
  <c r="E134" i="1" s="1"/>
  <c r="D150" i="1"/>
  <c r="E130" i="1"/>
  <c r="BY111" i="1"/>
  <c r="BY121" i="1"/>
  <c r="BX131" i="1"/>
  <c r="BX114" i="1"/>
  <c r="BM110" i="1"/>
  <c r="BM120" i="1"/>
  <c r="BL130" i="1"/>
  <c r="BL114" i="1"/>
  <c r="AO119" i="1"/>
  <c r="AO109" i="1"/>
  <c r="AN129" i="1"/>
  <c r="AN113" i="1"/>
  <c r="CG159" i="1"/>
  <c r="AB19" i="8"/>
  <c r="AD19" i="8" s="1"/>
  <c r="AB19" i="3"/>
  <c r="AB20" i="3"/>
  <c r="AD67" i="3"/>
  <c r="AB71" i="3"/>
  <c r="AD78" i="3" s="1"/>
  <c r="O110" i="64"/>
  <c r="O77" i="64"/>
  <c r="CK110" i="1"/>
  <c r="CK120" i="1"/>
  <c r="CJ130" i="1"/>
  <c r="CJ114" i="1"/>
  <c r="DI124" i="1"/>
  <c r="S109" i="64"/>
  <c r="T108" i="64"/>
  <c r="AS109" i="1"/>
  <c r="AR129" i="1"/>
  <c r="AS119" i="1"/>
  <c r="Z124" i="3"/>
  <c r="D388" i="54"/>
  <c r="BQ158" i="1"/>
  <c r="CO109" i="1"/>
  <c r="CN129" i="1"/>
  <c r="CO119" i="1"/>
  <c r="BZ34" i="1"/>
  <c r="DI131" i="1"/>
  <c r="AG110" i="1"/>
  <c r="AG120" i="1"/>
  <c r="AF130" i="1"/>
  <c r="AP54" i="1"/>
  <c r="BD160" i="1"/>
  <c r="BP161" i="1"/>
  <c r="CV149" i="1"/>
  <c r="CV133" i="1"/>
  <c r="CV159" i="1"/>
  <c r="CW129" i="1"/>
  <c r="DR16" i="1"/>
  <c r="DP35" i="1"/>
  <c r="DP33" i="1"/>
  <c r="BQ109" i="1"/>
  <c r="BP129" i="1"/>
  <c r="BQ119" i="1"/>
  <c r="BP113" i="1"/>
  <c r="C109" i="64"/>
  <c r="D108" i="64"/>
  <c r="C75" i="64"/>
  <c r="AZ158" i="1"/>
  <c r="CC161" i="1"/>
  <c r="AG108" i="1"/>
  <c r="AF113" i="1"/>
  <c r="AG118" i="1"/>
  <c r="AF128" i="1"/>
  <c r="CH53" i="1"/>
  <c r="AD75" i="3"/>
  <c r="BD158" i="1"/>
  <c r="CO54" i="1"/>
  <c r="CT54" i="1"/>
  <c r="CP54" i="1"/>
  <c r="S76" i="64"/>
  <c r="G77" i="64"/>
  <c r="FB62" i="11"/>
  <c r="FB38" i="11"/>
  <c r="FB56" i="11"/>
  <c r="FC7" i="11"/>
  <c r="BL6" i="11"/>
  <c r="BK75" i="11"/>
  <c r="BK76" i="11"/>
  <c r="AF76" i="8"/>
  <c r="AF60" i="8"/>
  <c r="C40" i="5"/>
  <c r="Z81" i="8"/>
  <c r="Y25" i="58"/>
  <c r="AD54" i="58"/>
  <c r="Z13" i="58"/>
  <c r="T54" i="58"/>
  <c r="T57" i="58" s="1"/>
  <c r="U57" i="58" s="1"/>
  <c r="Y13" i="58"/>
  <c r="Y14" i="58" s="1"/>
  <c r="V13" i="58"/>
  <c r="AB58" i="58"/>
  <c r="AB57" i="58"/>
  <c r="AC57" i="58" s="1"/>
  <c r="J14" i="58"/>
  <c r="AC25" i="58"/>
  <c r="Z25" i="58"/>
  <c r="AF105" i="8"/>
  <c r="AF89" i="8"/>
  <c r="C42" i="5"/>
  <c r="C43" i="5" s="1"/>
  <c r="DM82" i="1"/>
  <c r="DQ14" i="1"/>
  <c r="AF123" i="8"/>
  <c r="Z109" i="8"/>
  <c r="Z60" i="8"/>
  <c r="AX34" i="6"/>
  <c r="AF75" i="8"/>
  <c r="Z89" i="8"/>
  <c r="AF81" i="8"/>
  <c r="Z123" i="8"/>
  <c r="Z67" i="8"/>
  <c r="AF102" i="8"/>
  <c r="Z76" i="8"/>
  <c r="Z63" i="8"/>
  <c r="AF91" i="8"/>
  <c r="Z32" i="8"/>
  <c r="AF62" i="8"/>
  <c r="AF67" i="8"/>
  <c r="Z34" i="8"/>
  <c r="Z53" i="8"/>
  <c r="Z47" i="8"/>
  <c r="Z104" i="8"/>
  <c r="Z62" i="8"/>
  <c r="V41" i="64"/>
  <c r="CO162" i="1"/>
  <c r="Z35" i="8"/>
  <c r="Z49" i="8"/>
  <c r="AF63" i="8"/>
  <c r="Z77" i="8"/>
  <c r="AF104" i="8"/>
  <c r="Z41" i="8"/>
  <c r="Z48" i="8"/>
  <c r="AF69" i="8"/>
  <c r="Z69" i="8"/>
  <c r="BV11" i="6"/>
  <c r="BV17" i="6" s="1"/>
  <c r="C124" i="3"/>
  <c r="G124" i="3" s="1"/>
  <c r="O124" i="3" s="1"/>
  <c r="AF61" i="8"/>
  <c r="Z75" i="8"/>
  <c r="AF117" i="8"/>
  <c r="Z26" i="8"/>
  <c r="EU15" i="11"/>
  <c r="EU46" i="11" s="1"/>
  <c r="Q16" i="5"/>
  <c r="Q20" i="5"/>
  <c r="Z102" i="8"/>
  <c r="AF96" i="8"/>
  <c r="T44" i="64"/>
  <c r="T45" i="64"/>
  <c r="Q12" i="72"/>
  <c r="Q114" i="1"/>
  <c r="Q124" i="1"/>
  <c r="AH32" i="9"/>
  <c r="AG53" i="9"/>
  <c r="J22" i="8"/>
  <c r="F109" i="64"/>
  <c r="M29" i="3"/>
  <c r="CF75" i="11"/>
  <c r="CG6" i="11"/>
  <c r="T119" i="3"/>
  <c r="AO126" i="3"/>
  <c r="M106" i="3"/>
  <c r="O106" i="3" s="1"/>
  <c r="V106" i="3"/>
  <c r="X106" i="3" s="1"/>
  <c r="AP36" i="6"/>
  <c r="AP42" i="6"/>
  <c r="M113" i="3"/>
  <c r="O113" i="3" s="1"/>
  <c r="E148" i="1"/>
  <c r="D153" i="1"/>
  <c r="E153" i="1" s="1"/>
  <c r="D158" i="1"/>
  <c r="M113" i="1"/>
  <c r="M123" i="1"/>
  <c r="AG43" i="4"/>
  <c r="AG21" i="4"/>
  <c r="AO21" i="4" s="1"/>
  <c r="Z96" i="8"/>
  <c r="Z103" i="8"/>
  <c r="U134" i="1"/>
  <c r="AC149" i="1"/>
  <c r="N108" i="64"/>
  <c r="M109" i="64"/>
  <c r="J80" i="64"/>
  <c r="E76" i="64"/>
  <c r="T35" i="58"/>
  <c r="U35" i="58" s="1"/>
  <c r="T51" i="58"/>
  <c r="X31" i="58"/>
  <c r="AS15" i="11"/>
  <c r="AX55" i="11"/>
  <c r="AT47" i="11"/>
  <c r="AY57" i="11"/>
  <c r="AL6" i="11"/>
  <c r="AM10" i="11"/>
  <c r="AM13" i="11"/>
  <c r="AM16" i="11"/>
  <c r="AR57" i="11" s="1"/>
  <c r="AL10" i="11"/>
  <c r="AL13" i="11"/>
  <c r="AN10" i="11"/>
  <c r="AN16" i="11"/>
  <c r="AS57" i="11" s="1"/>
  <c r="AM19" i="11"/>
  <c r="AM23" i="11"/>
  <c r="AO26" i="11"/>
  <c r="AL30" i="11"/>
  <c r="AN36" i="11"/>
  <c r="AN37" i="11"/>
  <c r="AL38" i="11"/>
  <c r="AN56" i="11"/>
  <c r="AO10" i="11"/>
  <c r="AN13" i="11"/>
  <c r="AO16" i="11"/>
  <c r="AT57" i="11" s="1"/>
  <c r="AN19" i="11"/>
  <c r="AN23" i="11"/>
  <c r="AL26" i="11"/>
  <c r="AM30" i="11"/>
  <c r="AO36" i="11"/>
  <c r="AO37" i="11"/>
  <c r="AM38" i="11"/>
  <c r="AO13" i="11"/>
  <c r="AO19" i="11"/>
  <c r="AO23" i="11"/>
  <c r="AM26" i="11"/>
  <c r="AN30" i="11"/>
  <c r="AL36" i="11"/>
  <c r="AL37" i="11"/>
  <c r="AN38" i="11"/>
  <c r="AG7" i="11"/>
  <c r="AL16" i="11"/>
  <c r="AQ57" i="11" s="1"/>
  <c r="AL19" i="11"/>
  <c r="AL23" i="11"/>
  <c r="AN26" i="11"/>
  <c r="AO30" i="11"/>
  <c r="AM36" i="11"/>
  <c r="AM37" i="11"/>
  <c r="AO38" i="11"/>
  <c r="AM56" i="11"/>
  <c r="AL56" i="11"/>
  <c r="AO56" i="11"/>
  <c r="AR22" i="11"/>
  <c r="AR6" i="11"/>
  <c r="AS6" i="11" s="1"/>
  <c r="AT6" i="11" s="1"/>
  <c r="AS22" i="11"/>
  <c r="AT22" i="11"/>
  <c r="AQ22" i="11"/>
  <c r="M99" i="3"/>
  <c r="BY162" i="1"/>
  <c r="AP34" i="6"/>
  <c r="AP40" i="6"/>
  <c r="CW150" i="1"/>
  <c r="CV170" i="1"/>
  <c r="M129" i="1"/>
  <c r="N129" i="1" s="1"/>
  <c r="L133" i="1"/>
  <c r="L169" i="1"/>
  <c r="M169" i="1" s="1"/>
  <c r="R129" i="1"/>
  <c r="L149" i="1"/>
  <c r="L132" i="1"/>
  <c r="DE53" i="1"/>
  <c r="DD112" i="1"/>
  <c r="DF53" i="1"/>
  <c r="EJ41" i="1"/>
  <c r="EJ48" i="1" s="1"/>
  <c r="BA47" i="11"/>
  <c r="BA57" i="11"/>
  <c r="D15" i="8"/>
  <c r="T15" i="3"/>
  <c r="V15" i="3" s="1"/>
  <c r="X15" i="3" s="1"/>
  <c r="BD6" i="1"/>
  <c r="F20" i="8" s="1"/>
  <c r="AH20" i="8" s="1"/>
  <c r="R14" i="5"/>
  <c r="R56" i="5"/>
  <c r="F15" i="8"/>
  <c r="AL18" i="8"/>
  <c r="AL11" i="8"/>
  <c r="R32" i="5"/>
  <c r="FD22" i="11" s="1"/>
  <c r="F13" i="8"/>
  <c r="AH13" i="8" s="1"/>
  <c r="F11" i="8"/>
  <c r="F14" i="8"/>
  <c r="AH14" i="8" s="1"/>
  <c r="R34" i="5"/>
  <c r="FD23" i="11" s="1"/>
  <c r="R9" i="5"/>
  <c r="R25" i="5"/>
  <c r="R18" i="5"/>
  <c r="R27" i="4"/>
  <c r="F12" i="8"/>
  <c r="AH12" i="8" s="1"/>
  <c r="AL12" i="8"/>
  <c r="AL20" i="8"/>
  <c r="AL14" i="8"/>
  <c r="R45" i="5"/>
  <c r="FD30" i="11" s="1"/>
  <c r="S27" i="4"/>
  <c r="R7" i="5"/>
  <c r="O171" i="72"/>
  <c r="O75" i="72"/>
  <c r="O170" i="72" s="1"/>
  <c r="O169" i="72" s="1"/>
  <c r="O172" i="72"/>
  <c r="P17" i="4"/>
  <c r="P24" i="4"/>
  <c r="M67" i="9"/>
  <c r="M71" i="9" s="1"/>
  <c r="M75" i="9"/>
  <c r="N59" i="10"/>
  <c r="J36" i="8"/>
  <c r="J64" i="8"/>
  <c r="DJ35" i="1"/>
  <c r="DF35" i="1"/>
  <c r="AH40" i="9"/>
  <c r="AI102" i="3"/>
  <c r="AK102" i="3" s="1"/>
  <c r="AM102" i="3" s="1"/>
  <c r="V102" i="3"/>
  <c r="X102" i="3" s="1"/>
  <c r="AW17" i="11"/>
  <c r="AW46" i="11"/>
  <c r="AT36" i="6"/>
  <c r="AT42" i="6"/>
  <c r="BU112" i="1"/>
  <c r="BU122" i="1"/>
  <c r="AD22" i="4"/>
  <c r="FP66" i="11"/>
  <c r="AE22" i="4"/>
  <c r="CK112" i="1"/>
  <c r="CK122" i="1"/>
  <c r="Y113" i="1"/>
  <c r="Y123" i="1"/>
  <c r="AD35" i="6"/>
  <c r="AD41" i="6"/>
  <c r="L69" i="9"/>
  <c r="L73" i="9" s="1"/>
  <c r="L68" i="9"/>
  <c r="L72" i="9" s="1"/>
  <c r="K63" i="9"/>
  <c r="N15" i="5"/>
  <c r="EZ13" i="11"/>
  <c r="J29" i="8"/>
  <c r="AF90" i="8"/>
  <c r="AF116" i="8"/>
  <c r="BA151" i="1"/>
  <c r="AZ171" i="1"/>
  <c r="AC59" i="9"/>
  <c r="E109" i="64"/>
  <c r="BH22" i="11"/>
  <c r="M120" i="3"/>
  <c r="O120" i="3" s="1"/>
  <c r="U16" i="58"/>
  <c r="V16" i="58"/>
  <c r="Y16" i="58"/>
  <c r="Z16" i="58"/>
  <c r="T11" i="58"/>
  <c r="R11" i="58"/>
  <c r="P14" i="58"/>
  <c r="R14" i="58" s="1"/>
  <c r="P52" i="58"/>
  <c r="P15" i="58"/>
  <c r="J55" i="58"/>
  <c r="AC132" i="1"/>
  <c r="AB152" i="1"/>
  <c r="U124" i="1"/>
  <c r="U114" i="1"/>
  <c r="AD22" i="6"/>
  <c r="AD46" i="6" s="1"/>
  <c r="AD16" i="6"/>
  <c r="J106" i="8"/>
  <c r="Z21" i="8"/>
  <c r="J50" i="8"/>
  <c r="J78" i="8"/>
  <c r="AF98" i="8"/>
  <c r="D192" i="54"/>
  <c r="AH41" i="4"/>
  <c r="C195" i="54"/>
  <c r="I130" i="3" s="1"/>
  <c r="I126" i="3"/>
  <c r="K126" i="3" s="1"/>
  <c r="M126" i="3" s="1"/>
  <c r="V117" i="3"/>
  <c r="X117" i="3" s="1"/>
  <c r="AI117" i="3"/>
  <c r="AK117" i="3" s="1"/>
  <c r="AM117" i="3" s="1"/>
  <c r="FO26" i="11"/>
  <c r="K18" i="72"/>
  <c r="R130" i="1"/>
  <c r="Q130" i="1"/>
  <c r="P150" i="1"/>
  <c r="P134" i="1"/>
  <c r="V134" i="1" s="1"/>
  <c r="P132" i="1"/>
  <c r="L75" i="9"/>
  <c r="M59" i="10"/>
  <c r="L67" i="9"/>
  <c r="L71" i="9" s="1"/>
  <c r="FV41" i="11"/>
  <c r="AT15" i="11"/>
  <c r="AY55" i="11"/>
  <c r="AR47" i="11"/>
  <c r="AM105" i="3"/>
  <c r="AO112" i="1"/>
  <c r="AO122" i="1"/>
  <c r="CN132" i="1"/>
  <c r="CO112" i="1"/>
  <c r="CO122" i="1"/>
  <c r="AT35" i="6"/>
  <c r="AT41" i="6"/>
  <c r="BD47" i="11"/>
  <c r="BD57" i="11"/>
  <c r="BC15" i="11"/>
  <c r="BC55" i="11"/>
  <c r="FC55" i="11"/>
  <c r="FC15" i="11"/>
  <c r="P35" i="4"/>
  <c r="P36" i="4" s="1"/>
  <c r="P23" i="5"/>
  <c r="P36" i="5"/>
  <c r="AF83" i="8"/>
  <c r="I134" i="1"/>
  <c r="D159" i="1"/>
  <c r="E149" i="1"/>
  <c r="J149" i="1" s="1"/>
  <c r="Q22" i="64"/>
  <c r="R3" i="64"/>
  <c r="Q35" i="64"/>
  <c r="Q136" i="64"/>
  <c r="Q64" i="64"/>
  <c r="Q100" i="64"/>
  <c r="Q15" i="64"/>
  <c r="T109" i="3"/>
  <c r="AO116" i="3"/>
  <c r="Z34" i="6"/>
  <c r="Z40" i="6"/>
  <c r="CS112" i="1"/>
  <c r="CR132" i="1"/>
  <c r="AD43" i="6"/>
  <c r="AD37" i="6"/>
  <c r="L60" i="10"/>
  <c r="L56" i="10"/>
  <c r="EZ36" i="11"/>
  <c r="K62" i="9"/>
  <c r="L62" i="10"/>
  <c r="N22" i="5"/>
  <c r="N11" i="4"/>
  <c r="EZ10" i="11"/>
  <c r="EZ12" i="11" s="1"/>
  <c r="Z54" i="8"/>
  <c r="Z82" i="8"/>
  <c r="AF111" i="8"/>
  <c r="Z116" i="8"/>
  <c r="Z88" i="8"/>
  <c r="J92" i="8"/>
  <c r="T110" i="64"/>
  <c r="DL35" i="1"/>
  <c r="BG22" i="11"/>
  <c r="AG17" i="9"/>
  <c r="M15" i="58"/>
  <c r="N15" i="58"/>
  <c r="EL38" i="1"/>
  <c r="EK45" i="1"/>
  <c r="DA151" i="1"/>
  <c r="CZ171" i="1"/>
  <c r="AC148" i="1"/>
  <c r="AB158" i="1"/>
  <c r="Z42" i="8"/>
  <c r="AF70" i="8"/>
  <c r="Z70" i="8"/>
  <c r="AF84" i="8"/>
  <c r="Z46" i="8"/>
  <c r="Z74" i="8"/>
  <c r="AF97" i="8"/>
  <c r="J99" i="8"/>
  <c r="AF118" i="3"/>
  <c r="O118" i="3"/>
  <c r="M69" i="9"/>
  <c r="M73" i="9" s="1"/>
  <c r="M68" i="9"/>
  <c r="M72" i="9" s="1"/>
  <c r="H9" i="9"/>
  <c r="J47" i="10"/>
  <c r="J50" i="10" s="1"/>
  <c r="V132" i="1"/>
  <c r="D23" i="5"/>
  <c r="D36" i="5"/>
  <c r="D35" i="4"/>
  <c r="D36" i="4" s="1"/>
  <c r="T111" i="3"/>
  <c r="AO118" i="3"/>
  <c r="DM83" i="1"/>
  <c r="DM15" i="1"/>
  <c r="DN15" i="1"/>
  <c r="J34" i="6"/>
  <c r="J40" i="6"/>
  <c r="J36" i="6"/>
  <c r="J42" i="6"/>
  <c r="J43" i="8"/>
  <c r="J71" i="8"/>
  <c r="J113" i="8"/>
  <c r="AF103" i="8"/>
  <c r="BU151" i="1"/>
  <c r="BT171" i="1"/>
  <c r="X161" i="1"/>
  <c r="Y151" i="1"/>
  <c r="X154" i="1"/>
  <c r="CT6" i="11"/>
  <c r="CY7" i="11"/>
  <c r="V113" i="3"/>
  <c r="X113" i="3" s="1"/>
  <c r="L53" i="5"/>
  <c r="EX35" i="11" s="1"/>
  <c r="EX32" i="11"/>
  <c r="EX51" i="11" s="1"/>
  <c r="P169" i="1"/>
  <c r="EK47" i="1"/>
  <c r="EL40" i="1"/>
  <c r="AT43" i="6"/>
  <c r="AT37" i="6"/>
  <c r="O123" i="3"/>
  <c r="AF123" i="3"/>
  <c r="BD15" i="11"/>
  <c r="BD55" i="11"/>
  <c r="BC47" i="11"/>
  <c r="BC57" i="11"/>
  <c r="BA55" i="11"/>
  <c r="BA15" i="11"/>
  <c r="BB47" i="11"/>
  <c r="BB57" i="11"/>
  <c r="Q12" i="4"/>
  <c r="Q31" i="4" s="1"/>
  <c r="Q17" i="4"/>
  <c r="Q24" i="4"/>
  <c r="Q29" i="4"/>
  <c r="N67" i="9"/>
  <c r="N71" i="9" s="1"/>
  <c r="N75" i="9"/>
  <c r="O59" i="10"/>
  <c r="FC47" i="11"/>
  <c r="FC57" i="11"/>
  <c r="J85" i="8"/>
  <c r="Z83" i="8"/>
  <c r="I151" i="1"/>
  <c r="H161" i="1"/>
  <c r="H154" i="1"/>
  <c r="O116" i="3"/>
  <c r="AF116" i="3"/>
  <c r="FB57" i="11"/>
  <c r="FB47" i="11"/>
  <c r="J108" i="64"/>
  <c r="I109" i="64"/>
  <c r="L76" i="64"/>
  <c r="L77" i="64" s="1"/>
  <c r="R109" i="64"/>
  <c r="Q110" i="64"/>
  <c r="AD99" i="3"/>
  <c r="AK99" i="3"/>
  <c r="CK75" i="11"/>
  <c r="CL6" i="11"/>
  <c r="CK76" i="11"/>
  <c r="BF10" i="11"/>
  <c r="BF12" i="11" s="1"/>
  <c r="Z36" i="6"/>
  <c r="Z42" i="6"/>
  <c r="AT22" i="6"/>
  <c r="AT46" i="6" s="1"/>
  <c r="AT16" i="6"/>
  <c r="EZ19" i="11"/>
  <c r="M56" i="5"/>
  <c r="M14" i="5"/>
  <c r="M18" i="5"/>
  <c r="M25" i="5"/>
  <c r="N26" i="5" s="1"/>
  <c r="M9" i="5"/>
  <c r="M34" i="5"/>
  <c r="EY23" i="11" s="1"/>
  <c r="J5" i="5"/>
  <c r="M7" i="5"/>
  <c r="M32" i="5"/>
  <c r="EY22" i="11" s="1"/>
  <c r="M39" i="5"/>
  <c r="M5" i="4"/>
  <c r="M27" i="4" s="1"/>
  <c r="AF82" i="8"/>
  <c r="Z119" i="8"/>
  <c r="J15" i="8"/>
  <c r="Z90" i="8"/>
  <c r="Z110" i="8"/>
  <c r="AF117" i="3"/>
  <c r="O117" i="3"/>
  <c r="W41" i="64"/>
  <c r="H76" i="64"/>
  <c r="H77" i="64" s="1"/>
  <c r="M75" i="64"/>
  <c r="V44" i="64"/>
  <c r="V54" i="64" s="1"/>
  <c r="V45" i="64"/>
  <c r="M36" i="3"/>
  <c r="BF22" i="11"/>
  <c r="M52" i="58"/>
  <c r="N52" i="58" s="1"/>
  <c r="L55" i="58"/>
  <c r="M55" i="58" s="1"/>
  <c r="N55" i="58" s="1"/>
  <c r="U53" i="58"/>
  <c r="AD92" i="3"/>
  <c r="DI129" i="1"/>
  <c r="DJ129" i="1"/>
  <c r="D389" i="54"/>
  <c r="C390" i="54"/>
  <c r="Z125" i="3"/>
  <c r="DA161" i="1"/>
  <c r="V131" i="1"/>
  <c r="U131" i="1"/>
  <c r="T151" i="1"/>
  <c r="T154" i="1" s="1"/>
  <c r="J128" i="1"/>
  <c r="H132" i="1"/>
  <c r="H133" i="1"/>
  <c r="H148" i="1"/>
  <c r="I128" i="1"/>
  <c r="N128" i="1" s="1"/>
  <c r="N35" i="6"/>
  <c r="N41" i="6"/>
  <c r="Z27" i="8"/>
  <c r="Z98" i="8"/>
  <c r="AF118" i="8"/>
  <c r="CX53" i="1"/>
  <c r="CV112" i="1"/>
  <c r="CW53" i="1"/>
  <c r="BR24" i="6"/>
  <c r="BR42" i="6"/>
  <c r="BR48" i="6" s="1"/>
  <c r="BR36" i="6"/>
  <c r="V125" i="8"/>
  <c r="X125" i="8" s="1"/>
  <c r="J125" i="3"/>
  <c r="K125" i="3"/>
  <c r="G15" i="9"/>
  <c r="G22" i="9" s="1"/>
  <c r="G48" i="9" s="1"/>
  <c r="G54" i="9"/>
  <c r="G59" i="9" s="1"/>
  <c r="T76" i="64"/>
  <c r="D76" i="64"/>
  <c r="I75" i="64"/>
  <c r="J81" i="64"/>
  <c r="AD106" i="3"/>
  <c r="AF106" i="3" s="1"/>
  <c r="V112" i="3"/>
  <c r="X112" i="3" s="1"/>
  <c r="AI112" i="3"/>
  <c r="AK112" i="3" s="1"/>
  <c r="AM112" i="3" s="1"/>
  <c r="DL33" i="1"/>
  <c r="DM33" i="1" s="1"/>
  <c r="DL34" i="1"/>
  <c r="DM34" i="1" s="1"/>
  <c r="N34" i="6"/>
  <c r="N40" i="6"/>
  <c r="Y134" i="1"/>
  <c r="Z134" i="1"/>
  <c r="W44" i="64"/>
  <c r="W54" i="64" s="1"/>
  <c r="W45" i="64"/>
  <c r="V104" i="3"/>
  <c r="X104" i="3" s="1"/>
  <c r="AI104" i="3"/>
  <c r="AK104" i="3" s="1"/>
  <c r="AM104" i="3" s="1"/>
  <c r="N36" i="6"/>
  <c r="N42" i="6"/>
  <c r="AO151" i="1"/>
  <c r="AN171" i="1"/>
  <c r="DI108" i="1"/>
  <c r="DH113" i="1"/>
  <c r="DH128" i="1"/>
  <c r="EC28" i="11" s="1"/>
  <c r="DI118" i="1"/>
  <c r="N68" i="9"/>
  <c r="N72" i="9" s="1"/>
  <c r="N69" i="9"/>
  <c r="N73" i="9" s="1"/>
  <c r="T160" i="1"/>
  <c r="U150" i="1"/>
  <c r="AI10" i="10"/>
  <c r="AV45" i="58"/>
  <c r="AZ45" i="58" s="1"/>
  <c r="AT45" i="58"/>
  <c r="CP6" i="11"/>
  <c r="CO76" i="11"/>
  <c r="CO75" i="11"/>
  <c r="U44" i="64"/>
  <c r="U54" i="64" s="1"/>
  <c r="U75" i="64" s="1"/>
  <c r="U45" i="64"/>
  <c r="AS47" i="11"/>
  <c r="AX57" i="11"/>
  <c r="AQ47" i="11"/>
  <c r="AV57" i="11"/>
  <c r="AQ15" i="11"/>
  <c r="AR15" i="11"/>
  <c r="AV46" i="11"/>
  <c r="AV17" i="11"/>
  <c r="L168" i="1"/>
  <c r="Z5" i="5"/>
  <c r="Y5" i="4"/>
  <c r="BV16" i="6"/>
  <c r="BI55" i="11"/>
  <c r="D14" i="8"/>
  <c r="T14" i="3"/>
  <c r="BB15" i="11"/>
  <c r="BB55" i="11"/>
  <c r="EU47" i="11"/>
  <c r="Q36" i="5"/>
  <c r="Q50" i="5"/>
  <c r="Q35" i="4"/>
  <c r="Q36" i="4" s="1"/>
  <c r="Q23" i="5"/>
  <c r="FB15" i="11"/>
  <c r="I23" i="5"/>
  <c r="I36" i="5"/>
  <c r="I35" i="4"/>
  <c r="I36" i="4" s="1"/>
  <c r="AF112" i="8"/>
  <c r="BI152" i="1"/>
  <c r="BH172" i="1"/>
  <c r="M171" i="1"/>
  <c r="DF55" i="1"/>
  <c r="DE55" i="1"/>
  <c r="DJ55" i="1"/>
  <c r="BR16" i="6"/>
  <c r="Q76" i="64"/>
  <c r="Q77" i="64" s="1"/>
  <c r="Q78" i="64" s="1"/>
  <c r="AD120" i="3"/>
  <c r="AF120" i="3" s="1"/>
  <c r="AK120" i="3"/>
  <c r="AW55" i="11"/>
  <c r="AD36" i="6"/>
  <c r="AD42" i="6"/>
  <c r="AS152" i="1"/>
  <c r="AR172" i="1"/>
  <c r="Y128" i="1"/>
  <c r="X148" i="1"/>
  <c r="X132" i="1"/>
  <c r="X133" i="1"/>
  <c r="K64" i="9"/>
  <c r="N19" i="5"/>
  <c r="EZ16" i="11"/>
  <c r="EZ26" i="11"/>
  <c r="Z40" i="8"/>
  <c r="AF68" i="8"/>
  <c r="Z68" i="8"/>
  <c r="AF119" i="8"/>
  <c r="J57" i="8"/>
  <c r="Z25" i="8"/>
  <c r="Z111" i="8"/>
  <c r="J120" i="8"/>
  <c r="AF110" i="8"/>
  <c r="AF88" i="8"/>
  <c r="AC112" i="1"/>
  <c r="AC122" i="1"/>
  <c r="BR35" i="6"/>
  <c r="BR41" i="6"/>
  <c r="BR47" i="6" s="1"/>
  <c r="BR23" i="6"/>
  <c r="B124" i="64"/>
  <c r="A124" i="64"/>
  <c r="Y42" i="64"/>
  <c r="Z42" i="64" s="1"/>
  <c r="AA42" i="64" s="1"/>
  <c r="AB42" i="64" s="1"/>
  <c r="X40" i="64"/>
  <c r="X41" i="64" s="1"/>
  <c r="X43" i="64"/>
  <c r="M76" i="64"/>
  <c r="M77" i="64" s="1"/>
  <c r="DN65" i="11"/>
  <c r="DL62" i="11"/>
  <c r="DM16" i="1"/>
  <c r="DM84" i="1"/>
  <c r="BI22" i="11"/>
  <c r="BF13" i="11"/>
  <c r="AL24" i="58"/>
  <c r="AN24" i="58"/>
  <c r="AD113" i="3"/>
  <c r="AF113" i="3" s="1"/>
  <c r="AK113" i="3"/>
  <c r="AM113" i="3" s="1"/>
  <c r="AD128" i="1"/>
  <c r="I113" i="1"/>
  <c r="I123" i="1"/>
  <c r="N43" i="6"/>
  <c r="N37" i="6"/>
  <c r="Z56" i="8"/>
  <c r="Z84" i="8"/>
  <c r="Z55" i="8"/>
  <c r="AF74" i="8"/>
  <c r="Z118" i="8"/>
  <c r="Z97" i="8"/>
  <c r="Z95" i="8"/>
  <c r="AF95" i="8"/>
  <c r="I6" i="10"/>
  <c r="M50" i="3"/>
  <c r="AM106" i="3"/>
  <c r="P78" i="64"/>
  <c r="BE129" i="1" l="1"/>
  <c r="N81" i="64"/>
  <c r="F79" i="64"/>
  <c r="F80" i="64" s="1"/>
  <c r="F81" i="64" s="1"/>
  <c r="N82" i="64"/>
  <c r="N83" i="64" s="1"/>
  <c r="G112" i="64"/>
  <c r="BI15" i="11"/>
  <c r="FB55" i="11"/>
  <c r="FA12" i="11"/>
  <c r="AT55" i="11"/>
  <c r="AO12" i="11"/>
  <c r="AS55" i="11"/>
  <c r="AN12" i="11"/>
  <c r="AQ55" i="11"/>
  <c r="AL12" i="11"/>
  <c r="AR55" i="11"/>
  <c r="AM12" i="11"/>
  <c r="BH55" i="11"/>
  <c r="BH12" i="11"/>
  <c r="AC42" i="64"/>
  <c r="O126" i="3"/>
  <c r="BV19" i="6"/>
  <c r="DU32" i="1"/>
  <c r="P29" i="4"/>
  <c r="BI47" i="11"/>
  <c r="DM72" i="1"/>
  <c r="DH160" i="1"/>
  <c r="DH150" i="1"/>
  <c r="DH148" i="1"/>
  <c r="DH158" i="1"/>
  <c r="DI73" i="1"/>
  <c r="AN154" i="1"/>
  <c r="DQ35" i="1"/>
  <c r="CO161" i="1"/>
  <c r="DM35" i="1"/>
  <c r="DN35" i="1" s="1"/>
  <c r="CJ132" i="1"/>
  <c r="CP132" i="1" s="1"/>
  <c r="G15" i="3"/>
  <c r="AW131" i="1"/>
  <c r="CK128" i="1"/>
  <c r="AN170" i="1"/>
  <c r="AS35" i="11" s="1"/>
  <c r="CK123" i="1"/>
  <c r="CR149" i="1"/>
  <c r="CX149" i="1" s="1"/>
  <c r="CW131" i="1"/>
  <c r="O17" i="4"/>
  <c r="P18" i="4" s="1"/>
  <c r="CC131" i="1"/>
  <c r="AV151" i="1"/>
  <c r="BB151" i="1" s="1"/>
  <c r="DA124" i="1"/>
  <c r="CC148" i="1"/>
  <c r="CH131" i="1"/>
  <c r="AV134" i="1"/>
  <c r="AW134" i="1" s="1"/>
  <c r="CS129" i="1"/>
  <c r="DB131" i="1"/>
  <c r="DD169" i="1"/>
  <c r="DI159" i="1"/>
  <c r="CX129" i="1"/>
  <c r="BY164" i="1"/>
  <c r="AT130" i="1"/>
  <c r="BD133" i="1"/>
  <c r="BE133" i="1" s="1"/>
  <c r="BJ129" i="1"/>
  <c r="AO114" i="1"/>
  <c r="AO124" i="1"/>
  <c r="BC131" i="1"/>
  <c r="CK131" i="1"/>
  <c r="CJ151" i="1"/>
  <c r="CP131" i="1"/>
  <c r="BY163" i="1"/>
  <c r="AL21" i="8"/>
  <c r="EK46" i="1"/>
  <c r="BV150" i="1"/>
  <c r="S18" i="5"/>
  <c r="S34" i="5"/>
  <c r="FE23" i="11" s="1"/>
  <c r="CZ132" i="1"/>
  <c r="CZ162" i="1" s="1"/>
  <c r="AS130" i="1"/>
  <c r="G14" i="3"/>
  <c r="BI159" i="1"/>
  <c r="DA122" i="1"/>
  <c r="BF47" i="11"/>
  <c r="T13" i="3"/>
  <c r="AI13" i="3" s="1"/>
  <c r="AK13" i="3" s="1"/>
  <c r="BP170" i="1"/>
  <c r="BU170" i="1" s="1"/>
  <c r="F21" i="8"/>
  <c r="AH21" i="8" s="1"/>
  <c r="S14" i="5"/>
  <c r="FE13" i="11" s="1"/>
  <c r="AR150" i="1"/>
  <c r="AR170" i="1" s="1"/>
  <c r="AR134" i="1"/>
  <c r="AT134" i="1" s="1"/>
  <c r="BE159" i="1"/>
  <c r="AP134" i="1"/>
  <c r="BJ131" i="1"/>
  <c r="AB153" i="1"/>
  <c r="CV151" i="1"/>
  <c r="CV171" i="1" s="1"/>
  <c r="DA171" i="1" s="1"/>
  <c r="T152" i="1"/>
  <c r="T162" i="1" s="1"/>
  <c r="AN164" i="1"/>
  <c r="CV142" i="1"/>
  <c r="CD148" i="1"/>
  <c r="BD34" i="11"/>
  <c r="BI59" i="11" s="1"/>
  <c r="AW124" i="1"/>
  <c r="D152" i="1"/>
  <c r="S7" i="5"/>
  <c r="P62" i="9" s="1"/>
  <c r="S25" i="5"/>
  <c r="S26" i="5" s="1"/>
  <c r="CG162" i="1"/>
  <c r="BL163" i="1"/>
  <c r="BQ163" i="1" s="1"/>
  <c r="CB153" i="1"/>
  <c r="CC153" i="1" s="1"/>
  <c r="BY112" i="1"/>
  <c r="BT154" i="1"/>
  <c r="BU154" i="1" s="1"/>
  <c r="DB134" i="1"/>
  <c r="G13" i="3"/>
  <c r="BM129" i="1"/>
  <c r="BL149" i="1"/>
  <c r="BX132" i="1"/>
  <c r="BY132" i="1" s="1"/>
  <c r="CW151" i="1"/>
  <c r="BU150" i="1"/>
  <c r="BH151" i="1"/>
  <c r="BI151" i="1" s="1"/>
  <c r="BI161" i="1"/>
  <c r="BD151" i="1"/>
  <c r="BF131" i="1"/>
  <c r="BE131" i="1"/>
  <c r="O24" i="4"/>
  <c r="P25" i="4" s="1"/>
  <c r="O12" i="4"/>
  <c r="O31" i="4" s="1"/>
  <c r="EL39" i="1"/>
  <c r="O16" i="5"/>
  <c r="AX24" i="11"/>
  <c r="AX49" i="11" s="1"/>
  <c r="BH134" i="1"/>
  <c r="BI134" i="1" s="1"/>
  <c r="BI131" i="1"/>
  <c r="BB129" i="1"/>
  <c r="BG47" i="11"/>
  <c r="DL168" i="1"/>
  <c r="BU163" i="1"/>
  <c r="AD57" i="58"/>
  <c r="DH132" i="1"/>
  <c r="DH152" i="1" s="1"/>
  <c r="DI112" i="1"/>
  <c r="O20" i="5"/>
  <c r="O35" i="4"/>
  <c r="O36" i="4" s="1"/>
  <c r="O36" i="5"/>
  <c r="O42" i="5" s="1"/>
  <c r="FA55" i="11"/>
  <c r="FA47" i="11"/>
  <c r="AW123" i="1"/>
  <c r="CC162" i="1"/>
  <c r="FA15" i="11"/>
  <c r="FA46" i="11" s="1"/>
  <c r="T11" i="3"/>
  <c r="V11" i="3" s="1"/>
  <c r="X11" i="3" s="1"/>
  <c r="AV133" i="1"/>
  <c r="AW133" i="1" s="1"/>
  <c r="AH23" i="58"/>
  <c r="CC124" i="1"/>
  <c r="AW129" i="1"/>
  <c r="BC129" i="1" s="1"/>
  <c r="BH133" i="1"/>
  <c r="BI133" i="1" s="1"/>
  <c r="BI124" i="1"/>
  <c r="AV149" i="1"/>
  <c r="AG54" i="58"/>
  <c r="BT169" i="1"/>
  <c r="BU149" i="1"/>
  <c r="AV150" i="1"/>
  <c r="AV154" i="1" s="1"/>
  <c r="AW154" i="1" s="1"/>
  <c r="AV160" i="1"/>
  <c r="AW130" i="1"/>
  <c r="AX130" i="1"/>
  <c r="AO161" i="1"/>
  <c r="CB132" i="1"/>
  <c r="CB152" i="1" s="1"/>
  <c r="DU31" i="1"/>
  <c r="CB134" i="1"/>
  <c r="CC134" i="1" s="1"/>
  <c r="AK130" i="1"/>
  <c r="AP130" i="1"/>
  <c r="AJ160" i="1"/>
  <c r="AJ150" i="1"/>
  <c r="AJ154" i="1" s="1"/>
  <c r="AK154" i="1" s="1"/>
  <c r="DE128" i="1"/>
  <c r="DD133" i="1"/>
  <c r="DE133" i="1" s="1"/>
  <c r="DD148" i="1"/>
  <c r="DD158" i="1"/>
  <c r="DD163" i="1" s="1"/>
  <c r="BH163" i="1"/>
  <c r="BM159" i="1"/>
  <c r="BI129" i="1"/>
  <c r="BH149" i="1"/>
  <c r="BH153" i="1" s="1"/>
  <c r="BN129" i="1"/>
  <c r="DE113" i="1"/>
  <c r="DE123" i="1"/>
  <c r="BU123" i="1"/>
  <c r="BU113" i="1"/>
  <c r="CG131" i="1"/>
  <c r="CF151" i="1"/>
  <c r="CH151" i="1" s="1"/>
  <c r="BV18" i="6"/>
  <c r="AC151" i="1"/>
  <c r="AD151" i="1" s="1"/>
  <c r="AB161" i="1"/>
  <c r="AB171" i="1" s="1"/>
  <c r="AG171" i="1" s="1"/>
  <c r="AJ171" i="1"/>
  <c r="AK171" i="1" s="1"/>
  <c r="CZ158" i="1"/>
  <c r="DB128" i="1"/>
  <c r="DA128" i="1"/>
  <c r="DF128" i="1"/>
  <c r="CZ148" i="1"/>
  <c r="BT148" i="1"/>
  <c r="BV128" i="1"/>
  <c r="BT133" i="1"/>
  <c r="BU133" i="1" s="1"/>
  <c r="BU128" i="1"/>
  <c r="BZ128" i="1"/>
  <c r="BT132" i="1"/>
  <c r="CB164" i="1"/>
  <c r="CG164" i="1" s="1"/>
  <c r="CC160" i="1"/>
  <c r="CB150" i="1"/>
  <c r="CD150" i="1" s="1"/>
  <c r="CC130" i="1"/>
  <c r="AW112" i="1"/>
  <c r="AW122" i="1"/>
  <c r="AV162" i="1"/>
  <c r="AV132" i="1"/>
  <c r="AN148" i="1"/>
  <c r="AN158" i="1"/>
  <c r="AQ34" i="11" s="1"/>
  <c r="AO128" i="1"/>
  <c r="AY24" i="11"/>
  <c r="AY50" i="11" s="1"/>
  <c r="AX131" i="1"/>
  <c r="BH47" i="11"/>
  <c r="C393" i="54"/>
  <c r="D393" i="54" s="1"/>
  <c r="AH47" i="4"/>
  <c r="DA134" i="1"/>
  <c r="J134" i="1"/>
  <c r="Q172" i="72"/>
  <c r="Q171" i="72"/>
  <c r="BG55" i="11"/>
  <c r="BG15" i="11"/>
  <c r="T12" i="3"/>
  <c r="V12" i="3" s="1"/>
  <c r="X12" i="3" s="1"/>
  <c r="BH57" i="11"/>
  <c r="BH15" i="11"/>
  <c r="BH46" i="11" s="1"/>
  <c r="AF148" i="1"/>
  <c r="AF133" i="1"/>
  <c r="AG128" i="1"/>
  <c r="AF132" i="1"/>
  <c r="AH128" i="1"/>
  <c r="C76" i="64"/>
  <c r="C110" i="64"/>
  <c r="D109" i="64"/>
  <c r="DR35" i="1"/>
  <c r="CW159" i="1"/>
  <c r="CV163" i="1"/>
  <c r="BI160" i="1"/>
  <c r="BD164" i="1"/>
  <c r="DH171" i="1"/>
  <c r="DI151" i="1"/>
  <c r="AT129" i="1"/>
  <c r="AX129" i="1"/>
  <c r="AR149" i="1"/>
  <c r="AR159" i="1"/>
  <c r="AW159" i="1" s="1"/>
  <c r="AS129" i="1"/>
  <c r="CG129" i="1"/>
  <c r="CH129" i="1"/>
  <c r="CF149" i="1"/>
  <c r="AX34" i="11"/>
  <c r="AS160" i="1"/>
  <c r="CR148" i="1"/>
  <c r="CX128" i="1"/>
  <c r="CR133" i="1"/>
  <c r="CX133" i="1" s="1"/>
  <c r="CR158" i="1"/>
  <c r="CS128" i="1"/>
  <c r="CT128" i="1"/>
  <c r="V133" i="1"/>
  <c r="U133" i="1"/>
  <c r="BF149" i="1"/>
  <c r="BD169" i="1"/>
  <c r="BL35" i="11" s="1"/>
  <c r="BE149" i="1"/>
  <c r="BY113" i="1"/>
  <c r="BY123" i="1"/>
  <c r="AJ148" i="1"/>
  <c r="AJ158" i="1"/>
  <c r="AK128" i="1"/>
  <c r="AJ133" i="1"/>
  <c r="AL128" i="1"/>
  <c r="AP128" i="1"/>
  <c r="CG124" i="1"/>
  <c r="CG114" i="1"/>
  <c r="CO114" i="1"/>
  <c r="CO124" i="1"/>
  <c r="G111" i="64"/>
  <c r="BA34" i="11"/>
  <c r="AV163" i="1"/>
  <c r="BQ131" i="1"/>
  <c r="BP151" i="1"/>
  <c r="BR131" i="1"/>
  <c r="BP134" i="1"/>
  <c r="BV131" i="1"/>
  <c r="BM112" i="1"/>
  <c r="BM122" i="1"/>
  <c r="BL132" i="1"/>
  <c r="M150" i="1"/>
  <c r="N150" i="1" s="1"/>
  <c r="L154" i="1"/>
  <c r="M154" i="1" s="1"/>
  <c r="L160" i="1"/>
  <c r="BM128" i="1"/>
  <c r="BL148" i="1"/>
  <c r="BL133" i="1"/>
  <c r="BR128" i="1"/>
  <c r="BN128" i="1"/>
  <c r="BE152" i="1"/>
  <c r="BD172" i="1"/>
  <c r="BE172" i="1" s="1"/>
  <c r="BF152" i="1"/>
  <c r="DA150" i="1"/>
  <c r="CZ170" i="1"/>
  <c r="DE170" i="1" s="1"/>
  <c r="DF150" i="1"/>
  <c r="CJ152" i="1"/>
  <c r="CK152" i="1" s="1"/>
  <c r="CZ154" i="1"/>
  <c r="C77" i="64"/>
  <c r="D111" i="64" s="1"/>
  <c r="T126" i="3"/>
  <c r="V126" i="3" s="1"/>
  <c r="AO133" i="3"/>
  <c r="T133" i="3" s="1"/>
  <c r="AI133" i="3" s="1"/>
  <c r="S111" i="64"/>
  <c r="BE158" i="1"/>
  <c r="BD163" i="1"/>
  <c r="BI158" i="1"/>
  <c r="BQ113" i="1"/>
  <c r="BQ123" i="1"/>
  <c r="CW133" i="1"/>
  <c r="CC151" i="1"/>
  <c r="CB171" i="1"/>
  <c r="AO113" i="1"/>
  <c r="AO123" i="1"/>
  <c r="BM114" i="1"/>
  <c r="BM124" i="1"/>
  <c r="BY114" i="1"/>
  <c r="BY124" i="1"/>
  <c r="H110" i="64"/>
  <c r="AX128" i="1"/>
  <c r="AR148" i="1"/>
  <c r="AR158" i="1"/>
  <c r="AW158" i="1" s="1"/>
  <c r="AS128" i="1"/>
  <c r="AR133" i="1"/>
  <c r="AT128" i="1"/>
  <c r="BU162" i="1"/>
  <c r="BQ122" i="1"/>
  <c r="BP132" i="1"/>
  <c r="BQ112" i="1"/>
  <c r="CR134" i="1"/>
  <c r="CT130" i="1"/>
  <c r="CR150" i="1"/>
  <c r="CR160" i="1"/>
  <c r="CX130" i="1"/>
  <c r="CS130" i="1"/>
  <c r="S77" i="64"/>
  <c r="T111" i="64" s="1"/>
  <c r="K112" i="64"/>
  <c r="U149" i="1"/>
  <c r="V149" i="1" s="1"/>
  <c r="T159" i="1"/>
  <c r="T153" i="1"/>
  <c r="DA113" i="1"/>
  <c r="DA123" i="1"/>
  <c r="D161" i="1"/>
  <c r="D171" i="1" s="1"/>
  <c r="I171" i="1" s="1"/>
  <c r="E151" i="1"/>
  <c r="J151" i="1" s="1"/>
  <c r="BY129" i="1"/>
  <c r="BX133" i="1"/>
  <c r="CD133" i="1" s="1"/>
  <c r="BX149" i="1"/>
  <c r="CD149" i="1" s="1"/>
  <c r="BZ129" i="1"/>
  <c r="AS114" i="1"/>
  <c r="AS124" i="1"/>
  <c r="CG130" i="1"/>
  <c r="CH130" i="1"/>
  <c r="CF150" i="1"/>
  <c r="CF134" i="1"/>
  <c r="CO130" i="1"/>
  <c r="CN150" i="1"/>
  <c r="CN134" i="1"/>
  <c r="CN160" i="1"/>
  <c r="CP130" i="1"/>
  <c r="CN170" i="1"/>
  <c r="BN41" i="6"/>
  <c r="BN47" i="6" s="1"/>
  <c r="BN23" i="6"/>
  <c r="BN35" i="6"/>
  <c r="CJ159" i="1"/>
  <c r="CK159" i="1" s="1"/>
  <c r="CJ169" i="1"/>
  <c r="CK149" i="1"/>
  <c r="BB34" i="11"/>
  <c r="BG59" i="11" s="1"/>
  <c r="BA159" i="1"/>
  <c r="BA130" i="1"/>
  <c r="BB130" i="1"/>
  <c r="AZ134" i="1"/>
  <c r="AZ150" i="1"/>
  <c r="CG113" i="1"/>
  <c r="CG123" i="1"/>
  <c r="CJ158" i="1"/>
  <c r="CK148" i="1"/>
  <c r="CJ153" i="1"/>
  <c r="BE113" i="1"/>
  <c r="BE123" i="1"/>
  <c r="DH134" i="1"/>
  <c r="DI130" i="1"/>
  <c r="DJ130" i="1"/>
  <c r="P161" i="1"/>
  <c r="Q151" i="1"/>
  <c r="R151" i="1" s="1"/>
  <c r="CD129" i="1"/>
  <c r="DE124" i="1"/>
  <c r="DE114" i="1"/>
  <c r="BE160" i="1"/>
  <c r="Z57" i="58"/>
  <c r="BJ152" i="1"/>
  <c r="AD134" i="1"/>
  <c r="J130" i="3"/>
  <c r="V130" i="8"/>
  <c r="X130" i="8" s="1"/>
  <c r="Z130" i="8" s="1"/>
  <c r="K130" i="3"/>
  <c r="M130" i="3" s="1"/>
  <c r="O130" i="3" s="1"/>
  <c r="BI57" i="11"/>
  <c r="DB150" i="1"/>
  <c r="AG113" i="1"/>
  <c r="AG123" i="1"/>
  <c r="CV169" i="1"/>
  <c r="CW149" i="1"/>
  <c r="CV153" i="1"/>
  <c r="AF134" i="1"/>
  <c r="AL130" i="1"/>
  <c r="AG130" i="1"/>
  <c r="AF150" i="1"/>
  <c r="AH130" i="1"/>
  <c r="CN159" i="1"/>
  <c r="CN169" i="1"/>
  <c r="CN149" i="1"/>
  <c r="CO129" i="1"/>
  <c r="CT129" i="1"/>
  <c r="CP129" i="1"/>
  <c r="AB124" i="8"/>
  <c r="AD124" i="8" s="1"/>
  <c r="AF124" i="8" s="1"/>
  <c r="AB124" i="3"/>
  <c r="AD124" i="3" s="1"/>
  <c r="CK114" i="1"/>
  <c r="CK124" i="1"/>
  <c r="O112" i="64"/>
  <c r="O78" i="64"/>
  <c r="O79" i="64" s="1"/>
  <c r="AO129" i="1"/>
  <c r="AN149" i="1"/>
  <c r="AP129" i="1"/>
  <c r="AN159" i="1"/>
  <c r="AN132" i="1"/>
  <c r="AN133" i="1"/>
  <c r="BM130" i="1"/>
  <c r="BL150" i="1"/>
  <c r="BN130" i="1"/>
  <c r="BR130" i="1"/>
  <c r="BY131" i="1"/>
  <c r="BX151" i="1"/>
  <c r="BZ131" i="1"/>
  <c r="D160" i="1"/>
  <c r="D154" i="1"/>
  <c r="E154" i="1" s="1"/>
  <c r="E150" i="1"/>
  <c r="J150" i="1" s="1"/>
  <c r="P111" i="64"/>
  <c r="BE114" i="1"/>
  <c r="BE124" i="1"/>
  <c r="AH131" i="1"/>
  <c r="AF151" i="1"/>
  <c r="AG131" i="1"/>
  <c r="P168" i="1"/>
  <c r="U168" i="1" s="1"/>
  <c r="U158" i="1"/>
  <c r="CS114" i="1"/>
  <c r="CS124" i="1"/>
  <c r="K78" i="64"/>
  <c r="CS113" i="1"/>
  <c r="CS123" i="1"/>
  <c r="AG129" i="1"/>
  <c r="AF149" i="1"/>
  <c r="AH129" i="1"/>
  <c r="CZ149" i="1"/>
  <c r="DA129" i="1"/>
  <c r="CZ159" i="1"/>
  <c r="DB129" i="1"/>
  <c r="CZ133" i="1"/>
  <c r="DF129" i="1"/>
  <c r="CS131" i="1"/>
  <c r="CR151" i="1"/>
  <c r="CT131" i="1"/>
  <c r="CR161" i="1"/>
  <c r="CX131" i="1"/>
  <c r="G78" i="64"/>
  <c r="H112" i="64" s="1"/>
  <c r="AW148" i="1"/>
  <c r="AV168" i="1"/>
  <c r="CN158" i="1"/>
  <c r="CP128" i="1"/>
  <c r="CO128" i="1"/>
  <c r="CN148" i="1"/>
  <c r="CN133" i="1"/>
  <c r="BQ114" i="1"/>
  <c r="BQ124" i="1"/>
  <c r="S78" i="64"/>
  <c r="BA114" i="1"/>
  <c r="BA124" i="1"/>
  <c r="BX134" i="1"/>
  <c r="BX170" i="1"/>
  <c r="BY150" i="1"/>
  <c r="BZ150" i="1"/>
  <c r="BM113" i="1"/>
  <c r="BM123" i="1"/>
  <c r="BE128" i="1"/>
  <c r="BD148" i="1"/>
  <c r="BJ148" i="1" s="1"/>
  <c r="BF128" i="1"/>
  <c r="CC163" i="1"/>
  <c r="BA128" i="1"/>
  <c r="BC128" i="1" s="1"/>
  <c r="AZ148" i="1"/>
  <c r="AZ133" i="1"/>
  <c r="BB128" i="1"/>
  <c r="CC133" i="1"/>
  <c r="AB20" i="8"/>
  <c r="AD20" i="8" s="1"/>
  <c r="DE160" i="1"/>
  <c r="CZ164" i="1"/>
  <c r="DA164" i="1" s="1"/>
  <c r="AK134" i="1"/>
  <c r="R148" i="1"/>
  <c r="Q158" i="1"/>
  <c r="CP151" i="1"/>
  <c r="P163" i="1"/>
  <c r="F18" i="8"/>
  <c r="AH18" i="8" s="1"/>
  <c r="AD71" i="3"/>
  <c r="S32" i="5"/>
  <c r="FE22" i="11" s="1"/>
  <c r="S45" i="5"/>
  <c r="FE30" i="11" s="1"/>
  <c r="S56" i="5"/>
  <c r="FE36" i="11" s="1"/>
  <c r="AL19" i="8"/>
  <c r="S9" i="5"/>
  <c r="AZ163" i="1"/>
  <c r="BF34" i="11"/>
  <c r="BA158" i="1"/>
  <c r="BQ129" i="1"/>
  <c r="BP149" i="1"/>
  <c r="BR129" i="1"/>
  <c r="BV129" i="1"/>
  <c r="BP133" i="1"/>
  <c r="DQ33" i="1"/>
  <c r="DR33" i="1" s="1"/>
  <c r="BQ161" i="1"/>
  <c r="BP164" i="1"/>
  <c r="BU164" i="1" s="1"/>
  <c r="BU161" i="1"/>
  <c r="CD131" i="1"/>
  <c r="CK130" i="1"/>
  <c r="CJ150" i="1"/>
  <c r="CJ170" i="1"/>
  <c r="CJ134" i="1"/>
  <c r="CK134" i="1" s="1"/>
  <c r="AJ64" i="58"/>
  <c r="AK54" i="58"/>
  <c r="AS113" i="1"/>
  <c r="AS123" i="1"/>
  <c r="BE130" i="1"/>
  <c r="BD150" i="1"/>
  <c r="BJ130" i="1"/>
  <c r="BF130" i="1"/>
  <c r="BD134" i="1"/>
  <c r="AG114" i="1"/>
  <c r="AG124" i="1"/>
  <c r="R79" i="64"/>
  <c r="R80" i="64" s="1"/>
  <c r="AR151" i="1"/>
  <c r="AR161" i="1"/>
  <c r="AS131" i="1"/>
  <c r="AT131" i="1"/>
  <c r="AK113" i="1"/>
  <c r="AK123" i="1"/>
  <c r="BL164" i="1"/>
  <c r="CC112" i="1"/>
  <c r="CC122" i="1"/>
  <c r="CO113" i="1"/>
  <c r="CO123" i="1"/>
  <c r="BL162" i="1"/>
  <c r="BM162" i="1" s="1"/>
  <c r="CC168" i="1"/>
  <c r="AC150" i="1"/>
  <c r="AD150" i="1" s="1"/>
  <c r="AB160" i="1"/>
  <c r="AB154" i="1"/>
  <c r="AC154" i="1" s="1"/>
  <c r="BL134" i="1"/>
  <c r="BL151" i="1"/>
  <c r="BM131" i="1"/>
  <c r="BN131" i="1"/>
  <c r="N134" i="1"/>
  <c r="M134" i="1"/>
  <c r="CF148" i="1"/>
  <c r="CL148" i="1" s="1"/>
  <c r="CF133" i="1"/>
  <c r="CH128" i="1"/>
  <c r="CG128" i="1"/>
  <c r="CF132" i="1"/>
  <c r="BI148" i="1"/>
  <c r="BH168" i="1"/>
  <c r="BA113" i="1"/>
  <c r="BA123" i="1"/>
  <c r="CC149" i="1"/>
  <c r="CB169" i="1"/>
  <c r="CB173" i="1" s="1"/>
  <c r="DD151" i="1"/>
  <c r="DD161" i="1"/>
  <c r="DE131" i="1"/>
  <c r="DD134" i="1"/>
  <c r="DF131" i="1"/>
  <c r="DP200" i="1"/>
  <c r="C223" i="54"/>
  <c r="Z21" i="3"/>
  <c r="AB21" i="8" s="1"/>
  <c r="AD21" i="8" s="1"/>
  <c r="AF21" i="8" s="1"/>
  <c r="AL131" i="1"/>
  <c r="FD7" i="11"/>
  <c r="FC62" i="11"/>
  <c r="FC38" i="11"/>
  <c r="FC56" i="11"/>
  <c r="FC37" i="11"/>
  <c r="BL76" i="11"/>
  <c r="BM6" i="11"/>
  <c r="BL75" i="11"/>
  <c r="U54" i="58"/>
  <c r="Z54" i="58"/>
  <c r="BB45" i="58"/>
  <c r="AK10" i="10"/>
  <c r="FY41" i="11" s="1"/>
  <c r="U12" i="72" s="1"/>
  <c r="C47" i="5"/>
  <c r="C48" i="5" s="1"/>
  <c r="DN34" i="1"/>
  <c r="DR34" i="1"/>
  <c r="DN33" i="1"/>
  <c r="Z125" i="8"/>
  <c r="EU17" i="11"/>
  <c r="EU24" i="11" s="1"/>
  <c r="Q18" i="4"/>
  <c r="O29" i="4"/>
  <c r="BV41" i="6"/>
  <c r="BV47" i="6" s="1"/>
  <c r="BV23" i="6"/>
  <c r="BV35" i="6"/>
  <c r="U110" i="64"/>
  <c r="V75" i="64"/>
  <c r="L112" i="64"/>
  <c r="L78" i="64"/>
  <c r="R112" i="64"/>
  <c r="A125" i="64"/>
  <c r="B125" i="64"/>
  <c r="AM120" i="3"/>
  <c r="L173" i="1"/>
  <c r="CP75" i="11"/>
  <c r="CQ6" i="11"/>
  <c r="CP76" i="11"/>
  <c r="DL65" i="11"/>
  <c r="X44" i="64"/>
  <c r="X54" i="64" s="1"/>
  <c r="X45" i="64"/>
  <c r="I76" i="64"/>
  <c r="I77" i="64" s="1"/>
  <c r="AR24" i="58"/>
  <c r="AV24" i="58" s="1"/>
  <c r="AP24" i="58"/>
  <c r="N110" i="64"/>
  <c r="M111" i="64"/>
  <c r="X152" i="1"/>
  <c r="Y152" i="1" s="1"/>
  <c r="Y132" i="1"/>
  <c r="X162" i="1"/>
  <c r="X172" i="1" s="1"/>
  <c r="BR22" i="6"/>
  <c r="BR40" i="6"/>
  <c r="BR46" i="6" s="1"/>
  <c r="BR34" i="6"/>
  <c r="Q37" i="5"/>
  <c r="Q39" i="5"/>
  <c r="FC26" i="11" s="1"/>
  <c r="BI46" i="11"/>
  <c r="BI17" i="11"/>
  <c r="Z5" i="4"/>
  <c r="AA5" i="5"/>
  <c r="AR17" i="11"/>
  <c r="AW58" i="11" s="1"/>
  <c r="AR46" i="11"/>
  <c r="DJ128" i="1"/>
  <c r="DI128" i="1"/>
  <c r="DH133" i="1"/>
  <c r="DN128" i="1"/>
  <c r="AT35" i="11"/>
  <c r="U76" i="64"/>
  <c r="J133" i="1"/>
  <c r="I133" i="1"/>
  <c r="J62" i="9"/>
  <c r="K62" i="10"/>
  <c r="M22" i="5"/>
  <c r="M11" i="4"/>
  <c r="N12" i="4" s="1"/>
  <c r="EY10" i="11"/>
  <c r="EY19" i="11"/>
  <c r="I154" i="1"/>
  <c r="N154" i="1"/>
  <c r="BD46" i="11"/>
  <c r="BD17" i="11"/>
  <c r="P80" i="64"/>
  <c r="P79" i="64"/>
  <c r="Y154" i="1"/>
  <c r="Z154" i="1"/>
  <c r="D42" i="5"/>
  <c r="D37" i="5"/>
  <c r="D40" i="5"/>
  <c r="H15" i="9"/>
  <c r="H22" i="9" s="1"/>
  <c r="H48" i="9" s="1"/>
  <c r="H54" i="9"/>
  <c r="H59" i="9" s="1"/>
  <c r="AB168" i="1"/>
  <c r="AB163" i="1"/>
  <c r="AH17" i="9"/>
  <c r="AJ56" i="10"/>
  <c r="AK56" i="10" s="1"/>
  <c r="N17" i="4"/>
  <c r="N24" i="4"/>
  <c r="EZ67" i="11" s="1"/>
  <c r="K75" i="9"/>
  <c r="L59" i="10"/>
  <c r="K67" i="9"/>
  <c r="K71" i="9" s="1"/>
  <c r="CT132" i="1"/>
  <c r="CR162" i="1"/>
  <c r="CS162" i="1" s="1"/>
  <c r="CS132" i="1"/>
  <c r="CR152" i="1"/>
  <c r="V109" i="3"/>
  <c r="X109" i="3" s="1"/>
  <c r="AI109" i="3"/>
  <c r="AK109" i="3" s="1"/>
  <c r="AM109" i="3" s="1"/>
  <c r="D169" i="1"/>
  <c r="I169" i="1" s="1"/>
  <c r="I159" i="1"/>
  <c r="FC17" i="11"/>
  <c r="FC46" i="11"/>
  <c r="AT46" i="11"/>
  <c r="AT17" i="11"/>
  <c r="R12" i="72"/>
  <c r="P154" i="1"/>
  <c r="Q150" i="1"/>
  <c r="R150" i="1" s="1"/>
  <c r="P160" i="1"/>
  <c r="U160" i="1" s="1"/>
  <c r="D77" i="64"/>
  <c r="T77" i="64"/>
  <c r="T79" i="64" s="1"/>
  <c r="V126" i="8"/>
  <c r="J126" i="3"/>
  <c r="C112" i="64"/>
  <c r="AI40" i="9"/>
  <c r="AJ40" i="9" s="1"/>
  <c r="T11" i="8"/>
  <c r="R12" i="8"/>
  <c r="AJ11" i="8"/>
  <c r="R26" i="5"/>
  <c r="FD19" i="11"/>
  <c r="O63" i="9"/>
  <c r="R15" i="5"/>
  <c r="R16" i="5" s="1"/>
  <c r="FD13" i="11"/>
  <c r="M149" i="1"/>
  <c r="L159" i="1"/>
  <c r="L153" i="1"/>
  <c r="AN47" i="11"/>
  <c r="AM47" i="11"/>
  <c r="P81" i="64"/>
  <c r="E110" i="64"/>
  <c r="EZ47" i="11"/>
  <c r="M112" i="64"/>
  <c r="N111" i="64"/>
  <c r="H6" i="10"/>
  <c r="X153" i="1"/>
  <c r="AD153" i="1" s="1"/>
  <c r="X158" i="1"/>
  <c r="AC158" i="1" s="1"/>
  <c r="Y148" i="1"/>
  <c r="AD148" i="1" s="1"/>
  <c r="R110" i="64"/>
  <c r="Q111" i="64"/>
  <c r="Q79" i="64"/>
  <c r="Q80" i="64" s="1"/>
  <c r="V14" i="3"/>
  <c r="X14" i="3" s="1"/>
  <c r="AI14" i="3"/>
  <c r="AK14" i="3" s="1"/>
  <c r="BV34" i="6"/>
  <c r="BV40" i="6"/>
  <c r="BV46" i="6" s="1"/>
  <c r="BV22" i="6"/>
  <c r="AV24" i="11"/>
  <c r="AV48" i="11"/>
  <c r="AQ46" i="11"/>
  <c r="AQ17" i="11"/>
  <c r="AV58" i="11" s="1"/>
  <c r="V154" i="1"/>
  <c r="U154" i="1"/>
  <c r="DI113" i="1"/>
  <c r="DI123" i="1"/>
  <c r="AP151" i="1"/>
  <c r="J132" i="1"/>
  <c r="I132" i="1"/>
  <c r="H152" i="1"/>
  <c r="H172" i="1"/>
  <c r="N109" i="64"/>
  <c r="M110" i="64"/>
  <c r="J14" i="5"/>
  <c r="J18" i="5"/>
  <c r="J9" i="5"/>
  <c r="J34" i="5"/>
  <c r="EV23" i="11" s="1"/>
  <c r="J5" i="4"/>
  <c r="J27" i="4" s="1"/>
  <c r="H5" i="5"/>
  <c r="J7" i="5"/>
  <c r="M8" i="5" s="1"/>
  <c r="J32" i="5"/>
  <c r="EV22" i="11" s="1"/>
  <c r="J39" i="5"/>
  <c r="J25" i="5"/>
  <c r="M26" i="5" s="1"/>
  <c r="J56" i="5"/>
  <c r="EV36" i="11" s="1"/>
  <c r="M19" i="5"/>
  <c r="N20" i="5" s="1"/>
  <c r="EY16" i="11"/>
  <c r="EZ57" i="11" s="1"/>
  <c r="BF55" i="11"/>
  <c r="BF15" i="11"/>
  <c r="L111" i="64"/>
  <c r="L79" i="64"/>
  <c r="H164" i="1"/>
  <c r="M161" i="1"/>
  <c r="Q25" i="4"/>
  <c r="FC67" i="11"/>
  <c r="BA46" i="11"/>
  <c r="BA17" i="11"/>
  <c r="BY171" i="1"/>
  <c r="AC153" i="1"/>
  <c r="T78" i="64"/>
  <c r="N23" i="5"/>
  <c r="N36" i="5"/>
  <c r="N35" i="4"/>
  <c r="N36" i="4" s="1"/>
  <c r="R22" i="64"/>
  <c r="R15" i="64"/>
  <c r="S3" i="64"/>
  <c r="R35" i="64"/>
  <c r="R64" i="64"/>
  <c r="R100" i="64"/>
  <c r="R136" i="64"/>
  <c r="P42" i="5"/>
  <c r="P37" i="5"/>
  <c r="P40" i="5"/>
  <c r="C196" i="54"/>
  <c r="D195" i="54"/>
  <c r="AD34" i="6"/>
  <c r="AD40" i="6"/>
  <c r="AC152" i="1"/>
  <c r="AB162" i="1"/>
  <c r="Q15" i="58"/>
  <c r="R15" i="58"/>
  <c r="V11" i="58"/>
  <c r="X11" i="58"/>
  <c r="T15" i="58"/>
  <c r="T14" i="58"/>
  <c r="V14" i="58" s="1"/>
  <c r="T52" i="58"/>
  <c r="BI35" i="11"/>
  <c r="AW24" i="11"/>
  <c r="AW48" i="11"/>
  <c r="O62" i="9"/>
  <c r="P62" i="10"/>
  <c r="R8" i="5"/>
  <c r="R22" i="5"/>
  <c r="R11" i="4"/>
  <c r="FD10" i="11"/>
  <c r="FD12" i="11" s="1"/>
  <c r="R15" i="8"/>
  <c r="AO15" i="11"/>
  <c r="AN15" i="11"/>
  <c r="X35" i="58"/>
  <c r="Y35" i="58" s="1"/>
  <c r="X51" i="58"/>
  <c r="FA57" i="11"/>
  <c r="D163" i="1"/>
  <c r="D168" i="1"/>
  <c r="AJ10" i="10"/>
  <c r="AX45" i="58"/>
  <c r="E152" i="1"/>
  <c r="D162" i="1"/>
  <c r="D172" i="1" s="1"/>
  <c r="Q112" i="64"/>
  <c r="R111" i="64"/>
  <c r="J109" i="64"/>
  <c r="I110" i="64"/>
  <c r="AB125" i="8"/>
  <c r="AD125" i="8" s="1"/>
  <c r="AB125" i="3"/>
  <c r="H111" i="64"/>
  <c r="H78" i="64"/>
  <c r="H79" i="64" s="1"/>
  <c r="EY26" i="11"/>
  <c r="M15" i="5"/>
  <c r="N16" i="5" s="1"/>
  <c r="EY13" i="11"/>
  <c r="N151" i="1"/>
  <c r="Q169" i="1"/>
  <c r="CY6" i="11"/>
  <c r="DD7" i="11"/>
  <c r="CU6" i="11"/>
  <c r="CT76" i="11"/>
  <c r="CT75" i="11"/>
  <c r="X171" i="1"/>
  <c r="X164" i="1"/>
  <c r="T118" i="3"/>
  <c r="AO125" i="3"/>
  <c r="T172" i="1"/>
  <c r="H18" i="87"/>
  <c r="N8" i="5"/>
  <c r="Q132" i="1"/>
  <c r="R132" i="1"/>
  <c r="P152" i="1"/>
  <c r="AI39" i="4"/>
  <c r="AH40" i="4"/>
  <c r="FT63" i="11"/>
  <c r="AH42" i="4"/>
  <c r="AH43" i="4" s="1"/>
  <c r="AD132" i="1"/>
  <c r="Q52" i="58"/>
  <c r="R52" i="58" s="1"/>
  <c r="P55" i="58"/>
  <c r="Q55" i="58" s="1"/>
  <c r="R55" i="58" s="1"/>
  <c r="FB67" i="11"/>
  <c r="P56" i="10"/>
  <c r="FD36" i="11"/>
  <c r="X120" i="3"/>
  <c r="AL47" i="11"/>
  <c r="AM15" i="11"/>
  <c r="AS17" i="11"/>
  <c r="AS46" i="11"/>
  <c r="U51" i="58"/>
  <c r="J82" i="64"/>
  <c r="AD149" i="1"/>
  <c r="AI119" i="3"/>
  <c r="AK119" i="3" s="1"/>
  <c r="AM119" i="3" s="1"/>
  <c r="V119" i="3"/>
  <c r="X119" i="3" s="1"/>
  <c r="P82" i="64"/>
  <c r="AI32" i="9"/>
  <c r="AJ32" i="9" s="1"/>
  <c r="AJ53" i="9" s="1"/>
  <c r="AH53" i="9"/>
  <c r="FB17" i="11"/>
  <c r="FB46" i="11"/>
  <c r="T170" i="1"/>
  <c r="Z133" i="1"/>
  <c r="Y133" i="1"/>
  <c r="I40" i="5"/>
  <c r="I42" i="5"/>
  <c r="I37" i="5"/>
  <c r="FC34" i="11"/>
  <c r="BB17" i="11"/>
  <c r="BB46" i="11"/>
  <c r="U67" i="64"/>
  <c r="U66" i="64"/>
  <c r="U70" i="64"/>
  <c r="U71" i="64"/>
  <c r="U69" i="64"/>
  <c r="U72" i="64"/>
  <c r="U68" i="64"/>
  <c r="U73" i="64"/>
  <c r="U74" i="64"/>
  <c r="FW41" i="11"/>
  <c r="AO154" i="1"/>
  <c r="EL41" i="1"/>
  <c r="EK48" i="1"/>
  <c r="M125" i="3"/>
  <c r="O125" i="3" s="1"/>
  <c r="K127" i="3"/>
  <c r="CW122" i="1"/>
  <c r="CW112" i="1"/>
  <c r="CV132" i="1"/>
  <c r="I148" i="1"/>
  <c r="H153" i="1"/>
  <c r="H158" i="1"/>
  <c r="U151" i="1"/>
  <c r="T161" i="1"/>
  <c r="T164" i="1" s="1"/>
  <c r="AD133" i="1"/>
  <c r="Z127" i="3"/>
  <c r="D390" i="54"/>
  <c r="Z126" i="3"/>
  <c r="AB126" i="8" s="1"/>
  <c r="DI149" i="1"/>
  <c r="DH169" i="1"/>
  <c r="DI169" i="1" s="1"/>
  <c r="DJ149" i="1"/>
  <c r="D78" i="64"/>
  <c r="K56" i="10"/>
  <c r="EY36" i="11"/>
  <c r="K60" i="10"/>
  <c r="AT34" i="6"/>
  <c r="AT40" i="6"/>
  <c r="CM6" i="11"/>
  <c r="CL76" i="11"/>
  <c r="CL75" i="11"/>
  <c r="AI111" i="3"/>
  <c r="AK111" i="3" s="1"/>
  <c r="AM111" i="3" s="1"/>
  <c r="V111" i="3"/>
  <c r="X111" i="3" s="1"/>
  <c r="I9" i="9"/>
  <c r="K47" i="10"/>
  <c r="K50" i="10" s="1"/>
  <c r="EZ15" i="11"/>
  <c r="T116" i="3"/>
  <c r="AO123" i="3"/>
  <c r="L80" i="64"/>
  <c r="BC17" i="11"/>
  <c r="BC46" i="11"/>
  <c r="CO132" i="1"/>
  <c r="CN172" i="1"/>
  <c r="CN152" i="1"/>
  <c r="R134" i="1"/>
  <c r="Q134" i="1"/>
  <c r="K139" i="72"/>
  <c r="K98" i="72"/>
  <c r="K57" i="72"/>
  <c r="K69" i="9"/>
  <c r="K73" i="9" s="1"/>
  <c r="K68" i="9"/>
  <c r="K72" i="9" s="1"/>
  <c r="O64" i="9"/>
  <c r="R19" i="5"/>
  <c r="R20" i="5" s="1"/>
  <c r="FD16" i="11"/>
  <c r="T13" i="8"/>
  <c r="R14" i="8"/>
  <c r="AJ13" i="8"/>
  <c r="R13" i="8"/>
  <c r="T12" i="8"/>
  <c r="AJ12" i="8"/>
  <c r="R20" i="8"/>
  <c r="T19" i="8"/>
  <c r="AJ19" i="8"/>
  <c r="BH6" i="1"/>
  <c r="R60" i="3" s="1"/>
  <c r="R18" i="3"/>
  <c r="C20" i="3"/>
  <c r="E18" i="3"/>
  <c r="BL22" i="11"/>
  <c r="BM23" i="11"/>
  <c r="BK26" i="11"/>
  <c r="BL30" i="11"/>
  <c r="BN34" i="11"/>
  <c r="BN59" i="11" s="1"/>
  <c r="BN36" i="11"/>
  <c r="BN37" i="11"/>
  <c r="BL38" i="11"/>
  <c r="BN16" i="11"/>
  <c r="BN19" i="11"/>
  <c r="BK16" i="11"/>
  <c r="BK19" i="11"/>
  <c r="BL10" i="11"/>
  <c r="BL12" i="11" s="1"/>
  <c r="C19" i="3"/>
  <c r="BL13" i="11"/>
  <c r="E19" i="3"/>
  <c r="E68" i="3"/>
  <c r="R21" i="3"/>
  <c r="E20" i="3"/>
  <c r="BL16" i="11"/>
  <c r="BL19" i="11"/>
  <c r="BN23" i="11"/>
  <c r="BL26" i="11"/>
  <c r="BM30" i="11"/>
  <c r="BK34" i="11"/>
  <c r="BK36" i="11"/>
  <c r="BK37" i="11"/>
  <c r="BM13" i="11"/>
  <c r="BK23" i="11"/>
  <c r="BM26" i="11"/>
  <c r="BN30" i="11"/>
  <c r="BL34" i="11"/>
  <c r="BL59" i="11" s="1"/>
  <c r="BL36" i="11"/>
  <c r="BL37" i="11"/>
  <c r="BN38" i="11"/>
  <c r="BL56" i="11"/>
  <c r="BK56" i="11"/>
  <c r="BN56" i="11"/>
  <c r="AL22" i="8"/>
  <c r="R20" i="3"/>
  <c r="C40" i="3"/>
  <c r="E21" i="3"/>
  <c r="C18" i="3"/>
  <c r="C22" i="3"/>
  <c r="E22" i="3"/>
  <c r="BK10" i="11"/>
  <c r="BK12" i="11" s="1"/>
  <c r="BL23" i="11"/>
  <c r="BN26" i="11"/>
  <c r="BK30" i="11"/>
  <c r="BM34" i="11"/>
  <c r="BM59" i="11" s="1"/>
  <c r="BM36" i="11"/>
  <c r="BM37" i="11"/>
  <c r="BK38" i="11"/>
  <c r="BM56" i="11"/>
  <c r="BM22" i="11"/>
  <c r="BV38" i="11"/>
  <c r="BM38" i="11"/>
  <c r="BN10" i="11"/>
  <c r="BN12" i="11" s="1"/>
  <c r="CQ19" i="11"/>
  <c r="C21" i="3"/>
  <c r="R19" i="3"/>
  <c r="R22" i="3"/>
  <c r="BK13" i="11"/>
  <c r="BN13" i="11"/>
  <c r="BM16" i="11"/>
  <c r="BM19" i="11"/>
  <c r="BM10" i="11"/>
  <c r="BM12" i="11" s="1"/>
  <c r="BN22" i="11"/>
  <c r="BK22" i="11"/>
  <c r="F22" i="8"/>
  <c r="R22" i="8" s="1"/>
  <c r="F19" i="8"/>
  <c r="DD132" i="1"/>
  <c r="DE112" i="1"/>
  <c r="DE122" i="1"/>
  <c r="L152" i="1"/>
  <c r="L172" i="1"/>
  <c r="M132" i="1"/>
  <c r="N133" i="1"/>
  <c r="M133" i="1"/>
  <c r="R133" i="1"/>
  <c r="AG6" i="11"/>
  <c r="AH10" i="11"/>
  <c r="AH13" i="11"/>
  <c r="AH16" i="11"/>
  <c r="AM57" i="11" s="1"/>
  <c r="AG10" i="11"/>
  <c r="AG13" i="11"/>
  <c r="AJ13" i="11"/>
  <c r="AG16" i="11"/>
  <c r="AH19" i="11"/>
  <c r="AH23" i="11"/>
  <c r="AJ26" i="11"/>
  <c r="AG30" i="11"/>
  <c r="AI35" i="11"/>
  <c r="AI36" i="11"/>
  <c r="AI37" i="11"/>
  <c r="AG38" i="11"/>
  <c r="AI56" i="11"/>
  <c r="AI16" i="11"/>
  <c r="AI19" i="11"/>
  <c r="AI23" i="11"/>
  <c r="AG26" i="11"/>
  <c r="AH30" i="11"/>
  <c r="AJ35" i="11"/>
  <c r="AJ36" i="11"/>
  <c r="AJ37" i="11"/>
  <c r="AH38" i="11"/>
  <c r="AB7" i="11"/>
  <c r="AI10" i="11"/>
  <c r="AI12" i="11" s="1"/>
  <c r="AJ16" i="11"/>
  <c r="AO57" i="11" s="1"/>
  <c r="AJ19" i="11"/>
  <c r="AJ23" i="11"/>
  <c r="AH26" i="11"/>
  <c r="AI30" i="11"/>
  <c r="AG36" i="11"/>
  <c r="AG37" i="11"/>
  <c r="AI38" i="11"/>
  <c r="AJ10" i="11"/>
  <c r="AJ12" i="11" s="1"/>
  <c r="AI13" i="11"/>
  <c r="AG19" i="11"/>
  <c r="AG23" i="11"/>
  <c r="AI26" i="11"/>
  <c r="AJ30" i="11"/>
  <c r="AH36" i="11"/>
  <c r="AH37" i="11"/>
  <c r="AJ38" i="11"/>
  <c r="AH56" i="11"/>
  <c r="AJ56" i="11"/>
  <c r="AG56" i="11"/>
  <c r="AO47" i="11"/>
  <c r="AL15" i="11"/>
  <c r="AM22" i="11"/>
  <c r="AN22" i="11"/>
  <c r="AO22" i="11"/>
  <c r="AM6" i="11"/>
  <c r="AN6" i="11" s="1"/>
  <c r="AO6" i="11" s="1"/>
  <c r="AL22" i="11"/>
  <c r="F110" i="64"/>
  <c r="E111" i="64"/>
  <c r="M78" i="64"/>
  <c r="AC159" i="1"/>
  <c r="AB169" i="1"/>
  <c r="AG22" i="4"/>
  <c r="FS66" i="11"/>
  <c r="CH6" i="11"/>
  <c r="CG75" i="11"/>
  <c r="E77" i="64"/>
  <c r="E78" i="64" s="1"/>
  <c r="Q51" i="72"/>
  <c r="Q92" i="72"/>
  <c r="Q133" i="72"/>
  <c r="N84" i="64" l="1"/>
  <c r="N85" i="64"/>
  <c r="N86" i="64" s="1"/>
  <c r="R81" i="64"/>
  <c r="EZ55" i="11"/>
  <c r="EY12" i="11"/>
  <c r="AL55" i="11"/>
  <c r="AG12" i="11"/>
  <c r="AM55" i="11"/>
  <c r="AH12" i="11"/>
  <c r="BV43" i="6"/>
  <c r="BV49" i="6" s="1"/>
  <c r="BV37" i="6"/>
  <c r="BV25" i="6"/>
  <c r="DI132" i="1"/>
  <c r="DH162" i="1"/>
  <c r="P63" i="9"/>
  <c r="P68" i="9" s="1"/>
  <c r="P72" i="9" s="1"/>
  <c r="FE19" i="11"/>
  <c r="CK132" i="1"/>
  <c r="CR169" i="1"/>
  <c r="CW169" i="1" s="1"/>
  <c r="AX50" i="11"/>
  <c r="CJ172" i="1"/>
  <c r="CS149" i="1"/>
  <c r="CZ152" i="1"/>
  <c r="DA152" i="1" s="1"/>
  <c r="S15" i="5"/>
  <c r="S16" i="5" s="1"/>
  <c r="S11" i="4"/>
  <c r="S29" i="4" s="1"/>
  <c r="O18" i="4"/>
  <c r="DI74" i="1"/>
  <c r="AX28" i="11"/>
  <c r="AX32" i="11" s="1"/>
  <c r="AX51" i="11" s="1"/>
  <c r="AX133" i="1"/>
  <c r="AW151" i="1"/>
  <c r="AX134" i="1"/>
  <c r="AV171" i="1"/>
  <c r="BA171" i="1" s="1"/>
  <c r="AJ20" i="8"/>
  <c r="S8" i="5"/>
  <c r="DA132" i="1"/>
  <c r="T20" i="8"/>
  <c r="FA67" i="11"/>
  <c r="DB132" i="1"/>
  <c r="R21" i="8"/>
  <c r="CB154" i="1"/>
  <c r="CC154" i="1" s="1"/>
  <c r="DB151" i="1"/>
  <c r="CV154" i="1"/>
  <c r="CW154" i="1" s="1"/>
  <c r="BH154" i="1"/>
  <c r="BI154" i="1" s="1"/>
  <c r="BH171" i="1"/>
  <c r="BS35" i="11" s="1"/>
  <c r="AS134" i="1"/>
  <c r="BJ151" i="1"/>
  <c r="AS150" i="1"/>
  <c r="AT150" i="1" s="1"/>
  <c r="BM163" i="1"/>
  <c r="V13" i="3"/>
  <c r="X13" i="3" s="1"/>
  <c r="CJ171" i="1"/>
  <c r="CO171" i="1" s="1"/>
  <c r="CK151" i="1"/>
  <c r="S22" i="5"/>
  <c r="S35" i="4" s="1"/>
  <c r="X34" i="5"/>
  <c r="FJ23" i="11" s="1"/>
  <c r="BS13" i="11"/>
  <c r="CL56" i="11"/>
  <c r="BU16" i="11"/>
  <c r="BP26" i="11"/>
  <c r="E63" i="3"/>
  <c r="E39" i="3"/>
  <c r="FE16" i="11"/>
  <c r="FE57" i="11" s="1"/>
  <c r="BX38" i="11"/>
  <c r="CB36" i="11"/>
  <c r="CB13" i="11"/>
  <c r="BR19" i="11"/>
  <c r="P64" i="9"/>
  <c r="S19" i="5"/>
  <c r="S20" i="5" s="1"/>
  <c r="AL48" i="8"/>
  <c r="BR10" i="11"/>
  <c r="BR12" i="11" s="1"/>
  <c r="R43" i="3"/>
  <c r="D43" i="8" s="1"/>
  <c r="X25" i="5"/>
  <c r="F15" i="72" s="1"/>
  <c r="R26" i="3"/>
  <c r="T26" i="3" s="1"/>
  <c r="AR154" i="1"/>
  <c r="AS154" i="1" s="1"/>
  <c r="CH22" i="11"/>
  <c r="AL32" i="8"/>
  <c r="CJ30" i="11"/>
  <c r="C55" i="3"/>
  <c r="C97" i="3"/>
  <c r="G97" i="3" s="1"/>
  <c r="AF97" i="3" s="1"/>
  <c r="BU56" i="11"/>
  <c r="CG35" i="11"/>
  <c r="CF23" i="11"/>
  <c r="C71" i="3"/>
  <c r="CQ26" i="11"/>
  <c r="CC23" i="11"/>
  <c r="V151" i="1"/>
  <c r="U152" i="1"/>
  <c r="CC132" i="1"/>
  <c r="CQ10" i="11"/>
  <c r="CQ12" i="11" s="1"/>
  <c r="BR38" i="11"/>
  <c r="E50" i="3"/>
  <c r="BV13" i="11"/>
  <c r="CK34" i="11"/>
  <c r="CJ34" i="11"/>
  <c r="R56" i="3"/>
  <c r="D56" i="8" s="1"/>
  <c r="CR16" i="11"/>
  <c r="CG30" i="11"/>
  <c r="BS37" i="11"/>
  <c r="CF16" i="11"/>
  <c r="C70" i="3"/>
  <c r="C102" i="3"/>
  <c r="G102" i="3" s="1"/>
  <c r="AF102" i="3" s="1"/>
  <c r="FE10" i="11"/>
  <c r="Q62" i="10"/>
  <c r="BJ133" i="1"/>
  <c r="R25" i="3"/>
  <c r="D25" i="8" s="1"/>
  <c r="C104" i="3"/>
  <c r="G104" i="3" s="1"/>
  <c r="AF104" i="3" s="1"/>
  <c r="E67" i="3"/>
  <c r="R55" i="3"/>
  <c r="D55" i="8" s="1"/>
  <c r="BX13" i="11"/>
  <c r="BW34" i="11"/>
  <c r="BW22" i="11"/>
  <c r="CH16" i="11"/>
  <c r="CA26" i="11"/>
  <c r="CB26" i="11"/>
  <c r="CR36" i="11"/>
  <c r="CP36" i="11"/>
  <c r="CK13" i="11"/>
  <c r="C47" i="3"/>
  <c r="BQ10" i="11"/>
  <c r="BQ12" i="11" s="1"/>
  <c r="E40" i="3"/>
  <c r="G40" i="3" s="1"/>
  <c r="O40" i="3" s="1"/>
  <c r="E75" i="3"/>
  <c r="C42" i="3"/>
  <c r="C77" i="3"/>
  <c r="E35" i="3"/>
  <c r="E77" i="3"/>
  <c r="CL10" i="11"/>
  <c r="CL12" i="11" s="1"/>
  <c r="BZ30" i="11"/>
  <c r="CB56" i="11"/>
  <c r="CB22" i="11"/>
  <c r="BQ30" i="11"/>
  <c r="BS36" i="11"/>
  <c r="CK38" i="11"/>
  <c r="BS19" i="11"/>
  <c r="CJ16" i="11"/>
  <c r="CF34" i="11"/>
  <c r="X56" i="5"/>
  <c r="V56" i="10" s="1"/>
  <c r="CP30" i="11"/>
  <c r="CO16" i="11"/>
  <c r="F43" i="8"/>
  <c r="R43" i="8" s="1"/>
  <c r="DL63" i="11" s="1"/>
  <c r="C68" i="3"/>
  <c r="G68" i="3" s="1"/>
  <c r="O68" i="3" s="1"/>
  <c r="BQ13" i="11"/>
  <c r="C43" i="3"/>
  <c r="C85" i="3"/>
  <c r="R28" i="3"/>
  <c r="D28" i="8" s="1"/>
  <c r="R63" i="3"/>
  <c r="D63" i="8" s="1"/>
  <c r="R64" i="3"/>
  <c r="D64" i="8" s="1"/>
  <c r="CK19" i="11"/>
  <c r="CB19" i="11"/>
  <c r="BX34" i="11"/>
  <c r="BX19" i="11"/>
  <c r="CK26" i="11"/>
  <c r="BP36" i="11"/>
  <c r="CG38" i="11"/>
  <c r="BZ22" i="11"/>
  <c r="CM30" i="11"/>
  <c r="CK36" i="11"/>
  <c r="CK56" i="11"/>
  <c r="W25" i="5"/>
  <c r="FI19" i="11" s="1"/>
  <c r="CP16" i="11"/>
  <c r="CR19" i="11"/>
  <c r="CR38" i="11"/>
  <c r="R40" i="3"/>
  <c r="D40" i="8" s="1"/>
  <c r="R85" i="3"/>
  <c r="D85" i="8" s="1"/>
  <c r="C39" i="3"/>
  <c r="C74" i="3"/>
  <c r="E64" i="3"/>
  <c r="C27" i="3"/>
  <c r="C62" i="3"/>
  <c r="BP10" i="11"/>
  <c r="BP12" i="11" s="1"/>
  <c r="BV16" i="11"/>
  <c r="BS26" i="11"/>
  <c r="CL34" i="11"/>
  <c r="BP38" i="11"/>
  <c r="CG13" i="11"/>
  <c r="CG19" i="11"/>
  <c r="CC36" i="11"/>
  <c r="CC16" i="11"/>
  <c r="BU34" i="11"/>
  <c r="BX10" i="11"/>
  <c r="BX12" i="11" s="1"/>
  <c r="BW26" i="11"/>
  <c r="BV37" i="11"/>
  <c r="CH56" i="11"/>
  <c r="CQ34" i="11"/>
  <c r="CR23" i="11"/>
  <c r="F55" i="8"/>
  <c r="R55" i="8" s="1"/>
  <c r="F39" i="8"/>
  <c r="AJ35" i="8" s="1"/>
  <c r="E41" i="3"/>
  <c r="R53" i="3"/>
  <c r="D53" i="8" s="1"/>
  <c r="E81" i="3"/>
  <c r="R62" i="3"/>
  <c r="D62" i="8" s="1"/>
  <c r="CA19" i="11"/>
  <c r="BU38" i="11"/>
  <c r="CH36" i="11"/>
  <c r="CF38" i="11"/>
  <c r="BZ35" i="11"/>
  <c r="CE16" i="11"/>
  <c r="CA34" i="11"/>
  <c r="CO10" i="11"/>
  <c r="CO12" i="11" s="1"/>
  <c r="CP26" i="11"/>
  <c r="CO56" i="11"/>
  <c r="E62" i="3"/>
  <c r="E47" i="3"/>
  <c r="E90" i="3"/>
  <c r="C49" i="3"/>
  <c r="C84" i="3"/>
  <c r="E49" i="3"/>
  <c r="E84" i="3"/>
  <c r="CE13" i="11"/>
  <c r="CF19" i="11"/>
  <c r="CB35" i="11"/>
  <c r="BS10" i="11"/>
  <c r="BR23" i="11"/>
  <c r="BS34" i="11"/>
  <c r="BS59" i="11" s="1"/>
  <c r="CM36" i="11"/>
  <c r="CG10" i="11"/>
  <c r="CG12" i="11" s="1"/>
  <c r="BX22" i="11"/>
  <c r="CF26" i="11"/>
  <c r="CE34" i="11"/>
  <c r="CE37" i="11"/>
  <c r="CJ19" i="11"/>
  <c r="CG26" i="11"/>
  <c r="CH38" i="11"/>
  <c r="CR13" i="11"/>
  <c r="CR37" i="11"/>
  <c r="CR30" i="11"/>
  <c r="E27" i="3"/>
  <c r="R75" i="3"/>
  <c r="T75" i="3" s="1"/>
  <c r="C57" i="3"/>
  <c r="R92" i="3"/>
  <c r="D92" i="8" s="1"/>
  <c r="R35" i="3"/>
  <c r="D35" i="8" s="1"/>
  <c r="R70" i="3"/>
  <c r="T70" i="3" s="1"/>
  <c r="R36" i="3"/>
  <c r="D36" i="8" s="1"/>
  <c r="R71" i="3"/>
  <c r="D71" i="8" s="1"/>
  <c r="CL13" i="11"/>
  <c r="CE30" i="11"/>
  <c r="CG56" i="11"/>
  <c r="BX36" i="11"/>
  <c r="CC22" i="11"/>
  <c r="BR30" i="11"/>
  <c r="CJ36" i="11"/>
  <c r="CJ23" i="11"/>
  <c r="BQ34" i="11"/>
  <c r="BQ59" i="11" s="1"/>
  <c r="CK37" i="11"/>
  <c r="CC56" i="11"/>
  <c r="X9" i="5"/>
  <c r="CQ37" i="11"/>
  <c r="CO34" i="11"/>
  <c r="F83" i="8"/>
  <c r="AJ82" i="8" s="1"/>
  <c r="E48" i="3"/>
  <c r="CA10" i="11"/>
  <c r="CA12" i="11" s="1"/>
  <c r="C46" i="3"/>
  <c r="C81" i="3"/>
  <c r="E36" i="3"/>
  <c r="E71" i="3"/>
  <c r="C34" i="3"/>
  <c r="C76" i="3"/>
  <c r="BV19" i="11"/>
  <c r="CM26" i="11"/>
  <c r="BR36" i="11"/>
  <c r="CJ38" i="11"/>
  <c r="CB23" i="11"/>
  <c r="CC37" i="11"/>
  <c r="BU36" i="11"/>
  <c r="BG46" i="11"/>
  <c r="BG17" i="11"/>
  <c r="BG48" i="11" s="1"/>
  <c r="CP56" i="11"/>
  <c r="CQ23" i="11"/>
  <c r="X14" i="5"/>
  <c r="U63" i="9" s="1"/>
  <c r="BV36" i="11"/>
  <c r="BZ19" i="11"/>
  <c r="BV26" i="11"/>
  <c r="CG16" i="11"/>
  <c r="CL37" i="11"/>
  <c r="CK23" i="11"/>
  <c r="C48" i="3"/>
  <c r="E43" i="3"/>
  <c r="C67" i="3"/>
  <c r="E76" i="3"/>
  <c r="CP34" i="11"/>
  <c r="CP10" i="11"/>
  <c r="CP12" i="11" s="1"/>
  <c r="CM38" i="11"/>
  <c r="CL26" i="11"/>
  <c r="BP34" i="11"/>
  <c r="BX37" i="11"/>
  <c r="CB16" i="11"/>
  <c r="CG37" i="11"/>
  <c r="C95" i="3"/>
  <c r="G95" i="3" s="1"/>
  <c r="AF95" i="3" s="1"/>
  <c r="R42" i="3"/>
  <c r="T42" i="3" s="1"/>
  <c r="C64" i="3"/>
  <c r="BV10" i="11"/>
  <c r="F67" i="8"/>
  <c r="AH67" i="8" s="1"/>
  <c r="CQ36" i="11"/>
  <c r="BU22" i="11"/>
  <c r="CE36" i="11"/>
  <c r="CM16" i="11"/>
  <c r="BW19" i="11"/>
  <c r="CC26" i="11"/>
  <c r="E56" i="3"/>
  <c r="C56" i="3"/>
  <c r="E61" i="3"/>
  <c r="R82" i="3"/>
  <c r="D82" i="8" s="1"/>
  <c r="CO36" i="11"/>
  <c r="CA56" i="11"/>
  <c r="CH19" i="11"/>
  <c r="CE26" i="11"/>
  <c r="BW56" i="11"/>
  <c r="R91" i="3"/>
  <c r="T91" i="3" s="1"/>
  <c r="E32" i="3"/>
  <c r="C90" i="3"/>
  <c r="AV153" i="1"/>
  <c r="AW153" i="1" s="1"/>
  <c r="BB149" i="1"/>
  <c r="BZ132" i="1"/>
  <c r="BX152" i="1"/>
  <c r="BX172" i="1" s="1"/>
  <c r="CJ13" i="11"/>
  <c r="CE22" i="11"/>
  <c r="CO23" i="11"/>
  <c r="CO38" i="11"/>
  <c r="CE56" i="11"/>
  <c r="BV34" i="11"/>
  <c r="BZ16" i="11"/>
  <c r="BX23" i="11"/>
  <c r="CA30" i="11"/>
  <c r="CL36" i="11"/>
  <c r="CA22" i="11"/>
  <c r="C91" i="3"/>
  <c r="C96" i="3"/>
  <c r="G96" i="3" s="1"/>
  <c r="O96" i="3" s="1"/>
  <c r="C53" i="3"/>
  <c r="R68" i="3"/>
  <c r="D68" i="8" s="1"/>
  <c r="CQ38" i="11"/>
  <c r="W45" i="5"/>
  <c r="FI30" i="11" s="1"/>
  <c r="BS38" i="11"/>
  <c r="BR26" i="11"/>
  <c r="BQ26" i="11"/>
  <c r="BV30" i="11"/>
  <c r="CC10" i="11"/>
  <c r="CC12" i="11" s="1"/>
  <c r="BQ19" i="11"/>
  <c r="R78" i="3"/>
  <c r="T78" i="3" s="1"/>
  <c r="V78" i="3" s="1"/>
  <c r="E89" i="3"/>
  <c r="C36" i="3"/>
  <c r="E91" i="3"/>
  <c r="CG22" i="11"/>
  <c r="CR56" i="11"/>
  <c r="CR26" i="11"/>
  <c r="BP16" i="11"/>
  <c r="BP57" i="11" s="1"/>
  <c r="BS16" i="11"/>
  <c r="BS57" i="11" s="1"/>
  <c r="CM34" i="11"/>
  <c r="BR13" i="11"/>
  <c r="CA23" i="11"/>
  <c r="BU13" i="11"/>
  <c r="E28" i="3"/>
  <c r="C28" i="3"/>
  <c r="E33" i="3"/>
  <c r="C75" i="3"/>
  <c r="AL60" i="8"/>
  <c r="CQ56" i="11"/>
  <c r="CC38" i="11"/>
  <c r="BZ37" i="11"/>
  <c r="CH37" i="11"/>
  <c r="CH34" i="11"/>
  <c r="BU30" i="11"/>
  <c r="R27" i="3"/>
  <c r="T27" i="3" s="1"/>
  <c r="C54" i="3"/>
  <c r="U52" i="58"/>
  <c r="T56" i="58"/>
  <c r="U56" i="58" s="1"/>
  <c r="X27" i="4"/>
  <c r="CF22" i="11"/>
  <c r="AL97" i="8"/>
  <c r="CO35" i="11"/>
  <c r="CP13" i="11"/>
  <c r="CM56" i="11"/>
  <c r="BX30" i="11"/>
  <c r="CL38" i="11"/>
  <c r="BZ26" i="11"/>
  <c r="CM10" i="11"/>
  <c r="CM12" i="11" s="1"/>
  <c r="BR34" i="11"/>
  <c r="BR59" i="11" s="1"/>
  <c r="C83" i="3"/>
  <c r="E78" i="3"/>
  <c r="C25" i="3"/>
  <c r="C33" i="3"/>
  <c r="CR34" i="11"/>
  <c r="BZ56" i="11"/>
  <c r="BQ36" i="11"/>
  <c r="BU19" i="11"/>
  <c r="BP37" i="11"/>
  <c r="BS23" i="11"/>
  <c r="BU26" i="11"/>
  <c r="CK16" i="11"/>
  <c r="R50" i="3"/>
  <c r="D50" i="8" s="1"/>
  <c r="R84" i="3"/>
  <c r="D84" i="8" s="1"/>
  <c r="C29" i="3"/>
  <c r="E55" i="3"/>
  <c r="W18" i="5"/>
  <c r="T64" i="9" s="1"/>
  <c r="CO37" i="11"/>
  <c r="X7" i="5"/>
  <c r="V62" i="10" s="1"/>
  <c r="BS56" i="11"/>
  <c r="CF36" i="11"/>
  <c r="CH23" i="11"/>
  <c r="BQ38" i="11"/>
  <c r="CJ26" i="11"/>
  <c r="CB37" i="11"/>
  <c r="E92" i="3"/>
  <c r="E34" i="3"/>
  <c r="W34" i="5"/>
  <c r="FI23" i="11" s="1"/>
  <c r="CP23" i="11"/>
  <c r="BP22" i="11"/>
  <c r="BZ36" i="11"/>
  <c r="R89" i="3"/>
  <c r="T89" i="3" s="1"/>
  <c r="CL35" i="11"/>
  <c r="BM149" i="1"/>
  <c r="BL169" i="1"/>
  <c r="BV35" i="11" s="1"/>
  <c r="N132" i="1"/>
  <c r="AG64" i="58"/>
  <c r="BP35" i="11"/>
  <c r="BE151" i="1"/>
  <c r="BD171" i="1"/>
  <c r="BF151" i="1"/>
  <c r="AH64" i="58"/>
  <c r="AO171" i="1"/>
  <c r="AO35" i="11"/>
  <c r="DH172" i="1"/>
  <c r="O40" i="5"/>
  <c r="DJ132" i="1"/>
  <c r="FA17" i="11"/>
  <c r="FB58" i="11" s="1"/>
  <c r="O37" i="5"/>
  <c r="AI11" i="3"/>
  <c r="AK11" i="3" s="1"/>
  <c r="Q56" i="10"/>
  <c r="BJ149" i="1"/>
  <c r="CD134" i="1"/>
  <c r="AV169" i="1"/>
  <c r="BA169" i="1" s="1"/>
  <c r="AW149" i="1"/>
  <c r="CD132" i="1"/>
  <c r="CO172" i="1"/>
  <c r="BC130" i="1"/>
  <c r="BC34" i="11"/>
  <c r="BH59" i="11" s="1"/>
  <c r="AV164" i="1"/>
  <c r="BA164" i="1" s="1"/>
  <c r="BA160" i="1"/>
  <c r="AP154" i="1"/>
  <c r="AW160" i="1"/>
  <c r="AV170" i="1"/>
  <c r="BC35" i="11" s="1"/>
  <c r="AW150" i="1"/>
  <c r="DA154" i="1"/>
  <c r="AY28" i="11"/>
  <c r="AY32" i="11" s="1"/>
  <c r="AY51" i="11" s="1"/>
  <c r="R18" i="8"/>
  <c r="AN34" i="11"/>
  <c r="AS59" i="11" s="1"/>
  <c r="AO160" i="1"/>
  <c r="AJ164" i="1"/>
  <c r="AO164" i="1" s="1"/>
  <c r="CC164" i="1"/>
  <c r="DE148" i="1"/>
  <c r="DD168" i="1"/>
  <c r="DD153" i="1"/>
  <c r="DE153" i="1" s="1"/>
  <c r="BH169" i="1"/>
  <c r="BN149" i="1"/>
  <c r="BI149" i="1"/>
  <c r="AJ170" i="1"/>
  <c r="AK150" i="1"/>
  <c r="AP150" i="1" s="1"/>
  <c r="CF171" i="1"/>
  <c r="CG151" i="1"/>
  <c r="CL151" i="1"/>
  <c r="AC161" i="1"/>
  <c r="AN168" i="1"/>
  <c r="AQ35" i="11" s="1"/>
  <c r="AO148" i="1"/>
  <c r="DF148" i="1"/>
  <c r="DB148" i="1"/>
  <c r="CZ168" i="1"/>
  <c r="DA148" i="1"/>
  <c r="DE158" i="1"/>
  <c r="DA158" i="1"/>
  <c r="AC171" i="1"/>
  <c r="P173" i="1"/>
  <c r="Q173" i="1" s="1"/>
  <c r="AX132" i="1"/>
  <c r="AV152" i="1"/>
  <c r="AW132" i="1"/>
  <c r="BC132" i="1" s="1"/>
  <c r="BB132" i="1"/>
  <c r="BT152" i="1"/>
  <c r="BU132" i="1"/>
  <c r="BV42" i="6"/>
  <c r="BV48" i="6" s="1"/>
  <c r="BV24" i="6"/>
  <c r="BV36" i="6"/>
  <c r="AI12" i="3"/>
  <c r="AK12" i="3" s="1"/>
  <c r="BA162" i="1"/>
  <c r="AW162" i="1"/>
  <c r="CC150" i="1"/>
  <c r="CB170" i="1"/>
  <c r="CQ35" i="11" s="1"/>
  <c r="BZ148" i="1"/>
  <c r="BU148" i="1"/>
  <c r="BV148" i="1"/>
  <c r="BT153" i="1"/>
  <c r="BU153" i="1" s="1"/>
  <c r="BT168" i="1"/>
  <c r="AY49" i="11"/>
  <c r="AI126" i="3"/>
  <c r="BH17" i="11"/>
  <c r="BH58" i="11" s="1"/>
  <c r="CP35" i="11"/>
  <c r="J154" i="1"/>
  <c r="BF59" i="11"/>
  <c r="M172" i="1"/>
  <c r="AD152" i="1"/>
  <c r="DA170" i="1"/>
  <c r="Z130" i="3"/>
  <c r="AB130" i="3" s="1"/>
  <c r="AD130" i="3" s="1"/>
  <c r="AF130" i="3" s="1"/>
  <c r="BA163" i="1"/>
  <c r="BI172" i="1"/>
  <c r="CO170" i="1"/>
  <c r="CJ174" i="1"/>
  <c r="G21" i="3"/>
  <c r="T14" i="8"/>
  <c r="O114" i="64"/>
  <c r="P113" i="64"/>
  <c r="R82" i="64"/>
  <c r="F35" i="8"/>
  <c r="R35" i="8" s="1"/>
  <c r="F131" i="8"/>
  <c r="F132" i="8"/>
  <c r="R83" i="64"/>
  <c r="DT33" i="1"/>
  <c r="DU33" i="1"/>
  <c r="DE151" i="1"/>
  <c r="DD171" i="1"/>
  <c r="DE171" i="1" s="1"/>
  <c r="DD154" i="1"/>
  <c r="DF151" i="1"/>
  <c r="BI153" i="1"/>
  <c r="BL171" i="1"/>
  <c r="BM151" i="1"/>
  <c r="BN151" i="1"/>
  <c r="BE150" i="1"/>
  <c r="BD170" i="1"/>
  <c r="BD154" i="1"/>
  <c r="BJ150" i="1"/>
  <c r="BF150" i="1"/>
  <c r="CK150" i="1"/>
  <c r="CJ160" i="1"/>
  <c r="DA34" i="11" s="1"/>
  <c r="CL150" i="1"/>
  <c r="CJ154" i="1"/>
  <c r="AB21" i="3"/>
  <c r="AB22" i="3" s="1"/>
  <c r="BY170" i="1"/>
  <c r="S113" i="64"/>
  <c r="CN153" i="1"/>
  <c r="CO148" i="1"/>
  <c r="CP148" i="1"/>
  <c r="CN168" i="1"/>
  <c r="DD35" i="11" s="1"/>
  <c r="CS151" i="1"/>
  <c r="CR171" i="1"/>
  <c r="CT151" i="1"/>
  <c r="CX151" i="1"/>
  <c r="D170" i="1"/>
  <c r="I170" i="1" s="1"/>
  <c r="I160" i="1"/>
  <c r="D164" i="1"/>
  <c r="I164" i="1" s="1"/>
  <c r="AO133" i="1"/>
  <c r="AP133" i="1"/>
  <c r="AO149" i="1"/>
  <c r="AP149" i="1" s="1"/>
  <c r="AN169" i="1"/>
  <c r="AN153" i="1"/>
  <c r="AN152" i="1"/>
  <c r="AH134" i="1"/>
  <c r="AG134" i="1"/>
  <c r="CV174" i="1"/>
  <c r="CV173" i="1"/>
  <c r="DH164" i="1"/>
  <c r="DI160" i="1"/>
  <c r="DI134" i="1"/>
  <c r="DJ134" i="1"/>
  <c r="CP150" i="1"/>
  <c r="CO150" i="1"/>
  <c r="CN154" i="1"/>
  <c r="V153" i="1"/>
  <c r="U153" i="1"/>
  <c r="CW160" i="1"/>
  <c r="CR164" i="1"/>
  <c r="CS160" i="1"/>
  <c r="AR168" i="1"/>
  <c r="AR153" i="1"/>
  <c r="AS148" i="1"/>
  <c r="AB130" i="8"/>
  <c r="AD130" i="8" s="1"/>
  <c r="AF130" i="8" s="1"/>
  <c r="CS148" i="1"/>
  <c r="CR168" i="1"/>
  <c r="CR153" i="1"/>
  <c r="CX153" i="1" s="1"/>
  <c r="CX148" i="1"/>
  <c r="CT148" i="1"/>
  <c r="CF169" i="1"/>
  <c r="CG169" i="1" s="1"/>
  <c r="CG149" i="1"/>
  <c r="CH149" i="1"/>
  <c r="BI164" i="1"/>
  <c r="BE164" i="1"/>
  <c r="AG148" i="1"/>
  <c r="AH148" i="1" s="1"/>
  <c r="AF153" i="1"/>
  <c r="AF158" i="1"/>
  <c r="AK158" i="1" s="1"/>
  <c r="T123" i="3"/>
  <c r="AI123" i="3" s="1"/>
  <c r="AK123" i="3" s="1"/>
  <c r="AO130" i="3"/>
  <c r="T130" i="3" s="1"/>
  <c r="C224" i="54"/>
  <c r="C225" i="54" s="1"/>
  <c r="C226" i="54" s="1"/>
  <c r="Z25" i="3"/>
  <c r="DE134" i="1"/>
  <c r="DF134" i="1"/>
  <c r="BM134" i="1"/>
  <c r="BN134" i="1"/>
  <c r="BQ164" i="1"/>
  <c r="BM164" i="1"/>
  <c r="BF134" i="1"/>
  <c r="BJ134" i="1"/>
  <c r="BE134" i="1"/>
  <c r="AL64" i="58"/>
  <c r="DP42" i="1"/>
  <c r="AK64" i="58"/>
  <c r="F134" i="8"/>
  <c r="BP169" i="1"/>
  <c r="BQ149" i="1"/>
  <c r="BR149" i="1"/>
  <c r="BV149" i="1"/>
  <c r="BP153" i="1"/>
  <c r="BY134" i="1"/>
  <c r="BZ134" i="1"/>
  <c r="BA35" i="11"/>
  <c r="DA159" i="1"/>
  <c r="CZ163" i="1"/>
  <c r="DE159" i="1"/>
  <c r="AG149" i="1"/>
  <c r="AF159" i="1"/>
  <c r="K113" i="64"/>
  <c r="K79" i="64"/>
  <c r="AF161" i="1"/>
  <c r="AG151" i="1"/>
  <c r="AT132" i="1"/>
  <c r="AN162" i="1"/>
  <c r="AO132" i="1"/>
  <c r="AP132" i="1"/>
  <c r="CO149" i="1"/>
  <c r="CP149" i="1"/>
  <c r="CT149" i="1"/>
  <c r="AF160" i="1"/>
  <c r="AG150" i="1"/>
  <c r="AF154" i="1"/>
  <c r="CW153" i="1"/>
  <c r="CJ163" i="1"/>
  <c r="CK163" i="1" s="1"/>
  <c r="CK158" i="1"/>
  <c r="AZ170" i="1"/>
  <c r="AZ154" i="1"/>
  <c r="BB150" i="1"/>
  <c r="BA150" i="1"/>
  <c r="BX169" i="1"/>
  <c r="CC169" i="1" s="1"/>
  <c r="BX153" i="1"/>
  <c r="BZ149" i="1"/>
  <c r="BY149" i="1"/>
  <c r="T169" i="1"/>
  <c r="T174" i="1" s="1"/>
  <c r="T163" i="1"/>
  <c r="U163" i="1" s="1"/>
  <c r="U159" i="1"/>
  <c r="S112" i="64"/>
  <c r="CR154" i="1"/>
  <c r="CT150" i="1"/>
  <c r="CR170" i="1"/>
  <c r="CX150" i="1"/>
  <c r="CS150" i="1"/>
  <c r="BP152" i="1"/>
  <c r="BQ132" i="1"/>
  <c r="BR132" i="1"/>
  <c r="BV132" i="1"/>
  <c r="AT133" i="1"/>
  <c r="AS133" i="1"/>
  <c r="CC171" i="1"/>
  <c r="S79" i="64"/>
  <c r="BM133" i="1"/>
  <c r="BN133" i="1"/>
  <c r="M160" i="1"/>
  <c r="L170" i="1"/>
  <c r="L164" i="1"/>
  <c r="M164" i="1" s="1"/>
  <c r="BQ151" i="1"/>
  <c r="BR151" i="1"/>
  <c r="BP171" i="1"/>
  <c r="BP154" i="1"/>
  <c r="BV151" i="1"/>
  <c r="AJ163" i="1"/>
  <c r="AO158" i="1"/>
  <c r="AL34" i="11"/>
  <c r="AQ59" i="11" s="1"/>
  <c r="CS158" i="1"/>
  <c r="CW158" i="1"/>
  <c r="CR163" i="1"/>
  <c r="CW163" i="1" s="1"/>
  <c r="AS159" i="1"/>
  <c r="AW34" i="11"/>
  <c r="AL132" i="1"/>
  <c r="AH132" i="1"/>
  <c r="AG132" i="1"/>
  <c r="AF152" i="1"/>
  <c r="CF30" i="11"/>
  <c r="CL16" i="11"/>
  <c r="CB10" i="11"/>
  <c r="CB12" i="11" s="1"/>
  <c r="R41" i="3"/>
  <c r="T41" i="3" s="1"/>
  <c r="E60" i="3"/>
  <c r="R81" i="3"/>
  <c r="D81" i="8" s="1"/>
  <c r="R33" i="3"/>
  <c r="T33" i="3" s="1"/>
  <c r="T125" i="3"/>
  <c r="AO132" i="3"/>
  <c r="T132" i="3" s="1"/>
  <c r="AI132" i="3" s="1"/>
  <c r="CG133" i="1"/>
  <c r="CH133" i="1"/>
  <c r="AY34" i="11"/>
  <c r="AW161" i="1"/>
  <c r="AS161" i="1"/>
  <c r="F130" i="8"/>
  <c r="F133" i="8"/>
  <c r="BR133" i="1"/>
  <c r="BQ133" i="1"/>
  <c r="BV133" i="1"/>
  <c r="BF133" i="1"/>
  <c r="BA133" i="1"/>
  <c r="BB133" i="1"/>
  <c r="G79" i="64"/>
  <c r="G80" i="64" s="1"/>
  <c r="G113" i="64"/>
  <c r="CS161" i="1"/>
  <c r="CW161" i="1"/>
  <c r="BY151" i="1"/>
  <c r="BZ151" i="1"/>
  <c r="BN150" i="1"/>
  <c r="BL170" i="1"/>
  <c r="BW35" i="11" s="1"/>
  <c r="BL154" i="1"/>
  <c r="BM150" i="1"/>
  <c r="BR150" i="1"/>
  <c r="AO159" i="1"/>
  <c r="AR34" i="11"/>
  <c r="AR59" i="11" s="1"/>
  <c r="AN163" i="1"/>
  <c r="O113" i="64"/>
  <c r="P112" i="64"/>
  <c r="CO169" i="1"/>
  <c r="DI150" i="1"/>
  <c r="DH154" i="1"/>
  <c r="DJ150" i="1"/>
  <c r="DH170" i="1"/>
  <c r="DI170" i="1" s="1"/>
  <c r="BB134" i="1"/>
  <c r="BA134" i="1"/>
  <c r="CN164" i="1"/>
  <c r="CH134" i="1"/>
  <c r="CG134" i="1"/>
  <c r="BY133" i="1"/>
  <c r="BZ133" i="1"/>
  <c r="CD151" i="1"/>
  <c r="BM148" i="1"/>
  <c r="BN148" i="1"/>
  <c r="BL153" i="1"/>
  <c r="BL168" i="1"/>
  <c r="BR148" i="1"/>
  <c r="CJ173" i="1"/>
  <c r="AK148" i="1"/>
  <c r="AJ168" i="1"/>
  <c r="AJ153" i="1"/>
  <c r="CS133" i="1"/>
  <c r="CT133" i="1"/>
  <c r="AX59" i="11"/>
  <c r="AS149" i="1"/>
  <c r="AR169" i="1"/>
  <c r="CH35" i="11"/>
  <c r="CG23" i="11"/>
  <c r="BW37" i="11"/>
  <c r="BV23" i="11"/>
  <c r="R83" i="3"/>
  <c r="D83" i="8" s="1"/>
  <c r="C103" i="3"/>
  <c r="G103" i="3" s="1"/>
  <c r="AF103" i="3" s="1"/>
  <c r="E25" i="3"/>
  <c r="R39" i="3"/>
  <c r="D39" i="8" s="1"/>
  <c r="C82" i="3"/>
  <c r="F92" i="8"/>
  <c r="R92" i="8" s="1"/>
  <c r="DU63" i="11" s="1"/>
  <c r="W27" i="4"/>
  <c r="AL76" i="8"/>
  <c r="CR10" i="11"/>
  <c r="CR12" i="11" s="1"/>
  <c r="CR35" i="11"/>
  <c r="CP19" i="11"/>
  <c r="CJ56" i="11"/>
  <c r="BV56" i="11"/>
  <c r="BU23" i="11"/>
  <c r="CC13" i="11"/>
  <c r="BU37" i="11"/>
  <c r="BW30" i="11"/>
  <c r="CC19" i="11"/>
  <c r="CA38" i="11"/>
  <c r="CC34" i="11"/>
  <c r="BR22" i="11"/>
  <c r="BR56" i="11"/>
  <c r="BR37" i="11"/>
  <c r="BR35" i="11"/>
  <c r="BP30" i="11"/>
  <c r="BQ23" i="11"/>
  <c r="C98" i="3"/>
  <c r="G98" i="3" s="1"/>
  <c r="AF98" i="3" s="1"/>
  <c r="C69" i="3"/>
  <c r="C41" i="3"/>
  <c r="E85" i="3"/>
  <c r="E57" i="3"/>
  <c r="E29" i="3"/>
  <c r="C89" i="3"/>
  <c r="C60" i="3"/>
  <c r="C32" i="3"/>
  <c r="C105" i="3"/>
  <c r="G105" i="3" s="1"/>
  <c r="AF105" i="3" s="1"/>
  <c r="C61" i="3"/>
  <c r="CO19" i="11"/>
  <c r="CP38" i="11"/>
  <c r="CO30" i="11"/>
  <c r="X32" i="5"/>
  <c r="FJ22" i="11" s="1"/>
  <c r="BX56" i="11"/>
  <c r="BQ56" i="11"/>
  <c r="BQ37" i="11"/>
  <c r="BS30" i="11"/>
  <c r="BP23" i="11"/>
  <c r="BW13" i="11"/>
  <c r="CJ37" i="11"/>
  <c r="CJ35" i="11"/>
  <c r="CL30" i="11"/>
  <c r="CM23" i="11"/>
  <c r="BX16" i="11"/>
  <c r="BW23" i="11"/>
  <c r="BZ13" i="11"/>
  <c r="CE38" i="11"/>
  <c r="CG36" i="11"/>
  <c r="CG34" i="11"/>
  <c r="CH26" i="11"/>
  <c r="BV22" i="11"/>
  <c r="BQ16" i="11"/>
  <c r="E88" i="3"/>
  <c r="R57" i="3"/>
  <c r="D57" i="8" s="1"/>
  <c r="R29" i="3"/>
  <c r="D29" i="8" s="1"/>
  <c r="R77" i="3"/>
  <c r="D77" i="8" s="1"/>
  <c r="R49" i="3"/>
  <c r="D49" i="8" s="1"/>
  <c r="C78" i="3"/>
  <c r="C50" i="3"/>
  <c r="E83" i="3"/>
  <c r="R47" i="3"/>
  <c r="D47" i="8" s="1"/>
  <c r="AL110" i="8"/>
  <c r="AL123" i="8"/>
  <c r="CP37" i="11"/>
  <c r="CQ30" i="11"/>
  <c r="CQ16" i="11"/>
  <c r="CF10" i="11"/>
  <c r="CF12" i="11" s="1"/>
  <c r="BP56" i="11"/>
  <c r="CF56" i="11"/>
  <c r="CF37" i="11"/>
  <c r="CF35" i="11"/>
  <c r="CH30" i="11"/>
  <c r="CE23" i="11"/>
  <c r="BP19" i="11"/>
  <c r="CB38" i="11"/>
  <c r="BK59" i="11"/>
  <c r="CM19" i="11"/>
  <c r="CH13" i="11"/>
  <c r="CM37" i="11"/>
  <c r="CM35" i="11"/>
  <c r="CK30" i="11"/>
  <c r="CL23" i="11"/>
  <c r="BW16" i="11"/>
  <c r="BZ38" i="11"/>
  <c r="CB34" i="11"/>
  <c r="BQ22" i="11"/>
  <c r="BZ10" i="11"/>
  <c r="BZ12" i="11" s="1"/>
  <c r="E70" i="3"/>
  <c r="E42" i="3"/>
  <c r="R88" i="3"/>
  <c r="D88" i="8" s="1"/>
  <c r="C63" i="3"/>
  <c r="C35" i="3"/>
  <c r="E82" i="3"/>
  <c r="E54" i="3"/>
  <c r="E26" i="3"/>
  <c r="R90" i="3"/>
  <c r="D90" i="8" s="1"/>
  <c r="R54" i="3"/>
  <c r="T54" i="3" s="1"/>
  <c r="F71" i="8"/>
  <c r="R71" i="8" s="1"/>
  <c r="DQ63" i="11" s="1"/>
  <c r="CQ13" i="11"/>
  <c r="CO26" i="11"/>
  <c r="X45" i="5"/>
  <c r="FJ30" i="11" s="1"/>
  <c r="CA36" i="11"/>
  <c r="BZ23" i="11"/>
  <c r="CB30" i="11"/>
  <c r="BW10" i="11"/>
  <c r="BW12" i="11" s="1"/>
  <c r="BR16" i="11"/>
  <c r="BP13" i="11"/>
  <c r="R69" i="3"/>
  <c r="D69" i="8" s="1"/>
  <c r="R34" i="3"/>
  <c r="D34" i="8" s="1"/>
  <c r="C88" i="3"/>
  <c r="E53" i="3"/>
  <c r="R67" i="3"/>
  <c r="D67" i="8" s="1"/>
  <c r="R32" i="3"/>
  <c r="T32" i="3" s="1"/>
  <c r="E69" i="3"/>
  <c r="AJ14" i="8"/>
  <c r="I161" i="1"/>
  <c r="AD154" i="1"/>
  <c r="Q168" i="1"/>
  <c r="L113" i="64"/>
  <c r="DP201" i="1"/>
  <c r="DP202" i="1" s="1"/>
  <c r="DD164" i="1"/>
  <c r="DE164" i="1" s="1"/>
  <c r="DE161" i="1"/>
  <c r="CG132" i="1"/>
  <c r="CF152" i="1"/>
  <c r="CH132" i="1"/>
  <c r="CH148" i="1"/>
  <c r="CF153" i="1"/>
  <c r="CL153" i="1" s="1"/>
  <c r="CF168" i="1"/>
  <c r="CT35" i="11" s="1"/>
  <c r="CG148" i="1"/>
  <c r="AC160" i="1"/>
  <c r="AB164" i="1"/>
  <c r="AC164" i="1" s="1"/>
  <c r="AB170" i="1"/>
  <c r="AD35" i="11" s="1"/>
  <c r="AR171" i="1"/>
  <c r="AS151" i="1"/>
  <c r="AT151" i="1" s="1"/>
  <c r="DI161" i="1"/>
  <c r="BB148" i="1"/>
  <c r="AZ153" i="1"/>
  <c r="BA148" i="1"/>
  <c r="AZ168" i="1"/>
  <c r="BD153" i="1"/>
  <c r="BE148" i="1"/>
  <c r="BD168" i="1"/>
  <c r="BI168" i="1" s="1"/>
  <c r="BF148" i="1"/>
  <c r="BX154" i="1"/>
  <c r="CP133" i="1"/>
  <c r="CO133" i="1"/>
  <c r="CN163" i="1"/>
  <c r="CO158" i="1"/>
  <c r="DA133" i="1"/>
  <c r="DF133" i="1"/>
  <c r="DB133" i="1"/>
  <c r="DB149" i="1"/>
  <c r="CZ169" i="1"/>
  <c r="DA149" i="1"/>
  <c r="DF149" i="1"/>
  <c r="CZ153" i="1"/>
  <c r="AS170" i="1"/>
  <c r="AX35" i="11"/>
  <c r="O80" i="64"/>
  <c r="O115" i="64" s="1"/>
  <c r="CO159" i="1"/>
  <c r="CS159" i="1"/>
  <c r="AL134" i="1"/>
  <c r="P171" i="1"/>
  <c r="Q171" i="1" s="1"/>
  <c r="Q161" i="1"/>
  <c r="CK153" i="1"/>
  <c r="CL149" i="1"/>
  <c r="CO134" i="1"/>
  <c r="CP134" i="1"/>
  <c r="CG150" i="1"/>
  <c r="CF170" i="1"/>
  <c r="CV35" i="11" s="1"/>
  <c r="CF154" i="1"/>
  <c r="CH150" i="1"/>
  <c r="CS134" i="1"/>
  <c r="CX134" i="1"/>
  <c r="CT134" i="1"/>
  <c r="AV34" i="11"/>
  <c r="AR163" i="1"/>
  <c r="AS158" i="1"/>
  <c r="BI163" i="1"/>
  <c r="BE163" i="1"/>
  <c r="CB172" i="1"/>
  <c r="CC152" i="1"/>
  <c r="BM132" i="1"/>
  <c r="BL152" i="1"/>
  <c r="BN132" i="1"/>
  <c r="BQ134" i="1"/>
  <c r="BR134" i="1"/>
  <c r="BV134" i="1"/>
  <c r="AL133" i="1"/>
  <c r="AK133" i="1"/>
  <c r="BE169" i="1"/>
  <c r="AR164" i="1"/>
  <c r="BQ162" i="1"/>
  <c r="DJ151" i="1"/>
  <c r="C111" i="64"/>
  <c r="D110" i="64"/>
  <c r="C78" i="64"/>
  <c r="AG133" i="1"/>
  <c r="AH133" i="1"/>
  <c r="BM75" i="11"/>
  <c r="BN6" i="11"/>
  <c r="BM76" i="11"/>
  <c r="FE7" i="11"/>
  <c r="FD62" i="11"/>
  <c r="FD37" i="11"/>
  <c r="FD56" i="11"/>
  <c r="FD38" i="11"/>
  <c r="T55" i="58"/>
  <c r="U55" i="58" s="1"/>
  <c r="U51" i="72"/>
  <c r="U133" i="72"/>
  <c r="U92" i="72"/>
  <c r="C394" i="54"/>
  <c r="I131" i="3"/>
  <c r="G18" i="3"/>
  <c r="AF125" i="8"/>
  <c r="J45" i="5"/>
  <c r="EV30" i="11" s="1"/>
  <c r="EU42" i="11"/>
  <c r="EU52" i="11" s="1"/>
  <c r="O25" i="4"/>
  <c r="EU48" i="11"/>
  <c r="N29" i="4"/>
  <c r="G22" i="3"/>
  <c r="G19" i="3"/>
  <c r="AI15" i="11"/>
  <c r="E112" i="64"/>
  <c r="F111" i="64"/>
  <c r="E79" i="64"/>
  <c r="E80" i="64" s="1"/>
  <c r="E81" i="64" s="1"/>
  <c r="E82" i="64" s="1"/>
  <c r="CH75" i="11"/>
  <c r="AC169" i="1"/>
  <c r="AJ15" i="11"/>
  <c r="AB6" i="11"/>
  <c r="W7" i="11"/>
  <c r="AC10" i="11"/>
  <c r="AC13" i="11"/>
  <c r="AC16" i="11"/>
  <c r="AH57" i="11" s="1"/>
  <c r="AB10" i="11"/>
  <c r="AB13" i="11"/>
  <c r="AD10" i="11"/>
  <c r="AC19" i="11"/>
  <c r="AC23" i="11"/>
  <c r="AE26" i="11"/>
  <c r="AB30" i="11"/>
  <c r="AD34" i="11"/>
  <c r="AD36" i="11"/>
  <c r="AD37" i="11"/>
  <c r="AB38" i="11"/>
  <c r="AD56" i="11"/>
  <c r="AE10" i="11"/>
  <c r="AD13" i="11"/>
  <c r="AB16" i="11"/>
  <c r="AG57" i="11" s="1"/>
  <c r="AD19" i="11"/>
  <c r="AD23" i="11"/>
  <c r="AB26" i="11"/>
  <c r="AC30" i="11"/>
  <c r="AE34" i="11"/>
  <c r="AE35" i="11"/>
  <c r="AE36" i="11"/>
  <c r="AE37" i="11"/>
  <c r="AC38" i="11"/>
  <c r="AE13" i="11"/>
  <c r="AD16" i="11"/>
  <c r="AI57" i="11" s="1"/>
  <c r="AE19" i="11"/>
  <c r="AE23" i="11"/>
  <c r="AC26" i="11"/>
  <c r="AD30" i="11"/>
  <c r="AB34" i="11"/>
  <c r="AB35" i="11"/>
  <c r="AB36" i="11"/>
  <c r="AB37" i="11"/>
  <c r="AD38" i="11"/>
  <c r="AE16" i="11"/>
  <c r="AJ57" i="11" s="1"/>
  <c r="AB19" i="11"/>
  <c r="AB23" i="11"/>
  <c r="AD26" i="11"/>
  <c r="AE30" i="11"/>
  <c r="AC34" i="11"/>
  <c r="AC35" i="11"/>
  <c r="AC36" i="11"/>
  <c r="AC37" i="11"/>
  <c r="AE38" i="11"/>
  <c r="AC56" i="11"/>
  <c r="AB56" i="11"/>
  <c r="AE56" i="11"/>
  <c r="AG15" i="11"/>
  <c r="AH22" i="11"/>
  <c r="AH6" i="11"/>
  <c r="AI6" i="11" s="1"/>
  <c r="AJ6" i="11" s="1"/>
  <c r="AI22" i="11"/>
  <c r="AJ22" i="11"/>
  <c r="AG22" i="11"/>
  <c r="M152" i="1"/>
  <c r="L162" i="1"/>
  <c r="BM15" i="11"/>
  <c r="BM55" i="11"/>
  <c r="D20" i="8"/>
  <c r="L20" i="8" s="1"/>
  <c r="T20" i="3"/>
  <c r="CO13" i="11"/>
  <c r="X18" i="5"/>
  <c r="CA37" i="11"/>
  <c r="CC30" i="11"/>
  <c r="CE19" i="11"/>
  <c r="BW38" i="11"/>
  <c r="BZ34" i="11"/>
  <c r="BS22" i="11"/>
  <c r="BN47" i="11"/>
  <c r="BN57" i="11"/>
  <c r="CL19" i="11"/>
  <c r="CM13" i="11"/>
  <c r="BW36" i="11"/>
  <c r="BX26" i="11"/>
  <c r="CA16" i="11"/>
  <c r="BU10" i="11"/>
  <c r="BU12" i="11" s="1"/>
  <c r="R76" i="3"/>
  <c r="R48" i="3"/>
  <c r="E74" i="3"/>
  <c r="E46" i="3"/>
  <c r="G20" i="3"/>
  <c r="R74" i="3"/>
  <c r="R46" i="3"/>
  <c r="CA13" i="11"/>
  <c r="R61" i="3"/>
  <c r="C26" i="3"/>
  <c r="D79" i="64"/>
  <c r="E113" i="64" s="1"/>
  <c r="CM76" i="11"/>
  <c r="CM75" i="11"/>
  <c r="J153" i="1"/>
  <c r="I153" i="1"/>
  <c r="CX132" i="1"/>
  <c r="CW132" i="1"/>
  <c r="CV152" i="1"/>
  <c r="CV162" i="1"/>
  <c r="CW162" i="1" s="1"/>
  <c r="V74" i="64"/>
  <c r="U109" i="64"/>
  <c r="U104" i="64"/>
  <c r="V69" i="64"/>
  <c r="V67" i="64"/>
  <c r="U102" i="64"/>
  <c r="P83" i="64"/>
  <c r="CW22" i="11"/>
  <c r="DB56" i="11"/>
  <c r="CZ37" i="11"/>
  <c r="DA26" i="11"/>
  <c r="DB10" i="11"/>
  <c r="DB12" i="11" s="1"/>
  <c r="CY36" i="11"/>
  <c r="DB23" i="11"/>
  <c r="DA10" i="11"/>
  <c r="DA12" i="11" s="1"/>
  <c r="DA23" i="11"/>
  <c r="DA56" i="11"/>
  <c r="DA35" i="11"/>
  <c r="CZ23" i="11"/>
  <c r="CY10" i="11"/>
  <c r="CY12" i="11" s="1"/>
  <c r="AD125" i="3"/>
  <c r="AF125" i="3" s="1"/>
  <c r="X126" i="3"/>
  <c r="AC35" i="58"/>
  <c r="AB51" i="58"/>
  <c r="AO55" i="11"/>
  <c r="R23" i="5"/>
  <c r="R36" i="5"/>
  <c r="R50" i="5"/>
  <c r="R35" i="4"/>
  <c r="R36" i="4" s="1"/>
  <c r="AW28" i="11"/>
  <c r="AW32" i="11" s="1"/>
  <c r="AW51" i="11" s="1"/>
  <c r="AW49" i="11"/>
  <c r="AW50" i="11"/>
  <c r="Z11" i="58"/>
  <c r="X52" i="58"/>
  <c r="X55" i="58" s="1"/>
  <c r="X15" i="58"/>
  <c r="X14" i="58"/>
  <c r="Z14" i="58" s="1"/>
  <c r="N42" i="5"/>
  <c r="N37" i="5"/>
  <c r="N40" i="5"/>
  <c r="U78" i="64"/>
  <c r="T113" i="64"/>
  <c r="BA24" i="11"/>
  <c r="BA48" i="11"/>
  <c r="BA42" i="11"/>
  <c r="BA52" i="11" s="1"/>
  <c r="BA58" i="11"/>
  <c r="BF46" i="11"/>
  <c r="BF17" i="11"/>
  <c r="AQ24" i="11"/>
  <c r="AQ48" i="11"/>
  <c r="AV28" i="11"/>
  <c r="AV32" i="11" s="1"/>
  <c r="AV51" i="11" s="1"/>
  <c r="AV49" i="11"/>
  <c r="AV50" i="11"/>
  <c r="X163" i="1"/>
  <c r="X168" i="1"/>
  <c r="AC168" i="1" s="1"/>
  <c r="M159" i="1"/>
  <c r="L163" i="1"/>
  <c r="Q159" i="1"/>
  <c r="AL78" i="8"/>
  <c r="V127" i="8"/>
  <c r="D112" i="64"/>
  <c r="P170" i="1"/>
  <c r="U170" i="1" s="1"/>
  <c r="Q160" i="1"/>
  <c r="P164" i="1"/>
  <c r="FC42" i="11"/>
  <c r="FC24" i="11"/>
  <c r="FC49" i="11" s="1"/>
  <c r="FC48" i="11"/>
  <c r="FC58" i="11"/>
  <c r="CT152" i="1"/>
  <c r="CS152" i="1"/>
  <c r="CR172" i="1"/>
  <c r="CS172" i="1" s="1"/>
  <c r="T80" i="64"/>
  <c r="DH163" i="1"/>
  <c r="DI163" i="1" s="1"/>
  <c r="DM158" i="1"/>
  <c r="DI158" i="1"/>
  <c r="AR24" i="11"/>
  <c r="AR48" i="11"/>
  <c r="Z25" i="5"/>
  <c r="AA9" i="5"/>
  <c r="I36" i="72" s="1"/>
  <c r="AA34" i="5"/>
  <c r="FM23" i="11" s="1"/>
  <c r="AA7" i="5"/>
  <c r="AA32" i="5"/>
  <c r="FM22" i="11" s="1"/>
  <c r="AA5" i="4"/>
  <c r="AA27" i="4" s="1"/>
  <c r="AB5" i="5"/>
  <c r="AA56" i="5"/>
  <c r="AA14" i="5"/>
  <c r="AA18" i="5"/>
  <c r="AA25" i="5"/>
  <c r="BI24" i="11"/>
  <c r="BI48" i="11"/>
  <c r="BI42" i="11"/>
  <c r="BI58" i="11"/>
  <c r="Q42" i="5"/>
  <c r="Y27" i="4"/>
  <c r="AL46" i="11"/>
  <c r="AL17" i="11"/>
  <c r="AG47" i="11"/>
  <c r="BM47" i="11"/>
  <c r="BM57" i="11"/>
  <c r="BL57" i="11"/>
  <c r="BL47" i="11"/>
  <c r="BL15" i="11"/>
  <c r="BL55" i="11"/>
  <c r="D18" i="8"/>
  <c r="L18" i="8" s="1"/>
  <c r="T18" i="3"/>
  <c r="EU49" i="11"/>
  <c r="EU50" i="11"/>
  <c r="AI116" i="3"/>
  <c r="AK116" i="3" s="1"/>
  <c r="AM116" i="3" s="1"/>
  <c r="V116" i="3"/>
  <c r="X116" i="3" s="1"/>
  <c r="J9" i="9"/>
  <c r="L47" i="10"/>
  <c r="L50" i="10" s="1"/>
  <c r="U161" i="1"/>
  <c r="T171" i="1"/>
  <c r="J148" i="1"/>
  <c r="N148" i="1"/>
  <c r="V73" i="64"/>
  <c r="U108" i="64"/>
  <c r="U106" i="64"/>
  <c r="V71" i="64"/>
  <c r="AS24" i="11"/>
  <c r="AS48" i="11"/>
  <c r="AX58" i="11"/>
  <c r="F82" i="64"/>
  <c r="Q152" i="1"/>
  <c r="V152" i="1" s="1"/>
  <c r="P162" i="1"/>
  <c r="U162" i="1" s="1"/>
  <c r="U79" i="64"/>
  <c r="AI125" i="3"/>
  <c r="AK125" i="3" s="1"/>
  <c r="V125" i="3"/>
  <c r="CU75" i="11"/>
  <c r="CV6" i="11"/>
  <c r="CU76" i="11"/>
  <c r="CY56" i="11"/>
  <c r="CZ36" i="11"/>
  <c r="CY23" i="11"/>
  <c r="DD6" i="11"/>
  <c r="DE10" i="11"/>
  <c r="DE12" i="11" s="1"/>
  <c r="DE13" i="11"/>
  <c r="DI7" i="11"/>
  <c r="DD10" i="11"/>
  <c r="DD12" i="11" s="1"/>
  <c r="DF10" i="11"/>
  <c r="DF12" i="11" s="1"/>
  <c r="DF13" i="11"/>
  <c r="DE16" i="11"/>
  <c r="DE19" i="11"/>
  <c r="DE23" i="11"/>
  <c r="DG26" i="11"/>
  <c r="DF30" i="11"/>
  <c r="DF35" i="11"/>
  <c r="DF36" i="11"/>
  <c r="DF37" i="11"/>
  <c r="DD38" i="11"/>
  <c r="DF56" i="11"/>
  <c r="DG10" i="11"/>
  <c r="DG12" i="11" s="1"/>
  <c r="DG13" i="11"/>
  <c r="DF16" i="11"/>
  <c r="DF19" i="11"/>
  <c r="DF23" i="11"/>
  <c r="DD26" i="11"/>
  <c r="DG30" i="11"/>
  <c r="DG35" i="11"/>
  <c r="DG36" i="11"/>
  <c r="DG37" i="11"/>
  <c r="DE38" i="11"/>
  <c r="DG16" i="11"/>
  <c r="DG19" i="11"/>
  <c r="DG23" i="11"/>
  <c r="DE26" i="11"/>
  <c r="DD30" i="11"/>
  <c r="DD36" i="11"/>
  <c r="DD37" i="11"/>
  <c r="DF38" i="11"/>
  <c r="DD13" i="11"/>
  <c r="DD16" i="11"/>
  <c r="DD19" i="11"/>
  <c r="DD23" i="11"/>
  <c r="DF26" i="11"/>
  <c r="DE30" i="11"/>
  <c r="DE35" i="11"/>
  <c r="DE36" i="11"/>
  <c r="DE37" i="11"/>
  <c r="DG38" i="11"/>
  <c r="DE56" i="11"/>
  <c r="DG56" i="11"/>
  <c r="DD56" i="11"/>
  <c r="CY35" i="11"/>
  <c r="DB19" i="11"/>
  <c r="CZ38" i="11"/>
  <c r="DB34" i="11"/>
  <c r="DA19" i="11"/>
  <c r="CY38" i="11"/>
  <c r="CZ19" i="11"/>
  <c r="CZ13" i="11"/>
  <c r="AB126" i="3"/>
  <c r="AD126" i="3" s="1"/>
  <c r="AF126" i="3" s="1"/>
  <c r="I112" i="64"/>
  <c r="J111" i="64"/>
  <c r="FX41" i="11"/>
  <c r="D173" i="1"/>
  <c r="D174" i="1"/>
  <c r="AN55" i="11"/>
  <c r="AO46" i="11"/>
  <c r="AO17" i="11"/>
  <c r="AT58" i="11" s="1"/>
  <c r="P50" i="5"/>
  <c r="P43" i="5"/>
  <c r="P47" i="5"/>
  <c r="FB28" i="11"/>
  <c r="DM41" i="1"/>
  <c r="DN41" i="1"/>
  <c r="EV19" i="11"/>
  <c r="J22" i="5"/>
  <c r="J11" i="4"/>
  <c r="J12" i="4" s="1"/>
  <c r="EV10" i="11"/>
  <c r="EV12" i="11" s="1"/>
  <c r="Q115" i="64"/>
  <c r="R114" i="64"/>
  <c r="Z153" i="1"/>
  <c r="Y153" i="1"/>
  <c r="N149" i="1"/>
  <c r="R149" i="1"/>
  <c r="AL112" i="8"/>
  <c r="EY55" i="11"/>
  <c r="EY15" i="11"/>
  <c r="V76" i="64"/>
  <c r="U111" i="64"/>
  <c r="DJ148" i="1"/>
  <c r="DH153" i="1"/>
  <c r="DH168" i="1"/>
  <c r="DN148" i="1"/>
  <c r="DI148" i="1"/>
  <c r="Z45" i="5"/>
  <c r="Z18" i="5"/>
  <c r="Z27" i="4"/>
  <c r="AT24" i="58"/>
  <c r="CR6" i="11"/>
  <c r="CQ76" i="11"/>
  <c r="CQ75" i="11"/>
  <c r="L81" i="64"/>
  <c r="F112" i="64"/>
  <c r="AJ47" i="11"/>
  <c r="AI47" i="11"/>
  <c r="CZ172" i="1"/>
  <c r="BR55" i="11"/>
  <c r="D22" i="8"/>
  <c r="L22" i="8" s="1"/>
  <c r="T22" i="3"/>
  <c r="V22" i="3" s="1"/>
  <c r="X22" i="3" s="1"/>
  <c r="T85" i="3"/>
  <c r="V85" i="3" s="1"/>
  <c r="BN15" i="11"/>
  <c r="BN55" i="11"/>
  <c r="D70" i="8"/>
  <c r="G47" i="3"/>
  <c r="D60" i="8"/>
  <c r="T60" i="3"/>
  <c r="AL40" i="8"/>
  <c r="F63" i="8"/>
  <c r="AL84" i="8"/>
  <c r="AL118" i="8"/>
  <c r="F106" i="8"/>
  <c r="R106" i="8" s="1"/>
  <c r="EC63" i="11" s="1"/>
  <c r="U27" i="4"/>
  <c r="T7" i="5"/>
  <c r="U56" i="5"/>
  <c r="F112" i="8"/>
  <c r="AL39" i="8"/>
  <c r="F62" i="8"/>
  <c r="AL83" i="8"/>
  <c r="AL29" i="8"/>
  <c r="F54" i="8"/>
  <c r="AL75" i="8"/>
  <c r="F98" i="8"/>
  <c r="F105" i="8"/>
  <c r="F102" i="8"/>
  <c r="U34" i="5"/>
  <c r="FG23" i="11" s="1"/>
  <c r="T9" i="5"/>
  <c r="AL106" i="8"/>
  <c r="AL34" i="8"/>
  <c r="F57" i="8"/>
  <c r="R57" i="8" s="1"/>
  <c r="DO63" i="11" s="1"/>
  <c r="F81" i="8"/>
  <c r="F49" i="8"/>
  <c r="AL70" i="8"/>
  <c r="AL90" i="8"/>
  <c r="AL99" i="8"/>
  <c r="F97" i="8"/>
  <c r="F32" i="8"/>
  <c r="AL53" i="8"/>
  <c r="F76" i="8"/>
  <c r="F27" i="8"/>
  <c r="AL43" i="8"/>
  <c r="F68" i="8"/>
  <c r="AL89" i="8"/>
  <c r="AL91" i="8"/>
  <c r="AL117" i="8"/>
  <c r="V14" i="5"/>
  <c r="U14" i="5"/>
  <c r="CJ22" i="11"/>
  <c r="CK10" i="11"/>
  <c r="CK12" i="11" s="1"/>
  <c r="CT10" i="11"/>
  <c r="CT12" i="11" s="1"/>
  <c r="CU23" i="11"/>
  <c r="CV56" i="11"/>
  <c r="CV19" i="11"/>
  <c r="CW34" i="11"/>
  <c r="CU38" i="11"/>
  <c r="CW19" i="11"/>
  <c r="CT34" i="11"/>
  <c r="CV38" i="11"/>
  <c r="CT23" i="11"/>
  <c r="CU56" i="11"/>
  <c r="CR22" i="11"/>
  <c r="Y56" i="5"/>
  <c r="Y9" i="5"/>
  <c r="Y32" i="5"/>
  <c r="FK22" i="11" s="1"/>
  <c r="CO22" i="11"/>
  <c r="Y14" i="5"/>
  <c r="AL27" i="8"/>
  <c r="F47" i="8"/>
  <c r="AL68" i="8"/>
  <c r="F91" i="8"/>
  <c r="AL92" i="8"/>
  <c r="F119" i="8"/>
  <c r="T56" i="5"/>
  <c r="V32" i="5"/>
  <c r="FH22" i="11" s="1"/>
  <c r="F26" i="8"/>
  <c r="F125" i="8"/>
  <c r="F46" i="8"/>
  <c r="AL67" i="8"/>
  <c r="AL35" i="8"/>
  <c r="AL57" i="8"/>
  <c r="F82" i="8"/>
  <c r="F116" i="8"/>
  <c r="F85" i="8"/>
  <c r="R85" i="8" s="1"/>
  <c r="DT63" i="11" s="1"/>
  <c r="F111" i="8"/>
  <c r="V9" i="5"/>
  <c r="V25" i="5"/>
  <c r="V27" i="4"/>
  <c r="F120" i="8"/>
  <c r="R120" i="8" s="1"/>
  <c r="EE63" i="11" s="1"/>
  <c r="F41" i="8"/>
  <c r="AL62" i="8"/>
  <c r="F33" i="8"/>
  <c r="AL54" i="8"/>
  <c r="F77" i="8"/>
  <c r="F109" i="8"/>
  <c r="F113" i="8"/>
  <c r="R113" i="8" s="1"/>
  <c r="ED63" i="11" s="1"/>
  <c r="AL102" i="8"/>
  <c r="U9" i="5"/>
  <c r="T25" i="5"/>
  <c r="F110" i="8"/>
  <c r="F36" i="8"/>
  <c r="R36" i="8" s="1"/>
  <c r="F60" i="8"/>
  <c r="AL81" i="8"/>
  <c r="AL49" i="8"/>
  <c r="AL71" i="8"/>
  <c r="F96" i="8"/>
  <c r="F103" i="8"/>
  <c r="F127" i="8"/>
  <c r="U32" i="5"/>
  <c r="FG22" i="11" s="1"/>
  <c r="CK22" i="11"/>
  <c r="CE10" i="11"/>
  <c r="CE12" i="11" s="1"/>
  <c r="CM22" i="11"/>
  <c r="W32" i="5"/>
  <c r="FI22" i="11" s="1"/>
  <c r="CV10" i="11"/>
  <c r="CV12" i="11" s="1"/>
  <c r="CW26" i="11"/>
  <c r="CV36" i="11"/>
  <c r="CW10" i="11"/>
  <c r="CW12" i="11" s="1"/>
  <c r="CV23" i="11"/>
  <c r="CW23" i="11"/>
  <c r="CW13" i="11"/>
  <c r="CV26" i="11"/>
  <c r="CU36" i="11"/>
  <c r="CW56" i="11"/>
  <c r="W7" i="5"/>
  <c r="W14" i="5"/>
  <c r="Y34" i="5"/>
  <c r="AL28" i="8"/>
  <c r="AL50" i="8"/>
  <c r="F75" i="8"/>
  <c r="AL96" i="8"/>
  <c r="AL103" i="8"/>
  <c r="AL98" i="8"/>
  <c r="U7" i="5"/>
  <c r="T34" i="5"/>
  <c r="FF23" i="11" s="1"/>
  <c r="T18" i="5"/>
  <c r="F95" i="8"/>
  <c r="F50" i="8"/>
  <c r="R50" i="8" s="1"/>
  <c r="DN63" i="11" s="1"/>
  <c r="F74" i="8"/>
  <c r="F25" i="8"/>
  <c r="F42" i="8"/>
  <c r="AL63" i="8"/>
  <c r="AL85" i="8"/>
  <c r="AL113" i="8"/>
  <c r="V34" i="5"/>
  <c r="FH23" i="11" s="1"/>
  <c r="T27" i="4"/>
  <c r="V18" i="5"/>
  <c r="AL26" i="8"/>
  <c r="AL46" i="8"/>
  <c r="F69" i="8"/>
  <c r="AL36" i="8"/>
  <c r="F61" i="8"/>
  <c r="AL82" i="8"/>
  <c r="AL116" i="8"/>
  <c r="F88" i="8"/>
  <c r="AL111" i="8"/>
  <c r="U25" i="5"/>
  <c r="T14" i="5"/>
  <c r="F123" i="8"/>
  <c r="AL41" i="8"/>
  <c r="F64" i="8"/>
  <c r="R64" i="8" s="1"/>
  <c r="DP63" i="11" s="1"/>
  <c r="AL33" i="8"/>
  <c r="F56" i="8"/>
  <c r="AL77" i="8"/>
  <c r="AL109" i="8"/>
  <c r="AL119" i="8"/>
  <c r="F104" i="8"/>
  <c r="V56" i="5"/>
  <c r="W9" i="5"/>
  <c r="CH10" i="11"/>
  <c r="CH12" i="11" s="1"/>
  <c r="CJ10" i="11"/>
  <c r="CJ12" i="11" s="1"/>
  <c r="CU10" i="11"/>
  <c r="CU12" i="11" s="1"/>
  <c r="CU16" i="11"/>
  <c r="CT30" i="11"/>
  <c r="CV37" i="11"/>
  <c r="CT13" i="11"/>
  <c r="CT26" i="11"/>
  <c r="CW36" i="11"/>
  <c r="CV13" i="11"/>
  <c r="CU26" i="11"/>
  <c r="CT36" i="11"/>
  <c r="CT16" i="11"/>
  <c r="CW30" i="11"/>
  <c r="CU37" i="11"/>
  <c r="CT56" i="11"/>
  <c r="CP22" i="11"/>
  <c r="Y18" i="5"/>
  <c r="Y45" i="5"/>
  <c r="CL22" i="11"/>
  <c r="W56" i="5"/>
  <c r="U18" i="5"/>
  <c r="AL105" i="8"/>
  <c r="F34" i="8"/>
  <c r="AL55" i="8"/>
  <c r="F78" i="8"/>
  <c r="R78" i="8" s="1"/>
  <c r="DS63" i="11" s="1"/>
  <c r="AL47" i="8"/>
  <c r="F70" i="8"/>
  <c r="F90" i="8"/>
  <c r="F99" i="8"/>
  <c r="R99" i="8" s="1"/>
  <c r="DV63" i="11" s="1"/>
  <c r="F124" i="8"/>
  <c r="U45" i="5"/>
  <c r="FG30" i="11" s="1"/>
  <c r="T45" i="5"/>
  <c r="FF30" i="11" s="1"/>
  <c r="AL95" i="8"/>
  <c r="F29" i="8"/>
  <c r="R29" i="8" s="1"/>
  <c r="F53" i="8"/>
  <c r="AL74" i="8"/>
  <c r="AL25" i="8"/>
  <c r="AL42" i="8"/>
  <c r="AL64" i="8"/>
  <c r="F89" i="8"/>
  <c r="F117" i="8"/>
  <c r="V45" i="5"/>
  <c r="FH30" i="11" s="1"/>
  <c r="V7" i="5"/>
  <c r="F48" i="8"/>
  <c r="AL69" i="8"/>
  <c r="F40" i="8"/>
  <c r="AL61" i="8"/>
  <c r="F84" i="8"/>
  <c r="F118" i="8"/>
  <c r="AL88" i="8"/>
  <c r="AL120" i="8"/>
  <c r="T32" i="5"/>
  <c r="FF22" i="11" s="1"/>
  <c r="CU13" i="11"/>
  <c r="CU19" i="11"/>
  <c r="CV34" i="11"/>
  <c r="CT38" i="11"/>
  <c r="CV16" i="11"/>
  <c r="CU30" i="11"/>
  <c r="CW37" i="11"/>
  <c r="CW16" i="11"/>
  <c r="CV30" i="11"/>
  <c r="CT37" i="11"/>
  <c r="CT19" i="11"/>
  <c r="CU34" i="11"/>
  <c r="CW38" i="11"/>
  <c r="CF13" i="11"/>
  <c r="CQ22" i="11"/>
  <c r="Y25" i="5"/>
  <c r="Y7" i="5"/>
  <c r="F28" i="8"/>
  <c r="CO152" i="1"/>
  <c r="CP152" i="1"/>
  <c r="M79" i="64"/>
  <c r="I15" i="9"/>
  <c r="I22" i="9" s="1"/>
  <c r="I48" i="9" s="1"/>
  <c r="I54" i="9"/>
  <c r="I59" i="9" s="1"/>
  <c r="S12" i="72"/>
  <c r="V68" i="64"/>
  <c r="U103" i="64"/>
  <c r="V70" i="64"/>
  <c r="U105" i="64"/>
  <c r="FB24" i="11"/>
  <c r="FB42" i="11"/>
  <c r="FB48" i="11"/>
  <c r="I18" i="87"/>
  <c r="V118" i="3"/>
  <c r="X118" i="3" s="1"/>
  <c r="AI118" i="3"/>
  <c r="AK118" i="3" s="1"/>
  <c r="AM118" i="3" s="1"/>
  <c r="CV22" i="11"/>
  <c r="CZ56" i="11"/>
  <c r="CZ35" i="11"/>
  <c r="CY19" i="11"/>
  <c r="DA38" i="11"/>
  <c r="CY34" i="11"/>
  <c r="DB16" i="11"/>
  <c r="DB37" i="11"/>
  <c r="DB30" i="11"/>
  <c r="DA16" i="11"/>
  <c r="DA37" i="11"/>
  <c r="CZ30" i="11"/>
  <c r="CZ16" i="11"/>
  <c r="CZ10" i="11"/>
  <c r="CZ12" i="11" s="1"/>
  <c r="Y51" i="58"/>
  <c r="Z51" i="58"/>
  <c r="AN17" i="11"/>
  <c r="AS58" i="11" s="1"/>
  <c r="AN46" i="11"/>
  <c r="FD55" i="11"/>
  <c r="FD15" i="11"/>
  <c r="AB172" i="1"/>
  <c r="AC172" i="1" s="1"/>
  <c r="AC162" i="1"/>
  <c r="S15" i="64"/>
  <c r="S35" i="64"/>
  <c r="T35" i="64" s="1"/>
  <c r="U35" i="64" s="1"/>
  <c r="V35" i="64" s="1"/>
  <c r="W35" i="64" s="1"/>
  <c r="X35" i="64" s="1"/>
  <c r="Y35" i="64" s="1"/>
  <c r="Z35" i="64" s="1"/>
  <c r="AA35" i="64" s="1"/>
  <c r="AB35" i="64" s="1"/>
  <c r="AC35" i="64" s="1"/>
  <c r="T3" i="64"/>
  <c r="S64" i="64"/>
  <c r="S100" i="64"/>
  <c r="T100" i="64" s="1"/>
  <c r="U100" i="64" s="1"/>
  <c r="V100" i="64" s="1"/>
  <c r="W100" i="64" s="1"/>
  <c r="X100" i="64" s="1"/>
  <c r="Y100" i="64" s="1"/>
  <c r="Z100" i="64" s="1"/>
  <c r="AA100" i="64" s="1"/>
  <c r="AB100" i="64" s="1"/>
  <c r="AC100" i="64" s="1"/>
  <c r="S22" i="64"/>
  <c r="S136" i="64"/>
  <c r="T136" i="64" s="1"/>
  <c r="U136" i="64" s="1"/>
  <c r="V136" i="64" s="1"/>
  <c r="W136" i="64" s="1"/>
  <c r="X136" i="64" s="1"/>
  <c r="Y136" i="64" s="1"/>
  <c r="Z136" i="64" s="1"/>
  <c r="AA136" i="64" s="1"/>
  <c r="AB136" i="64" s="1"/>
  <c r="AC136" i="64" s="1"/>
  <c r="O43" i="5"/>
  <c r="O47" i="5"/>
  <c r="O50" i="5"/>
  <c r="FA28" i="11"/>
  <c r="EY47" i="11"/>
  <c r="EY57" i="11"/>
  <c r="H7" i="5"/>
  <c r="H32" i="5"/>
  <c r="ET22" i="11" s="1"/>
  <c r="G5" i="5"/>
  <c r="H25" i="5"/>
  <c r="J26" i="5" s="1"/>
  <c r="H39" i="5"/>
  <c r="H56" i="5"/>
  <c r="ET36" i="11" s="1"/>
  <c r="H14" i="5"/>
  <c r="H18" i="5"/>
  <c r="H9" i="5"/>
  <c r="H34" i="5"/>
  <c r="ET23" i="11" s="1"/>
  <c r="H5" i="4"/>
  <c r="H27" i="4" s="1"/>
  <c r="J19" i="5"/>
  <c r="M20" i="5" s="1"/>
  <c r="EV16" i="11"/>
  <c r="I172" i="1"/>
  <c r="Q81" i="64"/>
  <c r="Q114" i="64"/>
  <c r="R113" i="64"/>
  <c r="F126" i="8"/>
  <c r="O69" i="9"/>
  <c r="O73" i="9" s="1"/>
  <c r="O68" i="9"/>
  <c r="O72" i="9" s="1"/>
  <c r="R154" i="1"/>
  <c r="Q154" i="1"/>
  <c r="AT24" i="11"/>
  <c r="AT48" i="11"/>
  <c r="AY58" i="11"/>
  <c r="H80" i="64"/>
  <c r="AI17" i="9"/>
  <c r="AJ17" i="9" s="1"/>
  <c r="AC163" i="1"/>
  <c r="M12" i="4"/>
  <c r="M17" i="4"/>
  <c r="M18" i="4" s="1"/>
  <c r="M29" i="4"/>
  <c r="J67" i="9"/>
  <c r="J71" i="9" s="1"/>
  <c r="J75" i="9"/>
  <c r="K59" i="10"/>
  <c r="DI133" i="1"/>
  <c r="DJ133" i="1"/>
  <c r="V150" i="1"/>
  <c r="Z34" i="5"/>
  <c r="Z14" i="5"/>
  <c r="Z32" i="5"/>
  <c r="FL22" i="11" s="1"/>
  <c r="J110" i="64"/>
  <c r="I111" i="64"/>
  <c r="R84" i="64"/>
  <c r="V110" i="64"/>
  <c r="W75" i="64"/>
  <c r="AH47" i="11"/>
  <c r="R19" i="8"/>
  <c r="T18" i="8"/>
  <c r="AJ18" i="8"/>
  <c r="AH19" i="8"/>
  <c r="M113" i="64"/>
  <c r="N112" i="64"/>
  <c r="F83" i="64"/>
  <c r="AH15" i="11"/>
  <c r="DE132" i="1"/>
  <c r="DD162" i="1"/>
  <c r="DE162" i="1" s="1"/>
  <c r="DF132" i="1"/>
  <c r="DD152" i="1"/>
  <c r="D19" i="8"/>
  <c r="L19" i="8" s="1"/>
  <c r="T19" i="3"/>
  <c r="BK55" i="11"/>
  <c r="BK15" i="11"/>
  <c r="D21" i="8"/>
  <c r="L21" i="8" s="1"/>
  <c r="T21" i="3"/>
  <c r="BK47" i="11"/>
  <c r="BK57" i="11"/>
  <c r="FD47" i="11"/>
  <c r="FD57" i="11"/>
  <c r="BC42" i="11"/>
  <c r="BC52" i="11" s="1"/>
  <c r="BC24" i="11"/>
  <c r="BC48" i="11"/>
  <c r="BC58" i="11"/>
  <c r="EZ46" i="11"/>
  <c r="EZ17" i="11"/>
  <c r="AH48" i="4"/>
  <c r="AH21" i="4"/>
  <c r="AH45" i="4"/>
  <c r="AH46" i="4" s="1"/>
  <c r="FT64" i="11"/>
  <c r="I158" i="1"/>
  <c r="H168" i="1"/>
  <c r="H163" i="1"/>
  <c r="I163" i="1" s="1"/>
  <c r="M158" i="1"/>
  <c r="M127" i="3"/>
  <c r="V72" i="64"/>
  <c r="U107" i="64"/>
  <c r="U6" i="64"/>
  <c r="U53" i="64"/>
  <c r="V66" i="64"/>
  <c r="U101" i="64"/>
  <c r="BB58" i="11"/>
  <c r="BB24" i="11"/>
  <c r="BB42" i="11"/>
  <c r="BB52" i="11" s="1"/>
  <c r="BB48" i="11"/>
  <c r="I43" i="5"/>
  <c r="I47" i="5"/>
  <c r="I50" i="5"/>
  <c r="EU28" i="11"/>
  <c r="AI53" i="9"/>
  <c r="J83" i="64"/>
  <c r="AM17" i="11"/>
  <c r="AR58" i="11" s="1"/>
  <c r="AM46" i="11"/>
  <c r="AL57" i="11"/>
  <c r="S24" i="4"/>
  <c r="P75" i="9"/>
  <c r="Q59" i="10"/>
  <c r="P67" i="9"/>
  <c r="P71" i="9" s="1"/>
  <c r="Y40" i="64"/>
  <c r="Y41" i="64" s="1"/>
  <c r="FT75" i="11"/>
  <c r="CT22" i="11"/>
  <c r="CU22" i="11"/>
  <c r="DB38" i="11"/>
  <c r="CZ34" i="11"/>
  <c r="CY16" i="11"/>
  <c r="CY37" i="11"/>
  <c r="CZ26" i="11"/>
  <c r="DB13" i="11"/>
  <c r="DB36" i="11"/>
  <c r="CY26" i="11"/>
  <c r="DA13" i="11"/>
  <c r="DA36" i="11"/>
  <c r="DB26" i="11"/>
  <c r="CY13" i="11"/>
  <c r="CZ6" i="11"/>
  <c r="CZ22" i="11"/>
  <c r="DA22" i="11"/>
  <c r="DB22" i="11"/>
  <c r="CY22" i="11"/>
  <c r="CY75" i="11"/>
  <c r="CY76" i="11"/>
  <c r="AK126" i="3"/>
  <c r="AM126" i="3" s="1"/>
  <c r="R12" i="4"/>
  <c r="R31" i="4" s="1"/>
  <c r="R17" i="4"/>
  <c r="R18" i="4" s="1"/>
  <c r="R24" i="4"/>
  <c r="R29" i="4"/>
  <c r="O75" i="9"/>
  <c r="P59" i="10"/>
  <c r="O67" i="9"/>
  <c r="O71" i="9" s="1"/>
  <c r="V15" i="58"/>
  <c r="U15" i="58"/>
  <c r="D196" i="54"/>
  <c r="C197" i="54"/>
  <c r="I132" i="3" s="1"/>
  <c r="I78" i="64"/>
  <c r="EV26" i="11"/>
  <c r="J15" i="5"/>
  <c r="EV13" i="11"/>
  <c r="I152" i="1"/>
  <c r="J152" i="1" s="1"/>
  <c r="H162" i="1"/>
  <c r="I162" i="1" s="1"/>
  <c r="G6" i="10"/>
  <c r="AN57" i="11"/>
  <c r="M153" i="1"/>
  <c r="N153" i="1"/>
  <c r="R153" i="1"/>
  <c r="AL56" i="8"/>
  <c r="AL104" i="8"/>
  <c r="T112" i="64"/>
  <c r="U77" i="64"/>
  <c r="T81" i="64"/>
  <c r="T82" i="64" s="1"/>
  <c r="R92" i="72"/>
  <c r="R133" i="72"/>
  <c r="R51" i="72"/>
  <c r="AB173" i="1"/>
  <c r="D47" i="5"/>
  <c r="D48" i="5" s="1"/>
  <c r="D43" i="5"/>
  <c r="BD24" i="11"/>
  <c r="BD48" i="11"/>
  <c r="BD42" i="11"/>
  <c r="BD52" i="11" s="1"/>
  <c r="BD58" i="11"/>
  <c r="M36" i="5"/>
  <c r="M35" i="4"/>
  <c r="M36" i="4" s="1"/>
  <c r="M23" i="5"/>
  <c r="Z9" i="5"/>
  <c r="Z56" i="5"/>
  <c r="Z7" i="5"/>
  <c r="A126" i="64"/>
  <c r="B126" i="64"/>
  <c r="Q113" i="64"/>
  <c r="H81" i="64"/>
  <c r="BQ55" i="11" l="1"/>
  <c r="G34" i="3"/>
  <c r="O34" i="3" s="1"/>
  <c r="D89" i="8"/>
  <c r="H114" i="64"/>
  <c r="G115" i="64"/>
  <c r="FE12" i="11"/>
  <c r="BR15" i="11"/>
  <c r="AH55" i="11"/>
  <c r="AC12" i="11"/>
  <c r="CA55" i="11"/>
  <c r="BV12" i="11"/>
  <c r="AJ55" i="11"/>
  <c r="AE12" i="11"/>
  <c r="AI55" i="11"/>
  <c r="AD12" i="11"/>
  <c r="AG55" i="11"/>
  <c r="AB12" i="11"/>
  <c r="BS55" i="11"/>
  <c r="BS12" i="11"/>
  <c r="G74" i="3"/>
  <c r="O74" i="3" s="1"/>
  <c r="BZ57" i="11"/>
  <c r="CQ55" i="11"/>
  <c r="P69" i="9"/>
  <c r="P73" i="9" s="1"/>
  <c r="D78" i="8"/>
  <c r="L78" i="8" s="1"/>
  <c r="S42" i="5"/>
  <c r="S43" i="5" s="1"/>
  <c r="F6" i="72"/>
  <c r="F127" i="72" s="1"/>
  <c r="CS169" i="1"/>
  <c r="CC47" i="11"/>
  <c r="G71" i="3"/>
  <c r="AF71" i="3" s="1"/>
  <c r="CJ57" i="11"/>
  <c r="BZ59" i="11"/>
  <c r="BM171" i="1"/>
  <c r="AX150" i="1"/>
  <c r="S17" i="4"/>
  <c r="S18" i="4" s="1"/>
  <c r="U62" i="9"/>
  <c r="V59" i="10" s="1"/>
  <c r="CV59" i="11"/>
  <c r="D75" i="8"/>
  <c r="G85" i="3"/>
  <c r="O85" i="3" s="1"/>
  <c r="BM169" i="1"/>
  <c r="DL52" i="1"/>
  <c r="DL111" i="1" s="1"/>
  <c r="G90" i="3"/>
  <c r="O90" i="3" s="1"/>
  <c r="G27" i="3"/>
  <c r="CO47" i="11"/>
  <c r="BS15" i="11"/>
  <c r="BS46" i="11" s="1"/>
  <c r="S12" i="4"/>
  <c r="S31" i="4" s="1"/>
  <c r="AJ63" i="8"/>
  <c r="T40" i="3"/>
  <c r="AI40" i="3" s="1"/>
  <c r="BD35" i="11"/>
  <c r="AW171" i="1"/>
  <c r="CR59" i="11"/>
  <c r="G67" i="3"/>
  <c r="O67" i="3" s="1"/>
  <c r="CF59" i="11"/>
  <c r="BQ15" i="11"/>
  <c r="BQ17" i="11" s="1"/>
  <c r="G77" i="3"/>
  <c r="O77" i="3" s="1"/>
  <c r="D27" i="8"/>
  <c r="L27" i="8" s="1"/>
  <c r="BV55" i="11"/>
  <c r="BG42" i="11"/>
  <c r="BG52" i="11" s="1"/>
  <c r="DB152" i="1"/>
  <c r="D26" i="8"/>
  <c r="T84" i="3"/>
  <c r="V84" i="3" s="1"/>
  <c r="G70" i="3"/>
  <c r="O70" i="3" s="1"/>
  <c r="BX47" i="11"/>
  <c r="CG55" i="11"/>
  <c r="AX153" i="1"/>
  <c r="BI171" i="1"/>
  <c r="CP57" i="11"/>
  <c r="CC55" i="11"/>
  <c r="CP15" i="11"/>
  <c r="CP17" i="11" s="1"/>
  <c r="CG47" i="11"/>
  <c r="G39" i="3"/>
  <c r="O39" i="3" s="1"/>
  <c r="CM57" i="11"/>
  <c r="S36" i="4"/>
  <c r="BV47" i="11"/>
  <c r="CL15" i="11"/>
  <c r="CL46" i="11" s="1"/>
  <c r="CO57" i="11"/>
  <c r="T35" i="3"/>
  <c r="V35" i="3" s="1"/>
  <c r="E15" i="72"/>
  <c r="E95" i="72" s="1"/>
  <c r="W26" i="5"/>
  <c r="T82" i="3"/>
  <c r="AI82" i="3" s="1"/>
  <c r="AK82" i="3" s="1"/>
  <c r="AH39" i="8"/>
  <c r="O104" i="3"/>
  <c r="DB35" i="11"/>
  <c r="BS47" i="11"/>
  <c r="T64" i="3"/>
  <c r="V64" i="3" s="1"/>
  <c r="BV57" i="11"/>
  <c r="CC170" i="1"/>
  <c r="BZ152" i="1"/>
  <c r="G64" i="3"/>
  <c r="O64" i="3" s="1"/>
  <c r="BY152" i="1"/>
  <c r="CJ47" i="11"/>
  <c r="R39" i="8"/>
  <c r="FJ19" i="11"/>
  <c r="T56" i="3"/>
  <c r="AI56" i="3" s="1"/>
  <c r="AK56" i="3" s="1"/>
  <c r="G63" i="3"/>
  <c r="O63" i="3" s="1"/>
  <c r="CF47" i="11"/>
  <c r="G50" i="3"/>
  <c r="O50" i="3" s="1"/>
  <c r="CL47" i="11"/>
  <c r="BW59" i="11"/>
  <c r="BV59" i="11"/>
  <c r="G43" i="3"/>
  <c r="O43" i="3" s="1"/>
  <c r="G76" i="3"/>
  <c r="AF76" i="3" s="1"/>
  <c r="G49" i="3"/>
  <c r="O49" i="3" s="1"/>
  <c r="T62" i="3"/>
  <c r="V62" i="3" s="1"/>
  <c r="T82" i="8"/>
  <c r="T35" i="8"/>
  <c r="O102" i="3"/>
  <c r="CA15" i="11"/>
  <c r="CA17" i="11" s="1"/>
  <c r="X26" i="5"/>
  <c r="G78" i="3"/>
  <c r="O78" i="3" s="1"/>
  <c r="T68" i="3"/>
  <c r="AI68" i="3" s="1"/>
  <c r="AK68" i="3" s="1"/>
  <c r="AX154" i="1"/>
  <c r="BU57" i="11"/>
  <c r="CD152" i="1"/>
  <c r="BV15" i="11"/>
  <c r="BV17" i="11" s="1"/>
  <c r="S36" i="5"/>
  <c r="S37" i="5" s="1"/>
  <c r="CO15" i="11"/>
  <c r="CO46" i="11" s="1"/>
  <c r="F8" i="72"/>
  <c r="G42" i="3"/>
  <c r="CB59" i="11"/>
  <c r="CK171" i="1"/>
  <c r="BU59" i="11"/>
  <c r="CP59" i="11"/>
  <c r="CG15" i="11"/>
  <c r="CG17" i="11" s="1"/>
  <c r="BX55" i="11"/>
  <c r="DB154" i="1"/>
  <c r="E11" i="72"/>
  <c r="E91" i="72" s="1"/>
  <c r="BG24" i="11"/>
  <c r="BG50" i="11" s="1"/>
  <c r="G61" i="3"/>
  <c r="AF61" i="3" s="1"/>
  <c r="G33" i="3"/>
  <c r="O33" i="3" s="1"/>
  <c r="G36" i="3"/>
  <c r="O36" i="3" s="1"/>
  <c r="T83" i="3"/>
  <c r="V83" i="3" s="1"/>
  <c r="FI16" i="11"/>
  <c r="T43" i="3"/>
  <c r="V43" i="3" s="1"/>
  <c r="T50" i="3"/>
  <c r="V50" i="3" s="1"/>
  <c r="BG58" i="11"/>
  <c r="S23" i="5"/>
  <c r="T54" i="8"/>
  <c r="AT154" i="1"/>
  <c r="G83" i="3"/>
  <c r="O83" i="3" s="1"/>
  <c r="CC59" i="11"/>
  <c r="CL55" i="11"/>
  <c r="T92" i="3"/>
  <c r="V92" i="3" s="1"/>
  <c r="X92" i="3" s="1"/>
  <c r="CW59" i="11"/>
  <c r="D91" i="8"/>
  <c r="L98" i="8" s="1"/>
  <c r="D42" i="8"/>
  <c r="L49" i="8" s="1"/>
  <c r="BU47" i="11"/>
  <c r="CQ15" i="11"/>
  <c r="CQ17" i="11" s="1"/>
  <c r="BZ47" i="11"/>
  <c r="CB57" i="11"/>
  <c r="G32" i="3"/>
  <c r="O32" i="3" s="1"/>
  <c r="G25" i="3"/>
  <c r="O25" i="3" s="1"/>
  <c r="G91" i="3"/>
  <c r="AF91" i="3" s="1"/>
  <c r="G28" i="3"/>
  <c r="O28" i="3" s="1"/>
  <c r="CG57" i="11"/>
  <c r="CE57" i="11"/>
  <c r="CK59" i="11"/>
  <c r="CQ59" i="11"/>
  <c r="CP47" i="11"/>
  <c r="G84" i="3"/>
  <c r="O84" i="3" s="1"/>
  <c r="CA59" i="11"/>
  <c r="BP47" i="11"/>
  <c r="BX59" i="11"/>
  <c r="G75" i="3"/>
  <c r="O75" i="3" s="1"/>
  <c r="BX15" i="11"/>
  <c r="BX17" i="11" s="1"/>
  <c r="CO59" i="11"/>
  <c r="G55" i="3"/>
  <c r="O55" i="3" s="1"/>
  <c r="D33" i="8"/>
  <c r="C92" i="3"/>
  <c r="G92" i="3" s="1"/>
  <c r="AF92" i="3" s="1"/>
  <c r="FE55" i="11"/>
  <c r="CK57" i="11"/>
  <c r="BP55" i="11"/>
  <c r="FJ13" i="11"/>
  <c r="AH55" i="8"/>
  <c r="G53" i="3"/>
  <c r="O53" i="3" s="1"/>
  <c r="BP15" i="11"/>
  <c r="BP17" i="11" s="1"/>
  <c r="CC15" i="11"/>
  <c r="CC46" i="11" s="1"/>
  <c r="CM59" i="11"/>
  <c r="G56" i="3"/>
  <c r="O56" i="3" s="1"/>
  <c r="CM47" i="11"/>
  <c r="G48" i="3"/>
  <c r="O48" i="3" s="1"/>
  <c r="G81" i="3"/>
  <c r="G62" i="3"/>
  <c r="O62" i="3" s="1"/>
  <c r="CH57" i="11"/>
  <c r="FE47" i="11"/>
  <c r="T25" i="3"/>
  <c r="AI25" i="3" s="1"/>
  <c r="C99" i="3"/>
  <c r="G99" i="3" s="1"/>
  <c r="O99" i="3" s="1"/>
  <c r="T63" i="3"/>
  <c r="V63" i="3" s="1"/>
  <c r="T71" i="3"/>
  <c r="V71" i="3" s="1"/>
  <c r="FE15" i="11"/>
  <c r="FE46" i="11" s="1"/>
  <c r="CE47" i="11"/>
  <c r="CR57" i="11"/>
  <c r="T28" i="3"/>
  <c r="V28" i="3" s="1"/>
  <c r="AJ54" i="8"/>
  <c r="G54" i="3"/>
  <c r="CQ47" i="11"/>
  <c r="CK47" i="11"/>
  <c r="O103" i="3"/>
  <c r="G46" i="3"/>
  <c r="O46" i="3" s="1"/>
  <c r="DP192" i="1"/>
  <c r="G41" i="3"/>
  <c r="O41" i="3" s="1"/>
  <c r="CR47" i="11"/>
  <c r="FJ10" i="11"/>
  <c r="FJ12" i="11" s="1"/>
  <c r="R67" i="8"/>
  <c r="F24" i="72"/>
  <c r="F63" i="72" s="1"/>
  <c r="F104" i="72" s="1"/>
  <c r="R83" i="8"/>
  <c r="CM15" i="11"/>
  <c r="CM46" i="11" s="1"/>
  <c r="AF96" i="3"/>
  <c r="CL59" i="11"/>
  <c r="G89" i="3"/>
  <c r="O89" i="3" s="1"/>
  <c r="BH173" i="1"/>
  <c r="T53" i="3"/>
  <c r="AI53" i="3" s="1"/>
  <c r="T55" i="3"/>
  <c r="V55" i="3" s="1"/>
  <c r="X11" i="4"/>
  <c r="X17" i="4" s="1"/>
  <c r="T63" i="8"/>
  <c r="CU59" i="11"/>
  <c r="CM55" i="11"/>
  <c r="FJ36" i="11"/>
  <c r="AH83" i="8"/>
  <c r="T36" i="3"/>
  <c r="V36" i="3" s="1"/>
  <c r="O95" i="3"/>
  <c r="BP59" i="11"/>
  <c r="X15" i="5"/>
  <c r="G35" i="3"/>
  <c r="O35" i="3" s="1"/>
  <c r="G29" i="3"/>
  <c r="O29" i="3" s="1"/>
  <c r="X8" i="5"/>
  <c r="X22" i="5"/>
  <c r="X23" i="5" s="1"/>
  <c r="G57" i="3"/>
  <c r="O57" i="3" s="1"/>
  <c r="BE171" i="1"/>
  <c r="BN35" i="11"/>
  <c r="DN42" i="1"/>
  <c r="DM42" i="1"/>
  <c r="DL45" i="1"/>
  <c r="CG171" i="1"/>
  <c r="DR42" i="1"/>
  <c r="DP52" i="1"/>
  <c r="DP111" i="1" s="1"/>
  <c r="DI152" i="1"/>
  <c r="FA42" i="11"/>
  <c r="FA52" i="11" s="1"/>
  <c r="FA48" i="11"/>
  <c r="FA24" i="11"/>
  <c r="FA49" i="11" s="1"/>
  <c r="FA58" i="11"/>
  <c r="V123" i="3"/>
  <c r="DJ152" i="1"/>
  <c r="X56" i="58"/>
  <c r="Z56" i="58" s="1"/>
  <c r="BC59" i="11"/>
  <c r="BB35" i="11"/>
  <c r="AV173" i="1"/>
  <c r="T67" i="3"/>
  <c r="AI67" i="3" s="1"/>
  <c r="AV174" i="1"/>
  <c r="G82" i="3"/>
  <c r="O82" i="3" s="1"/>
  <c r="AW170" i="1"/>
  <c r="CW35" i="11"/>
  <c r="AF68" i="3"/>
  <c r="BQ35" i="11"/>
  <c r="CB174" i="1"/>
  <c r="BH174" i="1"/>
  <c r="AN35" i="11"/>
  <c r="AO170" i="1"/>
  <c r="AK170" i="1"/>
  <c r="D32" i="8"/>
  <c r="L39" i="8" s="1"/>
  <c r="D54" i="8"/>
  <c r="L54" i="8" s="1"/>
  <c r="BI169" i="1"/>
  <c r="DD173" i="1"/>
  <c r="DD174" i="1"/>
  <c r="T34" i="3"/>
  <c r="AI34" i="3" s="1"/>
  <c r="BB152" i="1"/>
  <c r="AV172" i="1"/>
  <c r="AW152" i="1"/>
  <c r="AX152" i="1" s="1"/>
  <c r="O105" i="3"/>
  <c r="BT172" i="1"/>
  <c r="BY172" i="1" s="1"/>
  <c r="BU152" i="1"/>
  <c r="T81" i="3"/>
  <c r="V81" i="3" s="1"/>
  <c r="AI15" i="3"/>
  <c r="AK15" i="3" s="1"/>
  <c r="T39" i="3"/>
  <c r="AI39" i="3" s="1"/>
  <c r="T88" i="3"/>
  <c r="AI88" i="3" s="1"/>
  <c r="CF55" i="11"/>
  <c r="CR15" i="11"/>
  <c r="CR46" i="11" s="1"/>
  <c r="CF15" i="11"/>
  <c r="CF46" i="11" s="1"/>
  <c r="T57" i="3"/>
  <c r="V57" i="3" s="1"/>
  <c r="AS163" i="1"/>
  <c r="BT173" i="1"/>
  <c r="BU168" i="1"/>
  <c r="BY168" i="1"/>
  <c r="CE35" i="11"/>
  <c r="BT174" i="1"/>
  <c r="DA168" i="1"/>
  <c r="DE168" i="1"/>
  <c r="T90" i="3"/>
  <c r="V90" i="3" s="1"/>
  <c r="BH48" i="11"/>
  <c r="CR55" i="11"/>
  <c r="BH24" i="11"/>
  <c r="BH50" i="11" s="1"/>
  <c r="CB47" i="11"/>
  <c r="BH42" i="11"/>
  <c r="BH52" i="11" s="1"/>
  <c r="CB15" i="11"/>
  <c r="CB17" i="11" s="1"/>
  <c r="T69" i="3"/>
  <c r="AI69" i="3" s="1"/>
  <c r="AK69" i="3" s="1"/>
  <c r="G88" i="3"/>
  <c r="O88" i="3" s="1"/>
  <c r="G60" i="3"/>
  <c r="O60" i="3" s="1"/>
  <c r="T29" i="3"/>
  <c r="V29" i="3" s="1"/>
  <c r="BZ15" i="11"/>
  <c r="BZ17" i="11" s="1"/>
  <c r="U171" i="1"/>
  <c r="AJ34" i="8"/>
  <c r="T49" i="3"/>
  <c r="AI49" i="3" s="1"/>
  <c r="CO163" i="1"/>
  <c r="CO160" i="1"/>
  <c r="Q164" i="1"/>
  <c r="BW57" i="11"/>
  <c r="BQ47" i="11"/>
  <c r="CQ57" i="11"/>
  <c r="T34" i="8"/>
  <c r="AH35" i="8"/>
  <c r="CC57" i="11"/>
  <c r="BR57" i="11"/>
  <c r="CL57" i="11"/>
  <c r="BR47" i="11"/>
  <c r="CU35" i="11"/>
  <c r="BX35" i="11"/>
  <c r="AB174" i="1"/>
  <c r="DI171" i="1"/>
  <c r="CH59" i="11"/>
  <c r="R152" i="1"/>
  <c r="BW15" i="11"/>
  <c r="BW17" i="11" s="1"/>
  <c r="AF77" i="3"/>
  <c r="BX57" i="11"/>
  <c r="D41" i="8"/>
  <c r="L41" i="8" s="1"/>
  <c r="T77" i="3"/>
  <c r="V77" i="3" s="1"/>
  <c r="G26" i="3"/>
  <c r="O26" i="3" s="1"/>
  <c r="CB55" i="11"/>
  <c r="BW55" i="11"/>
  <c r="BW47" i="11"/>
  <c r="BQ57" i="11"/>
  <c r="T47" i="3"/>
  <c r="AI47" i="3" s="1"/>
  <c r="BM152" i="1"/>
  <c r="BL172" i="1"/>
  <c r="BN152" i="1"/>
  <c r="AV59" i="11"/>
  <c r="BA59" i="11"/>
  <c r="BA153" i="1"/>
  <c r="BB153" i="1"/>
  <c r="CG59" i="11"/>
  <c r="AS169" i="1"/>
  <c r="AW35" i="11"/>
  <c r="AW169" i="1"/>
  <c r="AL148" i="1"/>
  <c r="AP148" i="1"/>
  <c r="BN153" i="1"/>
  <c r="BM153" i="1"/>
  <c r="BM170" i="1"/>
  <c r="BQ170" i="1"/>
  <c r="AX151" i="1"/>
  <c r="P114" i="64"/>
  <c r="AG152" i="1"/>
  <c r="AF162" i="1"/>
  <c r="AW59" i="11"/>
  <c r="BB59" i="11"/>
  <c r="BQ171" i="1"/>
  <c r="BU171" i="1"/>
  <c r="CC35" i="11"/>
  <c r="M170" i="1"/>
  <c r="L174" i="1"/>
  <c r="S114" i="64"/>
  <c r="S80" i="64"/>
  <c r="S81" i="64" s="1"/>
  <c r="S116" i="64" s="1"/>
  <c r="BQ152" i="1"/>
  <c r="BP172" i="1"/>
  <c r="BR152" i="1"/>
  <c r="BV152" i="1"/>
  <c r="AL154" i="1"/>
  <c r="AH154" i="1"/>
  <c r="AG154" i="1"/>
  <c r="AO162" i="1"/>
  <c r="AS162" i="1"/>
  <c r="K114" i="64"/>
  <c r="AL149" i="1"/>
  <c r="AH149" i="1"/>
  <c r="AB25" i="8"/>
  <c r="AD25" i="8" s="1"/>
  <c r="AF25" i="8" s="1"/>
  <c r="AB25" i="3"/>
  <c r="BP76" i="11"/>
  <c r="CR173" i="1"/>
  <c r="CW168" i="1"/>
  <c r="CR174" i="1"/>
  <c r="CS168" i="1"/>
  <c r="AR174" i="1"/>
  <c r="AS168" i="1"/>
  <c r="AV35" i="11"/>
  <c r="AR173" i="1"/>
  <c r="AW168" i="1"/>
  <c r="DI164" i="1"/>
  <c r="AO169" i="1"/>
  <c r="AR35" i="11"/>
  <c r="AN173" i="1"/>
  <c r="AO173" i="1" s="1"/>
  <c r="AN174" i="1"/>
  <c r="AO174" i="1" s="1"/>
  <c r="CK160" i="1"/>
  <c r="CJ164" i="1"/>
  <c r="CK164" i="1" s="1"/>
  <c r="BJ154" i="1"/>
  <c r="BE154" i="1"/>
  <c r="BF154" i="1"/>
  <c r="K80" i="64"/>
  <c r="C113" i="64"/>
  <c r="C79" i="64"/>
  <c r="CH154" i="1"/>
  <c r="CG154" i="1"/>
  <c r="BY154" i="1"/>
  <c r="BZ154" i="1"/>
  <c r="BF153" i="1"/>
  <c r="BE153" i="1"/>
  <c r="AY35" i="11"/>
  <c r="AS171" i="1"/>
  <c r="AX149" i="1"/>
  <c r="AT149" i="1"/>
  <c r="G114" i="64"/>
  <c r="T132" i="8"/>
  <c r="AJ132" i="8"/>
  <c r="AY59" i="11"/>
  <c r="BD59" i="11"/>
  <c r="AW163" i="1"/>
  <c r="CS154" i="1"/>
  <c r="CX154" i="1"/>
  <c r="CT154" i="1"/>
  <c r="BZ153" i="1"/>
  <c r="BY153" i="1"/>
  <c r="CD153" i="1"/>
  <c r="AH150" i="1"/>
  <c r="AL150" i="1"/>
  <c r="K81" i="64"/>
  <c r="C227" i="54"/>
  <c r="C228" i="54" s="1"/>
  <c r="C229" i="54" s="1"/>
  <c r="Z26" i="3"/>
  <c r="AF163" i="1"/>
  <c r="AG163" i="1" s="1"/>
  <c r="AF168" i="1"/>
  <c r="AK168" i="1" s="1"/>
  <c r="AG158" i="1"/>
  <c r="AG34" i="11"/>
  <c r="AL59" i="11" s="1"/>
  <c r="CD154" i="1"/>
  <c r="CS171" i="1"/>
  <c r="CW171" i="1"/>
  <c r="CO153" i="1"/>
  <c r="CP153" i="1"/>
  <c r="BI170" i="1"/>
  <c r="BM35" i="11"/>
  <c r="BE170" i="1"/>
  <c r="H113" i="64"/>
  <c r="AH132" i="8"/>
  <c r="R132" i="8"/>
  <c r="T131" i="8"/>
  <c r="AJ131" i="8"/>
  <c r="AW164" i="1"/>
  <c r="AS164" i="1"/>
  <c r="CG170" i="1"/>
  <c r="CK170" i="1"/>
  <c r="DA169" i="1"/>
  <c r="CZ173" i="1"/>
  <c r="CZ174" i="1"/>
  <c r="DE169" i="1"/>
  <c r="AZ173" i="1"/>
  <c r="BA168" i="1"/>
  <c r="BF35" i="11"/>
  <c r="AZ174" i="1"/>
  <c r="AC170" i="1"/>
  <c r="AG170" i="1"/>
  <c r="CF173" i="1"/>
  <c r="CG173" i="1" s="1"/>
  <c r="CG168" i="1"/>
  <c r="CK168" i="1"/>
  <c r="CF174" i="1"/>
  <c r="CF172" i="1"/>
  <c r="CL152" i="1"/>
  <c r="CG152" i="1"/>
  <c r="CH152" i="1"/>
  <c r="AL153" i="1"/>
  <c r="AK153" i="1"/>
  <c r="DJ154" i="1"/>
  <c r="DI154" i="1"/>
  <c r="AO163" i="1"/>
  <c r="CS163" i="1"/>
  <c r="T173" i="1"/>
  <c r="U173" i="1" s="1"/>
  <c r="U169" i="1"/>
  <c r="BY169" i="1"/>
  <c r="BX174" i="1"/>
  <c r="BX173" i="1"/>
  <c r="CK35" i="11"/>
  <c r="BB154" i="1"/>
  <c r="BA154" i="1"/>
  <c r="AI34" i="11"/>
  <c r="AN59" i="11" s="1"/>
  <c r="AK160" i="1"/>
  <c r="AF164" i="1"/>
  <c r="AG160" i="1"/>
  <c r="AH151" i="1"/>
  <c r="AL151" i="1"/>
  <c r="DA163" i="1"/>
  <c r="DE163" i="1"/>
  <c r="DQ42" i="1"/>
  <c r="AI130" i="3"/>
  <c r="AK130" i="3" s="1"/>
  <c r="AM130" i="3" s="1"/>
  <c r="V130" i="3"/>
  <c r="X130" i="3" s="1"/>
  <c r="AG153" i="1"/>
  <c r="AH153" i="1"/>
  <c r="AT148" i="1"/>
  <c r="AX148" i="1"/>
  <c r="CS164" i="1"/>
  <c r="CW164" i="1"/>
  <c r="CO154" i="1"/>
  <c r="CP154" i="1"/>
  <c r="AN172" i="1"/>
  <c r="AO152" i="1"/>
  <c r="CN173" i="1"/>
  <c r="CO173" i="1" s="1"/>
  <c r="CN174" i="1"/>
  <c r="CO174" i="1" s="1"/>
  <c r="CO168" i="1"/>
  <c r="CL154" i="1"/>
  <c r="CK154" i="1"/>
  <c r="DE154" i="1"/>
  <c r="DF154" i="1"/>
  <c r="T130" i="8"/>
  <c r="R131" i="8"/>
  <c r="AJ130" i="8"/>
  <c r="AH131" i="8"/>
  <c r="DF153" i="1"/>
  <c r="DB153" i="1"/>
  <c r="DA153" i="1"/>
  <c r="BD174" i="1"/>
  <c r="BE168" i="1"/>
  <c r="BD173" i="1"/>
  <c r="BK35" i="11"/>
  <c r="CG153" i="1"/>
  <c r="CH153" i="1"/>
  <c r="G69" i="3"/>
  <c r="AL35" i="11"/>
  <c r="AO168" i="1"/>
  <c r="BL173" i="1"/>
  <c r="BM168" i="1"/>
  <c r="BL174" i="1"/>
  <c r="BQ168" i="1"/>
  <c r="BU35" i="11"/>
  <c r="O81" i="64"/>
  <c r="BM154" i="1"/>
  <c r="BN154" i="1"/>
  <c r="G81" i="64"/>
  <c r="H115" i="64" s="1"/>
  <c r="BQ154" i="1"/>
  <c r="BV154" i="1"/>
  <c r="BR154" i="1"/>
  <c r="CS170" i="1"/>
  <c r="CW170" i="1"/>
  <c r="CK169" i="1"/>
  <c r="BH35" i="11"/>
  <c r="BA170" i="1"/>
  <c r="AG161" i="1"/>
  <c r="AJ34" i="11"/>
  <c r="AO59" i="11" s="1"/>
  <c r="AK161" i="1"/>
  <c r="AF169" i="1"/>
  <c r="AG159" i="1"/>
  <c r="AH34" i="11"/>
  <c r="AM59" i="11" s="1"/>
  <c r="AK159" i="1"/>
  <c r="BQ153" i="1"/>
  <c r="BR153" i="1"/>
  <c r="BV153" i="1"/>
  <c r="BQ169" i="1"/>
  <c r="BU169" i="1"/>
  <c r="BP173" i="1"/>
  <c r="BP174" i="1"/>
  <c r="CA35" i="11"/>
  <c r="CS153" i="1"/>
  <c r="CT153" i="1"/>
  <c r="AS153" i="1"/>
  <c r="AT153" i="1"/>
  <c r="AP153" i="1"/>
  <c r="AO153" i="1"/>
  <c r="BJ153" i="1"/>
  <c r="FF7" i="11"/>
  <c r="FE62" i="11"/>
  <c r="FE38" i="11"/>
  <c r="FE37" i="11"/>
  <c r="FE56" i="11"/>
  <c r="BN75" i="11"/>
  <c r="BN76" i="11"/>
  <c r="CY59" i="11"/>
  <c r="L25" i="8"/>
  <c r="BZ55" i="11"/>
  <c r="CP55" i="11"/>
  <c r="L82" i="8"/>
  <c r="W19" i="5"/>
  <c r="L63" i="8"/>
  <c r="AF52" i="58"/>
  <c r="AJ52" i="58" s="1"/>
  <c r="AL125" i="8"/>
  <c r="AX24" i="58"/>
  <c r="AZ24" i="58"/>
  <c r="BB24" i="58" s="1"/>
  <c r="V132" i="8"/>
  <c r="X132" i="8" s="1"/>
  <c r="Z132" i="8" s="1"/>
  <c r="J132" i="3"/>
  <c r="K131" i="3"/>
  <c r="V131" i="8"/>
  <c r="X131" i="8" s="1"/>
  <c r="Z131" i="8" s="1"/>
  <c r="K132" i="3"/>
  <c r="J131" i="3"/>
  <c r="Z131" i="3"/>
  <c r="D394" i="54"/>
  <c r="C395" i="54"/>
  <c r="L75" i="8"/>
  <c r="O27" i="3"/>
  <c r="L71" i="8"/>
  <c r="L43" i="8"/>
  <c r="FC50" i="11"/>
  <c r="L35" i="8"/>
  <c r="CH47" i="11"/>
  <c r="EV47" i="11"/>
  <c r="CZ59" i="11"/>
  <c r="U82" i="64"/>
  <c r="F116" i="64"/>
  <c r="E83" i="64"/>
  <c r="E84" i="64" s="1"/>
  <c r="W62" i="9"/>
  <c r="X62" i="10"/>
  <c r="Z8" i="5"/>
  <c r="Z22" i="5"/>
  <c r="Z11" i="4"/>
  <c r="FL10" i="11"/>
  <c r="FL12" i="11" s="1"/>
  <c r="H6" i="72"/>
  <c r="C198" i="54"/>
  <c r="AI41" i="4" s="1"/>
  <c r="D197" i="54"/>
  <c r="B127" i="64"/>
  <c r="A127" i="64"/>
  <c r="X56" i="10"/>
  <c r="FL36" i="11"/>
  <c r="H24" i="72"/>
  <c r="M42" i="5"/>
  <c r="M37" i="5"/>
  <c r="M40" i="5"/>
  <c r="BD28" i="11"/>
  <c r="BD32" i="11" s="1"/>
  <c r="BD51" i="11" s="1"/>
  <c r="BD49" i="11"/>
  <c r="BD50" i="11"/>
  <c r="T83" i="64"/>
  <c r="T84" i="64" s="1"/>
  <c r="F6" i="10"/>
  <c r="I48" i="5"/>
  <c r="I53" i="5"/>
  <c r="EU32" i="11"/>
  <c r="EU51" i="11" s="1"/>
  <c r="BB28" i="11"/>
  <c r="BB32" i="11" s="1"/>
  <c r="BB51" i="11" s="1"/>
  <c r="BB49" i="11"/>
  <c r="BB50" i="11"/>
  <c r="CC172" i="1"/>
  <c r="EZ24" i="11"/>
  <c r="EZ48" i="11"/>
  <c r="EZ42" i="11"/>
  <c r="BC28" i="11"/>
  <c r="BC32" i="11" s="1"/>
  <c r="BC51" i="11" s="1"/>
  <c r="BC49" i="11"/>
  <c r="BC50" i="11"/>
  <c r="L92" i="8"/>
  <c r="L99" i="8"/>
  <c r="V19" i="3"/>
  <c r="X19" i="3" s="1"/>
  <c r="AI19" i="3"/>
  <c r="AK19" i="3" s="1"/>
  <c r="F84" i="64"/>
  <c r="H15" i="5"/>
  <c r="J16" i="5" s="1"/>
  <c r="ET13" i="11"/>
  <c r="F5" i="5"/>
  <c r="G25" i="5"/>
  <c r="H26" i="5" s="1"/>
  <c r="G39" i="5"/>
  <c r="ES26" i="11" s="1"/>
  <c r="G45" i="5"/>
  <c r="ES30" i="11" s="1"/>
  <c r="G56" i="5"/>
  <c r="ES36" i="11" s="1"/>
  <c r="G14" i="5"/>
  <c r="G18" i="5"/>
  <c r="G9" i="5"/>
  <c r="G34" i="5"/>
  <c r="ES23" i="11" s="1"/>
  <c r="G5" i="4"/>
  <c r="G27" i="4" s="1"/>
  <c r="G7" i="5"/>
  <c r="H8" i="5" s="1"/>
  <c r="G32" i="5"/>
  <c r="ES22" i="11" s="1"/>
  <c r="FA34" i="11"/>
  <c r="U3" i="64"/>
  <c r="V3" i="64" s="1"/>
  <c r="W3" i="64" s="1"/>
  <c r="X3" i="64" s="1"/>
  <c r="Y3" i="64" s="1"/>
  <c r="Z3" i="64" s="1"/>
  <c r="AA3" i="64" s="1"/>
  <c r="AB3" i="64" s="1"/>
  <c r="AC3" i="64" s="1"/>
  <c r="T15" i="64"/>
  <c r="U15" i="64" s="1"/>
  <c r="V15" i="64" s="1"/>
  <c r="W15" i="64" s="1"/>
  <c r="X15" i="64" s="1"/>
  <c r="Y15" i="64" s="1"/>
  <c r="Z15" i="64" s="1"/>
  <c r="AA15" i="64" s="1"/>
  <c r="AB15" i="64" s="1"/>
  <c r="AC15" i="64" s="1"/>
  <c r="T22" i="64"/>
  <c r="U22" i="64" s="1"/>
  <c r="V22" i="64" s="1"/>
  <c r="W22" i="64" s="1"/>
  <c r="X22" i="64" s="1"/>
  <c r="Y22" i="64" s="1"/>
  <c r="Z22" i="64" s="1"/>
  <c r="AA22" i="64" s="1"/>
  <c r="AB22" i="64" s="1"/>
  <c r="AC22" i="64" s="1"/>
  <c r="T64" i="64"/>
  <c r="U64" i="64" s="1"/>
  <c r="V64" i="64" s="1"/>
  <c r="W64" i="64" s="1"/>
  <c r="X64" i="64" s="1"/>
  <c r="Y64" i="64" s="1"/>
  <c r="Z64" i="64" s="1"/>
  <c r="AA64" i="64" s="1"/>
  <c r="AB64" i="64" s="1"/>
  <c r="AC64" i="64" s="1"/>
  <c r="CZ15" i="11"/>
  <c r="CZ55" i="11"/>
  <c r="DA47" i="11"/>
  <c r="DA57" i="11"/>
  <c r="FB52" i="11"/>
  <c r="V62" i="9"/>
  <c r="W62" i="10"/>
  <c r="Y8" i="5"/>
  <c r="Y22" i="5"/>
  <c r="Y11" i="4"/>
  <c r="FK10" i="11"/>
  <c r="FK12" i="11" s="1"/>
  <c r="G6" i="72"/>
  <c r="CV47" i="11"/>
  <c r="CV57" i="11"/>
  <c r="T39" i="8"/>
  <c r="R40" i="8"/>
  <c r="AJ39" i="8"/>
  <c r="AH40" i="8"/>
  <c r="T49" i="8"/>
  <c r="R53" i="8"/>
  <c r="AJ49" i="8"/>
  <c r="AH53" i="8"/>
  <c r="T69" i="8"/>
  <c r="R70" i="8"/>
  <c r="AJ69" i="8"/>
  <c r="AH70" i="8"/>
  <c r="T33" i="8"/>
  <c r="R34" i="8"/>
  <c r="AJ33" i="8"/>
  <c r="AH34" i="8"/>
  <c r="CU47" i="11"/>
  <c r="CU57" i="11"/>
  <c r="CH15" i="11"/>
  <c r="CH55" i="11"/>
  <c r="Q63" i="9"/>
  <c r="T15" i="5"/>
  <c r="T16" i="5" s="1"/>
  <c r="FF13" i="11"/>
  <c r="T68" i="8"/>
  <c r="R69" i="8"/>
  <c r="AJ68" i="8"/>
  <c r="AH69" i="8"/>
  <c r="S64" i="9"/>
  <c r="V19" i="5"/>
  <c r="FH16" i="11"/>
  <c r="D11" i="72"/>
  <c r="R25" i="8"/>
  <c r="T21" i="8"/>
  <c r="AJ21" i="8"/>
  <c r="AH25" i="8"/>
  <c r="Q64" i="9"/>
  <c r="T19" i="5"/>
  <c r="T20" i="5" s="1"/>
  <c r="FF16" i="11"/>
  <c r="CW15" i="11"/>
  <c r="CW55" i="11"/>
  <c r="R96" i="8"/>
  <c r="T95" i="8"/>
  <c r="AJ95" i="8"/>
  <c r="AH96" i="8"/>
  <c r="T56" i="8"/>
  <c r="R60" i="8"/>
  <c r="AJ56" i="8"/>
  <c r="AH60" i="8"/>
  <c r="T76" i="8"/>
  <c r="R77" i="8"/>
  <c r="AJ76" i="8"/>
  <c r="AH77" i="8"/>
  <c r="T40" i="8"/>
  <c r="R41" i="8"/>
  <c r="AJ40" i="8"/>
  <c r="AH41" i="8"/>
  <c r="T81" i="8"/>
  <c r="R82" i="8"/>
  <c r="AJ81" i="8"/>
  <c r="AH82" i="8"/>
  <c r="T42" i="8"/>
  <c r="R46" i="8"/>
  <c r="AJ42" i="8"/>
  <c r="AH46" i="8"/>
  <c r="R56" i="10"/>
  <c r="FF36" i="11"/>
  <c r="R63" i="9"/>
  <c r="U15" i="5"/>
  <c r="U16" i="5" s="1"/>
  <c r="FG13" i="11"/>
  <c r="C8" i="72"/>
  <c r="R76" i="8"/>
  <c r="T75" i="8"/>
  <c r="AJ75" i="8"/>
  <c r="AH76" i="8"/>
  <c r="T48" i="8"/>
  <c r="R49" i="8"/>
  <c r="AJ48" i="8"/>
  <c r="AH49" i="8"/>
  <c r="T104" i="8"/>
  <c r="R105" i="8"/>
  <c r="AJ104" i="8"/>
  <c r="AH105" i="8"/>
  <c r="T111" i="8"/>
  <c r="R112" i="8"/>
  <c r="AJ111" i="8"/>
  <c r="AH112" i="8"/>
  <c r="AI60" i="3"/>
  <c r="V60" i="3"/>
  <c r="L62" i="8"/>
  <c r="L50" i="8"/>
  <c r="BN46" i="11"/>
  <c r="BN17" i="11"/>
  <c r="X85" i="3"/>
  <c r="L82" i="64"/>
  <c r="J23" i="5"/>
  <c r="J36" i="5"/>
  <c r="J35" i="4"/>
  <c r="J36" i="4" s="1"/>
  <c r="DD47" i="11"/>
  <c r="DD57" i="11"/>
  <c r="U114" i="64"/>
  <c r="V79" i="64"/>
  <c r="AA26" i="5"/>
  <c r="FM19" i="11"/>
  <c r="I15" i="72"/>
  <c r="AB14" i="5"/>
  <c r="AB18" i="5"/>
  <c r="AB25" i="5"/>
  <c r="AB45" i="5"/>
  <c r="FN30" i="11" s="1"/>
  <c r="AB9" i="5"/>
  <c r="AB34" i="5"/>
  <c r="FN23" i="11" s="1"/>
  <c r="AB7" i="5"/>
  <c r="AB32" i="5"/>
  <c r="FN22" i="11" s="1"/>
  <c r="AB5" i="4"/>
  <c r="AC5" i="5"/>
  <c r="AB56" i="5"/>
  <c r="AR28" i="11"/>
  <c r="AR32" i="11" s="1"/>
  <c r="AR51" i="11" s="1"/>
  <c r="AR49" i="11"/>
  <c r="AR50" i="11"/>
  <c r="M163" i="1"/>
  <c r="Q163" i="1"/>
  <c r="BA28" i="11"/>
  <c r="BA32" i="11" s="1"/>
  <c r="BA51" i="11" s="1"/>
  <c r="BA49" i="11"/>
  <c r="BA50" i="11"/>
  <c r="N43" i="5"/>
  <c r="N47" i="5"/>
  <c r="N50" i="5"/>
  <c r="O51" i="5" s="1"/>
  <c r="EZ28" i="11"/>
  <c r="Z15" i="58"/>
  <c r="Y15" i="58"/>
  <c r="DA15" i="11"/>
  <c r="DA55" i="11"/>
  <c r="W69" i="64"/>
  <c r="V104" i="64"/>
  <c r="D80" i="64"/>
  <c r="E114" i="64" s="1"/>
  <c r="D61" i="8"/>
  <c r="T61" i="3"/>
  <c r="D76" i="8"/>
  <c r="L76" i="8" s="1"/>
  <c r="T76" i="3"/>
  <c r="U64" i="9"/>
  <c r="X19" i="5"/>
  <c r="FJ16" i="11"/>
  <c r="F11" i="72"/>
  <c r="AI26" i="3"/>
  <c r="V26" i="3"/>
  <c r="O42" i="3"/>
  <c r="CE59" i="11"/>
  <c r="L28" i="8"/>
  <c r="L84" i="8"/>
  <c r="L64" i="8"/>
  <c r="U69" i="9"/>
  <c r="U73" i="9" s="1"/>
  <c r="U68" i="9"/>
  <c r="U72" i="9" s="1"/>
  <c r="M162" i="1"/>
  <c r="AD47" i="11"/>
  <c r="AD15" i="11"/>
  <c r="AI17" i="11"/>
  <c r="AN58" i="11" s="1"/>
  <c r="AI46" i="11"/>
  <c r="DA162" i="1"/>
  <c r="U81" i="64"/>
  <c r="CZ75" i="11"/>
  <c r="DA6" i="11"/>
  <c r="CZ76" i="11"/>
  <c r="U25" i="64"/>
  <c r="I168" i="1"/>
  <c r="H173" i="1"/>
  <c r="H174" i="1"/>
  <c r="M168" i="1"/>
  <c r="AI33" i="3"/>
  <c r="V33" i="3"/>
  <c r="V27" i="3"/>
  <c r="AI27" i="3"/>
  <c r="BS17" i="11"/>
  <c r="BK46" i="11"/>
  <c r="BK17" i="11"/>
  <c r="L40" i="8"/>
  <c r="DE152" i="1"/>
  <c r="DF152" i="1"/>
  <c r="DD172" i="1"/>
  <c r="DE172" i="1" s="1"/>
  <c r="Q116" i="64"/>
  <c r="R115" i="64"/>
  <c r="L65" i="9"/>
  <c r="M8" i="10"/>
  <c r="M17" i="10" s="1"/>
  <c r="O53" i="5"/>
  <c r="O48" i="5"/>
  <c r="FA32" i="11"/>
  <c r="FA51" i="11" s="1"/>
  <c r="Z55" i="58"/>
  <c r="Y55" i="58"/>
  <c r="CZ57" i="11"/>
  <c r="CZ47" i="11"/>
  <c r="FB49" i="11"/>
  <c r="FB50" i="11"/>
  <c r="V103" i="64"/>
  <c r="W68" i="64"/>
  <c r="Y26" i="5"/>
  <c r="FK19" i="11"/>
  <c r="G15" i="72"/>
  <c r="CW47" i="11"/>
  <c r="CW57" i="11"/>
  <c r="R118" i="8"/>
  <c r="T117" i="8"/>
  <c r="AJ117" i="8"/>
  <c r="AH118" i="8"/>
  <c r="T116" i="8"/>
  <c r="R117" i="8"/>
  <c r="AJ116" i="8"/>
  <c r="AH117" i="8"/>
  <c r="R124" i="8"/>
  <c r="T123" i="8"/>
  <c r="AJ123" i="8"/>
  <c r="AH124" i="8"/>
  <c r="CU15" i="11"/>
  <c r="CU55" i="11"/>
  <c r="U26" i="5"/>
  <c r="FG19" i="11"/>
  <c r="C15" i="72"/>
  <c r="T70" i="8"/>
  <c r="R74" i="8"/>
  <c r="AJ70" i="8"/>
  <c r="AH74" i="8"/>
  <c r="R111" i="8"/>
  <c r="T110" i="8"/>
  <c r="AJ110" i="8"/>
  <c r="AH111" i="8"/>
  <c r="R125" i="8"/>
  <c r="T124" i="8"/>
  <c r="AJ124" i="8"/>
  <c r="AH125" i="8"/>
  <c r="T118" i="8"/>
  <c r="R119" i="8"/>
  <c r="AJ118" i="8"/>
  <c r="AH119" i="8"/>
  <c r="T46" i="8"/>
  <c r="R47" i="8"/>
  <c r="AJ46" i="8"/>
  <c r="AH47" i="8"/>
  <c r="CT55" i="11"/>
  <c r="CT15" i="11"/>
  <c r="S63" i="9"/>
  <c r="V15" i="5"/>
  <c r="FH13" i="11"/>
  <c r="D8" i="72"/>
  <c r="T67" i="8"/>
  <c r="R68" i="8"/>
  <c r="AJ67" i="8"/>
  <c r="AH68" i="8"/>
  <c r="R81" i="8"/>
  <c r="T77" i="8"/>
  <c r="AJ77" i="8"/>
  <c r="AH81" i="8"/>
  <c r="R98" i="8"/>
  <c r="T97" i="8"/>
  <c r="AJ97" i="8"/>
  <c r="AH98" i="8"/>
  <c r="S56" i="10"/>
  <c r="FG36" i="11"/>
  <c r="C24" i="72"/>
  <c r="L60" i="8"/>
  <c r="V91" i="3"/>
  <c r="AI91" i="3"/>
  <c r="AK91" i="3" s="1"/>
  <c r="O47" i="3"/>
  <c r="V70" i="3"/>
  <c r="AI70" i="3"/>
  <c r="AK70" i="3" s="1"/>
  <c r="BR17" i="11"/>
  <c r="BR46" i="11"/>
  <c r="W64" i="9"/>
  <c r="Z19" i="5"/>
  <c r="FL16" i="11"/>
  <c r="H11" i="72"/>
  <c r="DI168" i="1"/>
  <c r="DM168" i="1"/>
  <c r="DH173" i="1"/>
  <c r="DH174" i="1"/>
  <c r="W76" i="64"/>
  <c r="V111" i="64"/>
  <c r="H82" i="64"/>
  <c r="P51" i="5"/>
  <c r="FB34" i="11"/>
  <c r="Q51" i="5"/>
  <c r="DB59" i="11"/>
  <c r="DG15" i="11"/>
  <c r="DG55" i="11"/>
  <c r="DF15" i="11"/>
  <c r="DF55" i="11"/>
  <c r="DE15" i="11"/>
  <c r="DE55" i="11"/>
  <c r="X125" i="3"/>
  <c r="W73" i="64"/>
  <c r="V108" i="64"/>
  <c r="K9" i="9"/>
  <c r="M47" i="10"/>
  <c r="DN52" i="1"/>
  <c r="O54" i="3"/>
  <c r="BL17" i="11"/>
  <c r="BL46" i="11"/>
  <c r="L90" i="8"/>
  <c r="L97" i="8"/>
  <c r="L77" i="8"/>
  <c r="L57" i="8"/>
  <c r="AL24" i="11"/>
  <c r="AL48" i="11"/>
  <c r="BI52" i="11"/>
  <c r="BI60" i="11"/>
  <c r="X64" i="9"/>
  <c r="AA19" i="5"/>
  <c r="FM16" i="11"/>
  <c r="I11" i="72"/>
  <c r="I169" i="72"/>
  <c r="I75" i="72"/>
  <c r="I116" i="72"/>
  <c r="Q170" i="1"/>
  <c r="P174" i="1"/>
  <c r="X173" i="1"/>
  <c r="AC173" i="1" s="1"/>
  <c r="X174" i="1"/>
  <c r="AQ28" i="11"/>
  <c r="AQ32" i="11" s="1"/>
  <c r="AQ51" i="11" s="1"/>
  <c r="AQ49" i="11"/>
  <c r="AQ50" i="11"/>
  <c r="V78" i="64"/>
  <c r="U113" i="64"/>
  <c r="Z52" i="58"/>
  <c r="Y52" i="58"/>
  <c r="AK35" i="58"/>
  <c r="AF51" i="58"/>
  <c r="AJ51" i="58" s="1"/>
  <c r="CX152" i="1"/>
  <c r="CV172" i="1"/>
  <c r="CW172" i="1" s="1"/>
  <c r="CW152" i="1"/>
  <c r="BU55" i="11"/>
  <c r="BU15" i="11"/>
  <c r="L26" i="8"/>
  <c r="BM17" i="11"/>
  <c r="BM46" i="11"/>
  <c r="N152" i="1"/>
  <c r="AE15" i="11"/>
  <c r="AC15" i="11"/>
  <c r="AJ46" i="11"/>
  <c r="AJ17" i="11"/>
  <c r="AO58" i="11" s="1"/>
  <c r="F114" i="64"/>
  <c r="R25" i="4"/>
  <c r="FD67" i="11"/>
  <c r="S25" i="4"/>
  <c r="FE67" i="11"/>
  <c r="AH22" i="4"/>
  <c r="FT66" i="11"/>
  <c r="AF75" i="3"/>
  <c r="AH17" i="11"/>
  <c r="AM58" i="11" s="1"/>
  <c r="AH46" i="11"/>
  <c r="R85" i="64"/>
  <c r="W63" i="9"/>
  <c r="Z15" i="5"/>
  <c r="FL13" i="11"/>
  <c r="H8" i="72"/>
  <c r="AT28" i="11"/>
  <c r="AT32" i="11" s="1"/>
  <c r="AT51" i="11" s="1"/>
  <c r="AT49" i="11"/>
  <c r="AT50" i="11"/>
  <c r="T125" i="8"/>
  <c r="AJ125" i="8"/>
  <c r="ET26" i="11"/>
  <c r="H22" i="5"/>
  <c r="H11" i="4"/>
  <c r="ET10" i="11"/>
  <c r="ET12" i="11" s="1"/>
  <c r="FD46" i="11"/>
  <c r="FD17" i="11"/>
  <c r="S133" i="72"/>
  <c r="S51" i="72"/>
  <c r="S92" i="72"/>
  <c r="M114" i="64"/>
  <c r="N113" i="64"/>
  <c r="T83" i="8"/>
  <c r="R84" i="8"/>
  <c r="AJ83" i="8"/>
  <c r="AH84" i="8"/>
  <c r="T47" i="8"/>
  <c r="R48" i="8"/>
  <c r="AJ47" i="8"/>
  <c r="AH48" i="8"/>
  <c r="R64" i="9"/>
  <c r="U19" i="5"/>
  <c r="FG16" i="11"/>
  <c r="C11" i="72"/>
  <c r="V64" i="9"/>
  <c r="Y19" i="5"/>
  <c r="FK16" i="11"/>
  <c r="G11" i="72"/>
  <c r="T56" i="10"/>
  <c r="FH36" i="11"/>
  <c r="D24" i="72"/>
  <c r="T60" i="8"/>
  <c r="R61" i="8"/>
  <c r="AJ60" i="8"/>
  <c r="AH61" i="8"/>
  <c r="R62" i="9"/>
  <c r="S62" i="10"/>
  <c r="U8" i="5"/>
  <c r="U22" i="5"/>
  <c r="U11" i="4"/>
  <c r="FG10" i="11"/>
  <c r="FG12" i="11" s="1"/>
  <c r="C6" i="72"/>
  <c r="T74" i="8"/>
  <c r="R75" i="8"/>
  <c r="AJ74" i="8"/>
  <c r="AH75" i="8"/>
  <c r="T63" i="9"/>
  <c r="W15" i="5"/>
  <c r="FI13" i="11"/>
  <c r="E8" i="72"/>
  <c r="T109" i="8"/>
  <c r="R110" i="8"/>
  <c r="AJ109" i="8"/>
  <c r="AH110" i="8"/>
  <c r="T32" i="8"/>
  <c r="R33" i="8"/>
  <c r="AJ32" i="8"/>
  <c r="AH33" i="8"/>
  <c r="T25" i="8"/>
  <c r="R26" i="8"/>
  <c r="AJ25" i="8"/>
  <c r="AH26" i="8"/>
  <c r="CK15" i="11"/>
  <c r="CK55" i="11"/>
  <c r="T28" i="8"/>
  <c r="R32" i="8"/>
  <c r="AJ28" i="8"/>
  <c r="AH32" i="8"/>
  <c r="T61" i="8"/>
  <c r="R62" i="8"/>
  <c r="AJ61" i="8"/>
  <c r="AH62" i="8"/>
  <c r="Q62" i="9"/>
  <c r="R62" i="10"/>
  <c r="T8" i="5"/>
  <c r="T22" i="5"/>
  <c r="T11" i="4"/>
  <c r="FF10" i="11"/>
  <c r="FF12" i="11" s="1"/>
  <c r="AI32" i="3"/>
  <c r="V32" i="3"/>
  <c r="AI89" i="3"/>
  <c r="AK89" i="3" s="1"/>
  <c r="V89" i="3"/>
  <c r="L70" i="8"/>
  <c r="CR75" i="11"/>
  <c r="CR76" i="11"/>
  <c r="DI153" i="1"/>
  <c r="DJ153" i="1"/>
  <c r="EV15" i="11"/>
  <c r="DM51" i="1"/>
  <c r="DM120" i="1"/>
  <c r="DN51" i="1"/>
  <c r="DI162" i="1"/>
  <c r="T12" i="72"/>
  <c r="DA59" i="11"/>
  <c r="DG47" i="11"/>
  <c r="DG57" i="11"/>
  <c r="DD15" i="11"/>
  <c r="DD55" i="11"/>
  <c r="DE22" i="11"/>
  <c r="DF22" i="11"/>
  <c r="DE6" i="11"/>
  <c r="DG22" i="11"/>
  <c r="DD22" i="11"/>
  <c r="DD75" i="11"/>
  <c r="DD76" i="11"/>
  <c r="AM125" i="3"/>
  <c r="F117" i="64"/>
  <c r="G116" i="64"/>
  <c r="AS28" i="11"/>
  <c r="AS32" i="11" s="1"/>
  <c r="AS51" i="11" s="1"/>
  <c r="AS49" i="11"/>
  <c r="AS50" i="11"/>
  <c r="V106" i="64"/>
  <c r="W71" i="64"/>
  <c r="M80" i="64"/>
  <c r="J54" i="9"/>
  <c r="J59" i="9" s="1"/>
  <c r="J15" i="9"/>
  <c r="J22" i="9" s="1"/>
  <c r="J48" i="9" s="1"/>
  <c r="L67" i="8"/>
  <c r="L69" i="8"/>
  <c r="AI54" i="3"/>
  <c r="AK54" i="3" s="1"/>
  <c r="V54" i="3"/>
  <c r="Q82" i="64"/>
  <c r="X63" i="9"/>
  <c r="AA15" i="5"/>
  <c r="FM13" i="11"/>
  <c r="I8" i="72"/>
  <c r="Z26" i="5"/>
  <c r="FL19" i="11"/>
  <c r="H15" i="72"/>
  <c r="U80" i="64"/>
  <c r="FC60" i="11"/>
  <c r="FC52" i="11"/>
  <c r="R51" i="5"/>
  <c r="FD34" i="11"/>
  <c r="FD59" i="11" s="1"/>
  <c r="CY55" i="11"/>
  <c r="CY15" i="11"/>
  <c r="P84" i="64"/>
  <c r="X123" i="3"/>
  <c r="D46" i="8"/>
  <c r="L46" i="8" s="1"/>
  <c r="T46" i="3"/>
  <c r="CA47" i="11"/>
  <c r="CA57" i="11"/>
  <c r="F54" i="72"/>
  <c r="F95" i="72"/>
  <c r="F136" i="72"/>
  <c r="V20" i="3"/>
  <c r="X20" i="3" s="1"/>
  <c r="AI20" i="3"/>
  <c r="AK20" i="3" s="1"/>
  <c r="L56" i="8"/>
  <c r="L36" i="8"/>
  <c r="BP46" i="11"/>
  <c r="AE47" i="11"/>
  <c r="AB15" i="11"/>
  <c r="W6" i="11"/>
  <c r="X10" i="11"/>
  <c r="X12" i="11" s="1"/>
  <c r="X13" i="11"/>
  <c r="X16" i="11"/>
  <c r="AC57" i="11" s="1"/>
  <c r="R7" i="11"/>
  <c r="W10" i="11"/>
  <c r="W13" i="11"/>
  <c r="Z13" i="11"/>
  <c r="Z16" i="11"/>
  <c r="X19" i="11"/>
  <c r="X23" i="11"/>
  <c r="Z26" i="11"/>
  <c r="Y34" i="11"/>
  <c r="AD59" i="11" s="1"/>
  <c r="Y35" i="11"/>
  <c r="Y36" i="11"/>
  <c r="Y37" i="11"/>
  <c r="W38" i="11"/>
  <c r="Y56" i="11"/>
  <c r="Y19" i="11"/>
  <c r="Y23" i="11"/>
  <c r="W26" i="11"/>
  <c r="W30" i="11"/>
  <c r="Z34" i="11"/>
  <c r="Z35" i="11"/>
  <c r="Z36" i="11"/>
  <c r="Z37" i="11"/>
  <c r="X38" i="11"/>
  <c r="Y10" i="11"/>
  <c r="Y12" i="11" s="1"/>
  <c r="W16" i="11"/>
  <c r="AB57" i="11" s="1"/>
  <c r="Z19" i="11"/>
  <c r="Z23" i="11"/>
  <c r="X26" i="11"/>
  <c r="X30" i="11"/>
  <c r="W34" i="11"/>
  <c r="W35" i="11"/>
  <c r="W36" i="11"/>
  <c r="W37" i="11"/>
  <c r="Y38" i="11"/>
  <c r="Z10" i="11"/>
  <c r="Z12" i="11" s="1"/>
  <c r="Y13" i="11"/>
  <c r="Y16" i="11"/>
  <c r="AD57" i="11" s="1"/>
  <c r="W19" i="11"/>
  <c r="W23" i="11"/>
  <c r="Y26" i="11"/>
  <c r="Y30" i="11"/>
  <c r="X34" i="11"/>
  <c r="X35" i="11"/>
  <c r="X36" i="11"/>
  <c r="X37" i="11"/>
  <c r="Z38" i="11"/>
  <c r="X56" i="11"/>
  <c r="Z56" i="11"/>
  <c r="W56" i="11"/>
  <c r="F113" i="64"/>
  <c r="V77" i="64"/>
  <c r="U112" i="64"/>
  <c r="I113" i="64"/>
  <c r="J112" i="64"/>
  <c r="I79" i="64"/>
  <c r="CY47" i="11"/>
  <c r="CY57" i="11"/>
  <c r="AM24" i="11"/>
  <c r="AM48" i="11"/>
  <c r="J84" i="64"/>
  <c r="EU34" i="11"/>
  <c r="V101" i="64"/>
  <c r="V53" i="64"/>
  <c r="V6" i="64"/>
  <c r="W66" i="64"/>
  <c r="W72" i="64"/>
  <c r="V107" i="64"/>
  <c r="Y43" i="64"/>
  <c r="FT76" i="11"/>
  <c r="FT65" i="11"/>
  <c r="V21" i="3"/>
  <c r="X21" i="3" s="1"/>
  <c r="AI21" i="3"/>
  <c r="AK21" i="3" s="1"/>
  <c r="X75" i="64"/>
  <c r="W110" i="64"/>
  <c r="F115" i="64"/>
  <c r="H19" i="5"/>
  <c r="J20" i="5" s="1"/>
  <c r="ET16" i="11"/>
  <c r="ET19" i="11"/>
  <c r="I26" i="5"/>
  <c r="AN24" i="11"/>
  <c r="AN48" i="11"/>
  <c r="M16" i="5"/>
  <c r="DB47" i="11"/>
  <c r="DB57" i="11"/>
  <c r="V105" i="64"/>
  <c r="W70" i="64"/>
  <c r="T27" i="8"/>
  <c r="R28" i="8"/>
  <c r="AJ27" i="8"/>
  <c r="AH28" i="8"/>
  <c r="S62" i="9"/>
  <c r="T62" i="10"/>
  <c r="V8" i="5"/>
  <c r="V22" i="5"/>
  <c r="V11" i="4"/>
  <c r="FH10" i="11"/>
  <c r="FH12" i="11" s="1"/>
  <c r="D6" i="72"/>
  <c r="T88" i="8"/>
  <c r="R89" i="8"/>
  <c r="AJ88" i="8"/>
  <c r="AH89" i="8"/>
  <c r="R90" i="8"/>
  <c r="T89" i="8"/>
  <c r="AJ89" i="8"/>
  <c r="AH90" i="8"/>
  <c r="U56" i="10"/>
  <c r="FI36" i="11"/>
  <c r="E24" i="72"/>
  <c r="CT47" i="11"/>
  <c r="CT57" i="11"/>
  <c r="CJ15" i="11"/>
  <c r="CJ55" i="11"/>
  <c r="T103" i="8"/>
  <c r="R104" i="8"/>
  <c r="AJ103" i="8"/>
  <c r="AH104" i="8"/>
  <c r="T55" i="8"/>
  <c r="R56" i="8"/>
  <c r="AJ55" i="8"/>
  <c r="AH56" i="8"/>
  <c r="R123" i="8"/>
  <c r="T119" i="8"/>
  <c r="AH123" i="8"/>
  <c r="R88" i="8"/>
  <c r="T84" i="8"/>
  <c r="AJ84" i="8"/>
  <c r="AH88" i="8"/>
  <c r="T41" i="8"/>
  <c r="R42" i="8"/>
  <c r="AJ41" i="8"/>
  <c r="AH42" i="8"/>
  <c r="T91" i="8"/>
  <c r="R95" i="8"/>
  <c r="AH95" i="8"/>
  <c r="T62" i="9"/>
  <c r="U62" i="10"/>
  <c r="W8" i="5"/>
  <c r="W22" i="5"/>
  <c r="W11" i="4"/>
  <c r="FI10" i="11"/>
  <c r="FI12" i="11" s="1"/>
  <c r="E6" i="72"/>
  <c r="CV15" i="11"/>
  <c r="CV55" i="11"/>
  <c r="CE55" i="11"/>
  <c r="CE15" i="11"/>
  <c r="T102" i="8"/>
  <c r="R103" i="8"/>
  <c r="AJ102" i="8"/>
  <c r="AH103" i="8"/>
  <c r="T26" i="5"/>
  <c r="FF19" i="11"/>
  <c r="T105" i="8"/>
  <c r="R109" i="8"/>
  <c r="AH109" i="8"/>
  <c r="V26" i="5"/>
  <c r="FH19" i="11"/>
  <c r="D15" i="72"/>
  <c r="R116" i="8"/>
  <c r="T112" i="8"/>
  <c r="AH116" i="8"/>
  <c r="T90" i="8"/>
  <c r="R91" i="8"/>
  <c r="AJ90" i="8"/>
  <c r="AH91" i="8"/>
  <c r="V63" i="9"/>
  <c r="Y15" i="5"/>
  <c r="FK13" i="11"/>
  <c r="G8" i="72"/>
  <c r="W56" i="10"/>
  <c r="FK36" i="11"/>
  <c r="G24" i="72"/>
  <c r="R27" i="8"/>
  <c r="T26" i="8"/>
  <c r="AJ26" i="8"/>
  <c r="AH27" i="8"/>
  <c r="R97" i="8"/>
  <c r="T96" i="8"/>
  <c r="AJ96" i="8"/>
  <c r="AH97" i="8"/>
  <c r="T98" i="8"/>
  <c r="R102" i="8"/>
  <c r="AH102" i="8"/>
  <c r="T53" i="8"/>
  <c r="R54" i="8"/>
  <c r="AJ53" i="8"/>
  <c r="AH54" i="8"/>
  <c r="T62" i="8"/>
  <c r="R63" i="8"/>
  <c r="AJ62" i="8"/>
  <c r="AH63" i="8"/>
  <c r="L89" i="8"/>
  <c r="L96" i="8"/>
  <c r="CO55" i="11"/>
  <c r="AI75" i="3"/>
  <c r="AK75" i="3" s="1"/>
  <c r="V75" i="3"/>
  <c r="V42" i="3"/>
  <c r="AI42" i="3"/>
  <c r="EY17" i="11"/>
  <c r="EZ58" i="11" s="1"/>
  <c r="EY46" i="11"/>
  <c r="N18" i="4"/>
  <c r="N87" i="64"/>
  <c r="N8" i="10"/>
  <c r="N17" i="10" s="1"/>
  <c r="M65" i="9"/>
  <c r="P53" i="5"/>
  <c r="P48" i="5"/>
  <c r="FB32" i="11"/>
  <c r="FB51" i="11" s="1"/>
  <c r="AO24" i="11"/>
  <c r="AO48" i="11"/>
  <c r="DF47" i="11"/>
  <c r="DF57" i="11"/>
  <c r="DE47" i="11"/>
  <c r="DE57" i="11"/>
  <c r="DI6" i="11"/>
  <c r="DN7" i="11"/>
  <c r="DJ10" i="11"/>
  <c r="DJ12" i="11" s="1"/>
  <c r="DJ13" i="11"/>
  <c r="DI10" i="11"/>
  <c r="DI12" i="11" s="1"/>
  <c r="DL13" i="11"/>
  <c r="DJ16" i="11"/>
  <c r="DJ19" i="11"/>
  <c r="DJ23" i="11"/>
  <c r="DL26" i="11"/>
  <c r="DK30" i="11"/>
  <c r="DK35" i="11"/>
  <c r="DK36" i="11"/>
  <c r="DK37" i="11"/>
  <c r="DI38" i="11"/>
  <c r="DK56" i="11"/>
  <c r="DK16" i="11"/>
  <c r="DK19" i="11"/>
  <c r="DK23" i="11"/>
  <c r="DI26" i="11"/>
  <c r="DL30" i="11"/>
  <c r="DL35" i="11"/>
  <c r="DL36" i="11"/>
  <c r="DL37" i="11"/>
  <c r="DJ38" i="11"/>
  <c r="DK10" i="11"/>
  <c r="DK12" i="11" s="1"/>
  <c r="DI13" i="11"/>
  <c r="DL16" i="11"/>
  <c r="DL19" i="11"/>
  <c r="DL23" i="11"/>
  <c r="DJ26" i="11"/>
  <c r="DI30" i="11"/>
  <c r="DI35" i="11"/>
  <c r="DI36" i="11"/>
  <c r="DI37" i="11"/>
  <c r="DK38" i="11"/>
  <c r="DL10" i="11"/>
  <c r="DL12" i="11" s="1"/>
  <c r="DK13" i="11"/>
  <c r="DI16" i="11"/>
  <c r="DI19" i="11"/>
  <c r="DI23" i="11"/>
  <c r="DK26" i="11"/>
  <c r="DJ30" i="11"/>
  <c r="DJ35" i="11"/>
  <c r="DJ36" i="11"/>
  <c r="DJ37" i="11"/>
  <c r="DL38" i="11"/>
  <c r="DJ56" i="11"/>
  <c r="DI56" i="11"/>
  <c r="DL56" i="11"/>
  <c r="CW6" i="11"/>
  <c r="CV76" i="11"/>
  <c r="CV75" i="11"/>
  <c r="Q162" i="1"/>
  <c r="P172" i="1"/>
  <c r="FU63" i="11"/>
  <c r="V18" i="3"/>
  <c r="X18" i="3" s="1"/>
  <c r="AI18" i="3"/>
  <c r="V41" i="3"/>
  <c r="AI41" i="3"/>
  <c r="L88" i="8"/>
  <c r="L95" i="8"/>
  <c r="L47" i="8"/>
  <c r="L29" i="8"/>
  <c r="Q47" i="5"/>
  <c r="Q43" i="5"/>
  <c r="FC28" i="11"/>
  <c r="BI28" i="11"/>
  <c r="BI32" i="11" s="1"/>
  <c r="BI51" i="11" s="1"/>
  <c r="BI49" i="11"/>
  <c r="BI50" i="11"/>
  <c r="Y56" i="10"/>
  <c r="FM36" i="11"/>
  <c r="I24" i="72"/>
  <c r="X62" i="9"/>
  <c r="Y62" i="10"/>
  <c r="AA8" i="5"/>
  <c r="AA22" i="5"/>
  <c r="AA11" i="4"/>
  <c r="FM10" i="11"/>
  <c r="FM12" i="11" s="1"/>
  <c r="I6" i="72"/>
  <c r="AQ58" i="11"/>
  <c r="BF24" i="11"/>
  <c r="BF48" i="11"/>
  <c r="BF42" i="11"/>
  <c r="BF58" i="11"/>
  <c r="AB52" i="58"/>
  <c r="R39" i="5"/>
  <c r="FD26" i="11" s="1"/>
  <c r="R37" i="5"/>
  <c r="AC51" i="58"/>
  <c r="AD51" i="58"/>
  <c r="AB127" i="3"/>
  <c r="DB15" i="11"/>
  <c r="DB55" i="11"/>
  <c r="W67" i="64"/>
  <c r="V102" i="64"/>
  <c r="V109" i="64"/>
  <c r="W74" i="64"/>
  <c r="AM123" i="3"/>
  <c r="D74" i="8"/>
  <c r="L74" i="8" s="1"/>
  <c r="T74" i="3"/>
  <c r="D48" i="8"/>
  <c r="T48" i="3"/>
  <c r="CF57" i="11"/>
  <c r="AG46" i="11"/>
  <c r="AG17" i="11"/>
  <c r="AB47" i="11"/>
  <c r="AC47" i="11"/>
  <c r="AC22" i="11"/>
  <c r="AD22" i="11"/>
  <c r="AE22" i="11"/>
  <c r="AC6" i="11"/>
  <c r="AD6" i="11" s="1"/>
  <c r="AE6" i="11" s="1"/>
  <c r="AB22" i="11"/>
  <c r="U164" i="1"/>
  <c r="AI84" i="3" l="1"/>
  <c r="AK84" i="3" s="1"/>
  <c r="CO17" i="11"/>
  <c r="CO42" i="11" s="1"/>
  <c r="AF74" i="3"/>
  <c r="L91" i="8"/>
  <c r="AF67" i="3"/>
  <c r="V40" i="3"/>
  <c r="AB55" i="11"/>
  <c r="W12" i="11"/>
  <c r="CL17" i="11"/>
  <c r="CL58" i="11" s="1"/>
  <c r="BQ46" i="11"/>
  <c r="S50" i="5"/>
  <c r="FE34" i="11" s="1"/>
  <c r="FE59" i="11" s="1"/>
  <c r="S39" i="5"/>
  <c r="FE26" i="11" s="1"/>
  <c r="BG49" i="11"/>
  <c r="CA46" i="11"/>
  <c r="L42" i="8"/>
  <c r="AF85" i="3"/>
  <c r="F45" i="72"/>
  <c r="FI47" i="11"/>
  <c r="O92" i="3"/>
  <c r="F86" i="72"/>
  <c r="X7" i="4"/>
  <c r="FJ68" i="11" s="1"/>
  <c r="U75" i="9"/>
  <c r="U67" i="9"/>
  <c r="U71" i="9" s="1"/>
  <c r="E132" i="72"/>
  <c r="E50" i="72"/>
  <c r="E37" i="72"/>
  <c r="CP46" i="11"/>
  <c r="X99" i="3"/>
  <c r="V56" i="3"/>
  <c r="X63" i="3" s="1"/>
  <c r="Y16" i="5"/>
  <c r="L85" i="8"/>
  <c r="X64" i="3"/>
  <c r="X42" i="5"/>
  <c r="X50" i="5" s="1"/>
  <c r="AF84" i="3"/>
  <c r="AF70" i="3"/>
  <c r="AF90" i="3"/>
  <c r="O71" i="3"/>
  <c r="AF78" i="3"/>
  <c r="FE28" i="11"/>
  <c r="O76" i="3"/>
  <c r="E136" i="72"/>
  <c r="F10" i="72"/>
  <c r="F29" i="72" s="1"/>
  <c r="F145" i="72"/>
  <c r="CC17" i="11"/>
  <c r="CC24" i="11" s="1"/>
  <c r="BV46" i="11"/>
  <c r="X43" i="3"/>
  <c r="FJ15" i="11"/>
  <c r="FJ17" i="11" s="1"/>
  <c r="F129" i="72"/>
  <c r="F131" i="72" s="1"/>
  <c r="F47" i="72"/>
  <c r="E54" i="72"/>
  <c r="BG60" i="11"/>
  <c r="DU42" i="1"/>
  <c r="DR52" i="1"/>
  <c r="DN62" i="1"/>
  <c r="DL63" i="1"/>
  <c r="AI62" i="3"/>
  <c r="AK62" i="3" s="1"/>
  <c r="AM69" i="3" s="1"/>
  <c r="V82" i="3"/>
  <c r="X89" i="3" s="1"/>
  <c r="DM52" i="1"/>
  <c r="BG28" i="11"/>
  <c r="BG32" i="11" s="1"/>
  <c r="BG51" i="11" s="1"/>
  <c r="AL126" i="8"/>
  <c r="AI28" i="3"/>
  <c r="CG46" i="11"/>
  <c r="L34" i="8"/>
  <c r="CM17" i="11"/>
  <c r="CM24" i="11" s="1"/>
  <c r="V68" i="3"/>
  <c r="X75" i="3" s="1"/>
  <c r="V53" i="3"/>
  <c r="X60" i="3" s="1"/>
  <c r="X36" i="5"/>
  <c r="X47" i="5" s="1"/>
  <c r="AF63" i="3"/>
  <c r="O61" i="3"/>
  <c r="BY174" i="1"/>
  <c r="L33" i="8"/>
  <c r="CQ46" i="11"/>
  <c r="F88" i="72"/>
  <c r="DL131" i="1"/>
  <c r="EK28" i="11" s="1"/>
  <c r="BX46" i="11"/>
  <c r="X35" i="4"/>
  <c r="X36" i="4" s="1"/>
  <c r="AF83" i="3"/>
  <c r="DM45" i="1"/>
  <c r="AI35" i="3"/>
  <c r="AI36" i="3" s="1"/>
  <c r="X71" i="3"/>
  <c r="X78" i="3"/>
  <c r="FI57" i="11"/>
  <c r="X50" i="3"/>
  <c r="AI63" i="3"/>
  <c r="AK63" i="3" s="1"/>
  <c r="AM70" i="3" s="1"/>
  <c r="AI83" i="3"/>
  <c r="AK83" i="3" s="1"/>
  <c r="X24" i="4"/>
  <c r="FJ67" i="11" s="1"/>
  <c r="AF89" i="3"/>
  <c r="L48" i="8"/>
  <c r="X29" i="4"/>
  <c r="AI55" i="3"/>
  <c r="AK55" i="3" s="1"/>
  <c r="DT42" i="1"/>
  <c r="BU172" i="1"/>
  <c r="BM173" i="1"/>
  <c r="BA173" i="1"/>
  <c r="O91" i="3"/>
  <c r="DL55" i="1"/>
  <c r="DN55" i="1" s="1"/>
  <c r="AF62" i="3"/>
  <c r="O81" i="3"/>
  <c r="AF81" i="3"/>
  <c r="FE17" i="11"/>
  <c r="FE48" i="11" s="1"/>
  <c r="AF99" i="3"/>
  <c r="V25" i="3"/>
  <c r="X32" i="3" s="1"/>
  <c r="DN45" i="1"/>
  <c r="X36" i="3"/>
  <c r="Y56" i="58"/>
  <c r="X16" i="5"/>
  <c r="BI173" i="1"/>
  <c r="V34" i="3"/>
  <c r="X41" i="3" s="1"/>
  <c r="FB60" i="11"/>
  <c r="BM174" i="1"/>
  <c r="BA174" i="1"/>
  <c r="AF88" i="3"/>
  <c r="DI174" i="1"/>
  <c r="BH49" i="11"/>
  <c r="FA60" i="11"/>
  <c r="BZ46" i="11"/>
  <c r="FA50" i="11"/>
  <c r="BW46" i="11"/>
  <c r="V69" i="3"/>
  <c r="X69" i="3" s="1"/>
  <c r="AF82" i="3"/>
  <c r="L61" i="8"/>
  <c r="V39" i="3"/>
  <c r="X39" i="3" s="1"/>
  <c r="X57" i="3"/>
  <c r="L32" i="8"/>
  <c r="V88" i="3"/>
  <c r="X95" i="3" s="1"/>
  <c r="CR17" i="11"/>
  <c r="CR24" i="11" s="1"/>
  <c r="DI173" i="1"/>
  <c r="CF17" i="11"/>
  <c r="CF24" i="11" s="1"/>
  <c r="V67" i="3"/>
  <c r="X67" i="3" s="1"/>
  <c r="AI81" i="3"/>
  <c r="AK81" i="3" s="1"/>
  <c r="AI90" i="3"/>
  <c r="AK90" i="3" s="1"/>
  <c r="CB46" i="11"/>
  <c r="BA172" i="1"/>
  <c r="AW172" i="1"/>
  <c r="BH28" i="11"/>
  <c r="BH32" i="11" s="1"/>
  <c r="BH51" i="11" s="1"/>
  <c r="BH60" i="11"/>
  <c r="X29" i="3"/>
  <c r="V49" i="3"/>
  <c r="AI77" i="3"/>
  <c r="AK77" i="3" s="1"/>
  <c r="AM84" i="3" s="1"/>
  <c r="AC174" i="1"/>
  <c r="BE174" i="1"/>
  <c r="AS174" i="1"/>
  <c r="CO164" i="1"/>
  <c r="CK173" i="1"/>
  <c r="CS173" i="1"/>
  <c r="AJ59" i="11"/>
  <c r="V47" i="3"/>
  <c r="AA20" i="5"/>
  <c r="AH59" i="11"/>
  <c r="AJ61" i="58"/>
  <c r="AK51" i="58"/>
  <c r="AJ56" i="58"/>
  <c r="AJ62" i="58"/>
  <c r="AK52" i="58"/>
  <c r="BQ173" i="1"/>
  <c r="BU173" i="1"/>
  <c r="AO172" i="1"/>
  <c r="AS172" i="1"/>
  <c r="BY173" i="1"/>
  <c r="CC173" i="1"/>
  <c r="CK174" i="1"/>
  <c r="CG174" i="1"/>
  <c r="DA173" i="1"/>
  <c r="DE173" i="1"/>
  <c r="K82" i="64"/>
  <c r="L115" i="64"/>
  <c r="K116" i="64"/>
  <c r="C114" i="64"/>
  <c r="C80" i="64"/>
  <c r="D113" i="64"/>
  <c r="C81" i="64"/>
  <c r="AK169" i="1"/>
  <c r="AH35" i="11"/>
  <c r="AG169" i="1"/>
  <c r="S82" i="64"/>
  <c r="AB26" i="8"/>
  <c r="AD26" i="8" s="1"/>
  <c r="AF26" i="8" s="1"/>
  <c r="BQ76" i="11"/>
  <c r="K115" i="64"/>
  <c r="L114" i="64"/>
  <c r="AS173" i="1"/>
  <c r="AW173" i="1"/>
  <c r="CC174" i="1"/>
  <c r="AW174" i="1"/>
  <c r="DI172" i="1"/>
  <c r="T115" i="64"/>
  <c r="AI40" i="4"/>
  <c r="AI42" i="4"/>
  <c r="AI43" i="4" s="1"/>
  <c r="O116" i="64"/>
  <c r="P115" i="64"/>
  <c r="AI59" i="11"/>
  <c r="AG164" i="1"/>
  <c r="AK164" i="1"/>
  <c r="O82" i="64"/>
  <c r="O83" i="64" s="1"/>
  <c r="C230" i="54"/>
  <c r="C231" i="54" s="1"/>
  <c r="C232" i="54" s="1"/>
  <c r="Z27" i="3"/>
  <c r="CS174" i="1"/>
  <c r="CW174" i="1"/>
  <c r="AD25" i="3"/>
  <c r="AF25" i="3" s="1"/>
  <c r="S115" i="64"/>
  <c r="S83" i="64"/>
  <c r="S84" i="64" s="1"/>
  <c r="T114" i="64"/>
  <c r="AG162" i="1"/>
  <c r="AF172" i="1"/>
  <c r="AK162" i="1"/>
  <c r="AJ39" i="4"/>
  <c r="AJ41" i="4" s="1"/>
  <c r="AJ42" i="4" s="1"/>
  <c r="Q174" i="1"/>
  <c r="BQ174" i="1"/>
  <c r="BU174" i="1"/>
  <c r="O69" i="3"/>
  <c r="AF69" i="3"/>
  <c r="BE173" i="1"/>
  <c r="AG59" i="11"/>
  <c r="AP152" i="1"/>
  <c r="AT152" i="1"/>
  <c r="AL133" i="8"/>
  <c r="DQ52" i="1"/>
  <c r="CG172" i="1"/>
  <c r="CK172" i="1"/>
  <c r="DA174" i="1"/>
  <c r="DE174" i="1"/>
  <c r="CW173" i="1"/>
  <c r="AF173" i="1"/>
  <c r="AF174" i="1"/>
  <c r="AG35" i="11"/>
  <c r="AG168" i="1"/>
  <c r="BI174" i="1"/>
  <c r="G82" i="64"/>
  <c r="AB26" i="3"/>
  <c r="AK26" i="3" s="1"/>
  <c r="K83" i="64"/>
  <c r="L117" i="64" s="1"/>
  <c r="AK163" i="1"/>
  <c r="AH152" i="1"/>
  <c r="AL152" i="1"/>
  <c r="BQ172" i="1"/>
  <c r="BM172" i="1"/>
  <c r="X28" i="3"/>
  <c r="FG7" i="11"/>
  <c r="FF62" i="11"/>
  <c r="FF56" i="11"/>
  <c r="FF37" i="11"/>
  <c r="FF38" i="11"/>
  <c r="X20" i="5"/>
  <c r="W20" i="5"/>
  <c r="D198" i="54"/>
  <c r="I133" i="3"/>
  <c r="AB131" i="8"/>
  <c r="AD131" i="8" s="1"/>
  <c r="AF131" i="8" s="1"/>
  <c r="AB131" i="3"/>
  <c r="M131" i="3"/>
  <c r="O131" i="3" s="1"/>
  <c r="V131" i="3"/>
  <c r="C396" i="54"/>
  <c r="AI47" i="4" s="1"/>
  <c r="Z132" i="3"/>
  <c r="AB132" i="3" s="1"/>
  <c r="D395" i="54"/>
  <c r="M132" i="3"/>
  <c r="O132" i="3" s="1"/>
  <c r="V132" i="3"/>
  <c r="X132" i="3" s="1"/>
  <c r="ET47" i="11"/>
  <c r="L68" i="8"/>
  <c r="AM75" i="3"/>
  <c r="X62" i="3"/>
  <c r="X26" i="3"/>
  <c r="AB56" i="58"/>
  <c r="AD56" i="58" s="1"/>
  <c r="AH52" i="58"/>
  <c r="U20" i="5"/>
  <c r="X84" i="3"/>
  <c r="X42" i="3"/>
  <c r="ET15" i="11"/>
  <c r="ET17" i="11" s="1"/>
  <c r="AA16" i="5"/>
  <c r="X34" i="3"/>
  <c r="W16" i="5"/>
  <c r="L83" i="8"/>
  <c r="V16" i="5"/>
  <c r="Y20" i="5"/>
  <c r="X33" i="3"/>
  <c r="R42" i="5"/>
  <c r="R43" i="5" s="1"/>
  <c r="V48" i="3"/>
  <c r="X48" i="3" s="1"/>
  <c r="AI48" i="3"/>
  <c r="CQ42" i="11"/>
  <c r="CQ24" i="11"/>
  <c r="CQ48" i="11"/>
  <c r="CQ58" i="11"/>
  <c r="BQ58" i="11"/>
  <c r="BQ24" i="11"/>
  <c r="BQ42" i="11"/>
  <c r="BQ48" i="11"/>
  <c r="AG24" i="11"/>
  <c r="AG48" i="11"/>
  <c r="W109" i="64"/>
  <c r="X74" i="64"/>
  <c r="BF52" i="11"/>
  <c r="BF60" i="11"/>
  <c r="FM15" i="11"/>
  <c r="FM55" i="11"/>
  <c r="AK18" i="3"/>
  <c r="AI22" i="3"/>
  <c r="AK22" i="3" s="1"/>
  <c r="DK15" i="11"/>
  <c r="DK55" i="11"/>
  <c r="DN6" i="11"/>
  <c r="DO10" i="11"/>
  <c r="DO12" i="11" s="1"/>
  <c r="DO13" i="11"/>
  <c r="DN10" i="11"/>
  <c r="DN12" i="11" s="1"/>
  <c r="DS7" i="11"/>
  <c r="DP10" i="11"/>
  <c r="DP12" i="11" s="1"/>
  <c r="DO16" i="11"/>
  <c r="DO19" i="11"/>
  <c r="DO23" i="11"/>
  <c r="DQ26" i="11"/>
  <c r="DP30" i="11"/>
  <c r="DP35" i="11"/>
  <c r="DP36" i="11"/>
  <c r="DP37" i="11"/>
  <c r="DN38" i="11"/>
  <c r="DP56" i="11"/>
  <c r="DQ10" i="11"/>
  <c r="DQ12" i="11" s="1"/>
  <c r="DN13" i="11"/>
  <c r="DP16" i="11"/>
  <c r="DP19" i="11"/>
  <c r="DP23" i="11"/>
  <c r="DN26" i="11"/>
  <c r="DQ30" i="11"/>
  <c r="DQ35" i="11"/>
  <c r="DQ36" i="11"/>
  <c r="DQ37" i="11"/>
  <c r="DO38" i="11"/>
  <c r="DP13" i="11"/>
  <c r="DQ16" i="11"/>
  <c r="DQ19" i="11"/>
  <c r="DQ23" i="11"/>
  <c r="DO26" i="11"/>
  <c r="DN30" i="11"/>
  <c r="DN35" i="11"/>
  <c r="DN36" i="11"/>
  <c r="DN37" i="11"/>
  <c r="DP38" i="11"/>
  <c r="DQ13" i="11"/>
  <c r="DN16" i="11"/>
  <c r="DN19" i="11"/>
  <c r="DN23" i="11"/>
  <c r="DP26" i="11"/>
  <c r="DO30" i="11"/>
  <c r="DO35" i="11"/>
  <c r="DO36" i="11"/>
  <c r="DO37" i="11"/>
  <c r="DQ38" i="11"/>
  <c r="DO56" i="11"/>
  <c r="DQ56" i="11"/>
  <c r="DN56" i="11"/>
  <c r="N35" i="10"/>
  <c r="N60" i="10" s="1"/>
  <c r="N48" i="10"/>
  <c r="N53" i="10" s="1"/>
  <c r="G47" i="72"/>
  <c r="G88" i="72"/>
  <c r="G129" i="72"/>
  <c r="CV17" i="11"/>
  <c r="CV46" i="11"/>
  <c r="W23" i="5"/>
  <c r="W36" i="5"/>
  <c r="W42" i="5"/>
  <c r="W35" i="4"/>
  <c r="W36" i="4" s="1"/>
  <c r="V12" i="4"/>
  <c r="V31" i="4" s="1"/>
  <c r="V17" i="4"/>
  <c r="V24" i="4"/>
  <c r="V29" i="4"/>
  <c r="S75" i="9"/>
  <c r="T59" i="10"/>
  <c r="S67" i="9"/>
  <c r="S71" i="9" s="1"/>
  <c r="I20" i="5"/>
  <c r="X110" i="64"/>
  <c r="AK25" i="3"/>
  <c r="AI29" i="3"/>
  <c r="V25" i="64"/>
  <c r="Y15" i="11"/>
  <c r="X47" i="11"/>
  <c r="V80" i="64"/>
  <c r="U115" i="64"/>
  <c r="M115" i="64"/>
  <c r="N114" i="64"/>
  <c r="M81" i="64"/>
  <c r="T51" i="72"/>
  <c r="T92" i="72"/>
  <c r="T133" i="72"/>
  <c r="CP44" i="11"/>
  <c r="AM89" i="3"/>
  <c r="AM96" i="3"/>
  <c r="T12" i="4"/>
  <c r="T17" i="4"/>
  <c r="T18" i="4" s="1"/>
  <c r="T24" i="4"/>
  <c r="T29" i="4"/>
  <c r="Q67" i="9"/>
  <c r="Q71" i="9" s="1"/>
  <c r="Q75" i="9"/>
  <c r="R59" i="10"/>
  <c r="T69" i="9"/>
  <c r="T73" i="9" s="1"/>
  <c r="T68" i="9"/>
  <c r="T72" i="9" s="1"/>
  <c r="U36" i="5"/>
  <c r="U42" i="5"/>
  <c r="U35" i="4"/>
  <c r="U36" i="4" s="1"/>
  <c r="U23" i="5"/>
  <c r="D63" i="72"/>
  <c r="D104" i="72" s="1"/>
  <c r="D145" i="72"/>
  <c r="G132" i="72"/>
  <c r="G50" i="72"/>
  <c r="G30" i="72"/>
  <c r="G91" i="72"/>
  <c r="G37" i="72"/>
  <c r="C50" i="72"/>
  <c r="C30" i="72"/>
  <c r="C91" i="72"/>
  <c r="C132" i="72"/>
  <c r="FD24" i="11"/>
  <c r="FD49" i="11" s="1"/>
  <c r="FD48" i="11"/>
  <c r="FD58" i="11"/>
  <c r="FD42" i="11"/>
  <c r="R86" i="64"/>
  <c r="FJ55" i="11"/>
  <c r="AJ24" i="11"/>
  <c r="AJ48" i="11"/>
  <c r="BU46" i="11"/>
  <c r="BU17" i="11"/>
  <c r="BZ58" i="11" s="1"/>
  <c r="AG35" i="58"/>
  <c r="I30" i="72"/>
  <c r="I91" i="72"/>
  <c r="I132" i="72"/>
  <c r="I50" i="72"/>
  <c r="I37" i="72"/>
  <c r="DM111" i="1"/>
  <c r="K15" i="9"/>
  <c r="K22" i="9" s="1"/>
  <c r="K48" i="9" s="1"/>
  <c r="K54" i="9"/>
  <c r="K59" i="9" s="1"/>
  <c r="DF17" i="11"/>
  <c r="DF46" i="11"/>
  <c r="FB59" i="11"/>
  <c r="FC59" i="11"/>
  <c r="Z20" i="5"/>
  <c r="D129" i="72"/>
  <c r="D88" i="72"/>
  <c r="D47" i="72"/>
  <c r="CT46" i="11"/>
  <c r="CT17" i="11"/>
  <c r="AI24" i="11"/>
  <c r="AI48" i="11"/>
  <c r="F37" i="72"/>
  <c r="F30" i="72"/>
  <c r="F132" i="72"/>
  <c r="F50" i="72"/>
  <c r="F91" i="72"/>
  <c r="V76" i="3"/>
  <c r="AI76" i="3"/>
  <c r="AK76" i="3" s="1"/>
  <c r="AM76" i="3" s="1"/>
  <c r="X69" i="64"/>
  <c r="W104" i="64"/>
  <c r="K65" i="9"/>
  <c r="N48" i="5"/>
  <c r="N53" i="5"/>
  <c r="O54" i="5" s="1"/>
  <c r="EZ32" i="11"/>
  <c r="EZ51" i="11" s="1"/>
  <c r="I54" i="72"/>
  <c r="I95" i="72"/>
  <c r="I136" i="72"/>
  <c r="L83" i="64"/>
  <c r="CW46" i="11"/>
  <c r="CW17" i="11"/>
  <c r="D132" i="72"/>
  <c r="D37" i="72"/>
  <c r="D30" i="72"/>
  <c r="D91" i="72"/>
  <c r="E117" i="72" s="1"/>
  <c r="D50" i="72"/>
  <c r="CH46" i="11"/>
  <c r="CH17" i="11"/>
  <c r="FK55" i="11"/>
  <c r="FK15" i="11"/>
  <c r="F14" i="5"/>
  <c r="F18" i="5"/>
  <c r="F9" i="5"/>
  <c r="F5" i="4"/>
  <c r="F27" i="4" s="1"/>
  <c r="F7" i="5"/>
  <c r="G8" i="5" s="1"/>
  <c r="F32" i="5"/>
  <c r="ER22" i="11" s="1"/>
  <c r="E5" i="5"/>
  <c r="F25" i="5"/>
  <c r="G26" i="5" s="1"/>
  <c r="F39" i="5"/>
  <c r="F45" i="5"/>
  <c r="ER30" i="11" s="1"/>
  <c r="F56" i="5"/>
  <c r="ER36" i="11" s="1"/>
  <c r="Z23" i="5"/>
  <c r="Z36" i="5"/>
  <c r="Z42" i="5"/>
  <c r="Z35" i="4"/>
  <c r="Z36" i="4" s="1"/>
  <c r="AD52" i="58"/>
  <c r="AC52" i="58"/>
  <c r="AA7" i="4"/>
  <c r="AA12" i="4"/>
  <c r="AA31" i="4" s="1"/>
  <c r="AA17" i="4"/>
  <c r="AA24" i="4"/>
  <c r="AA29" i="4"/>
  <c r="X75" i="9"/>
  <c r="Y59" i="10"/>
  <c r="X67" i="9"/>
  <c r="X71" i="9" s="1"/>
  <c r="Z40" i="64"/>
  <c r="Z41" i="64" s="1"/>
  <c r="FU75" i="11"/>
  <c r="DL15" i="11"/>
  <c r="DL55" i="11"/>
  <c r="DK47" i="11"/>
  <c r="DK57" i="11"/>
  <c r="DI55" i="11"/>
  <c r="DI15" i="11"/>
  <c r="DJ6" i="11"/>
  <c r="DJ22" i="11"/>
  <c r="DK22" i="11"/>
  <c r="DL22" i="11"/>
  <c r="DI22" i="11"/>
  <c r="DI76" i="11"/>
  <c r="DI75" i="11"/>
  <c r="N88" i="64"/>
  <c r="G145" i="72"/>
  <c r="G63" i="72"/>
  <c r="G104" i="72" s="1"/>
  <c r="D54" i="72"/>
  <c r="D95" i="72"/>
  <c r="D136" i="72"/>
  <c r="CE46" i="11"/>
  <c r="CE17" i="11"/>
  <c r="E10" i="72"/>
  <c r="E35" i="72"/>
  <c r="E86" i="72"/>
  <c r="E110" i="72" s="1"/>
  <c r="E45" i="72"/>
  <c r="E127" i="72"/>
  <c r="V23" i="5"/>
  <c r="V36" i="5"/>
  <c r="V42" i="5"/>
  <c r="V35" i="4"/>
  <c r="V36" i="4" s="1"/>
  <c r="X72" i="64"/>
  <c r="W107" i="64"/>
  <c r="AM28" i="11"/>
  <c r="AM32" i="11" s="1"/>
  <c r="AM51" i="11" s="1"/>
  <c r="AM49" i="11"/>
  <c r="AM50" i="11"/>
  <c r="W77" i="64"/>
  <c r="V112" i="64"/>
  <c r="Z15" i="11"/>
  <c r="AB46" i="11"/>
  <c r="AB17" i="11"/>
  <c r="U84" i="64"/>
  <c r="X71" i="64"/>
  <c r="W106" i="64"/>
  <c r="DE75" i="11"/>
  <c r="DF6" i="11"/>
  <c r="DE76" i="11"/>
  <c r="DD46" i="11"/>
  <c r="DD17" i="11"/>
  <c r="EV46" i="11"/>
  <c r="EV17" i="11"/>
  <c r="T42" i="5"/>
  <c r="T35" i="4"/>
  <c r="T36" i="4" s="1"/>
  <c r="T23" i="5"/>
  <c r="T36" i="5"/>
  <c r="E47" i="72"/>
  <c r="E129" i="72"/>
  <c r="E88" i="72"/>
  <c r="C86" i="72"/>
  <c r="C127" i="72"/>
  <c r="C10" i="72"/>
  <c r="C45" i="72"/>
  <c r="FK47" i="11"/>
  <c r="FK57" i="11"/>
  <c r="FG47" i="11"/>
  <c r="FG57" i="11"/>
  <c r="Z16" i="5"/>
  <c r="CL24" i="11"/>
  <c r="L53" i="8"/>
  <c r="AE55" i="11"/>
  <c r="BM42" i="11"/>
  <c r="BM24" i="11"/>
  <c r="BM48" i="11"/>
  <c r="BM58" i="11"/>
  <c r="FM47" i="11"/>
  <c r="FM57" i="11"/>
  <c r="AL28" i="11"/>
  <c r="AL32" i="11" s="1"/>
  <c r="AL51" i="11" s="1"/>
  <c r="AL49" i="11"/>
  <c r="AL50" i="11"/>
  <c r="BL58" i="11"/>
  <c r="BL24" i="11"/>
  <c r="BL42" i="11"/>
  <c r="BL48" i="11"/>
  <c r="AK67" i="3"/>
  <c r="AI71" i="3"/>
  <c r="AK71" i="3" s="1"/>
  <c r="X76" i="64"/>
  <c r="W111" i="64"/>
  <c r="BR42" i="11"/>
  <c r="BR24" i="11"/>
  <c r="BR48" i="11"/>
  <c r="BR58" i="11"/>
  <c r="C63" i="72"/>
  <c r="C104" i="72" s="1"/>
  <c r="C145" i="72"/>
  <c r="FA35" i="11"/>
  <c r="F118" i="64"/>
  <c r="X35" i="3"/>
  <c r="I174" i="1"/>
  <c r="M174" i="1"/>
  <c r="FJ57" i="11"/>
  <c r="FJ47" i="11"/>
  <c r="D115" i="64"/>
  <c r="D81" i="64"/>
  <c r="D82" i="64"/>
  <c r="Z56" i="10"/>
  <c r="FN36" i="11"/>
  <c r="J24" i="72"/>
  <c r="Y62" i="9"/>
  <c r="Z62" i="10"/>
  <c r="AB8" i="5"/>
  <c r="AB22" i="5"/>
  <c r="AB11" i="4"/>
  <c r="FN10" i="11"/>
  <c r="FN12" i="11" s="1"/>
  <c r="J6" i="72"/>
  <c r="AB26" i="5"/>
  <c r="FN19" i="11"/>
  <c r="J15" i="72"/>
  <c r="BZ24" i="11"/>
  <c r="BZ48" i="11"/>
  <c r="BZ42" i="11"/>
  <c r="U174" i="1"/>
  <c r="J37" i="5"/>
  <c r="J42" i="5"/>
  <c r="J40" i="5"/>
  <c r="CB42" i="11"/>
  <c r="CB24" i="11"/>
  <c r="CB48" i="11"/>
  <c r="CB58" i="11"/>
  <c r="FF57" i="11"/>
  <c r="FF47" i="11"/>
  <c r="FH47" i="11"/>
  <c r="FH57" i="11"/>
  <c r="Y7" i="4"/>
  <c r="Y12" i="4"/>
  <c r="Y31" i="4" s="1"/>
  <c r="Y17" i="4"/>
  <c r="Y18" i="4" s="1"/>
  <c r="Y24" i="4"/>
  <c r="Y29" i="4"/>
  <c r="V67" i="9"/>
  <c r="V71" i="9" s="1"/>
  <c r="V75" i="9"/>
  <c r="W59" i="10"/>
  <c r="CZ17" i="11"/>
  <c r="CZ46" i="11"/>
  <c r="X40" i="3"/>
  <c r="U83" i="64"/>
  <c r="H10" i="72"/>
  <c r="H86" i="72"/>
  <c r="H35" i="72"/>
  <c r="H45" i="72"/>
  <c r="H127" i="72"/>
  <c r="CA58" i="11"/>
  <c r="CA24" i="11"/>
  <c r="CA42" i="11"/>
  <c r="CA48" i="11"/>
  <c r="DB46" i="11"/>
  <c r="DB17" i="11"/>
  <c r="AB55" i="58"/>
  <c r="BF28" i="11"/>
  <c r="BF32" i="11" s="1"/>
  <c r="BF51" i="11" s="1"/>
  <c r="BF49" i="11"/>
  <c r="BF50" i="11"/>
  <c r="AA23" i="5"/>
  <c r="AA36" i="5"/>
  <c r="AA35" i="4"/>
  <c r="AA36" i="4" s="1"/>
  <c r="I145" i="72"/>
  <c r="I63" i="72"/>
  <c r="I104" i="72" s="1"/>
  <c r="O8" i="10"/>
  <c r="O17" i="10" s="1"/>
  <c r="N65" i="9"/>
  <c r="Q48" i="5"/>
  <c r="Q53" i="5"/>
  <c r="FC32" i="11"/>
  <c r="FC51" i="11" s="1"/>
  <c r="DL47" i="11"/>
  <c r="DL57" i="11"/>
  <c r="P54" i="5"/>
  <c r="FB35" i="11"/>
  <c r="EY42" i="11"/>
  <c r="EZ60" i="11" s="1"/>
  <c r="EY24" i="11"/>
  <c r="EY48" i="11"/>
  <c r="EY58" i="11"/>
  <c r="FI15" i="11"/>
  <c r="FI55" i="11"/>
  <c r="D10" i="72"/>
  <c r="D45" i="72"/>
  <c r="D127" i="72"/>
  <c r="D35" i="72"/>
  <c r="D86" i="72"/>
  <c r="X70" i="64"/>
  <c r="W105" i="64"/>
  <c r="CP24" i="11"/>
  <c r="CP42" i="11"/>
  <c r="CP48" i="11"/>
  <c r="W15" i="11"/>
  <c r="X15" i="11"/>
  <c r="AE59" i="11"/>
  <c r="AI46" i="3"/>
  <c r="V46" i="3"/>
  <c r="CY46" i="11"/>
  <c r="CY17" i="11"/>
  <c r="H95" i="72"/>
  <c r="H136" i="72"/>
  <c r="H54" i="72"/>
  <c r="X69" i="9"/>
  <c r="X73" i="9" s="1"/>
  <c r="X68" i="9"/>
  <c r="X72" i="9" s="1"/>
  <c r="AK88" i="3"/>
  <c r="CK17" i="11"/>
  <c r="CP58" i="11" s="1"/>
  <c r="CK46" i="11"/>
  <c r="FG15" i="11"/>
  <c r="FG55" i="11"/>
  <c r="W69" i="9"/>
  <c r="W73" i="9" s="1"/>
  <c r="W68" i="9"/>
  <c r="W72" i="9" s="1"/>
  <c r="AC55" i="11"/>
  <c r="AE46" i="11"/>
  <c r="AE17" i="11"/>
  <c r="V113" i="64"/>
  <c r="W78" i="64"/>
  <c r="X73" i="64"/>
  <c r="W108" i="64"/>
  <c r="DE17" i="11"/>
  <c r="DE46" i="11"/>
  <c r="DG46" i="11"/>
  <c r="DG17" i="11"/>
  <c r="H91" i="72"/>
  <c r="H132" i="72"/>
  <c r="H50" i="72"/>
  <c r="H37" i="72"/>
  <c r="H30" i="72"/>
  <c r="AM91" i="3"/>
  <c r="AM98" i="3"/>
  <c r="C95" i="72"/>
  <c r="C54" i="72"/>
  <c r="C136" i="72"/>
  <c r="CU17" i="11"/>
  <c r="CU46" i="11"/>
  <c r="G136" i="72"/>
  <c r="G95" i="72"/>
  <c r="G54" i="72"/>
  <c r="W103" i="64"/>
  <c r="X68" i="64"/>
  <c r="M35" i="10"/>
  <c r="M60" i="10" s="1"/>
  <c r="M48" i="10"/>
  <c r="M53" i="10" s="1"/>
  <c r="BK24" i="11"/>
  <c r="BK48" i="11"/>
  <c r="BK42" i="11"/>
  <c r="BK58" i="11"/>
  <c r="F35" i="72"/>
  <c r="BS24" i="11"/>
  <c r="BS48" i="11"/>
  <c r="BS42" i="11"/>
  <c r="BS58" i="11"/>
  <c r="I173" i="1"/>
  <c r="M173" i="1"/>
  <c r="AD55" i="11"/>
  <c r="AI61" i="3"/>
  <c r="AK61" i="3" s="1"/>
  <c r="AM61" i="3" s="1"/>
  <c r="V61" i="3"/>
  <c r="X61" i="3" s="1"/>
  <c r="DA17" i="11"/>
  <c r="DA46" i="11"/>
  <c r="AD5" i="5"/>
  <c r="AC56" i="5"/>
  <c r="AC14" i="5"/>
  <c r="AC18" i="5"/>
  <c r="AC25" i="5"/>
  <c r="AC45" i="5"/>
  <c r="FO30" i="11" s="1"/>
  <c r="AC9" i="5"/>
  <c r="K36" i="72" s="1"/>
  <c r="AC34" i="5"/>
  <c r="FO23" i="11" s="1"/>
  <c r="AC7" i="5"/>
  <c r="AC32" i="5"/>
  <c r="FO22" i="11" s="1"/>
  <c r="AC5" i="4"/>
  <c r="AC27" i="4" s="1"/>
  <c r="Y64" i="9"/>
  <c r="AB19" i="5"/>
  <c r="AB20" i="5" s="1"/>
  <c r="FN16" i="11"/>
  <c r="J11" i="72"/>
  <c r="X77" i="3"/>
  <c r="BN24" i="11"/>
  <c r="BN48" i="11"/>
  <c r="BN42" i="11"/>
  <c r="BN58" i="11"/>
  <c r="AK60" i="3"/>
  <c r="R68" i="9"/>
  <c r="R72" i="9" s="1"/>
  <c r="R69" i="9"/>
  <c r="R73" i="9" s="1"/>
  <c r="V20" i="5"/>
  <c r="Q69" i="9"/>
  <c r="Q73" i="9" s="1"/>
  <c r="Q68" i="9"/>
  <c r="Q72" i="9" s="1"/>
  <c r="Y36" i="5"/>
  <c r="Y42" i="5"/>
  <c r="Y35" i="4"/>
  <c r="Y36" i="4" s="1"/>
  <c r="Y23" i="5"/>
  <c r="G22" i="5"/>
  <c r="G11" i="4"/>
  <c r="H12" i="4" s="1"/>
  <c r="ES10" i="11"/>
  <c r="ES12" i="11" s="1"/>
  <c r="G19" i="5"/>
  <c r="H20" i="5" s="1"/>
  <c r="ES16" i="11"/>
  <c r="I16" i="5"/>
  <c r="F85" i="64"/>
  <c r="L55" i="8"/>
  <c r="EZ49" i="11"/>
  <c r="EZ50" i="11"/>
  <c r="M47" i="5"/>
  <c r="M50" i="5"/>
  <c r="N51" i="5" s="1"/>
  <c r="M43" i="5"/>
  <c r="EY28" i="11"/>
  <c r="B128" i="64"/>
  <c r="A128" i="64"/>
  <c r="FL15" i="11"/>
  <c r="FL55" i="11"/>
  <c r="AI74" i="3"/>
  <c r="V74" i="3"/>
  <c r="X67" i="64"/>
  <c r="W102" i="64"/>
  <c r="AD127" i="3"/>
  <c r="I10" i="72"/>
  <c r="I35" i="72"/>
  <c r="I86" i="72"/>
  <c r="I45" i="72"/>
  <c r="I127" i="72"/>
  <c r="AI43" i="3"/>
  <c r="Q172" i="1"/>
  <c r="U172" i="1"/>
  <c r="CW75" i="11"/>
  <c r="CW76" i="11"/>
  <c r="DI47" i="11"/>
  <c r="DI57" i="11"/>
  <c r="DJ47" i="11"/>
  <c r="DJ57" i="11"/>
  <c r="DJ15" i="11"/>
  <c r="DJ55" i="11"/>
  <c r="AO28" i="11"/>
  <c r="AO32" i="11" s="1"/>
  <c r="AO51" i="11" s="1"/>
  <c r="AO49" i="11"/>
  <c r="AO50" i="11"/>
  <c r="V68" i="9"/>
  <c r="V72" i="9" s="1"/>
  <c r="V69" i="9"/>
  <c r="V73" i="9" s="1"/>
  <c r="W7" i="4"/>
  <c r="W12" i="4"/>
  <c r="W31" i="4" s="1"/>
  <c r="W17" i="4"/>
  <c r="W24" i="4"/>
  <c r="W29" i="4"/>
  <c r="T75" i="9"/>
  <c r="U59" i="10"/>
  <c r="T67" i="9"/>
  <c r="T71" i="9" s="1"/>
  <c r="CJ46" i="11"/>
  <c r="CJ17" i="11"/>
  <c r="E63" i="72"/>
  <c r="E104" i="72" s="1"/>
  <c r="E145" i="72"/>
  <c r="FH15" i="11"/>
  <c r="FH55" i="11"/>
  <c r="AN28" i="11"/>
  <c r="AN32" i="11" s="1"/>
  <c r="AN51" i="11" s="1"/>
  <c r="AN49" i="11"/>
  <c r="AN50" i="11"/>
  <c r="E30" i="72"/>
  <c r="X12" i="4"/>
  <c r="X31" i="4" s="1"/>
  <c r="Y44" i="64"/>
  <c r="Y54" i="64" s="1"/>
  <c r="Y75" i="64" s="1"/>
  <c r="Y45" i="64"/>
  <c r="W6" i="64"/>
  <c r="X66" i="64"/>
  <c r="W101" i="64"/>
  <c r="W53" i="64"/>
  <c r="J85" i="64"/>
  <c r="K118" i="64"/>
  <c r="I114" i="64"/>
  <c r="J113" i="64"/>
  <c r="I80" i="64"/>
  <c r="Y47" i="11"/>
  <c r="W47" i="11"/>
  <c r="Z47" i="11"/>
  <c r="R6" i="11"/>
  <c r="S10" i="11"/>
  <c r="S13" i="11"/>
  <c r="S16" i="11"/>
  <c r="R10" i="11"/>
  <c r="R12" i="11" s="1"/>
  <c r="R13" i="11"/>
  <c r="T10" i="11"/>
  <c r="T12" i="11" s="1"/>
  <c r="T16" i="11"/>
  <c r="Y57" i="11" s="1"/>
  <c r="S19" i="11"/>
  <c r="S23" i="11"/>
  <c r="U26" i="11"/>
  <c r="U30" i="11"/>
  <c r="T34" i="11"/>
  <c r="Y59" i="11" s="1"/>
  <c r="T35" i="11"/>
  <c r="T36" i="11"/>
  <c r="T37" i="11"/>
  <c r="R38" i="11"/>
  <c r="T56" i="11"/>
  <c r="M7" i="11"/>
  <c r="U10" i="11"/>
  <c r="U12" i="11" s="1"/>
  <c r="T13" i="11"/>
  <c r="U16" i="11"/>
  <c r="Z57" i="11" s="1"/>
  <c r="T19" i="11"/>
  <c r="T23" i="11"/>
  <c r="R26" i="11"/>
  <c r="R30" i="11"/>
  <c r="U34" i="11"/>
  <c r="U35" i="11"/>
  <c r="U36" i="11"/>
  <c r="U37" i="11"/>
  <c r="S38" i="11"/>
  <c r="U13" i="11"/>
  <c r="U19" i="11"/>
  <c r="U23" i="11"/>
  <c r="S26" i="11"/>
  <c r="S30" i="11"/>
  <c r="R34" i="11"/>
  <c r="W59" i="11" s="1"/>
  <c r="R35" i="11"/>
  <c r="R36" i="11"/>
  <c r="R37" i="11"/>
  <c r="T38" i="11"/>
  <c r="R16" i="11"/>
  <c r="W57" i="11" s="1"/>
  <c r="R19" i="11"/>
  <c r="R23" i="11"/>
  <c r="T26" i="11"/>
  <c r="T30" i="11"/>
  <c r="S34" i="11"/>
  <c r="X59" i="11" s="1"/>
  <c r="S35" i="11"/>
  <c r="S36" i="11"/>
  <c r="S37" i="11"/>
  <c r="U38" i="11"/>
  <c r="S56" i="11"/>
  <c r="R56" i="11"/>
  <c r="U56" i="11"/>
  <c r="X22" i="11"/>
  <c r="X6" i="11"/>
  <c r="Y6" i="11" s="1"/>
  <c r="Z6" i="11" s="1"/>
  <c r="Y22" i="11"/>
  <c r="Z22" i="11"/>
  <c r="W22" i="11"/>
  <c r="AE57" i="11"/>
  <c r="BP24" i="11"/>
  <c r="BP48" i="11"/>
  <c r="BP42" i="11"/>
  <c r="BP58" i="11"/>
  <c r="P85" i="64"/>
  <c r="I88" i="72"/>
  <c r="I47" i="72"/>
  <c r="I129" i="72"/>
  <c r="Q117" i="64"/>
  <c r="R116" i="64"/>
  <c r="X88" i="3"/>
  <c r="DM110" i="1"/>
  <c r="DL114" i="1"/>
  <c r="DM114" i="1" s="1"/>
  <c r="CG42" i="11"/>
  <c r="CG24" i="11"/>
  <c r="CG48" i="11"/>
  <c r="CG58" i="11"/>
  <c r="AM82" i="3"/>
  <c r="BW42" i="11"/>
  <c r="BW24" i="11"/>
  <c r="BW48" i="11"/>
  <c r="BW58" i="11"/>
  <c r="X96" i="3"/>
  <c r="FF15" i="11"/>
  <c r="FF55" i="11"/>
  <c r="U12" i="4"/>
  <c r="U31" i="4" s="1"/>
  <c r="U17" i="4"/>
  <c r="U24" i="4"/>
  <c r="U29" i="4"/>
  <c r="R67" i="9"/>
  <c r="R71" i="9" s="1"/>
  <c r="R75" i="9"/>
  <c r="S59" i="10"/>
  <c r="H23" i="5"/>
  <c r="H36" i="5"/>
  <c r="H35" i="4"/>
  <c r="H36" i="4" s="1"/>
  <c r="H129" i="72"/>
  <c r="H88" i="72"/>
  <c r="H47" i="72"/>
  <c r="AH24" i="11"/>
  <c r="AH48" i="11"/>
  <c r="BV58" i="11"/>
  <c r="BV24" i="11"/>
  <c r="BV42" i="11"/>
  <c r="BV48" i="11"/>
  <c r="AC17" i="11"/>
  <c r="AH58" i="11" s="1"/>
  <c r="AC46" i="11"/>
  <c r="AH51" i="58"/>
  <c r="AG51" i="58"/>
  <c r="AL58" i="11"/>
  <c r="H83" i="64"/>
  <c r="FL47" i="11"/>
  <c r="FL57" i="11"/>
  <c r="DA172" i="1"/>
  <c r="X70" i="3"/>
  <c r="X91" i="3"/>
  <c r="X98" i="3"/>
  <c r="S69" i="9"/>
  <c r="S73" i="9" s="1"/>
  <c r="S68" i="9"/>
  <c r="S72" i="9" s="1"/>
  <c r="Q83" i="64"/>
  <c r="Q84" i="64" s="1"/>
  <c r="X27" i="3"/>
  <c r="DB6" i="11"/>
  <c r="DA76" i="11"/>
  <c r="DA75" i="11"/>
  <c r="V81" i="64"/>
  <c r="U116" i="64"/>
  <c r="AD17" i="11"/>
  <c r="AD46" i="11"/>
  <c r="EZ34" i="11"/>
  <c r="FA59" i="11" s="1"/>
  <c r="AB27" i="4"/>
  <c r="J36" i="72"/>
  <c r="Y63" i="9"/>
  <c r="AB15" i="5"/>
  <c r="AB16" i="5" s="1"/>
  <c r="FN13" i="11"/>
  <c r="J8" i="72"/>
  <c r="C116" i="64"/>
  <c r="X90" i="3"/>
  <c r="X97" i="3"/>
  <c r="V114" i="64"/>
  <c r="W79" i="64"/>
  <c r="BX24" i="11"/>
  <c r="BX48" i="11"/>
  <c r="BX42" i="11"/>
  <c r="BX58" i="11"/>
  <c r="C129" i="72"/>
  <c r="C88" i="72"/>
  <c r="C47" i="72"/>
  <c r="G10" i="72"/>
  <c r="G45" i="72"/>
  <c r="G35" i="72"/>
  <c r="G86" i="72"/>
  <c r="G127" i="72"/>
  <c r="G15" i="5"/>
  <c r="ES13" i="11"/>
  <c r="ES19" i="11"/>
  <c r="L81" i="8"/>
  <c r="EZ52" i="11"/>
  <c r="EU35" i="11"/>
  <c r="T85" i="64"/>
  <c r="H145" i="72"/>
  <c r="H63" i="72"/>
  <c r="H104" i="72" s="1"/>
  <c r="Z7" i="4"/>
  <c r="Z12" i="4"/>
  <c r="Z31" i="4" s="1"/>
  <c r="Z17" i="4"/>
  <c r="Z24" i="4"/>
  <c r="Z29" i="4"/>
  <c r="W75" i="9"/>
  <c r="X59" i="10"/>
  <c r="W67" i="9"/>
  <c r="W71" i="9" s="1"/>
  <c r="E85" i="64"/>
  <c r="V82" i="64"/>
  <c r="U117" i="64"/>
  <c r="CO48" i="11" l="1"/>
  <c r="CO24" i="11"/>
  <c r="X47" i="3"/>
  <c r="CO58" i="11"/>
  <c r="CL48" i="11"/>
  <c r="CL42" i="11"/>
  <c r="S119" i="64"/>
  <c r="T118" i="64"/>
  <c r="CC42" i="11"/>
  <c r="X55" i="11"/>
  <c r="S12" i="11"/>
  <c r="S51" i="5"/>
  <c r="S47" i="5"/>
  <c r="P65" i="9" s="1"/>
  <c r="F49" i="72"/>
  <c r="F68" i="72" s="1"/>
  <c r="F90" i="72"/>
  <c r="F93" i="72" s="1"/>
  <c r="X14" i="4"/>
  <c r="F74" i="72"/>
  <c r="X8" i="4"/>
  <c r="E76" i="72"/>
  <c r="FJ28" i="11"/>
  <c r="X43" i="5"/>
  <c r="X82" i="3"/>
  <c r="X56" i="3"/>
  <c r="F13" i="72"/>
  <c r="F31" i="72" s="1"/>
  <c r="CC58" i="11"/>
  <c r="CC48" i="11"/>
  <c r="X37" i="5"/>
  <c r="FJ46" i="11"/>
  <c r="CM42" i="11"/>
  <c r="X40" i="5"/>
  <c r="AH28" i="5"/>
  <c r="FT20" i="11" s="1"/>
  <c r="DM63" i="1"/>
  <c r="DL161" i="1"/>
  <c r="DL151" i="1"/>
  <c r="AJ43" i="4"/>
  <c r="X25" i="4"/>
  <c r="DN65" i="1"/>
  <c r="CM58" i="11"/>
  <c r="CM48" i="11"/>
  <c r="AM63" i="3"/>
  <c r="DN63" i="1"/>
  <c r="AM62" i="3"/>
  <c r="X25" i="3"/>
  <c r="DR62" i="1"/>
  <c r="DM55" i="1"/>
  <c r="FE58" i="11"/>
  <c r="FE42" i="11"/>
  <c r="FE52" i="11" s="1"/>
  <c r="FE24" i="11"/>
  <c r="FE49" i="11" s="1"/>
  <c r="AI57" i="3"/>
  <c r="AM90" i="3"/>
  <c r="AI92" i="3"/>
  <c r="AK92" i="3" s="1"/>
  <c r="AM99" i="3" s="1"/>
  <c r="AM97" i="3"/>
  <c r="X76" i="3"/>
  <c r="X46" i="3"/>
  <c r="CR58" i="11"/>
  <c r="CF48" i="11"/>
  <c r="AI85" i="3"/>
  <c r="AK85" i="3" s="1"/>
  <c r="CR42" i="11"/>
  <c r="CR48" i="11"/>
  <c r="CF58" i="11"/>
  <c r="CF42" i="11"/>
  <c r="CF60" i="11" s="1"/>
  <c r="X74" i="3"/>
  <c r="AC56" i="58"/>
  <c r="AM77" i="3"/>
  <c r="X54" i="3"/>
  <c r="X49" i="3"/>
  <c r="X83" i="3"/>
  <c r="AM68" i="3"/>
  <c r="AM54" i="3"/>
  <c r="AM26" i="3"/>
  <c r="G117" i="64"/>
  <c r="G83" i="64"/>
  <c r="H116" i="64"/>
  <c r="AK174" i="1"/>
  <c r="AG174" i="1"/>
  <c r="DQ111" i="1"/>
  <c r="DP121" i="1"/>
  <c r="DP131" i="1" s="1"/>
  <c r="G84" i="64"/>
  <c r="P117" i="64"/>
  <c r="O118" i="64"/>
  <c r="K84" i="64"/>
  <c r="K85" i="64" s="1"/>
  <c r="AK173" i="1"/>
  <c r="AG173" i="1"/>
  <c r="AB27" i="8"/>
  <c r="AD27" i="8" s="1"/>
  <c r="AF27" i="8" s="1"/>
  <c r="BR76" i="11"/>
  <c r="BS76" i="11"/>
  <c r="AB27" i="3"/>
  <c r="C233" i="54"/>
  <c r="C234" i="54" s="1"/>
  <c r="C237" i="54" s="1"/>
  <c r="Z28" i="3"/>
  <c r="AB28" i="3" s="1"/>
  <c r="C115" i="64"/>
  <c r="D114" i="64"/>
  <c r="C82" i="64"/>
  <c r="D116" i="64" s="1"/>
  <c r="L116" i="64"/>
  <c r="K117" i="64"/>
  <c r="AL62" i="58"/>
  <c r="DP40" i="1"/>
  <c r="AK62" i="58"/>
  <c r="AD54" i="3"/>
  <c r="AF54" i="3" s="1"/>
  <c r="AD26" i="3"/>
  <c r="AF26" i="3" s="1"/>
  <c r="AK172" i="1"/>
  <c r="AG172" i="1"/>
  <c r="T117" i="64"/>
  <c r="S118" i="64"/>
  <c r="P116" i="64"/>
  <c r="O117" i="64"/>
  <c r="O84" i="64"/>
  <c r="Z134" i="3"/>
  <c r="AI21" i="4"/>
  <c r="AI45" i="4"/>
  <c r="AI46" i="4" s="1"/>
  <c r="AQ47" i="4"/>
  <c r="FU64" i="11"/>
  <c r="AI48" i="4"/>
  <c r="S117" i="64"/>
  <c r="T116" i="64"/>
  <c r="S85" i="64"/>
  <c r="S120" i="64" s="1"/>
  <c r="AL61" i="58"/>
  <c r="DP39" i="1"/>
  <c r="AK61" i="58"/>
  <c r="FH7" i="11"/>
  <c r="FG62" i="11"/>
  <c r="FG37" i="11"/>
  <c r="FG56" i="11"/>
  <c r="FG38" i="11"/>
  <c r="X55" i="3"/>
  <c r="AM25" i="3"/>
  <c r="AB132" i="8"/>
  <c r="AD132" i="8" s="1"/>
  <c r="AF132" i="8" s="1"/>
  <c r="V133" i="8"/>
  <c r="J133" i="3"/>
  <c r="K133" i="3"/>
  <c r="AD132" i="3"/>
  <c r="AF132" i="3" s="1"/>
  <c r="AK132" i="3"/>
  <c r="AM132" i="3" s="1"/>
  <c r="Z133" i="3"/>
  <c r="AB133" i="8" s="1"/>
  <c r="D396" i="54"/>
  <c r="AD131" i="3"/>
  <c r="AF131" i="3" s="1"/>
  <c r="AK131" i="3"/>
  <c r="FD50" i="11"/>
  <c r="DL124" i="1"/>
  <c r="DM124" i="1" s="1"/>
  <c r="ET46" i="11"/>
  <c r="Z18" i="4"/>
  <c r="W18" i="4"/>
  <c r="FD28" i="11"/>
  <c r="R47" i="5"/>
  <c r="P8" i="10" s="1"/>
  <c r="P17" i="10" s="1"/>
  <c r="AM83" i="3"/>
  <c r="DL130" i="1"/>
  <c r="EJ28" i="11" s="1"/>
  <c r="F115" i="72"/>
  <c r="M50" i="10"/>
  <c r="N47" i="10" s="1"/>
  <c r="N50" i="10" s="1"/>
  <c r="AI64" i="3"/>
  <c r="AK64" i="3" s="1"/>
  <c r="U18" i="4"/>
  <c r="ES47" i="11"/>
  <c r="Y110" i="64"/>
  <c r="DL171" i="1"/>
  <c r="DM131" i="1"/>
  <c r="DN131" i="1"/>
  <c r="Q119" i="64"/>
  <c r="R118" i="64"/>
  <c r="G90" i="72"/>
  <c r="G115" i="72"/>
  <c r="BX52" i="11"/>
  <c r="BX60" i="11"/>
  <c r="Y69" i="9"/>
  <c r="Y73" i="9" s="1"/>
  <c r="Y68" i="9"/>
  <c r="Y72" i="9" s="1"/>
  <c r="U85" i="64"/>
  <c r="T86" i="64"/>
  <c r="G49" i="72"/>
  <c r="G74" i="72"/>
  <c r="BX28" i="11"/>
  <c r="BX32" i="11" s="1"/>
  <c r="BX51" i="11" s="1"/>
  <c r="BX49" i="11"/>
  <c r="BX50" i="11"/>
  <c r="J47" i="72"/>
  <c r="J129" i="72"/>
  <c r="J88" i="72"/>
  <c r="DB76" i="11"/>
  <c r="DB75" i="11"/>
  <c r="CC28" i="11"/>
  <c r="CC32" i="11" s="1"/>
  <c r="CC51" i="11" s="1"/>
  <c r="CC49" i="11"/>
  <c r="CC50" i="11"/>
  <c r="BV52" i="11"/>
  <c r="BV60" i="11"/>
  <c r="AH28" i="11"/>
  <c r="AH32" i="11" s="1"/>
  <c r="AH51" i="11" s="1"/>
  <c r="AH49" i="11"/>
  <c r="AH50" i="11"/>
  <c r="BW28" i="11"/>
  <c r="BW32" i="11" s="1"/>
  <c r="BW51" i="11" s="1"/>
  <c r="BW49" i="11"/>
  <c r="BW50" i="11"/>
  <c r="U15" i="11"/>
  <c r="T47" i="11"/>
  <c r="S47" i="11"/>
  <c r="W25" i="64"/>
  <c r="FH46" i="11"/>
  <c r="FH17" i="11"/>
  <c r="I131" i="72"/>
  <c r="I168" i="72"/>
  <c r="I13" i="72"/>
  <c r="I29" i="72"/>
  <c r="Y67" i="64"/>
  <c r="X102" i="64"/>
  <c r="H16" i="5"/>
  <c r="ES15" i="11"/>
  <c r="Z62" i="9"/>
  <c r="AA62" i="10"/>
  <c r="AC8" i="5"/>
  <c r="AC22" i="5"/>
  <c r="AC11" i="4"/>
  <c r="FO10" i="11"/>
  <c r="FO12" i="11" s="1"/>
  <c r="K6" i="72"/>
  <c r="AC26" i="5"/>
  <c r="FO19" i="11"/>
  <c r="K15" i="72"/>
  <c r="AD7" i="5"/>
  <c r="AD32" i="5"/>
  <c r="FP22" i="11" s="1"/>
  <c r="AD5" i="4"/>
  <c r="AE5" i="5"/>
  <c r="AD39" i="5"/>
  <c r="AD56" i="5"/>
  <c r="AD14" i="5"/>
  <c r="AD18" i="5"/>
  <c r="AD25" i="5"/>
  <c r="AD45" i="5"/>
  <c r="FP30" i="11" s="1"/>
  <c r="AD9" i="5"/>
  <c r="L36" i="72" s="1"/>
  <c r="AD34" i="5"/>
  <c r="FP23" i="11" s="1"/>
  <c r="BK52" i="11"/>
  <c r="BK60" i="11"/>
  <c r="X103" i="64"/>
  <c r="Y68" i="64"/>
  <c r="H157" i="72"/>
  <c r="H173" i="72"/>
  <c r="AE24" i="11"/>
  <c r="AE48" i="11"/>
  <c r="CK58" i="11"/>
  <c r="CK24" i="11"/>
  <c r="CK42" i="11"/>
  <c r="CP60" i="11" s="1"/>
  <c r="CK48" i="11"/>
  <c r="CP28" i="11"/>
  <c r="CP32" i="11" s="1"/>
  <c r="CP51" i="11" s="1"/>
  <c r="CP49" i="11"/>
  <c r="CP50" i="11"/>
  <c r="D90" i="72"/>
  <c r="D115" i="72"/>
  <c r="D29" i="72"/>
  <c r="D13" i="72"/>
  <c r="AK39" i="4"/>
  <c r="FV63" i="11"/>
  <c r="AJ47" i="4"/>
  <c r="H90" i="72"/>
  <c r="H115" i="72"/>
  <c r="U118" i="64"/>
  <c r="V83" i="64"/>
  <c r="J43" i="5"/>
  <c r="J47" i="5"/>
  <c r="J50" i="5"/>
  <c r="M51" i="5" s="1"/>
  <c r="EV28" i="11"/>
  <c r="BZ28" i="11"/>
  <c r="BZ32" i="11" s="1"/>
  <c r="BZ51" i="11" s="1"/>
  <c r="BZ49" i="11"/>
  <c r="BZ50" i="11"/>
  <c r="AB7" i="4"/>
  <c r="AB12" i="4"/>
  <c r="AB31" i="4" s="1"/>
  <c r="AB17" i="4"/>
  <c r="AB24" i="4"/>
  <c r="AB29" i="4"/>
  <c r="AB33" i="4"/>
  <c r="Y67" i="9"/>
  <c r="Y71" i="9" s="1"/>
  <c r="Y75" i="9"/>
  <c r="Z59" i="10"/>
  <c r="E115" i="64"/>
  <c r="Y76" i="64"/>
  <c r="X111" i="64"/>
  <c r="BL52" i="11"/>
  <c r="BL60" i="11"/>
  <c r="BM28" i="11"/>
  <c r="BM32" i="11" s="1"/>
  <c r="BM51" i="11" s="1"/>
  <c r="BM49" i="11"/>
  <c r="BM50" i="11"/>
  <c r="C49" i="72"/>
  <c r="EV24" i="11"/>
  <c r="EV48" i="11"/>
  <c r="EV42" i="11"/>
  <c r="EV52" i="11" s="1"/>
  <c r="X106" i="64"/>
  <c r="Y71" i="64"/>
  <c r="AB24" i="11"/>
  <c r="AB48" i="11"/>
  <c r="Z46" i="11"/>
  <c r="Z17" i="11"/>
  <c r="AE58" i="11" s="1"/>
  <c r="E131" i="72"/>
  <c r="E168" i="72"/>
  <c r="E29" i="72"/>
  <c r="E13" i="72"/>
  <c r="DI46" i="11"/>
  <c r="DI17" i="11"/>
  <c r="Z43" i="5"/>
  <c r="Z50" i="5"/>
  <c r="FL28" i="11"/>
  <c r="F26" i="5"/>
  <c r="ER19" i="11"/>
  <c r="FK17" i="11"/>
  <c r="FK46" i="11"/>
  <c r="CH24" i="11"/>
  <c r="CH48" i="11"/>
  <c r="CH42" i="11"/>
  <c r="CM60" i="11" s="1"/>
  <c r="CH58" i="11"/>
  <c r="D117" i="72"/>
  <c r="D110" i="72"/>
  <c r="CW24" i="11"/>
  <c r="CW48" i="11"/>
  <c r="CW42" i="11"/>
  <c r="CW58" i="11"/>
  <c r="F157" i="72"/>
  <c r="F173" i="72"/>
  <c r="F168" i="72"/>
  <c r="DF42" i="11"/>
  <c r="DF24" i="11"/>
  <c r="DF48" i="11"/>
  <c r="DF58" i="11"/>
  <c r="I69" i="72"/>
  <c r="I76" i="72"/>
  <c r="CM28" i="11"/>
  <c r="CM32" i="11" s="1"/>
  <c r="CM51" i="11" s="1"/>
  <c r="CM49" i="11"/>
  <c r="CM50" i="11"/>
  <c r="CR28" i="11"/>
  <c r="CR32" i="11" s="1"/>
  <c r="CR51" i="11" s="1"/>
  <c r="CR49" i="11"/>
  <c r="CR50" i="11"/>
  <c r="ET42" i="11"/>
  <c r="ET52" i="11" s="1"/>
  <c r="ET24" i="11"/>
  <c r="ET48" i="11"/>
  <c r="U37" i="5"/>
  <c r="U39" i="5"/>
  <c r="W80" i="64"/>
  <c r="V115" i="64"/>
  <c r="X57" i="11"/>
  <c r="DN55" i="11"/>
  <c r="DN15" i="11"/>
  <c r="DK17" i="11"/>
  <c r="DK46" i="11"/>
  <c r="BQ28" i="11"/>
  <c r="BQ32" i="11" s="1"/>
  <c r="BQ51" i="11" s="1"/>
  <c r="BQ49" i="11"/>
  <c r="BQ50" i="11"/>
  <c r="CQ28" i="11"/>
  <c r="CQ32" i="11" s="1"/>
  <c r="CQ51" i="11" s="1"/>
  <c r="CQ49" i="11"/>
  <c r="CQ50" i="11"/>
  <c r="E86" i="64"/>
  <c r="Z8" i="4"/>
  <c r="Z14" i="4"/>
  <c r="FL68" i="11"/>
  <c r="G168" i="72"/>
  <c r="G131" i="72"/>
  <c r="G13" i="72"/>
  <c r="G29" i="72"/>
  <c r="X79" i="64"/>
  <c r="W114" i="64"/>
  <c r="J75" i="72"/>
  <c r="J116" i="72"/>
  <c r="J169" i="72"/>
  <c r="W81" i="64"/>
  <c r="V116" i="64"/>
  <c r="H118" i="64"/>
  <c r="H84" i="64"/>
  <c r="BV28" i="11"/>
  <c r="BV32" i="11" s="1"/>
  <c r="BV51" i="11" s="1"/>
  <c r="BV49" i="11"/>
  <c r="BV50" i="11"/>
  <c r="U25" i="4"/>
  <c r="FG67" i="11"/>
  <c r="FF17" i="11"/>
  <c r="FF46" i="11"/>
  <c r="BW52" i="11"/>
  <c r="BW60" i="11"/>
  <c r="CG28" i="11"/>
  <c r="CG32" i="11" s="1"/>
  <c r="CG51" i="11" s="1"/>
  <c r="CG49" i="11"/>
  <c r="CG50" i="11"/>
  <c r="BP52" i="11"/>
  <c r="BP60" i="11"/>
  <c r="M6" i="11"/>
  <c r="N10" i="11"/>
  <c r="N13" i="11"/>
  <c r="N16" i="11"/>
  <c r="M10" i="11"/>
  <c r="M13" i="11"/>
  <c r="H7" i="11"/>
  <c r="P13" i="11"/>
  <c r="M16" i="11"/>
  <c r="R57" i="11" s="1"/>
  <c r="N19" i="11"/>
  <c r="N23" i="11"/>
  <c r="P26" i="11"/>
  <c r="P30" i="11"/>
  <c r="O34" i="11"/>
  <c r="T59" i="11" s="1"/>
  <c r="O35" i="11"/>
  <c r="O36" i="11"/>
  <c r="O37" i="11"/>
  <c r="M38" i="11"/>
  <c r="O56" i="11"/>
  <c r="O16" i="11"/>
  <c r="O19" i="11"/>
  <c r="O23" i="11"/>
  <c r="M26" i="11"/>
  <c r="M30" i="11"/>
  <c r="P34" i="11"/>
  <c r="U59" i="11" s="1"/>
  <c r="P35" i="11"/>
  <c r="P36" i="11"/>
  <c r="P37" i="11"/>
  <c r="N38" i="11"/>
  <c r="O10" i="11"/>
  <c r="P16" i="11"/>
  <c r="U57" i="11" s="1"/>
  <c r="P19" i="11"/>
  <c r="P23" i="11"/>
  <c r="N26" i="11"/>
  <c r="N30" i="11"/>
  <c r="M34" i="11"/>
  <c r="M35" i="11"/>
  <c r="M36" i="11"/>
  <c r="M37" i="11"/>
  <c r="O38" i="11"/>
  <c r="P10" i="11"/>
  <c r="P12" i="11" s="1"/>
  <c r="O13" i="11"/>
  <c r="M19" i="11"/>
  <c r="M23" i="11"/>
  <c r="O26" i="11"/>
  <c r="O30" i="11"/>
  <c r="N34" i="11"/>
  <c r="N35" i="11"/>
  <c r="N36" i="11"/>
  <c r="N37" i="11"/>
  <c r="P38" i="11"/>
  <c r="N56" i="11"/>
  <c r="P56" i="11"/>
  <c r="M56" i="11"/>
  <c r="T15" i="11"/>
  <c r="CJ24" i="11"/>
  <c r="CJ48" i="11"/>
  <c r="CJ42" i="11"/>
  <c r="CO60" i="11" s="1"/>
  <c r="CJ58" i="11"/>
  <c r="I49" i="72"/>
  <c r="I74" i="72"/>
  <c r="V8" i="10"/>
  <c r="U65" i="9"/>
  <c r="X53" i="5"/>
  <c r="X48" i="5"/>
  <c r="FJ32" i="11"/>
  <c r="F120" i="64"/>
  <c r="F86" i="64"/>
  <c r="G119" i="64"/>
  <c r="BN52" i="11"/>
  <c r="BN60" i="11"/>
  <c r="Z64" i="9"/>
  <c r="AC19" i="5"/>
  <c r="AC20" i="5" s="1"/>
  <c r="FO16" i="11"/>
  <c r="K11" i="72"/>
  <c r="BS28" i="11"/>
  <c r="BS32" i="11" s="1"/>
  <c r="BS51" i="11" s="1"/>
  <c r="BS49" i="11"/>
  <c r="BS50" i="11"/>
  <c r="H110" i="72"/>
  <c r="H117" i="72"/>
  <c r="DE58" i="11"/>
  <c r="DE24" i="11"/>
  <c r="DE42" i="11"/>
  <c r="DE48" i="11"/>
  <c r="AM88" i="3"/>
  <c r="AM95" i="3"/>
  <c r="X17" i="11"/>
  <c r="AC58" i="11" s="1"/>
  <c r="X46" i="11"/>
  <c r="D177" i="72"/>
  <c r="D178" i="72" s="1"/>
  <c r="D80" i="72"/>
  <c r="D81" i="72" s="1"/>
  <c r="D121" i="72"/>
  <c r="D122" i="72" s="1"/>
  <c r="EY49" i="11"/>
  <c r="EY50" i="11"/>
  <c r="H131" i="72"/>
  <c r="H168" i="72"/>
  <c r="H29" i="72"/>
  <c r="H13" i="72"/>
  <c r="FJ34" i="11"/>
  <c r="CZ58" i="11"/>
  <c r="CZ24" i="11"/>
  <c r="CZ42" i="11"/>
  <c r="CZ48" i="11"/>
  <c r="Y8" i="4"/>
  <c r="Y14" i="4"/>
  <c r="FK68" i="11"/>
  <c r="CB28" i="11"/>
  <c r="CB32" i="11" s="1"/>
  <c r="CB51" i="11" s="1"/>
  <c r="CB49" i="11"/>
  <c r="CB50" i="11"/>
  <c r="AB42" i="5"/>
  <c r="AB35" i="4"/>
  <c r="AB23" i="5"/>
  <c r="AB36" i="5"/>
  <c r="J63" i="72"/>
  <c r="J104" i="72" s="1"/>
  <c r="J145" i="72"/>
  <c r="E116" i="64"/>
  <c r="D83" i="64"/>
  <c r="BR28" i="11"/>
  <c r="BR32" i="11" s="1"/>
  <c r="BR51" i="11" s="1"/>
  <c r="BR49" i="11"/>
  <c r="BR50" i="11"/>
  <c r="BL28" i="11"/>
  <c r="BL32" i="11" s="1"/>
  <c r="BL51" i="11" s="1"/>
  <c r="BL49" i="11"/>
  <c r="BL50" i="11"/>
  <c r="BM60" i="11"/>
  <c r="BM52" i="11"/>
  <c r="FJ24" i="11"/>
  <c r="FJ42" i="11"/>
  <c r="FJ48" i="11"/>
  <c r="C29" i="72"/>
  <c r="C13" i="72"/>
  <c r="DG6" i="11"/>
  <c r="DF76" i="11"/>
  <c r="DF75" i="11"/>
  <c r="Y72" i="64"/>
  <c r="X107" i="64"/>
  <c r="V43" i="5"/>
  <c r="V50" i="5"/>
  <c r="FH28" i="11"/>
  <c r="E49" i="72"/>
  <c r="E74" i="72"/>
  <c r="CE24" i="11"/>
  <c r="CE48" i="11"/>
  <c r="CE42" i="11"/>
  <c r="CE58" i="11"/>
  <c r="AA14" i="4"/>
  <c r="AA8" i="4"/>
  <c r="FM68" i="11"/>
  <c r="Z40" i="5"/>
  <c r="Z47" i="5"/>
  <c r="Z37" i="5"/>
  <c r="E9" i="5"/>
  <c r="E5" i="4"/>
  <c r="E27" i="4" s="1"/>
  <c r="E7" i="5"/>
  <c r="F8" i="5" s="1"/>
  <c r="E32" i="5"/>
  <c r="L84" i="64"/>
  <c r="AI28" i="11"/>
  <c r="AI32" i="11" s="1"/>
  <c r="AI51" i="11" s="1"/>
  <c r="AI49" i="11"/>
  <c r="AI50" i="11"/>
  <c r="F153" i="72"/>
  <c r="F134" i="72"/>
  <c r="I173" i="72"/>
  <c r="I157" i="72"/>
  <c r="AL35" i="58"/>
  <c r="AN35" i="58"/>
  <c r="AJ58" i="11"/>
  <c r="R87" i="64"/>
  <c r="FD52" i="11"/>
  <c r="FD60" i="11"/>
  <c r="C69" i="72"/>
  <c r="G76" i="72"/>
  <c r="G69" i="72"/>
  <c r="CO52" i="11"/>
  <c r="V25" i="4"/>
  <c r="FH67" i="11"/>
  <c r="DN47" i="11"/>
  <c r="DN57" i="11"/>
  <c r="DP47" i="11"/>
  <c r="DP57" i="11"/>
  <c r="DO47" i="11"/>
  <c r="DO57" i="11"/>
  <c r="Y74" i="64"/>
  <c r="X109" i="64"/>
  <c r="AG28" i="11"/>
  <c r="AG32" i="11" s="1"/>
  <c r="AG51" i="11" s="1"/>
  <c r="AG49" i="11"/>
  <c r="AG50" i="11"/>
  <c r="CQ52" i="11"/>
  <c r="CQ60" i="11"/>
  <c r="AC24" i="11"/>
  <c r="AC48" i="11"/>
  <c r="CG60" i="11"/>
  <c r="CG52" i="11"/>
  <c r="P86" i="64"/>
  <c r="R47" i="11"/>
  <c r="U47" i="11"/>
  <c r="S15" i="11"/>
  <c r="W14" i="4"/>
  <c r="FI68" i="11"/>
  <c r="I90" i="72"/>
  <c r="I115" i="72"/>
  <c r="AK74" i="3"/>
  <c r="AM74" i="3" s="1"/>
  <c r="AI78" i="3"/>
  <c r="AK78" i="3" s="1"/>
  <c r="AM78" i="3" s="1"/>
  <c r="A129" i="64"/>
  <c r="B129" i="64"/>
  <c r="EY34" i="11"/>
  <c r="EY59" i="11" s="1"/>
  <c r="F119" i="64"/>
  <c r="G35" i="4"/>
  <c r="G36" i="4" s="1"/>
  <c r="G23" i="5"/>
  <c r="G36" i="5"/>
  <c r="Y50" i="5"/>
  <c r="Y43" i="5"/>
  <c r="FK28" i="11"/>
  <c r="J37" i="72"/>
  <c r="J91" i="72"/>
  <c r="J30" i="72"/>
  <c r="J132" i="72"/>
  <c r="J50" i="72"/>
  <c r="K116" i="72"/>
  <c r="K75" i="72"/>
  <c r="K169" i="72"/>
  <c r="Z63" i="9"/>
  <c r="AC15" i="5"/>
  <c r="AC16" i="5" s="1"/>
  <c r="FO13" i="11"/>
  <c r="K8" i="72"/>
  <c r="DA42" i="11"/>
  <c r="DA24" i="11"/>
  <c r="DA48" i="11"/>
  <c r="DA58" i="11"/>
  <c r="F121" i="72"/>
  <c r="F122" i="72" s="1"/>
  <c r="F80" i="72"/>
  <c r="F81" i="72" s="1"/>
  <c r="F177" i="72"/>
  <c r="F178" i="72" s="1"/>
  <c r="BK28" i="11"/>
  <c r="BK32" i="11" s="1"/>
  <c r="BK51" i="11" s="1"/>
  <c r="BK49" i="11"/>
  <c r="BK50" i="11"/>
  <c r="CU58" i="11"/>
  <c r="CU24" i="11"/>
  <c r="CU42" i="11"/>
  <c r="CU48" i="11"/>
  <c r="DG24" i="11"/>
  <c r="DG48" i="11"/>
  <c r="DG34" i="11"/>
  <c r="DG59" i="11" s="1"/>
  <c r="DG42" i="11"/>
  <c r="DG58" i="11"/>
  <c r="W113" i="64"/>
  <c r="X78" i="64"/>
  <c r="AI50" i="3"/>
  <c r="W46" i="11"/>
  <c r="W17" i="11"/>
  <c r="D131" i="72"/>
  <c r="D168" i="72"/>
  <c r="FI46" i="11"/>
  <c r="FI17" i="11"/>
  <c r="EY60" i="11"/>
  <c r="EY52" i="11"/>
  <c r="O35" i="10"/>
  <c r="O60" i="10" s="1"/>
  <c r="O48" i="10"/>
  <c r="O53" i="10" s="1"/>
  <c r="AA37" i="5"/>
  <c r="AA39" i="5"/>
  <c r="AA42" i="5" s="1"/>
  <c r="AC55" i="58"/>
  <c r="AD55" i="58"/>
  <c r="CA52" i="11"/>
  <c r="CA60" i="11"/>
  <c r="H49" i="72"/>
  <c r="H74" i="72"/>
  <c r="Y25" i="4"/>
  <c r="FK67" i="11"/>
  <c r="CB52" i="11"/>
  <c r="CB60" i="11"/>
  <c r="BZ52" i="11"/>
  <c r="J35" i="72"/>
  <c r="J86" i="72"/>
  <c r="J45" i="72"/>
  <c r="J127" i="72"/>
  <c r="J10" i="72"/>
  <c r="BR52" i="11"/>
  <c r="BR60" i="11"/>
  <c r="AM67" i="3"/>
  <c r="CL28" i="11"/>
  <c r="CL32" i="11" s="1"/>
  <c r="CL51" i="11" s="1"/>
  <c r="CL49" i="11"/>
  <c r="CL50" i="11"/>
  <c r="C131" i="72"/>
  <c r="T50" i="5"/>
  <c r="T43" i="5"/>
  <c r="FF28" i="11"/>
  <c r="DD24" i="11"/>
  <c r="DD48" i="11"/>
  <c r="DD42" i="11"/>
  <c r="DD58" i="11"/>
  <c r="Z59" i="11"/>
  <c r="E69" i="72"/>
  <c r="V38" i="5"/>
  <c r="V39" i="5"/>
  <c r="V47" i="5" s="1"/>
  <c r="V37" i="5"/>
  <c r="E90" i="72"/>
  <c r="E115" i="72"/>
  <c r="N89" i="64"/>
  <c r="AA25" i="4"/>
  <c r="FM67" i="11"/>
  <c r="F19" i="5"/>
  <c r="G20" i="5" s="1"/>
  <c r="ER16" i="11"/>
  <c r="F117" i="72"/>
  <c r="F110" i="72"/>
  <c r="X53" i="3"/>
  <c r="CT24" i="11"/>
  <c r="CT48" i="11"/>
  <c r="CT42" i="11"/>
  <c r="CT58" i="11"/>
  <c r="I110" i="72"/>
  <c r="I117" i="72"/>
  <c r="CM52" i="11"/>
  <c r="C157" i="72"/>
  <c r="G157" i="72"/>
  <c r="G173" i="72"/>
  <c r="M116" i="64"/>
  <c r="N115" i="64"/>
  <c r="M82" i="64"/>
  <c r="Y55" i="11"/>
  <c r="E157" i="72"/>
  <c r="V18" i="4"/>
  <c r="W43" i="5"/>
  <c r="W50" i="5"/>
  <c r="FI28" i="11"/>
  <c r="CV42" i="11"/>
  <c r="CV24" i="11"/>
  <c r="CV48" i="11"/>
  <c r="CV58" i="11"/>
  <c r="DP15" i="11"/>
  <c r="DP55" i="11"/>
  <c r="DO15" i="11"/>
  <c r="DO55" i="11"/>
  <c r="V117" i="64"/>
  <c r="W82" i="64"/>
  <c r="CF28" i="11"/>
  <c r="CF32" i="11" s="1"/>
  <c r="CF51" i="11" s="1"/>
  <c r="CF49" i="11"/>
  <c r="CF50" i="11"/>
  <c r="Z25" i="4"/>
  <c r="FL67" i="11"/>
  <c r="CC52" i="11"/>
  <c r="CC60" i="11"/>
  <c r="G177" i="72"/>
  <c r="G178" i="72" s="1"/>
  <c r="G80" i="72"/>
  <c r="G81" i="72" s="1"/>
  <c r="G121" i="72"/>
  <c r="G122" i="72" s="1"/>
  <c r="AD24" i="11"/>
  <c r="AD48" i="11"/>
  <c r="Q118" i="64"/>
  <c r="R117" i="64"/>
  <c r="H42" i="5"/>
  <c r="H37" i="5"/>
  <c r="H40" i="5"/>
  <c r="Q85" i="64"/>
  <c r="BP28" i="11"/>
  <c r="BP32" i="11" s="1"/>
  <c r="BP51" i="11" s="1"/>
  <c r="BP49" i="11"/>
  <c r="BP50" i="11"/>
  <c r="R15" i="11"/>
  <c r="S22" i="11"/>
  <c r="T22" i="11"/>
  <c r="U22" i="11"/>
  <c r="S6" i="11"/>
  <c r="T6" i="11" s="1"/>
  <c r="U6" i="11" s="1"/>
  <c r="R22" i="11"/>
  <c r="I115" i="64"/>
  <c r="J114" i="64"/>
  <c r="I81" i="64"/>
  <c r="J86" i="64"/>
  <c r="X6" i="64"/>
  <c r="Y66" i="64"/>
  <c r="X101" i="64"/>
  <c r="X53" i="64"/>
  <c r="W25" i="4"/>
  <c r="FI67" i="11"/>
  <c r="DJ17" i="11"/>
  <c r="DJ46" i="11"/>
  <c r="I80" i="72"/>
  <c r="I81" i="72" s="1"/>
  <c r="I177" i="72"/>
  <c r="I178" i="72" s="1"/>
  <c r="I121" i="72"/>
  <c r="I122" i="72" s="1"/>
  <c r="FL46" i="11"/>
  <c r="FL17" i="11"/>
  <c r="M48" i="5"/>
  <c r="M53" i="5"/>
  <c r="N54" i="5" s="1"/>
  <c r="EY32" i="11"/>
  <c r="EY51" i="11" s="1"/>
  <c r="Y47" i="5"/>
  <c r="Y37" i="5"/>
  <c r="Y40" i="5"/>
  <c r="BN28" i="11"/>
  <c r="BN32" i="11" s="1"/>
  <c r="BN51" i="11" s="1"/>
  <c r="BN49" i="11"/>
  <c r="BN50" i="11"/>
  <c r="FN57" i="11"/>
  <c r="FN47" i="11"/>
  <c r="AA56" i="10"/>
  <c r="FO36" i="11"/>
  <c r="K24" i="72"/>
  <c r="BS52" i="11"/>
  <c r="BS60" i="11"/>
  <c r="H69" i="72"/>
  <c r="H76" i="72"/>
  <c r="X108" i="64"/>
  <c r="Y73" i="64"/>
  <c r="X68" i="3"/>
  <c r="FG17" i="11"/>
  <c r="FG46" i="11"/>
  <c r="CY24" i="11"/>
  <c r="CY48" i="11"/>
  <c r="CY42" i="11"/>
  <c r="CY58" i="11"/>
  <c r="W55" i="11"/>
  <c r="X18" i="4"/>
  <c r="CP52" i="11"/>
  <c r="Y70" i="64"/>
  <c r="X105" i="64"/>
  <c r="D74" i="72"/>
  <c r="D49" i="72"/>
  <c r="Q54" i="5"/>
  <c r="FC35" i="11"/>
  <c r="DB24" i="11"/>
  <c r="DB48" i="11"/>
  <c r="DB42" i="11"/>
  <c r="DB58" i="11"/>
  <c r="CA28" i="11"/>
  <c r="CA32" i="11" s="1"/>
  <c r="CA51" i="11" s="1"/>
  <c r="CA49" i="11"/>
  <c r="CA50" i="11"/>
  <c r="H121" i="72"/>
  <c r="H122" i="72" s="1"/>
  <c r="H177" i="72"/>
  <c r="H178" i="72" s="1"/>
  <c r="H80" i="72"/>
  <c r="H81" i="72" s="1"/>
  <c r="J95" i="72"/>
  <c r="J136" i="72"/>
  <c r="J54" i="72"/>
  <c r="FN15" i="11"/>
  <c r="FN55" i="11"/>
  <c r="CL52" i="11"/>
  <c r="CL60" i="11"/>
  <c r="C90" i="72"/>
  <c r="T37" i="5"/>
  <c r="T39" i="5"/>
  <c r="FF26" i="11" s="1"/>
  <c r="V84" i="64"/>
  <c r="U119" i="64"/>
  <c r="Z55" i="11"/>
  <c r="X77" i="64"/>
  <c r="W112" i="64"/>
  <c r="X81" i="3"/>
  <c r="E121" i="72"/>
  <c r="E122" i="72" s="1"/>
  <c r="E80" i="72"/>
  <c r="E81" i="72" s="1"/>
  <c r="E177" i="72"/>
  <c r="E178" i="72" s="1"/>
  <c r="DJ75" i="11"/>
  <c r="DK6" i="11"/>
  <c r="DJ76" i="11"/>
  <c r="DL46" i="11"/>
  <c r="DL17" i="11"/>
  <c r="AA18" i="4"/>
  <c r="ER26" i="11"/>
  <c r="F22" i="5"/>
  <c r="F11" i="4"/>
  <c r="G12" i="4" s="1"/>
  <c r="ER10" i="11"/>
  <c r="ER12" i="11" s="1"/>
  <c r="F15" i="5"/>
  <c r="G16" i="5" s="1"/>
  <c r="ER13" i="11"/>
  <c r="D69" i="72"/>
  <c r="D76" i="72"/>
  <c r="D157" i="72"/>
  <c r="D173" i="72"/>
  <c r="EZ35" i="11"/>
  <c r="X104" i="64"/>
  <c r="Y69" i="64"/>
  <c r="F76" i="72"/>
  <c r="F69" i="72"/>
  <c r="AI58" i="11"/>
  <c r="BU24" i="11"/>
  <c r="BU48" i="11"/>
  <c r="BU42" i="11"/>
  <c r="BU58" i="11"/>
  <c r="AJ28" i="11"/>
  <c r="AJ32" i="11" s="1"/>
  <c r="AJ51" i="11" s="1"/>
  <c r="AJ49" i="11"/>
  <c r="AJ50" i="11"/>
  <c r="C110" i="72"/>
  <c r="G117" i="72"/>
  <c r="G110" i="72"/>
  <c r="U50" i="5"/>
  <c r="U43" i="5"/>
  <c r="FG28" i="11"/>
  <c r="T25" i="4"/>
  <c r="FF67" i="11"/>
  <c r="CO28" i="11"/>
  <c r="CO32" i="11" s="1"/>
  <c r="CO51" i="11" s="1"/>
  <c r="CO49" i="11"/>
  <c r="CO50" i="11"/>
  <c r="Y17" i="11"/>
  <c r="Y46" i="11"/>
  <c r="E173" i="72"/>
  <c r="W37" i="5"/>
  <c r="W39" i="5"/>
  <c r="W47" i="5" s="1"/>
  <c r="DQ47" i="11"/>
  <c r="DQ57" i="11"/>
  <c r="DQ15" i="11"/>
  <c r="DQ55" i="11"/>
  <c r="DS6" i="11"/>
  <c r="DT10" i="11"/>
  <c r="DT12" i="11" s="1"/>
  <c r="DT13" i="11"/>
  <c r="DS10" i="11"/>
  <c r="DS12" i="11" s="1"/>
  <c r="DS13" i="11"/>
  <c r="DT16" i="11"/>
  <c r="DT19" i="11"/>
  <c r="DT23" i="11"/>
  <c r="DV26" i="11"/>
  <c r="DU30" i="11"/>
  <c r="DU35" i="11"/>
  <c r="DU36" i="11"/>
  <c r="DU37" i="11"/>
  <c r="DS38" i="11"/>
  <c r="DU56" i="11"/>
  <c r="DX7" i="11"/>
  <c r="DU13" i="11"/>
  <c r="DU16" i="11"/>
  <c r="DU19" i="11"/>
  <c r="DU23" i="11"/>
  <c r="DS26" i="11"/>
  <c r="DV30" i="11"/>
  <c r="DV35" i="11"/>
  <c r="DV36" i="11"/>
  <c r="DV37" i="11"/>
  <c r="DT38" i="11"/>
  <c r="DU10" i="11"/>
  <c r="DU12" i="11" s="1"/>
  <c r="DV13" i="11"/>
  <c r="DV16" i="11"/>
  <c r="DV19" i="11"/>
  <c r="DV23" i="11"/>
  <c r="DT26" i="11"/>
  <c r="DS30" i="11"/>
  <c r="DS35" i="11"/>
  <c r="DS36" i="11"/>
  <c r="DS37" i="11"/>
  <c r="DU38" i="11"/>
  <c r="DV10" i="11"/>
  <c r="DV12" i="11" s="1"/>
  <c r="DS16" i="11"/>
  <c r="DS19" i="11"/>
  <c r="DS23" i="11"/>
  <c r="DU26" i="11"/>
  <c r="DT30" i="11"/>
  <c r="DT35" i="11"/>
  <c r="DT36" i="11"/>
  <c r="DT37" i="11"/>
  <c r="DV38" i="11"/>
  <c r="DT56" i="11"/>
  <c r="DS56" i="11"/>
  <c r="DV56" i="11"/>
  <c r="DO22" i="11"/>
  <c r="DP22" i="11"/>
  <c r="DO6" i="11"/>
  <c r="DQ22" i="11"/>
  <c r="DN22" i="11"/>
  <c r="DN76" i="11"/>
  <c r="DN75" i="11"/>
  <c r="FM46" i="11"/>
  <c r="FM17" i="11"/>
  <c r="AG58" i="11"/>
  <c r="BQ52" i="11"/>
  <c r="BQ60" i="11"/>
  <c r="Y15" i="4" l="1"/>
  <c r="X15" i="4"/>
  <c r="FJ51" i="11"/>
  <c r="U88" i="9"/>
  <c r="U90" i="9" s="1"/>
  <c r="T55" i="11"/>
  <c r="O12" i="11"/>
  <c r="S55" i="11"/>
  <c r="N12" i="11"/>
  <c r="R55" i="11"/>
  <c r="M12" i="11"/>
  <c r="DP161" i="1"/>
  <c r="EP28" i="11"/>
  <c r="F52" i="72"/>
  <c r="S53" i="5"/>
  <c r="FE35" i="11" s="1"/>
  <c r="FE50" i="11"/>
  <c r="Q8" i="10"/>
  <c r="Q17" i="10" s="1"/>
  <c r="Q35" i="10" s="1"/>
  <c r="Q60" i="10" s="1"/>
  <c r="FE32" i="11"/>
  <c r="S48" i="5"/>
  <c r="F109" i="72"/>
  <c r="F16" i="72"/>
  <c r="F21" i="72" s="1"/>
  <c r="F23" i="72" s="1"/>
  <c r="CF52" i="11"/>
  <c r="F26" i="72"/>
  <c r="F38" i="72"/>
  <c r="CR60" i="11"/>
  <c r="DL150" i="1"/>
  <c r="DL160" i="1"/>
  <c r="FE60" i="11"/>
  <c r="DP49" i="1"/>
  <c r="DP108" i="1" s="1"/>
  <c r="DP50" i="1"/>
  <c r="DP109" i="1" s="1"/>
  <c r="CR52" i="11"/>
  <c r="AM92" i="3"/>
  <c r="AB36" i="4"/>
  <c r="AB18" i="4"/>
  <c r="T119" i="64"/>
  <c r="AI22" i="4"/>
  <c r="FU66" i="11"/>
  <c r="DR40" i="1"/>
  <c r="DQ40" i="1"/>
  <c r="AB28" i="8"/>
  <c r="AD28" i="8" s="1"/>
  <c r="AF28" i="8" s="1"/>
  <c r="AB53" i="3"/>
  <c r="AD55" i="3"/>
  <c r="AF55" i="3" s="1"/>
  <c r="AD27" i="3"/>
  <c r="AF27" i="3" s="1"/>
  <c r="AK27" i="3"/>
  <c r="AD56" i="3"/>
  <c r="AF56" i="3" s="1"/>
  <c r="AD28" i="3"/>
  <c r="AF28" i="3" s="1"/>
  <c r="AK28" i="3"/>
  <c r="DP151" i="1"/>
  <c r="DQ131" i="1"/>
  <c r="DP171" i="1"/>
  <c r="DQ171" i="1" s="1"/>
  <c r="L118" i="64"/>
  <c r="FU65" i="11"/>
  <c r="FU76" i="11"/>
  <c r="Z43" i="64"/>
  <c r="C117" i="64"/>
  <c r="C83" i="64"/>
  <c r="Z32" i="3"/>
  <c r="C238" i="54"/>
  <c r="D237" i="54"/>
  <c r="AB29" i="3"/>
  <c r="S86" i="64"/>
  <c r="G118" i="64"/>
  <c r="H117" i="64"/>
  <c r="K119" i="64"/>
  <c r="DP44" i="1"/>
  <c r="DR39" i="1"/>
  <c r="DQ39" i="1"/>
  <c r="O119" i="64"/>
  <c r="P118" i="64"/>
  <c r="O85" i="64"/>
  <c r="G85" i="64"/>
  <c r="H119" i="64" s="1"/>
  <c r="DR131" i="1"/>
  <c r="K86" i="64"/>
  <c r="FI7" i="11"/>
  <c r="FH62" i="11"/>
  <c r="FH56" i="11"/>
  <c r="FH37" i="11"/>
  <c r="FH38" i="11"/>
  <c r="DL134" i="1"/>
  <c r="DM134" i="1" s="1"/>
  <c r="V134" i="8"/>
  <c r="AB133" i="3"/>
  <c r="M133" i="3"/>
  <c r="O133" i="3" s="1"/>
  <c r="V133" i="3"/>
  <c r="X133" i="3" s="1"/>
  <c r="K134" i="3"/>
  <c r="DM130" i="1"/>
  <c r="DN130" i="1"/>
  <c r="FD32" i="11"/>
  <c r="FD51" i="11" s="1"/>
  <c r="R53" i="5"/>
  <c r="S54" i="5" s="1"/>
  <c r="R48" i="5"/>
  <c r="L9" i="9"/>
  <c r="L54" i="9" s="1"/>
  <c r="L59" i="9" s="1"/>
  <c r="O65" i="9"/>
  <c r="AA15" i="4"/>
  <c r="AM71" i="3"/>
  <c r="T47" i="5"/>
  <c r="T53" i="5" s="1"/>
  <c r="AA47" i="5"/>
  <c r="AA53" i="5" s="1"/>
  <c r="AA43" i="5"/>
  <c r="AA50" i="5"/>
  <c r="FM28" i="11"/>
  <c r="FM82" i="11" s="1"/>
  <c r="T8" i="10"/>
  <c r="S65" i="9"/>
  <c r="V48" i="5"/>
  <c r="V53" i="5"/>
  <c r="FH32" i="11"/>
  <c r="DS47" i="11"/>
  <c r="DS57" i="11"/>
  <c r="DV15" i="11"/>
  <c r="DV55" i="11"/>
  <c r="DU47" i="11"/>
  <c r="DU57" i="11"/>
  <c r="DT57" i="11"/>
  <c r="DT47" i="11"/>
  <c r="DT15" i="11"/>
  <c r="DT55" i="11"/>
  <c r="FI26" i="11"/>
  <c r="E18" i="72"/>
  <c r="Y24" i="11"/>
  <c r="Y48" i="11"/>
  <c r="U51" i="5"/>
  <c r="FG34" i="11"/>
  <c r="BU52" i="11"/>
  <c r="BU60" i="11"/>
  <c r="ER15" i="11"/>
  <c r="W84" i="64"/>
  <c r="V119" i="64"/>
  <c r="C93" i="72"/>
  <c r="C109" i="72"/>
  <c r="FN17" i="11"/>
  <c r="FN46" i="11"/>
  <c r="Y105" i="64"/>
  <c r="CY28" i="11"/>
  <c r="CY49" i="11"/>
  <c r="CY50" i="11"/>
  <c r="Y108" i="64"/>
  <c r="K120" i="64"/>
  <c r="J87" i="64"/>
  <c r="M9" i="9"/>
  <c r="O47" i="10"/>
  <c r="O50" i="10" s="1"/>
  <c r="AD58" i="11"/>
  <c r="M117" i="64"/>
  <c r="N116" i="64"/>
  <c r="M83" i="64"/>
  <c r="CT28" i="11"/>
  <c r="CT32" i="11" s="1"/>
  <c r="CT51" i="11" s="1"/>
  <c r="CT49" i="11"/>
  <c r="CT50" i="11"/>
  <c r="ER47" i="11"/>
  <c r="E109" i="72"/>
  <c r="E93" i="72"/>
  <c r="F118" i="72" s="1"/>
  <c r="J13" i="72"/>
  <c r="J29" i="72"/>
  <c r="J80" i="72"/>
  <c r="J81" i="72" s="1"/>
  <c r="J177" i="72"/>
  <c r="J178" i="72" s="1"/>
  <c r="J121" i="72"/>
  <c r="J122" i="72" s="1"/>
  <c r="FI24" i="11"/>
  <c r="FI49" i="11" s="1"/>
  <c r="FI48" i="11"/>
  <c r="FI42" i="11"/>
  <c r="FJ60" i="11" s="1"/>
  <c r="FI58" i="11"/>
  <c r="AM81" i="3"/>
  <c r="CU28" i="11"/>
  <c r="CU32" i="11" s="1"/>
  <c r="CU51" i="11" s="1"/>
  <c r="CU49" i="11"/>
  <c r="CU50" i="11"/>
  <c r="DA60" i="11"/>
  <c r="DA52" i="11"/>
  <c r="Z68" i="9"/>
  <c r="Z72" i="9" s="1"/>
  <c r="Z69" i="9"/>
  <c r="Z73" i="9" s="1"/>
  <c r="J69" i="72"/>
  <c r="J76" i="72"/>
  <c r="G42" i="5"/>
  <c r="G37" i="5"/>
  <c r="S17" i="11"/>
  <c r="X58" i="11" s="1"/>
  <c r="S46" i="11"/>
  <c r="S121" i="64"/>
  <c r="R88" i="64"/>
  <c r="AR35" i="58"/>
  <c r="AP35" i="58"/>
  <c r="F161" i="72"/>
  <c r="F137" i="72"/>
  <c r="F142" i="72" s="1"/>
  <c r="F144" i="72" s="1"/>
  <c r="F150" i="72"/>
  <c r="L119" i="64"/>
  <c r="L85" i="64"/>
  <c r="Y107" i="64"/>
  <c r="DG76" i="11"/>
  <c r="DG75" i="11"/>
  <c r="F111" i="72"/>
  <c r="F106" i="72"/>
  <c r="F96" i="72"/>
  <c r="F101" i="72" s="1"/>
  <c r="F103" i="72" s="1"/>
  <c r="AB37" i="5"/>
  <c r="AB39" i="5"/>
  <c r="FN26" i="11" s="1"/>
  <c r="CZ28" i="11"/>
  <c r="CZ49" i="11"/>
  <c r="CZ50" i="11"/>
  <c r="H31" i="72"/>
  <c r="H26" i="72"/>
  <c r="H38" i="72"/>
  <c r="H16" i="72"/>
  <c r="AM85" i="3"/>
  <c r="V17" i="10"/>
  <c r="DO66" i="11"/>
  <c r="P15" i="11"/>
  <c r="M47" i="11"/>
  <c r="M15" i="11"/>
  <c r="N22" i="11"/>
  <c r="N6" i="11"/>
  <c r="O6" i="11" s="1"/>
  <c r="P6" i="11" s="1"/>
  <c r="O22" i="11"/>
  <c r="P22" i="11"/>
  <c r="M22" i="11"/>
  <c r="FF24" i="11"/>
  <c r="FF49" i="11" s="1"/>
  <c r="FF42" i="11"/>
  <c r="FF48" i="11"/>
  <c r="FF58" i="11"/>
  <c r="H85" i="64"/>
  <c r="G153" i="72"/>
  <c r="G134" i="72"/>
  <c r="E87" i="64"/>
  <c r="X80" i="64"/>
  <c r="W115" i="64"/>
  <c r="Y106" i="64"/>
  <c r="EV49" i="11"/>
  <c r="EV50" i="11"/>
  <c r="Y111" i="64"/>
  <c r="AB25" i="4"/>
  <c r="FN67" i="11"/>
  <c r="W83" i="64"/>
  <c r="V118" i="64"/>
  <c r="AK41" i="4"/>
  <c r="AK42" i="4" s="1"/>
  <c r="AK43" i="4" s="1"/>
  <c r="D93" i="72"/>
  <c r="D109" i="72"/>
  <c r="AE28" i="11"/>
  <c r="AE32" i="11" s="1"/>
  <c r="AE51" i="11" s="1"/>
  <c r="AE49" i="11"/>
  <c r="AE50" i="11"/>
  <c r="L75" i="72"/>
  <c r="L170" i="72" s="1"/>
  <c r="L169" i="72" s="1"/>
  <c r="L116" i="72"/>
  <c r="L172" i="72" s="1"/>
  <c r="L171" i="72"/>
  <c r="AA63" i="9"/>
  <c r="AD15" i="5"/>
  <c r="AD16" i="5" s="1"/>
  <c r="FP13" i="11"/>
  <c r="L8" i="72"/>
  <c r="AD27" i="4"/>
  <c r="FP56" i="11" s="1"/>
  <c r="AC7" i="4"/>
  <c r="AC12" i="4"/>
  <c r="AC31" i="4" s="1"/>
  <c r="AC17" i="4"/>
  <c r="AC18" i="4" s="1"/>
  <c r="AC24" i="4"/>
  <c r="AC29" i="4"/>
  <c r="Z67" i="9"/>
  <c r="Z71" i="9" s="1"/>
  <c r="Z75" i="9"/>
  <c r="AA59" i="10"/>
  <c r="I26" i="72"/>
  <c r="I38" i="72"/>
  <c r="I31" i="72"/>
  <c r="I16" i="72"/>
  <c r="U55" i="11"/>
  <c r="EZ59" i="11"/>
  <c r="G52" i="72"/>
  <c r="G68" i="72"/>
  <c r="DM151" i="1"/>
  <c r="DN151" i="1"/>
  <c r="DV47" i="11"/>
  <c r="DV57" i="11"/>
  <c r="DT6" i="11"/>
  <c r="DT22" i="11"/>
  <c r="DU22" i="11"/>
  <c r="DV22" i="11"/>
  <c r="DS22" i="11"/>
  <c r="DS75" i="11"/>
  <c r="DS76" i="11"/>
  <c r="X112" i="64"/>
  <c r="Y77" i="64"/>
  <c r="F65" i="72"/>
  <c r="F70" i="72"/>
  <c r="F55" i="72"/>
  <c r="F60" i="72" s="1"/>
  <c r="F62" i="72" s="1"/>
  <c r="DB52" i="11"/>
  <c r="DB60" i="11"/>
  <c r="D52" i="72"/>
  <c r="D68" i="72"/>
  <c r="EY35" i="11"/>
  <c r="DJ58" i="11"/>
  <c r="DJ24" i="11"/>
  <c r="DJ42" i="11"/>
  <c r="DJ48" i="11"/>
  <c r="Q120" i="64"/>
  <c r="R119" i="64"/>
  <c r="Q86" i="64"/>
  <c r="W117" i="64"/>
  <c r="X82" i="64"/>
  <c r="DO17" i="11"/>
  <c r="DO46" i="11"/>
  <c r="W51" i="5"/>
  <c r="FI34" i="11"/>
  <c r="FJ59" i="11" s="1"/>
  <c r="N90" i="64"/>
  <c r="DD52" i="11"/>
  <c r="DD60" i="11"/>
  <c r="J131" i="72"/>
  <c r="J168" i="72"/>
  <c r="BZ60" i="11"/>
  <c r="P35" i="10"/>
  <c r="P60" i="10" s="1"/>
  <c r="P48" i="10"/>
  <c r="P53" i="10" s="1"/>
  <c r="W24" i="11"/>
  <c r="W48" i="11"/>
  <c r="DG28" i="11"/>
  <c r="DG49" i="11"/>
  <c r="DG50" i="11"/>
  <c r="K88" i="72"/>
  <c r="K47" i="72"/>
  <c r="K129" i="72"/>
  <c r="J157" i="72"/>
  <c r="J173" i="72"/>
  <c r="CE28" i="11"/>
  <c r="CE32" i="11" s="1"/>
  <c r="CE51" i="11" s="1"/>
  <c r="CE49" i="11"/>
  <c r="CE50" i="11"/>
  <c r="V51" i="5"/>
  <c r="FH34" i="11"/>
  <c r="C31" i="72"/>
  <c r="C16" i="72"/>
  <c r="C21" i="72" s="1"/>
  <c r="C23" i="72" s="1"/>
  <c r="C26" i="72"/>
  <c r="FJ52" i="11"/>
  <c r="CJ52" i="11"/>
  <c r="CJ60" i="11"/>
  <c r="T17" i="11"/>
  <c r="T46" i="11"/>
  <c r="O47" i="11"/>
  <c r="N47" i="11"/>
  <c r="X114" i="64"/>
  <c r="Y79" i="64"/>
  <c r="DK42" i="11"/>
  <c r="DK24" i="11"/>
  <c r="DK48" i="11"/>
  <c r="DK58" i="11"/>
  <c r="FG26" i="11"/>
  <c r="C18" i="72"/>
  <c r="ET49" i="11"/>
  <c r="ET50" i="11"/>
  <c r="DF28" i="11"/>
  <c r="DF49" i="11"/>
  <c r="DF50" i="11"/>
  <c r="CW28" i="11"/>
  <c r="CW32" i="11" s="1"/>
  <c r="CW51" i="11" s="1"/>
  <c r="CW49" i="11"/>
  <c r="CW50" i="11"/>
  <c r="CH52" i="11"/>
  <c r="CH60" i="11"/>
  <c r="FK42" i="11"/>
  <c r="FK24" i="11"/>
  <c r="FK48" i="11"/>
  <c r="FK58" i="11"/>
  <c r="Z51" i="5"/>
  <c r="FL34" i="11"/>
  <c r="DI24" i="11"/>
  <c r="DI48" i="11"/>
  <c r="DI42" i="11"/>
  <c r="DI58" i="11"/>
  <c r="AB58" i="11"/>
  <c r="C52" i="72"/>
  <c r="C68" i="72"/>
  <c r="EV34" i="11"/>
  <c r="D26" i="72"/>
  <c r="D38" i="72"/>
  <c r="D31" i="72"/>
  <c r="D16" i="72"/>
  <c r="D21" i="72" s="1"/>
  <c r="D23" i="72" s="1"/>
  <c r="CK52" i="11"/>
  <c r="CK60" i="11"/>
  <c r="AB56" i="10"/>
  <c r="FP36" i="11"/>
  <c r="L24" i="72"/>
  <c r="AC36" i="5"/>
  <c r="AC35" i="4"/>
  <c r="AC36" i="4" s="1"/>
  <c r="AC23" i="5"/>
  <c r="ES17" i="11"/>
  <c r="ES46" i="11"/>
  <c r="FH24" i="11"/>
  <c r="FH49" i="11" s="1"/>
  <c r="FH48" i="11"/>
  <c r="FH58" i="11"/>
  <c r="FH42" i="11"/>
  <c r="T57" i="11"/>
  <c r="U46" i="11"/>
  <c r="U17" i="11"/>
  <c r="Z58" i="11" s="1"/>
  <c r="U86" i="64"/>
  <c r="T87" i="64"/>
  <c r="DX6" i="11"/>
  <c r="DY10" i="11"/>
  <c r="DY12" i="11" s="1"/>
  <c r="DY13" i="11"/>
  <c r="EC7" i="11"/>
  <c r="DX10" i="11"/>
  <c r="DX12" i="11" s="1"/>
  <c r="DZ10" i="11"/>
  <c r="DZ12" i="11" s="1"/>
  <c r="DZ13" i="11"/>
  <c r="DY16" i="11"/>
  <c r="DY19" i="11"/>
  <c r="DY23" i="11"/>
  <c r="EA26" i="11"/>
  <c r="DZ30" i="11"/>
  <c r="DZ35" i="11"/>
  <c r="DZ36" i="11"/>
  <c r="DZ37" i="11"/>
  <c r="DX38" i="11"/>
  <c r="DZ56" i="11"/>
  <c r="EA10" i="11"/>
  <c r="EA12" i="11" s="1"/>
  <c r="EA13" i="11"/>
  <c r="DZ16" i="11"/>
  <c r="DZ19" i="11"/>
  <c r="DZ23" i="11"/>
  <c r="DX26" i="11"/>
  <c r="EA30" i="11"/>
  <c r="EA35" i="11"/>
  <c r="EA36" i="11"/>
  <c r="EA37" i="11"/>
  <c r="DY38" i="11"/>
  <c r="EA16" i="11"/>
  <c r="EA19" i="11"/>
  <c r="EA23" i="11"/>
  <c r="DY26" i="11"/>
  <c r="DX30" i="11"/>
  <c r="DX35" i="11"/>
  <c r="DX36" i="11"/>
  <c r="DX37" i="11"/>
  <c r="DZ38" i="11"/>
  <c r="DX13" i="11"/>
  <c r="DX16" i="11"/>
  <c r="DX19" i="11"/>
  <c r="DX23" i="11"/>
  <c r="DZ26" i="11"/>
  <c r="DY30" i="11"/>
  <c r="DY35" i="11"/>
  <c r="DY36" i="11"/>
  <c r="DY37" i="11"/>
  <c r="EA38" i="11"/>
  <c r="DY56" i="11"/>
  <c r="EA56" i="11"/>
  <c r="DX56" i="11"/>
  <c r="DS55" i="11"/>
  <c r="DS15" i="11"/>
  <c r="BU28" i="11"/>
  <c r="BU32" i="11" s="1"/>
  <c r="BU51" i="11" s="1"/>
  <c r="BU49" i="11"/>
  <c r="BU50" i="11"/>
  <c r="F23" i="5"/>
  <c r="F36" i="5"/>
  <c r="F35" i="4"/>
  <c r="F36" i="4" s="1"/>
  <c r="DL6" i="11"/>
  <c r="DK76" i="11"/>
  <c r="DK75" i="11"/>
  <c r="CY52" i="11"/>
  <c r="CY60" i="11"/>
  <c r="FG42" i="11"/>
  <c r="FG24" i="11"/>
  <c r="FG49" i="11" s="1"/>
  <c r="FG48" i="11"/>
  <c r="FG58" i="11"/>
  <c r="K63" i="72"/>
  <c r="K104" i="72" s="1"/>
  <c r="K145" i="72"/>
  <c r="W8" i="10"/>
  <c r="V65" i="9"/>
  <c r="Y48" i="5"/>
  <c r="Y53" i="5"/>
  <c r="FK32" i="11"/>
  <c r="Y6" i="64"/>
  <c r="Y53" i="64"/>
  <c r="Y101" i="64"/>
  <c r="AD28" i="11"/>
  <c r="AD32" i="11" s="1"/>
  <c r="AD51" i="11" s="1"/>
  <c r="AD49" i="11"/>
  <c r="AD50" i="11"/>
  <c r="CV28" i="11"/>
  <c r="CV32" i="11" s="1"/>
  <c r="CV51" i="11" s="1"/>
  <c r="CV49" i="11"/>
  <c r="CV50" i="11"/>
  <c r="CT52" i="11"/>
  <c r="CT60" i="11"/>
  <c r="T51" i="5"/>
  <c r="FF34" i="11"/>
  <c r="FF59" i="11" s="1"/>
  <c r="J74" i="72"/>
  <c r="J49" i="72"/>
  <c r="H52" i="72"/>
  <c r="H68" i="72"/>
  <c r="FM26" i="11"/>
  <c r="I18" i="72"/>
  <c r="DG52" i="11"/>
  <c r="DG60" i="11"/>
  <c r="FJ49" i="11"/>
  <c r="FJ50" i="11"/>
  <c r="X24" i="11"/>
  <c r="X48" i="11"/>
  <c r="DE52" i="11"/>
  <c r="DE60" i="11"/>
  <c r="K50" i="72"/>
  <c r="K37" i="72"/>
  <c r="K30" i="72"/>
  <c r="K91" i="72"/>
  <c r="K132" i="72"/>
  <c r="F121" i="64"/>
  <c r="F87" i="64"/>
  <c r="G120" i="64"/>
  <c r="FJ35" i="11"/>
  <c r="P47" i="11"/>
  <c r="H6" i="11"/>
  <c r="C7" i="11"/>
  <c r="I10" i="11"/>
  <c r="I13" i="11"/>
  <c r="I16" i="11"/>
  <c r="H10" i="11"/>
  <c r="H13" i="11"/>
  <c r="J10" i="11"/>
  <c r="I19" i="11"/>
  <c r="I23" i="11"/>
  <c r="K26" i="11"/>
  <c r="K30" i="11"/>
  <c r="J34" i="11"/>
  <c r="J35" i="11"/>
  <c r="J36" i="11"/>
  <c r="J37" i="11"/>
  <c r="H38" i="11"/>
  <c r="J56" i="11"/>
  <c r="K10" i="11"/>
  <c r="J13" i="11"/>
  <c r="H16" i="11"/>
  <c r="J19" i="11"/>
  <c r="J23" i="11"/>
  <c r="H26" i="11"/>
  <c r="H30" i="11"/>
  <c r="K34" i="11"/>
  <c r="K35" i="11"/>
  <c r="K36" i="11"/>
  <c r="K37" i="11"/>
  <c r="I38" i="11"/>
  <c r="K13" i="11"/>
  <c r="J16" i="11"/>
  <c r="O57" i="11" s="1"/>
  <c r="K19" i="11"/>
  <c r="K23" i="11"/>
  <c r="I26" i="11"/>
  <c r="I30" i="11"/>
  <c r="H34" i="11"/>
  <c r="H35" i="11"/>
  <c r="H36" i="11"/>
  <c r="H37" i="11"/>
  <c r="J38" i="11"/>
  <c r="K16" i="11"/>
  <c r="P57" i="11" s="1"/>
  <c r="H19" i="11"/>
  <c r="H23" i="11"/>
  <c r="J26" i="11"/>
  <c r="J30" i="11"/>
  <c r="I34" i="11"/>
  <c r="I35" i="11"/>
  <c r="I36" i="11"/>
  <c r="I37" i="11"/>
  <c r="K38" i="11"/>
  <c r="I56" i="11"/>
  <c r="H56" i="11"/>
  <c r="K56" i="11"/>
  <c r="DN46" i="11"/>
  <c r="DN17" i="11"/>
  <c r="DF52" i="11"/>
  <c r="DF60" i="11"/>
  <c r="E134" i="72"/>
  <c r="E153" i="72"/>
  <c r="J53" i="5"/>
  <c r="M54" i="5" s="1"/>
  <c r="J48" i="5"/>
  <c r="EV32" i="11"/>
  <c r="EV51" i="11" s="1"/>
  <c r="AJ21" i="4"/>
  <c r="AJ45" i="4"/>
  <c r="AJ46" i="4" s="1"/>
  <c r="AJ48" i="4"/>
  <c r="FV64" i="11"/>
  <c r="CK28" i="11"/>
  <c r="CK32" i="11" s="1"/>
  <c r="CK51" i="11" s="1"/>
  <c r="CK49" i="11"/>
  <c r="CK50" i="11"/>
  <c r="AD26" i="5"/>
  <c r="FP19" i="11"/>
  <c r="L15" i="72"/>
  <c r="FP26" i="11"/>
  <c r="L18" i="72"/>
  <c r="AA62" i="9"/>
  <c r="AB62" i="10"/>
  <c r="AD8" i="5"/>
  <c r="AD22" i="5"/>
  <c r="AD11" i="4"/>
  <c r="FP10" i="11"/>
  <c r="FP12" i="11" s="1"/>
  <c r="L6" i="72"/>
  <c r="K127" i="72"/>
  <c r="K35" i="72"/>
  <c r="K86" i="72"/>
  <c r="K45" i="72"/>
  <c r="K10" i="72"/>
  <c r="Y102" i="64"/>
  <c r="I134" i="72"/>
  <c r="I153" i="72"/>
  <c r="V85" i="64"/>
  <c r="V58" i="64" s="1"/>
  <c r="U120" i="64"/>
  <c r="U58" i="64"/>
  <c r="G109" i="72"/>
  <c r="G93" i="72"/>
  <c r="DO75" i="11"/>
  <c r="DP6" i="11"/>
  <c r="DO76" i="11"/>
  <c r="FM24" i="11"/>
  <c r="FM49" i="11" s="1"/>
  <c r="FM48" i="11"/>
  <c r="FM42" i="11"/>
  <c r="FM58" i="11"/>
  <c r="DU15" i="11"/>
  <c r="DU55" i="11"/>
  <c r="DQ46" i="11"/>
  <c r="DQ17" i="11"/>
  <c r="T65" i="9"/>
  <c r="U8" i="10"/>
  <c r="W53" i="5"/>
  <c r="W48" i="5"/>
  <c r="FI32" i="11"/>
  <c r="Y104" i="64"/>
  <c r="DL24" i="11"/>
  <c r="DL48" i="11"/>
  <c r="DL42" i="11"/>
  <c r="DL58" i="11"/>
  <c r="DB28" i="11"/>
  <c r="DB49" i="11"/>
  <c r="DB50" i="11"/>
  <c r="FL24" i="11"/>
  <c r="FL48" i="11"/>
  <c r="FL58" i="11"/>
  <c r="FL42" i="11"/>
  <c r="X25" i="64"/>
  <c r="I116" i="64"/>
  <c r="J115" i="64"/>
  <c r="I82" i="64"/>
  <c r="R46" i="11"/>
  <c r="R17" i="11"/>
  <c r="W58" i="11" s="1"/>
  <c r="H47" i="5"/>
  <c r="H50" i="5"/>
  <c r="J51" i="5" s="1"/>
  <c r="H43" i="5"/>
  <c r="ET28" i="11"/>
  <c r="DP17" i="11"/>
  <c r="DP46" i="11"/>
  <c r="CV52" i="11"/>
  <c r="CV60" i="11"/>
  <c r="FH26" i="11"/>
  <c r="D18" i="72"/>
  <c r="DD28" i="11"/>
  <c r="DD49" i="11"/>
  <c r="DD50" i="11"/>
  <c r="C134" i="72"/>
  <c r="C153" i="72"/>
  <c r="J90" i="72"/>
  <c r="J115" i="72"/>
  <c r="D134" i="72"/>
  <c r="D153" i="72"/>
  <c r="Y78" i="64"/>
  <c r="X113" i="64"/>
  <c r="CU52" i="11"/>
  <c r="CU60" i="11"/>
  <c r="DA28" i="11"/>
  <c r="DA49" i="11"/>
  <c r="DA50" i="11"/>
  <c r="J110" i="72"/>
  <c r="J117" i="72"/>
  <c r="Y51" i="5"/>
  <c r="FK34" i="11"/>
  <c r="FK59" i="11" s="1"/>
  <c r="A130" i="64"/>
  <c r="B130" i="64"/>
  <c r="I93" i="72"/>
  <c r="I109" i="72"/>
  <c r="P87" i="64"/>
  <c r="AC28" i="11"/>
  <c r="AC32" i="11" s="1"/>
  <c r="AC51" i="11" s="1"/>
  <c r="AC49" i="11"/>
  <c r="AC50" i="11"/>
  <c r="Y109" i="64"/>
  <c r="E8" i="5"/>
  <c r="E15" i="5"/>
  <c r="E16" i="5" s="1"/>
  <c r="E19" i="5"/>
  <c r="E20" i="5" s="1"/>
  <c r="E22" i="5"/>
  <c r="E11" i="4"/>
  <c r="F12" i="4" s="1"/>
  <c r="X8" i="10"/>
  <c r="W65" i="9"/>
  <c r="Z48" i="5"/>
  <c r="Z53" i="5"/>
  <c r="FL32" i="11"/>
  <c r="CE52" i="11"/>
  <c r="CE60" i="11"/>
  <c r="E52" i="72"/>
  <c r="E68" i="72"/>
  <c r="FJ58" i="11"/>
  <c r="E117" i="64"/>
  <c r="D84" i="64"/>
  <c r="AB50" i="5"/>
  <c r="AB43" i="5"/>
  <c r="FN28" i="11"/>
  <c r="CZ52" i="11"/>
  <c r="CZ60" i="11"/>
  <c r="X51" i="5"/>
  <c r="H134" i="72"/>
  <c r="H153" i="72"/>
  <c r="DE28" i="11"/>
  <c r="DE49" i="11"/>
  <c r="DE50" i="11"/>
  <c r="FO47" i="11"/>
  <c r="FO57" i="11"/>
  <c r="I52" i="72"/>
  <c r="I68" i="72"/>
  <c r="CJ28" i="11"/>
  <c r="CJ32" i="11" s="1"/>
  <c r="CJ51" i="11" s="1"/>
  <c r="CJ49" i="11"/>
  <c r="CJ50" i="11"/>
  <c r="O15" i="11"/>
  <c r="N15" i="11"/>
  <c r="X81" i="64"/>
  <c r="W116" i="64"/>
  <c r="G26" i="72"/>
  <c r="G31" i="72"/>
  <c r="G38" i="72"/>
  <c r="G16" i="72"/>
  <c r="Z15" i="4"/>
  <c r="U47" i="5"/>
  <c r="CW52" i="11"/>
  <c r="CW60" i="11"/>
  <c r="CH28" i="11"/>
  <c r="CH32" i="11" s="1"/>
  <c r="CH51" i="11" s="1"/>
  <c r="CH49" i="11"/>
  <c r="CH50" i="11"/>
  <c r="E16" i="72"/>
  <c r="E21" i="72" s="1"/>
  <c r="E23" i="72" s="1"/>
  <c r="E31" i="72"/>
  <c r="E26" i="72"/>
  <c r="E38" i="72"/>
  <c r="Z24" i="11"/>
  <c r="Z48" i="11"/>
  <c r="AB28" i="11"/>
  <c r="AB32" i="11" s="1"/>
  <c r="AB51" i="11" s="1"/>
  <c r="AB49" i="11"/>
  <c r="AB50" i="11"/>
  <c r="AB8" i="4"/>
  <c r="AB14" i="4"/>
  <c r="FN68" i="11"/>
  <c r="H93" i="72"/>
  <c r="H109" i="72"/>
  <c r="AA40" i="64"/>
  <c r="FV75" i="11"/>
  <c r="Y103" i="64"/>
  <c r="AA64" i="9"/>
  <c r="AD19" i="5"/>
  <c r="AD20" i="5" s="1"/>
  <c r="FP16" i="11"/>
  <c r="L11" i="72"/>
  <c r="AE9" i="5"/>
  <c r="M36" i="72" s="1"/>
  <c r="AE34" i="5"/>
  <c r="FQ23" i="11" s="1"/>
  <c r="AE7" i="5"/>
  <c r="AE32" i="5"/>
  <c r="FQ22" i="11" s="1"/>
  <c r="AE5" i="4"/>
  <c r="AE27" i="4" s="1"/>
  <c r="FQ56" i="11" s="1"/>
  <c r="AF5" i="5"/>
  <c r="AE39" i="5"/>
  <c r="AE56" i="5"/>
  <c r="AE14" i="5"/>
  <c r="AE18" i="5"/>
  <c r="AE25" i="5"/>
  <c r="AE45" i="5"/>
  <c r="FQ30" i="11" s="1"/>
  <c r="K95" i="72"/>
  <c r="K136" i="72"/>
  <c r="K54" i="72"/>
  <c r="FO55" i="11"/>
  <c r="FO15" i="11"/>
  <c r="S57" i="11"/>
  <c r="DM171" i="1"/>
  <c r="FL51" i="11" l="1"/>
  <c r="W88" i="9"/>
  <c r="W90" i="9" s="1"/>
  <c r="FI51" i="11"/>
  <c r="T88" i="9"/>
  <c r="T90" i="9" s="1"/>
  <c r="FK51" i="11"/>
  <c r="V88" i="9"/>
  <c r="V90" i="9" s="1"/>
  <c r="FH51" i="11"/>
  <c r="S88" i="9"/>
  <c r="S90" i="9" s="1"/>
  <c r="FE51" i="11"/>
  <c r="P88" i="9"/>
  <c r="P55" i="11"/>
  <c r="K12" i="11"/>
  <c r="N55" i="11"/>
  <c r="I12" i="11"/>
  <c r="O55" i="11"/>
  <c r="J12" i="11"/>
  <c r="M55" i="11"/>
  <c r="H12" i="11"/>
  <c r="EE11" i="11"/>
  <c r="EC11" i="11"/>
  <c r="EF11" i="11"/>
  <c r="ED11" i="11"/>
  <c r="EH7" i="11"/>
  <c r="AA41" i="64"/>
  <c r="Q48" i="10"/>
  <c r="Q53" i="10" s="1"/>
  <c r="G40" i="72"/>
  <c r="DN134" i="1"/>
  <c r="DR60" i="1"/>
  <c r="DR59" i="1"/>
  <c r="DL170" i="1"/>
  <c r="DM170" i="1" s="1"/>
  <c r="T120" i="64"/>
  <c r="AB32" i="8"/>
  <c r="AD32" i="8" s="1"/>
  <c r="AF32" i="8" s="1"/>
  <c r="AB32" i="3"/>
  <c r="BU76" i="11"/>
  <c r="AM56" i="3"/>
  <c r="AM28" i="3"/>
  <c r="AM55" i="3"/>
  <c r="AM27" i="3"/>
  <c r="S87" i="64"/>
  <c r="DT39" i="1"/>
  <c r="DU39" i="1"/>
  <c r="AD29" i="3"/>
  <c r="AF29" i="3" s="1"/>
  <c r="AK29" i="3"/>
  <c r="AM29" i="3" s="1"/>
  <c r="C84" i="64"/>
  <c r="C85" i="64" s="1"/>
  <c r="D117" i="64"/>
  <c r="C118" i="64"/>
  <c r="DQ50" i="1"/>
  <c r="AL131" i="8"/>
  <c r="AB15" i="4"/>
  <c r="K87" i="64"/>
  <c r="DQ49" i="1"/>
  <c r="DR49" i="1"/>
  <c r="AL130" i="8" s="1"/>
  <c r="DQ44" i="1"/>
  <c r="DP54" i="1"/>
  <c r="S88" i="64"/>
  <c r="S89" i="64" s="1"/>
  <c r="DQ151" i="1"/>
  <c r="P119" i="64"/>
  <c r="O120" i="64"/>
  <c r="O86" i="64"/>
  <c r="G86" i="64"/>
  <c r="C239" i="54"/>
  <c r="D238" i="54"/>
  <c r="Z45" i="64"/>
  <c r="Z44" i="64"/>
  <c r="Z54" i="64" s="1"/>
  <c r="Z79" i="64" s="1"/>
  <c r="AD53" i="3"/>
  <c r="AF53" i="3" s="1"/>
  <c r="AB57" i="3"/>
  <c r="AD60" i="3"/>
  <c r="AF60" i="3" s="1"/>
  <c r="AK53" i="3"/>
  <c r="DR151" i="1"/>
  <c r="R54" i="5"/>
  <c r="FI37" i="11"/>
  <c r="FI62" i="11"/>
  <c r="FI38" i="11"/>
  <c r="FJ7" i="11"/>
  <c r="FI56" i="11"/>
  <c r="DL154" i="1"/>
  <c r="DM150" i="1"/>
  <c r="DN150" i="1"/>
  <c r="DM161" i="1"/>
  <c r="AD133" i="3"/>
  <c r="AF133" i="3" s="1"/>
  <c r="AK133" i="3"/>
  <c r="AM133" i="3" s="1"/>
  <c r="AB134" i="3"/>
  <c r="M134" i="3"/>
  <c r="V134" i="3"/>
  <c r="FN82" i="11"/>
  <c r="AA48" i="5"/>
  <c r="FM32" i="11"/>
  <c r="X65" i="9"/>
  <c r="L15" i="9"/>
  <c r="L22" i="9" s="1"/>
  <c r="L48" i="9" s="1"/>
  <c r="Y8" i="10"/>
  <c r="DS66" i="11" s="1"/>
  <c r="Q65" i="9"/>
  <c r="FD35" i="11"/>
  <c r="T48" i="5"/>
  <c r="E40" i="72"/>
  <c r="AK47" i="4"/>
  <c r="AK21" i="4" s="1"/>
  <c r="E39" i="72"/>
  <c r="D40" i="72"/>
  <c r="FF32" i="11"/>
  <c r="R8" i="10"/>
  <c r="R17" i="10" s="1"/>
  <c r="R48" i="10" s="1"/>
  <c r="R53" i="10" s="1"/>
  <c r="FF50" i="11"/>
  <c r="FH59" i="11"/>
  <c r="I40" i="72"/>
  <c r="AB47" i="5"/>
  <c r="FI59" i="11"/>
  <c r="FQ26" i="11"/>
  <c r="M18" i="72"/>
  <c r="N17" i="11"/>
  <c r="S58" i="11" s="1"/>
  <c r="N46" i="11"/>
  <c r="Z28" i="11"/>
  <c r="Z32" i="11" s="1"/>
  <c r="Z51" i="11" s="1"/>
  <c r="Z49" i="11"/>
  <c r="Z50" i="11"/>
  <c r="O17" i="11"/>
  <c r="T58" i="11" s="1"/>
  <c r="O46" i="11"/>
  <c r="DE32" i="11"/>
  <c r="E118" i="64"/>
  <c r="D85" i="64"/>
  <c r="AC56" i="10"/>
  <c r="FQ36" i="11"/>
  <c r="M24" i="72"/>
  <c r="L30" i="72"/>
  <c r="L159" i="72" s="1"/>
  <c r="L50" i="72"/>
  <c r="L37" i="72"/>
  <c r="L91" i="72"/>
  <c r="DM40" i="1"/>
  <c r="DL43" i="1"/>
  <c r="DL53" i="1" s="1"/>
  <c r="DL112" i="1" s="1"/>
  <c r="DL44" i="1"/>
  <c r="DR44" i="1" s="1"/>
  <c r="DN40" i="1"/>
  <c r="DR50" i="1"/>
  <c r="G21" i="72"/>
  <c r="G23" i="72" s="1"/>
  <c r="G39" i="72" s="1"/>
  <c r="E70" i="72"/>
  <c r="E77" i="72"/>
  <c r="E55" i="72"/>
  <c r="E60" i="72" s="1"/>
  <c r="E62" i="72" s="1"/>
  <c r="F78" i="72" s="1"/>
  <c r="E65" i="72"/>
  <c r="F79" i="72" s="1"/>
  <c r="X17" i="10"/>
  <c r="DQ66" i="11"/>
  <c r="P88" i="64"/>
  <c r="DA32" i="11"/>
  <c r="DA51" i="11" s="1"/>
  <c r="Z78" i="64"/>
  <c r="Y113" i="64"/>
  <c r="FH50" i="11"/>
  <c r="FL26" i="11"/>
  <c r="FL49" i="11"/>
  <c r="F16" i="5"/>
  <c r="DQ24" i="11"/>
  <c r="DQ48" i="11"/>
  <c r="DQ58" i="11"/>
  <c r="DQ42" i="11"/>
  <c r="G96" i="72"/>
  <c r="G101" i="72" s="1"/>
  <c r="G103" i="72" s="1"/>
  <c r="G119" i="72" s="1"/>
  <c r="G118" i="72"/>
  <c r="G111" i="72"/>
  <c r="G106" i="72"/>
  <c r="G120" i="72" s="1"/>
  <c r="W85" i="64"/>
  <c r="V120" i="64"/>
  <c r="K121" i="72"/>
  <c r="K122" i="72" s="1"/>
  <c r="K177" i="72"/>
  <c r="K178" i="72" s="1"/>
  <c r="K80" i="72"/>
  <c r="K81" i="72" s="1"/>
  <c r="AD9" i="4"/>
  <c r="AD7" i="4" s="1"/>
  <c r="AD12" i="4"/>
  <c r="AD31" i="4" s="1"/>
  <c r="AD17" i="4"/>
  <c r="AD18" i="4" s="1"/>
  <c r="AD24" i="4"/>
  <c r="AD29" i="4"/>
  <c r="AA75" i="9"/>
  <c r="AB59" i="10"/>
  <c r="AA67" i="9"/>
  <c r="AA71" i="9" s="1"/>
  <c r="L54" i="72"/>
  <c r="L95" i="72"/>
  <c r="L136" i="72"/>
  <c r="E137" i="72"/>
  <c r="E142" i="72" s="1"/>
  <c r="E144" i="72" s="1"/>
  <c r="F175" i="72" s="1"/>
  <c r="E161" i="72"/>
  <c r="E174" i="72"/>
  <c r="E150" i="72"/>
  <c r="F176" i="72" s="1"/>
  <c r="H47" i="11"/>
  <c r="I47" i="11"/>
  <c r="I22" i="11"/>
  <c r="J22" i="11"/>
  <c r="K22" i="11"/>
  <c r="I6" i="11"/>
  <c r="J6" i="11" s="1"/>
  <c r="K6" i="11" s="1"/>
  <c r="H22" i="11"/>
  <c r="K110" i="72"/>
  <c r="K117" i="72"/>
  <c r="F40" i="72"/>
  <c r="Y25" i="64"/>
  <c r="FG60" i="11"/>
  <c r="FG52" i="11"/>
  <c r="F37" i="5"/>
  <c r="F42" i="5"/>
  <c r="F40" i="5"/>
  <c r="EA47" i="11"/>
  <c r="EA57" i="11"/>
  <c r="DX15" i="11"/>
  <c r="DX55" i="11"/>
  <c r="DY22" i="11"/>
  <c r="DZ22" i="11"/>
  <c r="DY6" i="11"/>
  <c r="EA22" i="11"/>
  <c r="DX22" i="11"/>
  <c r="DX75" i="11"/>
  <c r="DX76" i="11"/>
  <c r="V86" i="64"/>
  <c r="U121" i="64"/>
  <c r="D39" i="72"/>
  <c r="DI28" i="11"/>
  <c r="DI32" i="11" s="1"/>
  <c r="DI49" i="11"/>
  <c r="DI50" i="11"/>
  <c r="T24" i="11"/>
  <c r="T48" i="11"/>
  <c r="J153" i="72"/>
  <c r="J134" i="72"/>
  <c r="DJ52" i="11"/>
  <c r="DJ60" i="11"/>
  <c r="G70" i="72"/>
  <c r="G55" i="72"/>
  <c r="G60" i="72" s="1"/>
  <c r="G62" i="72" s="1"/>
  <c r="G78" i="72" s="1"/>
  <c r="G65" i="72"/>
  <c r="G79" i="72" s="1"/>
  <c r="G77" i="72"/>
  <c r="AC25" i="4"/>
  <c r="FO67" i="11"/>
  <c r="X83" i="64"/>
  <c r="W118" i="64"/>
  <c r="E88" i="64"/>
  <c r="F122" i="64" s="1"/>
  <c r="H120" i="64"/>
  <c r="H86" i="64"/>
  <c r="FF52" i="11"/>
  <c r="FF60" i="11"/>
  <c r="H21" i="72"/>
  <c r="H23" i="72" s="1"/>
  <c r="G50" i="5"/>
  <c r="H51" i="5" s="1"/>
  <c r="G43" i="5"/>
  <c r="G47" i="5"/>
  <c r="ES28" i="11"/>
  <c r="FI52" i="11"/>
  <c r="FI60" i="11"/>
  <c r="E96" i="72"/>
  <c r="E101" i="72" s="1"/>
  <c r="E103" i="72" s="1"/>
  <c r="F119" i="72" s="1"/>
  <c r="E118" i="72"/>
  <c r="E111" i="72"/>
  <c r="E106" i="72"/>
  <c r="F120" i="72" s="1"/>
  <c r="J88" i="64"/>
  <c r="K121" i="64"/>
  <c r="E98" i="72"/>
  <c r="E139" i="72"/>
  <c r="E57" i="72"/>
  <c r="FH35" i="11"/>
  <c r="FO17" i="11"/>
  <c r="FO46" i="11"/>
  <c r="Z54" i="5"/>
  <c r="FL35" i="11"/>
  <c r="J109" i="72"/>
  <c r="J93" i="72"/>
  <c r="R24" i="11"/>
  <c r="R48" i="11"/>
  <c r="FL52" i="11"/>
  <c r="FL60" i="11"/>
  <c r="DL52" i="11"/>
  <c r="DL60" i="11"/>
  <c r="W54" i="5"/>
  <c r="FI35" i="11"/>
  <c r="K29" i="72"/>
  <c r="K13" i="72"/>
  <c r="K131" i="72"/>
  <c r="K168" i="72"/>
  <c r="AD23" i="5"/>
  <c r="AD36" i="5"/>
  <c r="AD35" i="4"/>
  <c r="AD36" i="4" s="1"/>
  <c r="L57" i="72"/>
  <c r="L98" i="72"/>
  <c r="J47" i="11"/>
  <c r="J15" i="11"/>
  <c r="F88" i="64"/>
  <c r="G121" i="64"/>
  <c r="I57" i="72"/>
  <c r="I32" i="72"/>
  <c r="I98" i="72"/>
  <c r="I139" i="72"/>
  <c r="W17" i="10"/>
  <c r="DP66" i="11"/>
  <c r="DS46" i="11"/>
  <c r="DS17" i="11"/>
  <c r="DZ47" i="11"/>
  <c r="DZ57" i="11"/>
  <c r="DY47" i="11"/>
  <c r="DY57" i="11"/>
  <c r="EC6" i="11"/>
  <c r="EM7" i="11"/>
  <c r="ED10" i="11"/>
  <c r="ED13" i="11"/>
  <c r="EC10" i="11"/>
  <c r="EF13" i="11"/>
  <c r="ED16" i="11"/>
  <c r="ED19" i="11"/>
  <c r="ED23" i="11"/>
  <c r="EF26" i="11"/>
  <c r="EE30" i="11"/>
  <c r="EE35" i="11"/>
  <c r="EE36" i="11"/>
  <c r="EE37" i="11"/>
  <c r="EC38" i="11"/>
  <c r="EE56" i="11"/>
  <c r="EE16" i="11"/>
  <c r="EE19" i="11"/>
  <c r="EE23" i="11"/>
  <c r="EC26" i="11"/>
  <c r="EF30" i="11"/>
  <c r="EF35" i="11"/>
  <c r="EF36" i="11"/>
  <c r="EF37" i="11"/>
  <c r="ED38" i="11"/>
  <c r="EE10" i="11"/>
  <c r="EC13" i="11"/>
  <c r="EF16" i="11"/>
  <c r="EF19" i="11"/>
  <c r="EF23" i="11"/>
  <c r="ED26" i="11"/>
  <c r="EC30" i="11"/>
  <c r="EC35" i="11"/>
  <c r="EC36" i="11"/>
  <c r="EC37" i="11"/>
  <c r="EE38" i="11"/>
  <c r="EF10" i="11"/>
  <c r="EE13" i="11"/>
  <c r="EC16" i="11"/>
  <c r="EC19" i="11"/>
  <c r="EC23" i="11"/>
  <c r="EE26" i="11"/>
  <c r="ED30" i="11"/>
  <c r="ED35" i="11"/>
  <c r="ED36" i="11"/>
  <c r="ED37" i="11"/>
  <c r="EF38" i="11"/>
  <c r="ED56" i="11"/>
  <c r="EC56" i="11"/>
  <c r="EF56" i="11"/>
  <c r="U24" i="11"/>
  <c r="U48" i="11"/>
  <c r="FH52" i="11"/>
  <c r="FH60" i="11"/>
  <c r="L147" i="72"/>
  <c r="L63" i="72"/>
  <c r="FL59" i="11"/>
  <c r="FK26" i="11"/>
  <c r="FK49" i="11"/>
  <c r="C98" i="72"/>
  <c r="C139" i="72"/>
  <c r="C57" i="72"/>
  <c r="DK28" i="11"/>
  <c r="DK49" i="11"/>
  <c r="DK50" i="11"/>
  <c r="N57" i="11"/>
  <c r="AA54" i="5"/>
  <c r="FM35" i="11"/>
  <c r="F20" i="5"/>
  <c r="DO58" i="11"/>
  <c r="DO24" i="11"/>
  <c r="DO48" i="11"/>
  <c r="DO42" i="11"/>
  <c r="DJ28" i="11"/>
  <c r="DJ49" i="11"/>
  <c r="DJ50" i="11"/>
  <c r="F77" i="72"/>
  <c r="FL30" i="11"/>
  <c r="M57" i="11"/>
  <c r="P46" i="11"/>
  <c r="P17" i="11"/>
  <c r="U58" i="11" s="1"/>
  <c r="F174" i="72"/>
  <c r="S24" i="11"/>
  <c r="S48" i="11"/>
  <c r="FN24" i="11"/>
  <c r="FN49" i="11" s="1"/>
  <c r="FN42" i="11"/>
  <c r="FN48" i="11"/>
  <c r="FN58" i="11"/>
  <c r="X84" i="64"/>
  <c r="W119" i="64"/>
  <c r="Y58" i="11"/>
  <c r="FI50" i="11"/>
  <c r="AA51" i="5"/>
  <c r="FM34" i="11"/>
  <c r="FM59" i="11" s="1"/>
  <c r="FM83" i="11" s="1"/>
  <c r="AB62" i="9"/>
  <c r="AC62" i="10"/>
  <c r="AE8" i="5"/>
  <c r="AE22" i="5"/>
  <c r="AE11" i="4"/>
  <c r="FQ10" i="11"/>
  <c r="FQ12" i="11" s="1"/>
  <c r="M6" i="72"/>
  <c r="X116" i="64"/>
  <c r="Y81" i="64"/>
  <c r="S8" i="10"/>
  <c r="S17" i="10" s="1"/>
  <c r="R65" i="9"/>
  <c r="U48" i="5"/>
  <c r="U53" i="5"/>
  <c r="FG32" i="11"/>
  <c r="I77" i="72"/>
  <c r="I55" i="72"/>
  <c r="I65" i="72"/>
  <c r="I70" i="72"/>
  <c r="H137" i="72"/>
  <c r="H161" i="72"/>
  <c r="H174" i="72"/>
  <c r="H150" i="72"/>
  <c r="AB51" i="5"/>
  <c r="FN34" i="11"/>
  <c r="E23" i="5"/>
  <c r="E36" i="5"/>
  <c r="E35" i="4"/>
  <c r="E36" i="4" s="1"/>
  <c r="DD32" i="11"/>
  <c r="DP24" i="11"/>
  <c r="DP48" i="11"/>
  <c r="DP58" i="11"/>
  <c r="DP42" i="11"/>
  <c r="ET34" i="11"/>
  <c r="I51" i="5"/>
  <c r="U17" i="10"/>
  <c r="DN66" i="11"/>
  <c r="FM52" i="11"/>
  <c r="FM60" i="11"/>
  <c r="DQ6" i="11"/>
  <c r="DP76" i="11"/>
  <c r="DP75" i="11"/>
  <c r="U56" i="64"/>
  <c r="U57" i="64" s="1"/>
  <c r="I137" i="72"/>
  <c r="I161" i="72"/>
  <c r="I174" i="72"/>
  <c r="I150" i="72"/>
  <c r="K74" i="72"/>
  <c r="K49" i="72"/>
  <c r="L35" i="72"/>
  <c r="L10" i="72"/>
  <c r="L86" i="72"/>
  <c r="L45" i="72"/>
  <c r="EV35" i="11"/>
  <c r="V56" i="64"/>
  <c r="V59" i="64" s="1"/>
  <c r="K15" i="11"/>
  <c r="I15" i="11"/>
  <c r="FM50" i="11"/>
  <c r="H65" i="72"/>
  <c r="H70" i="72"/>
  <c r="H77" i="72"/>
  <c r="H55" i="72"/>
  <c r="Y54" i="5"/>
  <c r="FK35" i="11"/>
  <c r="DL75" i="11"/>
  <c r="DL76" i="11"/>
  <c r="DX47" i="11"/>
  <c r="DX57" i="11"/>
  <c r="U87" i="64"/>
  <c r="T122" i="64"/>
  <c r="T88" i="64"/>
  <c r="ES24" i="11"/>
  <c r="ES42" i="11"/>
  <c r="ES52" i="11" s="1"/>
  <c r="ES48" i="11"/>
  <c r="AC47" i="5"/>
  <c r="AC37" i="5"/>
  <c r="AC40" i="5"/>
  <c r="AC42" i="5" s="1"/>
  <c r="DI52" i="11"/>
  <c r="DI60" i="11"/>
  <c r="FK60" i="11"/>
  <c r="FK52" i="11"/>
  <c r="DF32" i="11"/>
  <c r="FG50" i="11"/>
  <c r="DK52" i="11"/>
  <c r="DK60" i="11"/>
  <c r="W28" i="11"/>
  <c r="W32" i="11" s="1"/>
  <c r="W51" i="11" s="1"/>
  <c r="W49" i="11"/>
  <c r="W50" i="11"/>
  <c r="Y82" i="64"/>
  <c r="X117" i="64"/>
  <c r="D77" i="72"/>
  <c r="D55" i="72"/>
  <c r="D60" i="72" s="1"/>
  <c r="D62" i="72" s="1"/>
  <c r="D70" i="72"/>
  <c r="D65" i="72"/>
  <c r="Y112" i="64"/>
  <c r="AA69" i="9"/>
  <c r="AA73" i="9" s="1"/>
  <c r="AA68" i="9"/>
  <c r="AA72" i="9" s="1"/>
  <c r="D96" i="72"/>
  <c r="D101" i="72" s="1"/>
  <c r="D103" i="72" s="1"/>
  <c r="D118" i="72"/>
  <c r="D111" i="72"/>
  <c r="D106" i="72"/>
  <c r="G161" i="72"/>
  <c r="G174" i="72"/>
  <c r="G137" i="72"/>
  <c r="G142" i="72" s="1"/>
  <c r="G144" i="72" s="1"/>
  <c r="G175" i="72" s="1"/>
  <c r="G150" i="72"/>
  <c r="G176" i="72" s="1"/>
  <c r="V35" i="10"/>
  <c r="V60" i="10" s="1"/>
  <c r="V48" i="10"/>
  <c r="V53" i="10" s="1"/>
  <c r="H40" i="72"/>
  <c r="CZ32" i="11"/>
  <c r="CZ51" i="11" s="1"/>
  <c r="AT35" i="58"/>
  <c r="AV35" i="58"/>
  <c r="M118" i="64"/>
  <c r="N117" i="64"/>
  <c r="M84" i="64"/>
  <c r="N9" i="9"/>
  <c r="P47" i="10"/>
  <c r="P50" i="10" s="1"/>
  <c r="AE26" i="5"/>
  <c r="FQ19" i="11"/>
  <c r="M15" i="72"/>
  <c r="FP47" i="11"/>
  <c r="FP57" i="11"/>
  <c r="H96" i="72"/>
  <c r="H118" i="72"/>
  <c r="H111" i="72"/>
  <c r="H106" i="72"/>
  <c r="AB64" i="9"/>
  <c r="AE19" i="5"/>
  <c r="AE20" i="5" s="1"/>
  <c r="FQ16" i="11"/>
  <c r="M11" i="72"/>
  <c r="AF14" i="5"/>
  <c r="AF18" i="5"/>
  <c r="AF25" i="5"/>
  <c r="AF45" i="5"/>
  <c r="FR30" i="11" s="1"/>
  <c r="AF9" i="5"/>
  <c r="N36" i="72" s="1"/>
  <c r="N116" i="72" s="1"/>
  <c r="AF34" i="5"/>
  <c r="FR23" i="11" s="1"/>
  <c r="AF7" i="5"/>
  <c r="AF32" i="5"/>
  <c r="FR22" i="11" s="1"/>
  <c r="AF5" i="4"/>
  <c r="AG5" i="5"/>
  <c r="AF39" i="5"/>
  <c r="AF56" i="5"/>
  <c r="AB63" i="9"/>
  <c r="AE15" i="5"/>
  <c r="AE16" i="5" s="1"/>
  <c r="FQ13" i="11"/>
  <c r="M8" i="72"/>
  <c r="M116" i="72"/>
  <c r="M172" i="72" s="1"/>
  <c r="M75" i="72"/>
  <c r="M170" i="72" s="1"/>
  <c r="M169" i="72" s="1"/>
  <c r="M171" i="72"/>
  <c r="I111" i="72"/>
  <c r="I118" i="72"/>
  <c r="I96" i="72"/>
  <c r="I106" i="72"/>
  <c r="D137" i="72"/>
  <c r="D142" i="72" s="1"/>
  <c r="D144" i="72" s="1"/>
  <c r="D161" i="72"/>
  <c r="D174" i="72"/>
  <c r="D150" i="72"/>
  <c r="C137" i="72"/>
  <c r="C142" i="72" s="1"/>
  <c r="C144" i="72" s="1"/>
  <c r="C161" i="72"/>
  <c r="C150" i="72"/>
  <c r="D57" i="72"/>
  <c r="D98" i="72"/>
  <c r="D139" i="72"/>
  <c r="F39" i="72"/>
  <c r="H48" i="5"/>
  <c r="H53" i="5"/>
  <c r="ET32" i="11"/>
  <c r="ET51" i="11" s="1"/>
  <c r="I117" i="64"/>
  <c r="J116" i="64"/>
  <c r="I83" i="64"/>
  <c r="DB32" i="11"/>
  <c r="DB51" i="11" s="1"/>
  <c r="DL28" i="11"/>
  <c r="DL49" i="11"/>
  <c r="DL50" i="11"/>
  <c r="DU17" i="11"/>
  <c r="DU46" i="11"/>
  <c r="K90" i="72"/>
  <c r="K115" i="72"/>
  <c r="FP15" i="11"/>
  <c r="FP55" i="11"/>
  <c r="AA43" i="64"/>
  <c r="FV65" i="11"/>
  <c r="FV76" i="11"/>
  <c r="AJ22" i="4"/>
  <c r="FV66" i="11"/>
  <c r="DN24" i="11"/>
  <c r="DN48" i="11"/>
  <c r="DN58" i="11"/>
  <c r="DN42" i="11"/>
  <c r="K47" i="11"/>
  <c r="H15" i="11"/>
  <c r="C6" i="11"/>
  <c r="D10" i="11"/>
  <c r="D12" i="11" s="1"/>
  <c r="D13" i="11"/>
  <c r="D16" i="11"/>
  <c r="C10" i="11"/>
  <c r="C12" i="11" s="1"/>
  <c r="C13" i="11"/>
  <c r="F13" i="11"/>
  <c r="F16" i="11"/>
  <c r="D19" i="11"/>
  <c r="D23" i="11"/>
  <c r="F26" i="11"/>
  <c r="F30" i="11"/>
  <c r="E34" i="11"/>
  <c r="J59" i="11" s="1"/>
  <c r="E35" i="11"/>
  <c r="E36" i="11"/>
  <c r="E37" i="11"/>
  <c r="C38" i="11"/>
  <c r="E19" i="11"/>
  <c r="E23" i="11"/>
  <c r="C26" i="11"/>
  <c r="C30" i="11"/>
  <c r="F34" i="11"/>
  <c r="F35" i="11"/>
  <c r="F36" i="11"/>
  <c r="F37" i="11"/>
  <c r="D38" i="11"/>
  <c r="E10" i="11"/>
  <c r="E12" i="11" s="1"/>
  <c r="C16" i="11"/>
  <c r="F19" i="11"/>
  <c r="F23" i="11"/>
  <c r="D26" i="11"/>
  <c r="D30" i="11"/>
  <c r="C34" i="11"/>
  <c r="H59" i="11" s="1"/>
  <c r="C35" i="11"/>
  <c r="C36" i="11"/>
  <c r="C37" i="11"/>
  <c r="E38" i="11"/>
  <c r="F10" i="11"/>
  <c r="F12" i="11" s="1"/>
  <c r="E13" i="11"/>
  <c r="E16" i="11"/>
  <c r="C19" i="11"/>
  <c r="C23" i="11"/>
  <c r="E26" i="11"/>
  <c r="E30" i="11"/>
  <c r="D34" i="11"/>
  <c r="I59" i="11" s="1"/>
  <c r="D35" i="11"/>
  <c r="D36" i="11"/>
  <c r="D37" i="11"/>
  <c r="F38" i="11"/>
  <c r="X54" i="5"/>
  <c r="K157" i="72"/>
  <c r="K173" i="72"/>
  <c r="K76" i="72"/>
  <c r="K69" i="72"/>
  <c r="X28" i="11"/>
  <c r="X32" i="11" s="1"/>
  <c r="X51" i="11" s="1"/>
  <c r="X49" i="11"/>
  <c r="X50" i="11"/>
  <c r="J68" i="72"/>
  <c r="J52" i="72"/>
  <c r="EA15" i="11"/>
  <c r="EA55" i="11"/>
  <c r="DZ15" i="11"/>
  <c r="DZ55" i="11"/>
  <c r="DY15" i="11"/>
  <c r="DY55" i="11"/>
  <c r="C55" i="72"/>
  <c r="C60" i="72" s="1"/>
  <c r="C62" i="72" s="1"/>
  <c r="C65" i="72"/>
  <c r="C70" i="72"/>
  <c r="Y114" i="64"/>
  <c r="FK30" i="11"/>
  <c r="DG32" i="11"/>
  <c r="DG51" i="11" s="1"/>
  <c r="N91" i="64"/>
  <c r="Q121" i="64"/>
  <c r="R120" i="64"/>
  <c r="Q87" i="64"/>
  <c r="T54" i="5"/>
  <c r="FF35" i="11"/>
  <c r="DT75" i="11"/>
  <c r="DU6" i="11"/>
  <c r="DT76" i="11"/>
  <c r="I21" i="72"/>
  <c r="I23" i="72" s="1"/>
  <c r="AC8" i="4"/>
  <c r="AC14" i="4"/>
  <c r="AC15" i="4" s="1"/>
  <c r="FO68" i="11"/>
  <c r="L88" i="72"/>
  <c r="L47" i="72"/>
  <c r="AL39" i="4"/>
  <c r="FW63" i="11"/>
  <c r="Y80" i="64"/>
  <c r="X115" i="64"/>
  <c r="M46" i="11"/>
  <c r="M17" i="11"/>
  <c r="L120" i="64"/>
  <c r="L86" i="64"/>
  <c r="R89" i="64"/>
  <c r="S122" i="64"/>
  <c r="J31" i="72"/>
  <c r="J16" i="72"/>
  <c r="J26" i="72"/>
  <c r="J40" i="72" s="1"/>
  <c r="J38" i="72"/>
  <c r="M15" i="9"/>
  <c r="M22" i="9" s="1"/>
  <c r="M48" i="9" s="1"/>
  <c r="M54" i="9"/>
  <c r="M59" i="9" s="1"/>
  <c r="CY32" i="11"/>
  <c r="CY51" i="11" s="1"/>
  <c r="C96" i="72"/>
  <c r="C101" i="72" s="1"/>
  <c r="C103" i="72" s="1"/>
  <c r="C111" i="72"/>
  <c r="C106" i="72"/>
  <c r="ER46" i="11"/>
  <c r="ER17" i="11"/>
  <c r="FG59" i="11"/>
  <c r="Y28" i="11"/>
  <c r="Y32" i="11" s="1"/>
  <c r="Y51" i="11" s="1"/>
  <c r="Y49" i="11"/>
  <c r="Y50" i="11"/>
  <c r="DT17" i="11"/>
  <c r="DT46" i="11"/>
  <c r="DV46" i="11"/>
  <c r="DV17" i="11"/>
  <c r="T17" i="10"/>
  <c r="DL66" i="11"/>
  <c r="P90" i="9" l="1"/>
  <c r="P91" i="9" s="1"/>
  <c r="FG51" i="11"/>
  <c r="R88" i="9"/>
  <c r="R90" i="9" s="1"/>
  <c r="FF51" i="11"/>
  <c r="Q88" i="9"/>
  <c r="Q90" i="9" s="1"/>
  <c r="FM51" i="11"/>
  <c r="X88" i="9"/>
  <c r="X90" i="9" s="1"/>
  <c r="C120" i="64"/>
  <c r="D119" i="64"/>
  <c r="FW75" i="11"/>
  <c r="AB40" i="64"/>
  <c r="AB41" i="64" s="1"/>
  <c r="EF12" i="11"/>
  <c r="EF15" i="11"/>
  <c r="EC12" i="11"/>
  <c r="EC15" i="11"/>
  <c r="EC17" i="11" s="1"/>
  <c r="EC24" i="11" s="1"/>
  <c r="ED12" i="11"/>
  <c r="ED15" i="11"/>
  <c r="ED17" i="11" s="1"/>
  <c r="ED24" i="11" s="1"/>
  <c r="EE15" i="11"/>
  <c r="EM6" i="11"/>
  <c r="EN6" i="11" s="1"/>
  <c r="EO11" i="11"/>
  <c r="EM11" i="11"/>
  <c r="EP11" i="11"/>
  <c r="EN11" i="11"/>
  <c r="EJ11" i="11"/>
  <c r="EH11" i="11"/>
  <c r="EK11" i="11"/>
  <c r="EI11" i="11"/>
  <c r="EE12" i="11"/>
  <c r="EM22" i="11"/>
  <c r="DR69" i="1"/>
  <c r="DQ69" i="1"/>
  <c r="DR70" i="1"/>
  <c r="DQ70" i="1"/>
  <c r="DQ54" i="1"/>
  <c r="DL164" i="1"/>
  <c r="Z77" i="64"/>
  <c r="Z112" i="64" s="1"/>
  <c r="DQ161" i="1"/>
  <c r="S90" i="64"/>
  <c r="C240" i="54"/>
  <c r="D239" i="54"/>
  <c r="AM53" i="3"/>
  <c r="AM60" i="3"/>
  <c r="G87" i="64"/>
  <c r="G88" i="64" s="1"/>
  <c r="DQ109" i="1"/>
  <c r="DP119" i="1"/>
  <c r="DP129" i="1" s="1"/>
  <c r="DN154" i="1"/>
  <c r="DT40" i="1"/>
  <c r="DU40" i="1"/>
  <c r="P120" i="64"/>
  <c r="O121" i="64"/>
  <c r="O87" i="64"/>
  <c r="DQ108" i="1"/>
  <c r="DP113" i="1"/>
  <c r="DQ113" i="1" s="1"/>
  <c r="DP118" i="1"/>
  <c r="DP128" i="1" s="1"/>
  <c r="D118" i="64"/>
  <c r="C119" i="64"/>
  <c r="Z75" i="64"/>
  <c r="Z110" i="64" s="1"/>
  <c r="Z72" i="64"/>
  <c r="Z107" i="64" s="1"/>
  <c r="Z76" i="64"/>
  <c r="Z111" i="64" s="1"/>
  <c r="Z66" i="64"/>
  <c r="Z69" i="64"/>
  <c r="Z104" i="64" s="1"/>
  <c r="Z71" i="64"/>
  <c r="Z106" i="64" s="1"/>
  <c r="Z74" i="64"/>
  <c r="Z109" i="64" s="1"/>
  <c r="Z68" i="64"/>
  <c r="Z103" i="64" s="1"/>
  <c r="Z70" i="64"/>
  <c r="Z105" i="64" s="1"/>
  <c r="Z67" i="64"/>
  <c r="Z102" i="64" s="1"/>
  <c r="Z73" i="64"/>
  <c r="Z108" i="64" s="1"/>
  <c r="DM154" i="1"/>
  <c r="AD64" i="3"/>
  <c r="AF64" i="3" s="1"/>
  <c r="AD57" i="3"/>
  <c r="AF57" i="3" s="1"/>
  <c r="AK57" i="3"/>
  <c r="C86" i="64"/>
  <c r="T121" i="64"/>
  <c r="AD32" i="3"/>
  <c r="AF32" i="3" s="1"/>
  <c r="AK32" i="3"/>
  <c r="AM32" i="3" s="1"/>
  <c r="K88" i="64"/>
  <c r="AK45" i="4"/>
  <c r="AK46" i="4" s="1"/>
  <c r="AB48" i="5"/>
  <c r="FJ56" i="11"/>
  <c r="FJ37" i="11"/>
  <c r="FJ62" i="11"/>
  <c r="FJ38" i="11"/>
  <c r="FK7" i="11"/>
  <c r="EP56" i="11"/>
  <c r="EN16" i="11"/>
  <c r="EN36" i="11"/>
  <c r="EO23" i="11"/>
  <c r="EN56" i="11"/>
  <c r="EO56" i="11"/>
  <c r="EM16" i="11"/>
  <c r="EM36" i="11"/>
  <c r="EN38" i="11"/>
  <c r="EP16" i="11"/>
  <c r="EN19" i="11"/>
  <c r="EN37" i="11"/>
  <c r="EO30" i="11"/>
  <c r="EP23" i="11"/>
  <c r="EP10" i="11"/>
  <c r="EM19" i="11"/>
  <c r="EM37" i="11"/>
  <c r="EO36" i="11"/>
  <c r="EM23" i="11"/>
  <c r="EO10" i="11"/>
  <c r="EO19" i="11"/>
  <c r="EN30" i="11"/>
  <c r="EM56" i="11"/>
  <c r="EO37" i="11"/>
  <c r="EP36" i="11"/>
  <c r="EP19" i="11"/>
  <c r="EM30" i="11"/>
  <c r="EN23" i="11"/>
  <c r="EP30" i="11"/>
  <c r="EM38" i="11"/>
  <c r="EP13" i="11"/>
  <c r="EO13" i="11"/>
  <c r="EN10" i="11"/>
  <c r="EP37" i="11"/>
  <c r="EO38" i="11"/>
  <c r="EM10" i="11"/>
  <c r="EP38" i="11"/>
  <c r="EN13" i="11"/>
  <c r="EM13" i="11"/>
  <c r="EP26" i="11"/>
  <c r="EP35" i="11"/>
  <c r="DM160" i="1"/>
  <c r="AX35" i="58"/>
  <c r="AZ35" i="58"/>
  <c r="BB35" i="58" s="1"/>
  <c r="AD134" i="3"/>
  <c r="AK134" i="3"/>
  <c r="FW64" i="11"/>
  <c r="AK48" i="4"/>
  <c r="C15" i="11"/>
  <c r="C46" i="11" s="1"/>
  <c r="E47" i="11"/>
  <c r="Y17" i="10"/>
  <c r="Y48" i="10" s="1"/>
  <c r="Y53" i="10" s="1"/>
  <c r="R35" i="10"/>
  <c r="R60" i="10" s="1"/>
  <c r="AB53" i="5"/>
  <c r="Z8" i="10"/>
  <c r="DT66" i="11" s="1"/>
  <c r="I101" i="72"/>
  <c r="I103" i="72" s="1"/>
  <c r="Y65" i="9"/>
  <c r="H120" i="72"/>
  <c r="FN32" i="11"/>
  <c r="I39" i="72"/>
  <c r="F47" i="11"/>
  <c r="I60" i="72"/>
  <c r="I62" i="72" s="1"/>
  <c r="I142" i="72"/>
  <c r="I144" i="72" s="1"/>
  <c r="I176" i="72"/>
  <c r="I120" i="72"/>
  <c r="H79" i="72"/>
  <c r="H18" i="72"/>
  <c r="H57" i="72" s="1"/>
  <c r="FN59" i="11"/>
  <c r="FN83" i="11" s="1"/>
  <c r="C47" i="11"/>
  <c r="H55" i="11"/>
  <c r="D47" i="11"/>
  <c r="H39" i="72"/>
  <c r="AD8" i="4"/>
  <c r="AD14" i="4"/>
  <c r="AD15" i="4" s="1"/>
  <c r="FP68" i="11"/>
  <c r="DV24" i="11"/>
  <c r="DV48" i="11"/>
  <c r="DV58" i="11"/>
  <c r="DV42" i="11"/>
  <c r="ER24" i="11"/>
  <c r="ER48" i="11"/>
  <c r="ER42" i="11"/>
  <c r="ER52" i="11" s="1"/>
  <c r="J21" i="72"/>
  <c r="J23" i="72" s="1"/>
  <c r="J39" i="72" s="1"/>
  <c r="DY17" i="11"/>
  <c r="DY46" i="11"/>
  <c r="K93" i="72"/>
  <c r="K109" i="72"/>
  <c r="N92" i="64"/>
  <c r="J55" i="72"/>
  <c r="J70" i="72"/>
  <c r="J77" i="72"/>
  <c r="J65" i="72"/>
  <c r="J79" i="72" s="1"/>
  <c r="L121" i="64"/>
  <c r="L87" i="64"/>
  <c r="Z80" i="64"/>
  <c r="Y115" i="64"/>
  <c r="AL41" i="4"/>
  <c r="DV6" i="11"/>
  <c r="DU76" i="11"/>
  <c r="DU75" i="11"/>
  <c r="Q122" i="64"/>
  <c r="Q88" i="64"/>
  <c r="R121" i="64"/>
  <c r="EA46" i="11"/>
  <c r="EA17" i="11"/>
  <c r="F15" i="11"/>
  <c r="D15" i="11"/>
  <c r="K57" i="11"/>
  <c r="DU24" i="11"/>
  <c r="DU48" i="11"/>
  <c r="DU58" i="11"/>
  <c r="DU42" i="11"/>
  <c r="D175" i="72"/>
  <c r="M47" i="72"/>
  <c r="M88" i="72"/>
  <c r="AD56" i="10"/>
  <c r="FR36" i="11"/>
  <c r="N24" i="72"/>
  <c r="M37" i="72"/>
  <c r="M30" i="72"/>
  <c r="M159" i="72" s="1"/>
  <c r="M91" i="72"/>
  <c r="M50" i="72"/>
  <c r="N54" i="9"/>
  <c r="N59" i="9" s="1"/>
  <c r="N15" i="9"/>
  <c r="N22" i="9" s="1"/>
  <c r="N48" i="9" s="1"/>
  <c r="D119" i="72"/>
  <c r="K55" i="11"/>
  <c r="L90" i="72"/>
  <c r="L115" i="72"/>
  <c r="DP28" i="11"/>
  <c r="DP49" i="11"/>
  <c r="DP50" i="11"/>
  <c r="I79" i="72"/>
  <c r="AE9" i="4"/>
  <c r="AE10" i="4" s="1"/>
  <c r="AE12" i="4"/>
  <c r="AE31" i="4" s="1"/>
  <c r="AE17" i="4"/>
  <c r="AE18" i="4" s="1"/>
  <c r="AE24" i="4"/>
  <c r="AE29" i="4"/>
  <c r="AB75" i="9"/>
  <c r="AC59" i="10"/>
  <c r="AB67" i="9"/>
  <c r="AB71" i="9" s="1"/>
  <c r="DO52" i="11"/>
  <c r="DO60" i="11"/>
  <c r="U28" i="11"/>
  <c r="U32" i="11" s="1"/>
  <c r="U51" i="11" s="1"/>
  <c r="U49" i="11"/>
  <c r="U50" i="11"/>
  <c r="EF47" i="11"/>
  <c r="EF57" i="11"/>
  <c r="DS24" i="11"/>
  <c r="DS48" i="11"/>
  <c r="DS42" i="11"/>
  <c r="DS58" i="11"/>
  <c r="I71" i="72"/>
  <c r="J17" i="11"/>
  <c r="O58" i="11" s="1"/>
  <c r="J46" i="11"/>
  <c r="AD47" i="5"/>
  <c r="AD37" i="5"/>
  <c r="AD40" i="5"/>
  <c r="AD42" i="5" s="1"/>
  <c r="K153" i="72"/>
  <c r="K134" i="72"/>
  <c r="FO42" i="11"/>
  <c r="FO24" i="11"/>
  <c r="FO48" i="11"/>
  <c r="FO58" i="11"/>
  <c r="ES34" i="11"/>
  <c r="X118" i="64"/>
  <c r="Y83" i="64"/>
  <c r="J174" i="72"/>
  <c r="J137" i="72"/>
  <c r="J150" i="72"/>
  <c r="J176" i="72" s="1"/>
  <c r="J161" i="72"/>
  <c r="W86" i="64"/>
  <c r="V121" i="64"/>
  <c r="H57" i="11"/>
  <c r="E175" i="72"/>
  <c r="AD25" i="4"/>
  <c r="FP67" i="11"/>
  <c r="DQ52" i="11"/>
  <c r="DQ60" i="11"/>
  <c r="X35" i="10"/>
  <c r="X60" i="10" s="1"/>
  <c r="X48" i="10"/>
  <c r="X53" i="10" s="1"/>
  <c r="L117" i="72"/>
  <c r="L110" i="72"/>
  <c r="L160" i="72" s="1"/>
  <c r="O24" i="11"/>
  <c r="O48" i="11"/>
  <c r="T35" i="10"/>
  <c r="T60" i="10" s="1"/>
  <c r="T48" i="10"/>
  <c r="T53" i="10" s="1"/>
  <c r="DT58" i="11"/>
  <c r="DT24" i="11"/>
  <c r="DT48" i="11"/>
  <c r="DT42" i="11"/>
  <c r="R90" i="64"/>
  <c r="S123" i="64"/>
  <c r="M24" i="11"/>
  <c r="M48" i="11"/>
  <c r="DZ17" i="11"/>
  <c r="DZ46" i="11"/>
  <c r="D22" i="11"/>
  <c r="D6" i="11"/>
  <c r="E6" i="11" s="1"/>
  <c r="F6" i="11" s="1"/>
  <c r="E22" i="11"/>
  <c r="F22" i="11"/>
  <c r="C22" i="11"/>
  <c r="D176" i="72"/>
  <c r="FR26" i="11"/>
  <c r="N18" i="72"/>
  <c r="AC62" i="9"/>
  <c r="AD62" i="10"/>
  <c r="AF8" i="5"/>
  <c r="AF22" i="5"/>
  <c r="AF11" i="4"/>
  <c r="FR10" i="11"/>
  <c r="FR12" i="11" s="1"/>
  <c r="N6" i="72"/>
  <c r="AF26" i="5"/>
  <c r="FR19" i="11"/>
  <c r="N15" i="72"/>
  <c r="FQ47" i="11"/>
  <c r="FQ57" i="11"/>
  <c r="M119" i="64"/>
  <c r="N118" i="64"/>
  <c r="M85" i="64"/>
  <c r="D120" i="72"/>
  <c r="D78" i="72"/>
  <c r="Z82" i="64"/>
  <c r="Y117" i="64"/>
  <c r="AC50" i="5"/>
  <c r="AC43" i="5"/>
  <c r="FO28" i="11"/>
  <c r="FO82" i="11" s="1"/>
  <c r="U122" i="64"/>
  <c r="V87" i="64"/>
  <c r="I55" i="11"/>
  <c r="K46" i="11"/>
  <c r="K17" i="11"/>
  <c r="P58" i="11" s="1"/>
  <c r="V57" i="64"/>
  <c r="L29" i="72"/>
  <c r="L155" i="72" s="1"/>
  <c r="L13" i="72"/>
  <c r="U59" i="64"/>
  <c r="DQ75" i="11"/>
  <c r="DQ76" i="11"/>
  <c r="U35" i="10"/>
  <c r="U60" i="10" s="1"/>
  <c r="U48" i="10"/>
  <c r="U53" i="10" s="1"/>
  <c r="DP52" i="11"/>
  <c r="DP60" i="11"/>
  <c r="DD51" i="11"/>
  <c r="DD34" i="11"/>
  <c r="DD59" i="11" s="1"/>
  <c r="E42" i="5"/>
  <c r="E37" i="5"/>
  <c r="E40" i="5"/>
  <c r="S35" i="10"/>
  <c r="S60" i="10" s="1"/>
  <c r="S48" i="10"/>
  <c r="S53" i="10" s="1"/>
  <c r="AE23" i="5"/>
  <c r="AE36" i="5"/>
  <c r="AE35" i="4"/>
  <c r="AE36" i="4" s="1"/>
  <c r="P24" i="11"/>
  <c r="P48" i="11"/>
  <c r="EC47" i="11"/>
  <c r="EC57" i="11"/>
  <c r="ED47" i="11"/>
  <c r="ED57" i="11"/>
  <c r="ED55" i="11"/>
  <c r="I162" i="72"/>
  <c r="F89" i="64"/>
  <c r="K31" i="72"/>
  <c r="K16" i="72"/>
  <c r="K26" i="72"/>
  <c r="K40" i="72" s="1"/>
  <c r="K38" i="72"/>
  <c r="R28" i="11"/>
  <c r="R32" i="11" s="1"/>
  <c r="R51" i="11" s="1"/>
  <c r="R49" i="11"/>
  <c r="R50" i="11"/>
  <c r="J89" i="64"/>
  <c r="K122" i="64"/>
  <c r="H87" i="64"/>
  <c r="DI51" i="11"/>
  <c r="DI34" i="11"/>
  <c r="DY75" i="11"/>
  <c r="DZ6" i="11"/>
  <c r="DY76" i="11"/>
  <c r="F43" i="5"/>
  <c r="F47" i="5"/>
  <c r="F50" i="5"/>
  <c r="ER34" i="11" s="1"/>
  <c r="ER28" i="11"/>
  <c r="I57" i="11"/>
  <c r="E176" i="72"/>
  <c r="P89" i="64"/>
  <c r="E79" i="72"/>
  <c r="G18" i="72"/>
  <c r="DM44" i="1"/>
  <c r="DN44" i="1"/>
  <c r="DL54" i="1"/>
  <c r="DE51" i="11"/>
  <c r="DE34" i="11"/>
  <c r="DE59" i="11" s="1"/>
  <c r="DN28" i="11"/>
  <c r="DN49" i="11"/>
  <c r="DN50" i="11"/>
  <c r="I118" i="64"/>
  <c r="J117" i="64"/>
  <c r="I84" i="64"/>
  <c r="ET35" i="11"/>
  <c r="I54" i="5"/>
  <c r="AH5" i="5"/>
  <c r="AH45" i="5" s="1"/>
  <c r="FT30" i="11" s="1"/>
  <c r="AG39" i="5"/>
  <c r="AG56" i="5"/>
  <c r="AO56" i="5" s="1"/>
  <c r="AG14" i="5"/>
  <c r="AO14" i="5" s="1"/>
  <c r="AG18" i="5"/>
  <c r="AG25" i="5"/>
  <c r="AG45" i="5"/>
  <c r="FS30" i="11" s="1"/>
  <c r="AG7" i="5"/>
  <c r="O6" i="72" s="1"/>
  <c r="AG5" i="4"/>
  <c r="AG27" i="4" s="1"/>
  <c r="FS56" i="11" s="1"/>
  <c r="AC64" i="9"/>
  <c r="AF19" i="5"/>
  <c r="AF20" i="5" s="1"/>
  <c r="FR16" i="11"/>
  <c r="N11" i="72"/>
  <c r="M95" i="72"/>
  <c r="M136" i="72"/>
  <c r="M54" i="72"/>
  <c r="ES49" i="11"/>
  <c r="ES50" i="11"/>
  <c r="I17" i="11"/>
  <c r="N58" i="11" s="1"/>
  <c r="I46" i="11"/>
  <c r="L177" i="72"/>
  <c r="L80" i="72"/>
  <c r="L81" i="72" s="1"/>
  <c r="L179" i="72" s="1"/>
  <c r="L178" i="72" s="1"/>
  <c r="L168" i="72" s="1"/>
  <c r="L127" i="72" s="1"/>
  <c r="L121" i="72"/>
  <c r="U54" i="5"/>
  <c r="FG35" i="11"/>
  <c r="Z81" i="64"/>
  <c r="Y116" i="64"/>
  <c r="M45" i="72"/>
  <c r="M10" i="72"/>
  <c r="M35" i="72"/>
  <c r="M86" i="72"/>
  <c r="FN52" i="11"/>
  <c r="FN60" i="11"/>
  <c r="DO28" i="11"/>
  <c r="DO49" i="11"/>
  <c r="DO50" i="11"/>
  <c r="L146" i="72"/>
  <c r="L145" i="72" s="1"/>
  <c r="L104" i="72"/>
  <c r="L148" i="72" s="1"/>
  <c r="EE55" i="11"/>
  <c r="EH6" i="11"/>
  <c r="EI10" i="11"/>
  <c r="EI13" i="11"/>
  <c r="EH10" i="11"/>
  <c r="EJ10" i="11"/>
  <c r="EI16" i="11"/>
  <c r="EI19" i="11"/>
  <c r="EI23" i="11"/>
  <c r="EK26" i="11"/>
  <c r="EJ30" i="11"/>
  <c r="EJ35" i="11"/>
  <c r="EJ36" i="11"/>
  <c r="EJ37" i="11"/>
  <c r="EH38" i="11"/>
  <c r="EJ56" i="11"/>
  <c r="EK10" i="11"/>
  <c r="EH13" i="11"/>
  <c r="EJ16" i="11"/>
  <c r="EJ19" i="11"/>
  <c r="EJ23" i="11"/>
  <c r="EH26" i="11"/>
  <c r="EK30" i="11"/>
  <c r="EK35" i="11"/>
  <c r="EK36" i="11"/>
  <c r="EK37" i="11"/>
  <c r="EI38" i="11"/>
  <c r="EJ13" i="11"/>
  <c r="EK16" i="11"/>
  <c r="EK19" i="11"/>
  <c r="EK23" i="11"/>
  <c r="EH30" i="11"/>
  <c r="EH35" i="11"/>
  <c r="EH36" i="11"/>
  <c r="EH37" i="11"/>
  <c r="EJ38" i="11"/>
  <c r="EK13" i="11"/>
  <c r="EH16" i="11"/>
  <c r="EH19" i="11"/>
  <c r="EH23" i="11"/>
  <c r="EJ26" i="11"/>
  <c r="EI30" i="11"/>
  <c r="EI36" i="11"/>
  <c r="EI37" i="11"/>
  <c r="EK38" i="11"/>
  <c r="EI56" i="11"/>
  <c r="EK56" i="11"/>
  <c r="EH56" i="11"/>
  <c r="I112" i="72"/>
  <c r="AK22" i="4"/>
  <c r="FW66" i="11"/>
  <c r="J111" i="72"/>
  <c r="J96" i="72"/>
  <c r="J118" i="72"/>
  <c r="J106" i="72"/>
  <c r="J120" i="72" s="1"/>
  <c r="V54" i="5"/>
  <c r="E119" i="72"/>
  <c r="G48" i="5"/>
  <c r="G53" i="5"/>
  <c r="ES32" i="11"/>
  <c r="ES51" i="11" s="1"/>
  <c r="FN50" i="11"/>
  <c r="T28" i="11"/>
  <c r="T32" i="11" s="1"/>
  <c r="T51" i="11" s="1"/>
  <c r="T49" i="11"/>
  <c r="T50" i="11"/>
  <c r="DX46" i="11"/>
  <c r="DX17" i="11"/>
  <c r="Z113" i="64"/>
  <c r="E78" i="72"/>
  <c r="DM43" i="1"/>
  <c r="DN43" i="1"/>
  <c r="L76" i="72"/>
  <c r="L69" i="72"/>
  <c r="L158" i="72" s="1"/>
  <c r="L157" i="72" s="1"/>
  <c r="M63" i="72"/>
  <c r="M147" i="72"/>
  <c r="D120" i="64"/>
  <c r="E119" i="64"/>
  <c r="D86" i="64"/>
  <c r="N24" i="11"/>
  <c r="N48" i="11"/>
  <c r="Z114" i="64"/>
  <c r="E15" i="11"/>
  <c r="H46" i="11"/>
  <c r="H17" i="11"/>
  <c r="DN52" i="11"/>
  <c r="DN60" i="11"/>
  <c r="AA44" i="64"/>
  <c r="AA54" i="64" s="1"/>
  <c r="AA78" i="64" s="1"/>
  <c r="AA45" i="64"/>
  <c r="FP46" i="11"/>
  <c r="FP17" i="11"/>
  <c r="DL34" i="11"/>
  <c r="DL59" i="11" s="1"/>
  <c r="DL32" i="11"/>
  <c r="AB69" i="9"/>
  <c r="AB73" i="9" s="1"/>
  <c r="AB68" i="9"/>
  <c r="AB72" i="9" s="1"/>
  <c r="AF27" i="4"/>
  <c r="FR56" i="11" s="1"/>
  <c r="N75" i="72"/>
  <c r="N170" i="72" s="1"/>
  <c r="N169" i="72" s="1"/>
  <c r="N172" i="72"/>
  <c r="N171" i="72"/>
  <c r="AC63" i="9"/>
  <c r="AF15" i="5"/>
  <c r="AF16" i="5" s="1"/>
  <c r="FR13" i="11"/>
  <c r="N8" i="72"/>
  <c r="O9" i="9"/>
  <c r="Q47" i="10"/>
  <c r="Q50" i="10" s="1"/>
  <c r="D79" i="72"/>
  <c r="DF34" i="11"/>
  <c r="DF59" i="11" s="1"/>
  <c r="DF51" i="11"/>
  <c r="AA8" i="10"/>
  <c r="Z65" i="9"/>
  <c r="AC48" i="5"/>
  <c r="AC53" i="5"/>
  <c r="FO32" i="11"/>
  <c r="U88" i="64"/>
  <c r="T123" i="64"/>
  <c r="T89" i="64"/>
  <c r="J54" i="5"/>
  <c r="L74" i="72"/>
  <c r="L49" i="72"/>
  <c r="K52" i="72"/>
  <c r="K68" i="72"/>
  <c r="H176" i="72"/>
  <c r="FQ15" i="11"/>
  <c r="FQ55" i="11"/>
  <c r="Y84" i="64"/>
  <c r="X119" i="64"/>
  <c r="S28" i="11"/>
  <c r="S32" i="11" s="1"/>
  <c r="S51" i="11" s="1"/>
  <c r="S49" i="11"/>
  <c r="S50" i="11"/>
  <c r="DJ34" i="11"/>
  <c r="DJ32" i="11"/>
  <c r="DK34" i="11"/>
  <c r="DK32" i="11"/>
  <c r="EF55" i="11"/>
  <c r="EE47" i="11"/>
  <c r="EE57" i="11"/>
  <c r="EC55" i="11"/>
  <c r="ED6" i="11"/>
  <c r="ED22" i="11"/>
  <c r="EE22" i="11"/>
  <c r="EF22" i="11"/>
  <c r="EC22" i="11"/>
  <c r="EC76" i="11"/>
  <c r="EC75" i="11"/>
  <c r="W35" i="10"/>
  <c r="W60" i="10" s="1"/>
  <c r="W48" i="10"/>
  <c r="W53" i="10" s="1"/>
  <c r="J55" i="11"/>
  <c r="J57" i="11"/>
  <c r="R58" i="11"/>
  <c r="E120" i="72"/>
  <c r="E89" i="64"/>
  <c r="AD10" i="4"/>
  <c r="W120" i="64"/>
  <c r="X85" i="64"/>
  <c r="W58" i="64"/>
  <c r="DQ28" i="11"/>
  <c r="DQ49" i="11"/>
  <c r="DQ50" i="11"/>
  <c r="DM50" i="1"/>
  <c r="DN50" i="1"/>
  <c r="DM119" i="1"/>
  <c r="AL124" i="8"/>
  <c r="M98" i="72"/>
  <c r="M57" i="72"/>
  <c r="FO51" i="11" l="1"/>
  <c r="Z88" i="9"/>
  <c r="Z90" i="9" s="1"/>
  <c r="FN51" i="11"/>
  <c r="Y88" i="9"/>
  <c r="Y90" i="9" s="1"/>
  <c r="Q86" i="9"/>
  <c r="Q91" i="9" s="1"/>
  <c r="P92" i="9"/>
  <c r="H121" i="64"/>
  <c r="G122" i="64"/>
  <c r="G89" i="64"/>
  <c r="G90" i="64" s="1"/>
  <c r="G91" i="64" s="1"/>
  <c r="FW76" i="11"/>
  <c r="AB43" i="64"/>
  <c r="EE17" i="11"/>
  <c r="EE24" i="11" s="1"/>
  <c r="EK12" i="11"/>
  <c r="EK15" i="11"/>
  <c r="EH12" i="11"/>
  <c r="EH15" i="11"/>
  <c r="EH17" i="11" s="1"/>
  <c r="EH24" i="11" s="1"/>
  <c r="EM12" i="11"/>
  <c r="EM15" i="11"/>
  <c r="EO12" i="11"/>
  <c r="EO15" i="11"/>
  <c r="EI12" i="11"/>
  <c r="EI15" i="11"/>
  <c r="EI17" i="11" s="1"/>
  <c r="EI24" i="11" s="1"/>
  <c r="EJ15" i="11"/>
  <c r="EN12" i="11"/>
  <c r="EN15" i="11"/>
  <c r="EP12" i="11"/>
  <c r="EP15" i="11"/>
  <c r="EP17" i="11" s="1"/>
  <c r="EP24" i="11" s="1"/>
  <c r="EF17" i="11"/>
  <c r="EF24" i="11" s="1"/>
  <c r="AA113" i="64"/>
  <c r="DP158" i="1"/>
  <c r="EM28" i="11"/>
  <c r="DP159" i="1"/>
  <c r="EN28" i="11"/>
  <c r="EM17" i="11"/>
  <c r="EM24" i="11" s="1"/>
  <c r="EJ12" i="11"/>
  <c r="EK17" i="11"/>
  <c r="EK24" i="11" s="1"/>
  <c r="EO6" i="11"/>
  <c r="EN22" i="11"/>
  <c r="AO7" i="5"/>
  <c r="AG22" i="5"/>
  <c r="AG36" i="5" s="1"/>
  <c r="AG47" i="5" s="1"/>
  <c r="AE8" i="10" s="1"/>
  <c r="DN73" i="1"/>
  <c r="DM73" i="1"/>
  <c r="DR54" i="1"/>
  <c r="DQ74" i="1"/>
  <c r="EP57" i="11"/>
  <c r="DM164" i="1"/>
  <c r="EP55" i="11"/>
  <c r="FW65" i="11"/>
  <c r="EN26" i="11"/>
  <c r="DQ129" i="1"/>
  <c r="DP149" i="1"/>
  <c r="DQ128" i="1"/>
  <c r="DP148" i="1"/>
  <c r="DP133" i="1"/>
  <c r="DQ133" i="1" s="1"/>
  <c r="DR128" i="1"/>
  <c r="AO18" i="5"/>
  <c r="K89" i="64"/>
  <c r="K90" i="64" s="1"/>
  <c r="EM26" i="11"/>
  <c r="C121" i="64"/>
  <c r="P121" i="64"/>
  <c r="O122" i="64"/>
  <c r="O88" i="64"/>
  <c r="Z33" i="3"/>
  <c r="C241" i="54"/>
  <c r="D240" i="54"/>
  <c r="Z6" i="64"/>
  <c r="Z25" i="64" s="1"/>
  <c r="Z101" i="64"/>
  <c r="Z53" i="64"/>
  <c r="DP123" i="1"/>
  <c r="DQ123" i="1" s="1"/>
  <c r="EM57" i="11"/>
  <c r="S91" i="64"/>
  <c r="S92" i="64" s="1"/>
  <c r="AM57" i="3"/>
  <c r="AM64" i="3"/>
  <c r="C87" i="64"/>
  <c r="AL42" i="4"/>
  <c r="AL43" i="4" s="1"/>
  <c r="AM39" i="4"/>
  <c r="AB54" i="5"/>
  <c r="AO25" i="5"/>
  <c r="FN35" i="11"/>
  <c r="EN57" i="11"/>
  <c r="EN55" i="11"/>
  <c r="EM55" i="11"/>
  <c r="EM47" i="11"/>
  <c r="EP47" i="11"/>
  <c r="EN47" i="11"/>
  <c r="FK56" i="11"/>
  <c r="FK37" i="11"/>
  <c r="FK62" i="11"/>
  <c r="FK38" i="11"/>
  <c r="FL7" i="11"/>
  <c r="EO55" i="11"/>
  <c r="C17" i="11"/>
  <c r="H58" i="11" s="1"/>
  <c r="DJ59" i="11"/>
  <c r="Y35" i="10"/>
  <c r="Y60" i="10" s="1"/>
  <c r="Z17" i="10"/>
  <c r="Z35" i="10" s="1"/>
  <c r="Z60" i="10" s="1"/>
  <c r="H98" i="72"/>
  <c r="H112" i="72" s="1"/>
  <c r="H139" i="72"/>
  <c r="H71" i="72"/>
  <c r="H60" i="72"/>
  <c r="H62" i="72" s="1"/>
  <c r="H78" i="72" s="1"/>
  <c r="AE7" i="4"/>
  <c r="FQ68" i="11" s="1"/>
  <c r="DK51" i="11"/>
  <c r="Z84" i="64"/>
  <c r="Y119" i="64"/>
  <c r="V88" i="64"/>
  <c r="U123" i="64"/>
  <c r="E17" i="11"/>
  <c r="J58" i="11" s="1"/>
  <c r="E46" i="11"/>
  <c r="DQ34" i="11"/>
  <c r="DQ59" i="11" s="1"/>
  <c r="DQ32" i="11"/>
  <c r="DQ51" i="11" s="1"/>
  <c r="EC46" i="11"/>
  <c r="DK59" i="11"/>
  <c r="K55" i="72"/>
  <c r="K65" i="72"/>
  <c r="K79" i="72" s="1"/>
  <c r="K77" i="72"/>
  <c r="K70" i="72"/>
  <c r="AA17" i="10"/>
  <c r="DU66" i="11"/>
  <c r="P9" i="9"/>
  <c r="R47" i="10"/>
  <c r="R50" i="10" s="1"/>
  <c r="AC69" i="9"/>
  <c r="AC73" i="9" s="1"/>
  <c r="AC68" i="9"/>
  <c r="AC72" i="9" s="1"/>
  <c r="DL51" i="11"/>
  <c r="H24" i="11"/>
  <c r="H48" i="11"/>
  <c r="DX24" i="11"/>
  <c r="DX48" i="11"/>
  <c r="DX42" i="11"/>
  <c r="DX58" i="11"/>
  <c r="ES35" i="11"/>
  <c r="EH47" i="11"/>
  <c r="EH57" i="11"/>
  <c r="EJ47" i="11"/>
  <c r="EJ57" i="11"/>
  <c r="EI47" i="11"/>
  <c r="EI57" i="11"/>
  <c r="EI55" i="11"/>
  <c r="M13" i="72"/>
  <c r="M29" i="72"/>
  <c r="M155" i="72" s="1"/>
  <c r="L132" i="72"/>
  <c r="L173" i="72" s="1"/>
  <c r="FS36" i="11"/>
  <c r="O24" i="72"/>
  <c r="DM54" i="1"/>
  <c r="DN54" i="1"/>
  <c r="DI59" i="11"/>
  <c r="K21" i="72"/>
  <c r="K23" i="72" s="1"/>
  <c r="K39" i="72" s="1"/>
  <c r="K32" i="72"/>
  <c r="V122" i="64"/>
  <c r="W87" i="64"/>
  <c r="AC51" i="5"/>
  <c r="FO34" i="11"/>
  <c r="FO59" i="11" s="1"/>
  <c r="FO83" i="11" s="1"/>
  <c r="M120" i="64"/>
  <c r="N119" i="64"/>
  <c r="M86" i="64"/>
  <c r="FR15" i="11"/>
  <c r="FR55" i="11"/>
  <c r="M28" i="11"/>
  <c r="M32" i="11" s="1"/>
  <c r="M51" i="11" s="1"/>
  <c r="M49" i="11"/>
  <c r="M50" i="11"/>
  <c r="R91" i="64"/>
  <c r="S124" i="64"/>
  <c r="DT28" i="11"/>
  <c r="DT49" i="11"/>
  <c r="DT50" i="11"/>
  <c r="Y118" i="64"/>
  <c r="Z83" i="64"/>
  <c r="K161" i="72"/>
  <c r="K174" i="72"/>
  <c r="K137" i="72"/>
  <c r="K150" i="72"/>
  <c r="K176" i="72" s="1"/>
  <c r="AB8" i="10"/>
  <c r="AA65" i="9"/>
  <c r="AD48" i="5"/>
  <c r="FP32" i="11"/>
  <c r="J24" i="11"/>
  <c r="J48" i="11"/>
  <c r="DP34" i="11"/>
  <c r="DP59" i="11" s="1"/>
  <c r="DP32" i="11"/>
  <c r="DP51" i="11" s="1"/>
  <c r="M117" i="72"/>
  <c r="M110" i="72"/>
  <c r="M160" i="72" s="1"/>
  <c r="DU28" i="11"/>
  <c r="DU49" i="11"/>
  <c r="DU50" i="11"/>
  <c r="EA24" i="11"/>
  <c r="EA48" i="11"/>
  <c r="EA42" i="11"/>
  <c r="EA58" i="11"/>
  <c r="DY58" i="11"/>
  <c r="DY24" i="11"/>
  <c r="DY48" i="11"/>
  <c r="DY42" i="11"/>
  <c r="EF46" i="11"/>
  <c r="DJ51" i="11"/>
  <c r="FQ46" i="11"/>
  <c r="FQ17" i="11"/>
  <c r="L52" i="72"/>
  <c r="L68" i="72"/>
  <c r="L154" i="72" s="1"/>
  <c r="L153" i="72" s="1"/>
  <c r="L131" i="72" s="1"/>
  <c r="T124" i="64"/>
  <c r="U89" i="64"/>
  <c r="T90" i="64"/>
  <c r="AC54" i="5"/>
  <c r="FO35" i="11"/>
  <c r="O15" i="9"/>
  <c r="O22" i="9" s="1"/>
  <c r="O48" i="9" s="1"/>
  <c r="O54" i="9"/>
  <c r="O59" i="9" s="1"/>
  <c r="N88" i="72"/>
  <c r="N47" i="72"/>
  <c r="AA75" i="64"/>
  <c r="AA73" i="64"/>
  <c r="AA72" i="64"/>
  <c r="AA74" i="64"/>
  <c r="AA66" i="64"/>
  <c r="AA76" i="64"/>
  <c r="AA69" i="64"/>
  <c r="AA67" i="64"/>
  <c r="AA71" i="64"/>
  <c r="AA70" i="64"/>
  <c r="AA68" i="64"/>
  <c r="AA79" i="64"/>
  <c r="N28" i="11"/>
  <c r="N32" i="11" s="1"/>
  <c r="N51" i="11" s="1"/>
  <c r="N49" i="11"/>
  <c r="N50" i="11"/>
  <c r="EJ55" i="11"/>
  <c r="EI75" i="11"/>
  <c r="EJ76" i="11"/>
  <c r="EI6" i="11"/>
  <c r="EH22" i="11"/>
  <c r="EK75" i="11"/>
  <c r="EH76" i="11"/>
  <c r="EI76" i="11"/>
  <c r="EH75" i="11"/>
  <c r="EK76" i="11"/>
  <c r="EJ75" i="11"/>
  <c r="M74" i="72"/>
  <c r="M49" i="72"/>
  <c r="AG26" i="5"/>
  <c r="FS19" i="11"/>
  <c r="O15" i="72"/>
  <c r="FS26" i="11"/>
  <c r="O18" i="72"/>
  <c r="H54" i="5"/>
  <c r="P90" i="64"/>
  <c r="J90" i="64"/>
  <c r="K123" i="64"/>
  <c r="E43" i="5"/>
  <c r="E47" i="5"/>
  <c r="E50" i="5"/>
  <c r="K24" i="11"/>
  <c r="K48" i="11"/>
  <c r="AA77" i="64"/>
  <c r="AF9" i="4"/>
  <c r="AF7" i="4" s="1"/>
  <c r="AF12" i="4"/>
  <c r="AF31" i="4" s="1"/>
  <c r="AF17" i="4"/>
  <c r="AF18" i="4" s="1"/>
  <c r="AF24" i="4"/>
  <c r="AF29" i="4"/>
  <c r="AC67" i="9"/>
  <c r="AC71" i="9" s="1"/>
  <c r="AC75" i="9"/>
  <c r="AD59" i="10"/>
  <c r="DZ24" i="11"/>
  <c r="DZ48" i="11"/>
  <c r="DZ58" i="11"/>
  <c r="DZ42" i="11"/>
  <c r="O28" i="11"/>
  <c r="O32" i="11" s="1"/>
  <c r="O51" i="11" s="1"/>
  <c r="O49" i="11"/>
  <c r="O50" i="11"/>
  <c r="X86" i="64"/>
  <c r="W121" i="64"/>
  <c r="DS28" i="11"/>
  <c r="DS32" i="11" s="1"/>
  <c r="DS49" i="11"/>
  <c r="DS50" i="11"/>
  <c r="DU60" i="11"/>
  <c r="DU52" i="11"/>
  <c r="D17" i="11"/>
  <c r="I58" i="11" s="1"/>
  <c r="D46" i="11"/>
  <c r="Q123" i="64"/>
  <c r="Q89" i="64"/>
  <c r="R122" i="64"/>
  <c r="DV76" i="11"/>
  <c r="DV75" i="11"/>
  <c r="AA80" i="64"/>
  <c r="Z115" i="64"/>
  <c r="N93" i="64"/>
  <c r="J18" i="72"/>
  <c r="ER49" i="11"/>
  <c r="ER50" i="11"/>
  <c r="DV28" i="11"/>
  <c r="DV49" i="11"/>
  <c r="DV50" i="11"/>
  <c r="DM109" i="1"/>
  <c r="DL129" i="1"/>
  <c r="EI28" i="11" s="1"/>
  <c r="DL113" i="1"/>
  <c r="DM113" i="1" s="1"/>
  <c r="X120" i="64"/>
  <c r="Y85" i="64"/>
  <c r="Y58" i="64" s="1"/>
  <c r="X58" i="64"/>
  <c r="E90" i="64"/>
  <c r="F124" i="64" s="1"/>
  <c r="ED75" i="11"/>
  <c r="EE6" i="11"/>
  <c r="ED76" i="11"/>
  <c r="FP24" i="11"/>
  <c r="FP48" i="11"/>
  <c r="FP58" i="11"/>
  <c r="FP42" i="11"/>
  <c r="D121" i="64"/>
  <c r="D87" i="64"/>
  <c r="E120" i="64"/>
  <c r="M104" i="72"/>
  <c r="M148" i="72" s="1"/>
  <c r="M146" i="72"/>
  <c r="M145" i="72" s="1"/>
  <c r="EK47" i="11"/>
  <c r="EK57" i="11"/>
  <c r="EK55" i="11"/>
  <c r="EH55" i="11"/>
  <c r="EE46" i="11"/>
  <c r="M90" i="72"/>
  <c r="M115" i="72"/>
  <c r="N50" i="72"/>
  <c r="N37" i="72"/>
  <c r="N30" i="72"/>
  <c r="N159" i="72" s="1"/>
  <c r="N91" i="72"/>
  <c r="AD64" i="9"/>
  <c r="AG21" i="5"/>
  <c r="AG19" i="5"/>
  <c r="AG20" i="5" s="1"/>
  <c r="FS16" i="11"/>
  <c r="O11" i="72"/>
  <c r="O30" i="72" s="1"/>
  <c r="AH7" i="5"/>
  <c r="FT10" i="11" s="1"/>
  <c r="AH5" i="4"/>
  <c r="AI5" i="5"/>
  <c r="AH56" i="5"/>
  <c r="AH14" i="5"/>
  <c r="AH18" i="5"/>
  <c r="AH25" i="5"/>
  <c r="I119" i="64"/>
  <c r="J118" i="64"/>
  <c r="I85" i="64"/>
  <c r="EA6" i="11"/>
  <c r="DZ76" i="11"/>
  <c r="DZ75" i="11"/>
  <c r="F90" i="64"/>
  <c r="G123" i="64"/>
  <c r="AE37" i="5"/>
  <c r="AE47" i="5"/>
  <c r="AE40" i="5"/>
  <c r="AE42" i="5" s="1"/>
  <c r="L26" i="72"/>
  <c r="L40" i="72" s="1"/>
  <c r="L38" i="72"/>
  <c r="L31" i="72"/>
  <c r="L16" i="72"/>
  <c r="Z117" i="64"/>
  <c r="AA82" i="64"/>
  <c r="AF35" i="4"/>
  <c r="AF36" i="4" s="1"/>
  <c r="AF23" i="5"/>
  <c r="AF36" i="5"/>
  <c r="N57" i="72"/>
  <c r="N98" i="72"/>
  <c r="M58" i="11"/>
  <c r="DT52" i="11"/>
  <c r="DT60" i="11"/>
  <c r="FO49" i="11"/>
  <c r="FO50" i="11"/>
  <c r="AD43" i="5"/>
  <c r="AD50" i="5"/>
  <c r="FP28" i="11"/>
  <c r="F46" i="11"/>
  <c r="F17" i="11"/>
  <c r="L122" i="64"/>
  <c r="L88" i="64"/>
  <c r="DV52" i="11"/>
  <c r="DV60" i="11"/>
  <c r="W56" i="64"/>
  <c r="W57" i="64" s="1"/>
  <c r="DN53" i="1"/>
  <c r="DM53" i="1"/>
  <c r="AL127" i="8"/>
  <c r="DO34" i="11"/>
  <c r="DO59" i="11" s="1"/>
  <c r="DO32" i="11"/>
  <c r="DO51" i="11" s="1"/>
  <c r="M121" i="72"/>
  <c r="M177" i="72"/>
  <c r="M80" i="72"/>
  <c r="M81" i="72" s="1"/>
  <c r="M179" i="72" s="1"/>
  <c r="M178" i="72" s="1"/>
  <c r="M168" i="72" s="1"/>
  <c r="M127" i="72" s="1"/>
  <c r="AA81" i="64"/>
  <c r="Z116" i="64"/>
  <c r="L180" i="72"/>
  <c r="L122" i="72"/>
  <c r="L181" i="72" s="1"/>
  <c r="I24" i="11"/>
  <c r="I48" i="11"/>
  <c r="FR57" i="11"/>
  <c r="FR47" i="11"/>
  <c r="AD62" i="9"/>
  <c r="AE62" i="10"/>
  <c r="AG8" i="5"/>
  <c r="AG11" i="4"/>
  <c r="FS10" i="11"/>
  <c r="AD63" i="9"/>
  <c r="AG15" i="5"/>
  <c r="AG16" i="5" s="1"/>
  <c r="FS13" i="11"/>
  <c r="O8" i="72"/>
  <c r="O10" i="72" s="1"/>
  <c r="DN32" i="11"/>
  <c r="G139" i="72"/>
  <c r="G57" i="72"/>
  <c r="G98" i="72"/>
  <c r="F53" i="5"/>
  <c r="G54" i="5" s="1"/>
  <c r="F48" i="5"/>
  <c r="ER32" i="11"/>
  <c r="ER51" i="11" s="1"/>
  <c r="H122" i="64"/>
  <c r="H88" i="64"/>
  <c r="F123" i="64"/>
  <c r="ED46" i="11"/>
  <c r="P28" i="11"/>
  <c r="P32" i="11" s="1"/>
  <c r="P51" i="11" s="1"/>
  <c r="P49" i="11"/>
  <c r="P50" i="11"/>
  <c r="N95" i="72"/>
  <c r="N136" i="72"/>
  <c r="N54" i="72"/>
  <c r="N45" i="72"/>
  <c r="N74" i="72" s="1"/>
  <c r="N10" i="72"/>
  <c r="N35" i="72"/>
  <c r="N121" i="72" s="1"/>
  <c r="N122" i="72" s="1"/>
  <c r="N86" i="72"/>
  <c r="N115" i="72" s="1"/>
  <c r="G51" i="5"/>
  <c r="FO60" i="11"/>
  <c r="FO52" i="11"/>
  <c r="DS52" i="11"/>
  <c r="DS60" i="11"/>
  <c r="AE25" i="4"/>
  <c r="FQ67" i="11"/>
  <c r="L93" i="72"/>
  <c r="L109" i="72"/>
  <c r="L156" i="72" s="1"/>
  <c r="M76" i="72"/>
  <c r="M69" i="72"/>
  <c r="M158" i="72" s="1"/>
  <c r="M157" i="72" s="1"/>
  <c r="N104" i="72"/>
  <c r="N148" i="72" s="1"/>
  <c r="N63" i="72"/>
  <c r="N146" i="72" s="1"/>
  <c r="N145" i="72" s="1"/>
  <c r="N147" i="72"/>
  <c r="FX63" i="11"/>
  <c r="AL47" i="4"/>
  <c r="K96" i="72"/>
  <c r="K118" i="72"/>
  <c r="K111" i="72"/>
  <c r="K106" i="72"/>
  <c r="K120" i="72" s="1"/>
  <c r="FP51" i="11" l="1"/>
  <c r="AA88" i="9"/>
  <c r="AA90" i="9" s="1"/>
  <c r="EJ17" i="11"/>
  <c r="EJ24" i="11" s="1"/>
  <c r="R86" i="9"/>
  <c r="R91" i="9" s="1"/>
  <c r="Q92" i="9"/>
  <c r="S93" i="64"/>
  <c r="AB45" i="64"/>
  <c r="AB44" i="64"/>
  <c r="AB54" i="64" s="1"/>
  <c r="AB78" i="64" s="1"/>
  <c r="FX75" i="11"/>
  <c r="AC40" i="64"/>
  <c r="AC41" i="64" s="1"/>
  <c r="FS12" i="11"/>
  <c r="FS15" i="11"/>
  <c r="FS17" i="11" s="1"/>
  <c r="FS24" i="11" s="1"/>
  <c r="AB72" i="64"/>
  <c r="AB107" i="64" s="1"/>
  <c r="EN17" i="11"/>
  <c r="EN24" i="11" s="1"/>
  <c r="AA110" i="64"/>
  <c r="AA114" i="64"/>
  <c r="AA102" i="64"/>
  <c r="AA109" i="64"/>
  <c r="AA106" i="64"/>
  <c r="AA115" i="64"/>
  <c r="AA112" i="64"/>
  <c r="AA103" i="64"/>
  <c r="AA104" i="64"/>
  <c r="AA116" i="64"/>
  <c r="AA105" i="64"/>
  <c r="AA111" i="64"/>
  <c r="AB76" i="64"/>
  <c r="AA108" i="64"/>
  <c r="AB73" i="64"/>
  <c r="AB113" i="64"/>
  <c r="O13" i="72"/>
  <c r="O29" i="72"/>
  <c r="EO46" i="11"/>
  <c r="P6" i="72"/>
  <c r="N117" i="72"/>
  <c r="N110" i="72"/>
  <c r="N160" i="72" s="1"/>
  <c r="EM46" i="11"/>
  <c r="EN46" i="11"/>
  <c r="EP6" i="11"/>
  <c r="EP22" i="11" s="1"/>
  <c r="EO22" i="11"/>
  <c r="DL149" i="1"/>
  <c r="DL169" i="1" s="1"/>
  <c r="DK170" i="1" s="1"/>
  <c r="DK171" i="1" s="1"/>
  <c r="DL159" i="1"/>
  <c r="DQ159" i="1" s="1"/>
  <c r="AH22" i="5"/>
  <c r="AH36" i="5" s="1"/>
  <c r="DN64" i="1"/>
  <c r="DR64" i="1"/>
  <c r="S94" i="64"/>
  <c r="S95" i="64" s="1"/>
  <c r="C122" i="64"/>
  <c r="D241" i="54"/>
  <c r="C242" i="54"/>
  <c r="P122" i="64"/>
  <c r="O123" i="64"/>
  <c r="O89" i="64"/>
  <c r="DQ149" i="1"/>
  <c r="DP169" i="1"/>
  <c r="AI56" i="5"/>
  <c r="AJ56" i="5" s="1"/>
  <c r="AK56" i="5" s="1"/>
  <c r="AL56" i="5" s="1"/>
  <c r="AM56" i="5" s="1"/>
  <c r="AQ56" i="5" s="1"/>
  <c r="AI45" i="5"/>
  <c r="FU30" i="11" s="1"/>
  <c r="AI7" i="5"/>
  <c r="C4" i="87" s="1"/>
  <c r="AI14" i="5"/>
  <c r="AI25" i="5"/>
  <c r="AJ25" i="5" s="1"/>
  <c r="AK25" i="5" s="1"/>
  <c r="AL25" i="5" s="1"/>
  <c r="AM25" i="5" s="1"/>
  <c r="FY19" i="11" s="1"/>
  <c r="AB33" i="8"/>
  <c r="AD33" i="8" s="1"/>
  <c r="AF33" i="8" s="1"/>
  <c r="BV76" i="11"/>
  <c r="AB33" i="3"/>
  <c r="DP163" i="1"/>
  <c r="DQ158" i="1"/>
  <c r="DQ148" i="1"/>
  <c r="DP168" i="1"/>
  <c r="DP153" i="1"/>
  <c r="DQ153" i="1" s="1"/>
  <c r="DR148" i="1"/>
  <c r="AI33" i="4"/>
  <c r="AO11" i="4"/>
  <c r="C88" i="64"/>
  <c r="C89" i="64" s="1"/>
  <c r="K91" i="64"/>
  <c r="DR129" i="1"/>
  <c r="AM41" i="4"/>
  <c r="AM42" i="4" s="1"/>
  <c r="AM43" i="4" s="1"/>
  <c r="EP46" i="11"/>
  <c r="FL37" i="11"/>
  <c r="FL38" i="11"/>
  <c r="FM7" i="11"/>
  <c r="FL62" i="11"/>
  <c r="FL56" i="11"/>
  <c r="FT36" i="11"/>
  <c r="C36" i="87"/>
  <c r="C38" i="87" s="1"/>
  <c r="I35" i="87" s="1"/>
  <c r="C24" i="11"/>
  <c r="C28" i="11" s="1"/>
  <c r="C32" i="11" s="1"/>
  <c r="C51" i="11" s="1"/>
  <c r="C48" i="11"/>
  <c r="Z48" i="10"/>
  <c r="Z53" i="10" s="1"/>
  <c r="H101" i="72"/>
  <c r="H103" i="72" s="1"/>
  <c r="H119" i="72" s="1"/>
  <c r="AE8" i="4"/>
  <c r="AE14" i="4"/>
  <c r="AE15" i="4" s="1"/>
  <c r="AA117" i="64"/>
  <c r="I78" i="72"/>
  <c r="H162" i="72"/>
  <c r="H142" i="72"/>
  <c r="H144" i="72" s="1"/>
  <c r="M132" i="72"/>
  <c r="M173" i="72" s="1"/>
  <c r="DN129" i="1"/>
  <c r="DM129" i="1"/>
  <c r="DL133" i="1"/>
  <c r="DR133" i="1" s="1"/>
  <c r="L134" i="72"/>
  <c r="L129" i="72"/>
  <c r="G92" i="64"/>
  <c r="DN51" i="11"/>
  <c r="DN34" i="11"/>
  <c r="DN59" i="11" s="1"/>
  <c r="K101" i="72"/>
  <c r="K103" i="72" s="1"/>
  <c r="K112" i="72"/>
  <c r="ED58" i="11"/>
  <c r="ED48" i="11"/>
  <c r="ED42" i="11"/>
  <c r="W59" i="64"/>
  <c r="AF37" i="5"/>
  <c r="AF47" i="5"/>
  <c r="AF40" i="5"/>
  <c r="AF42" i="5" s="1"/>
  <c r="F91" i="64"/>
  <c r="G124" i="64"/>
  <c r="P24" i="72"/>
  <c r="C14" i="87"/>
  <c r="AE62" i="9"/>
  <c r="AH8" i="5"/>
  <c r="AH11" i="4"/>
  <c r="AF62" i="10"/>
  <c r="EE48" i="11"/>
  <c r="EE58" i="11"/>
  <c r="EE42" i="11"/>
  <c r="EK46" i="11"/>
  <c r="FP52" i="11"/>
  <c r="FP60" i="11"/>
  <c r="E91" i="64"/>
  <c r="F125" i="64" s="1"/>
  <c r="D24" i="11"/>
  <c r="D48" i="11"/>
  <c r="AF10" i="4"/>
  <c r="M52" i="72"/>
  <c r="M68" i="72"/>
  <c r="M154" i="72" s="1"/>
  <c r="M153" i="72" s="1"/>
  <c r="M131" i="72" s="1"/>
  <c r="FQ24" i="11"/>
  <c r="FQ48" i="11"/>
  <c r="FQ42" i="11"/>
  <c r="FQ58" i="11"/>
  <c r="DY28" i="11"/>
  <c r="DY49" i="11"/>
  <c r="DY50" i="11"/>
  <c r="DU34" i="11"/>
  <c r="DU59" i="11" s="1"/>
  <c r="DU32" i="11"/>
  <c r="DU51" i="11" s="1"/>
  <c r="J28" i="11"/>
  <c r="J32" i="11" s="1"/>
  <c r="J51" i="11" s="1"/>
  <c r="J49" i="11"/>
  <c r="J50" i="11"/>
  <c r="AB17" i="10"/>
  <c r="DV66" i="11"/>
  <c r="X87" i="64"/>
  <c r="W122" i="64"/>
  <c r="Q9" i="9"/>
  <c r="S47" i="10"/>
  <c r="S50" i="10" s="1"/>
  <c r="EC48" i="11"/>
  <c r="EC58" i="11"/>
  <c r="EC42" i="11"/>
  <c r="AL48" i="4"/>
  <c r="AL21" i="4"/>
  <c r="AL45" i="4"/>
  <c r="AL46" i="4" s="1"/>
  <c r="FX64" i="11"/>
  <c r="AC43" i="64" s="1"/>
  <c r="L96" i="72"/>
  <c r="L118" i="72"/>
  <c r="L111" i="72"/>
  <c r="L106" i="72"/>
  <c r="L120" i="72" s="1"/>
  <c r="N80" i="72"/>
  <c r="N81" i="72" s="1"/>
  <c r="N179" i="72" s="1"/>
  <c r="N178" i="72" s="1"/>
  <c r="N168" i="72" s="1"/>
  <c r="N127" i="72" s="1"/>
  <c r="N177" i="72"/>
  <c r="Y56" i="64"/>
  <c r="Y59" i="64" s="1"/>
  <c r="O88" i="72"/>
  <c r="O47" i="72"/>
  <c r="AD68" i="9"/>
  <c r="AD72" i="9" s="1"/>
  <c r="AE72" i="9" s="1"/>
  <c r="AD69" i="9"/>
  <c r="AD73" i="9" s="1"/>
  <c r="AE73" i="9" s="1"/>
  <c r="AF73" i="9" s="1"/>
  <c r="AG73" i="9" s="1"/>
  <c r="AH73" i="9" s="1"/>
  <c r="AI73" i="9" s="1"/>
  <c r="AJ73" i="9" s="1"/>
  <c r="AU2" i="4"/>
  <c r="AV14" i="4"/>
  <c r="AG9" i="4"/>
  <c r="AG12" i="4"/>
  <c r="AG31" i="4" s="1"/>
  <c r="AG17" i="4"/>
  <c r="AG24" i="4"/>
  <c r="AO24" i="4" s="1"/>
  <c r="AG29" i="4"/>
  <c r="AU32" i="4"/>
  <c r="AW48" i="4"/>
  <c r="AD67" i="9"/>
  <c r="AD71" i="9" s="1"/>
  <c r="AE71" i="9" s="1"/>
  <c r="AD75" i="9"/>
  <c r="AE75" i="9" s="1"/>
  <c r="AE59" i="10"/>
  <c r="DM112" i="1"/>
  <c r="L123" i="64"/>
  <c r="L89" i="64"/>
  <c r="AH26" i="5"/>
  <c r="FT19" i="11"/>
  <c r="P15" i="72"/>
  <c r="O50" i="72"/>
  <c r="O37" i="72"/>
  <c r="O159" i="72"/>
  <c r="O91" i="72"/>
  <c r="O117" i="72" s="1"/>
  <c r="N76" i="72"/>
  <c r="N69" i="72"/>
  <c r="N158" i="72" s="1"/>
  <c r="N157" i="72" s="1"/>
  <c r="M109" i="72"/>
  <c r="M156" i="72" s="1"/>
  <c r="M93" i="72"/>
  <c r="EH46" i="11"/>
  <c r="J98" i="72"/>
  <c r="J139" i="72"/>
  <c r="J57" i="72"/>
  <c r="Q124" i="64"/>
  <c r="Q90" i="64"/>
  <c r="R123" i="64"/>
  <c r="DS51" i="11"/>
  <c r="DS34" i="11"/>
  <c r="AF25" i="4"/>
  <c r="FR67" i="11"/>
  <c r="AF8" i="4"/>
  <c r="AF14" i="4"/>
  <c r="FR68" i="11"/>
  <c r="K28" i="11"/>
  <c r="K32" i="11" s="1"/>
  <c r="K51" i="11" s="1"/>
  <c r="K49" i="11"/>
  <c r="K50" i="11"/>
  <c r="J91" i="64"/>
  <c r="K124" i="64"/>
  <c r="O98" i="72"/>
  <c r="O57" i="72"/>
  <c r="O54" i="72"/>
  <c r="O95" i="72"/>
  <c r="O136" i="72"/>
  <c r="EI22" i="11"/>
  <c r="EJ6" i="11"/>
  <c r="EJ46" i="11"/>
  <c r="AA6" i="64"/>
  <c r="AA101" i="64"/>
  <c r="AA53" i="64"/>
  <c r="U90" i="64"/>
  <c r="T125" i="64"/>
  <c r="T91" i="64"/>
  <c r="L77" i="72"/>
  <c r="L65" i="72"/>
  <c r="L79" i="72" s="1"/>
  <c r="L55" i="72"/>
  <c r="L70" i="72"/>
  <c r="EF48" i="11"/>
  <c r="EF58" i="11"/>
  <c r="EF42" i="11"/>
  <c r="DY52" i="11"/>
  <c r="DY60" i="11"/>
  <c r="EA28" i="11"/>
  <c r="EA49" i="11"/>
  <c r="EA50" i="11"/>
  <c r="AA83" i="64"/>
  <c r="Z118" i="64"/>
  <c r="DT34" i="11"/>
  <c r="DT59" i="11" s="1"/>
  <c r="DT32" i="11"/>
  <c r="DT51" i="11" s="1"/>
  <c r="M16" i="72"/>
  <c r="M26" i="72"/>
  <c r="M40" i="72" s="1"/>
  <c r="M38" i="72"/>
  <c r="M31" i="72"/>
  <c r="DX28" i="11"/>
  <c r="DX49" i="11"/>
  <c r="DX50" i="11"/>
  <c r="H28" i="11"/>
  <c r="H32" i="11" s="1"/>
  <c r="H51" i="11" s="1"/>
  <c r="H49" i="11"/>
  <c r="H50" i="11"/>
  <c r="P15" i="9"/>
  <c r="P22" i="9" s="1"/>
  <c r="P48" i="9" s="1"/>
  <c r="P54" i="9"/>
  <c r="P59" i="9" s="1"/>
  <c r="W88" i="64"/>
  <c r="V123" i="64"/>
  <c r="N13" i="72"/>
  <c r="N49" i="72"/>
  <c r="N68" i="72" s="1"/>
  <c r="N154" i="72" s="1"/>
  <c r="N153" i="72" s="1"/>
  <c r="N29" i="72"/>
  <c r="N155" i="72" s="1"/>
  <c r="N90" i="72"/>
  <c r="N109" i="72" s="1"/>
  <c r="N156" i="72" s="1"/>
  <c r="H123" i="64"/>
  <c r="H89" i="64"/>
  <c r="ER35" i="11"/>
  <c r="O35" i="72"/>
  <c r="O121" i="72" s="1"/>
  <c r="O122" i="72" s="1"/>
  <c r="O86" i="72"/>
  <c r="O45" i="72"/>
  <c r="AG35" i="4"/>
  <c r="AO35" i="4" s="1"/>
  <c r="AG23" i="5"/>
  <c r="I28" i="11"/>
  <c r="I32" i="11" s="1"/>
  <c r="I51" i="11" s="1"/>
  <c r="I49" i="11"/>
  <c r="I50" i="11"/>
  <c r="M122" i="72"/>
  <c r="M181" i="72" s="1"/>
  <c r="M180" i="72"/>
  <c r="FP82" i="11"/>
  <c r="L21" i="72"/>
  <c r="L23" i="72" s="1"/>
  <c r="L39" i="72" s="1"/>
  <c r="L32" i="72"/>
  <c r="L164" i="72" s="1"/>
  <c r="AE43" i="5"/>
  <c r="AE50" i="5"/>
  <c r="FQ28" i="11"/>
  <c r="EA76" i="11"/>
  <c r="EA75" i="11"/>
  <c r="I120" i="64"/>
  <c r="I86" i="64"/>
  <c r="J119" i="64"/>
  <c r="AE64" i="9"/>
  <c r="AH19" i="5"/>
  <c r="AH20" i="5" s="1"/>
  <c r="AH21" i="5"/>
  <c r="FT16" i="11"/>
  <c r="P11" i="72"/>
  <c r="AI5" i="4"/>
  <c r="AI27" i="4" s="1"/>
  <c r="FU56" i="11" s="1"/>
  <c r="AJ5" i="5"/>
  <c r="FS47" i="11"/>
  <c r="FS57" i="11"/>
  <c r="D88" i="64"/>
  <c r="E121" i="64"/>
  <c r="EF6" i="11"/>
  <c r="EE76" i="11"/>
  <c r="EE75" i="11"/>
  <c r="X56" i="64"/>
  <c r="X57" i="64" s="1"/>
  <c r="DV34" i="11"/>
  <c r="DV59" i="11" s="1"/>
  <c r="DV32" i="11"/>
  <c r="DV51" i="11" s="1"/>
  <c r="N94" i="64"/>
  <c r="V89" i="64"/>
  <c r="U124" i="64"/>
  <c r="K142" i="72"/>
  <c r="K144" i="72" s="1"/>
  <c r="K162" i="72"/>
  <c r="FR17" i="11"/>
  <c r="FR46" i="11"/>
  <c r="E24" i="11"/>
  <c r="E48" i="11"/>
  <c r="FS55" i="11"/>
  <c r="F24" i="11"/>
  <c r="F48" i="11"/>
  <c r="AD51" i="5"/>
  <c r="AD53" i="5"/>
  <c r="FP34" i="11"/>
  <c r="FP59" i="11" s="1"/>
  <c r="AB65" i="9"/>
  <c r="AC8" i="10"/>
  <c r="AE48" i="5"/>
  <c r="FQ32" i="11"/>
  <c r="AE63" i="9"/>
  <c r="AH15" i="5"/>
  <c r="FT13" i="11"/>
  <c r="P8" i="72"/>
  <c r="FP49" i="11"/>
  <c r="FP50" i="11"/>
  <c r="Z85" i="64"/>
  <c r="Y120" i="64"/>
  <c r="DL123" i="1"/>
  <c r="DM123" i="1" s="1"/>
  <c r="DL122" i="1"/>
  <c r="EI26" i="11"/>
  <c r="Y86" i="64"/>
  <c r="X121" i="64"/>
  <c r="DZ52" i="11"/>
  <c r="DZ60" i="11"/>
  <c r="DZ28" i="11"/>
  <c r="DZ49" i="11"/>
  <c r="DZ50" i="11"/>
  <c r="K58" i="11"/>
  <c r="E48" i="5"/>
  <c r="E53" i="5"/>
  <c r="F54" i="5" s="1"/>
  <c r="P91" i="64"/>
  <c r="AA107" i="64"/>
  <c r="EA52" i="11"/>
  <c r="EA60" i="11"/>
  <c r="R92" i="64"/>
  <c r="S125" i="64"/>
  <c r="M121" i="64"/>
  <c r="N120" i="64"/>
  <c r="M87" i="64"/>
  <c r="O147" i="72"/>
  <c r="O104" i="72"/>
  <c r="O148" i="72" s="1"/>
  <c r="O63" i="72"/>
  <c r="O146" i="72" s="1"/>
  <c r="O145" i="72" s="1"/>
  <c r="EI46" i="11"/>
  <c r="DX52" i="11"/>
  <c r="DX60" i="11"/>
  <c r="AA35" i="10"/>
  <c r="AA60" i="10" s="1"/>
  <c r="AA48" i="10"/>
  <c r="AA53" i="10" s="1"/>
  <c r="K60" i="72"/>
  <c r="K62" i="72" s="1"/>
  <c r="K71" i="72"/>
  <c r="AA84" i="64"/>
  <c r="AB84" i="64" s="1"/>
  <c r="Z119" i="64"/>
  <c r="S86" i="9" l="1"/>
  <c r="S91" i="9" s="1"/>
  <c r="R92" i="9"/>
  <c r="FQ51" i="11"/>
  <c r="AB88" i="9"/>
  <c r="AB90" i="9" s="1"/>
  <c r="AB70" i="64"/>
  <c r="FT12" i="11"/>
  <c r="FT15" i="11"/>
  <c r="AB81" i="64"/>
  <c r="AB69" i="64"/>
  <c r="AB104" i="64" s="1"/>
  <c r="AB68" i="64"/>
  <c r="AB77" i="64"/>
  <c r="AB80" i="64"/>
  <c r="AB71" i="64"/>
  <c r="AB106" i="64" s="1"/>
  <c r="AB74" i="64"/>
  <c r="AB67" i="64"/>
  <c r="AB79" i="64"/>
  <c r="AB75" i="64"/>
  <c r="AB110" i="64" s="1"/>
  <c r="AB66" i="64"/>
  <c r="AC44" i="64"/>
  <c r="AC54" i="64" s="1"/>
  <c r="AC45" i="64"/>
  <c r="AB82" i="64"/>
  <c r="AC82" i="64" s="1"/>
  <c r="AC117" i="64" s="1"/>
  <c r="AA118" i="64"/>
  <c r="AB83" i="64"/>
  <c r="AB103" i="64"/>
  <c r="AB115" i="64"/>
  <c r="AB109" i="64"/>
  <c r="AB114" i="64"/>
  <c r="AB108" i="64"/>
  <c r="AB105" i="64"/>
  <c r="AB116" i="64"/>
  <c r="AB112" i="64"/>
  <c r="AB102" i="64"/>
  <c r="AB111" i="64"/>
  <c r="P88" i="72"/>
  <c r="P47" i="72"/>
  <c r="P30" i="72"/>
  <c r="P69" i="72" s="1"/>
  <c r="P91" i="72"/>
  <c r="P50" i="72"/>
  <c r="P76" i="72" s="1"/>
  <c r="O69" i="72"/>
  <c r="Q6" i="72"/>
  <c r="P54" i="72"/>
  <c r="P95" i="72"/>
  <c r="P10" i="72"/>
  <c r="P45" i="72"/>
  <c r="P74" i="72" s="1"/>
  <c r="P86" i="72"/>
  <c r="P115" i="72" s="1"/>
  <c r="P104" i="72"/>
  <c r="P63" i="72"/>
  <c r="O31" i="72"/>
  <c r="O16" i="72"/>
  <c r="O110" i="72"/>
  <c r="O160" i="72" s="1"/>
  <c r="O115" i="72"/>
  <c r="EM58" i="11"/>
  <c r="AI11" i="4"/>
  <c r="AI29" i="4" s="1"/>
  <c r="DM74" i="1"/>
  <c r="DN74" i="1"/>
  <c r="DR74" i="1"/>
  <c r="EN58" i="11"/>
  <c r="EM48" i="11"/>
  <c r="EM42" i="11"/>
  <c r="EM52" i="11" s="1"/>
  <c r="C49" i="11"/>
  <c r="DL132" i="1"/>
  <c r="DM122" i="1"/>
  <c r="AA119" i="64"/>
  <c r="EP58" i="11"/>
  <c r="EN42" i="11"/>
  <c r="EN52" i="11" s="1"/>
  <c r="AI15" i="5"/>
  <c r="AJ15" i="5" s="1"/>
  <c r="AK15" i="5" s="1"/>
  <c r="AL15" i="5" s="1"/>
  <c r="C124" i="64"/>
  <c r="O90" i="64"/>
  <c r="P123" i="64"/>
  <c r="O124" i="64"/>
  <c r="AG18" i="4"/>
  <c r="AO17" i="4"/>
  <c r="K92" i="64"/>
  <c r="DR149" i="1"/>
  <c r="C123" i="64"/>
  <c r="C90" i="64"/>
  <c r="C125" i="64" s="1"/>
  <c r="DQ169" i="1"/>
  <c r="EN35" i="11"/>
  <c r="D122" i="64"/>
  <c r="AG7" i="4"/>
  <c r="AO7" i="4" s="1"/>
  <c r="AO9" i="4"/>
  <c r="DP173" i="1"/>
  <c r="DQ168" i="1"/>
  <c r="EM35" i="11"/>
  <c r="AD33" i="3"/>
  <c r="AF33" i="3" s="1"/>
  <c r="AK33" i="3"/>
  <c r="AM33" i="3" s="1"/>
  <c r="C243" i="54"/>
  <c r="D242" i="54"/>
  <c r="AM47" i="4"/>
  <c r="FY63" i="11"/>
  <c r="FY75" i="11" s="1"/>
  <c r="EN48" i="11"/>
  <c r="C50" i="11"/>
  <c r="EP42" i="11"/>
  <c r="EP52" i="11" s="1"/>
  <c r="EP48" i="11"/>
  <c r="FN7" i="11"/>
  <c r="FM56" i="11"/>
  <c r="FM37" i="11"/>
  <c r="FM38" i="11"/>
  <c r="FM62" i="11"/>
  <c r="EN49" i="11"/>
  <c r="EN50" i="11"/>
  <c r="EM49" i="11"/>
  <c r="EM50" i="11"/>
  <c r="K24" i="87"/>
  <c r="G24" i="87"/>
  <c r="H24" i="87"/>
  <c r="F24" i="87"/>
  <c r="D24" i="87"/>
  <c r="J24" i="87"/>
  <c r="E24" i="87"/>
  <c r="I24" i="87"/>
  <c r="C24" i="87"/>
  <c r="FU36" i="11"/>
  <c r="FV36" i="11" s="1"/>
  <c r="FW36" i="11" s="1"/>
  <c r="DS59" i="11"/>
  <c r="X59" i="64"/>
  <c r="AF15" i="4"/>
  <c r="I119" i="72"/>
  <c r="FP83" i="11"/>
  <c r="AE35" i="9"/>
  <c r="H175" i="72"/>
  <c r="I175" i="72"/>
  <c r="N131" i="72"/>
  <c r="N132" i="72"/>
  <c r="N173" i="72" s="1"/>
  <c r="M134" i="72"/>
  <c r="M129" i="72"/>
  <c r="AC17" i="10"/>
  <c r="EC66" i="11"/>
  <c r="AD54" i="5"/>
  <c r="FP35" i="11"/>
  <c r="FR24" i="11"/>
  <c r="FR42" i="11"/>
  <c r="FR58" i="11"/>
  <c r="FR48" i="11"/>
  <c r="W89" i="64"/>
  <c r="V124" i="64"/>
  <c r="P37" i="72"/>
  <c r="FQ82" i="11"/>
  <c r="P85" i="72"/>
  <c r="L60" i="72"/>
  <c r="L62" i="72" s="1"/>
  <c r="L78" i="72" s="1"/>
  <c r="L71" i="72"/>
  <c r="L163" i="72" s="1"/>
  <c r="L162" i="72" s="1"/>
  <c r="AA25" i="64"/>
  <c r="M96" i="72"/>
  <c r="M118" i="72"/>
  <c r="M111" i="72"/>
  <c r="M106" i="72"/>
  <c r="M120" i="72" s="1"/>
  <c r="AE67" i="9"/>
  <c r="AF71" i="9"/>
  <c r="AG25" i="4"/>
  <c r="FS67" i="11"/>
  <c r="N180" i="72"/>
  <c r="N181" i="72"/>
  <c r="AL22" i="4"/>
  <c r="FX66" i="11"/>
  <c r="R9" i="9"/>
  <c r="T47" i="10"/>
  <c r="T50" i="10" s="1"/>
  <c r="EE52" i="11"/>
  <c r="EE60" i="11"/>
  <c r="EE49" i="11"/>
  <c r="EE50" i="11"/>
  <c r="AT11" i="4"/>
  <c r="AU11" i="4" s="1"/>
  <c r="AU34" i="4"/>
  <c r="AV34" i="4" s="1"/>
  <c r="AH12" i="4"/>
  <c r="AH17" i="4"/>
  <c r="AH18" i="4" s="1"/>
  <c r="AH24" i="4"/>
  <c r="F92" i="64"/>
  <c r="G125" i="64"/>
  <c r="ED52" i="11"/>
  <c r="ED60" i="11"/>
  <c r="DN133" i="1"/>
  <c r="DM133" i="1"/>
  <c r="R93" i="64"/>
  <c r="S126" i="64"/>
  <c r="P92" i="64"/>
  <c r="Z86" i="64"/>
  <c r="Y121" i="64"/>
  <c r="AH16" i="5"/>
  <c r="N95" i="64"/>
  <c r="EF75" i="11"/>
  <c r="EF76" i="11"/>
  <c r="AJ5" i="4"/>
  <c r="AK5" i="5"/>
  <c r="FT47" i="11"/>
  <c r="FT57" i="11"/>
  <c r="AE53" i="5"/>
  <c r="AE51" i="5"/>
  <c r="FQ34" i="11"/>
  <c r="FQ59" i="11" s="1"/>
  <c r="O177" i="72"/>
  <c r="O80" i="72"/>
  <c r="O81" i="72" s="1"/>
  <c r="O179" i="72" s="1"/>
  <c r="O178" i="72" s="1"/>
  <c r="O168" i="72" s="1"/>
  <c r="O127" i="72" s="1"/>
  <c r="H124" i="64"/>
  <c r="H90" i="64"/>
  <c r="X88" i="64"/>
  <c r="W123" i="64"/>
  <c r="DX32" i="11"/>
  <c r="M21" i="72"/>
  <c r="M23" i="72" s="1"/>
  <c r="M39" i="72" s="1"/>
  <c r="M32" i="72"/>
  <c r="M164" i="72" s="1"/>
  <c r="V90" i="64"/>
  <c r="U125" i="64"/>
  <c r="J71" i="72"/>
  <c r="J60" i="72"/>
  <c r="J62" i="72" s="1"/>
  <c r="J78" i="72" s="1"/>
  <c r="O76" i="72"/>
  <c r="O158" i="72"/>
  <c r="O157" i="72" s="1"/>
  <c r="AI26" i="5"/>
  <c r="FU19" i="11"/>
  <c r="Q15" i="72"/>
  <c r="L101" i="72"/>
  <c r="L103" i="72" s="1"/>
  <c r="L119" i="72" s="1"/>
  <c r="L112" i="72"/>
  <c r="L165" i="72" s="1"/>
  <c r="Q15" i="9"/>
  <c r="Q22" i="9" s="1"/>
  <c r="Q48" i="9" s="1"/>
  <c r="Q54" i="9"/>
  <c r="Q59" i="9" s="1"/>
  <c r="FQ52" i="11"/>
  <c r="FQ60" i="11"/>
  <c r="M70" i="72"/>
  <c r="M77" i="72"/>
  <c r="M55" i="72"/>
  <c r="M65" i="72"/>
  <c r="M79" i="72" s="1"/>
  <c r="AH23" i="5"/>
  <c r="AH35" i="4"/>
  <c r="AH36" i="4" s="1"/>
  <c r="AF45" i="10"/>
  <c r="L137" i="72"/>
  <c r="L161" i="72"/>
  <c r="L174" i="72"/>
  <c r="L150" i="72"/>
  <c r="L176" i="72" s="1"/>
  <c r="EI58" i="11"/>
  <c r="EI50" i="11"/>
  <c r="EI48" i="11"/>
  <c r="EI42" i="11"/>
  <c r="M122" i="64"/>
  <c r="M88" i="64"/>
  <c r="N121" i="64"/>
  <c r="AA85" i="64"/>
  <c r="Z120" i="64"/>
  <c r="Z58" i="64"/>
  <c r="AE69" i="9"/>
  <c r="E28" i="11"/>
  <c r="E32" i="11" s="1"/>
  <c r="E51" i="11" s="1"/>
  <c r="E49" i="11"/>
  <c r="E50" i="11"/>
  <c r="I121" i="64"/>
  <c r="I87" i="64"/>
  <c r="J120" i="64"/>
  <c r="W45" i="72"/>
  <c r="W46" i="72" s="1"/>
  <c r="W47" i="72" s="1"/>
  <c r="O74" i="72"/>
  <c r="N52" i="72"/>
  <c r="N16" i="72"/>
  <c r="N26" i="72"/>
  <c r="N40" i="72" s="1"/>
  <c r="N38" i="72"/>
  <c r="N93" i="72"/>
  <c r="N31" i="72"/>
  <c r="EA34" i="11"/>
  <c r="EA32" i="11"/>
  <c r="EF52" i="11"/>
  <c r="EF60" i="11"/>
  <c r="EF49" i="11"/>
  <c r="EF50" i="11"/>
  <c r="EJ48" i="11"/>
  <c r="EJ58" i="11"/>
  <c r="EJ42" i="11"/>
  <c r="J92" i="64"/>
  <c r="K125" i="64"/>
  <c r="J162" i="72"/>
  <c r="J142" i="72"/>
  <c r="J144" i="72" s="1"/>
  <c r="J175" i="72" s="1"/>
  <c r="EH48" i="11"/>
  <c r="EH58" i="11"/>
  <c r="EH42" i="11"/>
  <c r="P136" i="72"/>
  <c r="AF75" i="9"/>
  <c r="AG75" i="9" s="1"/>
  <c r="AH75" i="9" s="1"/>
  <c r="AI75" i="9" s="1"/>
  <c r="AJ75" i="9" s="1"/>
  <c r="Y57" i="64"/>
  <c r="FX76" i="11"/>
  <c r="FX65" i="11"/>
  <c r="AB35" i="10"/>
  <c r="AB60" i="10" s="1"/>
  <c r="AB48" i="10"/>
  <c r="AB53" i="10" s="1"/>
  <c r="E92" i="64"/>
  <c r="EK48" i="11"/>
  <c r="EK58" i="11"/>
  <c r="EK42" i="11"/>
  <c r="P35" i="72"/>
  <c r="P147" i="72"/>
  <c r="AF50" i="5"/>
  <c r="AF43" i="5"/>
  <c r="FR28" i="11"/>
  <c r="G93" i="64"/>
  <c r="DL174" i="1"/>
  <c r="DM169" i="1"/>
  <c r="DL173" i="1"/>
  <c r="EI35" i="11"/>
  <c r="DZ34" i="11"/>
  <c r="DZ32" i="11"/>
  <c r="AH39" i="5"/>
  <c r="AH47" i="5" s="1"/>
  <c r="AF8" i="10" s="1"/>
  <c r="F28" i="11"/>
  <c r="F32" i="11" s="1"/>
  <c r="F51" i="11" s="1"/>
  <c r="F49" i="11"/>
  <c r="F50" i="11"/>
  <c r="FS46" i="11"/>
  <c r="D123" i="64"/>
  <c r="D89" i="64"/>
  <c r="E122" i="64"/>
  <c r="AG36" i="4"/>
  <c r="O49" i="72"/>
  <c r="O68" i="72" s="1"/>
  <c r="O155" i="72"/>
  <c r="O90" i="72"/>
  <c r="O109" i="72" s="1"/>
  <c r="O156" i="72" s="1"/>
  <c r="U91" i="64"/>
  <c r="T126" i="64"/>
  <c r="T92" i="64"/>
  <c r="EK6" i="11"/>
  <c r="EK22" i="11" s="1"/>
  <c r="EJ22" i="11"/>
  <c r="Q125" i="64"/>
  <c r="Q91" i="64"/>
  <c r="R124" i="64"/>
  <c r="J112" i="72"/>
  <c r="J101" i="72"/>
  <c r="J103" i="72" s="1"/>
  <c r="J119" i="72" s="1"/>
  <c r="L124" i="64"/>
  <c r="L90" i="64"/>
  <c r="AG10" i="4"/>
  <c r="AH9" i="4"/>
  <c r="AI9" i="4" s="1"/>
  <c r="AJ9" i="4" s="1"/>
  <c r="AK9" i="4" s="1"/>
  <c r="AL9" i="4" s="1"/>
  <c r="EC52" i="11"/>
  <c r="EC60" i="11"/>
  <c r="EC49" i="11"/>
  <c r="EC50" i="11"/>
  <c r="Y87" i="64"/>
  <c r="X122" i="64"/>
  <c r="DY34" i="11"/>
  <c r="DY32" i="11"/>
  <c r="FQ49" i="11"/>
  <c r="FQ50" i="11"/>
  <c r="D28" i="11"/>
  <c r="D32" i="11" s="1"/>
  <c r="D51" i="11" s="1"/>
  <c r="D49" i="11"/>
  <c r="D50" i="11"/>
  <c r="K186" i="54"/>
  <c r="FT17" i="11"/>
  <c r="FT24" i="11" s="1"/>
  <c r="FT55" i="11"/>
  <c r="AF59" i="10"/>
  <c r="AD8" i="10"/>
  <c r="AC65" i="9"/>
  <c r="AF48" i="5"/>
  <c r="FR32" i="11"/>
  <c r="AC88" i="9" s="1"/>
  <c r="AC90" i="9" s="1"/>
  <c r="S96" i="64"/>
  <c r="ED49" i="11"/>
  <c r="ED50" i="11"/>
  <c r="DN149" i="1"/>
  <c r="DL153" i="1"/>
  <c r="DR153" i="1" s="1"/>
  <c r="DM149" i="1"/>
  <c r="S92" i="9" l="1"/>
  <c r="T86" i="9"/>
  <c r="T91" i="9" s="1"/>
  <c r="AB117" i="64"/>
  <c r="AC75" i="64"/>
  <c r="AC110" i="64" s="1"/>
  <c r="AC67" i="64"/>
  <c r="AC102" i="64" s="1"/>
  <c r="AC71" i="64"/>
  <c r="AC106" i="64" s="1"/>
  <c r="AC77" i="64"/>
  <c r="AC112" i="64" s="1"/>
  <c r="AC69" i="64"/>
  <c r="AC104" i="64" s="1"/>
  <c r="AC72" i="64"/>
  <c r="AC107" i="64" s="1"/>
  <c r="AC78" i="64"/>
  <c r="AC113" i="64" s="1"/>
  <c r="AC76" i="64"/>
  <c r="AC111" i="64" s="1"/>
  <c r="AC81" i="64"/>
  <c r="AC116" i="64" s="1"/>
  <c r="AC70" i="64"/>
  <c r="AC105" i="64" s="1"/>
  <c r="AC73" i="64"/>
  <c r="AC108" i="64" s="1"/>
  <c r="AC79" i="64"/>
  <c r="AC114" i="64" s="1"/>
  <c r="AC74" i="64"/>
  <c r="AC109" i="64" s="1"/>
  <c r="AC80" i="64"/>
  <c r="AC115" i="64" s="1"/>
  <c r="AC68" i="64"/>
  <c r="AC103" i="64" s="1"/>
  <c r="AC84" i="64"/>
  <c r="AC66" i="64"/>
  <c r="AB6" i="64"/>
  <c r="AB25" i="64" s="1"/>
  <c r="AB101" i="64"/>
  <c r="AB53" i="64"/>
  <c r="AB118" i="64"/>
  <c r="AC83" i="64"/>
  <c r="AA58" i="64"/>
  <c r="AB85" i="64"/>
  <c r="AB58" i="64" s="1"/>
  <c r="AB119" i="64"/>
  <c r="P110" i="72"/>
  <c r="P160" i="72" s="1"/>
  <c r="P117" i="72"/>
  <c r="P29" i="72"/>
  <c r="P68" i="72" s="1"/>
  <c r="P49" i="72"/>
  <c r="P90" i="72"/>
  <c r="P109" i="72" s="1"/>
  <c r="P13" i="72"/>
  <c r="P26" i="72" s="1"/>
  <c r="N118" i="72"/>
  <c r="N111" i="72"/>
  <c r="P121" i="72"/>
  <c r="P122" i="72" s="1"/>
  <c r="P80" i="72"/>
  <c r="P81" i="72" s="1"/>
  <c r="DL162" i="1"/>
  <c r="DL152" i="1"/>
  <c r="DL172" i="1" s="1"/>
  <c r="DM172" i="1" s="1"/>
  <c r="AI12" i="4"/>
  <c r="AI31" i="4" s="1"/>
  <c r="EM60" i="11"/>
  <c r="DN132" i="1"/>
  <c r="DM132" i="1"/>
  <c r="EN60" i="11"/>
  <c r="AI16" i="5"/>
  <c r="AG14" i="4"/>
  <c r="AO14" i="4" s="1"/>
  <c r="AG8" i="4"/>
  <c r="FS68" i="11"/>
  <c r="P124" i="64"/>
  <c r="O125" i="64"/>
  <c r="O91" i="64"/>
  <c r="O92" i="64" s="1"/>
  <c r="C91" i="64"/>
  <c r="D243" i="54"/>
  <c r="C244" i="54"/>
  <c r="Z34" i="3"/>
  <c r="K93" i="64"/>
  <c r="FY64" i="11"/>
  <c r="AM45" i="4"/>
  <c r="AM46" i="4" s="1"/>
  <c r="AM48" i="4"/>
  <c r="AM21" i="4"/>
  <c r="AE68" i="9"/>
  <c r="BT13" i="6"/>
  <c r="BT49" i="6" s="1"/>
  <c r="EM34" i="11"/>
  <c r="EM32" i="11"/>
  <c r="EM51" i="11" s="1"/>
  <c r="FN62" i="11"/>
  <c r="FO7" i="11"/>
  <c r="FN56" i="11"/>
  <c r="FN37" i="11"/>
  <c r="FN38" i="11"/>
  <c r="EP60" i="11"/>
  <c r="EN34" i="11"/>
  <c r="EN32" i="11"/>
  <c r="EN51" i="11" s="1"/>
  <c r="EP49" i="11"/>
  <c r="EP50" i="11"/>
  <c r="DM174" i="1"/>
  <c r="DM173" i="1"/>
  <c r="DQ173" i="1"/>
  <c r="AM9" i="4"/>
  <c r="AQ9" i="4" s="1"/>
  <c r="AA120" i="64"/>
  <c r="FQ83" i="11"/>
  <c r="N134" i="72"/>
  <c r="N161" i="72" s="1"/>
  <c r="AE56" i="9"/>
  <c r="O132" i="72"/>
  <c r="O173" i="72" s="1"/>
  <c r="DM153" i="1"/>
  <c r="DN153" i="1"/>
  <c r="ED34" i="11"/>
  <c r="ED32" i="11"/>
  <c r="AD17" i="10"/>
  <c r="ED66" i="11"/>
  <c r="FT46" i="11"/>
  <c r="DL163" i="1"/>
  <c r="DM159" i="1"/>
  <c r="FR51" i="11"/>
  <c r="DY51" i="11"/>
  <c r="Y122" i="64"/>
  <c r="Z87" i="64"/>
  <c r="Q126" i="64"/>
  <c r="Q92" i="64"/>
  <c r="R125" i="64"/>
  <c r="O154" i="72"/>
  <c r="O153" i="72" s="1"/>
  <c r="O131" i="72" s="1"/>
  <c r="AF51" i="5"/>
  <c r="AF53" i="5"/>
  <c r="FR34" i="11"/>
  <c r="P156" i="72"/>
  <c r="P155" i="72"/>
  <c r="EK49" i="11"/>
  <c r="EK50" i="11"/>
  <c r="EJ52" i="11"/>
  <c r="EJ60" i="11"/>
  <c r="AE79" i="9"/>
  <c r="L139" i="72"/>
  <c r="L142" i="72" s="1"/>
  <c r="L144" i="72" s="1"/>
  <c r="L175" i="72" s="1"/>
  <c r="AH37" i="5"/>
  <c r="M60" i="72"/>
  <c r="M62" i="72" s="1"/>
  <c r="M78" i="72" s="1"/>
  <c r="M71" i="72"/>
  <c r="M163" i="72" s="1"/>
  <c r="M162" i="72" s="1"/>
  <c r="Y88" i="64"/>
  <c r="X123" i="64"/>
  <c r="AE54" i="5"/>
  <c r="FQ35" i="11"/>
  <c r="AI7" i="4"/>
  <c r="AJ11" i="4"/>
  <c r="AI17" i="4"/>
  <c r="AI18" i="4" s="1"/>
  <c r="AI24" i="4"/>
  <c r="R54" i="9"/>
  <c r="R59" i="9" s="1"/>
  <c r="R15" i="9"/>
  <c r="R22" i="9" s="1"/>
  <c r="R48" i="9" s="1"/>
  <c r="M101" i="72"/>
  <c r="M103" i="72" s="1"/>
  <c r="M119" i="72" s="1"/>
  <c r="M112" i="72"/>
  <c r="M165" i="72" s="1"/>
  <c r="V85" i="72"/>
  <c r="W88" i="72"/>
  <c r="W89" i="72" s="1"/>
  <c r="P158" i="72"/>
  <c r="P157" i="72" s="1"/>
  <c r="P159" i="72"/>
  <c r="FR52" i="11"/>
  <c r="FR60" i="11"/>
  <c r="K78" i="72"/>
  <c r="EC34" i="11"/>
  <c r="EC32" i="11"/>
  <c r="U92" i="64"/>
  <c r="T127" i="64"/>
  <c r="T93" i="64"/>
  <c r="O26" i="72"/>
  <c r="O40" i="72" s="1"/>
  <c r="O38" i="72"/>
  <c r="O93" i="72"/>
  <c r="O52" i="72"/>
  <c r="O70" i="72" s="1"/>
  <c r="FS42" i="11"/>
  <c r="FS48" i="11"/>
  <c r="FS58" i="11"/>
  <c r="AH40" i="5"/>
  <c r="AH42" i="5" s="1"/>
  <c r="FT26" i="11"/>
  <c r="P18" i="72"/>
  <c r="DZ59" i="11"/>
  <c r="K119" i="72"/>
  <c r="EK52" i="11"/>
  <c r="EK60" i="11"/>
  <c r="E93" i="64"/>
  <c r="F127" i="64" s="1"/>
  <c r="EA59" i="11"/>
  <c r="N21" i="72"/>
  <c r="N96" i="72"/>
  <c r="N112" i="72" s="1"/>
  <c r="N55" i="72"/>
  <c r="N71" i="72" s="1"/>
  <c r="N163" i="72" s="1"/>
  <c r="N162" i="72" s="1"/>
  <c r="N32" i="72"/>
  <c r="I122" i="64"/>
  <c r="I88" i="64"/>
  <c r="J121" i="64"/>
  <c r="K175" i="72"/>
  <c r="AE30" i="9"/>
  <c r="AE37" i="9" s="1"/>
  <c r="AE76" i="9"/>
  <c r="EF64" i="11" s="1"/>
  <c r="EI52" i="11"/>
  <c r="EI60" i="11"/>
  <c r="P38" i="72"/>
  <c r="DX51" i="11"/>
  <c r="DX34" i="11"/>
  <c r="H125" i="64"/>
  <c r="H91" i="64"/>
  <c r="AH25" i="4"/>
  <c r="FT67" i="11"/>
  <c r="AH7" i="4"/>
  <c r="AG71" i="9"/>
  <c r="FR49" i="11"/>
  <c r="FR50" i="11"/>
  <c r="N129" i="72"/>
  <c r="DY59" i="11"/>
  <c r="L125" i="64"/>
  <c r="L91" i="64"/>
  <c r="AA56" i="64"/>
  <c r="AA59" i="64" s="1"/>
  <c r="FR82" i="11"/>
  <c r="P148" i="72"/>
  <c r="P146" i="72"/>
  <c r="P145" i="72" s="1"/>
  <c r="EH49" i="11"/>
  <c r="EH50" i="11"/>
  <c r="J93" i="64"/>
  <c r="K126" i="64"/>
  <c r="N106" i="72"/>
  <c r="N120" i="72" s="1"/>
  <c r="N65" i="72"/>
  <c r="N79" i="72" s="1"/>
  <c r="N77" i="72"/>
  <c r="N70" i="72"/>
  <c r="AJ26" i="5"/>
  <c r="FV19" i="11"/>
  <c r="R15" i="72"/>
  <c r="W90" i="64"/>
  <c r="V125" i="64"/>
  <c r="AL5" i="5"/>
  <c r="AK5" i="4"/>
  <c r="N96" i="64"/>
  <c r="AA86" i="64"/>
  <c r="AB86" i="64" s="1"/>
  <c r="Z121" i="64"/>
  <c r="R94" i="64"/>
  <c r="S127" i="64"/>
  <c r="F93" i="64"/>
  <c r="G126" i="64"/>
  <c r="W124" i="64"/>
  <c r="X89" i="64"/>
  <c r="AC35" i="10"/>
  <c r="AC60" i="10" s="1"/>
  <c r="AC48" i="10"/>
  <c r="AC53" i="10" s="1"/>
  <c r="U126" i="64"/>
  <c r="V91" i="64"/>
  <c r="D124" i="64"/>
  <c r="D90" i="64"/>
  <c r="E123" i="64"/>
  <c r="DZ51" i="11"/>
  <c r="G94" i="64"/>
  <c r="EH52" i="11"/>
  <c r="EH60" i="11"/>
  <c r="EJ49" i="11"/>
  <c r="EJ50" i="11"/>
  <c r="EF34" i="11"/>
  <c r="EF32" i="11"/>
  <c r="EA51" i="11"/>
  <c r="Z56" i="64"/>
  <c r="Z57" i="64" s="1"/>
  <c r="M123" i="64"/>
  <c r="M89" i="64"/>
  <c r="N122" i="64"/>
  <c r="EI49" i="11"/>
  <c r="Q54" i="72"/>
  <c r="Q95" i="72"/>
  <c r="Q136" i="72"/>
  <c r="O180" i="72"/>
  <c r="O181" i="72"/>
  <c r="P93" i="64"/>
  <c r="F126" i="64"/>
  <c r="EE34" i="11"/>
  <c r="EE32" i="11"/>
  <c r="S9" i="9"/>
  <c r="U47" i="10"/>
  <c r="U50" i="10" s="1"/>
  <c r="M161" i="72"/>
  <c r="M174" i="72"/>
  <c r="M137" i="72"/>
  <c r="M150" i="72"/>
  <c r="M176" i="72" s="1"/>
  <c r="U86" i="9" l="1"/>
  <c r="U91" i="9" s="1"/>
  <c r="T92" i="9"/>
  <c r="AC119" i="64"/>
  <c r="AC53" i="64"/>
  <c r="AC101" i="64"/>
  <c r="AC6" i="64"/>
  <c r="AC25" i="64" s="1"/>
  <c r="AC118" i="64"/>
  <c r="AC86" i="64"/>
  <c r="AB56" i="64"/>
  <c r="AB57" i="64" s="1"/>
  <c r="AB120" i="64"/>
  <c r="AC85" i="64"/>
  <c r="AC120" i="64" s="1"/>
  <c r="P98" i="72"/>
  <c r="P57" i="72"/>
  <c r="BU49" i="6"/>
  <c r="BT55" i="6"/>
  <c r="P52" i="72"/>
  <c r="P31" i="72"/>
  <c r="P70" i="72" s="1"/>
  <c r="P16" i="72"/>
  <c r="P93" i="72"/>
  <c r="P111" i="72" s="1"/>
  <c r="P77" i="72"/>
  <c r="O118" i="72"/>
  <c r="O111" i="72"/>
  <c r="P118" i="72"/>
  <c r="AM15" i="5"/>
  <c r="AK16" i="5"/>
  <c r="AJ16" i="5"/>
  <c r="DM152" i="1"/>
  <c r="DN152" i="1"/>
  <c r="AG15" i="4"/>
  <c r="P126" i="64"/>
  <c r="O127" i="64"/>
  <c r="O93" i="64"/>
  <c r="P127" i="64" s="1"/>
  <c r="BW76" i="11"/>
  <c r="AB34" i="8"/>
  <c r="AD34" i="8" s="1"/>
  <c r="AF34" i="8" s="1"/>
  <c r="AB34" i="3"/>
  <c r="AL5" i="4"/>
  <c r="AM5" i="5"/>
  <c r="AM5" i="4" s="1"/>
  <c r="D244" i="54"/>
  <c r="C245" i="54"/>
  <c r="K94" i="64"/>
  <c r="K95" i="64" s="1"/>
  <c r="P125" i="64"/>
  <c r="O126" i="64"/>
  <c r="C126" i="64"/>
  <c r="C92" i="64"/>
  <c r="AM22" i="4"/>
  <c r="AQ21" i="4"/>
  <c r="FY66" i="11"/>
  <c r="FY76" i="11"/>
  <c r="FY65" i="11"/>
  <c r="BU13" i="6"/>
  <c r="BX13" i="6"/>
  <c r="H127" i="8"/>
  <c r="H126" i="8"/>
  <c r="T126" i="8" s="1"/>
  <c r="T133" i="8" s="1"/>
  <c r="EP34" i="11"/>
  <c r="EP32" i="11"/>
  <c r="EP51" i="11" s="1"/>
  <c r="FO37" i="11"/>
  <c r="FO38" i="11"/>
  <c r="FO56" i="11"/>
  <c r="FP7" i="11"/>
  <c r="FO62" i="11"/>
  <c r="N150" i="72"/>
  <c r="N176" i="72" s="1"/>
  <c r="N174" i="72"/>
  <c r="DM163" i="1"/>
  <c r="DQ163" i="1"/>
  <c r="DM162" i="1"/>
  <c r="N137" i="72"/>
  <c r="N139" i="72" s="1"/>
  <c r="N142" i="72" s="1"/>
  <c r="N144" i="72" s="1"/>
  <c r="AF31" i="10"/>
  <c r="AF33" i="10" s="1"/>
  <c r="AA121" i="64"/>
  <c r="Z59" i="64"/>
  <c r="P40" i="72"/>
  <c r="P21" i="72"/>
  <c r="O134" i="72"/>
  <c r="O129" i="72"/>
  <c r="M124" i="64"/>
  <c r="M90" i="64"/>
  <c r="N123" i="64"/>
  <c r="X90" i="64"/>
  <c r="W125" i="64"/>
  <c r="AA57" i="64"/>
  <c r="AH71" i="9"/>
  <c r="H126" i="64"/>
  <c r="H92" i="64"/>
  <c r="N165" i="72"/>
  <c r="N164" i="72"/>
  <c r="FS60" i="11"/>
  <c r="FS52" i="11"/>
  <c r="O106" i="72"/>
  <c r="EC59" i="11"/>
  <c r="W85" i="72"/>
  <c r="X85" i="72" s="1"/>
  <c r="Q127" i="64"/>
  <c r="Q93" i="64"/>
  <c r="R126" i="64"/>
  <c r="ED59" i="11"/>
  <c r="EF59" i="11"/>
  <c r="P94" i="64"/>
  <c r="V126" i="64"/>
  <c r="W91" i="64"/>
  <c r="R95" i="64"/>
  <c r="S128" i="64"/>
  <c r="J94" i="64"/>
  <c r="K127" i="64"/>
  <c r="EH34" i="11"/>
  <c r="EH32" i="11"/>
  <c r="EH51" i="11" s="1"/>
  <c r="L126" i="64"/>
  <c r="L92" i="64"/>
  <c r="O94" i="64"/>
  <c r="P128" i="64" s="1"/>
  <c r="P32" i="72"/>
  <c r="P71" i="72" s="1"/>
  <c r="O55" i="72"/>
  <c r="O21" i="72"/>
  <c r="O96" i="72"/>
  <c r="O112" i="72" s="1"/>
  <c r="O32" i="72"/>
  <c r="T128" i="64"/>
  <c r="U93" i="64"/>
  <c r="T94" i="64"/>
  <c r="FS43" i="11"/>
  <c r="AJ7" i="4"/>
  <c r="AK11" i="4"/>
  <c r="AJ12" i="4"/>
  <c r="AJ31" i="4" s="1"/>
  <c r="AJ17" i="4"/>
  <c r="AJ18" i="4" s="1"/>
  <c r="AJ24" i="4"/>
  <c r="AJ7" i="5"/>
  <c r="D4" i="87" s="1"/>
  <c r="AD35" i="10"/>
  <c r="AD60" i="10" s="1"/>
  <c r="AD48" i="10"/>
  <c r="AD53" i="10" s="1"/>
  <c r="EE59" i="11"/>
  <c r="D125" i="64"/>
  <c r="D91" i="64"/>
  <c r="E124" i="64"/>
  <c r="T9" i="9"/>
  <c r="V47" i="10"/>
  <c r="V50" i="10" s="1"/>
  <c r="EE51" i="11"/>
  <c r="EI34" i="11"/>
  <c r="EI32" i="11"/>
  <c r="EI51" i="11" s="1"/>
  <c r="EF51" i="11"/>
  <c r="M139" i="72"/>
  <c r="M142" i="72" s="1"/>
  <c r="M144" i="72" s="1"/>
  <c r="M175" i="72" s="1"/>
  <c r="S15" i="9"/>
  <c r="S22" i="9" s="1"/>
  <c r="S48" i="9" s="1"/>
  <c r="S54" i="9"/>
  <c r="S59" i="9" s="1"/>
  <c r="EJ34" i="11"/>
  <c r="EJ32" i="11"/>
  <c r="EJ51" i="11" s="1"/>
  <c r="G95" i="64"/>
  <c r="X124" i="64"/>
  <c r="Y89" i="64"/>
  <c r="F94" i="64"/>
  <c r="G127" i="64"/>
  <c r="AQ25" i="5"/>
  <c r="AK26" i="5"/>
  <c r="FW19" i="11"/>
  <c r="S15" i="72"/>
  <c r="I123" i="64"/>
  <c r="I89" i="64"/>
  <c r="J122" i="64"/>
  <c r="E94" i="64"/>
  <c r="F128" i="64" s="1"/>
  <c r="O65" i="72"/>
  <c r="O77" i="72"/>
  <c r="EC51" i="11"/>
  <c r="AI25" i="4"/>
  <c r="FU67" i="11"/>
  <c r="AI14" i="4"/>
  <c r="AI8" i="4"/>
  <c r="FU68" i="11"/>
  <c r="AE65" i="9"/>
  <c r="AH48" i="5"/>
  <c r="FT32" i="11"/>
  <c r="AE88" i="9" s="1"/>
  <c r="AE90" i="9" s="1"/>
  <c r="FR59" i="11"/>
  <c r="K192" i="54"/>
  <c r="FT50" i="11"/>
  <c r="FT48" i="11"/>
  <c r="FT58" i="11"/>
  <c r="FT42" i="11"/>
  <c r="ED51" i="11"/>
  <c r="R95" i="72"/>
  <c r="R136" i="72"/>
  <c r="R54" i="72"/>
  <c r="AH8" i="4"/>
  <c r="AH14" i="4"/>
  <c r="AH15" i="4" s="1"/>
  <c r="FT68" i="11"/>
  <c r="DX59" i="11"/>
  <c r="N23" i="72"/>
  <c r="N101" i="72"/>
  <c r="N103" i="72" s="1"/>
  <c r="N119" i="72" s="1"/>
  <c r="N60" i="72"/>
  <c r="FS49" i="11"/>
  <c r="FS50" i="11"/>
  <c r="V92" i="64"/>
  <c r="U127" i="64"/>
  <c r="D14" i="87"/>
  <c r="AF62" i="9"/>
  <c r="AI8" i="5"/>
  <c r="C5" i="87" s="1"/>
  <c r="FU10" i="11"/>
  <c r="AG62" i="10"/>
  <c r="Z88" i="64"/>
  <c r="Y123" i="64"/>
  <c r="EK34" i="11"/>
  <c r="EK32" i="11"/>
  <c r="EK51" i="11" s="1"/>
  <c r="AF54" i="5"/>
  <c r="FR35" i="11"/>
  <c r="Z122" i="64"/>
  <c r="AA87" i="64"/>
  <c r="AB87" i="64" s="1"/>
  <c r="U92" i="9" l="1"/>
  <c r="V86" i="9"/>
  <c r="V91" i="9" s="1"/>
  <c r="O128" i="64"/>
  <c r="FU12" i="11"/>
  <c r="AC121" i="64"/>
  <c r="AB121" i="64"/>
  <c r="AB59" i="64"/>
  <c r="AC58" i="64"/>
  <c r="AC87" i="64"/>
  <c r="P23" i="72"/>
  <c r="P101" i="72"/>
  <c r="P60" i="72"/>
  <c r="P96" i="72"/>
  <c r="P112" i="72" s="1"/>
  <c r="P165" i="72" s="1"/>
  <c r="P55" i="72"/>
  <c r="R6" i="72"/>
  <c r="O71" i="72"/>
  <c r="O163" i="72" s="1"/>
  <c r="O162" i="72" s="1"/>
  <c r="O120" i="72"/>
  <c r="O79" i="72"/>
  <c r="AM16" i="5"/>
  <c r="AL16" i="5"/>
  <c r="C246" i="54"/>
  <c r="D245" i="54"/>
  <c r="AK34" i="3"/>
  <c r="AM34" i="3" s="1"/>
  <c r="AD34" i="3"/>
  <c r="AF34" i="3" s="1"/>
  <c r="C127" i="64"/>
  <c r="C93" i="64"/>
  <c r="K96" i="64"/>
  <c r="J130" i="8"/>
  <c r="N126" i="8"/>
  <c r="P130" i="8"/>
  <c r="J126" i="8"/>
  <c r="P126" i="8"/>
  <c r="AD126" i="8"/>
  <c r="AF126" i="8" s="1"/>
  <c r="X126" i="8"/>
  <c r="Z126" i="8" s="1"/>
  <c r="H134" i="8"/>
  <c r="H133" i="8"/>
  <c r="FP62" i="11"/>
  <c r="FQ7" i="11"/>
  <c r="FP38" i="11"/>
  <c r="FP37" i="11"/>
  <c r="AM26" i="5"/>
  <c r="U15" i="72"/>
  <c r="EK59" i="11"/>
  <c r="EP59" i="11"/>
  <c r="EH59" i="11"/>
  <c r="EM59" i="11"/>
  <c r="EJ59" i="11"/>
  <c r="EI59" i="11"/>
  <c r="EN59" i="11"/>
  <c r="AA88" i="64"/>
  <c r="AB88" i="64" s="1"/>
  <c r="Z123" i="64"/>
  <c r="AA122" i="64"/>
  <c r="W92" i="64"/>
  <c r="V127" i="64"/>
  <c r="N39" i="72"/>
  <c r="N62" i="72"/>
  <c r="N78" i="72" s="1"/>
  <c r="FR83" i="11"/>
  <c r="FR84" i="11" s="1"/>
  <c r="AI15" i="4"/>
  <c r="S136" i="72"/>
  <c r="S95" i="72"/>
  <c r="S54" i="72"/>
  <c r="G96" i="64"/>
  <c r="O165" i="72"/>
  <c r="O164" i="72"/>
  <c r="P164" i="72"/>
  <c r="P163" i="72"/>
  <c r="P162" i="72" s="1"/>
  <c r="L127" i="64"/>
  <c r="L93" i="64"/>
  <c r="R96" i="64"/>
  <c r="S130" i="64" s="1"/>
  <c r="S129" i="64"/>
  <c r="P95" i="64"/>
  <c r="Q128" i="64"/>
  <c r="Q94" i="64"/>
  <c r="R127" i="64"/>
  <c r="H127" i="64"/>
  <c r="H93" i="64"/>
  <c r="M125" i="64"/>
  <c r="M91" i="64"/>
  <c r="N124" i="64"/>
  <c r="Q35" i="72"/>
  <c r="Q121" i="72" s="1"/>
  <c r="Q122" i="72" s="1"/>
  <c r="Q115" i="72" s="1"/>
  <c r="AE87" i="9"/>
  <c r="AF17" i="10"/>
  <c r="F95" i="64"/>
  <c r="G128" i="64"/>
  <c r="E14" i="87"/>
  <c r="AG62" i="9"/>
  <c r="AJ8" i="5"/>
  <c r="D5" i="87" s="1"/>
  <c r="FV10" i="11"/>
  <c r="AJ14" i="5"/>
  <c r="AH62" i="10"/>
  <c r="AK7" i="4"/>
  <c r="AL11" i="4"/>
  <c r="AM11" i="4" s="1"/>
  <c r="AK12" i="4"/>
  <c r="AK31" i="4" s="1"/>
  <c r="AK17" i="4"/>
  <c r="AK18" i="4" s="1"/>
  <c r="AK24" i="4"/>
  <c r="AK7" i="5"/>
  <c r="E4" i="87" s="1"/>
  <c r="U94" i="64"/>
  <c r="T129" i="64"/>
  <c r="T95" i="64"/>
  <c r="J95" i="64"/>
  <c r="K128" i="64"/>
  <c r="Y90" i="64"/>
  <c r="X125" i="64"/>
  <c r="AG59" i="10"/>
  <c r="AF28" i="9"/>
  <c r="AF21" i="9"/>
  <c r="AF33" i="9"/>
  <c r="AF27" i="9"/>
  <c r="AF10" i="9"/>
  <c r="AF12" i="9"/>
  <c r="AG24" i="10" s="1"/>
  <c r="FT49" i="11"/>
  <c r="FT51" i="11"/>
  <c r="I124" i="64"/>
  <c r="I90" i="64"/>
  <c r="J123" i="64"/>
  <c r="Z89" i="64"/>
  <c r="Y124" i="64"/>
  <c r="U9" i="9"/>
  <c r="W47" i="10"/>
  <c r="W50" i="10" s="1"/>
  <c r="D126" i="64"/>
  <c r="D92" i="64"/>
  <c r="E125" i="64"/>
  <c r="AJ25" i="4"/>
  <c r="FV67" i="11"/>
  <c r="AJ8" i="4"/>
  <c r="AJ14" i="4"/>
  <c r="AJ15" i="4" s="1"/>
  <c r="FV68" i="11"/>
  <c r="V93" i="64"/>
  <c r="U128" i="64"/>
  <c r="O23" i="72"/>
  <c r="O60" i="72"/>
  <c r="O101" i="72"/>
  <c r="O103" i="72" s="1"/>
  <c r="O129" i="64"/>
  <c r="O95" i="64"/>
  <c r="X91" i="64"/>
  <c r="W126" i="64"/>
  <c r="FU55" i="11"/>
  <c r="AF63" i="9"/>
  <c r="FU13" i="11"/>
  <c r="FU15" i="11" s="1"/>
  <c r="Q8" i="72"/>
  <c r="AH43" i="5"/>
  <c r="AH50" i="5"/>
  <c r="FT28" i="11"/>
  <c r="FT52" i="11"/>
  <c r="FT60" i="11"/>
  <c r="E95" i="64"/>
  <c r="F129" i="64" s="1"/>
  <c r="AL26" i="5"/>
  <c r="FX19" i="11"/>
  <c r="T15" i="72"/>
  <c r="T15" i="9"/>
  <c r="T22" i="9" s="1"/>
  <c r="T48" i="9" s="1"/>
  <c r="T54" i="9"/>
  <c r="T59" i="9" s="1"/>
  <c r="N175" i="72"/>
  <c r="AI71" i="9"/>
  <c r="AJ71" i="9" s="1"/>
  <c r="O137" i="72"/>
  <c r="O161" i="72"/>
  <c r="O174" i="72"/>
  <c r="O150" i="72"/>
  <c r="O176" i="72" s="1"/>
  <c r="W86" i="9" l="1"/>
  <c r="W91" i="9" s="1"/>
  <c r="V92" i="9"/>
  <c r="FV12" i="11"/>
  <c r="AC122" i="64"/>
  <c r="AC88" i="64"/>
  <c r="AB122" i="64"/>
  <c r="AC56" i="64"/>
  <c r="AC57" i="64" s="1"/>
  <c r="Q10" i="72"/>
  <c r="S6" i="72"/>
  <c r="O119" i="72"/>
  <c r="C94" i="64"/>
  <c r="C128" i="64"/>
  <c r="S132" i="64"/>
  <c r="Z35" i="3"/>
  <c r="D246" i="54"/>
  <c r="C247" i="54"/>
  <c r="AM7" i="5"/>
  <c r="G4" i="87" s="1"/>
  <c r="AQ11" i="4"/>
  <c r="J127" i="8"/>
  <c r="R127" i="8" s="1"/>
  <c r="EF63" i="11" s="1"/>
  <c r="R126" i="8"/>
  <c r="AH126" i="8"/>
  <c r="J133" i="8"/>
  <c r="P133" i="8"/>
  <c r="N133" i="8"/>
  <c r="AD133" i="8"/>
  <c r="AF133" i="8" s="1"/>
  <c r="X133" i="8"/>
  <c r="Z133" i="8" s="1"/>
  <c r="R130" i="8"/>
  <c r="AH130" i="8"/>
  <c r="FR7" i="11"/>
  <c r="FQ37" i="11"/>
  <c r="FQ38" i="11"/>
  <c r="FQ62" i="11"/>
  <c r="U136" i="72"/>
  <c r="U54" i="72"/>
  <c r="U95" i="72"/>
  <c r="AM24" i="4"/>
  <c r="AM17" i="4"/>
  <c r="AQ17" i="4" s="1"/>
  <c r="AM12" i="4"/>
  <c r="AM31" i="4" s="1"/>
  <c r="AM7" i="4"/>
  <c r="AH53" i="5"/>
  <c r="FT34" i="11"/>
  <c r="AG33" i="9"/>
  <c r="AF35" i="9"/>
  <c r="AH62" i="9"/>
  <c r="AK8" i="5"/>
  <c r="E5" i="87" s="1"/>
  <c r="FW10" i="11"/>
  <c r="AK14" i="5"/>
  <c r="AI62" i="10"/>
  <c r="FU46" i="11"/>
  <c r="Y91" i="64"/>
  <c r="X126" i="64"/>
  <c r="AG21" i="9"/>
  <c r="AH13" i="10" s="1"/>
  <c r="AG13" i="10"/>
  <c r="U95" i="64"/>
  <c r="T130" i="64"/>
  <c r="T132" i="64" s="1"/>
  <c r="T96" i="64"/>
  <c r="U96" i="64" s="1"/>
  <c r="V96" i="64" s="1"/>
  <c r="W96" i="64" s="1"/>
  <c r="X96" i="64" s="1"/>
  <c r="Y96" i="64" s="1"/>
  <c r="Z96" i="64" s="1"/>
  <c r="AA96" i="64" s="1"/>
  <c r="AB96" i="64" s="1"/>
  <c r="AC96" i="64" s="1"/>
  <c r="AK25" i="4"/>
  <c r="FW67" i="11"/>
  <c r="AK8" i="4"/>
  <c r="AK14" i="4"/>
  <c r="AK15" i="4" s="1"/>
  <c r="FW68" i="11"/>
  <c r="R35" i="72"/>
  <c r="AG12" i="9"/>
  <c r="AH24" i="10" s="1"/>
  <c r="AH59" i="10"/>
  <c r="AG10" i="9"/>
  <c r="AG67" i="9" s="1"/>
  <c r="AF35" i="10"/>
  <c r="AF60" i="10" s="1"/>
  <c r="AF48" i="10"/>
  <c r="AF53" i="10" s="1"/>
  <c r="M126" i="64"/>
  <c r="M92" i="64"/>
  <c r="N125" i="64"/>
  <c r="P96" i="64"/>
  <c r="X92" i="64"/>
  <c r="W127" i="64"/>
  <c r="U15" i="9"/>
  <c r="U22" i="9" s="1"/>
  <c r="U48" i="9" s="1"/>
  <c r="U54" i="9"/>
  <c r="U59" i="9" s="1"/>
  <c r="O139" i="72"/>
  <c r="O142" i="72" s="1"/>
  <c r="O144" i="72" s="1"/>
  <c r="O175" i="72" s="1"/>
  <c r="E96" i="64"/>
  <c r="O130" i="64"/>
  <c r="O132" i="64" s="1"/>
  <c r="O96" i="64"/>
  <c r="P130" i="64" s="1"/>
  <c r="O39" i="72"/>
  <c r="O62" i="72"/>
  <c r="P39" i="72"/>
  <c r="AA89" i="64"/>
  <c r="AB89" i="64" s="1"/>
  <c r="Z124" i="64"/>
  <c r="AG22" i="10"/>
  <c r="AG28" i="9"/>
  <c r="AG29" i="10"/>
  <c r="Z90" i="64"/>
  <c r="Y125" i="64"/>
  <c r="FV55" i="11"/>
  <c r="AE44" i="9"/>
  <c r="P129" i="64"/>
  <c r="S17" i="64"/>
  <c r="S50" i="64"/>
  <c r="AF11" i="9"/>
  <c r="AG23" i="10" s="1"/>
  <c r="AF26" i="9"/>
  <c r="AF69" i="9" s="1"/>
  <c r="T54" i="72"/>
  <c r="T95" i="72"/>
  <c r="T136" i="72"/>
  <c r="D127" i="64"/>
  <c r="D93" i="64"/>
  <c r="E126" i="64"/>
  <c r="V9" i="9"/>
  <c r="X47" i="10"/>
  <c r="X50" i="10" s="1"/>
  <c r="I125" i="64"/>
  <c r="I91" i="64"/>
  <c r="J124" i="64"/>
  <c r="AG28" i="10"/>
  <c r="AG27" i="9"/>
  <c r="AF67" i="9"/>
  <c r="J96" i="64"/>
  <c r="K130" i="64" s="1"/>
  <c r="K129" i="64"/>
  <c r="V94" i="64"/>
  <c r="U129" i="64"/>
  <c r="F130" i="64"/>
  <c r="F132" i="64" s="1"/>
  <c r="F96" i="64"/>
  <c r="G130" i="64" s="1"/>
  <c r="G129" i="64"/>
  <c r="Q177" i="72"/>
  <c r="Q80" i="72"/>
  <c r="Q81" i="72" s="1"/>
  <c r="H128" i="64"/>
  <c r="H94" i="64"/>
  <c r="Q129" i="64"/>
  <c r="Q95" i="64"/>
  <c r="R128" i="64"/>
  <c r="W93" i="64"/>
  <c r="V128" i="64"/>
  <c r="AL7" i="5"/>
  <c r="F4" i="87" s="1"/>
  <c r="F14" i="87" s="1"/>
  <c r="AL7" i="4"/>
  <c r="AL12" i="4"/>
  <c r="AL31" i="4" s="1"/>
  <c r="AL17" i="4"/>
  <c r="AL18" i="4" s="1"/>
  <c r="AL24" i="4"/>
  <c r="AG63" i="9"/>
  <c r="FV13" i="11"/>
  <c r="FV15" i="11" s="1"/>
  <c r="R8" i="72"/>
  <c r="R10" i="72" s="1"/>
  <c r="L128" i="64"/>
  <c r="L94" i="64"/>
  <c r="AA123" i="64"/>
  <c r="EF66" i="11" l="1"/>
  <c r="W92" i="9"/>
  <c r="X86" i="9"/>
  <c r="X91" i="9" s="1"/>
  <c r="G132" i="64"/>
  <c r="P132" i="64"/>
  <c r="FW12" i="11"/>
  <c r="AC123" i="64"/>
  <c r="AC89" i="64"/>
  <c r="AC59" i="64"/>
  <c r="AB123" i="64"/>
  <c r="R29" i="72"/>
  <c r="R109" i="72" s="1"/>
  <c r="R156" i="72" s="1"/>
  <c r="T6" i="72"/>
  <c r="Q29" i="72"/>
  <c r="U6" i="72"/>
  <c r="O78" i="72"/>
  <c r="AK62" i="10"/>
  <c r="AM8" i="5"/>
  <c r="AM14" i="5"/>
  <c r="AQ14" i="5" s="1"/>
  <c r="AJ62" i="9"/>
  <c r="AJ10" i="9" s="1"/>
  <c r="BX76" i="11"/>
  <c r="AB35" i="8"/>
  <c r="AD35" i="8" s="1"/>
  <c r="AF35" i="8" s="1"/>
  <c r="AB35" i="3"/>
  <c r="C248" i="54"/>
  <c r="D247" i="54"/>
  <c r="C95" i="64"/>
  <c r="C129" i="64"/>
  <c r="FY67" i="11"/>
  <c r="AQ24" i="4"/>
  <c r="FY68" i="11"/>
  <c r="AQ7" i="4"/>
  <c r="FY10" i="11"/>
  <c r="AQ7" i="5"/>
  <c r="R133" i="8"/>
  <c r="AH133" i="8"/>
  <c r="J134" i="8"/>
  <c r="R134" i="8" s="1"/>
  <c r="FR62" i="11"/>
  <c r="FR38" i="11"/>
  <c r="FS7" i="11"/>
  <c r="FR37" i="11"/>
  <c r="AM18" i="4"/>
  <c r="AM25" i="4"/>
  <c r="AM14" i="4"/>
  <c r="AQ14" i="4" s="1"/>
  <c r="AM8" i="4"/>
  <c r="P17" i="64"/>
  <c r="P50" i="64"/>
  <c r="R155" i="72"/>
  <c r="Q179" i="72"/>
  <c r="Q178" i="72" s="1"/>
  <c r="Q168" i="72" s="1"/>
  <c r="Q74" i="72"/>
  <c r="W94" i="64"/>
  <c r="V129" i="64"/>
  <c r="I126" i="64"/>
  <c r="I92" i="64"/>
  <c r="J125" i="64"/>
  <c r="Q180" i="72"/>
  <c r="D128" i="64"/>
  <c r="D94" i="64"/>
  <c r="E127" i="64"/>
  <c r="S26" i="64"/>
  <c r="S156" i="64"/>
  <c r="AL8" i="4"/>
  <c r="AL14" i="4"/>
  <c r="AL15" i="4" s="1"/>
  <c r="FX68" i="11"/>
  <c r="H129" i="64"/>
  <c r="H95" i="64"/>
  <c r="K132" i="64"/>
  <c r="W9" i="9"/>
  <c r="Y47" i="10"/>
  <c r="Y50" i="10" s="1"/>
  <c r="AF30" i="9"/>
  <c r="AF37" i="9" s="1"/>
  <c r="AF76" i="9"/>
  <c r="AG27" i="10"/>
  <c r="AG31" i="10" s="1"/>
  <c r="C17" i="87" s="1"/>
  <c r="C18" i="87" s="1"/>
  <c r="AE46" i="9"/>
  <c r="AE57" i="9"/>
  <c r="AE55" i="9"/>
  <c r="AE58" i="9" s="1"/>
  <c r="AH22" i="10"/>
  <c r="AF56" i="9"/>
  <c r="AH63" i="9"/>
  <c r="FW13" i="11"/>
  <c r="FW15" i="11" s="1"/>
  <c r="S8" i="72"/>
  <c r="AH33" i="9"/>
  <c r="AG35" i="9"/>
  <c r="Q130" i="64"/>
  <c r="Q132" i="64" s="1"/>
  <c r="Q96" i="64"/>
  <c r="R130" i="64" s="1"/>
  <c r="R129" i="64"/>
  <c r="W128" i="64"/>
  <c r="X93" i="64"/>
  <c r="L129" i="64"/>
  <c r="L95" i="64"/>
  <c r="AL25" i="4"/>
  <c r="FX67" i="11"/>
  <c r="AI62" i="9"/>
  <c r="AL8" i="5"/>
  <c r="F5" i="87" s="1"/>
  <c r="FX10" i="11"/>
  <c r="AL14" i="5"/>
  <c r="AJ62" i="10"/>
  <c r="V54" i="9"/>
  <c r="V59" i="9" s="1"/>
  <c r="V15" i="9"/>
  <c r="V22" i="9" s="1"/>
  <c r="V48" i="9" s="1"/>
  <c r="AF68" i="9"/>
  <c r="AA90" i="64"/>
  <c r="AB90" i="64" s="1"/>
  <c r="Z125" i="64"/>
  <c r="AA124" i="64"/>
  <c r="M127" i="64"/>
  <c r="M93" i="64"/>
  <c r="N126" i="64"/>
  <c r="R121" i="72"/>
  <c r="R80" i="72"/>
  <c r="R81" i="72" s="1"/>
  <c r="R177" i="72"/>
  <c r="T17" i="64"/>
  <c r="T50" i="64"/>
  <c r="S35" i="72"/>
  <c r="AH12" i="9"/>
  <c r="AI24" i="10" s="1"/>
  <c r="AI59" i="10"/>
  <c r="AH10" i="9"/>
  <c r="AI22" i="10" s="1"/>
  <c r="S47" i="64"/>
  <c r="O17" i="64"/>
  <c r="O50" i="64"/>
  <c r="U130" i="64"/>
  <c r="U132" i="64" s="1"/>
  <c r="V95" i="64"/>
  <c r="AH21" i="9"/>
  <c r="AI13" i="10" s="1"/>
  <c r="FW55" i="11"/>
  <c r="FT35" i="11"/>
  <c r="G17" i="64"/>
  <c r="G50" i="64"/>
  <c r="AG11" i="9"/>
  <c r="AH23" i="10" s="1"/>
  <c r="AG26" i="9"/>
  <c r="AG69" i="9" s="1"/>
  <c r="F17" i="64"/>
  <c r="F50" i="64"/>
  <c r="AH28" i="10"/>
  <c r="AH27" i="9"/>
  <c r="AH28" i="9"/>
  <c r="AH29" i="10"/>
  <c r="Y92" i="64"/>
  <c r="X127" i="64"/>
  <c r="Y126" i="64"/>
  <c r="Z91" i="64"/>
  <c r="H5" i="87" l="1"/>
  <c r="G5" i="87"/>
  <c r="Y86" i="9"/>
  <c r="Y91" i="9" s="1"/>
  <c r="X92" i="9"/>
  <c r="FX12" i="11"/>
  <c r="FY12" i="11"/>
  <c r="AB124" i="64"/>
  <c r="AC90" i="64"/>
  <c r="AC124" i="64"/>
  <c r="Q109" i="72"/>
  <c r="Q156" i="72" s="1"/>
  <c r="Q155" i="72"/>
  <c r="S10" i="72"/>
  <c r="U35" i="72"/>
  <c r="U177" i="72" s="1"/>
  <c r="FY13" i="11"/>
  <c r="FY15" i="11" s="1"/>
  <c r="AJ63" i="9"/>
  <c r="AJ26" i="9" s="1"/>
  <c r="AJ12" i="9"/>
  <c r="U8" i="72"/>
  <c r="AJ67" i="9"/>
  <c r="AK59" i="10"/>
  <c r="C251" i="54"/>
  <c r="D248" i="54"/>
  <c r="FY55" i="11"/>
  <c r="AK35" i="3"/>
  <c r="AM35" i="3" s="1"/>
  <c r="AD35" i="3"/>
  <c r="AF35" i="3" s="1"/>
  <c r="AB36" i="3"/>
  <c r="C130" i="64"/>
  <c r="C132" i="64" s="1"/>
  <c r="C96" i="64"/>
  <c r="C27" i="64" s="1"/>
  <c r="FT62" i="11"/>
  <c r="FS62" i="11"/>
  <c r="FS37" i="11"/>
  <c r="FS38" i="11"/>
  <c r="AM15" i="4"/>
  <c r="Z92" i="64"/>
  <c r="Y127" i="64"/>
  <c r="G26" i="64"/>
  <c r="G144" i="64"/>
  <c r="FW46" i="11"/>
  <c r="V130" i="64"/>
  <c r="V132" i="64" s="1"/>
  <c r="W95" i="64"/>
  <c r="O47" i="64"/>
  <c r="M128" i="64"/>
  <c r="M94" i="64"/>
  <c r="N127" i="64"/>
  <c r="FV46" i="11"/>
  <c r="AI63" i="9"/>
  <c r="FX13" i="11"/>
  <c r="FX15" i="11" s="1"/>
  <c r="T8" i="72"/>
  <c r="T10" i="72" s="1"/>
  <c r="AH11" i="9"/>
  <c r="AI23" i="10" s="1"/>
  <c r="AH26" i="9"/>
  <c r="T156" i="64"/>
  <c r="AI28" i="9"/>
  <c r="AJ28" i="9" s="1"/>
  <c r="AI29" i="10"/>
  <c r="F47" i="64"/>
  <c r="AG68" i="9"/>
  <c r="AG56" i="9"/>
  <c r="U17" i="64"/>
  <c r="U50" i="64"/>
  <c r="O26" i="64"/>
  <c r="O152" i="64"/>
  <c r="S80" i="72"/>
  <c r="S81" i="72" s="1"/>
  <c r="S121" i="72"/>
  <c r="S177" i="72"/>
  <c r="R179" i="72"/>
  <c r="R178" i="72" s="1"/>
  <c r="R168" i="72" s="1"/>
  <c r="R74" i="72"/>
  <c r="T35" i="72"/>
  <c r="AI33" i="9"/>
  <c r="AH35" i="9"/>
  <c r="X9" i="9"/>
  <c r="Z47" i="10"/>
  <c r="Z50" i="10" s="1"/>
  <c r="H130" i="64"/>
  <c r="H132" i="64" s="1"/>
  <c r="H96" i="64"/>
  <c r="Q181" i="72"/>
  <c r="P47" i="64"/>
  <c r="P51" i="64"/>
  <c r="F26" i="64"/>
  <c r="F143" i="64"/>
  <c r="AH67" i="9"/>
  <c r="T47" i="64"/>
  <c r="T48" i="64" s="1"/>
  <c r="T51" i="64"/>
  <c r="R180" i="72"/>
  <c r="R122" i="72"/>
  <c r="FX55" i="11"/>
  <c r="AI12" i="9"/>
  <c r="AJ24" i="10" s="1"/>
  <c r="AJ59" i="10"/>
  <c r="AI10" i="9"/>
  <c r="R132" i="64"/>
  <c r="D17" i="87"/>
  <c r="D18" i="87" s="1"/>
  <c r="AG33" i="10"/>
  <c r="W15" i="9"/>
  <c r="W22" i="9" s="1"/>
  <c r="W48" i="9" s="1"/>
  <c r="W54" i="9"/>
  <c r="W59" i="9" s="1"/>
  <c r="X94" i="64"/>
  <c r="W129" i="64"/>
  <c r="P26" i="64"/>
  <c r="P153" i="64"/>
  <c r="Z126" i="64"/>
  <c r="AA91" i="64"/>
  <c r="AB91" i="64" s="1"/>
  <c r="AI27" i="9"/>
  <c r="AI28" i="10"/>
  <c r="AH27" i="10"/>
  <c r="AH31" i="10" s="1"/>
  <c r="AG30" i="9"/>
  <c r="AG37" i="9" s="1"/>
  <c r="AG76" i="9"/>
  <c r="G51" i="64"/>
  <c r="G47" i="64"/>
  <c r="AI21" i="9"/>
  <c r="T26" i="64"/>
  <c r="T157" i="64"/>
  <c r="AA125" i="64"/>
  <c r="G14" i="87"/>
  <c r="H14" i="87" s="1"/>
  <c r="I14" i="87" s="1"/>
  <c r="J14" i="87" s="1"/>
  <c r="K14" i="87" s="1"/>
  <c r="L130" i="64"/>
  <c r="L132" i="64" s="1"/>
  <c r="L96" i="64"/>
  <c r="X128" i="64"/>
  <c r="Y93" i="64"/>
  <c r="Q50" i="64"/>
  <c r="Q17" i="64"/>
  <c r="K17" i="64"/>
  <c r="K50" i="64"/>
  <c r="D129" i="64"/>
  <c r="D95" i="64"/>
  <c r="E128" i="64"/>
  <c r="I127" i="64"/>
  <c r="I93" i="64"/>
  <c r="J126" i="64"/>
  <c r="I5" i="87" l="1"/>
  <c r="J5" i="87" s="1"/>
  <c r="H4" i="87"/>
  <c r="Y92" i="9"/>
  <c r="Z86" i="9"/>
  <c r="Z91" i="9" s="1"/>
  <c r="AC91" i="64"/>
  <c r="AC125" i="64"/>
  <c r="AB125" i="64"/>
  <c r="T29" i="72"/>
  <c r="T155" i="72" s="1"/>
  <c r="FY46" i="11"/>
  <c r="S29" i="72"/>
  <c r="U10" i="72"/>
  <c r="U121" i="72"/>
  <c r="U122" i="72" s="1"/>
  <c r="U80" i="72"/>
  <c r="U81" i="72" s="1"/>
  <c r="U179" i="72" s="1"/>
  <c r="U178" i="72" s="1"/>
  <c r="U168" i="72" s="1"/>
  <c r="AJ11" i="9"/>
  <c r="AJ68" i="9" s="1"/>
  <c r="C19" i="64"/>
  <c r="C24" i="64"/>
  <c r="C10" i="64" s="1"/>
  <c r="C13" i="64" s="1"/>
  <c r="D23" i="64"/>
  <c r="G48" i="64"/>
  <c r="P48" i="64"/>
  <c r="AD36" i="3"/>
  <c r="AF36" i="3" s="1"/>
  <c r="AK36" i="3"/>
  <c r="AM36" i="3" s="1"/>
  <c r="U156" i="64"/>
  <c r="V156" i="64" s="1"/>
  <c r="C252" i="54"/>
  <c r="Z39" i="3"/>
  <c r="D251" i="54"/>
  <c r="FT38" i="11"/>
  <c r="FU7" i="11"/>
  <c r="AK24" i="10"/>
  <c r="AJ13" i="10"/>
  <c r="AJ21" i="9"/>
  <c r="AK13" i="10" s="1"/>
  <c r="AI35" i="9"/>
  <c r="AJ33" i="9"/>
  <c r="AJ35" i="9" s="1"/>
  <c r="AJ69" i="9"/>
  <c r="AJ22" i="10"/>
  <c r="AK22" i="10"/>
  <c r="AJ28" i="10"/>
  <c r="AJ27" i="9"/>
  <c r="AK28" i="10" s="1"/>
  <c r="AH56" i="9"/>
  <c r="AA126" i="64"/>
  <c r="AH68" i="9"/>
  <c r="AI67" i="9"/>
  <c r="AJ29" i="10"/>
  <c r="E17" i="87"/>
  <c r="E18" i="87" s="1"/>
  <c r="AH33" i="10"/>
  <c r="D130" i="64"/>
  <c r="D132" i="64" s="1"/>
  <c r="D96" i="64"/>
  <c r="E130" i="64" s="1"/>
  <c r="E129" i="64"/>
  <c r="I128" i="64"/>
  <c r="I94" i="64"/>
  <c r="J127" i="64"/>
  <c r="Z93" i="64"/>
  <c r="Y128" i="64"/>
  <c r="R17" i="64"/>
  <c r="R50" i="64"/>
  <c r="R181" i="72"/>
  <c r="R115" i="72"/>
  <c r="T177" i="72"/>
  <c r="T80" i="72"/>
  <c r="T81" i="72" s="1"/>
  <c r="T121" i="72"/>
  <c r="U47" i="64"/>
  <c r="U48" i="64" s="1"/>
  <c r="U51" i="64"/>
  <c r="AI27" i="10"/>
  <c r="AI31" i="10" s="1"/>
  <c r="AH30" i="9"/>
  <c r="AH37" i="9" s="1"/>
  <c r="AH76" i="9"/>
  <c r="V17" i="64"/>
  <c r="V50" i="64"/>
  <c r="K47" i="64"/>
  <c r="H13" i="87"/>
  <c r="U157" i="64"/>
  <c r="H17" i="64"/>
  <c r="H50" i="64"/>
  <c r="U26" i="64"/>
  <c r="U158" i="64"/>
  <c r="AI11" i="9"/>
  <c r="AJ23" i="10" s="1"/>
  <c r="AI26" i="9"/>
  <c r="AI69" i="9" s="1"/>
  <c r="M129" i="64"/>
  <c r="M95" i="64"/>
  <c r="N128" i="64"/>
  <c r="AA92" i="64"/>
  <c r="AB92" i="64" s="1"/>
  <c r="Z127" i="64"/>
  <c r="Q47" i="64"/>
  <c r="Q48" i="64" s="1"/>
  <c r="Q51" i="64"/>
  <c r="K148" i="64"/>
  <c r="K26" i="64"/>
  <c r="Q26" i="64"/>
  <c r="Q154" i="64"/>
  <c r="Y94" i="64"/>
  <c r="X129" i="64"/>
  <c r="Y9" i="9"/>
  <c r="AA47" i="10"/>
  <c r="AA50" i="10" s="1"/>
  <c r="S180" i="72"/>
  <c r="S122" i="72"/>
  <c r="P152" i="64"/>
  <c r="AH69" i="9"/>
  <c r="L17" i="64"/>
  <c r="L50" i="64"/>
  <c r="Q153" i="64"/>
  <c r="FX46" i="11"/>
  <c r="G143" i="64"/>
  <c r="H143" i="64" s="1"/>
  <c r="X15" i="9"/>
  <c r="X22" i="9" s="1"/>
  <c r="X48" i="9" s="1"/>
  <c r="X54" i="9"/>
  <c r="X59" i="9" s="1"/>
  <c r="S74" i="72"/>
  <c r="S179" i="72"/>
  <c r="S178" i="72" s="1"/>
  <c r="S168" i="72" s="1"/>
  <c r="X95" i="64"/>
  <c r="W130" i="64"/>
  <c r="W132" i="64" s="1"/>
  <c r="I144" i="64"/>
  <c r="H144" i="64"/>
  <c r="I4" i="87" l="1"/>
  <c r="J4" i="87" s="1"/>
  <c r="K4" i="87" s="1"/>
  <c r="T109" i="72"/>
  <c r="T156" i="72" s="1"/>
  <c r="AA86" i="9"/>
  <c r="AA91" i="9" s="1"/>
  <c r="Z92" i="9"/>
  <c r="R153" i="64"/>
  <c r="S153" i="64" s="1"/>
  <c r="Q152" i="64"/>
  <c r="R152" i="64" s="1"/>
  <c r="S152" i="64" s="1"/>
  <c r="AC92" i="64"/>
  <c r="AC126" i="64"/>
  <c r="AB126" i="64"/>
  <c r="U29" i="72"/>
  <c r="S155" i="72"/>
  <c r="S109" i="72"/>
  <c r="S156" i="72" s="1"/>
  <c r="U180" i="72"/>
  <c r="U74" i="72"/>
  <c r="AJ76" i="9"/>
  <c r="AB39" i="8"/>
  <c r="AD39" i="8" s="1"/>
  <c r="AF39" i="8" s="1"/>
  <c r="AB39" i="3"/>
  <c r="BZ76" i="11"/>
  <c r="D252" i="54"/>
  <c r="C253" i="54"/>
  <c r="C31" i="64"/>
  <c r="D140" i="64"/>
  <c r="E140" i="64" s="1"/>
  <c r="D16" i="64"/>
  <c r="C29" i="64"/>
  <c r="C23" i="64" s="1"/>
  <c r="C140" i="64"/>
  <c r="C171" i="64" s="1"/>
  <c r="C18" i="64" s="1"/>
  <c r="C7" i="64" s="1"/>
  <c r="C8" i="64" s="1"/>
  <c r="C11" i="64" s="1"/>
  <c r="W156" i="64"/>
  <c r="X156" i="64" s="1"/>
  <c r="FV7" i="11"/>
  <c r="FU62" i="11"/>
  <c r="AK29" i="10"/>
  <c r="AK27" i="10"/>
  <c r="U181" i="72"/>
  <c r="U115" i="72"/>
  <c r="AJ56" i="9"/>
  <c r="AJ30" i="9"/>
  <c r="AJ37" i="9" s="1"/>
  <c r="AK23" i="10"/>
  <c r="AA127" i="64"/>
  <c r="AI68" i="9"/>
  <c r="T153" i="64"/>
  <c r="U153" i="64" s="1"/>
  <c r="V153" i="64" s="1"/>
  <c r="F17" i="87"/>
  <c r="F18" i="87" s="1"/>
  <c r="AI33" i="10"/>
  <c r="Z9" i="9"/>
  <c r="AB47" i="10"/>
  <c r="AB50" i="10" s="1"/>
  <c r="J144" i="64"/>
  <c r="L26" i="64"/>
  <c r="L149" i="64"/>
  <c r="Y15" i="9"/>
  <c r="Y22" i="9" s="1"/>
  <c r="Y48" i="9" s="1"/>
  <c r="Y54" i="9"/>
  <c r="Y59" i="9" s="1"/>
  <c r="L148" i="64"/>
  <c r="AI30" i="9"/>
  <c r="AI37" i="9" s="1"/>
  <c r="AI76" i="9"/>
  <c r="AJ27" i="10"/>
  <c r="AJ31" i="10" s="1"/>
  <c r="V158" i="64"/>
  <c r="V157" i="64"/>
  <c r="T180" i="72"/>
  <c r="T122" i="72"/>
  <c r="F140" i="64"/>
  <c r="R26" i="64"/>
  <c r="R155" i="64"/>
  <c r="E132" i="64"/>
  <c r="Y95" i="64"/>
  <c r="X130" i="64"/>
  <c r="X132" i="64" s="1"/>
  <c r="I143" i="64"/>
  <c r="S181" i="72"/>
  <c r="S115" i="72"/>
  <c r="Z94" i="64"/>
  <c r="Y129" i="64"/>
  <c r="H47" i="64"/>
  <c r="H48" i="64" s="1"/>
  <c r="H51" i="64"/>
  <c r="I13" i="87"/>
  <c r="V51" i="64"/>
  <c r="V47" i="64"/>
  <c r="V48" i="64" s="1"/>
  <c r="T74" i="72"/>
  <c r="T179" i="72"/>
  <c r="T178" i="72" s="1"/>
  <c r="T168" i="72" s="1"/>
  <c r="AA93" i="64"/>
  <c r="AB93" i="64" s="1"/>
  <c r="Z128" i="64"/>
  <c r="D17" i="64"/>
  <c r="D50" i="64"/>
  <c r="D47" i="64" s="1"/>
  <c r="W17" i="64"/>
  <c r="W50" i="64"/>
  <c r="M130" i="64"/>
  <c r="M132" i="64" s="1"/>
  <c r="M96" i="64"/>
  <c r="N130" i="64" s="1"/>
  <c r="N129" i="64"/>
  <c r="H145" i="64"/>
  <c r="H26" i="64"/>
  <c r="V26" i="64"/>
  <c r="V159" i="64"/>
  <c r="L47" i="64"/>
  <c r="L48" i="64" s="1"/>
  <c r="L51" i="64"/>
  <c r="R154" i="64"/>
  <c r="R51" i="64"/>
  <c r="R47" i="64"/>
  <c r="S51" i="64"/>
  <c r="AI56" i="9"/>
  <c r="I129" i="64"/>
  <c r="I95" i="64"/>
  <c r="J128" i="64"/>
  <c r="AA92" i="9" l="1"/>
  <c r="AB86" i="9"/>
  <c r="AB91" i="9" s="1"/>
  <c r="T152" i="64"/>
  <c r="U152" i="64" s="1"/>
  <c r="J143" i="64"/>
  <c r="AC93" i="64"/>
  <c r="AC127" i="64"/>
  <c r="AB127" i="64"/>
  <c r="U155" i="72"/>
  <c r="U109" i="72"/>
  <c r="U156" i="72" s="1"/>
  <c r="AA128" i="64"/>
  <c r="Y156" i="64"/>
  <c r="Z156" i="64" s="1"/>
  <c r="AA156" i="64" s="1"/>
  <c r="AB156" i="64" s="1"/>
  <c r="AC156" i="64" s="1"/>
  <c r="T154" i="64"/>
  <c r="U154" i="64" s="1"/>
  <c r="D253" i="54"/>
  <c r="C254" i="54"/>
  <c r="AK39" i="3"/>
  <c r="AM39" i="3" s="1"/>
  <c r="AD39" i="3"/>
  <c r="AF39" i="3" s="1"/>
  <c r="S154" i="64"/>
  <c r="W153" i="64"/>
  <c r="X153" i="64" s="1"/>
  <c r="FW7" i="11"/>
  <c r="FV62" i="11"/>
  <c r="AK31" i="10"/>
  <c r="AK33" i="10" s="1"/>
  <c r="K13" i="87"/>
  <c r="K6" i="87"/>
  <c r="W158" i="64"/>
  <c r="G17" i="87"/>
  <c r="G18" i="87" s="1"/>
  <c r="AJ33" i="10"/>
  <c r="V152" i="64"/>
  <c r="N132" i="64"/>
  <c r="W26" i="64"/>
  <c r="W160" i="64"/>
  <c r="AA94" i="64"/>
  <c r="AB94" i="64" s="1"/>
  <c r="Z129" i="64"/>
  <c r="E17" i="64"/>
  <c r="E50" i="64"/>
  <c r="S155" i="64"/>
  <c r="G140" i="64"/>
  <c r="AA9" i="9"/>
  <c r="AC47" i="10"/>
  <c r="AC50" i="10" s="1"/>
  <c r="W159" i="64"/>
  <c r="I145" i="64"/>
  <c r="J145" i="64" s="1"/>
  <c r="M50" i="64"/>
  <c r="M17" i="64"/>
  <c r="K143" i="64"/>
  <c r="M149" i="64"/>
  <c r="N149" i="64" s="1"/>
  <c r="K144" i="64"/>
  <c r="L144" i="64" s="1"/>
  <c r="Z54" i="9"/>
  <c r="Z59" i="9" s="1"/>
  <c r="AB11" i="7"/>
  <c r="AB35" i="7" s="1"/>
  <c r="AB59" i="7" s="1"/>
  <c r="Z15" i="9"/>
  <c r="Z22" i="9" s="1"/>
  <c r="Z48" i="9" s="1"/>
  <c r="I130" i="64"/>
  <c r="I132" i="64" s="1"/>
  <c r="I96" i="64"/>
  <c r="J130" i="64" s="1"/>
  <c r="J129" i="64"/>
  <c r="R48" i="64"/>
  <c r="S48" i="64"/>
  <c r="J13" i="87"/>
  <c r="J15" i="87" s="1"/>
  <c r="J18" i="87" s="1"/>
  <c r="X17" i="64"/>
  <c r="X50" i="64"/>
  <c r="W157" i="64"/>
  <c r="M148" i="64"/>
  <c r="W51" i="64"/>
  <c r="W47" i="64"/>
  <c r="W48" i="64" s="1"/>
  <c r="D26" i="64"/>
  <c r="D24" i="64" s="1"/>
  <c r="D141" i="64"/>
  <c r="Y130" i="64"/>
  <c r="Y132" i="64" s="1"/>
  <c r="Z95" i="64"/>
  <c r="T181" i="72"/>
  <c r="T115" i="72"/>
  <c r="AC86" i="9" l="1"/>
  <c r="AC91" i="9" s="1"/>
  <c r="AB92" i="9"/>
  <c r="L143" i="64"/>
  <c r="AB128" i="64"/>
  <c r="AC128" i="64"/>
  <c r="AC94" i="64"/>
  <c r="V154" i="64"/>
  <c r="W154" i="64" s="1"/>
  <c r="X154" i="64" s="1"/>
  <c r="Y154" i="64" s="1"/>
  <c r="Z154" i="64" s="1"/>
  <c r="AA154" i="64" s="1"/>
  <c r="AB154" i="64" s="1"/>
  <c r="J132" i="64"/>
  <c r="J50" i="64" s="1"/>
  <c r="O149" i="64"/>
  <c r="P149" i="64" s="1"/>
  <c r="Q149" i="64" s="1"/>
  <c r="R149" i="64" s="1"/>
  <c r="Y153" i="64"/>
  <c r="Z40" i="3"/>
  <c r="C255" i="54"/>
  <c r="D254" i="54"/>
  <c r="M143" i="64"/>
  <c r="N143" i="64" s="1"/>
  <c r="FX7" i="11"/>
  <c r="FW62" i="11"/>
  <c r="X158" i="64"/>
  <c r="Y50" i="64"/>
  <c r="Y17" i="64"/>
  <c r="E141" i="64"/>
  <c r="D171" i="64"/>
  <c r="D18" i="64" s="1"/>
  <c r="M144" i="64"/>
  <c r="N144" i="64" s="1"/>
  <c r="M47" i="64"/>
  <c r="M48" i="64" s="1"/>
  <c r="M51" i="64"/>
  <c r="W152" i="64"/>
  <c r="X152" i="64" s="1"/>
  <c r="Y152" i="64" s="1"/>
  <c r="H140" i="64"/>
  <c r="AA129" i="64"/>
  <c r="X26" i="64"/>
  <c r="X160" i="64"/>
  <c r="D10" i="64"/>
  <c r="D27" i="64"/>
  <c r="D37" i="64" s="1"/>
  <c r="X157" i="64"/>
  <c r="X159" i="64"/>
  <c r="AB9" i="9"/>
  <c r="AD47" i="10"/>
  <c r="AD50" i="10" s="1"/>
  <c r="AE47" i="10" s="1"/>
  <c r="T155" i="64"/>
  <c r="N17" i="64"/>
  <c r="N50" i="64"/>
  <c r="Z130" i="64"/>
  <c r="Z132" i="64" s="1"/>
  <c r="AA95" i="64"/>
  <c r="AB129" i="64" s="1"/>
  <c r="N148" i="64"/>
  <c r="X47" i="64"/>
  <c r="X48" i="64" s="1"/>
  <c r="X51" i="64"/>
  <c r="I50" i="64"/>
  <c r="I17" i="64"/>
  <c r="K145" i="64"/>
  <c r="AD11" i="7"/>
  <c r="AD35" i="7" s="1"/>
  <c r="AD59" i="7" s="1"/>
  <c r="AA15" i="9"/>
  <c r="AA22" i="9" s="1"/>
  <c r="AA48" i="9" s="1"/>
  <c r="AA54" i="9"/>
  <c r="AA59" i="9" s="1"/>
  <c r="E47" i="64"/>
  <c r="E51" i="64"/>
  <c r="F51" i="64"/>
  <c r="M26" i="64"/>
  <c r="M150" i="64"/>
  <c r="E26" i="64"/>
  <c r="E142" i="64"/>
  <c r="AD86" i="9" l="1"/>
  <c r="AC92" i="9"/>
  <c r="AC154" i="64"/>
  <c r="AA130" i="64"/>
  <c r="AB95" i="64"/>
  <c r="AC129" i="64" s="1"/>
  <c r="O143" i="64"/>
  <c r="P143" i="64"/>
  <c r="J17" i="64"/>
  <c r="D255" i="54"/>
  <c r="C256" i="54"/>
  <c r="CA76" i="11"/>
  <c r="AB40" i="8"/>
  <c r="AD40" i="8" s="1"/>
  <c r="AF40" i="8" s="1"/>
  <c r="AB40" i="3"/>
  <c r="Z153" i="64"/>
  <c r="AA153" i="64" s="1"/>
  <c r="AB153" i="64" s="1"/>
  <c r="AC153" i="64" s="1"/>
  <c r="FX62" i="11"/>
  <c r="FY7" i="11"/>
  <c r="FY62" i="11" s="1"/>
  <c r="AA132" i="64"/>
  <c r="AA17" i="64" s="1"/>
  <c r="Y158" i="64"/>
  <c r="Z158" i="64" s="1"/>
  <c r="S149" i="64"/>
  <c r="N150" i="64"/>
  <c r="N51" i="64"/>
  <c r="N47" i="64"/>
  <c r="O51" i="64"/>
  <c r="AB15" i="9"/>
  <c r="AB22" i="9" s="1"/>
  <c r="AB48" i="9" s="1"/>
  <c r="AB54" i="9"/>
  <c r="AB59" i="9" s="1"/>
  <c r="J51" i="64"/>
  <c r="J47" i="64"/>
  <c r="K51" i="64"/>
  <c r="T149" i="64"/>
  <c r="U149" i="64" s="1"/>
  <c r="V149" i="64" s="1"/>
  <c r="Y157" i="64"/>
  <c r="Z157" i="64" s="1"/>
  <c r="AA157" i="64" s="1"/>
  <c r="AB157" i="64" s="1"/>
  <c r="AC157" i="64" s="1"/>
  <c r="F142" i="64"/>
  <c r="Y159" i="64"/>
  <c r="I26" i="64"/>
  <c r="I146" i="64"/>
  <c r="N26" i="64"/>
  <c r="N151" i="64"/>
  <c r="J26" i="64"/>
  <c r="J147" i="64"/>
  <c r="E23" i="64"/>
  <c r="I140" i="64"/>
  <c r="O144" i="64"/>
  <c r="P144" i="64" s="1"/>
  <c r="D7" i="64"/>
  <c r="D19" i="64"/>
  <c r="F141" i="64"/>
  <c r="L145" i="64"/>
  <c r="Q144" i="64"/>
  <c r="I47" i="64"/>
  <c r="I48" i="64" s="1"/>
  <c r="I51" i="64"/>
  <c r="O148" i="64"/>
  <c r="Z17" i="64"/>
  <c r="Z50" i="64"/>
  <c r="Z152" i="64"/>
  <c r="AA152" i="64" s="1"/>
  <c r="AB152" i="64" s="1"/>
  <c r="AC152" i="64" s="1"/>
  <c r="D13" i="64"/>
  <c r="M145" i="64"/>
  <c r="Q143" i="64"/>
  <c r="Y26" i="64"/>
  <c r="Y160" i="64"/>
  <c r="U155" i="64"/>
  <c r="E48" i="64"/>
  <c r="F48" i="64"/>
  <c r="E171" i="64"/>
  <c r="E18" i="64" s="1"/>
  <c r="E7" i="64" s="1"/>
  <c r="Y47" i="64"/>
  <c r="Y48" i="64" s="1"/>
  <c r="Y51" i="64"/>
  <c r="Z159" i="64" l="1"/>
  <c r="AA159" i="64" s="1"/>
  <c r="AB159" i="64" s="1"/>
  <c r="AC159" i="64" s="1"/>
  <c r="AB130" i="64"/>
  <c r="AB132" i="64" s="1"/>
  <c r="AC95" i="64"/>
  <c r="AC130" i="64" s="1"/>
  <c r="AC132" i="64" s="1"/>
  <c r="AK40" i="3"/>
  <c r="AM40" i="3" s="1"/>
  <c r="AD40" i="3"/>
  <c r="AF40" i="3" s="1"/>
  <c r="C257" i="54"/>
  <c r="D256" i="54"/>
  <c r="AA50" i="64"/>
  <c r="AA47" i="64" s="1"/>
  <c r="AA158" i="64"/>
  <c r="AB158" i="64" s="1"/>
  <c r="AC158" i="64" s="1"/>
  <c r="W149" i="64"/>
  <c r="X149" i="64" s="1"/>
  <c r="Z51" i="64"/>
  <c r="Z47" i="64"/>
  <c r="Z48" i="64" s="1"/>
  <c r="R144" i="64"/>
  <c r="S144" i="64" s="1"/>
  <c r="G142" i="64"/>
  <c r="H142" i="64" s="1"/>
  <c r="V155" i="64"/>
  <c r="E8" i="64"/>
  <c r="P148" i="64"/>
  <c r="Z26" i="64"/>
  <c r="Z160" i="64"/>
  <c r="F171" i="64"/>
  <c r="F18" i="64" s="1"/>
  <c r="F7" i="64" s="1"/>
  <c r="K147" i="64"/>
  <c r="O150" i="64"/>
  <c r="P150" i="64" s="1"/>
  <c r="D29" i="64"/>
  <c r="E16" i="64"/>
  <c r="E19" i="64" s="1"/>
  <c r="D31" i="64"/>
  <c r="D32" i="64" s="1"/>
  <c r="J140" i="64"/>
  <c r="AA26" i="64"/>
  <c r="AA160" i="64"/>
  <c r="W155" i="64"/>
  <c r="X155" i="64" s="1"/>
  <c r="Y155" i="64" s="1"/>
  <c r="Z155" i="64" s="1"/>
  <c r="G141" i="64"/>
  <c r="J48" i="64"/>
  <c r="K48" i="64"/>
  <c r="N48" i="64"/>
  <c r="O48" i="64"/>
  <c r="R143" i="64"/>
  <c r="S143" i="64" s="1"/>
  <c r="T143" i="64" s="1"/>
  <c r="D8" i="64"/>
  <c r="D11" i="64" s="1"/>
  <c r="T144" i="64"/>
  <c r="U144" i="64" s="1"/>
  <c r="V144" i="64" s="1"/>
  <c r="W144" i="64" s="1"/>
  <c r="X144" i="64" s="1"/>
  <c r="Y144" i="64" s="1"/>
  <c r="Z144" i="64" s="1"/>
  <c r="AA144" i="64" s="1"/>
  <c r="AB144" i="64" s="1"/>
  <c r="AC144" i="64" s="1"/>
  <c r="E24" i="64"/>
  <c r="E10" i="64" s="1"/>
  <c r="O151" i="64"/>
  <c r="J146" i="64"/>
  <c r="K146" i="64" s="1"/>
  <c r="N145" i="64"/>
  <c r="O145" i="64" s="1"/>
  <c r="AC17" i="64" l="1"/>
  <c r="AC50" i="64"/>
  <c r="AB17" i="64"/>
  <c r="AB50" i="64"/>
  <c r="L146" i="64"/>
  <c r="M146" i="64" s="1"/>
  <c r="D257" i="54"/>
  <c r="C258" i="54"/>
  <c r="Z41" i="3"/>
  <c r="E27" i="64"/>
  <c r="E37" i="64" s="1"/>
  <c r="I142" i="64"/>
  <c r="J142" i="64" s="1"/>
  <c r="AA51" i="64"/>
  <c r="AA48" i="64"/>
  <c r="L147" i="64"/>
  <c r="M147" i="64" s="1"/>
  <c r="E11" i="64"/>
  <c r="E13" i="64"/>
  <c r="F16" i="64"/>
  <c r="F19" i="64" s="1"/>
  <c r="E31" i="64"/>
  <c r="E32" i="64" s="1"/>
  <c r="E29" i="64"/>
  <c r="Q150" i="64"/>
  <c r="Y149" i="64"/>
  <c r="Z149" i="64" s="1"/>
  <c r="AA149" i="64" s="1"/>
  <c r="AB149" i="64" s="1"/>
  <c r="AC149" i="64" s="1"/>
  <c r="Q148" i="64"/>
  <c r="P151" i="64"/>
  <c r="U143" i="64"/>
  <c r="V143" i="64" s="1"/>
  <c r="W143" i="64" s="1"/>
  <c r="X143" i="64" s="1"/>
  <c r="Y143" i="64" s="1"/>
  <c r="Z143" i="64" s="1"/>
  <c r="AA143" i="64" s="1"/>
  <c r="AB143" i="64" s="1"/>
  <c r="AC143" i="64" s="1"/>
  <c r="G171" i="64"/>
  <c r="G18" i="64" s="1"/>
  <c r="G7" i="64" s="1"/>
  <c r="H141" i="64"/>
  <c r="I141" i="64" s="1"/>
  <c r="F8" i="64"/>
  <c r="P145" i="64"/>
  <c r="K140" i="64"/>
  <c r="AA155" i="64"/>
  <c r="AB155" i="64" s="1"/>
  <c r="AC155" i="64" s="1"/>
  <c r="I171" i="64" l="1"/>
  <c r="I18" i="64" s="1"/>
  <c r="I7" i="64" s="1"/>
  <c r="N147" i="64"/>
  <c r="K142" i="64"/>
  <c r="AB47" i="64"/>
  <c r="AB48" i="64" s="1"/>
  <c r="AB51" i="64"/>
  <c r="AB26" i="64"/>
  <c r="AB160" i="64"/>
  <c r="AC51" i="64"/>
  <c r="AC47" i="64"/>
  <c r="AC26" i="64"/>
  <c r="AC160" i="64"/>
  <c r="C259" i="54"/>
  <c r="D258" i="54"/>
  <c r="J141" i="64"/>
  <c r="J171" i="64" s="1"/>
  <c r="J18" i="64" s="1"/>
  <c r="J7" i="64" s="1"/>
  <c r="F23" i="64"/>
  <c r="N146" i="64"/>
  <c r="O146" i="64" s="1"/>
  <c r="AB41" i="8"/>
  <c r="AD41" i="8" s="1"/>
  <c r="AF41" i="8" s="1"/>
  <c r="CB76" i="11"/>
  <c r="AB41" i="3"/>
  <c r="J8" i="64"/>
  <c r="L140" i="64"/>
  <c r="G8" i="64"/>
  <c r="Q145" i="64"/>
  <c r="Q151" i="64"/>
  <c r="L142" i="64"/>
  <c r="G16" i="64"/>
  <c r="G19" i="64" s="1"/>
  <c r="M142" i="64"/>
  <c r="I8" i="64"/>
  <c r="H171" i="64"/>
  <c r="H18" i="64" s="1"/>
  <c r="H7" i="64" s="1"/>
  <c r="K141" i="64"/>
  <c r="O147" i="64"/>
  <c r="R150" i="64"/>
  <c r="F24" i="64"/>
  <c r="F10" i="64" s="1"/>
  <c r="F11" i="64" s="1"/>
  <c r="R148" i="64"/>
  <c r="F27" i="64" l="1"/>
  <c r="F29" i="64" s="1"/>
  <c r="AC48" i="64"/>
  <c r="P146" i="64"/>
  <c r="Q146" i="64" s="1"/>
  <c r="AK41" i="3"/>
  <c r="AM41" i="3" s="1"/>
  <c r="AD41" i="3"/>
  <c r="AF41" i="3" s="1"/>
  <c r="C260" i="54"/>
  <c r="D259" i="54"/>
  <c r="R151" i="64"/>
  <c r="S151" i="64" s="1"/>
  <c r="M140" i="64"/>
  <c r="N142" i="64"/>
  <c r="O142" i="64" s="1"/>
  <c r="G23" i="64"/>
  <c r="F31" i="64"/>
  <c r="F32" i="64" s="1"/>
  <c r="K171" i="64"/>
  <c r="K18" i="64" s="1"/>
  <c r="K7" i="64" s="1"/>
  <c r="F37" i="64"/>
  <c r="S148" i="64"/>
  <c r="T148" i="64" s="1"/>
  <c r="U148" i="64" s="1"/>
  <c r="V148" i="64" s="1"/>
  <c r="W148" i="64" s="1"/>
  <c r="X148" i="64" s="1"/>
  <c r="Y148" i="64" s="1"/>
  <c r="Z148" i="64" s="1"/>
  <c r="AA148" i="64" s="1"/>
  <c r="AB148" i="64" s="1"/>
  <c r="AC148" i="64" s="1"/>
  <c r="P147" i="64"/>
  <c r="F13" i="64"/>
  <c r="H16" i="64"/>
  <c r="H19" i="64" s="1"/>
  <c r="L141" i="64"/>
  <c r="M141" i="64" s="1"/>
  <c r="N141" i="64" s="1"/>
  <c r="H8" i="64"/>
  <c r="S150" i="64"/>
  <c r="R145" i="64"/>
  <c r="S145" i="64" s="1"/>
  <c r="T145" i="64" s="1"/>
  <c r="U145" i="64" s="1"/>
  <c r="V145" i="64" s="1"/>
  <c r="W145" i="64" s="1"/>
  <c r="X145" i="64" s="1"/>
  <c r="Y145" i="64" s="1"/>
  <c r="Z145" i="64" s="1"/>
  <c r="AA145" i="64" s="1"/>
  <c r="AB145" i="64" s="1"/>
  <c r="AC145" i="64" s="1"/>
  <c r="O141" i="64" l="1"/>
  <c r="P141" i="64" s="1"/>
  <c r="Q141" i="64" s="1"/>
  <c r="R141" i="64" s="1"/>
  <c r="P142" i="64"/>
  <c r="Q142" i="64" s="1"/>
  <c r="R142" i="64" s="1"/>
  <c r="S142" i="64" s="1"/>
  <c r="R146" i="64"/>
  <c r="S146" i="64" s="1"/>
  <c r="T146" i="64" s="1"/>
  <c r="T150" i="64"/>
  <c r="U150" i="64" s="1"/>
  <c r="C261" i="54"/>
  <c r="D260" i="54"/>
  <c r="Z42" i="3"/>
  <c r="I16" i="64"/>
  <c r="I19" i="64" s="1"/>
  <c r="K8" i="64"/>
  <c r="Q147" i="64"/>
  <c r="G24" i="64"/>
  <c r="G10" i="64" s="1"/>
  <c r="L171" i="64"/>
  <c r="L18" i="64" s="1"/>
  <c r="L7" i="64" s="1"/>
  <c r="T142" i="64"/>
  <c r="U142" i="64" s="1"/>
  <c r="V142" i="64" s="1"/>
  <c r="W142" i="64" s="1"/>
  <c r="X142" i="64" s="1"/>
  <c r="Y142" i="64" s="1"/>
  <c r="Z142" i="64" s="1"/>
  <c r="AA142" i="64" s="1"/>
  <c r="AB142" i="64" s="1"/>
  <c r="AC142" i="64" s="1"/>
  <c r="S141" i="64"/>
  <c r="T141" i="64" s="1"/>
  <c r="U141" i="64" s="1"/>
  <c r="V141" i="64" s="1"/>
  <c r="W141" i="64" s="1"/>
  <c r="X141" i="64" s="1"/>
  <c r="Y141" i="64" s="1"/>
  <c r="Z141" i="64" s="1"/>
  <c r="AA141" i="64" s="1"/>
  <c r="AB141" i="64" s="1"/>
  <c r="AC141" i="64" s="1"/>
  <c r="N140" i="64"/>
  <c r="M171" i="64"/>
  <c r="M18" i="64" s="1"/>
  <c r="M7" i="64" s="1"/>
  <c r="T151" i="64"/>
  <c r="U151" i="64" s="1"/>
  <c r="V151" i="64" s="1"/>
  <c r="G27" i="64" l="1"/>
  <c r="CC76" i="11"/>
  <c r="AB42" i="8"/>
  <c r="AD42" i="8" s="1"/>
  <c r="AF42" i="8" s="1"/>
  <c r="AB42" i="3"/>
  <c r="U146" i="64"/>
  <c r="V146" i="64" s="1"/>
  <c r="W146" i="64" s="1"/>
  <c r="X146" i="64" s="1"/>
  <c r="Y146" i="64" s="1"/>
  <c r="Z146" i="64" s="1"/>
  <c r="AA146" i="64" s="1"/>
  <c r="AB146" i="64" s="1"/>
  <c r="AC146" i="64" s="1"/>
  <c r="D261" i="54"/>
  <c r="C262" i="54"/>
  <c r="V150" i="64"/>
  <c r="W150" i="64" s="1"/>
  <c r="X150" i="64" s="1"/>
  <c r="Y150" i="64" s="1"/>
  <c r="Z150" i="64" s="1"/>
  <c r="AA150" i="64" s="1"/>
  <c r="AB150" i="64" s="1"/>
  <c r="AC150" i="64" s="1"/>
  <c r="W151" i="64"/>
  <c r="X151" i="64" s="1"/>
  <c r="M8" i="64"/>
  <c r="O140" i="64"/>
  <c r="N171" i="64"/>
  <c r="N18" i="64" s="1"/>
  <c r="N7" i="64" s="1"/>
  <c r="H23" i="64"/>
  <c r="G29" i="64"/>
  <c r="G31" i="64"/>
  <c r="G32" i="64" s="1"/>
  <c r="R147" i="64"/>
  <c r="S147" i="64" s="1"/>
  <c r="G13" i="64"/>
  <c r="G11" i="64"/>
  <c r="G37" i="64"/>
  <c r="J16" i="64"/>
  <c r="J19" i="64" s="1"/>
  <c r="L8" i="64"/>
  <c r="AD42" i="3" l="1"/>
  <c r="AF42" i="3" s="1"/>
  <c r="AK42" i="3"/>
  <c r="AM42" i="3" s="1"/>
  <c r="AB43" i="3"/>
  <c r="T147" i="64"/>
  <c r="U147" i="64" s="1"/>
  <c r="C265" i="54"/>
  <c r="D262" i="54"/>
  <c r="D276" i="54"/>
  <c r="K16" i="64"/>
  <c r="K19" i="64" s="1"/>
  <c r="N8" i="64"/>
  <c r="P140" i="64"/>
  <c r="O171" i="64"/>
  <c r="O18" i="64" s="1"/>
  <c r="O7" i="64" s="1"/>
  <c r="Y151" i="64"/>
  <c r="Z151" i="64" s="1"/>
  <c r="AA151" i="64" s="1"/>
  <c r="AB151" i="64" s="1"/>
  <c r="AC151" i="64" s="1"/>
  <c r="H24" i="64"/>
  <c r="H10" i="64" s="1"/>
  <c r="V147" i="64" l="1"/>
  <c r="W147" i="64" s="1"/>
  <c r="X147" i="64" s="1"/>
  <c r="Y147" i="64" s="1"/>
  <c r="Z147" i="64" s="1"/>
  <c r="C266" i="54"/>
  <c r="Z46" i="3"/>
  <c r="D265" i="54"/>
  <c r="D279" i="54"/>
  <c r="AK43" i="3"/>
  <c r="AM43" i="3" s="1"/>
  <c r="AD43" i="3"/>
  <c r="AF43" i="3" s="1"/>
  <c r="H13" i="64"/>
  <c r="H11" i="64"/>
  <c r="O8" i="64"/>
  <c r="H27" i="64"/>
  <c r="Q140" i="64"/>
  <c r="P171" i="64"/>
  <c r="P18" i="64" s="1"/>
  <c r="P7" i="64" s="1"/>
  <c r="L16" i="64"/>
  <c r="L19" i="64" s="1"/>
  <c r="CE76" i="11" l="1"/>
  <c r="AB46" i="8"/>
  <c r="AD46" i="8" s="1"/>
  <c r="AB46" i="3"/>
  <c r="C267" i="54"/>
  <c r="D280" i="54"/>
  <c r="D266" i="54"/>
  <c r="AA147" i="64"/>
  <c r="AB147" i="64" s="1"/>
  <c r="AC147" i="64" s="1"/>
  <c r="R140" i="64"/>
  <c r="Q171" i="64"/>
  <c r="Q18" i="64" s="1"/>
  <c r="Q7" i="64" s="1"/>
  <c r="I23" i="64"/>
  <c r="H31" i="64"/>
  <c r="H32" i="64" s="1"/>
  <c r="H29" i="64"/>
  <c r="H37" i="64"/>
  <c r="M16" i="64"/>
  <c r="M19" i="64" s="1"/>
  <c r="P8" i="64"/>
  <c r="AD46" i="3" l="1"/>
  <c r="AF46" i="3" s="1"/>
  <c r="AK46" i="3"/>
  <c r="AM46" i="3" s="1"/>
  <c r="AF46" i="8"/>
  <c r="AF53" i="8"/>
  <c r="C268" i="54"/>
  <c r="D281" i="54"/>
  <c r="D267" i="54"/>
  <c r="Q8" i="64"/>
  <c r="N16" i="64"/>
  <c r="N19" i="64" s="1"/>
  <c r="S140" i="64"/>
  <c r="R171" i="64"/>
  <c r="R18" i="64" s="1"/>
  <c r="R7" i="64" s="1"/>
  <c r="I24" i="64"/>
  <c r="I10" i="64" s="1"/>
  <c r="Z47" i="3" l="1"/>
  <c r="D282" i="54"/>
  <c r="D268" i="54"/>
  <c r="C269" i="54"/>
  <c r="R8" i="64"/>
  <c r="I27" i="64"/>
  <c r="T140" i="64"/>
  <c r="S171" i="64"/>
  <c r="S18" i="64" s="1"/>
  <c r="S7" i="64" s="1"/>
  <c r="I13" i="64"/>
  <c r="I11" i="64"/>
  <c r="I37" i="64"/>
  <c r="O16" i="64"/>
  <c r="O19" i="64" s="1"/>
  <c r="C270" i="54" l="1"/>
  <c r="D269" i="54"/>
  <c r="D283" i="54"/>
  <c r="AB47" i="8"/>
  <c r="AD47" i="8" s="1"/>
  <c r="CF76" i="11"/>
  <c r="AB47" i="3"/>
  <c r="U140" i="64"/>
  <c r="T171" i="64"/>
  <c r="T18" i="64" s="1"/>
  <c r="T7" i="64" s="1"/>
  <c r="J23" i="64"/>
  <c r="I29" i="64"/>
  <c r="I31" i="64"/>
  <c r="I32" i="64" s="1"/>
  <c r="P16" i="64"/>
  <c r="P19" i="64" s="1"/>
  <c r="S8" i="64"/>
  <c r="AF54" i="8" l="1"/>
  <c r="AF47" i="8"/>
  <c r="AD47" i="3"/>
  <c r="AF47" i="3" s="1"/>
  <c r="AK47" i="3"/>
  <c r="AM47" i="3" s="1"/>
  <c r="D284" i="54"/>
  <c r="C271" i="54"/>
  <c r="D270" i="54"/>
  <c r="Q16" i="64"/>
  <c r="Q19" i="64" s="1"/>
  <c r="J24" i="64"/>
  <c r="J27" i="64" s="1"/>
  <c r="T8" i="64"/>
  <c r="V140" i="64"/>
  <c r="U171" i="64"/>
  <c r="U18" i="64" s="1"/>
  <c r="U7" i="64" s="1"/>
  <c r="C272" i="54" l="1"/>
  <c r="Z48" i="3"/>
  <c r="D285" i="54"/>
  <c r="D271" i="54"/>
  <c r="K23" i="64"/>
  <c r="J29" i="64"/>
  <c r="J31" i="64"/>
  <c r="J32" i="64" s="1"/>
  <c r="R16" i="64"/>
  <c r="R19" i="64" s="1"/>
  <c r="U8" i="64"/>
  <c r="W140" i="64"/>
  <c r="V171" i="64"/>
  <c r="V18" i="64" s="1"/>
  <c r="V7" i="64" s="1"/>
  <c r="J10" i="64"/>
  <c r="J37" i="64"/>
  <c r="CG76" i="11" l="1"/>
  <c r="AB48" i="8"/>
  <c r="AD48" i="8" s="1"/>
  <c r="AB48" i="3"/>
  <c r="D286" i="54"/>
  <c r="D272" i="54"/>
  <c r="C273" i="54"/>
  <c r="V8" i="64"/>
  <c r="S16" i="64"/>
  <c r="S19" i="64" s="1"/>
  <c r="W171" i="64"/>
  <c r="W18" i="64" s="1"/>
  <c r="W7" i="64" s="1"/>
  <c r="X140" i="64"/>
  <c r="J13" i="64"/>
  <c r="J11" i="64"/>
  <c r="K24" i="64"/>
  <c r="K10" i="64" s="1"/>
  <c r="AK48" i="3" l="1"/>
  <c r="AM48" i="3" s="1"/>
  <c r="AD48" i="3"/>
  <c r="AF48" i="3" s="1"/>
  <c r="C274" i="54"/>
  <c r="D273" i="54"/>
  <c r="D287" i="54"/>
  <c r="AF55" i="8"/>
  <c r="AF48" i="8"/>
  <c r="K13" i="64"/>
  <c r="K11" i="64"/>
  <c r="Y140" i="64"/>
  <c r="X171" i="64"/>
  <c r="X18" i="64" s="1"/>
  <c r="X7" i="64" s="1"/>
  <c r="W8" i="64"/>
  <c r="T16" i="64"/>
  <c r="T19" i="64" s="1"/>
  <c r="K27" i="64"/>
  <c r="C275" i="54" l="1"/>
  <c r="D288" i="54"/>
  <c r="Z49" i="3"/>
  <c r="D274" i="54"/>
  <c r="L23" i="64"/>
  <c r="K29" i="64"/>
  <c r="K31" i="64"/>
  <c r="K32" i="64" s="1"/>
  <c r="Z140" i="64"/>
  <c r="Y171" i="64"/>
  <c r="Y18" i="64" s="1"/>
  <c r="Y7" i="64" s="1"/>
  <c r="U16" i="64"/>
  <c r="U19" i="64" s="1"/>
  <c r="K37" i="64"/>
  <c r="X8" i="64"/>
  <c r="AB49" i="8" l="1"/>
  <c r="AD49" i="8" s="1"/>
  <c r="CH76" i="11"/>
  <c r="AB49" i="3"/>
  <c r="D289" i="54"/>
  <c r="D275" i="54"/>
  <c r="Y8" i="64"/>
  <c r="AA140" i="64"/>
  <c r="Z171" i="64"/>
  <c r="Z18" i="64" s="1"/>
  <c r="Z7" i="64" s="1"/>
  <c r="V16" i="64"/>
  <c r="V19" i="64" s="1"/>
  <c r="L24" i="64"/>
  <c r="L10" i="64" s="1"/>
  <c r="AA171" i="64" l="1"/>
  <c r="AA18" i="64" s="1"/>
  <c r="AA7" i="64" s="1"/>
  <c r="AA8" i="64" s="1"/>
  <c r="AB140" i="64"/>
  <c r="AD49" i="3"/>
  <c r="AF49" i="3" s="1"/>
  <c r="AK49" i="3"/>
  <c r="AM49" i="3" s="1"/>
  <c r="AB50" i="3"/>
  <c r="AF49" i="8"/>
  <c r="AF56" i="8"/>
  <c r="W16" i="64"/>
  <c r="W19" i="64" s="1"/>
  <c r="L27" i="64"/>
  <c r="Z8" i="64"/>
  <c r="L13" i="64"/>
  <c r="L11" i="64"/>
  <c r="AC140" i="64" l="1"/>
  <c r="AC171" i="64" s="1"/>
  <c r="AC18" i="64" s="1"/>
  <c r="AC7" i="64" s="1"/>
  <c r="AC8" i="64" s="1"/>
  <c r="AB171" i="64"/>
  <c r="AB18" i="64" s="1"/>
  <c r="AB7" i="64" s="1"/>
  <c r="AB8" i="64" s="1"/>
  <c r="AD50" i="3"/>
  <c r="AF50" i="3" s="1"/>
  <c r="AK50" i="3"/>
  <c r="AM50" i="3" s="1"/>
  <c r="M23" i="64"/>
  <c r="L29" i="64"/>
  <c r="L31" i="64"/>
  <c r="L32" i="64" s="1"/>
  <c r="X16" i="64"/>
  <c r="X19" i="64" s="1"/>
  <c r="L37" i="64"/>
  <c r="Y16" i="64" l="1"/>
  <c r="Y19" i="64" s="1"/>
  <c r="M24" i="64"/>
  <c r="M10" i="64" s="1"/>
  <c r="M27" i="64" l="1"/>
  <c r="M37" i="64" s="1"/>
  <c r="N23" i="64"/>
  <c r="M29" i="64"/>
  <c r="M31" i="64"/>
  <c r="M32" i="64" s="1"/>
  <c r="Z16" i="64"/>
  <c r="Z19" i="64" s="1"/>
  <c r="M13" i="64"/>
  <c r="M11" i="64"/>
  <c r="N24" i="64" l="1"/>
  <c r="N10" i="64" s="1"/>
  <c r="AA16" i="64"/>
  <c r="AA19" i="64" s="1"/>
  <c r="AB16" i="64" s="1"/>
  <c r="AB19" i="64" s="1"/>
  <c r="N27" i="64" l="1"/>
  <c r="N37" i="64" s="1"/>
  <c r="AC16" i="64"/>
  <c r="AC19" i="64" s="1"/>
  <c r="N29" i="64"/>
  <c r="N13" i="64"/>
  <c r="N11" i="64"/>
  <c r="N31" i="64" l="1"/>
  <c r="N32" i="64" s="1"/>
  <c r="O23" i="64"/>
  <c r="O24" i="64"/>
  <c r="O27" i="64" s="1"/>
  <c r="P23" i="64" l="1"/>
  <c r="O29" i="64"/>
  <c r="O31" i="64"/>
  <c r="O32" i="64" s="1"/>
  <c r="O10" i="64"/>
  <c r="O37" i="64"/>
  <c r="O13" i="64" l="1"/>
  <c r="O11" i="64"/>
  <c r="P24" i="64"/>
  <c r="P10" i="64" s="1"/>
  <c r="P27" i="64" l="1"/>
  <c r="P37" i="64" s="1"/>
  <c r="Q23" i="64"/>
  <c r="P29" i="64"/>
  <c r="P31" i="64"/>
  <c r="P32" i="64" s="1"/>
  <c r="P13" i="64"/>
  <c r="P11" i="64"/>
  <c r="Q24" i="64" l="1"/>
  <c r="Q10" i="64" s="1"/>
  <c r="Q13" i="64" l="1"/>
  <c r="Q11" i="64"/>
  <c r="Q27" i="64"/>
  <c r="R23" i="64" l="1"/>
  <c r="Q31" i="64"/>
  <c r="Q32" i="64" s="1"/>
  <c r="Q29" i="64"/>
  <c r="Q37" i="64"/>
  <c r="R24" i="64" l="1"/>
  <c r="R10" i="64" s="1"/>
  <c r="R27" i="64" l="1"/>
  <c r="S23" i="64" s="1"/>
  <c r="R29" i="64"/>
  <c r="R31" i="64"/>
  <c r="R32" i="64" s="1"/>
  <c r="R13" i="64"/>
  <c r="R11" i="64"/>
  <c r="R37" i="64"/>
  <c r="S24" i="64" l="1"/>
  <c r="S10" i="64" s="1"/>
  <c r="S27" i="64" l="1"/>
  <c r="S13" i="64"/>
  <c r="S11" i="64"/>
  <c r="S37" i="64"/>
  <c r="T23" i="64" l="1"/>
  <c r="S31" i="64"/>
  <c r="S32" i="64" s="1"/>
  <c r="S29" i="64"/>
  <c r="T24" i="64" l="1"/>
  <c r="T10" i="64" s="1"/>
  <c r="T13" i="64" l="1"/>
  <c r="T11" i="64"/>
  <c r="T27" i="64"/>
  <c r="U23" i="64" l="1"/>
  <c r="T29" i="64"/>
  <c r="T31" i="64"/>
  <c r="T32" i="64" s="1"/>
  <c r="T37" i="64"/>
  <c r="U24" i="64" l="1"/>
  <c r="U10" i="64" s="1"/>
  <c r="U13" i="64" l="1"/>
  <c r="U11" i="64"/>
  <c r="U27" i="64"/>
  <c r="U37" i="64"/>
  <c r="V23" i="64" l="1"/>
  <c r="U31" i="64"/>
  <c r="U32" i="64" s="1"/>
  <c r="U29" i="64"/>
  <c r="V24" i="64" l="1"/>
  <c r="V27" i="64" s="1"/>
  <c r="W23" i="64" l="1"/>
  <c r="V31" i="64"/>
  <c r="V32" i="64" s="1"/>
  <c r="V29" i="64"/>
  <c r="V10" i="64"/>
  <c r="V37" i="64"/>
  <c r="V13" i="64" l="1"/>
  <c r="V11" i="64"/>
  <c r="W24" i="64"/>
  <c r="W10" i="64" s="1"/>
  <c r="W27" i="64" l="1"/>
  <c r="W13" i="64"/>
  <c r="W11" i="64"/>
  <c r="X23" i="64" l="1"/>
  <c r="W29" i="64"/>
  <c r="W31" i="64"/>
  <c r="W32" i="64" s="1"/>
  <c r="W37" i="64"/>
  <c r="X24" i="64" l="1"/>
  <c r="X10" i="64" s="1"/>
  <c r="X13" i="64" l="1"/>
  <c r="X11" i="64"/>
  <c r="X27" i="64"/>
  <c r="X37" i="64" s="1"/>
  <c r="Y23" i="64" l="1"/>
  <c r="X31" i="64"/>
  <c r="X32" i="64" s="1"/>
  <c r="X29" i="64"/>
  <c r="Y24" i="64" l="1"/>
  <c r="Y10" i="64" l="1"/>
  <c r="Y27" i="64"/>
  <c r="Z23" i="64" l="1"/>
  <c r="Y29" i="64"/>
  <c r="Y31" i="64"/>
  <c r="Y32" i="64" s="1"/>
  <c r="Y37" i="64"/>
  <c r="Y13" i="64"/>
  <c r="Y11" i="64"/>
  <c r="Z24" i="64" l="1"/>
  <c r="Z10" i="64" s="1"/>
  <c r="Z27" i="64" l="1"/>
  <c r="Z37" i="64" s="1"/>
  <c r="Z13" i="64"/>
  <c r="Z11" i="64"/>
  <c r="AA23" i="64" l="1"/>
  <c r="Z29" i="64"/>
  <c r="Z31" i="64"/>
  <c r="Z32" i="64" s="1"/>
  <c r="AA24" i="64" l="1"/>
  <c r="AA27" i="64" s="1"/>
  <c r="AB23" i="64" s="1"/>
  <c r="AB24" i="64" l="1"/>
  <c r="AB10" i="64" s="1"/>
  <c r="AA29" i="64"/>
  <c r="AA31" i="64"/>
  <c r="AA32" i="64" s="1"/>
  <c r="AA10" i="64"/>
  <c r="AA37" i="64"/>
  <c r="AB13" i="64" l="1"/>
  <c r="AB11" i="64"/>
  <c r="AB27" i="64"/>
  <c r="AA13" i="64"/>
  <c r="AA11" i="64"/>
  <c r="AC23" i="64" l="1"/>
  <c r="AB31" i="64"/>
  <c r="AB32" i="64" s="1"/>
  <c r="AB29" i="64"/>
  <c r="AB37" i="64"/>
  <c r="AC24" i="64" l="1"/>
  <c r="AC10" i="64" s="1"/>
  <c r="AC27" i="64" l="1"/>
  <c r="AC37" i="64" s="1"/>
  <c r="AC13" i="64"/>
  <c r="AC11" i="64"/>
  <c r="AC31" i="64" l="1"/>
  <c r="AC32" i="64" s="1"/>
  <c r="AC29" i="64"/>
  <c r="AF124" i="3" l="1"/>
  <c r="D124" i="8"/>
  <c r="L124" i="8" l="1"/>
  <c r="L131" i="8"/>
  <c r="T124" i="3"/>
  <c r="R127" i="3"/>
  <c r="DN14" i="1" l="1"/>
  <c r="AH9" i="5" s="1"/>
  <c r="C134" i="3"/>
  <c r="G134" i="3" s="1"/>
  <c r="D127" i="8"/>
  <c r="AI127" i="3"/>
  <c r="AK127" i="3" s="1"/>
  <c r="C127" i="3"/>
  <c r="T127" i="3"/>
  <c r="V127" i="3" s="1"/>
  <c r="AI124" i="3"/>
  <c r="AK124" i="3" s="1"/>
  <c r="V124" i="3"/>
  <c r="AH27" i="4" l="1"/>
  <c r="AH29" i="4" s="1"/>
  <c r="AM124" i="3"/>
  <c r="AM131" i="3"/>
  <c r="AM127" i="3"/>
  <c r="AM134" i="3"/>
  <c r="O134" i="3"/>
  <c r="AF134" i="3"/>
  <c r="X127" i="3"/>
  <c r="X134" i="3"/>
  <c r="X124" i="3"/>
  <c r="X131" i="3"/>
  <c r="G127" i="3"/>
  <c r="O127" i="3" s="1"/>
  <c r="DT14" i="1"/>
  <c r="DU14" i="1"/>
  <c r="L127" i="8"/>
  <c r="L134" i="8"/>
  <c r="FT56" i="11" l="1"/>
  <c r="AH31" i="4"/>
  <c r="AF127" i="3"/>
  <c r="P171" i="72"/>
  <c r="P177" i="72"/>
  <c r="P172" i="72" l="1"/>
  <c r="P179" i="72"/>
  <c r="P178" i="72" s="1"/>
  <c r="P168" i="72" s="1"/>
  <c r="P127" i="72" s="1"/>
  <c r="P180" i="72"/>
  <c r="P181" i="72"/>
  <c r="P132" i="72" l="1"/>
  <c r="P173" i="72" s="1"/>
  <c r="Q127" i="72"/>
  <c r="Q45" i="72"/>
  <c r="X47" i="72"/>
  <c r="X48" i="72" s="1"/>
  <c r="X89" i="72" l="1"/>
  <c r="X90" i="72" s="1"/>
  <c r="X91" i="72" s="1"/>
  <c r="P107" i="72"/>
  <c r="R127" i="72"/>
  <c r="P66" i="72"/>
  <c r="R45" i="72"/>
  <c r="P106" i="72" l="1"/>
  <c r="P120" i="72" s="1"/>
  <c r="P103" i="72"/>
  <c r="P119" i="72" s="1"/>
  <c r="S127" i="72"/>
  <c r="S45" i="72"/>
  <c r="T127" i="72" l="1"/>
  <c r="U127" i="72" s="1"/>
  <c r="W103" i="72"/>
  <c r="T45" i="72"/>
  <c r="U45" i="72" s="1"/>
  <c r="AF56" i="58" l="1"/>
  <c r="AH56" i="58" s="1"/>
  <c r="AG52" i="58"/>
  <c r="AG56" i="58" l="1"/>
  <c r="AH21" i="58" l="1"/>
  <c r="AG62" i="58"/>
  <c r="AH62" i="58"/>
  <c r="FU38" i="11" l="1"/>
  <c r="FV38" i="11" s="1"/>
  <c r="FW38" i="11" s="1"/>
  <c r="AH43" i="10"/>
  <c r="AG89" i="9" s="1"/>
  <c r="FX36" i="11"/>
  <c r="FX38" i="11" l="1"/>
  <c r="FY36" i="11"/>
  <c r="U24" i="72" s="1"/>
  <c r="AH45" i="10"/>
  <c r="AJ43" i="10"/>
  <c r="T24" i="72"/>
  <c r="AK43" i="10"/>
  <c r="R24" i="72"/>
  <c r="S24" i="72"/>
  <c r="AI43" i="10"/>
  <c r="AI45" i="10" l="1"/>
  <c r="AH89" i="9"/>
  <c r="AJ45" i="10"/>
  <c r="AI89" i="9"/>
  <c r="AK45" i="10"/>
  <c r="AJ89" i="9"/>
  <c r="FY38" i="11"/>
  <c r="T147" i="72"/>
  <c r="T63" i="72"/>
  <c r="S147" i="72"/>
  <c r="S63" i="72"/>
  <c r="R147" i="72"/>
  <c r="R63" i="72"/>
  <c r="U147" i="72"/>
  <c r="U63" i="72"/>
  <c r="U146" i="72" l="1"/>
  <c r="U145" i="72" s="1"/>
  <c r="U104" i="72"/>
  <c r="R146" i="72"/>
  <c r="R145" i="72" s="1"/>
  <c r="R104" i="72"/>
  <c r="T104" i="72"/>
  <c r="T146" i="72"/>
  <c r="T145" i="72" s="1"/>
  <c r="S104" i="72"/>
  <c r="S146" i="72"/>
  <c r="S145" i="72" s="1"/>
  <c r="T148" i="72" l="1"/>
  <c r="S148" i="72"/>
  <c r="U148" i="72"/>
  <c r="R148" i="72"/>
  <c r="AG43" i="10" l="1"/>
  <c r="AF89" i="9" s="1"/>
  <c r="AG45" i="10" l="1"/>
  <c r="Q24" i="72"/>
  <c r="Q147" i="72" l="1"/>
  <c r="Q63" i="72"/>
  <c r="Q104" i="72" l="1"/>
  <c r="Q146" i="72"/>
  <c r="Q145" i="72" s="1"/>
  <c r="Q148" i="72" l="1"/>
  <c r="AH22" i="58" l="1"/>
  <c r="AF65" i="58"/>
  <c r="AF66" i="58" s="1"/>
  <c r="AG65" i="58" l="1"/>
  <c r="AH24" i="58"/>
  <c r="AH65" i="58"/>
  <c r="AH25" i="58"/>
  <c r="AG66" i="58"/>
  <c r="AH66" i="58"/>
  <c r="AF67" i="58"/>
  <c r="AG25" i="58"/>
  <c r="AH67" i="58" l="1"/>
  <c r="AG67" i="58"/>
  <c r="AG26" i="58"/>
  <c r="AH26" i="58"/>
  <c r="AF53" i="58"/>
  <c r="AJ53" i="58" s="1"/>
  <c r="AK53" i="58" l="1"/>
  <c r="AJ63" i="58"/>
  <c r="AJ57" i="58"/>
  <c r="AJ55" i="58"/>
  <c r="AF55" i="58"/>
  <c r="AF57" i="58"/>
  <c r="AH53" i="58"/>
  <c r="AG53" i="58"/>
  <c r="AL63" i="58" l="1"/>
  <c r="AK63" i="58"/>
  <c r="DP41" i="1"/>
  <c r="AL55" i="58"/>
  <c r="AK55" i="58"/>
  <c r="AN55" i="58"/>
  <c r="AJ65" i="58"/>
  <c r="AH57" i="58"/>
  <c r="AG57" i="58"/>
  <c r="AJ49" i="58"/>
  <c r="AH55" i="58"/>
  <c r="AG55" i="58"/>
  <c r="AF58" i="58"/>
  <c r="DP51" i="1" l="1"/>
  <c r="DP110" i="1" s="1"/>
  <c r="AL65" i="58"/>
  <c r="AK65" i="58"/>
  <c r="AI18" i="5"/>
  <c r="AI22" i="5" s="1"/>
  <c r="C6" i="87" s="1"/>
  <c r="AR55" i="58"/>
  <c r="AN65" i="58"/>
  <c r="DR41" i="1"/>
  <c r="DP43" i="1"/>
  <c r="DP53" i="1" s="1"/>
  <c r="DP112" i="1" s="1"/>
  <c r="DP45" i="1"/>
  <c r="EO16" i="11"/>
  <c r="EO17" i="11" s="1"/>
  <c r="EO24" i="11" s="1"/>
  <c r="DQ41" i="1"/>
  <c r="C7" i="87" l="1"/>
  <c r="DR61" i="1"/>
  <c r="AV55" i="58"/>
  <c r="AR65" i="58"/>
  <c r="DQ45" i="1"/>
  <c r="DP55" i="1"/>
  <c r="DR45" i="1"/>
  <c r="AL132" i="8"/>
  <c r="DR51" i="1"/>
  <c r="DQ51" i="1"/>
  <c r="AF64" i="9"/>
  <c r="AI19" i="5"/>
  <c r="AI20" i="5" s="1"/>
  <c r="AI21" i="5"/>
  <c r="Q11" i="72"/>
  <c r="FU16" i="11"/>
  <c r="FU17" i="11" s="1"/>
  <c r="DR43" i="1"/>
  <c r="DQ43" i="1"/>
  <c r="DT41" i="1"/>
  <c r="DU41" i="1"/>
  <c r="EO57" i="11"/>
  <c r="EO47" i="11"/>
  <c r="AP65" i="58"/>
  <c r="AJ18" i="5"/>
  <c r="AJ22" i="5" s="1"/>
  <c r="D6" i="87" s="1"/>
  <c r="Q30" i="72" l="1"/>
  <c r="Q13" i="72"/>
  <c r="DQ63" i="1"/>
  <c r="AI28" i="5"/>
  <c r="FU20" i="11" s="1"/>
  <c r="FU24" i="11" s="1"/>
  <c r="DR65" i="1"/>
  <c r="DR63" i="1"/>
  <c r="DQ71" i="1"/>
  <c r="DR71" i="1"/>
  <c r="DQ53" i="1"/>
  <c r="DR53" i="1"/>
  <c r="AL134" i="8"/>
  <c r="DQ55" i="1"/>
  <c r="DR55" i="1"/>
  <c r="AI35" i="4"/>
  <c r="AI36" i="4" s="1"/>
  <c r="AI23" i="5"/>
  <c r="EO48" i="11"/>
  <c r="EO42" i="11"/>
  <c r="EO58" i="11"/>
  <c r="FU57" i="11"/>
  <c r="FU47" i="11"/>
  <c r="Q37" i="72"/>
  <c r="AT65" i="58"/>
  <c r="AK18" i="5"/>
  <c r="AK22" i="5" s="1"/>
  <c r="E6" i="87" s="1"/>
  <c r="DQ110" i="1"/>
  <c r="DP120" i="1"/>
  <c r="DP130" i="1" s="1"/>
  <c r="EO28" i="11" s="1"/>
  <c r="DP114" i="1"/>
  <c r="DQ114" i="1" s="1"/>
  <c r="AG64" i="9"/>
  <c r="AJ21" i="5"/>
  <c r="AJ19" i="5"/>
  <c r="AJ20" i="5" s="1"/>
  <c r="R11" i="72"/>
  <c r="FV16" i="11"/>
  <c r="FV17" i="11" s="1"/>
  <c r="DT43" i="1"/>
  <c r="DU43" i="1"/>
  <c r="AV65" i="58"/>
  <c r="AZ55" i="58"/>
  <c r="AZ65" i="58" s="1"/>
  <c r="R30" i="72" l="1"/>
  <c r="R13" i="72"/>
  <c r="Q16" i="72"/>
  <c r="Q31" i="72"/>
  <c r="FV24" i="11"/>
  <c r="AJ28" i="5"/>
  <c r="FV20" i="11" s="1"/>
  <c r="AI36" i="5"/>
  <c r="AI37" i="5" s="1"/>
  <c r="DQ72" i="1"/>
  <c r="DR72" i="1"/>
  <c r="DR73" i="1"/>
  <c r="DQ73" i="1"/>
  <c r="AJ35" i="4"/>
  <c r="AJ36" i="4" s="1"/>
  <c r="AJ23" i="5"/>
  <c r="EO49" i="11"/>
  <c r="AX65" i="58"/>
  <c r="AL18" i="5"/>
  <c r="AL22" i="5" s="1"/>
  <c r="F6" i="87" s="1"/>
  <c r="R37" i="72"/>
  <c r="AK21" i="5"/>
  <c r="AK19" i="5"/>
  <c r="AK20" i="5" s="1"/>
  <c r="AH64" i="9"/>
  <c r="FW16" i="11"/>
  <c r="FW17" i="11" s="1"/>
  <c r="S11" i="72"/>
  <c r="FU42" i="11"/>
  <c r="FU58" i="11"/>
  <c r="FU48" i="11"/>
  <c r="DQ112" i="1"/>
  <c r="DP134" i="1"/>
  <c r="DP170" i="1"/>
  <c r="DP150" i="1"/>
  <c r="DP160" i="1"/>
  <c r="DQ130" i="1"/>
  <c r="DR130" i="1"/>
  <c r="EO60" i="11"/>
  <c r="EO52" i="11"/>
  <c r="Q26" i="72"/>
  <c r="Q40" i="72" s="1"/>
  <c r="Q38" i="72"/>
  <c r="BB65" i="58"/>
  <c r="AM18" i="5"/>
  <c r="AM22" i="5" s="1"/>
  <c r="G6" i="87" s="1"/>
  <c r="FV47" i="11"/>
  <c r="FV57" i="11"/>
  <c r="DP124" i="1"/>
  <c r="DQ124" i="1" s="1"/>
  <c r="EO26" i="11"/>
  <c r="EO50" i="11" s="1"/>
  <c r="DP122" i="1"/>
  <c r="DP132" i="1" s="1"/>
  <c r="Q159" i="72"/>
  <c r="Q110" i="72"/>
  <c r="Q69" i="72"/>
  <c r="D7" i="87"/>
  <c r="S30" i="72" l="1"/>
  <c r="S13" i="72"/>
  <c r="R31" i="72"/>
  <c r="R16" i="72"/>
  <c r="AK28" i="5"/>
  <c r="FW20" i="11" s="1"/>
  <c r="FW24" i="11" s="1"/>
  <c r="AJ36" i="5"/>
  <c r="DR132" i="1"/>
  <c r="DP172" i="1"/>
  <c r="DQ172" i="1" s="1"/>
  <c r="DP162" i="1"/>
  <c r="DQ162" i="1" s="1"/>
  <c r="DP152" i="1"/>
  <c r="DQ132" i="1"/>
  <c r="Q160" i="72"/>
  <c r="DQ134" i="1"/>
  <c r="DR134" i="1"/>
  <c r="FW57" i="11"/>
  <c r="FW47" i="11"/>
  <c r="R159" i="72"/>
  <c r="R69" i="72"/>
  <c r="R110" i="72"/>
  <c r="AJ37" i="5"/>
  <c r="DP164" i="1"/>
  <c r="DQ164" i="1" s="1"/>
  <c r="DQ160" i="1"/>
  <c r="FU49" i="11"/>
  <c r="DQ122" i="1"/>
  <c r="AI39" i="5"/>
  <c r="AI47" i="5" s="1"/>
  <c r="DR150" i="1"/>
  <c r="DP154" i="1"/>
  <c r="DQ150" i="1"/>
  <c r="FU52" i="11"/>
  <c r="FU60" i="11"/>
  <c r="S37" i="72"/>
  <c r="AI64" i="9"/>
  <c r="AL19" i="5"/>
  <c r="AL20" i="5" s="1"/>
  <c r="AL21" i="5"/>
  <c r="FX16" i="11"/>
  <c r="FX17" i="11" s="1"/>
  <c r="T11" i="72"/>
  <c r="Q158" i="72"/>
  <c r="Q157" i="72" s="1"/>
  <c r="Q132" i="72" s="1"/>
  <c r="Q50" i="72"/>
  <c r="FV58" i="11"/>
  <c r="FV49" i="11"/>
  <c r="FV48" i="11"/>
  <c r="FV42" i="11"/>
  <c r="AJ64" i="9"/>
  <c r="FY16" i="11"/>
  <c r="FY17" i="11" s="1"/>
  <c r="AM21" i="5"/>
  <c r="AM19" i="5"/>
  <c r="AQ18" i="5"/>
  <c r="U11" i="72"/>
  <c r="DQ170" i="1"/>
  <c r="DP174" i="1"/>
  <c r="DQ174" i="1" s="1"/>
  <c r="EO35" i="11"/>
  <c r="AK35" i="4"/>
  <c r="AK36" i="4" s="1"/>
  <c r="AK23" i="5"/>
  <c r="R38" i="72"/>
  <c r="R26" i="72"/>
  <c r="R40" i="72" s="1"/>
  <c r="E7" i="87"/>
  <c r="U30" i="72" l="1"/>
  <c r="U13" i="72"/>
  <c r="T30" i="72"/>
  <c r="T13" i="72"/>
  <c r="S16" i="72"/>
  <c r="S31" i="72"/>
  <c r="AL28" i="5"/>
  <c r="FX20" i="11" s="1"/>
  <c r="FX24" i="11" s="1"/>
  <c r="AK36" i="5"/>
  <c r="AK37" i="5" s="1"/>
  <c r="AM20" i="5"/>
  <c r="S26" i="72"/>
  <c r="S40" i="72" s="1"/>
  <c r="S38" i="72"/>
  <c r="AM35" i="4"/>
  <c r="AM23" i="5"/>
  <c r="Q173" i="72"/>
  <c r="EO34" i="11"/>
  <c r="EO59" i="11" s="1"/>
  <c r="EO32" i="11"/>
  <c r="EO51" i="11" s="1"/>
  <c r="R50" i="72"/>
  <c r="R158" i="72"/>
  <c r="R157" i="72" s="1"/>
  <c r="R132" i="72" s="1"/>
  <c r="FW48" i="11"/>
  <c r="FW42" i="11"/>
  <c r="FW58" i="11"/>
  <c r="FW49" i="11"/>
  <c r="DQ152" i="1"/>
  <c r="DR152" i="1"/>
  <c r="U37" i="72"/>
  <c r="FY47" i="11"/>
  <c r="FY57" i="11"/>
  <c r="T37" i="72"/>
  <c r="DQ154" i="1"/>
  <c r="DR154" i="1"/>
  <c r="F7" i="87"/>
  <c r="AL23" i="5"/>
  <c r="AL35" i="4"/>
  <c r="AL36" i="4" s="1"/>
  <c r="FV52" i="11"/>
  <c r="FV60" i="11"/>
  <c r="Q66" i="72"/>
  <c r="Q76" i="72"/>
  <c r="FX47" i="11"/>
  <c r="FX57" i="11"/>
  <c r="S159" i="72"/>
  <c r="S110" i="72"/>
  <c r="S69" i="72"/>
  <c r="AI40" i="5"/>
  <c r="C8" i="87" s="1"/>
  <c r="C9" i="87" s="1"/>
  <c r="C10" i="87" s="1"/>
  <c r="FU26" i="11"/>
  <c r="Q18" i="72"/>
  <c r="R160" i="72"/>
  <c r="C11" i="87" l="1"/>
  <c r="C21" i="87"/>
  <c r="C25" i="87" s="1"/>
  <c r="T31" i="72"/>
  <c r="T16" i="72"/>
  <c r="U31" i="72"/>
  <c r="U16" i="72"/>
  <c r="AM28" i="5"/>
  <c r="AL36" i="5"/>
  <c r="AL37" i="5" s="1"/>
  <c r="AJ40" i="5"/>
  <c r="AI42" i="5"/>
  <c r="FX48" i="11"/>
  <c r="FX58" i="11"/>
  <c r="FX49" i="11"/>
  <c r="FX42" i="11"/>
  <c r="G7" i="87"/>
  <c r="H7" i="87" s="1"/>
  <c r="FY48" i="11"/>
  <c r="FY42" i="11"/>
  <c r="FY58" i="11"/>
  <c r="R66" i="72"/>
  <c r="R76" i="72"/>
  <c r="S158" i="72"/>
  <c r="S157" i="72" s="1"/>
  <c r="S132" i="72" s="1"/>
  <c r="S50" i="72"/>
  <c r="T38" i="72"/>
  <c r="T26" i="72"/>
  <c r="T40" i="72" s="1"/>
  <c r="T159" i="72"/>
  <c r="T110" i="72"/>
  <c r="T69" i="72"/>
  <c r="U159" i="72"/>
  <c r="U69" i="72"/>
  <c r="U110" i="72"/>
  <c r="FW60" i="11"/>
  <c r="FW52" i="11"/>
  <c r="AM36" i="4"/>
  <c r="AQ35" i="4"/>
  <c r="AF65" i="9"/>
  <c r="AI48" i="5"/>
  <c r="FU32" i="11"/>
  <c r="AF88" i="9" s="1"/>
  <c r="AF90" i="9" s="1"/>
  <c r="AG8" i="10"/>
  <c r="Q32" i="72"/>
  <c r="Q21" i="72"/>
  <c r="Q23" i="72" s="1"/>
  <c r="S160" i="72"/>
  <c r="FU50" i="11"/>
  <c r="R173" i="72"/>
  <c r="U26" i="72"/>
  <c r="U38" i="72"/>
  <c r="AJ42" i="5" l="1"/>
  <c r="D8" i="87"/>
  <c r="D9" i="87" s="1"/>
  <c r="D10" i="87" s="1"/>
  <c r="D21" i="87" s="1"/>
  <c r="D25" i="87" s="1"/>
  <c r="I7" i="87"/>
  <c r="H6" i="87"/>
  <c r="AM36" i="5"/>
  <c r="AM37" i="5" s="1"/>
  <c r="FY20" i="11"/>
  <c r="FY24" i="11" s="1"/>
  <c r="FY49" i="11" s="1"/>
  <c r="AK40" i="5"/>
  <c r="AJ39" i="5"/>
  <c r="AJ47" i="5" s="1"/>
  <c r="AJ43" i="5"/>
  <c r="FV28" i="11"/>
  <c r="AJ50" i="5"/>
  <c r="U40" i="72"/>
  <c r="Q39" i="72"/>
  <c r="Y36" i="72"/>
  <c r="T50" i="72"/>
  <c r="T158" i="72"/>
  <c r="T157" i="72" s="1"/>
  <c r="T132" i="72" s="1"/>
  <c r="S173" i="72"/>
  <c r="FX60" i="11"/>
  <c r="FX52" i="11"/>
  <c r="AI43" i="5"/>
  <c r="FU28" i="11"/>
  <c r="AI50" i="5"/>
  <c r="FU34" i="11" s="1"/>
  <c r="Q71" i="72"/>
  <c r="Q163" i="72" s="1"/>
  <c r="Q162" i="72" s="1"/>
  <c r="Q164" i="72"/>
  <c r="Q112" i="72"/>
  <c r="Q165" i="72" s="1"/>
  <c r="U160" i="72"/>
  <c r="T160" i="72"/>
  <c r="D11" i="87"/>
  <c r="AF41" i="9"/>
  <c r="AF87" i="9" s="1"/>
  <c r="AG17" i="10"/>
  <c r="U158" i="72"/>
  <c r="U157" i="72" s="1"/>
  <c r="U132" i="72" s="1"/>
  <c r="U50" i="72"/>
  <c r="FY60" i="11"/>
  <c r="FY52" i="11"/>
  <c r="FU51" i="11"/>
  <c r="S66" i="72"/>
  <c r="S76" i="72"/>
  <c r="AK42" i="5" l="1"/>
  <c r="E8" i="87"/>
  <c r="E9" i="87" s="1"/>
  <c r="E10" i="87" s="1"/>
  <c r="E11" i="87" s="1"/>
  <c r="J7" i="87"/>
  <c r="J6" i="87" s="1"/>
  <c r="I6" i="87"/>
  <c r="R18" i="72"/>
  <c r="R32" i="72" s="1"/>
  <c r="E21" i="87"/>
  <c r="E25" i="87" s="1"/>
  <c r="FV26" i="11"/>
  <c r="FV50" i="11" s="1"/>
  <c r="AL40" i="5"/>
  <c r="AK39" i="5"/>
  <c r="AK47" i="5" s="1"/>
  <c r="AK43" i="5"/>
  <c r="FW28" i="11"/>
  <c r="AK50" i="5"/>
  <c r="AJ53" i="5"/>
  <c r="FV35" i="11" s="1"/>
  <c r="FV34" i="11"/>
  <c r="AH8" i="10"/>
  <c r="AH17" i="10" s="1"/>
  <c r="FV32" i="11"/>
  <c r="AJ48" i="5"/>
  <c r="AG65" i="9"/>
  <c r="U76" i="72"/>
  <c r="U66" i="72"/>
  <c r="AI51" i="5"/>
  <c r="AI53" i="5"/>
  <c r="AJ51" i="5"/>
  <c r="U173" i="72"/>
  <c r="T173" i="72"/>
  <c r="AG35" i="10"/>
  <c r="AG60" i="10" s="1"/>
  <c r="AG48" i="10"/>
  <c r="T66" i="72"/>
  <c r="T76" i="72"/>
  <c r="AF44" i="9"/>
  <c r="AL42" i="5" l="1"/>
  <c r="F8" i="87"/>
  <c r="F9" i="87" s="1"/>
  <c r="F10" i="87" s="1"/>
  <c r="FV51" i="11"/>
  <c r="AG88" i="9"/>
  <c r="AG90" i="9" s="1"/>
  <c r="R21" i="72"/>
  <c r="R23" i="72" s="1"/>
  <c r="FW26" i="11"/>
  <c r="FW50" i="11" s="1"/>
  <c r="AM40" i="5"/>
  <c r="G8" i="87" s="1"/>
  <c r="G9" i="87" s="1"/>
  <c r="G10" i="87" s="1"/>
  <c r="G21" i="87" s="1"/>
  <c r="G25" i="87" s="1"/>
  <c r="AL39" i="5"/>
  <c r="AL47" i="5" s="1"/>
  <c r="H8" i="87"/>
  <c r="I8" i="87" s="1"/>
  <c r="S18" i="72"/>
  <c r="S32" i="72" s="1"/>
  <c r="AG41" i="9"/>
  <c r="AH35" i="10"/>
  <c r="AH60" i="10" s="1"/>
  <c r="AH48" i="10"/>
  <c r="AH53" i="10" s="1"/>
  <c r="F11" i="87"/>
  <c r="F21" i="87"/>
  <c r="F25" i="87" s="1"/>
  <c r="AK51" i="5"/>
  <c r="AK53" i="5"/>
  <c r="FW34" i="11"/>
  <c r="FW59" i="11" s="1"/>
  <c r="AL43" i="5"/>
  <c r="AL50" i="5"/>
  <c r="FX28" i="11"/>
  <c r="R112" i="72"/>
  <c r="R71" i="72"/>
  <c r="R164" i="72"/>
  <c r="AK48" i="5"/>
  <c r="AI8" i="10"/>
  <c r="AI17" i="10" s="1"/>
  <c r="AH65" i="9"/>
  <c r="FW32" i="11"/>
  <c r="AG53" i="10"/>
  <c r="FU59" i="11"/>
  <c r="FV59" i="11"/>
  <c r="AF55" i="9"/>
  <c r="AF58" i="9" s="1"/>
  <c r="AF57" i="9"/>
  <c r="AF46" i="9"/>
  <c r="FU35" i="11"/>
  <c r="AI54" i="5"/>
  <c r="AJ54" i="5"/>
  <c r="FW51" i="11" l="1"/>
  <c r="AH88" i="9"/>
  <c r="AH90" i="9" s="1"/>
  <c r="AG44" i="9"/>
  <c r="AG46" i="9" s="1"/>
  <c r="AG87" i="9"/>
  <c r="AM42" i="5"/>
  <c r="FY28" i="11" s="1"/>
  <c r="AM39" i="5"/>
  <c r="R39" i="72"/>
  <c r="AB82" i="72"/>
  <c r="AC82" i="72" s="1"/>
  <c r="T18" i="72"/>
  <c r="T21" i="72" s="1"/>
  <c r="T23" i="72" s="1"/>
  <c r="G11" i="87"/>
  <c r="AN40" i="5"/>
  <c r="S21" i="72"/>
  <c r="S23" i="72" s="1"/>
  <c r="S39" i="72" s="1"/>
  <c r="H9" i="87"/>
  <c r="H10" i="87" s="1"/>
  <c r="H11" i="87" s="1"/>
  <c r="FX26" i="11"/>
  <c r="FX50" i="11" s="1"/>
  <c r="AH41" i="9"/>
  <c r="AI48" i="10"/>
  <c r="AI53" i="10" s="1"/>
  <c r="AI35" i="10"/>
  <c r="AI60" i="10" s="1"/>
  <c r="AL53" i="5"/>
  <c r="AL51" i="5"/>
  <c r="FX34" i="11"/>
  <c r="FX59" i="11" s="1"/>
  <c r="R163" i="72"/>
  <c r="R162" i="72" s="1"/>
  <c r="AJ8" i="10"/>
  <c r="AJ17" i="10" s="1"/>
  <c r="FX32" i="11"/>
  <c r="AI65" i="9"/>
  <c r="AL48" i="5"/>
  <c r="R165" i="72"/>
  <c r="J8" i="87"/>
  <c r="I9" i="87"/>
  <c r="I10" i="87" s="1"/>
  <c r="AK54" i="5"/>
  <c r="FW35" i="11"/>
  <c r="S164" i="72"/>
  <c r="S71" i="72"/>
  <c r="S112" i="72"/>
  <c r="AM50" i="5" l="1"/>
  <c r="AM53" i="5" s="1"/>
  <c r="AM54" i="5" s="1"/>
  <c r="AG55" i="9"/>
  <c r="AG58" i="9" s="1"/>
  <c r="AG57" i="9"/>
  <c r="T32" i="72"/>
  <c r="T71" i="72" s="1"/>
  <c r="AM43" i="5"/>
  <c r="FX51" i="11"/>
  <c r="AI88" i="9"/>
  <c r="AI90" i="9" s="1"/>
  <c r="AH44" i="9"/>
  <c r="AH87" i="9"/>
  <c r="U18" i="72"/>
  <c r="FY26" i="11"/>
  <c r="FY50" i="11" s="1"/>
  <c r="AM47" i="5"/>
  <c r="H21" i="87"/>
  <c r="H25" i="87" s="1"/>
  <c r="AI41" i="9"/>
  <c r="AI87" i="9" s="1"/>
  <c r="T39" i="72"/>
  <c r="AL54" i="5"/>
  <c r="FX35" i="11"/>
  <c r="S165" i="72"/>
  <c r="S163" i="72"/>
  <c r="S162" i="72" s="1"/>
  <c r="I21" i="87"/>
  <c r="I25" i="87" s="1"/>
  <c r="I11" i="87"/>
  <c r="AJ35" i="10"/>
  <c r="AJ60" i="10" s="1"/>
  <c r="AJ48" i="10"/>
  <c r="AJ53" i="10" s="1"/>
  <c r="T164" i="72"/>
  <c r="T112" i="72"/>
  <c r="K8" i="87"/>
  <c r="K9" i="87" s="1"/>
  <c r="K10" i="87" s="1"/>
  <c r="J9" i="87"/>
  <c r="J10" i="87" s="1"/>
  <c r="FY34" i="11" l="1"/>
  <c r="FY59" i="11" s="1"/>
  <c r="AM51" i="5"/>
  <c r="AH57" i="9"/>
  <c r="AH55" i="9"/>
  <c r="AH58" i="9" s="1"/>
  <c r="AH46" i="9"/>
  <c r="FY32" i="11"/>
  <c r="AJ65" i="9"/>
  <c r="AM48" i="5"/>
  <c r="AK8" i="10"/>
  <c r="AK17" i="10" s="1"/>
  <c r="U21" i="72"/>
  <c r="U23" i="72" s="1"/>
  <c r="U39" i="72" s="1"/>
  <c r="U32" i="72"/>
  <c r="AI44" i="9"/>
  <c r="AI57" i="9" s="1"/>
  <c r="K21" i="87"/>
  <c r="K11" i="87"/>
  <c r="T165" i="72"/>
  <c r="T163" i="72"/>
  <c r="T162" i="72" s="1"/>
  <c r="J21" i="87"/>
  <c r="J11" i="87"/>
  <c r="FY51" i="11" l="1"/>
  <c r="AJ88" i="9"/>
  <c r="AJ90" i="9" s="1"/>
  <c r="AK35" i="10"/>
  <c r="AK60" i="10" s="1"/>
  <c r="AK48" i="10"/>
  <c r="AK53" i="10" s="1"/>
  <c r="U71" i="72"/>
  <c r="U163" i="72" s="1"/>
  <c r="U162" i="72" s="1"/>
  <c r="U112" i="72"/>
  <c r="U164" i="72"/>
  <c r="AJ41" i="9"/>
  <c r="AI55" i="9"/>
  <c r="AI58" i="9" s="1"/>
  <c r="AI46" i="9"/>
  <c r="J26" i="87"/>
  <c r="J27" i="87" s="1"/>
  <c r="C42" i="87" s="1"/>
  <c r="J25" i="87"/>
  <c r="C41" i="87" s="1"/>
  <c r="K26" i="87"/>
  <c r="K27" i="87" s="1"/>
  <c r="K25" i="87"/>
  <c r="AJ44" i="9" l="1"/>
  <c r="AJ46" i="9" s="1"/>
  <c r="AJ87" i="9"/>
  <c r="U165" i="72"/>
  <c r="C43" i="87"/>
  <c r="AJ55" i="9" l="1"/>
  <c r="AJ58" i="9" s="1"/>
  <c r="AJ57" i="9"/>
  <c r="AO36" i="5" l="1"/>
  <c r="AG37" i="5"/>
  <c r="AG40" i="5"/>
  <c r="AG42" i="5" s="1"/>
  <c r="AG50" i="5" s="1"/>
  <c r="AG43" i="5" l="1"/>
  <c r="AO42" i="5"/>
  <c r="FS28" i="11"/>
  <c r="AO50" i="5" l="1"/>
  <c r="AG51" i="5"/>
  <c r="AH51" i="5"/>
  <c r="FS34" i="11"/>
  <c r="AG53" i="5"/>
  <c r="FS59" i="11" l="1"/>
  <c r="FT59" i="11"/>
  <c r="AO53" i="5"/>
  <c r="AH54" i="5"/>
  <c r="AG54" i="5"/>
  <c r="FS35" i="11"/>
  <c r="AD65" i="9" l="1"/>
  <c r="AO47" i="5"/>
  <c r="FS32" i="11"/>
  <c r="AD88" i="9" s="1"/>
  <c r="AG48" i="5"/>
  <c r="AD90" i="9" l="1"/>
  <c r="AD91" i="9" s="1"/>
  <c r="FS51" i="11"/>
  <c r="EE66" i="11"/>
  <c r="AE17" i="10"/>
  <c r="AE48" i="10" s="1"/>
  <c r="AD92" i="9" l="1"/>
  <c r="AE86" i="9"/>
  <c r="AE91" i="9" s="1"/>
  <c r="AE35" i="10"/>
  <c r="AE60" i="10" s="1"/>
  <c r="AF86" i="9" l="1"/>
  <c r="AF91" i="9" s="1"/>
  <c r="AE92" i="9"/>
  <c r="AE53" i="10"/>
  <c r="AE50" i="10"/>
  <c r="AD9" i="9" s="1"/>
  <c r="AF92" i="9" l="1"/>
  <c r="AG86" i="9"/>
  <c r="AG91" i="9" s="1"/>
  <c r="AF47" i="10"/>
  <c r="AF50" i="10" s="1"/>
  <c r="AH86" i="9" l="1"/>
  <c r="AH91" i="9" s="1"/>
  <c r="AG92" i="9"/>
  <c r="AE9" i="9"/>
  <c r="AG47" i="10"/>
  <c r="AG50" i="10" s="1"/>
  <c r="AD15" i="9"/>
  <c r="AD22" i="9" s="1"/>
  <c r="AD48" i="9" s="1"/>
  <c r="AD54" i="9"/>
  <c r="AD59" i="9" s="1"/>
  <c r="AI86" i="9" l="1"/>
  <c r="AI91" i="9" s="1"/>
  <c r="AH92" i="9"/>
  <c r="AF9" i="9"/>
  <c r="C31" i="87" s="1"/>
  <c r="AH47" i="10"/>
  <c r="AH50" i="10" s="1"/>
  <c r="AE54" i="9"/>
  <c r="AE59" i="9" s="1"/>
  <c r="AE15" i="9"/>
  <c r="AE22" i="9" s="1"/>
  <c r="AE48" i="9" s="1"/>
  <c r="AI92" i="9" l="1"/>
  <c r="AJ86" i="9"/>
  <c r="AJ91" i="9" s="1"/>
  <c r="AJ92" i="9" s="1"/>
  <c r="C32" i="87"/>
  <c r="C39" i="87" s="1"/>
  <c r="C45" i="87"/>
  <c r="C48" i="87" s="1"/>
  <c r="C49" i="87" s="1"/>
  <c r="C51" i="87" s="1"/>
  <c r="AF54" i="9"/>
  <c r="AF59" i="9" s="1"/>
  <c r="AF15" i="9"/>
  <c r="AF22" i="9" s="1"/>
  <c r="AF48" i="9" s="1"/>
  <c r="AI47" i="10"/>
  <c r="AI50" i="10" s="1"/>
  <c r="AG9" i="9"/>
  <c r="AG54" i="9" l="1"/>
  <c r="AG59" i="9" s="1"/>
  <c r="AG15" i="9"/>
  <c r="AG22" i="9" s="1"/>
  <c r="AG48" i="9" s="1"/>
  <c r="AJ47" i="10"/>
  <c r="AJ50" i="10" s="1"/>
  <c r="AH9" i="9"/>
  <c r="AH54" i="9" l="1"/>
  <c r="AH59" i="9" s="1"/>
  <c r="AH15" i="9"/>
  <c r="AH22" i="9" s="1"/>
  <c r="AH48" i="9" s="1"/>
  <c r="AK47" i="10"/>
  <c r="AK50" i="10" s="1"/>
  <c r="AJ9" i="9" s="1"/>
  <c r="AI9" i="9"/>
  <c r="AI54" i="9" l="1"/>
  <c r="AI59" i="9" s="1"/>
  <c r="AI15" i="9"/>
  <c r="AI22" i="9" s="1"/>
  <c r="AI48" i="9" s="1"/>
  <c r="AJ15" i="9"/>
  <c r="AJ22" i="9" s="1"/>
  <c r="AJ48" i="9" s="1"/>
  <c r="AJ54" i="9"/>
  <c r="AJ59" i="9" s="1"/>
  <c r="P154" i="72" l="1"/>
  <c r="P153" i="72" s="1"/>
  <c r="P131" i="72" s="1"/>
  <c r="Q68" i="72"/>
  <c r="Q49" i="72" s="1"/>
  <c r="Q52" i="72" s="1"/>
  <c r="Q70" i="72" s="1"/>
  <c r="Q154" i="72" l="1"/>
  <c r="Q153" i="72" s="1"/>
  <c r="Q131" i="72" s="1"/>
  <c r="Q134" i="72" s="1"/>
  <c r="Q47" i="72"/>
  <c r="P65" i="72"/>
  <c r="P79" i="72" s="1"/>
  <c r="P129" i="72"/>
  <c r="P134" i="72"/>
  <c r="R68" i="72"/>
  <c r="Q129" i="72" l="1"/>
  <c r="R49" i="72"/>
  <c r="R52" i="72" s="1"/>
  <c r="R70" i="72" s="1"/>
  <c r="S68" i="72"/>
  <c r="R154" i="72"/>
  <c r="R153" i="72" s="1"/>
  <c r="R131" i="72" s="1"/>
  <c r="Q77" i="72"/>
  <c r="Q65" i="72"/>
  <c r="Q79" i="72" s="1"/>
  <c r="Q55" i="72"/>
  <c r="P161" i="72"/>
  <c r="P150" i="72"/>
  <c r="P176" i="72" s="1"/>
  <c r="P137" i="72"/>
  <c r="P174" i="72"/>
  <c r="Q161" i="72"/>
  <c r="Q150" i="72"/>
  <c r="Q137" i="72"/>
  <c r="Q174" i="72"/>
  <c r="P62" i="72"/>
  <c r="P78" i="72" s="1"/>
  <c r="Q176" i="72" l="1"/>
  <c r="W69" i="72"/>
  <c r="R129" i="72"/>
  <c r="R134" i="72"/>
  <c r="R47" i="72"/>
  <c r="Q57" i="72"/>
  <c r="Q60" i="72" s="1"/>
  <c r="Q62" i="72" s="1"/>
  <c r="Q139" i="72"/>
  <c r="Q142" i="72" s="1"/>
  <c r="Q144" i="72" s="1"/>
  <c r="P139" i="72"/>
  <c r="P142" i="72" s="1"/>
  <c r="P144" i="72" s="1"/>
  <c r="P175" i="72" s="1"/>
  <c r="S154" i="72"/>
  <c r="S153" i="72" s="1"/>
  <c r="S131" i="72" s="1"/>
  <c r="S49" i="72"/>
  <c r="S52" i="72" s="1"/>
  <c r="S70" i="72" s="1"/>
  <c r="T68" i="72"/>
  <c r="Q175" i="72" l="1"/>
  <c r="R174" i="72"/>
  <c r="R137" i="72"/>
  <c r="R161" i="72"/>
  <c r="R150" i="72"/>
  <c r="R176" i="72" s="1"/>
  <c r="S134" i="72"/>
  <c r="S129" i="72"/>
  <c r="R65" i="72"/>
  <c r="R79" i="72" s="1"/>
  <c r="R77" i="72"/>
  <c r="R55" i="72"/>
  <c r="Q78" i="72"/>
  <c r="Y37" i="72"/>
  <c r="T154" i="72"/>
  <c r="T153" i="72" s="1"/>
  <c r="T131" i="72" s="1"/>
  <c r="T49" i="72"/>
  <c r="T52" i="72" s="1"/>
  <c r="T70" i="72" s="1"/>
  <c r="U68" i="72"/>
  <c r="S47" i="72"/>
  <c r="S65" i="72" l="1"/>
  <c r="S79" i="72" s="1"/>
  <c r="S77" i="72"/>
  <c r="S55" i="72"/>
  <c r="U154" i="72"/>
  <c r="U153" i="72" s="1"/>
  <c r="U131" i="72" s="1"/>
  <c r="U49" i="72"/>
  <c r="U52" i="72" s="1"/>
  <c r="U70" i="72" s="1"/>
  <c r="T47" i="72"/>
  <c r="S150" i="72"/>
  <c r="S176" i="72" s="1"/>
  <c r="S137" i="72"/>
  <c r="S161" i="72"/>
  <c r="S174" i="72"/>
  <c r="T129" i="72"/>
  <c r="T134" i="72"/>
  <c r="R57" i="72"/>
  <c r="R60" i="72" s="1"/>
  <c r="R62" i="72" s="1"/>
  <c r="R139" i="72"/>
  <c r="R142" i="72" s="1"/>
  <c r="R144" i="72" s="1"/>
  <c r="R175" i="72" s="1"/>
  <c r="R78" i="72" l="1"/>
  <c r="AB83" i="72"/>
  <c r="AC83" i="72" s="1"/>
  <c r="S57" i="72"/>
  <c r="S60" i="72" s="1"/>
  <c r="S62" i="72" s="1"/>
  <c r="S78" i="72" s="1"/>
  <c r="U129" i="72"/>
  <c r="U134" i="72"/>
  <c r="T55" i="72"/>
  <c r="T77" i="72"/>
  <c r="T65" i="72"/>
  <c r="T79" i="72" s="1"/>
  <c r="T174" i="72"/>
  <c r="T161" i="72"/>
  <c r="T137" i="72"/>
  <c r="T150" i="72"/>
  <c r="T176" i="72" s="1"/>
  <c r="S139" i="72"/>
  <c r="S142" i="72" s="1"/>
  <c r="S144" i="72" s="1"/>
  <c r="S175" i="72" s="1"/>
  <c r="U47" i="72"/>
  <c r="U161" i="72" l="1"/>
  <c r="U150" i="72"/>
  <c r="U176" i="72" s="1"/>
  <c r="U174" i="72"/>
  <c r="U137" i="72"/>
  <c r="T57" i="72"/>
  <c r="T60" i="72" s="1"/>
  <c r="T62" i="72" s="1"/>
  <c r="T78" i="72" s="1"/>
  <c r="T139" i="72"/>
  <c r="T142" i="72" s="1"/>
  <c r="T144" i="72" s="1"/>
  <c r="T175" i="72" s="1"/>
  <c r="U55" i="72"/>
  <c r="U77" i="72"/>
  <c r="U65" i="72"/>
  <c r="U79" i="72" s="1"/>
  <c r="U139" i="72" l="1"/>
  <c r="U142" i="72" s="1"/>
  <c r="U144" i="72" s="1"/>
  <c r="U175" i="72" s="1"/>
  <c r="U57" i="72"/>
  <c r="U60" i="72" s="1"/>
  <c r="U62" i="72" s="1"/>
  <c r="U78" i="72" s="1"/>
  <c r="Q86" i="72"/>
  <c r="Q90" i="72" s="1"/>
  <c r="Q91" i="72" l="1"/>
  <c r="Q93" i="72" s="1"/>
  <c r="Q88" i="72"/>
  <c r="R86" i="72"/>
  <c r="Q118" i="72" l="1"/>
  <c r="Q111" i="72"/>
  <c r="Q106" i="72"/>
  <c r="Q120" i="72" s="1"/>
  <c r="Q96" i="72"/>
  <c r="R91" i="72"/>
  <c r="S86" i="72"/>
  <c r="R90" i="72"/>
  <c r="Q117" i="72"/>
  <c r="Q107" i="72"/>
  <c r="R93" i="72" l="1"/>
  <c r="Q98" i="72"/>
  <c r="Q101" i="72"/>
  <c r="Q103" i="72" s="1"/>
  <c r="R107" i="72"/>
  <c r="R117" i="72"/>
  <c r="S90" i="72"/>
  <c r="S88" i="72" s="1"/>
  <c r="S91" i="72"/>
  <c r="T86" i="72"/>
  <c r="R88" i="72"/>
  <c r="R118" i="72" l="1"/>
  <c r="R96" i="72"/>
  <c r="R106" i="72"/>
  <c r="R120" i="72" s="1"/>
  <c r="R111" i="72"/>
  <c r="S107" i="72"/>
  <c r="S117" i="72"/>
  <c r="T88" i="72"/>
  <c r="T91" i="72"/>
  <c r="U86" i="72"/>
  <c r="T90" i="72"/>
  <c r="Q119" i="72"/>
  <c r="Y35" i="72"/>
  <c r="S93" i="72"/>
  <c r="U91" i="72" l="1"/>
  <c r="U90" i="72"/>
  <c r="T107" i="72"/>
  <c r="T117" i="72"/>
  <c r="S111" i="72"/>
  <c r="S118" i="72"/>
  <c r="S96" i="72"/>
  <c r="S106" i="72"/>
  <c r="S120" i="72" s="1"/>
  <c r="T93" i="72"/>
  <c r="R98" i="72"/>
  <c r="R101" i="72" s="1"/>
  <c r="R103" i="72" s="1"/>
  <c r="U93" i="72" l="1"/>
  <c r="U111" i="72" s="1"/>
  <c r="U88" i="72"/>
  <c r="R119" i="72"/>
  <c r="AB84" i="72"/>
  <c r="AC84" i="72" s="1"/>
  <c r="S98" i="72"/>
  <c r="S101" i="72" s="1"/>
  <c r="S103" i="72" s="1"/>
  <c r="S119" i="72" s="1"/>
  <c r="U106" i="72"/>
  <c r="T106" i="72"/>
  <c r="T120" i="72" s="1"/>
  <c r="T96" i="72"/>
  <c r="T111" i="72"/>
  <c r="T118" i="72"/>
  <c r="U107" i="72"/>
  <c r="U117" i="72"/>
  <c r="U118" i="72" l="1"/>
  <c r="U96" i="72"/>
  <c r="U120" i="72"/>
  <c r="T98" i="72"/>
  <c r="T101" i="72" s="1"/>
  <c r="T103" i="72" s="1"/>
  <c r="T119" i="72" s="1"/>
  <c r="U98" i="72"/>
  <c r="U101" i="72" s="1"/>
  <c r="U103" i="72" s="1"/>
  <c r="U119" i="72" l="1"/>
</calcChain>
</file>

<file path=xl/comments1.xml><?xml version="1.0" encoding="utf-8"?>
<comments xmlns="http://schemas.openxmlformats.org/spreadsheetml/2006/main">
  <authors>
    <author>Baglione, Gregory (Research)</author>
  </authors>
  <commentList>
    <comment ref="P81" authorId="0">
      <text>
        <r>
          <rPr>
            <b/>
            <sz val="9"/>
            <color indexed="81"/>
            <rFont val="Tahoma"/>
            <family val="2"/>
          </rPr>
          <t>Baglione, Gregory (Research):</t>
        </r>
        <r>
          <rPr>
            <sz val="9"/>
            <color indexed="81"/>
            <rFont val="Tahoma"/>
            <family val="2"/>
          </rPr>
          <t xml:space="preserve">
$300M Spread -$575M sales loss from stores</t>
        </r>
      </text>
    </comment>
  </commentList>
</comments>
</file>

<file path=xl/comments2.xml><?xml version="1.0" encoding="utf-8"?>
<comments xmlns="http://schemas.openxmlformats.org/spreadsheetml/2006/main">
  <authors>
    <author>balskyh</author>
    <author>Baglione, Gregory  (Research)</author>
    <author>leechi</author>
    <author>mmcclell</author>
  </authors>
  <commentList>
    <comment ref="FB16" authorId="0">
      <text>
        <r>
          <rPr>
            <b/>
            <sz val="8"/>
            <color indexed="81"/>
            <rFont val="Tahoma"/>
            <family val="2"/>
          </rPr>
          <t>Linked</t>
        </r>
      </text>
    </comment>
    <comment ref="FC16" authorId="0">
      <text>
        <r>
          <rPr>
            <b/>
            <sz val="8"/>
            <color indexed="81"/>
            <rFont val="Tahoma"/>
            <family val="2"/>
          </rPr>
          <t>Linked</t>
        </r>
      </text>
    </comment>
    <comment ref="FA22" authorId="0">
      <text>
        <r>
          <rPr>
            <b/>
            <sz val="8"/>
            <color indexed="81"/>
            <rFont val="Tahoma"/>
            <family val="2"/>
          </rPr>
          <t xml:space="preserve">Plug </t>
        </r>
      </text>
    </comment>
    <comment ref="FB22" authorId="0">
      <text>
        <r>
          <rPr>
            <b/>
            <sz val="8"/>
            <color indexed="81"/>
            <rFont val="Tahoma"/>
            <family val="2"/>
          </rPr>
          <t xml:space="preserve">Plug </t>
        </r>
      </text>
    </comment>
    <comment ref="FA23" authorId="0">
      <text>
        <r>
          <rPr>
            <b/>
            <sz val="8"/>
            <color indexed="81"/>
            <rFont val="Tahoma"/>
            <family val="2"/>
          </rPr>
          <t xml:space="preserve">Plug </t>
        </r>
      </text>
    </comment>
    <comment ref="FB23" authorId="0">
      <text>
        <r>
          <rPr>
            <b/>
            <sz val="8"/>
            <color indexed="81"/>
            <rFont val="Tahoma"/>
            <family val="2"/>
          </rPr>
          <t xml:space="preserve">Plug </t>
        </r>
      </text>
    </comment>
    <comment ref="EZ26" authorId="0">
      <text>
        <r>
          <rPr>
            <b/>
            <sz val="8"/>
            <color indexed="81"/>
            <rFont val="Tahoma"/>
            <family val="2"/>
          </rPr>
          <t>Linked</t>
        </r>
      </text>
    </comment>
    <comment ref="FA28" authorId="0">
      <text>
        <r>
          <rPr>
            <b/>
            <sz val="8"/>
            <color indexed="81"/>
            <rFont val="Tahoma"/>
            <family val="2"/>
          </rPr>
          <t>Linked</t>
        </r>
      </text>
    </comment>
    <comment ref="FB28" authorId="0">
      <text>
        <r>
          <rPr>
            <b/>
            <sz val="8"/>
            <color indexed="81"/>
            <rFont val="Tahoma"/>
            <family val="2"/>
          </rPr>
          <t>Linked</t>
        </r>
      </text>
    </comment>
    <comment ref="FS34" authorId="1">
      <text>
        <r>
          <rPr>
            <b/>
            <sz val="9"/>
            <color indexed="81"/>
            <rFont val="Tahoma"/>
            <family val="2"/>
          </rPr>
          <t>Baglione, Gregory  (Research):</t>
        </r>
        <r>
          <rPr>
            <sz val="9"/>
            <color indexed="81"/>
            <rFont val="Tahoma"/>
            <family val="2"/>
          </rPr>
          <t xml:space="preserve">
1/4/17
2016 Guidance
Macy’s, Inc. maintains its previously provided full-year sales guidance of a
2.5 percent to 3.0 percent decrease in comparable sales on an owned plus
licensed basis, and expects to come in at the lower end of that guidance, with
comparable sales on an owned basis to be approximately 50 basis points lower.
The company now expects full-year 2016 diluted earnings per share (excluding
asset impairment, restructuring, retirement settlement and other charges) to
be in a range of $2.95 to $3.10 (compared with previous guidance of $3.15 to
$3.40).
Macy’s, Inc. (NYSE:M) today announced that its comparable sales on an owned
plus licensed basis declined by 2.1 percent in the months of November and
December 2016 combined, compared to the same period last year. On an owned
basis, comparable sales declined by 2.7 percent in the combined
November/December period.
11/10/16
The company remains confident in its previously provided full-year earnings per share guidance and expects full-year sales to be better than its prior guidance.
Macy’s, Inc. expects full-year 2016 comparable sales on an owned plus licensed basis to decrease in the range of 2.5 percent to 3.0 percent (compared with previous guidance of a decrease in the range of 3 percent to 4 percent), with comparable sales on an owned basis to be approximately 50 basis points lower. The company continues to expect diluted earnings per share (excluding asset impairment charges and retirement settlement charges) in fiscal 2016 to be in a range of $3.15 to $3.40.
8/11/16
Reaffirmed sales and EPS guidance for the year as stated above
5/11/16
Noting that the uncertain direction of consumer spending makes predictions of future performance difficult, Macy’s, Inc. now expects full-year 2016 comparable sales on an owned plus licensed basis to decrease in the range of 3 percent to 4 percent, with comparable sales on an owned basis to be approximately 50 basis points lower. This compares with previous guidance for comparable sales on an owned plus licensed basis to decline by approximately 1 percent in fiscal 2016.
With top-line sales expected to remain below our initial expectations, the company has revised its guidance for earnings per diluted share (excluding settlement charges) in fiscal 2016 to a range of $3.15 to $3.40. This compares with previous guidance of $3.80 to $3.90 per diluted share in 2016.
</t>
        </r>
      </text>
    </comment>
    <comment ref="BA41" authorId="2">
      <text>
        <r>
          <rPr>
            <b/>
            <sz val="8"/>
            <color indexed="81"/>
            <rFont val="Tahoma"/>
            <family val="2"/>
          </rPr>
          <t>-Excludes D&amp;A from Fingerhut operations but not tie in to restated annual figures.  Use as proxy only.</t>
        </r>
      </text>
    </comment>
    <comment ref="BB41" authorId="2">
      <text>
        <r>
          <rPr>
            <b/>
            <sz val="8"/>
            <color indexed="81"/>
            <rFont val="Tahoma"/>
            <family val="2"/>
          </rPr>
          <t>-Excludes D&amp;A from Fingerhut operations but not tie in to restated annual figures.  Use as proxy only.</t>
        </r>
      </text>
    </comment>
    <comment ref="BC41" authorId="2">
      <text>
        <r>
          <rPr>
            <b/>
            <sz val="8"/>
            <color indexed="81"/>
            <rFont val="Tahoma"/>
            <family val="2"/>
          </rPr>
          <t>-Excludes D&amp;A from Fingerhut operations but not tie in to restated annual figures.  Use as proxy only.</t>
        </r>
      </text>
    </comment>
    <comment ref="BD41" authorId="2">
      <text>
        <r>
          <rPr>
            <b/>
            <sz val="8"/>
            <color indexed="81"/>
            <rFont val="Tahoma"/>
            <family val="2"/>
          </rPr>
          <t>Restated for Fingerhut disposition</t>
        </r>
      </text>
    </comment>
    <comment ref="CJ41" authorId="3">
      <text>
        <r>
          <rPr>
            <b/>
            <u/>
            <sz val="8"/>
            <color indexed="81"/>
            <rFont val="Tahoma"/>
            <family val="2"/>
          </rPr>
          <t>Guidance</t>
        </r>
        <r>
          <rPr>
            <b/>
            <sz val="8"/>
            <color indexed="81"/>
            <rFont val="Tahoma"/>
            <family val="2"/>
          </rPr>
          <t xml:space="preserve">
Author: </t>
        </r>
        <r>
          <rPr>
            <sz val="8"/>
            <color indexed="81"/>
            <rFont val="Tahoma"/>
            <family val="2"/>
          </rPr>
          <t>Morgan Stanley</t>
        </r>
        <r>
          <rPr>
            <b/>
            <sz val="8"/>
            <color indexed="81"/>
            <rFont val="Tahoma"/>
            <family val="2"/>
          </rPr>
          <t xml:space="preserve">
Date: </t>
        </r>
        <r>
          <rPr>
            <sz val="8"/>
            <color indexed="81"/>
            <rFont val="Tahoma"/>
            <family val="2"/>
          </rPr>
          <t>2/27/2007</t>
        </r>
        <r>
          <rPr>
            <b/>
            <sz val="8"/>
            <color indexed="81"/>
            <rFont val="Tahoma"/>
            <family val="2"/>
          </rPr>
          <t xml:space="preserve">
Comment: 
</t>
        </r>
        <r>
          <rPr>
            <sz val="8"/>
            <color indexed="81"/>
            <rFont val="Tahoma"/>
            <family val="2"/>
          </rPr>
          <t>$330M</t>
        </r>
        <r>
          <rPr>
            <sz val="8"/>
            <color indexed="81"/>
            <rFont val="Tahoma"/>
            <family val="2"/>
          </rPr>
          <t xml:space="preserve">
</t>
        </r>
      </text>
    </comment>
    <comment ref="CK41" authorId="3">
      <text>
        <r>
          <rPr>
            <b/>
            <u/>
            <sz val="8"/>
            <color indexed="81"/>
            <rFont val="Tahoma"/>
            <family val="2"/>
          </rPr>
          <t>Guidance</t>
        </r>
        <r>
          <rPr>
            <b/>
            <sz val="8"/>
            <color indexed="81"/>
            <rFont val="Tahoma"/>
            <family val="2"/>
          </rPr>
          <t xml:space="preserve">
Author: </t>
        </r>
        <r>
          <rPr>
            <sz val="8"/>
            <color indexed="81"/>
            <rFont val="Tahoma"/>
            <family val="2"/>
          </rPr>
          <t>Morgan Stanley</t>
        </r>
        <r>
          <rPr>
            <b/>
            <sz val="8"/>
            <color indexed="81"/>
            <rFont val="Tahoma"/>
            <family val="2"/>
          </rPr>
          <t xml:space="preserve">
Date: </t>
        </r>
        <r>
          <rPr>
            <sz val="8"/>
            <color indexed="81"/>
            <rFont val="Tahoma"/>
            <family val="2"/>
          </rPr>
          <t>2/27/2007</t>
        </r>
        <r>
          <rPr>
            <b/>
            <sz val="8"/>
            <color indexed="81"/>
            <rFont val="Tahoma"/>
            <family val="2"/>
          </rPr>
          <t xml:space="preserve">
Comment: 
</t>
        </r>
        <r>
          <rPr>
            <sz val="8"/>
            <color indexed="81"/>
            <rFont val="Tahoma"/>
            <family val="2"/>
          </rPr>
          <t>$330M</t>
        </r>
        <r>
          <rPr>
            <sz val="8"/>
            <color indexed="81"/>
            <rFont val="Tahoma"/>
            <family val="2"/>
          </rPr>
          <t xml:space="preserve">
</t>
        </r>
      </text>
    </comment>
    <comment ref="CL41" authorId="3">
      <text>
        <r>
          <rPr>
            <b/>
            <u/>
            <sz val="8"/>
            <color indexed="81"/>
            <rFont val="Tahoma"/>
            <family val="2"/>
          </rPr>
          <t>Guidance</t>
        </r>
        <r>
          <rPr>
            <b/>
            <sz val="8"/>
            <color indexed="81"/>
            <rFont val="Tahoma"/>
            <family val="2"/>
          </rPr>
          <t xml:space="preserve">
Author: </t>
        </r>
        <r>
          <rPr>
            <sz val="8"/>
            <color indexed="81"/>
            <rFont val="Tahoma"/>
            <family val="2"/>
          </rPr>
          <t>Morgan Stanley</t>
        </r>
        <r>
          <rPr>
            <b/>
            <sz val="8"/>
            <color indexed="81"/>
            <rFont val="Tahoma"/>
            <family val="2"/>
          </rPr>
          <t xml:space="preserve">
Date: </t>
        </r>
        <r>
          <rPr>
            <sz val="8"/>
            <color indexed="81"/>
            <rFont val="Tahoma"/>
            <family val="2"/>
          </rPr>
          <t>8/15/2007</t>
        </r>
        <r>
          <rPr>
            <b/>
            <sz val="8"/>
            <color indexed="81"/>
            <rFont val="Tahoma"/>
            <family val="2"/>
          </rPr>
          <t xml:space="preserve">
Comment: </t>
        </r>
        <r>
          <rPr>
            <sz val="8"/>
            <color indexed="81"/>
            <rFont val="Tahoma"/>
            <family val="2"/>
          </rPr>
          <t>$330M</t>
        </r>
        <r>
          <rPr>
            <b/>
            <sz val="8"/>
            <color indexed="81"/>
            <rFont val="Tahoma"/>
            <family val="2"/>
          </rPr>
          <t xml:space="preserve">
</t>
        </r>
        <r>
          <rPr>
            <sz val="8"/>
            <color indexed="81"/>
            <rFont val="Tahoma"/>
            <family val="2"/>
          </rPr>
          <t>2/27/2007: 2H $700M</t>
        </r>
        <r>
          <rPr>
            <sz val="8"/>
            <color indexed="81"/>
            <rFont val="Tahoma"/>
            <family val="2"/>
          </rPr>
          <t xml:space="preserve">
</t>
        </r>
      </text>
    </comment>
    <comment ref="CM41" authorId="3">
      <text>
        <r>
          <rPr>
            <b/>
            <u/>
            <sz val="8"/>
            <color indexed="81"/>
            <rFont val="Tahoma"/>
            <family val="2"/>
          </rPr>
          <t>Guidance</t>
        </r>
        <r>
          <rPr>
            <b/>
            <sz val="8"/>
            <color indexed="81"/>
            <rFont val="Tahoma"/>
            <family val="2"/>
          </rPr>
          <t xml:space="preserve">
Author: </t>
        </r>
        <r>
          <rPr>
            <sz val="8"/>
            <color indexed="81"/>
            <rFont val="Tahoma"/>
            <family val="2"/>
          </rPr>
          <t>Morgan Stanley</t>
        </r>
        <r>
          <rPr>
            <b/>
            <sz val="8"/>
            <color indexed="81"/>
            <rFont val="Tahoma"/>
            <family val="2"/>
          </rPr>
          <t xml:space="preserve">
Date: </t>
        </r>
        <r>
          <rPr>
            <sz val="8"/>
            <color indexed="81"/>
            <rFont val="Tahoma"/>
            <family val="2"/>
          </rPr>
          <t>11/14/2007</t>
        </r>
        <r>
          <rPr>
            <b/>
            <sz val="8"/>
            <color indexed="81"/>
            <rFont val="Tahoma"/>
            <family val="2"/>
          </rPr>
          <t xml:space="preserve">
Comment: </t>
        </r>
        <r>
          <rPr>
            <sz val="8"/>
            <color indexed="81"/>
            <rFont val="Tahoma"/>
            <family val="2"/>
          </rPr>
          <t>$335M</t>
        </r>
        <r>
          <rPr>
            <b/>
            <sz val="8"/>
            <color indexed="81"/>
            <rFont val="Tahoma"/>
            <family val="2"/>
          </rPr>
          <t xml:space="preserve">
</t>
        </r>
        <r>
          <rPr>
            <sz val="8"/>
            <color indexed="81"/>
            <rFont val="Tahoma"/>
            <family val="2"/>
          </rPr>
          <t>8/15/2007:</t>
        </r>
        <r>
          <rPr>
            <b/>
            <sz val="8"/>
            <color indexed="81"/>
            <rFont val="Tahoma"/>
            <family val="2"/>
          </rPr>
          <t xml:space="preserve"> </t>
        </r>
        <r>
          <rPr>
            <sz val="8"/>
            <color indexed="81"/>
            <rFont val="Tahoma"/>
            <family val="2"/>
          </rPr>
          <t>$335M</t>
        </r>
        <r>
          <rPr>
            <b/>
            <sz val="8"/>
            <color indexed="81"/>
            <rFont val="Tahoma"/>
            <family val="2"/>
          </rPr>
          <t xml:space="preserve">
</t>
        </r>
        <r>
          <rPr>
            <sz val="8"/>
            <color indexed="81"/>
            <rFont val="Tahoma"/>
            <family val="2"/>
          </rPr>
          <t>2/27/2007: 2H $700M</t>
        </r>
        <r>
          <rPr>
            <sz val="8"/>
            <color indexed="81"/>
            <rFont val="Tahoma"/>
            <family val="2"/>
          </rPr>
          <t xml:space="preserve">
</t>
        </r>
      </text>
    </comment>
    <comment ref="CN41" authorId="2">
      <text>
        <r>
          <rPr>
            <b/>
            <u/>
            <sz val="8"/>
            <color indexed="81"/>
            <rFont val="Tahoma"/>
            <family val="2"/>
          </rPr>
          <t>Guidance</t>
        </r>
        <r>
          <rPr>
            <b/>
            <sz val="8"/>
            <color indexed="81"/>
            <rFont val="Tahoma"/>
            <family val="2"/>
          </rPr>
          <t xml:space="preserve">
Author</t>
        </r>
        <r>
          <rPr>
            <sz val="8"/>
            <color indexed="81"/>
            <rFont val="Tahoma"/>
            <family val="2"/>
          </rPr>
          <t xml:space="preserve">: Morgan Stanley
</t>
        </r>
        <r>
          <rPr>
            <b/>
            <sz val="8"/>
            <color indexed="81"/>
            <rFont val="Tahoma"/>
            <family val="2"/>
          </rPr>
          <t>Date</t>
        </r>
        <r>
          <rPr>
            <sz val="8"/>
            <color indexed="81"/>
            <rFont val="Tahoma"/>
            <family val="2"/>
          </rPr>
          <t xml:space="preserve">: 2/27/2007
</t>
        </r>
        <r>
          <rPr>
            <b/>
            <sz val="8"/>
            <color indexed="81"/>
            <rFont val="Tahoma"/>
            <family val="2"/>
          </rPr>
          <t>Comment</t>
        </r>
        <r>
          <rPr>
            <sz val="8"/>
            <color indexed="81"/>
            <rFont val="Tahoma"/>
            <family val="2"/>
          </rPr>
          <t>: 
$1.36bn</t>
        </r>
      </text>
    </comment>
    <comment ref="CS41" authorId="3">
      <text>
        <r>
          <rPr>
            <b/>
            <sz val="8"/>
            <color indexed="81"/>
            <rFont val="Tahoma"/>
            <family val="2"/>
          </rPr>
          <t xml:space="preserve">Guidance: 2/26/08
</t>
        </r>
        <r>
          <rPr>
            <sz val="8"/>
            <color indexed="81"/>
            <rFont val="Tahoma"/>
            <family val="2"/>
          </rPr>
          <t>$1.3Bn</t>
        </r>
        <r>
          <rPr>
            <b/>
            <sz val="8"/>
            <color indexed="81"/>
            <rFont val="Tahoma"/>
            <family val="2"/>
          </rPr>
          <t xml:space="preserve">
</t>
        </r>
      </text>
    </comment>
    <comment ref="FS52" authorId="1">
      <text>
        <r>
          <rPr>
            <b/>
            <sz val="9"/>
            <color indexed="81"/>
            <rFont val="Tahoma"/>
            <family val="2"/>
          </rPr>
          <t>Baglione, Gregory  (Research):</t>
        </r>
        <r>
          <rPr>
            <sz val="9"/>
            <color indexed="81"/>
            <rFont val="Tahoma"/>
            <family val="2"/>
          </rPr>
          <t xml:space="preserve">
expecting a modest increase in our EBITDA rate as a percent of sales in 2016,</t>
        </r>
      </text>
    </comment>
  </commentList>
</comments>
</file>

<file path=xl/comments3.xml><?xml version="1.0" encoding="utf-8"?>
<comments xmlns="http://schemas.openxmlformats.org/spreadsheetml/2006/main">
  <authors>
    <author>Michelle Clark</author>
    <author>balskyh</author>
    <author>Roberts, Cynthia (Research)</author>
    <author>De Courreges, Edouard (Research)</author>
    <author>DL</author>
    <author>Baglione, Gregory (Research)</author>
    <author>casselau</author>
    <author>duol</author>
    <author>Baglione, Gregory  (Research)</author>
    <author>Cassel, Lauren (Research)</author>
    <author>cuomochr</author>
  </authors>
  <commentList>
    <comment ref="H10" authorId="0">
      <text>
        <r>
          <rPr>
            <b/>
            <sz val="8"/>
            <color indexed="81"/>
            <rFont val="Tahoma"/>
            <family val="2"/>
          </rPr>
          <t>Note: 2/21/2012
1H $230M
Q4 &gt; Q1 and Q2</t>
        </r>
        <r>
          <rPr>
            <sz val="8"/>
            <color indexed="81"/>
            <rFont val="Tahoma"/>
            <family val="2"/>
          </rPr>
          <t xml:space="preserve">
</t>
        </r>
      </text>
    </comment>
    <comment ref="I10" authorId="0">
      <text>
        <r>
          <rPr>
            <b/>
            <sz val="8"/>
            <color indexed="81"/>
            <rFont val="Tahoma"/>
            <family val="2"/>
          </rPr>
          <t>Given on qtrly earnings call</t>
        </r>
        <r>
          <rPr>
            <sz val="8"/>
            <color indexed="81"/>
            <rFont val="Tahoma"/>
            <family val="2"/>
          </rPr>
          <t xml:space="preserve">
</t>
        </r>
      </text>
    </comment>
    <comment ref="L10" authorId="1">
      <text>
        <r>
          <rPr>
            <b/>
            <sz val="8"/>
            <color indexed="81"/>
            <rFont val="Tahoma"/>
            <family val="2"/>
          </rPr>
          <t xml:space="preserve">Per 2/21/12 Guidance:
</t>
        </r>
        <r>
          <rPr>
            <sz val="8"/>
            <color indexed="81"/>
            <rFont val="Tahoma"/>
            <family val="2"/>
          </rPr>
          <t xml:space="preserve">- income from credit $15-20M in 2012 (expect big variances vs. LY); expect strong credit performance w/ earnings more evenly distributed throughout the year
</t>
        </r>
        <r>
          <rPr>
            <b/>
            <sz val="8"/>
            <color indexed="81"/>
            <rFont val="Tahoma"/>
            <family val="2"/>
          </rPr>
          <t xml:space="preserve">
Commentary 11/9/11:
</t>
        </r>
        <r>
          <rPr>
            <sz val="8"/>
            <color indexed="81"/>
            <rFont val="Tahoma"/>
            <family val="2"/>
          </rPr>
          <t>Note: true up in credit occurs in 3Q every year</t>
        </r>
        <r>
          <rPr>
            <sz val="8"/>
            <color indexed="81"/>
            <rFont val="Tahoma"/>
            <family val="2"/>
          </rPr>
          <t xml:space="preserve">
1) Some benefit from credit in 2012, but less than 2011
2) M should be able to leverage SG&amp;A expense on a +3% comp, including credit, but modestly</t>
        </r>
      </text>
    </comment>
    <comment ref="M10" authorId="1">
      <text>
        <r>
          <rPr>
            <b/>
            <sz val="8"/>
            <color indexed="81"/>
            <rFont val="Tahoma"/>
            <family val="2"/>
          </rPr>
          <t xml:space="preserve">5/9/2012 Comment
</t>
        </r>
        <r>
          <rPr>
            <sz val="8"/>
            <color indexed="81"/>
            <rFont val="Tahoma"/>
            <family val="2"/>
          </rPr>
          <t>1) $43M benefit in 1Q, consistent w/ high-end of FY guidance for $15-20M benefit in 2012</t>
        </r>
      </text>
    </comment>
    <comment ref="AB10" authorId="2">
      <text>
        <r>
          <rPr>
            <b/>
            <sz val="9"/>
            <color indexed="81"/>
            <rFont val="Tahoma"/>
            <family val="2"/>
          </rPr>
          <t>Roberts, Cynthia (Research):</t>
        </r>
        <r>
          <rPr>
            <sz val="9"/>
            <color indexed="81"/>
            <rFont val="Tahoma"/>
            <family val="2"/>
          </rPr>
          <t xml:space="preserve">
5/11/16
Credit income was $182 million in the quarter, $3 million above last year. While our proprietary credit card penetration of 45.9% was 100 basis
points above last year, credit sales were below last year due to the overall sales trend. We still expect credit income to be slightly below last year on an annual basis, primarily as a result of the sales decline.</t>
        </r>
      </text>
    </comment>
    <comment ref="AF10" authorId="3">
      <text>
        <r>
          <rPr>
            <b/>
            <sz val="9"/>
            <color indexed="81"/>
            <rFont val="Tahoma"/>
            <family val="2"/>
          </rPr>
          <t>De Courreges, Edouard (Research):</t>
        </r>
        <r>
          <rPr>
            <sz val="9"/>
            <color indexed="81"/>
            <rFont val="Tahoma"/>
            <family val="2"/>
          </rPr>
          <t xml:space="preserve">
5/11/17: Karen -</t>
        </r>
        <r>
          <rPr>
            <b/>
            <sz val="9"/>
            <color indexed="81"/>
            <rFont val="Tahoma"/>
            <family val="2"/>
          </rPr>
          <t xml:space="preserve"> Credit income in the quarter was $180 million.</t>
        </r>
        <r>
          <rPr>
            <sz val="9"/>
            <color indexed="81"/>
            <rFont val="Tahoma"/>
            <family val="2"/>
          </rPr>
          <t xml:space="preserve"> Credit penetration was 45.4%, which is 50 basis points below last
year in the quarter, but 50 basis points above 2015. </t>
        </r>
      </text>
    </comment>
    <comment ref="H11" authorId="0">
      <text>
        <r>
          <rPr>
            <b/>
            <sz val="8"/>
            <color indexed="81"/>
            <rFont val="Tahoma"/>
            <family val="2"/>
          </rPr>
          <t>Note: 2/21/2012
1H $230M
Q4 &gt; Q1 and Q2</t>
        </r>
        <r>
          <rPr>
            <sz val="8"/>
            <color indexed="81"/>
            <rFont val="Tahoma"/>
            <family val="2"/>
          </rPr>
          <t xml:space="preserve">
</t>
        </r>
      </text>
    </comment>
    <comment ref="I11" authorId="0">
      <text>
        <r>
          <rPr>
            <b/>
            <sz val="8"/>
            <color indexed="81"/>
            <rFont val="Tahoma"/>
            <family val="2"/>
          </rPr>
          <t>Given on qtrly earnings call</t>
        </r>
        <r>
          <rPr>
            <sz val="8"/>
            <color indexed="81"/>
            <rFont val="Tahoma"/>
            <family val="2"/>
          </rPr>
          <t xml:space="preserve">
</t>
        </r>
      </text>
    </comment>
    <comment ref="M11" authorId="1">
      <text>
        <r>
          <rPr>
            <b/>
            <sz val="8"/>
            <color indexed="81"/>
            <rFont val="Tahoma"/>
            <family val="2"/>
          </rPr>
          <t xml:space="preserve">8/8/2012 
</t>
        </r>
        <r>
          <rPr>
            <sz val="8"/>
            <color indexed="81"/>
            <rFont val="Tahoma"/>
            <family val="2"/>
          </rPr>
          <t>$16M y/y</t>
        </r>
      </text>
    </comment>
    <comment ref="Q11" authorId="1">
      <text>
        <r>
          <rPr>
            <b/>
            <sz val="8"/>
            <color indexed="81"/>
            <rFont val="Tahoma"/>
            <family val="2"/>
          </rPr>
          <t xml:space="preserve">5/15/2013 guidance: </t>
        </r>
        <r>
          <rPr>
            <sz val="8"/>
            <color indexed="81"/>
            <rFont val="Tahoma"/>
            <family val="2"/>
          </rPr>
          <t>Expect 2Q credit expense up similar amount as 1Q &amp; up but by "a whole lot less" in 2H</t>
        </r>
      </text>
    </comment>
    <comment ref="AB11" authorId="2">
      <text>
        <r>
          <rPr>
            <b/>
            <sz val="9"/>
            <color indexed="81"/>
            <rFont val="Tahoma"/>
            <family val="2"/>
          </rPr>
          <t>Roberts, Cynthia (Research):</t>
        </r>
        <r>
          <rPr>
            <sz val="9"/>
            <color indexed="81"/>
            <rFont val="Tahoma"/>
            <family val="2"/>
          </rPr>
          <t xml:space="preserve">
8/11/16
Credit income in the quarter was $181 million, $14 million below last year,
due primarily to lower credit sales. The penetration of our proprietary credit cards was approximately 47% in the second quarter, down about 80
basis points from last year, but up over 100 basis points from 2014.</t>
        </r>
      </text>
    </comment>
    <comment ref="AF11" authorId="3">
      <text>
        <r>
          <rPr>
            <b/>
            <sz val="9"/>
            <color indexed="81"/>
            <rFont val="Tahoma"/>
            <family val="2"/>
          </rPr>
          <t>De Courreges, Edouard (Research):</t>
        </r>
        <r>
          <rPr>
            <sz val="9"/>
            <color indexed="81"/>
            <rFont val="Tahoma"/>
            <family val="2"/>
          </rPr>
          <t xml:space="preserve">
8/10/17: Karen on EPS call: Income from the credit in the quarter was $183 million
Credit penetration in the second quarter was approximately 46% or down 100 basis points. However, because people are paying slower, the balances were still quite high and enabled us to have the income that was $2 million above last year. So obviously, as we go to roll out this loyalty program, we're hoping to have a big impact on what's happened in penetration</t>
        </r>
      </text>
    </comment>
    <comment ref="H12" authorId="1">
      <text>
        <r>
          <rPr>
            <b/>
            <sz val="8"/>
            <color indexed="81"/>
            <rFont val="Tahoma"/>
            <family val="2"/>
          </rPr>
          <t>3Q11 10Q</t>
        </r>
      </text>
    </comment>
    <comment ref="I12" authorId="0">
      <text>
        <r>
          <rPr>
            <b/>
            <sz val="8"/>
            <color indexed="81"/>
            <rFont val="Tahoma"/>
            <family val="2"/>
          </rPr>
          <t>Given on qtrly earnings call</t>
        </r>
        <r>
          <rPr>
            <sz val="8"/>
            <color indexed="81"/>
            <rFont val="Tahoma"/>
            <family val="2"/>
          </rPr>
          <t xml:space="preserve">
</t>
        </r>
      </text>
    </comment>
    <comment ref="M12" authorId="1">
      <text>
        <r>
          <rPr>
            <b/>
            <sz val="8"/>
            <color indexed="81"/>
            <rFont val="Tahoma"/>
            <family val="2"/>
          </rPr>
          <t xml:space="preserve">11/7/2012: </t>
        </r>
        <r>
          <rPr>
            <sz val="8"/>
            <color indexed="81"/>
            <rFont val="Tahoma"/>
            <family val="2"/>
          </rPr>
          <t>credit -$23M y/y</t>
        </r>
        <r>
          <rPr>
            <b/>
            <sz val="8"/>
            <color indexed="81"/>
            <rFont val="Tahoma"/>
            <family val="2"/>
          </rPr>
          <t xml:space="preserve">
8/8/2012 Guidance
</t>
        </r>
        <r>
          <rPr>
            <sz val="8"/>
            <color indexed="81"/>
            <rFont val="Tahoma"/>
            <family val="2"/>
          </rPr>
          <t>1) SG&amp;A as a % of sales to decline in the fall; but in $ the % increase is expected to be higher than it was in the Spring
2) -$35/-40M impact from credit in 3Q</t>
        </r>
        <r>
          <rPr>
            <b/>
            <sz val="8"/>
            <color indexed="81"/>
            <rFont val="Tahoma"/>
            <family val="2"/>
          </rPr>
          <t xml:space="preserve">
Per 5/9/2012 Guidance:
</t>
        </r>
        <r>
          <rPr>
            <sz val="8"/>
            <color indexed="81"/>
            <rFont val="Tahoma"/>
            <family val="2"/>
          </rPr>
          <t>1) expect credit profitability $40-45M lower vs. LY</t>
        </r>
        <r>
          <rPr>
            <b/>
            <sz val="8"/>
            <color indexed="81"/>
            <rFont val="Tahoma"/>
            <family val="2"/>
          </rPr>
          <t xml:space="preserve">
Per 2/21/12 Guidance:
</t>
        </r>
        <r>
          <rPr>
            <sz val="8"/>
            <color indexed="81"/>
            <rFont val="Tahoma"/>
            <family val="2"/>
          </rPr>
          <t xml:space="preserve">-  expect strong credit performance in 2012 w/ earnings more evenly distributed throughout the year
</t>
        </r>
        <r>
          <rPr>
            <b/>
            <sz val="8"/>
            <color indexed="81"/>
            <rFont val="Tahoma"/>
            <family val="2"/>
          </rPr>
          <t xml:space="preserve">
Commentary 11/9/11:
</t>
        </r>
        <r>
          <rPr>
            <sz val="8"/>
            <color indexed="81"/>
            <rFont val="Tahoma"/>
            <family val="2"/>
          </rPr>
          <t>Note: true up in credit occurs in 3Q every year</t>
        </r>
        <r>
          <rPr>
            <sz val="8"/>
            <color indexed="81"/>
            <rFont val="Tahoma"/>
            <family val="2"/>
          </rPr>
          <t xml:space="preserve">
1) Some benefit from credit in 2012, but less than 2011
2) M should be able to leverage SG&amp;A expense on a +3% comp, including credit, but modestly</t>
        </r>
      </text>
    </comment>
    <comment ref="Q12" authorId="1">
      <text>
        <r>
          <rPr>
            <b/>
            <sz val="8"/>
            <color indexed="81"/>
            <rFont val="Tahoma"/>
            <family val="2"/>
          </rPr>
          <t xml:space="preserve">5/15/2013 guidance: </t>
        </r>
        <r>
          <rPr>
            <sz val="8"/>
            <color indexed="81"/>
            <rFont val="Tahoma"/>
            <family val="2"/>
          </rPr>
          <t>Expect 2Q credit expense up similar amount as 1Q &amp; up but by "a whole lot less" in 2H</t>
        </r>
      </text>
    </comment>
    <comment ref="U12" authorId="4">
      <text>
        <r>
          <rPr>
            <b/>
            <sz val="9"/>
            <color indexed="81"/>
            <rFont val="Tahoma"/>
            <family val="2"/>
          </rPr>
          <t xml:space="preserve">11/12/14: </t>
        </r>
        <r>
          <rPr>
            <sz val="9"/>
            <color indexed="81"/>
            <rFont val="Tahoma"/>
            <family val="2"/>
          </rPr>
          <t xml:space="preserve">Credit income was $182 million, $12 million higher than last year. Usage of our proprietary cards increased 10 basis points over last year in the quarter reaching 48.7%.
</t>
        </r>
      </text>
    </comment>
    <comment ref="AB12" authorId="5">
      <text>
        <r>
          <rPr>
            <b/>
            <sz val="9"/>
            <color indexed="81"/>
            <rFont val="Tahoma"/>
            <family val="2"/>
          </rPr>
          <t>Baglione, Gregory (Research):</t>
        </r>
        <r>
          <rPr>
            <sz val="9"/>
            <color indexed="81"/>
            <rFont val="Tahoma"/>
            <family val="2"/>
          </rPr>
          <t xml:space="preserve">
The third quarter of 2016 included asset sale gains of $41 million, $9 million of which related to the Macy's Brooklyn transaction and $32 million related to sales to General Growth Properties. This compares to $78 million of asset sale gains recognized in the third quarter of 2015. Income from credit operations was $165 million in the third quarter of 2016, a decrease of $12 million compared to $177 million recognized in the third quarter of 2015.
Impairments and Other Costs</t>
        </r>
      </text>
    </comment>
    <comment ref="AF12" authorId="3">
      <text>
        <r>
          <rPr>
            <b/>
            <sz val="9"/>
            <color indexed="81"/>
            <rFont val="Tahoma"/>
            <family val="2"/>
          </rPr>
          <t>De Courreges, Edouard (Research):</t>
        </r>
        <r>
          <rPr>
            <sz val="9"/>
            <color indexed="81"/>
            <rFont val="Tahoma"/>
            <family val="2"/>
          </rPr>
          <t xml:space="preserve">
161M from EPS call.
Penetration of cards 47.4% (down y/y)
</t>
        </r>
      </text>
    </comment>
    <comment ref="D13" authorId="1">
      <text>
        <r>
          <rPr>
            <b/>
            <sz val="8"/>
            <color indexed="81"/>
            <rFont val="Tahoma"/>
            <family val="2"/>
          </rPr>
          <t>Note:</t>
        </r>
        <r>
          <rPr>
            <sz val="8"/>
            <color indexed="81"/>
            <rFont val="Tahoma"/>
            <family val="2"/>
          </rPr>
          <t xml:space="preserve"> pulls out $1M to round to $332M for FY</t>
        </r>
      </text>
    </comment>
    <comment ref="H13" authorId="0">
      <text>
        <r>
          <rPr>
            <b/>
            <sz val="8"/>
            <color indexed="81"/>
            <rFont val="Tahoma"/>
            <family val="2"/>
          </rPr>
          <t>Note: 2/21/2012
$167 and change as per Matt</t>
        </r>
        <r>
          <rPr>
            <sz val="8"/>
            <color indexed="81"/>
            <rFont val="Tahoma"/>
            <family val="2"/>
          </rPr>
          <t xml:space="preserve">
</t>
        </r>
      </text>
    </comment>
    <comment ref="I13" authorId="0">
      <text>
        <r>
          <rPr>
            <b/>
            <sz val="8"/>
            <color indexed="81"/>
            <rFont val="Tahoma"/>
            <family val="2"/>
          </rPr>
          <t xml:space="preserve">Commentary 2/21/12:
</t>
        </r>
        <r>
          <rPr>
            <sz val="8"/>
            <color indexed="81"/>
            <rFont val="Tahoma"/>
            <family val="2"/>
          </rPr>
          <t>$59M</t>
        </r>
        <r>
          <rPr>
            <b/>
            <sz val="8"/>
            <color indexed="81"/>
            <rFont val="Tahoma"/>
            <family val="2"/>
          </rPr>
          <t xml:space="preserve">
Guidance: 11/9/2011
$55-60M</t>
        </r>
        <r>
          <rPr>
            <sz val="8"/>
            <color indexed="81"/>
            <rFont val="Tahoma"/>
            <family val="2"/>
          </rPr>
          <t xml:space="preserve">
</t>
        </r>
      </text>
    </comment>
    <comment ref="M13" authorId="1">
      <text>
        <r>
          <rPr>
            <b/>
            <sz val="8"/>
            <color indexed="81"/>
            <rFont val="Tahoma"/>
            <family val="2"/>
          </rPr>
          <t xml:space="preserve">2/26/2013 guidance: </t>
        </r>
        <r>
          <rPr>
            <sz val="8"/>
            <color indexed="81"/>
            <rFont val="Tahoma"/>
            <family val="2"/>
          </rPr>
          <t xml:space="preserve">4Q credit +$44M
</t>
        </r>
        <r>
          <rPr>
            <b/>
            <sz val="8"/>
            <color indexed="81"/>
            <rFont val="Tahoma"/>
            <family val="2"/>
          </rPr>
          <t xml:space="preserve">
11/7/2012 Guidance: </t>
        </r>
        <r>
          <rPr>
            <sz val="8"/>
            <color indexed="81"/>
            <rFont val="Tahoma"/>
            <family val="2"/>
          </rPr>
          <t>4Q credit +$25-30M</t>
        </r>
        <r>
          <rPr>
            <b/>
            <sz val="8"/>
            <color indexed="81"/>
            <rFont val="Tahoma"/>
            <family val="2"/>
          </rPr>
          <t xml:space="preserve">
5/9/2012 Guidance
</t>
        </r>
        <r>
          <rPr>
            <sz val="8"/>
            <color indexed="81"/>
            <rFont val="Tahoma"/>
            <family val="2"/>
          </rPr>
          <t>$15-20M benefit in 2012 
Note: 1Q benefit was consistent with higher end of guidance</t>
        </r>
        <r>
          <rPr>
            <b/>
            <sz val="8"/>
            <color indexed="81"/>
            <rFont val="Tahoma"/>
            <family val="2"/>
          </rPr>
          <t xml:space="preserve">
Per 2/21/12 Guidance:
</t>
        </r>
        <r>
          <rPr>
            <sz val="8"/>
            <color indexed="81"/>
            <rFont val="Tahoma"/>
            <family val="2"/>
          </rPr>
          <t>- expect to be able to continue to improve as % of sales
- income from credit $15-20M in 2012 (expect big variances vs. LY); expect strong credit performance w/ earnings more evenly distributed throughout the year
- expect retirement exp +$65M y/y
- expect D&amp;A -$25M y/y
- marketing $s flat y/y</t>
        </r>
        <r>
          <rPr>
            <b/>
            <sz val="8"/>
            <color indexed="81"/>
            <rFont val="Tahoma"/>
            <family val="2"/>
          </rPr>
          <t xml:space="preserve">
Commentary 11/9/11:
</t>
        </r>
        <r>
          <rPr>
            <sz val="8"/>
            <color indexed="81"/>
            <rFont val="Tahoma"/>
            <family val="2"/>
          </rPr>
          <t>Note: true up in credit occurs in 3Q every year</t>
        </r>
        <r>
          <rPr>
            <sz val="8"/>
            <color indexed="81"/>
            <rFont val="Tahoma"/>
            <family val="2"/>
          </rPr>
          <t xml:space="preserve">
1) Some benefit from credit in 2012, but less than 2011
2) M should be able to leverage SG&amp;A expense on a +3% comp, including credit, but modestly</t>
        </r>
      </text>
    </comment>
    <comment ref="Q13" authorId="1">
      <text>
        <r>
          <rPr>
            <b/>
            <sz val="8"/>
            <color indexed="81"/>
            <rFont val="Tahoma"/>
            <family val="2"/>
          </rPr>
          <t xml:space="preserve">5/15/2013 guidance: </t>
        </r>
        <r>
          <rPr>
            <sz val="8"/>
            <color indexed="81"/>
            <rFont val="Tahoma"/>
            <family val="2"/>
          </rPr>
          <t>Expect 2Q credit expense up similar amount as 1Q &amp; up but by "a whole lot less" in 2H</t>
        </r>
      </text>
    </comment>
    <comment ref="U13" authorId="6">
      <text>
        <r>
          <rPr>
            <b/>
            <sz val="9"/>
            <color indexed="81"/>
            <rFont val="Tahoma"/>
            <family val="2"/>
          </rPr>
          <t xml:space="preserve">casselau: </t>
        </r>
        <r>
          <rPr>
            <sz val="9"/>
            <color indexed="81"/>
            <rFont val="Tahoma"/>
            <family val="2"/>
          </rPr>
          <t xml:space="preserve">Credit income in the quarter was $240M, up $22M over last year. The usage of our proprietary credit cards reached 47.4%, which is 30 basis points above LY
</t>
        </r>
      </text>
    </comment>
    <comment ref="X13" authorId="2">
      <text>
        <r>
          <rPr>
            <b/>
            <sz val="9"/>
            <color indexed="81"/>
            <rFont val="Tahoma"/>
            <family val="2"/>
          </rPr>
          <t xml:space="preserve">Roberts, Cynthia (Research):
2/23/16 - 4Q EPS </t>
        </r>
        <r>
          <rPr>
            <sz val="9"/>
            <color indexed="81"/>
            <rFont val="Tahoma"/>
            <family val="2"/>
          </rPr>
          <t xml:space="preserve">
" As we transitioned to our new credit system platform
in the fall of 2015, we benefited from stronger-than-expected portfolio yields. Going forward, we are closely monitoring a rise in delinquency levels
that could generate some increase in losses in 2016"</t>
        </r>
      </text>
    </comment>
    <comment ref="AB13" authorId="2">
      <text>
        <r>
          <rPr>
            <b/>
            <sz val="9"/>
            <color indexed="81"/>
            <rFont val="Tahoma"/>
            <family val="2"/>
          </rPr>
          <t>Roberts, Cynthia (Research):</t>
        </r>
        <r>
          <rPr>
            <sz val="9"/>
            <color indexed="81"/>
            <rFont val="Tahoma"/>
            <family val="2"/>
          </rPr>
          <t xml:space="preserve">
2/21/17
The SG&amp;A reductions were offset primarily by expense associated with our fast-growing digital business as well as by $72 million lower credit income than last year in the quarter. While we expected credit income to be below last year, it was worse than expected due to the lower sales, lower card usage, with our proprietary penetration in the fourth quarter of 47.1% compared to 47.9% last year, as well as lower late fees. 
</t>
        </r>
      </text>
    </comment>
    <comment ref="AF13" authorId="3">
      <text>
        <r>
          <rPr>
            <b/>
            <sz val="9"/>
            <color indexed="81"/>
            <rFont val="Tahoma"/>
            <family val="2"/>
          </rPr>
          <t>De Courreges, Edouard (Research):</t>
        </r>
        <r>
          <rPr>
            <sz val="9"/>
            <color indexed="81"/>
            <rFont val="Tahoma"/>
            <family val="2"/>
          </rPr>
          <t xml:space="preserve">
$214M</t>
        </r>
      </text>
    </comment>
    <comment ref="D14" authorId="0">
      <text>
        <r>
          <rPr>
            <b/>
            <sz val="8"/>
            <color indexed="81"/>
            <rFont val="Tahoma"/>
            <family val="2"/>
          </rPr>
          <t>In the 10K</t>
        </r>
        <r>
          <rPr>
            <sz val="8"/>
            <color indexed="81"/>
            <rFont val="Tahoma"/>
            <family val="2"/>
          </rPr>
          <t xml:space="preserve">
</t>
        </r>
      </text>
    </comment>
    <comment ref="L14" authorId="1">
      <text>
        <r>
          <rPr>
            <b/>
            <sz val="8"/>
            <color indexed="81"/>
            <rFont val="Tahoma"/>
            <family val="2"/>
          </rPr>
          <t xml:space="preserve">Per 2/21/12 Guidance:
-tilt more towards 4Q, others straight-line
</t>
        </r>
        <r>
          <rPr>
            <sz val="8"/>
            <color indexed="81"/>
            <rFont val="Tahoma"/>
            <family val="2"/>
          </rPr>
          <t xml:space="preserve">- income from credit $15-20M in 2012 (expect big variances vs. LY); expect strong credit performance w/ earnings more evenly distributed throughout the year
</t>
        </r>
        <r>
          <rPr>
            <b/>
            <sz val="8"/>
            <color indexed="81"/>
            <rFont val="Tahoma"/>
            <family val="2"/>
          </rPr>
          <t xml:space="preserve">
Commentary 11/9/11:
</t>
        </r>
        <r>
          <rPr>
            <sz val="8"/>
            <color indexed="81"/>
            <rFont val="Tahoma"/>
            <family val="2"/>
          </rPr>
          <t>Note: true up in credit occurs in 3Q every year</t>
        </r>
        <r>
          <rPr>
            <sz val="8"/>
            <color indexed="81"/>
            <rFont val="Tahoma"/>
            <family val="2"/>
          </rPr>
          <t xml:space="preserve">
1) Some benefit from credit in 2012, but less than 2011
2) M should be able to leverage SG&amp;A expense on a +3% comp, including credit, but modestly</t>
        </r>
      </text>
    </comment>
    <comment ref="M14" authorId="1">
      <text>
        <r>
          <rPr>
            <b/>
            <sz val="8"/>
            <color indexed="81"/>
            <rFont val="Tahoma"/>
            <family val="2"/>
          </rPr>
          <t xml:space="preserve">5/9/2012 Guidance
</t>
        </r>
        <r>
          <rPr>
            <sz val="8"/>
            <color indexed="81"/>
            <rFont val="Tahoma"/>
            <family val="2"/>
          </rPr>
          <t>$15-20M benefit in 2012 
Note: 1Q benefit was consistent with higher end of guidance</t>
        </r>
        <r>
          <rPr>
            <b/>
            <sz val="8"/>
            <color indexed="81"/>
            <rFont val="Tahoma"/>
            <family val="2"/>
          </rPr>
          <t xml:space="preserve">
Per 2/21/12 Guidance:
</t>
        </r>
        <r>
          <rPr>
            <sz val="8"/>
            <color indexed="81"/>
            <rFont val="Tahoma"/>
            <family val="2"/>
          </rPr>
          <t>- expect to be able to continue to improve as % of sales
- income from credit $15-20M in 2012 (expect big variances vs. LY); expect strong credit performance w/ earnings more evenly distributed throughout the year
- expect retirement exp +$65M y/y
- expect D&amp;A -$25M y/y
- marketing $s flat y/y</t>
        </r>
        <r>
          <rPr>
            <b/>
            <sz val="8"/>
            <color indexed="81"/>
            <rFont val="Tahoma"/>
            <family val="2"/>
          </rPr>
          <t xml:space="preserve">
Commentary 11/9/11:
</t>
        </r>
        <r>
          <rPr>
            <sz val="8"/>
            <color indexed="81"/>
            <rFont val="Tahoma"/>
            <family val="2"/>
          </rPr>
          <t>Note: true up in credit occurs in 3Q every year</t>
        </r>
        <r>
          <rPr>
            <sz val="8"/>
            <color indexed="81"/>
            <rFont val="Tahoma"/>
            <family val="2"/>
          </rPr>
          <t xml:space="preserve">
1) Some benefit from credit in 2012, but less than 2011
2) M should be able to leverage SG&amp;A expense on a +3% comp, including credit, but modestly</t>
        </r>
      </text>
    </comment>
    <comment ref="Q14" authorId="1">
      <text>
        <r>
          <rPr>
            <b/>
            <sz val="8"/>
            <color indexed="81"/>
            <rFont val="Tahoma"/>
            <family val="2"/>
          </rPr>
          <t>5/15/2013 guidance:</t>
        </r>
        <r>
          <rPr>
            <sz val="8"/>
            <color indexed="81"/>
            <rFont val="Tahoma"/>
            <family val="2"/>
          </rPr>
          <t xml:space="preserve"> Expect 2Q credit expense up similar amount as 1Q &amp; up but by "a whole lot less" in 2H</t>
        </r>
        <r>
          <rPr>
            <b/>
            <sz val="8"/>
            <color indexed="81"/>
            <rFont val="Tahoma"/>
            <family val="2"/>
          </rPr>
          <t xml:space="preserve">
2/26/2013 guidance:</t>
        </r>
        <r>
          <rPr>
            <sz val="8"/>
            <color indexed="81"/>
            <rFont val="Tahoma"/>
            <family val="2"/>
          </rPr>
          <t xml:space="preserve"> +$10-15M</t>
        </r>
      </text>
    </comment>
    <comment ref="T14" authorId="7">
      <text>
        <r>
          <rPr>
            <b/>
            <sz val="8"/>
            <color indexed="81"/>
            <rFont val="Tahoma"/>
            <family val="2"/>
          </rPr>
          <t xml:space="preserve">2/25/14: </t>
        </r>
        <r>
          <rPr>
            <sz val="8"/>
            <color indexed="81"/>
            <rFont val="Tahoma"/>
            <family val="2"/>
          </rPr>
          <t>Credit income to increase y/y but less in the magnitude of the increase</t>
        </r>
        <r>
          <rPr>
            <sz val="8"/>
            <color indexed="81"/>
            <rFont val="Tahoma"/>
            <family val="2"/>
          </rPr>
          <t xml:space="preserve">
</t>
        </r>
      </text>
    </comment>
    <comment ref="X14" authorId="6">
      <text>
        <r>
          <rPr>
            <b/>
            <sz val="9"/>
            <color indexed="81"/>
            <rFont val="Tahoma"/>
            <family val="2"/>
          </rPr>
          <t>casselau:</t>
        </r>
        <r>
          <rPr>
            <sz val="9"/>
            <color indexed="81"/>
            <rFont val="Tahoma"/>
            <family val="2"/>
          </rPr>
          <t xml:space="preserve">
2/25/15: Karen - flat to down slightly (may be lumpy)</t>
        </r>
      </text>
    </comment>
    <comment ref="AB14" authorId="8">
      <text>
        <r>
          <rPr>
            <b/>
            <sz val="9"/>
            <color indexed="81"/>
            <rFont val="Tahoma"/>
            <family val="2"/>
          </rPr>
          <t>Baglione, Gregory  (Research):</t>
        </r>
        <r>
          <rPr>
            <sz val="9"/>
            <color indexed="81"/>
            <rFont val="Tahoma"/>
            <family val="2"/>
          </rPr>
          <t xml:space="preserve">
Expect to be down y/y.</t>
        </r>
      </text>
    </comment>
    <comment ref="AF14" authorId="2">
      <text>
        <r>
          <rPr>
            <b/>
            <sz val="9"/>
            <color indexed="81"/>
            <rFont val="Tahoma"/>
            <family val="2"/>
          </rPr>
          <t>Roberts, Cynthia (Research):</t>
        </r>
        <r>
          <rPr>
            <sz val="9"/>
            <color indexed="81"/>
            <rFont val="Tahoma"/>
            <family val="2"/>
          </rPr>
          <t xml:space="preserve">
2/27/18 - $738M
2/21/17 - Guidance: credit income for the year is assumed to be approximately $740M to $760M</t>
        </r>
      </text>
    </comment>
    <comment ref="AB20" authorId="2">
      <text>
        <r>
          <rPr>
            <b/>
            <sz val="9"/>
            <color indexed="81"/>
            <rFont val="Tahoma"/>
            <family val="2"/>
          </rPr>
          <t>Roberts, Cynthia (Research):</t>
        </r>
        <r>
          <rPr>
            <sz val="9"/>
            <color indexed="81"/>
            <rFont val="Tahoma"/>
            <family val="2"/>
          </rPr>
          <t xml:space="preserve">
5/11/16
Asset sale gains in the quarter were $14 million, $4 million associated with Brooklyn and $10 million for other asset sales.</t>
        </r>
      </text>
    </comment>
    <comment ref="AF20" authorId="2">
      <text>
        <r>
          <rPr>
            <b/>
            <sz val="9"/>
            <color indexed="81"/>
            <rFont val="Tahoma"/>
            <family val="2"/>
          </rPr>
          <t>Roberts, Cynthia (Research):</t>
        </r>
        <r>
          <rPr>
            <sz val="9"/>
            <color indexed="81"/>
            <rFont val="Tahoma"/>
            <family val="2"/>
          </rPr>
          <t xml:space="preserve">
5/11/17: received cash proceeds associated with real estate transactions of $96 million and </t>
        </r>
        <r>
          <rPr>
            <b/>
            <sz val="9"/>
            <color indexed="81"/>
            <rFont val="Tahoma"/>
            <family val="2"/>
          </rPr>
          <t xml:space="preserve">booked $68 million of real estate gains. </t>
        </r>
        <r>
          <rPr>
            <sz val="9"/>
            <color indexed="81"/>
            <rFont val="Tahoma"/>
            <family val="2"/>
          </rPr>
          <t xml:space="preserve">Of these gains, $47 million were related to the sale of the company’s Downtown Minneapolis and $9 million associated with the Brooklyn transaction
3/1/17: Downtown Minneapolis sale completed, purchase price $59M, Macy's will record a </t>
        </r>
        <r>
          <rPr>
            <b/>
            <sz val="9"/>
            <color indexed="81"/>
            <rFont val="Tahoma"/>
            <family val="2"/>
          </rPr>
          <t>$47M asset gain in 1Q17.</t>
        </r>
      </text>
    </comment>
    <comment ref="AB21" authorId="2">
      <text>
        <r>
          <rPr>
            <b/>
            <sz val="9"/>
            <color indexed="81"/>
            <rFont val="Tahoma"/>
            <family val="2"/>
          </rPr>
          <t xml:space="preserve">Roberts, Cynthia (Research):
8/11/16
</t>
        </r>
        <r>
          <rPr>
            <sz val="9"/>
            <color indexed="81"/>
            <rFont val="Tahoma"/>
            <family val="2"/>
          </rPr>
          <t xml:space="preserve">
SG&amp;A in the quarter was $2.026 billion, or 34.5% of sales. This is $32 million, or 1.6%, below last year in the quarter, due primarily to $21 million in
asset sale gains in the quarter versus none during the second quarter last year. The portion of the Brooklyn gain that was booked in the quarter
was $11 million and gains on other asset sales were $10 million</t>
        </r>
      </text>
    </comment>
    <comment ref="AF21" authorId="3">
      <text>
        <r>
          <rPr>
            <b/>
            <sz val="9"/>
            <color indexed="81"/>
            <rFont val="Tahoma"/>
            <family val="2"/>
          </rPr>
          <t>De Courreges, Edouard (Research):</t>
        </r>
        <r>
          <rPr>
            <sz val="9"/>
            <color indexed="81"/>
            <rFont val="Tahoma"/>
            <family val="2"/>
          </rPr>
          <t xml:space="preserve">
Operating income for the second quarter included $43 million in book gains
related to the sales of real estate</t>
        </r>
      </text>
    </comment>
    <comment ref="AB22" authorId="2">
      <text>
        <r>
          <rPr>
            <b/>
            <sz val="9"/>
            <color indexed="81"/>
            <rFont val="Tahoma"/>
            <family val="2"/>
          </rPr>
          <t>Roberts, Cynthia (Research):</t>
        </r>
        <r>
          <rPr>
            <sz val="9"/>
            <color indexed="81"/>
            <rFont val="Tahoma"/>
            <family val="2"/>
          </rPr>
          <t xml:space="preserve">
11/10/16
Most of the gains in the quarter this year relate to the transaction announced last week with General Growth Properties, as well as the $9 million
booked relating to the Brooklyn transaction in the quarter.</t>
        </r>
      </text>
    </comment>
    <comment ref="AF22" authorId="3">
      <text>
        <r>
          <rPr>
            <b/>
            <sz val="9"/>
            <color indexed="81"/>
            <rFont val="Tahoma"/>
            <family val="2"/>
          </rPr>
          <t>De Courreges, Edouard (Research):</t>
        </r>
        <r>
          <rPr>
            <sz val="9"/>
            <color indexed="81"/>
            <rFont val="Tahoma"/>
            <family val="2"/>
          </rPr>
          <t xml:space="preserve">
$65M gains on real estate
40M from Seattle downtown
22 from BK
3 from various others</t>
        </r>
      </text>
    </comment>
    <comment ref="X23" authorId="2">
      <text>
        <r>
          <rPr>
            <b/>
            <sz val="9"/>
            <color indexed="81"/>
            <rFont val="Tahoma"/>
            <family val="2"/>
          </rPr>
          <t>Roberts, Cynthia (Research):</t>
        </r>
        <r>
          <rPr>
            <sz val="9"/>
            <color indexed="81"/>
            <rFont val="Tahoma"/>
            <family val="2"/>
          </rPr>
          <t xml:space="preserve">
</t>
        </r>
        <r>
          <rPr>
            <b/>
            <sz val="9"/>
            <color indexed="81"/>
            <rFont val="Tahoma"/>
            <family val="2"/>
          </rPr>
          <t xml:space="preserve">2/23/16
</t>
        </r>
        <r>
          <rPr>
            <sz val="9"/>
            <color indexed="81"/>
            <rFont val="Tahoma"/>
            <family val="2"/>
          </rPr>
          <t xml:space="preserve">
"Included in the SG&amp;A were asset
sale gains of approximately $114 million. This compares to $36 million last year. Included in this number is $84 million associated with the Brooklyn
transaction, $18 million for the sale of one of our Mission Valley stores in San Diego, and approximately $12 million in other miscellaneous asset
sale gains."</t>
        </r>
      </text>
    </comment>
    <comment ref="AB23" authorId="2">
      <text>
        <r>
          <rPr>
            <b/>
            <sz val="9"/>
            <color indexed="81"/>
            <rFont val="Tahoma"/>
            <family val="2"/>
          </rPr>
          <t>Roberts, Cynthia (Research):</t>
        </r>
        <r>
          <rPr>
            <sz val="9"/>
            <color indexed="81"/>
            <rFont val="Tahoma"/>
            <family val="2"/>
          </rPr>
          <t xml:space="preserve">
2/21/17 - 4Q EPS
In fiscal 2016, the company's asset sales totaled $673 million in cash proceeds ($209 million in book gains).
This year in the fourth quarter, we booked asset sale gains of $133 million. This includes $10 million for Brooklyn and $123 million relating to other assets. There were no gains on sales of flagship properties in the fourth quarter or in the full year. We did complete the sale of the Union Square Men's Store in the quarter and received the cash, but the gain will be booked in the fourth quarter of 2017. The downtown Minneapolis transaction did not close during the quarter, but we do expect that it will close shortly.</t>
        </r>
      </text>
    </comment>
    <comment ref="AF23" authorId="5">
      <text>
        <r>
          <rPr>
            <b/>
            <sz val="9"/>
            <color indexed="81"/>
            <rFont val="Tahoma"/>
            <family val="2"/>
          </rPr>
          <t>Baglione, Gregory (Research):</t>
        </r>
        <r>
          <rPr>
            <sz val="9"/>
            <color indexed="81"/>
            <rFont val="Tahoma"/>
            <family val="2"/>
          </rPr>
          <t xml:space="preserve">
2/27/18:
$234M Union Sq
$21M Brooklyn
$113 Other
2/21/17 - "we are assuming book gains from asset sales for Union Square of $236 million. And we are also assuming $100 million, roughly, book gain for Brooklyn and $80 million to $100 million for other properties. So excluding the Union Square gain, the asset sale gains are assumed to be $180 million to $200 million, which compares to $209 million in 2016"
</t>
        </r>
        <r>
          <rPr>
            <b/>
            <sz val="9"/>
            <color indexed="81"/>
            <rFont val="Tahoma"/>
            <family val="2"/>
          </rPr>
          <t>We assume $236M Union Square gain + $50M other gains ($200/4)</t>
        </r>
        <r>
          <rPr>
            <sz val="9"/>
            <color indexed="81"/>
            <rFont val="Tahoma"/>
            <family val="2"/>
          </rPr>
          <t xml:space="preserve">
1/20/17
Follow up with management: Union Square Expected to close in Jan 18th ~$235M. We are modeling $100M for now in anticipation that they will sell Minn. Store which would be a benefit to 4Q16.</t>
        </r>
      </text>
    </comment>
    <comment ref="T24" authorId="7">
      <text>
        <r>
          <rPr>
            <b/>
            <sz val="8"/>
            <color indexed="81"/>
            <rFont val="Tahoma"/>
            <family val="2"/>
          </rPr>
          <t xml:space="preserve">2/25/14: </t>
        </r>
        <r>
          <rPr>
            <sz val="8"/>
            <color indexed="81"/>
            <rFont val="Tahoma"/>
            <family val="2"/>
          </rPr>
          <t>Credit income to increase y/y but less in the magnitude of the increase</t>
        </r>
        <r>
          <rPr>
            <sz val="8"/>
            <color indexed="81"/>
            <rFont val="Tahoma"/>
            <family val="2"/>
          </rPr>
          <t xml:space="preserve">
</t>
        </r>
      </text>
    </comment>
    <comment ref="X24" authorId="6">
      <text>
        <r>
          <rPr>
            <b/>
            <sz val="9"/>
            <color indexed="81"/>
            <rFont val="Tahoma"/>
            <family val="2"/>
          </rPr>
          <t>casselau:</t>
        </r>
        <r>
          <rPr>
            <sz val="9"/>
            <color indexed="81"/>
            <rFont val="Tahoma"/>
            <family val="2"/>
          </rPr>
          <t xml:space="preserve">
2/25/15: Karen - flat to down slightly (may be lumpy)</t>
        </r>
      </text>
    </comment>
    <comment ref="AB24" authorId="8">
      <text>
        <r>
          <rPr>
            <b/>
            <sz val="9"/>
            <color indexed="81"/>
            <rFont val="Tahoma"/>
            <family val="2"/>
          </rPr>
          <t>Baglione, Gregory  (Research):</t>
        </r>
        <r>
          <rPr>
            <sz val="9"/>
            <color indexed="81"/>
            <rFont val="Tahoma"/>
            <family val="2"/>
          </rPr>
          <t xml:space="preserve">
Expect to be down y/y.</t>
        </r>
      </text>
    </comment>
    <comment ref="AF24" authorId="5">
      <text>
        <r>
          <rPr>
            <b/>
            <sz val="9"/>
            <color indexed="81"/>
            <rFont val="Tahoma"/>
            <family val="2"/>
          </rPr>
          <t>Baglione, Gregory (Research):
2/21/17 - 4Q EPS
we are assuming book gains from asset sales for Union Square
of $236 million. And we are also assuming $100 million, roughly, book gain for Brooklyn and $80 million to $100 million for other properties. So excluding the Union Square gain, the asset sale gains are assumed to be $180 million to $200 million, which compares to $209 million in 2016</t>
        </r>
        <r>
          <rPr>
            <sz val="9"/>
            <color indexed="81"/>
            <rFont val="Tahoma"/>
            <family val="2"/>
          </rPr>
          <t xml:space="preserve">
Pension is a credit right now. Originally had a traditional  pension. Froze the program to new entrants and then the current program they are no longer doing service credits (so sarah as a small balance in pension) she no longer has service credits, but her current balance will continue to grow.
In the 10-K they also break out marketing.
Selling expense 
2016 Real Estate:
$130M left on the Brooklyn gain
Anticipation that that Minnepaolis would close in 2016, so there would be a gain in 2016 for it.
That's over and above the guidance given.
Portland &amp; Stone Street.
2017 
Union Square: January 2018
Brooklyn:
Alexandria: Only disclose if they are a material amount. </t>
        </r>
      </text>
    </comment>
    <comment ref="AJ24" authorId="3">
      <text>
        <r>
          <rPr>
            <b/>
            <sz val="9"/>
            <color indexed="81"/>
            <rFont val="Tahoma"/>
            <family val="2"/>
          </rPr>
          <t>De Courreges, Edouard (Research):</t>
        </r>
        <r>
          <rPr>
            <sz val="9"/>
            <color indexed="81"/>
            <rFont val="Tahoma"/>
            <family val="2"/>
          </rPr>
          <t xml:space="preserve">
2/27/18: Real estate gains guidance of 300-325</t>
        </r>
      </text>
    </comment>
    <comment ref="A29" authorId="5">
      <text>
        <r>
          <rPr>
            <b/>
            <sz val="9"/>
            <color indexed="81"/>
            <rFont val="Tahoma"/>
            <family val="2"/>
          </rPr>
          <t>Baglione, Gregory (Research):</t>
        </r>
        <r>
          <rPr>
            <sz val="9"/>
            <color indexed="81"/>
            <rFont val="Tahoma"/>
            <family val="2"/>
          </rPr>
          <t xml:space="preserve">
Pension is a credit right now. Originally had a traditional  pension. Froze the program to new entrants and then the current program they are no longer doing service credits (so sarah as a small balance in pension) she no longer has service credits, but her current balance will continue to grow.
In the 10-K they also break out marketing.
Selling expense 
</t>
        </r>
        <r>
          <rPr>
            <b/>
            <sz val="9"/>
            <color indexed="81"/>
            <rFont val="Tahoma"/>
            <family val="2"/>
          </rPr>
          <t xml:space="preserve">
2016 Real Estate</t>
        </r>
        <r>
          <rPr>
            <b/>
            <u/>
            <sz val="9"/>
            <color indexed="81"/>
            <rFont val="Tahoma"/>
            <family val="2"/>
          </rPr>
          <t>:</t>
        </r>
        <r>
          <rPr>
            <sz val="9"/>
            <color indexed="81"/>
            <rFont val="Tahoma"/>
            <family val="2"/>
          </rPr>
          <t xml:space="preserve">
$130M left on the Brooklyn gain
Anticipation that that Minnepaolis would close in 2016, so there would be a gain in 2016 for it.
That's over and above the guidance given.
Portland &amp; Stone Street.</t>
        </r>
        <r>
          <rPr>
            <b/>
            <sz val="9"/>
            <color indexed="81"/>
            <rFont val="Tahoma"/>
            <family val="2"/>
          </rPr>
          <t xml:space="preserve">
</t>
        </r>
        <r>
          <rPr>
            <b/>
            <u/>
            <sz val="9"/>
            <color indexed="81"/>
            <rFont val="Tahoma"/>
            <family val="2"/>
          </rPr>
          <t xml:space="preserve">2017 </t>
        </r>
        <r>
          <rPr>
            <b/>
            <sz val="9"/>
            <color indexed="81"/>
            <rFont val="Tahoma"/>
            <family val="2"/>
          </rPr>
          <t xml:space="preserve">
</t>
        </r>
        <r>
          <rPr>
            <sz val="9"/>
            <color indexed="81"/>
            <rFont val="Tahoma"/>
            <family val="2"/>
          </rPr>
          <t xml:space="preserve">Union Square: January 2018
Brooklyn:
Alexandria: Only disclose if they are a material amount. </t>
        </r>
      </text>
    </comment>
    <comment ref="M31" authorId="0">
      <text>
        <r>
          <rPr>
            <b/>
            <sz val="8"/>
            <color indexed="81"/>
            <rFont val="Tahoma"/>
            <family val="2"/>
          </rPr>
          <t>Note: 5/9/2012
$16M as per IR</t>
        </r>
        <r>
          <rPr>
            <sz val="8"/>
            <color indexed="81"/>
            <rFont val="Tahoma"/>
            <family val="2"/>
          </rPr>
          <t xml:space="preserve">
</t>
        </r>
      </text>
    </comment>
    <comment ref="AB31" authorId="3">
      <text>
        <r>
          <rPr>
            <b/>
            <sz val="9"/>
            <color indexed="81"/>
            <rFont val="Tahoma"/>
            <family val="2"/>
          </rPr>
          <t>De Courreges, Edouard (Research):</t>
        </r>
        <r>
          <rPr>
            <sz val="9"/>
            <color indexed="81"/>
            <rFont val="Tahoma"/>
            <family val="2"/>
          </rPr>
          <t xml:space="preserve">
$13M</t>
        </r>
      </text>
    </comment>
    <comment ref="AF31" authorId="9">
      <text>
        <r>
          <rPr>
            <b/>
            <sz val="9"/>
            <color indexed="81"/>
            <rFont val="Tahoma"/>
            <family val="2"/>
          </rPr>
          <t>Cassel, Lauren (Research):</t>
        </r>
        <r>
          <rPr>
            <sz val="9"/>
            <color indexed="81"/>
            <rFont val="Tahoma"/>
            <family val="2"/>
          </rPr>
          <t xml:space="preserve">
5/11/17: per Matt, flat y/y</t>
        </r>
      </text>
    </comment>
    <comment ref="M32" authorId="1">
      <text>
        <r>
          <rPr>
            <b/>
            <sz val="8"/>
            <color indexed="81"/>
            <rFont val="Tahoma"/>
            <family val="2"/>
          </rPr>
          <t xml:space="preserve">8/8/2012 Comment
</t>
        </r>
        <r>
          <rPr>
            <sz val="8"/>
            <color indexed="81"/>
            <rFont val="Tahoma"/>
            <family val="2"/>
          </rPr>
          <t>+$19M y/y</t>
        </r>
      </text>
    </comment>
    <comment ref="AB32" authorId="3">
      <text>
        <r>
          <rPr>
            <b/>
            <sz val="9"/>
            <color indexed="81"/>
            <rFont val="Tahoma"/>
            <family val="2"/>
          </rPr>
          <t>De Courreges, Edouard (Research):</t>
        </r>
        <r>
          <rPr>
            <sz val="9"/>
            <color indexed="81"/>
            <rFont val="Tahoma"/>
            <family val="2"/>
          </rPr>
          <t xml:space="preserve">
$12M</t>
        </r>
      </text>
    </comment>
    <comment ref="AF32" authorId="3">
      <text>
        <r>
          <rPr>
            <b/>
            <sz val="9"/>
            <color indexed="81"/>
            <rFont val="Tahoma"/>
            <family val="2"/>
          </rPr>
          <t>De Courreges, Edouard (Research):</t>
        </r>
        <r>
          <rPr>
            <sz val="9"/>
            <color indexed="81"/>
            <rFont val="Tahoma"/>
            <family val="2"/>
          </rPr>
          <t xml:space="preserve">
8/10/17: no guidance</t>
        </r>
      </text>
    </comment>
    <comment ref="M33" authorId="1">
      <text>
        <r>
          <rPr>
            <b/>
            <sz val="8"/>
            <color indexed="81"/>
            <rFont val="Tahoma"/>
            <family val="2"/>
          </rPr>
          <t xml:space="preserve">11/7/2012: </t>
        </r>
        <r>
          <rPr>
            <sz val="8"/>
            <color indexed="81"/>
            <rFont val="Tahoma"/>
            <family val="2"/>
          </rPr>
          <t>$17M</t>
        </r>
        <r>
          <rPr>
            <b/>
            <sz val="8"/>
            <color indexed="81"/>
            <rFont val="Tahoma"/>
            <family val="2"/>
          </rPr>
          <t xml:space="preserve">
8/8/2012 Guidance
~</t>
        </r>
        <r>
          <rPr>
            <sz val="8"/>
            <color indexed="81"/>
            <rFont val="Tahoma"/>
            <family val="2"/>
          </rPr>
          <t>+$19M</t>
        </r>
      </text>
    </comment>
    <comment ref="U33" authorId="4">
      <text>
        <r>
          <rPr>
            <b/>
            <sz val="9"/>
            <color indexed="81"/>
            <rFont val="Tahoma"/>
            <family val="2"/>
          </rPr>
          <t xml:space="preserve">11/12/14: </t>
        </r>
        <r>
          <rPr>
            <sz val="9"/>
            <color indexed="81"/>
            <rFont val="Tahoma"/>
            <family val="2"/>
          </rPr>
          <t xml:space="preserve">Retirement expense was $42 million below last year in the third quarter. This is actually better than expected, and we're now trending to approximately $165 million lower retirement expense than last year for the full year versus our prior guidance of $150 million reduction.
</t>
        </r>
      </text>
    </comment>
    <comment ref="AB33" authorId="3">
      <text>
        <r>
          <rPr>
            <b/>
            <sz val="9"/>
            <color indexed="81"/>
            <rFont val="Tahoma"/>
            <family val="2"/>
          </rPr>
          <t>De Courreges, Edouard (Research):</t>
        </r>
        <r>
          <rPr>
            <sz val="9"/>
            <color indexed="81"/>
            <rFont val="Tahoma"/>
            <family val="2"/>
          </rPr>
          <t xml:space="preserve">
$9M</t>
        </r>
      </text>
    </comment>
    <comment ref="AF33" authorId="3">
      <text>
        <r>
          <rPr>
            <b/>
            <sz val="9"/>
            <color indexed="81"/>
            <rFont val="Tahoma"/>
            <family val="2"/>
          </rPr>
          <t>De Courreges, Edouard (Research):</t>
        </r>
        <r>
          <rPr>
            <sz val="9"/>
            <color indexed="81"/>
            <rFont val="Tahoma"/>
            <family val="2"/>
          </rPr>
          <t xml:space="preserve">
3Q EPS similar to last year</t>
        </r>
      </text>
    </comment>
    <comment ref="M34" authorId="1">
      <text>
        <r>
          <rPr>
            <b/>
            <sz val="8"/>
            <color indexed="81"/>
            <rFont val="Tahoma"/>
            <family val="2"/>
          </rPr>
          <t xml:space="preserve">2/26/2013: </t>
        </r>
        <r>
          <rPr>
            <sz val="8"/>
            <color indexed="81"/>
            <rFont val="Tahoma"/>
            <family val="2"/>
          </rPr>
          <t>+16M y/y</t>
        </r>
        <r>
          <rPr>
            <b/>
            <sz val="8"/>
            <color indexed="81"/>
            <rFont val="Tahoma"/>
            <family val="2"/>
          </rPr>
          <t xml:space="preserve">
11/7/2012 Guidance
</t>
        </r>
        <r>
          <rPr>
            <sz val="8"/>
            <color indexed="81"/>
            <rFont val="Tahoma"/>
            <family val="2"/>
          </rPr>
          <t>+$25-30M</t>
        </r>
        <r>
          <rPr>
            <b/>
            <sz val="8"/>
            <color indexed="81"/>
            <rFont val="Tahoma"/>
            <family val="2"/>
          </rPr>
          <t xml:space="preserve">
8/8/2012 Guidance
~</t>
        </r>
        <r>
          <rPr>
            <sz val="8"/>
            <color indexed="81"/>
            <rFont val="Tahoma"/>
            <family val="2"/>
          </rPr>
          <t>+$19M</t>
        </r>
      </text>
    </comment>
    <comment ref="AB34" authorId="9">
      <text>
        <r>
          <rPr>
            <b/>
            <sz val="9"/>
            <color indexed="81"/>
            <rFont val="Tahoma"/>
            <family val="2"/>
          </rPr>
          <t>Cassel, Lauren (Research):</t>
        </r>
        <r>
          <rPr>
            <sz val="9"/>
            <color indexed="81"/>
            <rFont val="Tahoma"/>
            <family val="2"/>
          </rPr>
          <t xml:space="preserve">
Per Matt- similar to 3Q</t>
        </r>
      </text>
    </comment>
    <comment ref="AF34" authorId="3">
      <text>
        <r>
          <rPr>
            <b/>
            <sz val="9"/>
            <color indexed="81"/>
            <rFont val="Tahoma"/>
            <family val="2"/>
          </rPr>
          <t>De Courreges, Edouard (Research):</t>
        </r>
        <r>
          <rPr>
            <sz val="9"/>
            <color indexed="81"/>
            <rFont val="Tahoma"/>
            <family val="2"/>
          </rPr>
          <t xml:space="preserve">
$9M</t>
        </r>
      </text>
    </comment>
    <comment ref="H35" authorId="0">
      <text>
        <r>
          <rPr>
            <b/>
            <sz val="8"/>
            <color indexed="81"/>
            <rFont val="Tahoma"/>
            <family val="2"/>
          </rPr>
          <t>Comment: 2/21/2012
As per Matt, this is roughly $150M</t>
        </r>
        <r>
          <rPr>
            <sz val="8"/>
            <color indexed="81"/>
            <rFont val="Tahoma"/>
            <family val="2"/>
          </rPr>
          <t xml:space="preserve">
</t>
        </r>
      </text>
    </comment>
    <comment ref="M35" authorId="1">
      <text>
        <r>
          <rPr>
            <b/>
            <sz val="8"/>
            <color indexed="81"/>
            <rFont val="Tahoma"/>
            <family val="2"/>
          </rPr>
          <t xml:space="preserve">11/7/2012: </t>
        </r>
        <r>
          <rPr>
            <sz val="8"/>
            <color indexed="81"/>
            <rFont val="Tahoma"/>
            <family val="2"/>
          </rPr>
          <t>pension expense +$65M</t>
        </r>
      </text>
    </comment>
    <comment ref="P35" authorId="1">
      <text>
        <r>
          <rPr>
            <b/>
            <sz val="8"/>
            <color indexed="81"/>
            <rFont val="Tahoma"/>
            <family val="2"/>
          </rPr>
          <t xml:space="preserve">2/7/2013 guidance: </t>
        </r>
        <r>
          <rPr>
            <sz val="8"/>
            <color indexed="81"/>
            <rFont val="Tahoma"/>
            <family val="2"/>
          </rPr>
          <t>retirement-related expenses in FY13, ~$10 higher vs. FY12</t>
        </r>
      </text>
    </comment>
    <comment ref="Q35" authorId="1">
      <text>
        <r>
          <rPr>
            <b/>
            <sz val="8"/>
            <color indexed="81"/>
            <rFont val="Tahoma"/>
            <family val="2"/>
          </rPr>
          <t xml:space="preserve">2/26/2013 guidance: </t>
        </r>
        <r>
          <rPr>
            <sz val="8"/>
            <color indexed="81"/>
            <rFont val="Tahoma"/>
            <family val="2"/>
          </rPr>
          <t>+5M</t>
        </r>
      </text>
    </comment>
    <comment ref="T35" authorId="7">
      <text>
        <r>
          <rPr>
            <b/>
            <sz val="8"/>
            <color indexed="81"/>
            <rFont val="Tahoma"/>
            <family val="2"/>
          </rPr>
          <t xml:space="preserve">2/25/14:
</t>
        </r>
        <r>
          <rPr>
            <sz val="8"/>
            <color indexed="81"/>
            <rFont val="Tahoma"/>
            <family val="2"/>
          </rPr>
          <t xml:space="preserve">assuming approximately $150 million of lower expense in retirement expense in total, much of which is being used to offset higher healthcare costs. </t>
        </r>
        <r>
          <rPr>
            <sz val="8"/>
            <color indexed="81"/>
            <rFont val="Tahoma"/>
            <family val="2"/>
          </rPr>
          <t xml:space="preserve">
Per Matt/Sarah, approximately $79M in 2014</t>
        </r>
      </text>
    </comment>
    <comment ref="AB35" authorId="3">
      <text>
        <r>
          <rPr>
            <b/>
            <sz val="9"/>
            <color indexed="81"/>
            <rFont val="Tahoma"/>
            <family val="2"/>
          </rPr>
          <t>De Courreges, Edouard (Research):</t>
        </r>
        <r>
          <rPr>
            <sz val="9"/>
            <color indexed="81"/>
            <rFont val="Tahoma"/>
            <family val="2"/>
          </rPr>
          <t xml:space="preserve">
$44M</t>
        </r>
      </text>
    </comment>
    <comment ref="AF35" authorId="5">
      <text>
        <r>
          <rPr>
            <b/>
            <sz val="9"/>
            <color indexed="81"/>
            <rFont val="Tahoma"/>
            <family val="2"/>
          </rPr>
          <t>Baglione, Gregory (Research):</t>
        </r>
        <r>
          <rPr>
            <sz val="9"/>
            <color indexed="81"/>
            <rFont val="Tahoma"/>
            <family val="2"/>
          </rPr>
          <t xml:space="preserve">
$40M
</t>
        </r>
        <r>
          <rPr>
            <b/>
            <sz val="9"/>
            <color indexed="81"/>
            <rFont val="Tahoma"/>
            <family val="2"/>
          </rPr>
          <t>Pension is a credit right now</t>
        </r>
        <r>
          <rPr>
            <sz val="9"/>
            <color indexed="81"/>
            <rFont val="Tahoma"/>
            <family val="2"/>
          </rPr>
          <t xml:space="preserve">. Originally had a traditional  pension. Froze the program to new entrants and then the current program they are no longer doing service credits , but her current balance will continue to grow.
</t>
        </r>
      </text>
    </comment>
    <comment ref="H44" authorId="10">
      <text>
        <r>
          <rPr>
            <b/>
            <sz val="8"/>
            <color indexed="81"/>
            <rFont val="Tahoma"/>
            <family val="2"/>
          </rPr>
          <t xml:space="preserve">Guidance 11/9/11:
</t>
        </r>
        <r>
          <rPr>
            <sz val="8"/>
            <color indexed="81"/>
            <rFont val="Tahoma"/>
            <family val="2"/>
          </rPr>
          <t>$282MM</t>
        </r>
        <r>
          <rPr>
            <b/>
            <sz val="8"/>
            <color indexed="81"/>
            <rFont val="Tahoma"/>
            <family val="2"/>
          </rPr>
          <t xml:space="preserve">
Guidance 8/10/11:
</t>
        </r>
        <r>
          <rPr>
            <sz val="8"/>
            <color indexed="81"/>
            <rFont val="Tahoma"/>
            <family val="2"/>
          </rPr>
          <t>$565M in 2H</t>
        </r>
        <r>
          <rPr>
            <sz val="8"/>
            <color indexed="81"/>
            <rFont val="Tahoma"/>
            <family val="2"/>
          </rPr>
          <t xml:space="preserve">
</t>
        </r>
      </text>
    </comment>
    <comment ref="L44" authorId="1">
      <text>
        <r>
          <rPr>
            <b/>
            <sz val="8"/>
            <color indexed="81"/>
            <rFont val="Tahoma"/>
            <family val="2"/>
          </rPr>
          <t xml:space="preserve">Note: </t>
        </r>
        <r>
          <rPr>
            <sz val="8"/>
            <color indexed="81"/>
            <rFont val="Tahoma"/>
            <family val="2"/>
          </rPr>
          <t>January 2013 has an extra week</t>
        </r>
      </text>
    </comment>
    <comment ref="L45" authorId="1">
      <text>
        <r>
          <rPr>
            <b/>
            <sz val="8"/>
            <color indexed="81"/>
            <rFont val="Tahoma"/>
            <family val="2"/>
          </rPr>
          <t xml:space="preserve">Guidance 2/21/12
</t>
        </r>
        <r>
          <rPr>
            <sz val="8"/>
            <color indexed="81"/>
            <rFont val="Tahoma"/>
            <family val="2"/>
          </rPr>
          <t>- Down $25M y/y</t>
        </r>
        <r>
          <rPr>
            <b/>
            <sz val="8"/>
            <color indexed="81"/>
            <rFont val="Tahoma"/>
            <family val="2"/>
          </rPr>
          <t xml:space="preserve">
Comment 11/9/11:
</t>
        </r>
        <r>
          <rPr>
            <sz val="8"/>
            <color indexed="81"/>
            <rFont val="Tahoma"/>
            <family val="2"/>
          </rPr>
          <t>D&amp;A not up y/y in 2012</t>
        </r>
      </text>
    </comment>
    <comment ref="X45" authorId="4">
      <text>
        <r>
          <rPr>
            <b/>
            <sz val="9"/>
            <color indexed="81"/>
            <rFont val="Tahoma"/>
            <family val="2"/>
          </rPr>
          <t xml:space="preserve">2/25/15: </t>
        </r>
        <r>
          <rPr>
            <sz val="9"/>
            <color indexed="81"/>
            <rFont val="Tahoma"/>
            <family val="2"/>
          </rPr>
          <t xml:space="preserve">guidance $1.060B
</t>
        </r>
      </text>
    </comment>
    <comment ref="AB45" authorId="5">
      <text>
        <r>
          <rPr>
            <b/>
            <sz val="9"/>
            <color indexed="81"/>
            <rFont val="Tahoma"/>
            <family val="2"/>
          </rPr>
          <t>Baglione, Gregory (Research):</t>
        </r>
        <r>
          <rPr>
            <sz val="9"/>
            <color indexed="81"/>
            <rFont val="Tahoma"/>
            <family val="2"/>
          </rPr>
          <t xml:space="preserve">
Depreciation and amortization for the year is now estimated at approximately $1.055 billion. </t>
        </r>
      </text>
    </comment>
    <comment ref="AF45" authorId="5">
      <text>
        <r>
          <rPr>
            <b/>
            <sz val="9"/>
            <color indexed="81"/>
            <rFont val="Tahoma"/>
            <family val="2"/>
          </rPr>
          <t>Baglione, Gregory (Research):</t>
        </r>
        <r>
          <rPr>
            <sz val="9"/>
            <color indexed="81"/>
            <rFont val="Tahoma"/>
            <family val="2"/>
          </rPr>
          <t xml:space="preserve">
2/21/17 - Guidance: Depreciation and amortization is assumed to be approximately $1.010 billion
Baglione, Gregory (Research):
Pension is a credit right now. Originally had a traditional  pension. Froze the program to new entrants and then the current program they are no longer doing service credits (so sarah as a small balance in pension) she no longer has service credits, but her current balance will continue to grow.
In the 10-K they also break out marketing.
Selling expense 
2016 Real Estate:
$130M left on the Brooklyn gain
Anticipation that that Minnepaolis would close in 2016, so there would be a gain in 2016 for it.
That's over and above the guidance given.
Portland &amp; Stone Street.
2017 
Union Square: January 2018
Brooklyn:
Alexandria: Only disclose if they are a material amount. </t>
        </r>
      </text>
    </comment>
    <comment ref="AJ45" authorId="3">
      <text>
        <r>
          <rPr>
            <b/>
            <sz val="9"/>
            <color indexed="81"/>
            <rFont val="Tahoma"/>
            <family val="2"/>
          </rPr>
          <t>De Courreges, Edouard (Research):</t>
        </r>
        <r>
          <rPr>
            <sz val="9"/>
            <color indexed="81"/>
            <rFont val="Tahoma"/>
            <family val="2"/>
          </rPr>
          <t xml:space="preserve">
2/27: guidance D and A approxiamtely flat</t>
        </r>
      </text>
    </comment>
    <comment ref="AF55" authorId="2">
      <text>
        <r>
          <rPr>
            <b/>
            <sz val="9"/>
            <color indexed="81"/>
            <rFont val="Tahoma"/>
            <family val="2"/>
          </rPr>
          <t>Roberts, Cynthia (Research):</t>
        </r>
        <r>
          <rPr>
            <sz val="9"/>
            <color indexed="81"/>
            <rFont val="Tahoma"/>
            <family val="2"/>
          </rPr>
          <t xml:space="preserve">
2/21/17 - Guidance: "We are assuming the SG&amp;A savings of $550M offset by the growth spending of approximately $250M. </t>
        </r>
        <r>
          <rPr>
            <b/>
            <sz val="9"/>
            <color indexed="81"/>
            <rFont val="Tahoma"/>
            <family val="2"/>
          </rPr>
          <t xml:space="preserve">So the net reduction versus 2016 of approximately $300 million is embedded in our guidance. </t>
        </r>
        <r>
          <rPr>
            <sz val="9"/>
            <color indexed="81"/>
            <rFont val="Tahoma"/>
            <family val="2"/>
          </rPr>
          <t>Should sales be at the lower end of our range, we would, however, expect SG&amp;A dollars to be lower as well"</t>
        </r>
      </text>
    </comment>
    <comment ref="AH55" authorId="2">
      <text>
        <r>
          <rPr>
            <b/>
            <sz val="9"/>
            <color indexed="81"/>
            <rFont val="Tahoma"/>
            <family val="2"/>
          </rPr>
          <t>Roberts, Cynthia (Research):</t>
        </r>
        <r>
          <rPr>
            <sz val="9"/>
            <color indexed="81"/>
            <rFont val="Tahoma"/>
            <family val="2"/>
          </rPr>
          <t xml:space="preserve">
2/21/17 -4Q EPS
we are assuming the SG&amp;A savings of $550 million, offset by the growth spending of approximately $250 million. So the net reduction versus 2016 of approximately $300 million is embedded in our guidance. Should sales be at the lower end of our range, we would, however, expect SG&amp;A dollars
to be lower as well</t>
        </r>
      </text>
    </comment>
    <comment ref="AL55" authorId="2">
      <text>
        <r>
          <rPr>
            <b/>
            <sz val="9"/>
            <color indexed="81"/>
            <rFont val="Tahoma"/>
            <family val="2"/>
          </rPr>
          <t>Roberts, Cynthia (Research):</t>
        </r>
        <r>
          <rPr>
            <sz val="9"/>
            <color indexed="81"/>
            <rFont val="Tahoma"/>
            <family val="2"/>
          </rPr>
          <t xml:space="preserve">
2/27/18: SGA dollars should be flat y/y, to slightly up if sales are up as well</t>
        </r>
      </text>
    </comment>
    <comment ref="E61" authorId="1">
      <text>
        <r>
          <rPr>
            <b/>
            <sz val="8"/>
            <color indexed="81"/>
            <rFont val="Tahoma"/>
            <family val="2"/>
          </rPr>
          <t xml:space="preserve">5/9/2012 Comment
</t>
        </r>
        <r>
          <rPr>
            <sz val="8"/>
            <color indexed="81"/>
            <rFont val="Tahoma"/>
            <family val="2"/>
          </rPr>
          <t xml:space="preserve">1) credit was the biggest factor in SG&amp;A improvement </t>
        </r>
        <r>
          <rPr>
            <b/>
            <sz val="8"/>
            <color indexed="81"/>
            <rFont val="Tahoma"/>
            <family val="2"/>
          </rPr>
          <t>($43M benefit y/y)</t>
        </r>
        <r>
          <rPr>
            <sz val="8"/>
            <color indexed="81"/>
            <rFont val="Tahoma"/>
            <family val="2"/>
          </rPr>
          <t xml:space="preserve">
2) $12M benefit from lower D&amp;A expense
3) Offsetting some of favorability was: higher expenses related to investment in online and general business, higher selling exp due to higher sales, $16M of higher pension exp, and year-rounding on $12M gain on sales of share of the Knot</t>
        </r>
        <r>
          <rPr>
            <b/>
            <sz val="8"/>
            <color indexed="81"/>
            <rFont val="Tahoma"/>
            <family val="2"/>
          </rPr>
          <t xml:space="preserve">
Per 2/21/12 Guidance:
</t>
        </r>
        <r>
          <rPr>
            <sz val="8"/>
            <color indexed="81"/>
            <rFont val="Tahoma"/>
            <family val="2"/>
          </rPr>
          <t>-  expect strong credit performance in 2012 w/ earnings more evenly distributed throughout the year</t>
        </r>
      </text>
    </comment>
    <comment ref="I61" authorId="1">
      <text>
        <r>
          <rPr>
            <b/>
            <sz val="8"/>
            <color indexed="81"/>
            <rFont val="Tahoma"/>
            <family val="2"/>
          </rPr>
          <t xml:space="preserve">5/9/2012 Comment
</t>
        </r>
        <r>
          <rPr>
            <sz val="8"/>
            <color indexed="81"/>
            <rFont val="Tahoma"/>
            <family val="2"/>
          </rPr>
          <t xml:space="preserve">1) credit was the biggest factor in SG&amp;A improvement </t>
        </r>
        <r>
          <rPr>
            <b/>
            <sz val="8"/>
            <color indexed="81"/>
            <rFont val="Tahoma"/>
            <family val="2"/>
          </rPr>
          <t>($43M benefit y/y)</t>
        </r>
        <r>
          <rPr>
            <sz val="8"/>
            <color indexed="81"/>
            <rFont val="Tahoma"/>
            <family val="2"/>
          </rPr>
          <t xml:space="preserve">
2) $12M benefit from lower D&amp;A expense
3) Offsetting some of favorability was: higher expenses related to investment in online and general business, higher selling exp due to higher sales, $16M of higher pension exp, and year-rounding on $12M gain on sales of share of the Knot</t>
        </r>
        <r>
          <rPr>
            <b/>
            <sz val="8"/>
            <color indexed="81"/>
            <rFont val="Tahoma"/>
            <family val="2"/>
          </rPr>
          <t xml:space="preserve">
Per 2/21/12 Guidance:
</t>
        </r>
        <r>
          <rPr>
            <sz val="8"/>
            <color indexed="81"/>
            <rFont val="Tahoma"/>
            <family val="2"/>
          </rPr>
          <t>-  expect strong credit performance in 2012 w/ earnings more evenly distributed throughout the year</t>
        </r>
      </text>
    </comment>
    <comment ref="M61" authorId="1">
      <text>
        <r>
          <rPr>
            <b/>
            <sz val="8"/>
            <color indexed="81"/>
            <rFont val="Tahoma"/>
            <family val="2"/>
          </rPr>
          <t xml:space="preserve">5/9/2012 Comment
</t>
        </r>
        <r>
          <rPr>
            <sz val="8"/>
            <color indexed="81"/>
            <rFont val="Tahoma"/>
            <family val="2"/>
          </rPr>
          <t xml:space="preserve">1) credit was the biggest factor in SG&amp;A improvement </t>
        </r>
        <r>
          <rPr>
            <b/>
            <sz val="8"/>
            <color indexed="81"/>
            <rFont val="Tahoma"/>
            <family val="2"/>
          </rPr>
          <t>($43M benefit y/y)</t>
        </r>
        <r>
          <rPr>
            <sz val="8"/>
            <color indexed="81"/>
            <rFont val="Tahoma"/>
            <family val="2"/>
          </rPr>
          <t xml:space="preserve">
2) $12M benefit from lower D&amp;A expense
3) Offsetting some of favorability was: higher expenses related to investment in online and general business, higher selling exp due to higher sales, $16M of higher pension exp, and year-rounding on $12M gain on sales of share of the Knot</t>
        </r>
        <r>
          <rPr>
            <b/>
            <sz val="8"/>
            <color indexed="81"/>
            <rFont val="Tahoma"/>
            <family val="2"/>
          </rPr>
          <t xml:space="preserve">
Per 2/21/12 Guidance:
</t>
        </r>
        <r>
          <rPr>
            <sz val="8"/>
            <color indexed="81"/>
            <rFont val="Tahoma"/>
            <family val="2"/>
          </rPr>
          <t>-  expect strong credit performance in 2012 w/ earnings more evenly distributed throughout the year</t>
        </r>
      </text>
    </comment>
    <comment ref="AB61" authorId="5">
      <text>
        <r>
          <rPr>
            <b/>
            <sz val="9"/>
            <color indexed="81"/>
            <rFont val="Tahoma"/>
            <family val="2"/>
          </rPr>
          <t>Baglione, Gregory (Research):</t>
        </r>
        <r>
          <rPr>
            <sz val="9"/>
            <color indexed="81"/>
            <rFont val="Tahoma"/>
            <family val="2"/>
          </rPr>
          <t xml:space="preserve">
he first quarter of 2015 included gains on the sale of office buildings, stores and surplus properties of $20 million. Retirement expenses were $13 million in the first quarter of 2016, compared to $21 million in the first quarter of 2015. Income from credit operations was $182 million in the first quarter of 2016, compared to $179 million in the first quarter of 2015, reflecting higher proprietary credit card penetration partially offset by lower credit sales.
Settlement Charges</t>
        </r>
      </text>
    </comment>
    <comment ref="E62" authorId="1">
      <text>
        <r>
          <rPr>
            <b/>
            <sz val="8"/>
            <color indexed="81"/>
            <rFont val="Tahoma"/>
            <family val="2"/>
          </rPr>
          <t xml:space="preserve">Per 5/9/2012 Guidance: 
</t>
        </r>
        <r>
          <rPr>
            <sz val="8"/>
            <color indexed="81"/>
            <rFont val="Tahoma"/>
            <family val="2"/>
          </rPr>
          <t xml:space="preserve">1) 2Q SG&amp;A dollar growth &gt; 1Q (of +1.1%) w/ credit profitability only up slightly vs. 2Q11
</t>
        </r>
        <r>
          <rPr>
            <b/>
            <sz val="8"/>
            <color indexed="81"/>
            <rFont val="Tahoma"/>
            <family val="2"/>
          </rPr>
          <t xml:space="preserve">
Per 2/21/12 Guidance:
</t>
        </r>
        <r>
          <rPr>
            <sz val="8"/>
            <color indexed="81"/>
            <rFont val="Tahoma"/>
            <family val="2"/>
          </rPr>
          <t>-  expect strong credit performance in 2012 w/ earnings more evenly distributed throughout the year</t>
        </r>
      </text>
    </comment>
    <comment ref="I62" authorId="1">
      <text>
        <r>
          <rPr>
            <b/>
            <sz val="8"/>
            <color indexed="81"/>
            <rFont val="Tahoma"/>
            <family val="2"/>
          </rPr>
          <t xml:space="preserve">Per 5/9/2012 Guidance: 
</t>
        </r>
        <r>
          <rPr>
            <sz val="8"/>
            <color indexed="81"/>
            <rFont val="Tahoma"/>
            <family val="2"/>
          </rPr>
          <t xml:space="preserve">1) 2Q SG&amp;A dollar growth &gt; 1Q (of +1.1%) w/ credit profitability only up slightly vs. 2Q11
</t>
        </r>
        <r>
          <rPr>
            <b/>
            <sz val="8"/>
            <color indexed="81"/>
            <rFont val="Tahoma"/>
            <family val="2"/>
          </rPr>
          <t xml:space="preserve">
Per 2/21/12 Guidance:
</t>
        </r>
        <r>
          <rPr>
            <sz val="8"/>
            <color indexed="81"/>
            <rFont val="Tahoma"/>
            <family val="2"/>
          </rPr>
          <t>-  expect strong credit performance in 2012 w/ earnings more evenly distributed throughout the year</t>
        </r>
      </text>
    </comment>
    <comment ref="M62" authorId="1">
      <text>
        <r>
          <rPr>
            <b/>
            <sz val="8"/>
            <color indexed="81"/>
            <rFont val="Tahoma"/>
            <family val="2"/>
          </rPr>
          <t xml:space="preserve">Per 5/9/2012 Guidance: 
</t>
        </r>
        <r>
          <rPr>
            <sz val="8"/>
            <color indexed="81"/>
            <rFont val="Tahoma"/>
            <family val="2"/>
          </rPr>
          <t xml:space="preserve">1) 2Q SG&amp;A dollar growth &gt; 1Q (of +1.1%) w/ credit profitability only up slightly vs. 2Q11
</t>
        </r>
        <r>
          <rPr>
            <b/>
            <sz val="8"/>
            <color indexed="81"/>
            <rFont val="Tahoma"/>
            <family val="2"/>
          </rPr>
          <t xml:space="preserve">
Per 2/21/12 Guidance:
</t>
        </r>
        <r>
          <rPr>
            <sz val="8"/>
            <color indexed="81"/>
            <rFont val="Tahoma"/>
            <family val="2"/>
          </rPr>
          <t>-  expect strong credit performance in 2012 w/ earnings more evenly distributed throughout the year</t>
        </r>
      </text>
    </comment>
    <comment ref="E63" authorId="1">
      <text>
        <r>
          <rPr>
            <b/>
            <sz val="8"/>
            <color indexed="81"/>
            <rFont val="Tahoma"/>
            <family val="2"/>
          </rPr>
          <t xml:space="preserve">Per 5/9/2012 Guidance:
</t>
        </r>
        <r>
          <rPr>
            <sz val="8"/>
            <color indexed="81"/>
            <rFont val="Tahoma"/>
            <family val="2"/>
          </rPr>
          <t>1) expect credit profitability $40-45M lower vs. LY</t>
        </r>
        <r>
          <rPr>
            <b/>
            <sz val="8"/>
            <color indexed="81"/>
            <rFont val="Tahoma"/>
            <family val="2"/>
          </rPr>
          <t xml:space="preserve">
Per 2/21/12 Guidance:
</t>
        </r>
        <r>
          <rPr>
            <sz val="8"/>
            <color indexed="81"/>
            <rFont val="Tahoma"/>
            <family val="2"/>
          </rPr>
          <t xml:space="preserve">-  expect strong credit performance in 2012 w/ earnings more evenly distributed throughout the year
</t>
        </r>
        <r>
          <rPr>
            <b/>
            <sz val="8"/>
            <color indexed="81"/>
            <rFont val="Tahoma"/>
            <family val="2"/>
          </rPr>
          <t xml:space="preserve">
Commentary 11/9/11:
</t>
        </r>
        <r>
          <rPr>
            <sz val="8"/>
            <color indexed="81"/>
            <rFont val="Tahoma"/>
            <family val="2"/>
          </rPr>
          <t>Note: true up in credit occurs in 3Q every year</t>
        </r>
        <r>
          <rPr>
            <sz val="8"/>
            <color indexed="81"/>
            <rFont val="Tahoma"/>
            <family val="2"/>
          </rPr>
          <t xml:space="preserve">
1) Some benefit from credit in 2012, but less than 2011
2) M should be able to leverage SG&amp;A expense on a +3% comp, including credit, but modestly</t>
        </r>
      </text>
    </comment>
    <comment ref="I63" authorId="1">
      <text>
        <r>
          <rPr>
            <b/>
            <sz val="8"/>
            <color indexed="81"/>
            <rFont val="Tahoma"/>
            <family val="2"/>
          </rPr>
          <t xml:space="preserve">Per 5/9/2012 Guidance:
</t>
        </r>
        <r>
          <rPr>
            <sz val="8"/>
            <color indexed="81"/>
            <rFont val="Tahoma"/>
            <family val="2"/>
          </rPr>
          <t>1) expect credit profitability $40-45M lower vs. LY</t>
        </r>
        <r>
          <rPr>
            <b/>
            <sz val="8"/>
            <color indexed="81"/>
            <rFont val="Tahoma"/>
            <family val="2"/>
          </rPr>
          <t xml:space="preserve">
Per 2/21/12 Guidance:
</t>
        </r>
        <r>
          <rPr>
            <sz val="8"/>
            <color indexed="81"/>
            <rFont val="Tahoma"/>
            <family val="2"/>
          </rPr>
          <t xml:space="preserve">-  expect strong credit performance in 2012 w/ earnings more evenly distributed throughout the year
</t>
        </r>
        <r>
          <rPr>
            <b/>
            <sz val="8"/>
            <color indexed="81"/>
            <rFont val="Tahoma"/>
            <family val="2"/>
          </rPr>
          <t xml:space="preserve">
Commentary 11/9/11:
</t>
        </r>
        <r>
          <rPr>
            <sz val="8"/>
            <color indexed="81"/>
            <rFont val="Tahoma"/>
            <family val="2"/>
          </rPr>
          <t>Note: true up in credit occurs in 3Q every year</t>
        </r>
        <r>
          <rPr>
            <sz val="8"/>
            <color indexed="81"/>
            <rFont val="Tahoma"/>
            <family val="2"/>
          </rPr>
          <t xml:space="preserve">
1) Some benefit from credit in 2012, but less than 2011
2) M should be able to leverage SG&amp;A expense on a +3% comp, including credit, but modestly</t>
        </r>
      </text>
    </comment>
    <comment ref="M63" authorId="1">
      <text>
        <r>
          <rPr>
            <b/>
            <sz val="8"/>
            <color indexed="81"/>
            <rFont val="Tahoma"/>
            <family val="2"/>
          </rPr>
          <t xml:space="preserve">Per 5/9/2012 Guidance:
</t>
        </r>
        <r>
          <rPr>
            <sz val="8"/>
            <color indexed="81"/>
            <rFont val="Tahoma"/>
            <family val="2"/>
          </rPr>
          <t>1) expect credit profitability $40-45M lower vs. LY</t>
        </r>
        <r>
          <rPr>
            <b/>
            <sz val="8"/>
            <color indexed="81"/>
            <rFont val="Tahoma"/>
            <family val="2"/>
          </rPr>
          <t xml:space="preserve">
Per 2/21/12 Guidance:
</t>
        </r>
        <r>
          <rPr>
            <sz val="8"/>
            <color indexed="81"/>
            <rFont val="Tahoma"/>
            <family val="2"/>
          </rPr>
          <t xml:space="preserve">-  expect strong credit performance in 2012 w/ earnings more evenly distributed throughout the year
</t>
        </r>
        <r>
          <rPr>
            <b/>
            <sz val="8"/>
            <color indexed="81"/>
            <rFont val="Tahoma"/>
            <family val="2"/>
          </rPr>
          <t xml:space="preserve">
Commentary 11/9/11:
</t>
        </r>
        <r>
          <rPr>
            <sz val="8"/>
            <color indexed="81"/>
            <rFont val="Tahoma"/>
            <family val="2"/>
          </rPr>
          <t>Note: true up in credit occurs in 3Q every year</t>
        </r>
        <r>
          <rPr>
            <sz val="8"/>
            <color indexed="81"/>
            <rFont val="Tahoma"/>
            <family val="2"/>
          </rPr>
          <t xml:space="preserve">
1) Some benefit from credit in 2012, but less than 2011
2) M should be able to leverage SG&amp;A expense on a +3% comp, including credit, but modestly</t>
        </r>
      </text>
    </comment>
    <comment ref="E64" authorId="1">
      <text>
        <r>
          <rPr>
            <sz val="10"/>
            <rFont val="Arial"/>
            <family val="2"/>
          </rPr>
          <t xml:space="preserve">-&gt;&gt;See credit income tab for impact from 53rd week to SG&amp;A
</t>
        </r>
        <r>
          <rPr>
            <b/>
            <sz val="8"/>
            <color indexed="81"/>
            <rFont val="Tahoma"/>
            <family val="2"/>
          </rPr>
          <t xml:space="preserve">
</t>
        </r>
        <r>
          <rPr>
            <b/>
            <i/>
            <sz val="8"/>
            <color indexed="12"/>
            <rFont val="Tahoma"/>
            <family val="2"/>
          </rPr>
          <t xml:space="preserve">Note: y/y bp change accounts for impact from extra week assuming 10% flex on SG&amp;A as % of sales before the extra week.
</t>
        </r>
        <r>
          <rPr>
            <b/>
            <sz val="8"/>
            <color indexed="81"/>
            <rFont val="Tahoma"/>
            <family val="2"/>
          </rPr>
          <t xml:space="preserve">Per 2/21/12 Guidance:
</t>
        </r>
        <r>
          <rPr>
            <sz val="8"/>
            <color indexed="81"/>
            <rFont val="Tahoma"/>
            <family val="2"/>
          </rPr>
          <t>-  expect strong credit performance in 2012 w/ earnings more evenly distributed throughout the year</t>
        </r>
        <r>
          <rPr>
            <b/>
            <sz val="8"/>
            <color indexed="81"/>
            <rFont val="Tahoma"/>
            <family val="2"/>
          </rPr>
          <t xml:space="preserve">
1/5/12 and 1/9/12 Commentary</t>
        </r>
        <r>
          <rPr>
            <sz val="8"/>
            <color indexed="81"/>
            <rFont val="Tahoma"/>
            <family val="2"/>
          </rPr>
          <t xml:space="preserve">
Impact from 53rd week to 4Q:
- No impact to gross margins + SG&amp;A benefit (there ~10-20% of flex on SG&amp;A - so if SG&amp;A margin is 26%, the margin on extra week is 26%-~15%=~11%)
- Should have good flow through of extra week of sales in 4Q12
- Salaried employees do not get more but hourly do
- Attractive EBIT on extra week of sales
</t>
        </r>
      </text>
    </comment>
    <comment ref="I64" authorId="1">
      <text>
        <r>
          <rPr>
            <sz val="10"/>
            <rFont val="Arial"/>
            <family val="2"/>
          </rPr>
          <t xml:space="preserve">-&gt;&gt;See credit income tab for impact from 53rd week to SG&amp;A
</t>
        </r>
        <r>
          <rPr>
            <b/>
            <sz val="8"/>
            <color indexed="81"/>
            <rFont val="Tahoma"/>
            <family val="2"/>
          </rPr>
          <t xml:space="preserve">
</t>
        </r>
        <r>
          <rPr>
            <b/>
            <i/>
            <sz val="8"/>
            <color indexed="12"/>
            <rFont val="Tahoma"/>
            <family val="2"/>
          </rPr>
          <t xml:space="preserve">Note: y/y bp change accounts for impact from extra week assuming 10% flex on SG&amp;A as % of sales before the extra week.
</t>
        </r>
        <r>
          <rPr>
            <b/>
            <sz val="8"/>
            <color indexed="81"/>
            <rFont val="Tahoma"/>
            <family val="2"/>
          </rPr>
          <t xml:space="preserve">Per 2/21/12 Guidance:
</t>
        </r>
        <r>
          <rPr>
            <sz val="8"/>
            <color indexed="81"/>
            <rFont val="Tahoma"/>
            <family val="2"/>
          </rPr>
          <t>-  expect strong credit performance in 2012 w/ earnings more evenly distributed throughout the year</t>
        </r>
        <r>
          <rPr>
            <b/>
            <sz val="8"/>
            <color indexed="81"/>
            <rFont val="Tahoma"/>
            <family val="2"/>
          </rPr>
          <t xml:space="preserve">
1/5/12 and 1/9/12 Commentary</t>
        </r>
        <r>
          <rPr>
            <sz val="8"/>
            <color indexed="81"/>
            <rFont val="Tahoma"/>
            <family val="2"/>
          </rPr>
          <t xml:space="preserve">
Impact from 53rd week to 4Q:
- No impact to gross margins + SG&amp;A benefit (there ~10-20% of flex on SG&amp;A - so if SG&amp;A margin is 26%, the margin on extra week is 26%-~15%=~11%)
- Should have good flow through of extra week of sales in 4Q12
- Salaried employees do not get more but hourly do
- Attractive EBIT on extra week of sales
</t>
        </r>
      </text>
    </comment>
    <comment ref="M64" authorId="1">
      <text>
        <r>
          <rPr>
            <sz val="10"/>
            <rFont val="Arial"/>
            <family val="2"/>
          </rPr>
          <t xml:space="preserve">-&gt;&gt;See credit income tab for impact from 53rd week to SG&amp;A
</t>
        </r>
        <r>
          <rPr>
            <b/>
            <sz val="8"/>
            <color indexed="81"/>
            <rFont val="Tahoma"/>
            <family val="2"/>
          </rPr>
          <t xml:space="preserve">
</t>
        </r>
        <r>
          <rPr>
            <b/>
            <i/>
            <sz val="8"/>
            <color indexed="12"/>
            <rFont val="Tahoma"/>
            <family val="2"/>
          </rPr>
          <t xml:space="preserve">Note: y/y bp change accounts for impact from extra week assuming 10% flex on SG&amp;A as % of sales before the extra week.
</t>
        </r>
        <r>
          <rPr>
            <b/>
            <sz val="8"/>
            <color indexed="81"/>
            <rFont val="Tahoma"/>
            <family val="2"/>
          </rPr>
          <t xml:space="preserve">Per 2/21/12 Guidance:
</t>
        </r>
        <r>
          <rPr>
            <sz val="8"/>
            <color indexed="81"/>
            <rFont val="Tahoma"/>
            <family val="2"/>
          </rPr>
          <t>-  expect strong credit performance in 2012 w/ earnings more evenly distributed throughout the year</t>
        </r>
        <r>
          <rPr>
            <b/>
            <sz val="8"/>
            <color indexed="81"/>
            <rFont val="Tahoma"/>
            <family val="2"/>
          </rPr>
          <t xml:space="preserve">
1/5/12 and 1/9/12 Commentary</t>
        </r>
        <r>
          <rPr>
            <sz val="8"/>
            <color indexed="81"/>
            <rFont val="Tahoma"/>
            <family val="2"/>
          </rPr>
          <t xml:space="preserve">
Impact from 53rd week to 4Q:
- No impact to gross margins + SG&amp;A benefit (there ~10-20% of flex on SG&amp;A - so if SG&amp;A margin is 26%, the margin on extra week is 26%-~15%=~11%)
- Should have good flow through of extra week of sales in 4Q12
- Salaried employees do not get more but hourly do
- Attractive EBIT on extra week of sales
</t>
        </r>
      </text>
    </comment>
    <comment ref="E65" authorId="1">
      <text>
        <r>
          <rPr>
            <b/>
            <sz val="8"/>
            <color indexed="81"/>
            <rFont val="Tahoma"/>
            <family val="2"/>
          </rPr>
          <t xml:space="preserve">5/9/2012 Guidance
</t>
        </r>
        <r>
          <rPr>
            <sz val="8"/>
            <color indexed="81"/>
            <rFont val="Tahoma"/>
            <family val="2"/>
          </rPr>
          <t>$15-20M benefit in 2012 from credit
Note: 1Q benefit was consistent with higher end of guidance</t>
        </r>
        <r>
          <rPr>
            <b/>
            <sz val="8"/>
            <color indexed="81"/>
            <rFont val="Tahoma"/>
            <family val="2"/>
          </rPr>
          <t xml:space="preserve">
Per 2/21/12 Guidance:
</t>
        </r>
        <r>
          <rPr>
            <sz val="8"/>
            <color indexed="81"/>
            <rFont val="Tahoma"/>
            <family val="2"/>
          </rPr>
          <t>- expect to be able to continue to improve as % of sales
- income from credit $15-20M in 2012 (expect big variances vs. LY); expect strong credit performance w/ earnings more evenly distributed throughout the year
- expect retirement exp +$65M y/y
- expect D&amp;A -$25M y/y
- marketing $s flat y/y</t>
        </r>
        <r>
          <rPr>
            <b/>
            <sz val="8"/>
            <color indexed="81"/>
            <rFont val="Tahoma"/>
            <family val="2"/>
          </rPr>
          <t xml:space="preserve">
Commentary 11/9/11:
</t>
        </r>
        <r>
          <rPr>
            <sz val="8"/>
            <color indexed="81"/>
            <rFont val="Tahoma"/>
            <family val="2"/>
          </rPr>
          <t>Note: true up in credit occurs in 3Q every year</t>
        </r>
        <r>
          <rPr>
            <sz val="8"/>
            <color indexed="81"/>
            <rFont val="Tahoma"/>
            <family val="2"/>
          </rPr>
          <t xml:space="preserve">
1) Some benefit from credit in 2012, but less than 2011
2) M should be able to leverage SG&amp;A expense on a +3% comp, including credit, but modestly</t>
        </r>
      </text>
    </comment>
    <comment ref="I65" authorId="1">
      <text>
        <r>
          <rPr>
            <b/>
            <sz val="8"/>
            <color indexed="81"/>
            <rFont val="Tahoma"/>
            <family val="2"/>
          </rPr>
          <t xml:space="preserve">5/9/2012 Guidance
</t>
        </r>
        <r>
          <rPr>
            <sz val="8"/>
            <color indexed="81"/>
            <rFont val="Tahoma"/>
            <family val="2"/>
          </rPr>
          <t>$15-20M benefit in 2012 from credit
Note: 1Q benefit was consistent with higher end of guidance</t>
        </r>
        <r>
          <rPr>
            <b/>
            <sz val="8"/>
            <color indexed="81"/>
            <rFont val="Tahoma"/>
            <family val="2"/>
          </rPr>
          <t xml:space="preserve">
Per 2/21/12 Guidance:
</t>
        </r>
        <r>
          <rPr>
            <sz val="8"/>
            <color indexed="81"/>
            <rFont val="Tahoma"/>
            <family val="2"/>
          </rPr>
          <t>- expect to be able to continue to improve as % of sales
- income from credit $15-20M in 2012 (expect big variances vs. LY); expect strong credit performance w/ earnings more evenly distributed throughout the year
- expect retirement exp +$65M y/y
- expect D&amp;A -$25M y/y
- marketing $s flat y/y</t>
        </r>
        <r>
          <rPr>
            <b/>
            <sz val="8"/>
            <color indexed="81"/>
            <rFont val="Tahoma"/>
            <family val="2"/>
          </rPr>
          <t xml:space="preserve">
Commentary 11/9/11:
</t>
        </r>
        <r>
          <rPr>
            <sz val="8"/>
            <color indexed="81"/>
            <rFont val="Tahoma"/>
            <family val="2"/>
          </rPr>
          <t>Note: true up in credit occurs in 3Q every year</t>
        </r>
        <r>
          <rPr>
            <sz val="8"/>
            <color indexed="81"/>
            <rFont val="Tahoma"/>
            <family val="2"/>
          </rPr>
          <t xml:space="preserve">
1) Some benefit from credit in 2012, but less than 2011
2) M should be able to leverage SG&amp;A expense on a +3% comp, including credit, but modestly</t>
        </r>
      </text>
    </comment>
    <comment ref="M65" authorId="1">
      <text>
        <r>
          <rPr>
            <b/>
            <sz val="8"/>
            <color indexed="81"/>
            <rFont val="Tahoma"/>
            <family val="2"/>
          </rPr>
          <t xml:space="preserve">5/9/2012 Guidance
</t>
        </r>
        <r>
          <rPr>
            <sz val="8"/>
            <color indexed="81"/>
            <rFont val="Tahoma"/>
            <family val="2"/>
          </rPr>
          <t>$15-20M benefit in 2012 from credit
Note: 1Q benefit was consistent with higher end of guidance</t>
        </r>
        <r>
          <rPr>
            <b/>
            <sz val="8"/>
            <color indexed="81"/>
            <rFont val="Tahoma"/>
            <family val="2"/>
          </rPr>
          <t xml:space="preserve">
Per 2/21/12 Guidance:
</t>
        </r>
        <r>
          <rPr>
            <sz val="8"/>
            <color indexed="81"/>
            <rFont val="Tahoma"/>
            <family val="2"/>
          </rPr>
          <t>- expect to be able to continue to improve as % of sales
- income from credit $15-20M in 2012 (expect big variances vs. LY); expect strong credit performance w/ earnings more evenly distributed throughout the year
- expect retirement exp +$65M y/y
- expect D&amp;A -$25M y/y
- marketing $s flat y/y</t>
        </r>
        <r>
          <rPr>
            <b/>
            <sz val="8"/>
            <color indexed="81"/>
            <rFont val="Tahoma"/>
            <family val="2"/>
          </rPr>
          <t xml:space="preserve">
Commentary 11/9/11:
</t>
        </r>
        <r>
          <rPr>
            <sz val="8"/>
            <color indexed="81"/>
            <rFont val="Tahoma"/>
            <family val="2"/>
          </rPr>
          <t>Note: true up in credit occurs in 3Q every year</t>
        </r>
        <r>
          <rPr>
            <sz val="8"/>
            <color indexed="81"/>
            <rFont val="Tahoma"/>
            <family val="2"/>
          </rPr>
          <t xml:space="preserve">
1) Some benefit from credit in 2012, but less than 2011
2) M should be able to leverage SG&amp;A expense on a +3% comp, including credit, but modestly</t>
        </r>
      </text>
    </comment>
  </commentList>
</comments>
</file>

<file path=xl/comments4.xml><?xml version="1.0" encoding="utf-8"?>
<comments xmlns="http://schemas.openxmlformats.org/spreadsheetml/2006/main">
  <authors>
    <author>balskyh</author>
    <author>duol</author>
    <author>casselau</author>
    <author>Baglione, Gregory  (Research)</author>
    <author>De Courreges, Edouard (Research)</author>
    <author>Baglione, Gregory (Research)</author>
    <author>Roberts, Cynthia (Research)</author>
  </authors>
  <commentList>
    <comment ref="C95" authorId="0">
      <text>
        <r>
          <rPr>
            <b/>
            <sz val="8"/>
            <color indexed="81"/>
            <rFont val="Tahoma"/>
            <family val="2"/>
          </rPr>
          <t xml:space="preserve">2/26/2013 guidance: </t>
        </r>
        <r>
          <rPr>
            <sz val="8"/>
            <color indexed="81"/>
            <rFont val="Tahoma"/>
            <family val="2"/>
          </rPr>
          <t>sales growth in-line with comp 1Q-3Q</t>
        </r>
      </text>
    </comment>
    <comment ref="E95" authorId="0">
      <text>
        <r>
          <rPr>
            <b/>
            <sz val="8"/>
            <color indexed="81"/>
            <rFont val="Tahoma"/>
            <family val="2"/>
          </rPr>
          <t xml:space="preserve">5/15/2013: </t>
        </r>
        <r>
          <rPr>
            <sz val="8"/>
            <color indexed="81"/>
            <rFont val="Tahoma"/>
            <family val="2"/>
          </rPr>
          <t>Adding in licensing shop sales comp would have been +4.4% (or 60 bps higher)</t>
        </r>
        <r>
          <rPr>
            <b/>
            <sz val="8"/>
            <color indexed="81"/>
            <rFont val="Tahoma"/>
            <family val="2"/>
          </rPr>
          <t xml:space="preserve">
2/26/2013: </t>
        </r>
        <r>
          <rPr>
            <sz val="8"/>
            <color indexed="81"/>
            <rFont val="Tahoma"/>
            <family val="2"/>
          </rPr>
          <t xml:space="preserve">Comp cadence similar across qrts, except due to a calendar shift of one major promotion, </t>
        </r>
        <r>
          <rPr>
            <b/>
            <sz val="8"/>
            <color indexed="81"/>
            <rFont val="Tahoma"/>
            <family val="2"/>
          </rPr>
          <t>expect 1Q to be 200-300 bps higher than 2Q</t>
        </r>
      </text>
    </comment>
    <comment ref="G95" authorId="0">
      <text>
        <r>
          <rPr>
            <b/>
            <sz val="8"/>
            <color indexed="81"/>
            <rFont val="Tahoma"/>
            <family val="2"/>
          </rPr>
          <t xml:space="preserve">2/26/2013 guidance: </t>
        </r>
        <r>
          <rPr>
            <sz val="8"/>
            <color indexed="81"/>
            <rFont val="Tahoma"/>
            <family val="2"/>
          </rPr>
          <t>sales growth in-line with comp 1Q-3Q</t>
        </r>
      </text>
    </comment>
    <comment ref="O95" authorId="0">
      <text>
        <r>
          <rPr>
            <b/>
            <sz val="8"/>
            <color indexed="81"/>
            <rFont val="Tahoma"/>
            <family val="2"/>
          </rPr>
          <t xml:space="preserve">2/26/2013 guidance: </t>
        </r>
        <r>
          <rPr>
            <sz val="8"/>
            <color indexed="81"/>
            <rFont val="Tahoma"/>
            <family val="2"/>
          </rPr>
          <t>sales growth in-line with comp 1Q-3Q</t>
        </r>
      </text>
    </comment>
    <comment ref="C96" authorId="0">
      <text>
        <r>
          <rPr>
            <b/>
            <sz val="8"/>
            <color indexed="81"/>
            <rFont val="Tahoma"/>
            <family val="2"/>
          </rPr>
          <t xml:space="preserve">2/26/2013 guidance: </t>
        </r>
        <r>
          <rPr>
            <sz val="8"/>
            <color indexed="81"/>
            <rFont val="Tahoma"/>
            <family val="2"/>
          </rPr>
          <t>sales growth in-line with comp 1Q-3Q</t>
        </r>
      </text>
    </comment>
    <comment ref="E96" authorId="0">
      <text>
        <r>
          <rPr>
            <b/>
            <sz val="8"/>
            <color indexed="81"/>
            <rFont val="Tahoma"/>
            <family val="2"/>
          </rPr>
          <t xml:space="preserve">2/26/2013: </t>
        </r>
        <r>
          <rPr>
            <sz val="8"/>
            <color indexed="81"/>
            <rFont val="Tahoma"/>
            <family val="2"/>
          </rPr>
          <t xml:space="preserve">Comp cadence similar across qrts, except due to a calendar shift of one major promotion, </t>
        </r>
        <r>
          <rPr>
            <b/>
            <sz val="8"/>
            <color indexed="81"/>
            <rFont val="Tahoma"/>
            <family val="2"/>
          </rPr>
          <t>expect 1Q to be 200-300 bps higher than 2Q</t>
        </r>
      </text>
    </comment>
    <comment ref="G96" authorId="0">
      <text>
        <r>
          <rPr>
            <b/>
            <sz val="8"/>
            <color indexed="81"/>
            <rFont val="Tahoma"/>
            <family val="2"/>
          </rPr>
          <t xml:space="preserve">2/26/2013 guidance: </t>
        </r>
        <r>
          <rPr>
            <sz val="8"/>
            <color indexed="81"/>
            <rFont val="Tahoma"/>
            <family val="2"/>
          </rPr>
          <t>sales growth in-line with comp 1Q-3Q</t>
        </r>
      </text>
    </comment>
    <comment ref="O96" authorId="0">
      <text>
        <r>
          <rPr>
            <b/>
            <sz val="8"/>
            <color indexed="81"/>
            <rFont val="Tahoma"/>
            <family val="2"/>
          </rPr>
          <t xml:space="preserve">2/26/2013 guidance: </t>
        </r>
        <r>
          <rPr>
            <sz val="8"/>
            <color indexed="81"/>
            <rFont val="Tahoma"/>
            <family val="2"/>
          </rPr>
          <t>sales growth in-line with comp 1Q-3Q</t>
        </r>
      </text>
    </comment>
    <comment ref="C97" authorId="0">
      <text>
        <r>
          <rPr>
            <b/>
            <sz val="8"/>
            <color indexed="81"/>
            <rFont val="Tahoma"/>
            <family val="2"/>
          </rPr>
          <t xml:space="preserve">2/26/2013 guidance: </t>
        </r>
        <r>
          <rPr>
            <sz val="8"/>
            <color indexed="81"/>
            <rFont val="Tahoma"/>
            <family val="2"/>
          </rPr>
          <t xml:space="preserve">sales growth in-line with comp 1Q-3Q
</t>
        </r>
        <r>
          <rPr>
            <b/>
            <sz val="8"/>
            <color indexed="81"/>
            <rFont val="Tahoma"/>
            <family val="2"/>
          </rPr>
          <t>8/15/13 release</t>
        </r>
        <r>
          <rPr>
            <sz val="8"/>
            <color indexed="81"/>
            <rFont val="Tahoma"/>
            <family val="2"/>
          </rPr>
          <t>: encouraged by early back-to school trends.</t>
        </r>
      </text>
    </comment>
    <comment ref="E97" authorId="0">
      <text>
        <r>
          <rPr>
            <b/>
            <sz val="8"/>
            <color indexed="81"/>
            <rFont val="Tahoma"/>
            <family val="2"/>
          </rPr>
          <t xml:space="preserve">2/26/2013: </t>
        </r>
        <r>
          <rPr>
            <sz val="8"/>
            <color indexed="81"/>
            <rFont val="Tahoma"/>
            <family val="2"/>
          </rPr>
          <t xml:space="preserve">Comp cadence similar across qrts, except due to a calendar shift of one major promotion, </t>
        </r>
        <r>
          <rPr>
            <b/>
            <sz val="8"/>
            <color indexed="81"/>
            <rFont val="Tahoma"/>
            <family val="2"/>
          </rPr>
          <t xml:space="preserve">expect 1Q to be 200-300 bps higher than 2Q
8/15/13:  </t>
        </r>
        <r>
          <rPr>
            <sz val="8"/>
            <color indexed="81"/>
            <rFont val="Tahoma"/>
            <family val="2"/>
          </rPr>
          <t xml:space="preserve">2nd half comp guidance: 2.5% to 4%. Full yr: 2% to 2.9%. Encoueraged by early back-to-school trends.
</t>
        </r>
        <r>
          <rPr>
            <b/>
            <sz val="8"/>
            <color indexed="81"/>
            <rFont val="Tahoma"/>
            <family val="2"/>
          </rPr>
          <t>11/13/13:</t>
        </r>
        <r>
          <rPr>
            <sz val="8"/>
            <color indexed="81"/>
            <rFont val="Tahoma"/>
            <family val="2"/>
          </rPr>
          <t xml:space="preserve"> Reiterated 2nd half comp guidance: 2.5% to 4%. Full yr: 2% to 2.9%. </t>
        </r>
      </text>
    </comment>
    <comment ref="G97" authorId="0">
      <text>
        <r>
          <rPr>
            <b/>
            <sz val="8"/>
            <color indexed="81"/>
            <rFont val="Tahoma"/>
            <family val="2"/>
          </rPr>
          <t xml:space="preserve">2/26/2013: </t>
        </r>
        <r>
          <rPr>
            <sz val="8"/>
            <color indexed="81"/>
            <rFont val="Tahoma"/>
            <family val="2"/>
          </rPr>
          <t xml:space="preserve">Comp cadence similar across qrts, except due to a calendar shift of one major promotion, </t>
        </r>
        <r>
          <rPr>
            <b/>
            <sz val="8"/>
            <color indexed="81"/>
            <rFont val="Tahoma"/>
            <family val="2"/>
          </rPr>
          <t xml:space="preserve">expect 1Q to be 200-300 bps higher than 2Q
8/15/13:  </t>
        </r>
        <r>
          <rPr>
            <sz val="8"/>
            <color indexed="81"/>
            <rFont val="Tahoma"/>
            <family val="2"/>
          </rPr>
          <t>2nd half comp guidance: 2.5% to 4%. Full yr: 2% to 2.9%</t>
        </r>
      </text>
    </comment>
    <comment ref="O97" authorId="0">
      <text>
        <r>
          <rPr>
            <b/>
            <sz val="8"/>
            <color indexed="81"/>
            <rFont val="Tahoma"/>
            <family val="2"/>
          </rPr>
          <t xml:space="preserve">2/26/2013 guidance: </t>
        </r>
        <r>
          <rPr>
            <sz val="8"/>
            <color indexed="81"/>
            <rFont val="Tahoma"/>
            <family val="2"/>
          </rPr>
          <t>sales growth in-line with comp 1Q-3Q</t>
        </r>
      </text>
    </comment>
    <comment ref="C98" authorId="0">
      <text>
        <r>
          <rPr>
            <b/>
            <sz val="8"/>
            <color indexed="81"/>
            <rFont val="Tahoma"/>
            <family val="2"/>
          </rPr>
          <t xml:space="preserve">2/26/2013 guidance </t>
        </r>
        <r>
          <rPr>
            <sz val="8"/>
            <color indexed="81"/>
            <rFont val="Tahoma"/>
            <family val="2"/>
          </rPr>
          <t>4Q sales growth expected 330 bps below 4Q comp growth</t>
        </r>
      </text>
    </comment>
    <comment ref="E98" authorId="0">
      <text>
        <r>
          <rPr>
            <b/>
            <sz val="8"/>
            <color indexed="81"/>
            <rFont val="Tahoma"/>
            <family val="2"/>
          </rPr>
          <t xml:space="preserve">2/26/2013: </t>
        </r>
        <r>
          <rPr>
            <sz val="8"/>
            <color indexed="81"/>
            <rFont val="Tahoma"/>
            <family val="2"/>
          </rPr>
          <t xml:space="preserve">Comp cadence similar across qrts, except due to a calendar shift of one major promotion, </t>
        </r>
        <r>
          <rPr>
            <b/>
            <sz val="8"/>
            <color indexed="81"/>
            <rFont val="Tahoma"/>
            <family val="2"/>
          </rPr>
          <t xml:space="preserve">expect 1Q to be 200-300 bps higher than 2Q
8/15/13:  </t>
        </r>
        <r>
          <rPr>
            <sz val="8"/>
            <color indexed="81"/>
            <rFont val="Tahoma"/>
            <family val="2"/>
          </rPr>
          <t xml:space="preserve">2nd half comp guidance: 2.5% to 4%. Full yr: 2% to 2.9%. Encoueraged by early back-to-school trends.
</t>
        </r>
        <r>
          <rPr>
            <b/>
            <sz val="8"/>
            <color indexed="81"/>
            <rFont val="Tahoma"/>
            <family val="2"/>
          </rPr>
          <t>11/13/13:</t>
        </r>
        <r>
          <rPr>
            <sz val="8"/>
            <color indexed="81"/>
            <rFont val="Tahoma"/>
            <family val="2"/>
          </rPr>
          <t xml:space="preserve"> Reiterated 2nd half comp guidance: 2.5% to 4%. Full yr: 2% to 2.9%. 
</t>
        </r>
        <r>
          <rPr>
            <b/>
            <sz val="8"/>
            <color indexed="81"/>
            <rFont val="Tahoma"/>
            <family val="2"/>
          </rPr>
          <t>1/8/14</t>
        </r>
        <r>
          <rPr>
            <sz val="8"/>
            <color indexed="81"/>
            <rFont val="Tahoma"/>
            <family val="2"/>
          </rPr>
          <t>: new guidance 2.3% - 2.5%</t>
        </r>
      </text>
    </comment>
    <comment ref="G98" authorId="0">
      <text>
        <r>
          <rPr>
            <b/>
            <sz val="8"/>
            <color indexed="81"/>
            <rFont val="Tahoma"/>
            <family val="2"/>
          </rPr>
          <t xml:space="preserve">2/26/2013: </t>
        </r>
        <r>
          <rPr>
            <sz val="8"/>
            <color indexed="81"/>
            <rFont val="Tahoma"/>
            <family val="2"/>
          </rPr>
          <t xml:space="preserve">Comp cadence similar across qrts, except due to a calendar shift of one major promotion, </t>
        </r>
        <r>
          <rPr>
            <b/>
            <sz val="8"/>
            <color indexed="81"/>
            <rFont val="Tahoma"/>
            <family val="2"/>
          </rPr>
          <t xml:space="preserve">expect 1Q to be 200-300 bps higher than 2Q
8/15/13:  </t>
        </r>
        <r>
          <rPr>
            <sz val="8"/>
            <color indexed="81"/>
            <rFont val="Tahoma"/>
            <family val="2"/>
          </rPr>
          <t xml:space="preserve">2nd half comp guidance: 2.5% to 4%. Full yr: 2% to 2.9%
</t>
        </r>
        <r>
          <rPr>
            <b/>
            <sz val="8"/>
            <color indexed="81"/>
            <rFont val="Tahoma"/>
            <family val="2"/>
          </rPr>
          <t>11/13/13:</t>
        </r>
        <r>
          <rPr>
            <sz val="8"/>
            <color indexed="81"/>
            <rFont val="Tahoma"/>
            <family val="2"/>
          </rPr>
          <t xml:space="preserve">  Karen said 4.5ish range.</t>
        </r>
      </text>
    </comment>
    <comment ref="O98" authorId="0">
      <text>
        <r>
          <rPr>
            <b/>
            <sz val="8"/>
            <color indexed="81"/>
            <rFont val="Tahoma"/>
            <family val="2"/>
          </rPr>
          <t xml:space="preserve">2/26/2013 guidance: </t>
        </r>
        <r>
          <rPr>
            <sz val="8"/>
            <color indexed="81"/>
            <rFont val="Tahoma"/>
            <family val="2"/>
          </rPr>
          <t>sales growth in-line with comp 1Q-3Q</t>
        </r>
      </text>
    </comment>
    <comment ref="C99" authorId="1">
      <text>
        <r>
          <rPr>
            <b/>
            <sz val="8"/>
            <color indexed="81"/>
            <rFont val="Tahoma"/>
            <family val="2"/>
          </rPr>
          <t xml:space="preserve">1/8/13: </t>
        </r>
        <r>
          <rPr>
            <sz val="8"/>
            <color indexed="81"/>
            <rFont val="Tahoma"/>
            <family val="2"/>
          </rPr>
          <t>2.2% to 2.3%</t>
        </r>
        <r>
          <rPr>
            <sz val="8"/>
            <color indexed="81"/>
            <rFont val="Tahoma"/>
            <family val="2"/>
          </rPr>
          <t xml:space="preserve">
</t>
        </r>
      </text>
    </comment>
    <comment ref="E99" authorId="0">
      <text>
        <r>
          <rPr>
            <b/>
            <sz val="8"/>
            <color indexed="81"/>
            <rFont val="Tahoma"/>
            <family val="2"/>
          </rPr>
          <t xml:space="preserve">2/26/2013: </t>
        </r>
        <r>
          <rPr>
            <sz val="8"/>
            <color indexed="81"/>
            <rFont val="Tahoma"/>
            <family val="2"/>
          </rPr>
          <t xml:space="preserve">Comp cadence similar across qrts, except due to a calendar shift of one major promotion, </t>
        </r>
        <r>
          <rPr>
            <b/>
            <sz val="8"/>
            <color indexed="81"/>
            <rFont val="Tahoma"/>
            <family val="2"/>
          </rPr>
          <t xml:space="preserve">expect 1Q to be 200-300 bps higher than 2Q
8/15/13:  </t>
        </r>
        <r>
          <rPr>
            <sz val="8"/>
            <color indexed="81"/>
            <rFont val="Tahoma"/>
            <family val="2"/>
          </rPr>
          <t xml:space="preserve">2nd half comp guidance: 2.5% to 4%. Full yr: 2% to 2.9%. Encoueraged by early back-to-school trends.
</t>
        </r>
        <r>
          <rPr>
            <b/>
            <sz val="8"/>
            <color indexed="81"/>
            <rFont val="Tahoma"/>
            <family val="2"/>
          </rPr>
          <t>11/13/13:</t>
        </r>
        <r>
          <rPr>
            <sz val="8"/>
            <color indexed="81"/>
            <rFont val="Tahoma"/>
            <family val="2"/>
          </rPr>
          <t xml:space="preserve"> Reiterated 2nd half comp guidance: 2.5% to 4%. Full yr: 2% to 2.9%. </t>
        </r>
      </text>
    </comment>
    <comment ref="G99" authorId="0">
      <text>
        <r>
          <rPr>
            <b/>
            <sz val="8"/>
            <color indexed="81"/>
            <rFont val="Tahoma"/>
            <family val="2"/>
          </rPr>
          <t xml:space="preserve">2/26/2013 guidance: </t>
        </r>
        <r>
          <rPr>
            <sz val="8"/>
            <color indexed="81"/>
            <rFont val="Tahoma"/>
            <family val="2"/>
          </rPr>
          <t xml:space="preserve">+3.5% (per mgmt would have been 30 bps higher if not for conversion of athletic shoe biz to leased operation)
</t>
        </r>
        <r>
          <rPr>
            <b/>
            <sz val="8"/>
            <color indexed="81"/>
            <rFont val="Tahoma"/>
            <family val="2"/>
          </rPr>
          <t>8/15/13</t>
        </r>
        <r>
          <rPr>
            <sz val="8"/>
            <color indexed="81"/>
            <rFont val="Tahoma"/>
            <family val="2"/>
          </rPr>
          <t>: Lowered full yr guidance: +2% to 2.9%</t>
        </r>
      </text>
    </comment>
    <comment ref="E105" authorId="2">
      <text>
        <r>
          <rPr>
            <b/>
            <sz val="9"/>
            <color indexed="81"/>
            <rFont val="Tahoma"/>
            <family val="2"/>
          </rPr>
          <t>casselau:
2/3/15: +2.5% (owned+licensed)</t>
        </r>
        <r>
          <rPr>
            <sz val="9"/>
            <color indexed="81"/>
            <rFont val="Tahoma"/>
            <family val="2"/>
          </rPr>
          <t xml:space="preserve">
1/8/15: Holiday comp +2.1% (owned only); owned + licensed Holiday comp +2.7%</t>
        </r>
      </text>
    </comment>
    <comment ref="E106" authorId="1">
      <text>
        <r>
          <rPr>
            <sz val="8"/>
            <color indexed="81"/>
            <rFont val="Tahoma"/>
            <family val="2"/>
          </rPr>
          <t>2/3/15: owned + licensed +1.4%
2/25/14: reaffirmed 2.5 - 3% guidance. Expect 1Q&lt;2Q and 3Q&lt;4Q</t>
        </r>
        <r>
          <rPr>
            <sz val="8"/>
            <color indexed="81"/>
            <rFont val="Tahoma"/>
            <family val="2"/>
          </rPr>
          <t xml:space="preserve">
1/8/14: guidance 2.5% - 3%</t>
        </r>
      </text>
    </comment>
    <comment ref="E109" authorId="2">
      <text>
        <r>
          <rPr>
            <b/>
            <sz val="9"/>
            <color indexed="81"/>
            <rFont val="Tahoma"/>
            <family val="2"/>
          </rPr>
          <t>casselau:</t>
        </r>
        <r>
          <rPr>
            <sz val="9"/>
            <color indexed="81"/>
            <rFont val="Tahoma"/>
            <family val="2"/>
          </rPr>
          <t xml:space="preserve">
owned plus licensed -0.1%</t>
        </r>
      </text>
    </comment>
    <comment ref="E110" authorId="3">
      <text>
        <r>
          <rPr>
            <b/>
            <sz val="9"/>
            <color indexed="81"/>
            <rFont val="Tahoma"/>
            <family val="2"/>
          </rPr>
          <t>Baglione, Gregory  (Research):</t>
        </r>
        <r>
          <rPr>
            <sz val="9"/>
            <color indexed="81"/>
            <rFont val="Tahoma"/>
            <family val="2"/>
          </rPr>
          <t xml:space="preserve">
Owned + licensed -1.5%
</t>
        </r>
      </text>
    </comment>
    <comment ref="E111" authorId="3">
      <text>
        <r>
          <rPr>
            <b/>
            <sz val="9"/>
            <color indexed="81"/>
            <rFont val="Tahoma"/>
            <family val="2"/>
          </rPr>
          <t>Baglione, Gregory  (Research):</t>
        </r>
        <r>
          <rPr>
            <sz val="9"/>
            <color indexed="81"/>
            <rFont val="Tahoma"/>
            <family val="2"/>
          </rPr>
          <t xml:space="preserve">
11/11/15
Comparable sales on an owned plus licensed basis were down by 3.6 percent in the third quarter.
Our furniture and mattress business also continued very strong. 
And soft home -- categories like textiles, tabletop, et cetera -- strengthened in the third quarter.
Active continues to be a very strong category for us across the store, whether it be in men's, women's or kids. In fact, our kids and younger millennial
businesses also did relatively well in the quarter. Geographically we did the best in the West, particularly the Northwest.
</t>
        </r>
        <r>
          <rPr>
            <b/>
            <sz val="9"/>
            <color indexed="81"/>
            <rFont val="Tahoma"/>
            <family val="2"/>
          </rPr>
          <t>As I referenced a few minutes ago, the total number of transactions was down 3.6% versus last year in the third quarter, which compares to a flattish
trend in the first half of the year.</t>
        </r>
        <r>
          <rPr>
            <sz val="9"/>
            <color indexed="81"/>
            <rFont val="Tahoma"/>
            <family val="2"/>
          </rPr>
          <t xml:space="preserve"> Transactions are a proxy for traffic and clearly something changed in the third quarter. Average unit retail was
down 1% and units per transaction were up 1% versus last year. Both of these trends were similar to those in the first half of the year.
 8/12/15 : Expectation for fall sales is now a 1% comp growth on an ownded-plus-licensed basis with owned comp about 50 basis points lowerapproximately 1 percent. Sales growth to be stronger in the fourth quarter than in the third as we begin to year-round on the weakness in the international tourist sale
</t>
        </r>
      </text>
    </comment>
    <comment ref="E112" authorId="3">
      <text>
        <r>
          <rPr>
            <b/>
            <sz val="9"/>
            <color indexed="81"/>
            <rFont val="Tahoma"/>
            <family val="2"/>
          </rPr>
          <t>Baglione, Gregory  (Research):</t>
        </r>
        <r>
          <rPr>
            <sz val="9"/>
            <color indexed="81"/>
            <rFont val="Tahoma"/>
            <family val="2"/>
          </rPr>
          <t xml:space="preserve">
1/6/15
Company provided holiday update, Nov/Dec comp -5.2% on an owned basis
~80% of decline was related weakness in coldweather categories.
2/23/16
-4.3% on an owned plus licensed basis
"Similar to the third quarter, we had approximately a 4% decline in the number of transactions, a 1% decrease in the average unit retail. And units per transaction were up about 1%. We've talked about overall weakness in our sales, and particular weakness in the cold weather businesses. But we did have some categories that performed quite well in the quarter: cosmetics, fragrances, furniture and mattresses, as well as active."
-1% tourism headwind</t>
        </r>
      </text>
    </comment>
    <comment ref="C113" authorId="1">
      <text>
        <r>
          <rPr>
            <b/>
            <sz val="8"/>
            <color indexed="81"/>
            <rFont val="Tahoma"/>
            <family val="2"/>
          </rPr>
          <t xml:space="preserve">1/8/14: </t>
        </r>
        <r>
          <rPr>
            <sz val="8"/>
            <color indexed="81"/>
            <rFont val="Tahoma"/>
            <family val="2"/>
          </rPr>
          <t>guidance 2.5% - 3%
2/25/14: reaffirmed 2.5 - 3% guidance. Expect 1Q&lt;2Q and 3Q&lt;4Q
8/12/15: Updated guidance to comparable sales on an owned
plus licensed basis to be approximately flat, compared with previous guidance for growth of approximately 2 percent. Comparable sales on an owned basis will be approximately 50 basis points lower than on an owned plus licensed basis. The company expects total sales to be down by approximately 1 percent in 2015, compared to previous guidance for total sales growth of approximately 1 percent.
 8/12/15-Expectation for fall sales is now a 1% comp growth on an ownded-plus-licensed basis with owned comp about 50 basis points lowerapproximately 1 percent.</t>
        </r>
        <r>
          <rPr>
            <sz val="8"/>
            <color indexed="81"/>
            <rFont val="Tahoma"/>
            <family val="2"/>
          </rPr>
          <t xml:space="preserve">
8/12/15-Sales growth to be stronger in the fourth quarter than in the third as we begin to year-round on the weakness in the international tourist sales. 
</t>
        </r>
        <r>
          <rPr>
            <b/>
            <sz val="8"/>
            <color indexed="81"/>
            <rFont val="Tahoma"/>
            <family val="2"/>
          </rPr>
          <t>11/11/15</t>
        </r>
        <r>
          <rPr>
            <sz val="8"/>
            <color indexed="81"/>
            <rFont val="Tahoma"/>
            <family val="2"/>
          </rPr>
          <t xml:space="preserve">
full-year 2015 comparable sales on an owned plus licensed basis to decrease by 1.8 percent to 2.2 percent, compared with previous guidance of approximately flat. Owned comps ~50 bps lower
2015 total sales to be down by 2.7 percent to 3.1 percent, compared to previous guidance for total sales to be down approximately 1 percent.</t>
        </r>
      </text>
    </comment>
    <comment ref="E113" authorId="1">
      <text>
        <r>
          <rPr>
            <b/>
            <sz val="8"/>
            <color indexed="81"/>
            <rFont val="Tahoma"/>
            <family val="2"/>
          </rPr>
          <t xml:space="preserve">1/8/14: </t>
        </r>
        <r>
          <rPr>
            <sz val="8"/>
            <color indexed="81"/>
            <rFont val="Tahoma"/>
            <family val="2"/>
          </rPr>
          <t>guidance 2.5% - 3%
2/25/14: reaffirmed 2.5 - 3% guidance. Expect 1Q&lt;2Q and 3Q&lt;4Q
8/12/15: Updated guidance to comparable sales on an owned
plus licensed basis to be approximately flat, compared with previous guidance for growth of approximately 2 percent. Comparable sales on an owned basis will be approximately 50 basis points lower than on an owned plus licensed basis. The company expects total sales to be down by approximately 1 percent in 2015, compared to previous guidance for total sales growth of approximately 1 percent.
 8/12/15-Expectation for fall sales is now a 1% comp growth on an ownded-plus-licensed basis with owned comp about 50 basis points lowerapproximately 1 percent.</t>
        </r>
        <r>
          <rPr>
            <sz val="8"/>
            <color indexed="81"/>
            <rFont val="Tahoma"/>
            <family val="2"/>
          </rPr>
          <t xml:space="preserve">
8/12/15-Sales growth to be stronger in the fourth quarter than in the third as we begin to year-round on the weakness in the international tourist sales. 
</t>
        </r>
        <r>
          <rPr>
            <b/>
            <sz val="8"/>
            <color indexed="81"/>
            <rFont val="Tahoma"/>
            <family val="2"/>
          </rPr>
          <t>11/11/15</t>
        </r>
        <r>
          <rPr>
            <sz val="8"/>
            <color indexed="81"/>
            <rFont val="Tahoma"/>
            <family val="2"/>
          </rPr>
          <t xml:space="preserve">
full-year 2015 comparable sales on an owned plus licensed basis to decrease by 1.8 percent to 2.2 percent, compared with previous guidance of approximately flat. Owned comps ~50 bps lower
2015 total sales to be down by 2.7 percent to 3.1 percent, compared to previous guidance for total sales to be down approximately 1 percent.
1/6/15
Company now expects full year comps of -2.7% on an owned plus licensed basis (~50 bps worse on an owned basis)</t>
        </r>
      </text>
    </comment>
    <comment ref="E116" authorId="3">
      <text>
        <r>
          <rPr>
            <b/>
            <sz val="9"/>
            <color indexed="81"/>
            <rFont val="Tahoma"/>
            <family val="2"/>
          </rPr>
          <t>Baglione, Gregory  (Research):</t>
        </r>
        <r>
          <rPr>
            <sz val="9"/>
            <color indexed="81"/>
            <rFont val="Tahoma"/>
            <family val="2"/>
          </rPr>
          <t xml:space="preserve">
5/11/16
-6.1% owned. -5.6% owned + licensed
The number of transactions declined 7% in the quarter, which is far worse than what was experienced last year. This is the proxy, as you know, for traffic. AUR, average unit retail, was up slightly and units per transaction was up approximately 1%. Additionally, we continue to be negatively impacted by reduced spending by international tourists. Sales on international tourist credit cards were down 20% in the quarter, on top of a 21% drop last year in the first quarter."
There were some businesses in the quarter that performed relatively well: fine jewelry, dresses, active, fragrances, coats, men's tailored clothing,
housewares, and furniture. However, the significant weakness in other parts of our assortments more than offset these good news stories. The
softer businesses included: handbags, fashion watches, women's shoes, kids, men's furnishings, and luggage.
2/23/16
"assuming that our comp sales, on an owned plus licensed basis, will decline approximately 1% in 2016. And with the impact of the store closures, this would lead to a total sales decline of approximately 2%. It isn't, though, until the fourth quarter that we expect our comp owned plus licensed sales to turn positive"
1/7/16
Lowering comp forecast to a -2.0% from -1.5
</t>
        </r>
      </text>
    </comment>
    <comment ref="G116" authorId="3">
      <text>
        <r>
          <rPr>
            <b/>
            <sz val="9"/>
            <color indexed="81"/>
            <rFont val="Tahoma"/>
            <family val="2"/>
          </rPr>
          <t>Baglione, Gregory  (Research):</t>
        </r>
        <r>
          <rPr>
            <sz val="9"/>
            <color indexed="81"/>
            <rFont val="Tahoma"/>
            <family val="2"/>
          </rPr>
          <t xml:space="preserve">
2/23/16
Most of store closures came in 4Q
11/4/15
Company expects ~$60M annual sales from international JV
9/8/15
35-40 store closures, representing  approximately 1 % of the total Macy’s, Inc. sales</t>
        </r>
      </text>
    </comment>
    <comment ref="J116" authorId="3">
      <text>
        <r>
          <rPr>
            <b/>
            <sz val="9"/>
            <color indexed="81"/>
            <rFont val="Tahoma"/>
            <family val="2"/>
          </rPr>
          <t>Baglione, Gregory  (Research):</t>
        </r>
        <r>
          <rPr>
            <sz val="9"/>
            <color indexed="81"/>
            <rFont val="Tahoma"/>
            <family val="2"/>
          </rPr>
          <t xml:space="preserve">
9/8/15
Company plans to close 35-40 stores in early 2016, representing ~1% of sales 
</t>
        </r>
      </text>
    </comment>
    <comment ref="R116" authorId="4">
      <text>
        <r>
          <rPr>
            <b/>
            <sz val="9"/>
            <color indexed="81"/>
            <rFont val="Tahoma"/>
            <family val="2"/>
          </rPr>
          <t>De Courreges, Edouard (Research):</t>
        </r>
        <r>
          <rPr>
            <sz val="9"/>
            <color indexed="81"/>
            <rFont val="Tahoma"/>
            <family val="2"/>
          </rPr>
          <t xml:space="preserve">
+3 a result of FY2018 restatement to include additional revenue related to gift cards 
</t>
        </r>
      </text>
    </comment>
    <comment ref="E117" authorId="3">
      <text>
        <r>
          <rPr>
            <b/>
            <sz val="9"/>
            <color indexed="81"/>
            <rFont val="Tahoma"/>
            <family val="2"/>
          </rPr>
          <t>Baglione, Gregory  (Research):</t>
        </r>
        <r>
          <rPr>
            <sz val="9"/>
            <color indexed="81"/>
            <rFont val="Tahoma"/>
            <family val="2"/>
          </rPr>
          <t xml:space="preserve">
8/11/16
-2% owned + licensed .
Geographically, our Southwest region, which is primarily Southern California, had the strongest performance.
The families of business that were strongest in the quarter included all of apparel -- women's, men's, and kids' -- as well as fine jewelry, shoes,
fragrances, textiles, and housewares. Handbags and fashion jewelry and watches continued to be weak.
5/11/16
" Do not expect 2Q comps to be significantly better than 1Q"
2/23/16
"assuming that our comp sales, on an owned plus licensed basis, will decline approximately 1% in 2016. And with the impact of the store closures, this would lead to a total sales decline of approximately 2%. It isn't, though, until the fourth quarter that we expect our comp owned plus licensed sales to turn positive"
1/7/16
Lowering comp forecast to a -1.5% from -1.0%</t>
        </r>
      </text>
    </comment>
    <comment ref="G117" authorId="3">
      <text>
        <r>
          <rPr>
            <b/>
            <sz val="9"/>
            <color indexed="81"/>
            <rFont val="Tahoma"/>
            <family val="2"/>
          </rPr>
          <t>Baglione, Gregory  (Research):</t>
        </r>
        <r>
          <rPr>
            <sz val="9"/>
            <color indexed="81"/>
            <rFont val="Tahoma"/>
            <family val="2"/>
          </rPr>
          <t xml:space="preserve">
5/11/16
Per management expect spread between sales and comp to be relatively consistent to 1Q for FY
11/4/15
Company expects ~$60M annual sales from international JV
9/8/15
35-40 store closures, representing  approximately 1 % of the total Macy’s, Inc. sales
</t>
        </r>
      </text>
    </comment>
    <comment ref="J117" authorId="3">
      <text>
        <r>
          <rPr>
            <b/>
            <sz val="9"/>
            <color indexed="81"/>
            <rFont val="Tahoma"/>
            <family val="2"/>
          </rPr>
          <t>Baglione, Gregory  (Research):</t>
        </r>
        <r>
          <rPr>
            <sz val="9"/>
            <color indexed="81"/>
            <rFont val="Tahoma"/>
            <family val="2"/>
          </rPr>
          <t xml:space="preserve">
11/4/15
Assumes slight net closures the remainder of the year. Expect LSD-MSD store closures offsetting select BM/BS opennings. </t>
        </r>
      </text>
    </comment>
    <comment ref="E118" authorId="3">
      <text>
        <r>
          <rPr>
            <b/>
            <sz val="9"/>
            <color indexed="81"/>
            <rFont val="Tahoma"/>
            <family val="2"/>
          </rPr>
          <t>Baglione, Gregory  (Research):</t>
        </r>
        <r>
          <rPr>
            <sz val="9"/>
            <color indexed="81"/>
            <rFont val="Tahoma"/>
            <family val="2"/>
          </rPr>
          <t xml:space="preserve">
11/11/16
-2.7% on an owned plus licensed basis.
AUR +3.5% (vs. 1/6% in 1H16), -6% transactions (same as LY)
Tourism was not an impact.
8/11/16
Reaffirmed FY comp guidance above
As we move to the back half of the year, we are encouraged by the recent business trends. Our annual sales guidance of minus 3% to minus 4% on a comp owned plus licensed basis feels achievable. The fall season would need to be minus 2.3% to minus 4.1% to hit that guidance. This compares to the minus 3.8% in the first half of the year. (implies -2.6 to -4.6% owned)
2/23/16
"assuming that our comp sales, on an owned plus licensed basis, will decline approximately 1% in 2016. And with the impact of the store closures, this would lead to a total sales decline of approximately 2%. It isn't, though, until the fourth quarter that we expect our comp owned plus licensed sales to turn positive"
1/7/16
Lowering comp forecast to a -2.0% from -1.5
</t>
        </r>
      </text>
    </comment>
    <comment ref="G118" authorId="3">
      <text>
        <r>
          <rPr>
            <b/>
            <sz val="9"/>
            <color indexed="81"/>
            <rFont val="Tahoma"/>
            <family val="2"/>
          </rPr>
          <t>Baglione, Gregory  (Research):</t>
        </r>
        <r>
          <rPr>
            <sz val="9"/>
            <color indexed="81"/>
            <rFont val="Tahoma"/>
            <family val="2"/>
          </rPr>
          <t xml:space="preserve">
11/4/15
Company expects ~$60M annual sales from international JV
9/8/15
35-40 store closures, representing  approximately 1 % of the total Macy’s, Inc. sales
</t>
        </r>
      </text>
    </comment>
    <comment ref="J118" authorId="3">
      <text>
        <r>
          <rPr>
            <b/>
            <sz val="9"/>
            <color indexed="81"/>
            <rFont val="Tahoma"/>
            <family val="2"/>
          </rPr>
          <t xml:space="preserve">Baglione, Gregory  (Research):
</t>
        </r>
        <r>
          <rPr>
            <sz val="9"/>
            <color indexed="81"/>
            <rFont val="Tahoma"/>
            <family val="2"/>
          </rPr>
          <t>8/11/16
Guidance Assumes 1 net FL closure for the rest of the year.
In the second quarter, the company opened seven Bluemercury freestanding specialty stores. In the fall season, scheduled store openings include a Macy’s in Kapolei, HI, one Macy’s Backstage freestanding store in San Antonio, one Bloomingdale's Outlet in Orange, CA, and 10 additional Bluemercury freestanding specialty stores. In the second quarter, eight Macy’s Backstage and seven Bluemercury shops opened inside Macy’s stores, with another five in-store Macy’s Backstage and seven in-store Bluemercury shops planned for the fall season. In the third quarter, Macy’s is closing stores in North Hollywood, CA, and West Valley City, UT. In a separate news release issued today, the company announced plans to close approximately 100 full-line Macy’s locations, most of which will be closed in early 2017.</t>
        </r>
        <r>
          <rPr>
            <b/>
            <sz val="9"/>
            <color indexed="81"/>
            <rFont val="Tahoma"/>
            <family val="2"/>
          </rPr>
          <t xml:space="preserve">
</t>
        </r>
        <r>
          <rPr>
            <sz val="9"/>
            <color indexed="81"/>
            <rFont val="Tahoma"/>
            <family val="2"/>
          </rPr>
          <t xml:space="preserve">
11/4/15
Assumes slight net closures the remainder of the year. Expect LSD-MSD store closures offsetting select BM/BS opennings. 
</t>
        </r>
      </text>
    </comment>
    <comment ref="E119" authorId="3">
      <text>
        <r>
          <rPr>
            <b/>
            <sz val="9"/>
            <color indexed="81"/>
            <rFont val="Tahoma"/>
            <family val="2"/>
          </rPr>
          <t>Baglione, Gregory  (Research):</t>
        </r>
        <r>
          <rPr>
            <sz val="9"/>
            <color indexed="81"/>
            <rFont val="Tahoma"/>
            <family val="2"/>
          </rPr>
          <t xml:space="preserve">
1/4/17
Macy’s, Inc. (NYSE:M) today announced that its comparable sales on an owned
plus licensed basis declined by 2.1 percent in the months of November and
December 2016 combined, compared to the same period last year. On an owned
basis, comparable sales declined by 2.7 percent in the combined
November/December period.
“While our sales trend is consistent with the lower end of our guidance, we
had anticipated sales would be stronger. We believe that our performance
during the holiday season reflects the broader challenges facing much of the
retail industry. We are pleased with the performance of our digital business,
with double-digit gains at both macys.com and bloomingdales.com; however,
store sales continued to be impacted by changing customer behavior. Our
apparel business, which includes women’s, men’s and children’s,
performed well, with particular strength in active and cold-weather
merchandise. Sales were also strong in fine jewelry, as well as furniture and
bedding, reflecting the success of our initiatives in those categories.
However, ongoing weakness in handbags and watches negatively impacted our
results,” said Terry J. Lundgren, Macy’s, Inc. chairman and chief
executive officer.
11/11/16
We are expecting comps sales on an owned plus license basis to be down approximately 0.5% to down 2% in the quarter.
MSe owned -1%
prev: -0.5%
current: -1.0%
8/11/16
Reaffirmed FY comp guidance above
As we move to the back half of the year, we are encouraged by the recent business trends. Our annual sales guidance of minus 3% to minus 4% on a comp owned plus licensed basis feels achievable. The fall season would need to be minus 2.3% to minus 4.1% to hit that guidance. This compares to the minus 3.8% in the first half of the year. (implies -2.6 to -4.6% owned)
2/23/16
"assuming that our comp sales, on an owned plus licensed basis, will decline approximately 1% in 2016. And with the impact of the store closures, this would lead to a total sales decline of approximately 2%. It isn't, though, until the fourth quarter that we expect our comp owned plus licensed sales to turn positive"
1/7/16
Lowering comp forecast to a -2.0% from -1.5
</t>
        </r>
      </text>
    </comment>
    <comment ref="G119" authorId="3">
      <text>
        <r>
          <rPr>
            <b/>
            <sz val="9"/>
            <color indexed="81"/>
            <rFont val="Tahoma"/>
            <family val="2"/>
          </rPr>
          <t>Baglione, Gregory  (Research):</t>
        </r>
        <r>
          <rPr>
            <sz val="9"/>
            <color indexed="81"/>
            <rFont val="Tahoma"/>
            <family val="2"/>
          </rPr>
          <t xml:space="preserve">
8/11/16
Per mgmt. model similar spread in 3Q/4Q
11/4/15
Company expects ~$60M annual sales from international JV
9/8/15
35-40 store closures, representing  approximately 1 % of the total Macy’s, Inc. sales
</t>
        </r>
      </text>
    </comment>
    <comment ref="J119" authorId="3">
      <text>
        <r>
          <rPr>
            <b/>
            <sz val="9"/>
            <color indexed="81"/>
            <rFont val="Tahoma"/>
            <family val="2"/>
          </rPr>
          <t>Baglione, Gregory  (Research):</t>
        </r>
        <r>
          <rPr>
            <sz val="9"/>
            <color indexed="81"/>
            <rFont val="Tahoma"/>
            <family val="2"/>
          </rPr>
          <t xml:space="preserve">
11/4/15
Assumes slight net closures the remainder of the year. Expect LSD-MSD store closures offsetting select BM/BS opennings. </t>
        </r>
      </text>
    </comment>
    <comment ref="E120" authorId="3">
      <text>
        <r>
          <rPr>
            <b/>
            <sz val="9"/>
            <color indexed="81"/>
            <rFont val="Tahoma"/>
            <family val="2"/>
          </rPr>
          <t>Baglione, Gregory  (Research):</t>
        </r>
        <r>
          <rPr>
            <sz val="9"/>
            <color indexed="81"/>
            <rFont val="Tahoma"/>
            <family val="2"/>
          </rPr>
          <t xml:space="preserve">
1/4/17
Macy’s, Inc. maintains its previously provided full-year sales guidance of a
2.5 percent to 3.0 percent decrease in comparable sales on an owned plus
licensed basis, and expects to come in at the lower end of that guidance, with
comparable sales on an owned basis to be approximately 50 basis points lower.
The company now expects full-year 2016 diluted earnings per share (excluding
asset impairment, restructuring, retirement settlement and other charges) to
be in a range of $2.95 to $3.10 (compared with previous guidance of $3.15 to
$3.40).
11/10/16
Macy’s, Inc. expects full-year 2016 comparable sales on an owned plus licensed basis to decrease in the range of 2.5 percent to 3.0 percent (compared with previous guidance of a decrease in the range of 3 percent to 4 percent), with comparable sales on an owned basis to be approximately 50 basis points lower. 
8/11/16
Reaffirmed FY comp guidance below
As we move to the back half of the year, we are encouraged by the recent business trends. Our annual sales guidance of minus 3% to minus 4% on a comp owned plus licensed basis feels achievable. The fall season would need to be minus 2.3% to minus 4.1% to hit that guidance. This compares to the minus 3.8% in the first half of the year. (implies -2.6 to -4.6% owned)
5/11/16
Noting that the uncertain direction of consumer spending makes predictions of future performance difficult, Macy’s, Inc. now expects full-year 2016 comparable sales on an owned plus licensed basis to decrease in the range of 3 percent to 4 percent, with comparable sales on an owned basis to be approximately 50 basis points lower. This compares with previous guidance for comparable sales on an owned plus licensed basis to decline by approximately 1 percent in fiscal 2016.
With top-line sales expected to remain below our initial expectations, the company has revised its guidance for earnings per diluted share (excluding settlement charges) in fiscal 2016 to a range of $3.15 to $3.40. This compares with previous guidance of $3.80 to $3.90 per diluted share in 2016.
2/23/16
Expect comps for FY to be down 1.5% on an owned basis and 1.0% on an owned plus licensed basis</t>
        </r>
      </text>
    </comment>
    <comment ref="G120" authorId="5">
      <text>
        <r>
          <rPr>
            <b/>
            <sz val="9"/>
            <color indexed="81"/>
            <rFont val="Tahoma"/>
            <family val="2"/>
          </rPr>
          <t>Baglione, Gregory (Research):</t>
        </r>
        <r>
          <rPr>
            <sz val="9"/>
            <color indexed="81"/>
            <rFont val="Tahoma"/>
            <family val="2"/>
          </rPr>
          <t xml:space="preserve">
11/11/16
-1% spread for FY.We model -0.8%</t>
        </r>
      </text>
    </comment>
    <comment ref="R120" authorId="3">
      <text>
        <r>
          <rPr>
            <b/>
            <sz val="9"/>
            <color indexed="81"/>
            <rFont val="Tahoma"/>
            <family val="2"/>
          </rPr>
          <t>Baglione, Gregory  (Research):</t>
        </r>
        <r>
          <rPr>
            <sz val="9"/>
            <color indexed="81"/>
            <rFont val="Tahoma"/>
            <family val="2"/>
          </rPr>
          <t xml:space="preserve">
1/7/16
We model $375M sales decline from store closures (per holiday release) and a -1.0% comp</t>
        </r>
      </text>
    </comment>
    <comment ref="G123" authorId="3">
      <text>
        <r>
          <rPr>
            <b/>
            <sz val="9"/>
            <color indexed="81"/>
            <rFont val="Tahoma"/>
            <family val="2"/>
          </rPr>
          <t>Baglione, Gregory  (Research):</t>
        </r>
        <r>
          <rPr>
            <sz val="9"/>
            <color indexed="81"/>
            <rFont val="Tahoma"/>
            <family val="2"/>
          </rPr>
          <t xml:space="preserve">
2/23/16
Most of store closures came in 4Q
11/4/15
Company expects ~$60M annual sales from international JV
9/8/15
35-40 store closures, representing  approximately 1 % of the total Macy’s, Inc. sales</t>
        </r>
      </text>
    </comment>
    <comment ref="J123" authorId="5">
      <text>
        <r>
          <rPr>
            <b/>
            <sz val="9"/>
            <color indexed="81"/>
            <rFont val="Tahoma"/>
            <family val="2"/>
          </rPr>
          <t xml:space="preserve">Baglione, Gregory (Research):
Store Portfolio Restructure
</t>
        </r>
        <r>
          <rPr>
            <sz val="9"/>
            <color indexed="81"/>
            <rFont val="Tahoma"/>
            <family val="2"/>
          </rPr>
          <t xml:space="preserve">
The company today announced 68 Macy’s store closings (out of a current total of 730 Macy’s stores). Of the 68, three closed mid-year, 63 will be closed in early spring 2017 and two will be closed in mid-2017. Three other locations were sold, or are to be sold, and are being leased back. (A list of planned store closings, as well as store openings, is included at the end of this news release.) The company intends to opportunistically close approximately 30 additional stores over the next few years as leases or operating covenants expire or sale transactions are completed.
As a result of closing 63 Macy’s stores in early 2017, along with the three closed mid-year 2016, the company’s 2017 sales are expected to be negatively impacted by approximately $575 million. This reflects the company’s ability to retain sales at nearby stores and on macys.com through targeted marketing and merchandising efforts.
Associates displaced by store closings may be offered positions in nearby stores where possible. Eligible full-time and part-time associates who are affected by the store closings will be offered severance benefits. The company estimates that 3,900 associates will be displaced as a result of these closures.
“As we’ve noted, it is essential that we maintain a healthy portfolio of the right stores in the right places. Our plan to close approximately 100 stores over the next few years is an important part of our strategy to help us right-size our physical footprint as we expand our digital reach. We are closing locations that are unproductive or are no longer robust shopping destinations due to changes in the local retail shopping landscape, as well as monetizing locations with highly valued real estate,” Lundgren said. “These are never easy decisions, and we are committed to treating associates affected by these closings with respect and transparency.”
Four new Macy’s and Bloomingdale’s stores are currently planned and/or under construction, as previously announced. In addition, new Macy’s and Bloomingdale’s stores are planned to open in Abu Dhabi, and one Bloomingdale’s store is planned to open in Kuwait, all under license agreements with Al Tayer Group. The company also plans to continue its expansion of Macy’s Backstage (within Macy’s stores) and Bluemercury (freestanding and within Macy’s stores).
Store Openings
Four new Macy’s and Bloomingdale’s stores are currently planned and/or under construction, as previously announced.
New Macy’s stores will be opening in:
Westfield Century City, Los Angeles, CA (a 155,000 square-foot store to open in spring 2017; Macy’s previously operated a 136,000 square-foot store in this location which closed in January 2016);
Fashion Place, Murray, UT (160,000 square feet; to open in spring 2017; approximately 150 associates)
New Bloomingdale’s stores will be opening in:
Westfield Valley Fair Shopping Center, San Jose, CA (150,000 square feet; to open in spring 2019; approximately 250 associates);
The SoNo Collection, Norwalk, CT (150,000 square feet; to open in fall 2019; approximately 200 associates)
In addition, in the next two years, the company plans to open approximately 50 additional Macy’s Backstage off-price locations (all of which will be inside existing Macy’s stores) and about 50 Bluemercury beauty specialty stores (freestanding and shops inside existing Macy's stores).
Internationally, under license agreements with Al Tayer Group, a new Bloomingdale’s store is planned to open in 360 Mall in Al Zahra, Kuwait in Spring 2017 and new Macy’s and Bloomingdale’s stores are planned to open in Al Maryah Central in Abu Dhabi, United Arab Emirates, in 2018.</t>
        </r>
      </text>
    </comment>
    <comment ref="E124" authorId="4">
      <text>
        <r>
          <rPr>
            <b/>
            <sz val="9"/>
            <color indexed="81"/>
            <rFont val="Tahoma"/>
            <family val="2"/>
          </rPr>
          <t>De Courreges, Edouard (Research):</t>
        </r>
        <r>
          <rPr>
            <sz val="9"/>
            <color indexed="81"/>
            <rFont val="Tahoma"/>
            <family val="2"/>
          </rPr>
          <t xml:space="preserve">
8/10/17: -2.8 owned, -2.5 owned + licensed
Quarter showed "sequential improvement"
Tourism sales -9% (unexpected); affected O+L comp -40bps
performance consistent across regions
+ Strategies: Backstage, sales retention, merch (shoes, fine jewelry, furniture and mattresses)
+categories:fragrances, active apparel, men's clothing
-categories: cosmetics and housewares
AUR-5.5%, AUR +1.2%, UPT +1.8%</t>
        </r>
      </text>
    </comment>
    <comment ref="J124" authorId="5">
      <text>
        <r>
          <rPr>
            <b/>
            <sz val="9"/>
            <color indexed="81"/>
            <rFont val="Tahoma"/>
            <family val="2"/>
          </rPr>
          <t xml:space="preserve">Baglione, Gregory (Research):
Store Portfolio Restructure
</t>
        </r>
        <r>
          <rPr>
            <sz val="9"/>
            <color indexed="81"/>
            <rFont val="Tahoma"/>
            <family val="2"/>
          </rPr>
          <t xml:space="preserve">
The company today announced 68 Macy’s store closings (out of a current total of 730 Macy’s stores). Of the 68, three closed mid-year, 63 will be closed in early spring 2017 and two will be closed in mid-2017. Three other locations were sold, or are to be sold, and are being leased back. (A list of planned store closings, as well as store openings, is included at the end of this news release.) The company intends to opportunistically close approximately 30 additional stores over the next few years as leases or operating covenants expire or sale transactions are completed.
As a result of closing 63 Macy’s stores in early 2017, along with the three closed mid-year 2016, the company’s 2017 sales are expected to be negatively impacted by approximately $575 million. This reflects the company’s ability to retain sales at nearby stores and on macys.com through targeted marketing and merchandising efforts.
Associates displaced by store closings may be offered positions in nearby stores where possible. Eligible full-time and part-time associates who are affected by the store closings will be offered severance benefits. The company estimates that 3,900 associates will be displaced as a result of these closures.
“As we’ve noted, it is essential that we maintain a healthy portfolio of the right stores in the right places. Our plan to close approximately 100 stores over the next few years is an important part of our strategy to help us right-size our physical footprint as we expand our digital reach. We are closing locations that are unproductive or are no longer robust shopping destinations due to changes in the local retail shopping landscape, as well as monetizing locations with highly valued real estate,” Lundgren said. “These are never easy decisions, and we are committed to treating associates affected by these closings with respect and transparency.”
Four new Macy’s and Bloomingdale’s stores are currently planned and/or under construction, as previously announced. In addition, new Macy’s and Bloomingdale’s stores are planned to open in Abu Dhabi, and one Bloomingdale’s store is planned to open in Kuwait, all under license agreements with Al Tayer Group. The company also plans to continue its expansion of Macy’s Backstage (within Macy’s stores) and Bluemercury (freestanding and within Macy’s stores).
Store Openings
Four new Macy’s and Bloomingdale’s stores are currently planned and/or under construction, as previously announced.
New Macy’s stores will be opening in:
Westfield Century City, Los Angeles, CA (a 155,000 square-foot store to open in spring 2017; Macy’s previously operated a 136,000 square-foot store in this location which closed in January 2016);
Fashion Place, Murray, UT (160,000 square feet; to open in spring 2017; approximately 150 associates)
New Bloomingdale’s stores will be opening in:
Westfield Valley Fair Shopping Center, San Jose, CA (150,000 square feet; to open in spring 2019; approximately 250 associates);
The SoNo Collection, Norwalk, CT (150,000 square feet; to open in fall 2019; approximately 200 associates)
In addition, in the next two years, the company plans to open approximately 50 additional Macy’s Backstage off-price locations (all of which will be inside existing Macy’s stores) and about 50 Bluemercury beauty specialty stores (freestanding and shops inside existing Macy's stores).
Internationally, under license agreements with Al Tayer Group, a new Bloomingdale’s store is planned to open in 360 Mall in Al Zahra, Kuwait in Spring 2017 and new Macy’s and Bloomingdale’s stores are planned to open in Al Maryah Central in Abu Dhabi, United Arab Emirates, in 2018.</t>
        </r>
      </text>
    </comment>
    <comment ref="E125" authorId="4">
      <text>
        <r>
          <rPr>
            <b/>
            <sz val="9"/>
            <color indexed="81"/>
            <rFont val="Tahoma"/>
            <family val="2"/>
          </rPr>
          <t>De Courreges, Edouard (Research):</t>
        </r>
        <r>
          <rPr>
            <sz val="9"/>
            <color indexed="81"/>
            <rFont val="Tahoma"/>
            <family val="2"/>
          </rPr>
          <t xml:space="preserve">
11/9: -50 bps hurricane, -50 bps tourism decline (-11%); cold weather sales negative impact of -50M
AUR +2.9
Trans -7.3
UPT +1
Categories
+: fine jewelry, fragrances, dresses, active apparel, men's tailored clothing, shoes (ex. boots)
-: cold weather (coats, boots, winter accessories); home
+DD eCommerce
Regions similar ex. hurricane affected areas
Lower international tourism sales contributed to decline of sales in 3Q
8/10/17: (EPS call = We are assuming that comp owned plus licensed sales in the third quarter will decline by approximately 2.5% or slightly worse. )</t>
        </r>
      </text>
    </comment>
    <comment ref="J125" authorId="5">
      <text>
        <r>
          <rPr>
            <b/>
            <sz val="9"/>
            <color indexed="81"/>
            <rFont val="Tahoma"/>
            <family val="2"/>
          </rPr>
          <t xml:space="preserve">Baglione, Gregory (Research):
Store Portfolio Restructure
</t>
        </r>
        <r>
          <rPr>
            <sz val="9"/>
            <color indexed="81"/>
            <rFont val="Tahoma"/>
            <family val="2"/>
          </rPr>
          <t xml:space="preserve">
The company today announced 68 Macy’s store closings (out of a current total of 730 Macy’s stores). Of the 68, three closed mid-year, 63 will be closed in early spring 2017 and two will be closed in mid-2017. Three other locations were sold, or are to be sold, and are being leased back. (A list of planned store closings, as well as store openings, is included at the end of this news release.) The company intends to opportunistically close approximately 30 additional stores over the next few years as leases or operating covenants expire or sale transactions are completed.
As a result of closing 63 Macy’s stores in early 2017, along with the three closed mid-year 2016, the company’s 2017 sales are expected to be negatively impacted by approximately $575 million. This reflects the company’s ability to retain sales at nearby stores and on macys.com through targeted marketing and merchandising efforts.
Associates displaced by store closings may be offered positions in nearby stores where possible. Eligible full-time and part-time associates who are affected by the store closings will be offered severance benefits. The company estimates that 3,900 associates will be displaced as a result of these closures.
“As we’ve noted, it is essential that we maintain a healthy portfolio of the right stores in the right places. Our plan to close approximately 100 stores over the next few years is an important part of our strategy to help us right-size our physical footprint as we expand our digital reach. We are closing locations that are unproductive or are no longer robust shopping destinations due to changes in the local retail shopping landscape, as well as monetizing locations with highly valued real estate,” Lundgren said. “These are never easy decisions, and we are committed to treating associates affected by these closings with respect and transparency.”
Four new Macy’s and Bloomingdale’s stores are currently planned and/or under construction, as previously announced. In addition, new Macy’s and Bloomingdale’s stores are planned to open in Abu Dhabi, and one Bloomingdale’s store is planned to open in Kuwait, all under license agreements with Al Tayer Group. The company also plans to continue its expansion of Macy’s Backstage (within Macy’s stores) and Bluemercury (freestanding and within Macy’s stores).
Store Openings
Four new Macy’s and Bloomingdale’s stores are currently planned and/or under construction, as previously announced.
New Macy’s stores will be opening in:
Westfield Century City, Los Angeles, CA (a 155,000 square-foot store to open in spring 2017; Macy’s previously operated a 136,000 square-foot store in this location which closed in January 2016);
Fashion Place, Murray, UT (160,000 square feet; to open in spring 2017; approximately 150 associates)
New Bloomingdale’s stores will be opening in:
Westfield Valley Fair Shopping Center, San Jose, CA (150,000 square feet; to open in spring 2019; approximately 250 associates);
The SoNo Collection, Norwalk, CT (150,000 square feet; to open in fall 2019; approximately 200 associates)
In addition, in the next two years, the company plans to open approximately 50 additional Macy’s Backstage off-price locations (all of which will be inside existing Macy’s stores) and about 50 Bluemercury beauty specialty stores (freestanding and shops inside existing Macy's stores).
Internationally, under license agreements with Al Tayer Group, a new Bloomingdale’s store is planned to open in 360 Mall in Al Zahra, Kuwait in Spring 2017 and new Macy’s and Bloomingdale’s stores are planned to open in Al Maryah Central in Abu Dhabi, United Arab Emirates, in 2018.</t>
        </r>
      </text>
    </comment>
    <comment ref="G126" authorId="5">
      <text>
        <r>
          <rPr>
            <b/>
            <sz val="9"/>
            <color indexed="81"/>
            <rFont val="Tahoma"/>
            <family val="2"/>
          </rPr>
          <t>Baglione, Gregory (Research):</t>
        </r>
        <r>
          <rPr>
            <sz val="9"/>
            <color indexed="81"/>
            <rFont val="Tahoma"/>
            <family val="2"/>
          </rPr>
          <t xml:space="preserve">
2/27/18: Transactions flat, AUR ~+3%, UPT -1.6%
1/4/18: Total sale expected within -3.6 to -3.9
2/21/17
guidance: 53rd week worth about 120 bps in sales
$575M sales loss from store closures = ~2.2% sales hit.
53rd week 1-1.5% total sales benefit. +3-4% spread contribution in 4Q17, which yields our +1.2% spread (+3%-2%)</t>
        </r>
      </text>
    </comment>
    <comment ref="J126" authorId="5">
      <text>
        <r>
          <rPr>
            <b/>
            <sz val="9"/>
            <color indexed="81"/>
            <rFont val="Tahoma"/>
            <family val="2"/>
          </rPr>
          <t xml:space="preserve">Baglione, Gregory (Research):
Store Portfolio Restructure
</t>
        </r>
        <r>
          <rPr>
            <sz val="9"/>
            <color indexed="81"/>
            <rFont val="Tahoma"/>
            <family val="2"/>
          </rPr>
          <t xml:space="preserve">
The company today announced 68 Macy’s store closings (out of a current total of 730 Macy’s stores). Of the 68, three closed mid-year, 63 will be closed in early spring 2017 and two will be closed in mid-2017. Three other locations were sold, or are to be sold, and are being leased back. (A list of planned store closings, as well as store openings, is included at the end of this news release.) The company intends to opportunistically close approximately 30 additional stores over the next few years as leases or operating covenants expire or sale transactions are completed.
As a result of closing 63 Macy’s stores in early 2017, along with the three closed mid-year 2016, the company’s 2017 sales are expected to be negatively impacted by approximately $575 million. This reflects the company’s ability to retain sales at nearby stores and on macys.com through targeted marketing and merchandising efforts.
Associates displaced by store closings may be offered positions in nearby stores where possible. Eligible full-time and part-time associates who are affected by the store closings will be offered severance benefits. The company estimates that 3,900 associates will be displaced as a result of these closures.
“As we’ve noted, it is essential that we maintain a healthy portfolio of the right stores in the right places. Our plan to close approximately 100 stores over the next few years is an important part of our strategy to help us right-size our physical footprint as we expand our digital reach. We are closing locations that are unproductive or are no longer robust shopping destinations due to changes in the local retail shopping landscape, as well as monetizing locations with highly valued real estate,” Lundgren said. “These are never easy decisions, and we are committed to treating associates affected by these closings with respect and transparency.”
Four new Macy’s and Bloomingdale’s stores are currently planned and/or under construction, as previously announced. In addition, new Macy’s and Bloomingdale’s stores are planned to open in Abu Dhabi, and one Bloomingdale’s store is planned to open in Kuwait, all under license agreements with Al Tayer Group. The company also plans to continue its expansion of Macy’s Backstage (within Macy’s stores) and Bluemercury (freestanding and within Macy’s stores).
Store Openings
Four new Macy’s and Bloomingdale’s stores are currently planned and/or under construction, as previously announced.
New Macy’s stores will be opening in:
Westfield Century City, Los Angeles, CA (a 155,000 square-foot store to open in spring 2017; Macy’s previously operated a 136,000 square-foot store in this location which closed in January 2016);
Fashion Place, Murray, UT (160,000 square feet; to open in spring 2017; approximately 150 associates)
New Bloomingdale’s stores will be opening in:
Westfield Valley Fair Shopping Center, San Jose, CA (150,000 square feet; to open in spring 2019; approximately 250 associates);
The SoNo Collection, Norwalk, CT (150,000 square feet; to open in fall 2019; approximately 200 associates)
In addition, in the next two years, the company plans to open approximately 50 additional Macy’s Backstage off-price locations (all of which will be inside existing Macy’s stores) and about 50 Bluemercury beauty specialty stores (freestanding and shops inside existing Macy's stores).
Internationally, under license agreements with Al Tayer Group, a new Bloomingdale’s store is planned to open in 360 Mall in Al Zahra, Kuwait in Spring 2017 and new Macy’s and Bloomingdale’s stores are planned to open in Al Maryah Central in Abu Dhabi, United Arab Emirates, in 2018.</t>
        </r>
      </text>
    </comment>
    <comment ref="C127" authorId="3">
      <text>
        <r>
          <rPr>
            <b/>
            <sz val="9"/>
            <color indexed="81"/>
            <rFont val="Tahoma"/>
            <family val="2"/>
          </rPr>
          <t xml:space="preserve">Baglione, Gregory  (Research):
2/21/17 - 4Q EPS
</t>
        </r>
        <r>
          <rPr>
            <sz val="9"/>
            <color indexed="81"/>
            <rFont val="Tahoma"/>
            <family val="2"/>
          </rPr>
          <t xml:space="preserve">
In fiscal 2017, the company expects comparable sales on an owned basis to decline between 2.2 percent and 3.3 percent, with comparable sales on an owned plus licensed basis to decline between 2.0 percent and 3.0 percent. Total sales are expected to be down between 3.2 percent and 4.3 percent in fiscal 2017, reflecting the 66 stores closed in 2016. Total sales for fiscal 2017 reflect a 53rd week of sales, whereas comparable sales are on a 52-week basis.</t>
        </r>
        <r>
          <rPr>
            <b/>
            <sz val="9"/>
            <color indexed="81"/>
            <rFont val="Tahoma"/>
            <family val="2"/>
          </rPr>
          <t xml:space="preserve">
1/4/17
</t>
        </r>
        <r>
          <rPr>
            <sz val="9"/>
            <color indexed="81"/>
            <rFont val="Tahoma"/>
            <family val="2"/>
          </rPr>
          <t xml:space="preserve">As a result of closing 63 Macy’s stores in early 2017, along with the three closed mid-year 2016, the company’s 2017 sales are expected to be negatively impacted by approximately $575 million. This reflects the company’s ability to retain sales at nearby stores and on macys.com through targeted marketing and merchandising efforts.
Given the overall trends challenging us and the broader retail industry, and the time needed to execute new strategies, we expect our 2017 change in comparable sales to be relatively consistent with our November/December sales trend,” said Terry J. Lundgren, chairman and chief executive officer of Macy’s, Inc. </t>
        </r>
        <r>
          <rPr>
            <b/>
            <sz val="9"/>
            <color indexed="81"/>
            <rFont val="Tahoma"/>
            <family val="2"/>
          </rPr>
          <t xml:space="preserve">
2017e Sales Forcast:
2016e $25.8B
-2% comp
-$575M reduction from 68 store closures ($8.5M per store)
+ 53rd Week= ~1.2% of total sales ($330M) per 2012 cell comments using ~$285M here
Implies $25.064B
</t>
        </r>
        <r>
          <rPr>
            <sz val="9"/>
            <color indexed="81"/>
            <rFont val="Tahoma"/>
            <family val="2"/>
          </rPr>
          <t>8/11/16
Management stated timing of closures and sales loss is still unknown.
We remove $750M sales from 2016e sales and then apply our comp forecast.
We assume the remaining $250M comes out of 2017
$750M sales ~3% sales headwind
-1% comp
Offset by ~1.3% benefit from 53rd week, leads to sales ~
We remove $750M from LY's sales and model a -1% comp</t>
        </r>
      </text>
    </comment>
    <comment ref="E127" authorId="6">
      <text>
        <r>
          <rPr>
            <b/>
            <sz val="9"/>
            <color indexed="81"/>
            <rFont val="Tahoma"/>
            <family val="2"/>
          </rPr>
          <t xml:space="preserve">Roberts, Cynthia (Research):
5/11/17: </t>
        </r>
        <r>
          <rPr>
            <sz val="9"/>
            <color indexed="81"/>
            <rFont val="Tahoma"/>
            <family val="2"/>
          </rPr>
          <t>we remain on track to meet our 2017 guidance</t>
        </r>
        <r>
          <rPr>
            <b/>
            <sz val="9"/>
            <color indexed="81"/>
            <rFont val="Tahoma"/>
            <family val="2"/>
          </rPr>
          <t xml:space="preserve">
</t>
        </r>
        <r>
          <rPr>
            <sz val="9"/>
            <color indexed="81"/>
            <rFont val="Tahoma"/>
            <family val="2"/>
          </rPr>
          <t xml:space="preserve">
2/21/17 - 4Q EPS
In fiscal 2017, the company expects </t>
        </r>
        <r>
          <rPr>
            <b/>
            <sz val="9"/>
            <color indexed="81"/>
            <rFont val="Tahoma"/>
            <family val="2"/>
          </rPr>
          <t xml:space="preserve">comparable sales on an owned basis to decline between 2.2 percent and 3.3 </t>
        </r>
        <r>
          <rPr>
            <sz val="9"/>
            <color indexed="81"/>
            <rFont val="Tahoma"/>
            <family val="2"/>
          </rPr>
          <t xml:space="preserve">percent, with comparable sales on an owned plus licensed basis to decline between 2.0 percent and 3.0 percent. </t>
        </r>
        <r>
          <rPr>
            <b/>
            <sz val="9"/>
            <color indexed="81"/>
            <rFont val="Tahoma"/>
            <family val="2"/>
          </rPr>
          <t>Total sales are expected to be down between 3.2 percent and 4.3 percent in fiscal 2017</t>
        </r>
        <r>
          <rPr>
            <sz val="9"/>
            <color indexed="81"/>
            <rFont val="Tahoma"/>
            <family val="2"/>
          </rPr>
          <t>, reflecting the 66 stores closed in 2016. T</t>
        </r>
        <r>
          <rPr>
            <b/>
            <sz val="9"/>
            <color indexed="81"/>
            <rFont val="Tahoma"/>
            <family val="2"/>
          </rPr>
          <t>otal sales for fiscal 2017 reflect a 53rd week of sales, whereas comparable sales are on a 52-week basis.</t>
        </r>
        <r>
          <rPr>
            <sz val="9"/>
            <color indexed="81"/>
            <rFont val="Tahoma"/>
            <family val="2"/>
          </rPr>
          <t xml:space="preserve">
</t>
        </r>
      </text>
    </comment>
    <comment ref="G127" authorId="5">
      <text>
        <r>
          <rPr>
            <b/>
            <sz val="9"/>
            <color indexed="81"/>
            <rFont val="Tahoma"/>
            <family val="2"/>
          </rPr>
          <t>Baglione, Gregory (Research):</t>
        </r>
        <r>
          <rPr>
            <sz val="9"/>
            <color indexed="81"/>
            <rFont val="Tahoma"/>
            <family val="2"/>
          </rPr>
          <t xml:space="preserve">
2/21/17
In fiscal 2017, the company expects comparable sales on an owned basis to decline between 2.2 percent and 3.3 percent, with comparable sales on an owned plus licensed basis to decline between 2.0 percent and 3.0 percent. Total sales are expected to be down between 3.2 percent and 4.3 percent in fiscal 2017, reflecting the 66 stores closed in 2016. Total sales for fiscal 2017 reflect a 53rd week of sales, whereas comparable sales are on a 52-week basis.
$575M sales loss from store closures = ~2.2% sales hit.
53rd week 1-1.5% total sales benefit. 3-4% to 4Q. Yields our +1.2% spread in 4Q17</t>
        </r>
      </text>
    </comment>
    <comment ref="R127" authorId="4">
      <text>
        <r>
          <rPr>
            <b/>
            <sz val="9"/>
            <color indexed="81"/>
            <rFont val="Tahoma"/>
            <family val="2"/>
          </rPr>
          <t>De Courreges, Edouard (Research):</t>
        </r>
        <r>
          <rPr>
            <sz val="9"/>
            <color indexed="81"/>
            <rFont val="Tahoma"/>
            <family val="2"/>
          </rPr>
          <t xml:space="preserve">
8/10/17 EPS call: we expected that our strategic initiative to contribute $200 million to $260 million of
additional sales in the last 9 months of the year</t>
        </r>
      </text>
    </comment>
    <comment ref="G130" authorId="4">
      <text>
        <r>
          <rPr>
            <b/>
            <sz val="9"/>
            <color indexed="81"/>
            <rFont val="Tahoma"/>
            <family val="2"/>
          </rPr>
          <t>De Courreges, Edouard (Research):</t>
        </r>
        <r>
          <rPr>
            <sz val="9"/>
            <color indexed="81"/>
            <rFont val="Tahoma"/>
            <family val="2"/>
          </rPr>
          <t xml:space="preserve">
+1 from 53rd week calendar shift</t>
        </r>
      </text>
    </comment>
    <comment ref="J130" authorId="5">
      <text>
        <r>
          <rPr>
            <b/>
            <sz val="9"/>
            <color indexed="81"/>
            <rFont val="Tahoma"/>
            <family val="2"/>
          </rPr>
          <t xml:space="preserve">Baglione, Gregory (Research):
Store Portfolio Restructure
</t>
        </r>
        <r>
          <rPr>
            <sz val="9"/>
            <color indexed="81"/>
            <rFont val="Tahoma"/>
            <family val="2"/>
          </rPr>
          <t xml:space="preserve">
The company today announced 68 Macy’s store closings (out of a current total of 730 Macy’s stores). Of the 68, three closed mid-year, 63 will be closed in early spring 2017 and two will be closed in mid-2017. Three other locations were sold, or are to be sold, and are being leased back. (A list of planned store closings, as well as store openings, is included at the end of this news release.) The company intends to opportunistically close approximately 30 additional stores over the next few years as leases or operating covenants expire or sale transactions are completed.
As a result of closing 63 Macy’s stores in early 2017, along with the three closed mid-year 2016, the company’s 2017 sales are expected to be negatively impacted by approximately $575 million. This reflects the company’s ability to retain sales at nearby stores and on macys.com through targeted marketing and merchandising efforts.
Associates displaced by store closings may be offered positions in nearby stores where possible. Eligible full-time and part-time associates who are affected by the store closings will be offered severance benefits. The company estimates that 3,900 associates will be displaced as a result of these closures.
“As we’ve noted, it is essential that we maintain a healthy portfolio of the right stores in the right places. Our plan to close approximately 100 stores over the next few years is an important part of our strategy to help us right-size our physical footprint as we expand our digital reach. We are closing locations that are unproductive or are no longer robust shopping destinations due to changes in the local retail shopping landscape, as well as monetizing locations with highly valued real estate,” Lundgren said. “These are never easy decisions, and we are committed to treating associates affected by these closings with respect and transparency.”
Four new Macy’s and Bloomingdale’s stores are currently planned and/or under construction, as previously announced. In addition, new Macy’s and Bloomingdale’s stores are planned to open in Abu Dhabi, and one Bloomingdale’s store is planned to open in Kuwait, all under license agreements with Al Tayer Group. The company also plans to continue its expansion of Macy’s Backstage (within Macy’s stores) and Bluemercury (freestanding and within Macy’s stores).
Store Openings
Four new Macy’s and Bloomingdale’s stores are currently planned and/or under construction, as previously announced.
New Macy’s stores will be opening in:
Westfield Century City, Los Angeles, CA (a 155,000 square-foot store to open in spring 2017; Macy’s previously operated a 136,000 square-foot store in this location which closed in January 2016);
Fashion Place, Murray, UT (160,000 square feet; to open in spring 2017; approximately 150 associates)
New Bloomingdale’s stores will be opening in:
Westfield Valley Fair Shopping Center, San Jose, CA (150,000 square feet; to open in spring 2019; approximately 250 associates);
The SoNo Collection, Norwalk, CT (150,000 square feet; to open in fall 2019; approximately 200 associates)
In addition, in the next two years, the company plans to open approximately 50 additional Macy’s Backstage off-price locations (all of which will be inside existing Macy’s stores) and about 50 Bluemercury beauty specialty stores (freestanding and shops inside existing Macy's stores).
Internationally, under license agreements with Al Tayer Group, a new Bloomingdale’s store is planned to open in 360 Mall in Al Zahra, Kuwait in Spring 2017 and new Macy’s and Bloomingdale’s stores are planned to open in Al Maryah Central in Abu Dhabi, United Arab Emirates, in 2018.</t>
        </r>
      </text>
    </comment>
    <comment ref="G131" authorId="4">
      <text>
        <r>
          <rPr>
            <b/>
            <sz val="9"/>
            <color indexed="81"/>
            <rFont val="Tahoma"/>
            <family val="2"/>
          </rPr>
          <t>De Courreges, Edouard (Research):</t>
        </r>
        <r>
          <rPr>
            <sz val="9"/>
            <color indexed="81"/>
            <rFont val="Tahoma"/>
            <family val="2"/>
          </rPr>
          <t xml:space="preserve">
+0.3 from 53rd week calendar shift
friends and family shifted from 2H to 1H</t>
        </r>
      </text>
    </comment>
    <comment ref="J131" authorId="5">
      <text>
        <r>
          <rPr>
            <b/>
            <sz val="9"/>
            <color indexed="81"/>
            <rFont val="Tahoma"/>
            <family val="2"/>
          </rPr>
          <t xml:space="preserve">Baglione, Gregory (Research):
Store Portfolio Restructure
</t>
        </r>
        <r>
          <rPr>
            <sz val="9"/>
            <color indexed="81"/>
            <rFont val="Tahoma"/>
            <family val="2"/>
          </rPr>
          <t xml:space="preserve">
The company today announced 68 Macy’s store closings (out of a current total of 730 Macy’s stores). Of the 68, three closed mid-year, 63 will be closed in early spring 2017 and two will be closed in mid-2017. Three other locations were sold, or are to be sold, and are being leased back. (A list of planned store closings, as well as store openings, is included at the end of this news release.) The company intends to opportunistically close approximately 30 additional stores over the next few years as leases or operating covenants expire or sale transactions are completed.
As a result of closing 63 Macy’s stores in early 2017, along with the three closed mid-year 2016, the company’s 2017 sales are expected to be negatively impacted by approximately $575 million. This reflects the company’s ability to retain sales at nearby stores and on macys.com through targeted marketing and merchandising efforts.
Associates displaced by store closings may be offered positions in nearby stores where possible. Eligible full-time and part-time associates who are affected by the store closings will be offered severance benefits. The company estimates that 3,900 associates will be displaced as a result of these closures.
“As we’ve noted, it is essential that we maintain a healthy portfolio of the right stores in the right places. Our plan to close approximately 100 stores over the next few years is an important part of our strategy to help us right-size our physical footprint as we expand our digital reach. We are closing locations that are unproductive or are no longer robust shopping destinations due to changes in the local retail shopping landscape, as well as monetizing locations with highly valued real estate,” Lundgren said. “These are never easy decisions, and we are committed to treating associates affected by these closings with respect and transparency.”
Four new Macy’s and Bloomingdale’s stores are currently planned and/or under construction, as previously announced. In addition, new Macy’s and Bloomingdale’s stores are planned to open in Abu Dhabi, and one Bloomingdale’s store is planned to open in Kuwait, all under license agreements with Al Tayer Group. The company also plans to continue its expansion of Macy’s Backstage (within Macy’s stores) and Bluemercury (freestanding and within Macy’s stores).
Store Openings
Four new Macy’s and Bloomingdale’s stores are currently planned and/or under construction, as previously announced.
New Macy’s stores will be opening in:
Westfield Century City, Los Angeles, CA (a 155,000 square-foot store to open in spring 2017; Macy’s previously operated a 136,000 square-foot store in this location which closed in January 2016);
Fashion Place, Murray, UT (160,000 square feet; to open in spring 2017; approximately 150 associates)
New Bloomingdale’s stores will be opening in:
Westfield Valley Fair Shopping Center, San Jose, CA (150,000 square feet; to open in spring 2019; approximately 250 associates);
The SoNo Collection, Norwalk, CT (150,000 square feet; to open in fall 2019; approximately 200 associates)
In addition, in the next two years, the company plans to open approximately 50 additional Macy’s Backstage off-price locations (all of which will be inside existing Macy’s stores) and about 50 Bluemercury beauty specialty stores (freestanding and shops inside existing Macy's stores).
Internationally, under license agreements with Al Tayer Group, a new Bloomingdale’s store is planned to open in 360 Mall in Al Zahra, Kuwait in Spring 2017 and new Macy’s and Bloomingdale’s stores are planned to open in Al Maryah Central in Abu Dhabi, United Arab Emirates, in 2018.</t>
        </r>
      </text>
    </comment>
    <comment ref="G132" authorId="4">
      <text>
        <r>
          <rPr>
            <b/>
            <sz val="9"/>
            <color indexed="81"/>
            <rFont val="Tahoma"/>
            <family val="2"/>
          </rPr>
          <t>De Courreges, Edouard (Research):</t>
        </r>
        <r>
          <rPr>
            <sz val="9"/>
            <color indexed="81"/>
            <rFont val="Tahoma"/>
            <family val="2"/>
          </rPr>
          <t xml:space="preserve">
-0.2from 53rd week calendar shift</t>
        </r>
      </text>
    </comment>
    <comment ref="J132" authorId="5">
      <text>
        <r>
          <rPr>
            <b/>
            <sz val="9"/>
            <color indexed="81"/>
            <rFont val="Tahoma"/>
            <family val="2"/>
          </rPr>
          <t xml:space="preserve">Baglione, Gregory (Research):
Store Portfolio Restructure
</t>
        </r>
        <r>
          <rPr>
            <sz val="9"/>
            <color indexed="81"/>
            <rFont val="Tahoma"/>
            <family val="2"/>
          </rPr>
          <t xml:space="preserve">
The company today announced 68 Macy’s store closings (out of a current total of 730 Macy’s stores). Of the 68, three closed mid-year, 63 will be closed in early spring 2017 and two will be closed in mid-2017. Three other locations were sold, or are to be sold, and are being leased back. (A list of planned store closings, as well as store openings, is included at the end of this news release.) The company intends to opportunistically close approximately 30 additional stores over the next few years as leases or operating covenants expire or sale transactions are completed.
As a result of closing 63 Macy’s stores in early 2017, along with the three closed mid-year 2016, the company’s 2017 sales are expected to be negatively impacted by approximately $575 million. This reflects the company’s ability to retain sales at nearby stores and on macys.com through targeted marketing and merchandising efforts.
Associates displaced by store closings may be offered positions in nearby stores where possible. Eligible full-time and part-time associates who are affected by the store closings will be offered severance benefits. The company estimates that 3,900 associates will be displaced as a result of these closures.
“As we’ve noted, it is essential that we maintain a healthy portfolio of the right stores in the right places. Our plan to close approximately 100 stores over the next few years is an important part of our strategy to help us right-size our physical footprint as we expand our digital reach. We are closing locations that are unproductive or are no longer robust shopping destinations due to changes in the local retail shopping landscape, as well as monetizing locations with highly valued real estate,” Lundgren said. “These are never easy decisions, and we are committed to treating associates affected by these closings with respect and transparency.”
Four new Macy’s and Bloomingdale’s stores are currently planned and/or under construction, as previously announced. In addition, new Macy’s and Bloomingdale’s stores are planned to open in Abu Dhabi, and one Bloomingdale’s store is planned to open in Kuwait, all under license agreements with Al Tayer Group. The company also plans to continue its expansion of Macy’s Backstage (within Macy’s stores) and Bluemercury (freestanding and within Macy’s stores).
Store Openings
Four new Macy’s and Bloomingdale’s stores are currently planned and/or under construction, as previously announced.
New Macy’s stores will be opening in:
Westfield Century City, Los Angeles, CA (a 155,000 square-foot store to open in spring 2017; Macy’s previously operated a 136,000 square-foot store in this location which closed in January 2016);
Fashion Place, Murray, UT (160,000 square feet; to open in spring 2017; approximately 150 associates)
New Bloomingdale’s stores will be opening in:
Westfield Valley Fair Shopping Center, San Jose, CA (150,000 square feet; to open in spring 2019; approximately 250 associates);
The SoNo Collection, Norwalk, CT (150,000 square feet; to open in fall 2019; approximately 200 associates)
In addition, in the next two years, the company plans to open approximately 50 additional Macy’s Backstage off-price locations (all of which will be inside existing Macy’s stores) and about 50 Bluemercury beauty specialty stores (freestanding and shops inside existing Macy's stores).
Internationally, under license agreements with Al Tayer Group, a new Bloomingdale’s store is planned to open in 360 Mall in Al Zahra, Kuwait in Spring 2017 and new Macy’s and Bloomingdale’s stores are planned to open in Al Maryah Central in Abu Dhabi, United Arab Emirates, in 2018.</t>
        </r>
      </text>
    </comment>
    <comment ref="G133" authorId="4">
      <text>
        <r>
          <rPr>
            <b/>
            <sz val="9"/>
            <color indexed="81"/>
            <rFont val="Tahoma"/>
            <family val="2"/>
          </rPr>
          <t>De Courreges, Edouard (Research):</t>
        </r>
        <r>
          <rPr>
            <sz val="9"/>
            <color indexed="81"/>
            <rFont val="Tahoma"/>
            <family val="2"/>
          </rPr>
          <t xml:space="preserve">
-2.1 from 53rd week calendar shift</t>
        </r>
      </text>
    </comment>
    <comment ref="J133" authorId="5">
      <text>
        <r>
          <rPr>
            <b/>
            <sz val="9"/>
            <color indexed="81"/>
            <rFont val="Tahoma"/>
            <family val="2"/>
          </rPr>
          <t xml:space="preserve">Baglione, Gregory (Research):
Store Portfolio Restructure
</t>
        </r>
        <r>
          <rPr>
            <sz val="9"/>
            <color indexed="81"/>
            <rFont val="Tahoma"/>
            <family val="2"/>
          </rPr>
          <t xml:space="preserve">
The company today announced 68 Macy’s store closings (out of a current total of 730 Macy’s stores). Of the 68, three closed mid-year, 63 will be closed in early spring 2017 and two will be closed in mid-2017. Three other locations were sold, or are to be sold, and are being leased back. (A list of planned store closings, as well as store openings, is included at the end of this news release.) The company intends to opportunistically close approximately 30 additional stores over the next few years as leases or operating covenants expire or sale transactions are completed.
As a result of closing 63 Macy’s stores in early 2017, along with the three closed mid-year 2016, the company’s 2017 sales are expected to be negatively impacted by approximately $575 million. This reflects the company’s ability to retain sales at nearby stores and on macys.com through targeted marketing and merchandising efforts.
Associates displaced by store closings may be offered positions in nearby stores where possible. Eligible full-time and part-time associates who are affected by the store closings will be offered severance benefits. The company estimates that 3,900 associates will be displaced as a result of these closures.
“As we’ve noted, it is essential that we maintain a healthy portfolio of the right stores in the right places. Our plan to close approximately 100 stores over the next few years is an important part of our strategy to help us right-size our physical footprint as we expand our digital reach. We are closing locations that are unproductive or are no longer robust shopping destinations due to changes in the local retail shopping landscape, as well as monetizing locations with highly valued real estate,” Lundgren said. “These are never easy decisions, and we are committed to treating associates affected by these closings with respect and transparency.”
Four new Macy’s and Bloomingdale’s stores are currently planned and/or under construction, as previously announced. In addition, new Macy’s and Bloomingdale’s stores are planned to open in Abu Dhabi, and one Bloomingdale’s store is planned to open in Kuwait, all under license agreements with Al Tayer Group. The company also plans to continue its expansion of Macy’s Backstage (within Macy’s stores) and Bluemercury (freestanding and within Macy’s stores).
Store Openings
Four new Macy’s and Bloomingdale’s stores are currently planned and/or under construction, as previously announced.
New Macy’s stores will be opening in:
Westfield Century City, Los Angeles, CA (a 155,000 square-foot store to open in spring 2017; Macy’s previously operated a 136,000 square-foot store in this location which closed in January 2016);
Fashion Place, Murray, UT (160,000 square feet; to open in spring 2017; approximately 150 associates)
New Bloomingdale’s stores will be opening in:
Westfield Valley Fair Shopping Center, San Jose, CA (150,000 square feet; to open in spring 2019; approximately 250 associates);
The SoNo Collection, Norwalk, CT (150,000 square feet; to open in fall 2019; approximately 200 associates)
In addition, in the next two years, the company plans to open approximately 50 additional Macy’s Backstage off-price locations (all of which will be inside existing Macy’s stores) and about 50 Bluemercury beauty specialty stores (freestanding and shops inside existing Macy's stores).
Internationally, under license agreements with Al Tayer Group, a new Bloomingdale’s store is planned to open in 360 Mall in Al Zahra, Kuwait in Spring 2017 and new Macy’s and Bloomingdale’s stores are planned to open in Al Maryah Central in Abu Dhabi, United Arab Emirates, in 2018.</t>
        </r>
      </text>
    </comment>
    <comment ref="E134" authorId="4">
      <text>
        <r>
          <rPr>
            <b/>
            <sz val="9"/>
            <color indexed="81"/>
            <rFont val="Tahoma"/>
            <family val="2"/>
          </rPr>
          <t>De Courreges, Edouard (Research):</t>
        </r>
        <r>
          <rPr>
            <sz val="9"/>
            <color indexed="81"/>
            <rFont val="Tahoma"/>
            <family val="2"/>
          </rPr>
          <t xml:space="preserve">
2/27/18: flat to +1 guidance, weighted toward 2H</t>
        </r>
      </text>
    </comment>
    <comment ref="R134" authorId="4">
      <text>
        <r>
          <rPr>
            <b/>
            <sz val="9"/>
            <color indexed="81"/>
            <rFont val="Tahoma"/>
            <family val="2"/>
          </rPr>
          <t>De Courreges, Edouard (Research):</t>
        </r>
        <r>
          <rPr>
            <sz val="9"/>
            <color indexed="81"/>
            <rFont val="Tahoma"/>
            <family val="2"/>
          </rPr>
          <t xml:space="preserve">
8/10/17 EPS call: we expected that our strategic initiative to contribute $200 million to $260 million of
additional sales in the last 9 months of the year</t>
        </r>
      </text>
    </comment>
  </commentList>
</comments>
</file>

<file path=xl/comments5.xml><?xml version="1.0" encoding="utf-8"?>
<comments xmlns="http://schemas.openxmlformats.org/spreadsheetml/2006/main">
  <authors>
    <author>leechi</author>
    <author>balskyh</author>
    <author>DL</author>
    <author>casselau</author>
    <author>Baglione, Gregory  (Research)</author>
    <author>De Courreges, Edouard (Research)</author>
    <author>Cassel, Lauren (Research)</author>
    <author>Duol</author>
    <author>mmcclell</author>
    <author>cuomochr</author>
    <author>duol</author>
    <author>Roberts, Cynthia (Research)</author>
    <author>Scott Feiler</author>
    <author>Michelle Clark</author>
    <author>Baglione, Gregory (Research)</author>
    <author>kimberlg</author>
  </authors>
  <commentList>
    <comment ref="AF7" authorId="0">
      <text>
        <r>
          <rPr>
            <b/>
            <sz val="8"/>
            <color indexed="81"/>
            <rFont val="Tahoma"/>
            <family val="2"/>
          </rPr>
          <t>-Restated based on 5-yr selected financial data from 2000 10K
-Not Restated for SFAS 123
-Not Restated for leased department income and shipping and handling fees and costs</t>
        </r>
      </text>
    </comment>
    <comment ref="AJ7" authorId="0">
      <text>
        <r>
          <rPr>
            <b/>
            <sz val="8"/>
            <color indexed="81"/>
            <rFont val="Tahoma"/>
            <family val="2"/>
          </rPr>
          <t>-Adjusted for Fingerut
-Restated based on 5-yr selected financial data from 2001 10K
-Not Restated for SFAS 123
-Not Restated for leased department income and shipping and handling fees and costs</t>
        </r>
      </text>
    </comment>
    <comment ref="AN7" authorId="0">
      <text>
        <r>
          <rPr>
            <b/>
            <sz val="8"/>
            <color indexed="81"/>
            <rFont val="Tahoma"/>
            <family val="2"/>
          </rPr>
          <t>-Restated based on 5-yr selected financial data from 2001 10K
-Not Restated for SFAS 123
-Not Restated for leased department income and shipping and handling fees and costs</t>
        </r>
      </text>
    </comment>
    <comment ref="AR7" authorId="0">
      <text>
        <r>
          <rPr>
            <b/>
            <sz val="8"/>
            <color indexed="81"/>
            <rFont val="Tahoma"/>
            <family val="2"/>
          </rPr>
          <t>-Restated based on 5-yr selected financial data from 2001 10K
-Not Restated for SFAS 123
-Not Restated for leased department income and shipping and handling fees and costs</t>
        </r>
      </text>
    </comment>
    <comment ref="AR10" authorId="1">
      <text>
        <r>
          <rPr>
            <b/>
            <sz val="8"/>
            <color indexed="81"/>
            <rFont val="Tahoma"/>
            <family val="2"/>
          </rPr>
          <t>Includes direct to consumer revenues</t>
        </r>
        <r>
          <rPr>
            <sz val="8"/>
            <color indexed="81"/>
            <rFont val="Tahoma"/>
            <family val="2"/>
          </rPr>
          <t xml:space="preserve">
</t>
        </r>
      </text>
    </comment>
    <comment ref="CS10" authorId="1">
      <text>
        <r>
          <rPr>
            <b/>
            <sz val="8"/>
            <color indexed="81"/>
            <rFont val="Tahoma"/>
            <family val="2"/>
          </rPr>
          <t xml:space="preserve">Guidance: 2/21/2012
</t>
        </r>
        <r>
          <rPr>
            <sz val="8"/>
            <color indexed="81"/>
            <rFont val="Tahoma"/>
            <family val="2"/>
          </rPr>
          <t>- 1Q12 through 3Q12: Total sales growth expected to be slightly below comp due to store closures at end of 2011.</t>
        </r>
      </text>
    </comment>
    <comment ref="CT10" authorId="1">
      <text>
        <r>
          <rPr>
            <b/>
            <sz val="8"/>
            <color indexed="81"/>
            <rFont val="Tahoma"/>
            <family val="2"/>
          </rPr>
          <t xml:space="preserve">5/9/2012 Comment:
</t>
        </r>
        <r>
          <rPr>
            <sz val="8"/>
            <color indexed="81"/>
            <rFont val="Tahoma"/>
            <family val="2"/>
          </rPr>
          <t xml:space="preserve">1) Sales strong in men's, center core (incl. watches, jewelry handbags, cosmetics, shoes, etc.) and home (big ticket doing very well -expect trend to continue)
2) women's apparel stronger in Feb/Mar vs. April but feeling better about this category (esp. classic parts of business)
3) saw strength in Impulse apparel area (older millennial customer aged 22-30) but jar business (younger millennial customer) still weak
4) Strongest private brands: hotel, charter club, bar III; Ideology (launched recently) doing very well
5) Sales across geographies were strong, but South outperformed w/ strength in Florida, Texas &amp; Hawaii
6) </t>
        </r>
        <r>
          <rPr>
            <b/>
            <sz val="8"/>
            <color indexed="81"/>
            <rFont val="Tahoma"/>
            <family val="2"/>
          </rPr>
          <t xml:space="preserve">AUR +8%; Units -4%
</t>
        </r>
        <r>
          <rPr>
            <sz val="8"/>
            <color indexed="81"/>
            <rFont val="Tahoma"/>
            <family val="2"/>
          </rPr>
          <t>7)  Seeing benefit from JCP customers</t>
        </r>
        <r>
          <rPr>
            <b/>
            <sz val="8"/>
            <color indexed="81"/>
            <rFont val="Tahoma"/>
            <family val="2"/>
          </rPr>
          <t xml:space="preserve">
5/3/2012 Comment
</t>
        </r>
        <r>
          <rPr>
            <sz val="8"/>
            <color indexed="81"/>
            <rFont val="Tahoma"/>
            <family val="2"/>
          </rPr>
          <t xml:space="preserve">1) Qtr AUR +8; units down little more than slightly
</t>
        </r>
        <r>
          <rPr>
            <b/>
            <sz val="8"/>
            <color indexed="81"/>
            <rFont val="Tahoma"/>
            <family val="2"/>
          </rPr>
          <t xml:space="preserve">
Guidance 4/5/2012
</t>
        </r>
        <r>
          <rPr>
            <sz val="8"/>
            <color indexed="81"/>
            <rFont val="Tahoma"/>
            <family val="2"/>
          </rPr>
          <t>+4.3-4.5%</t>
        </r>
        <r>
          <rPr>
            <b/>
            <sz val="8"/>
            <color indexed="81"/>
            <rFont val="Tahoma"/>
            <family val="2"/>
          </rPr>
          <t xml:space="preserve">
Guidance 2/21/12:
</t>
        </r>
        <r>
          <rPr>
            <sz val="8"/>
            <color indexed="81"/>
            <rFont val="Tahoma"/>
            <family val="2"/>
          </rPr>
          <t>FY comp of 3.5%, expect relatively even throughout the year</t>
        </r>
      </text>
    </comment>
    <comment ref="CX10" authorId="1">
      <text>
        <r>
          <rPr>
            <b/>
            <sz val="8"/>
            <color indexed="81"/>
            <rFont val="Tahoma"/>
            <family val="2"/>
          </rPr>
          <t xml:space="preserve">5/15/2013: </t>
        </r>
        <r>
          <rPr>
            <sz val="8"/>
            <color indexed="81"/>
            <rFont val="Tahoma"/>
            <family val="2"/>
          </rPr>
          <t>Adding in licensing shop sales comp would have been +4.4% (or 60 bps higher)</t>
        </r>
      </text>
    </comment>
    <comment ref="DB10" authorId="2">
      <text>
        <r>
          <rPr>
            <b/>
            <sz val="9"/>
            <color indexed="81"/>
            <rFont val="Tahoma"/>
            <family val="2"/>
          </rPr>
          <t xml:space="preserve">5/14/14: </t>
        </r>
        <r>
          <rPr>
            <sz val="9"/>
            <color indexed="81"/>
            <rFont val="Tahoma"/>
            <family val="2"/>
          </rPr>
          <t>comps -0.8% include leased departments.</t>
        </r>
        <r>
          <rPr>
            <b/>
            <sz val="9"/>
            <color indexed="81"/>
            <rFont val="Tahoma"/>
            <family val="2"/>
          </rPr>
          <t xml:space="preserve"> </t>
        </r>
        <r>
          <rPr>
            <sz val="9"/>
            <color indexed="81"/>
            <rFont val="Tahoma"/>
            <family val="2"/>
          </rPr>
          <t xml:space="preserve">AUR flat, UPT +1% and Trans -1.5%
</t>
        </r>
      </text>
    </comment>
    <comment ref="DF10" authorId="3">
      <text>
        <r>
          <rPr>
            <b/>
            <sz val="9"/>
            <color indexed="81"/>
            <rFont val="Tahoma"/>
            <family val="2"/>
          </rPr>
          <t xml:space="preserve">casselau:
5/13/15: owned plus licensed basis -0.1%; </t>
        </r>
        <r>
          <rPr>
            <sz val="9"/>
            <color indexed="81"/>
            <rFont val="Tahoma"/>
            <family val="2"/>
          </rPr>
          <t>friends and family 3 days longer y/y</t>
        </r>
        <r>
          <rPr>
            <b/>
            <sz val="9"/>
            <color indexed="81"/>
            <rFont val="Tahoma"/>
            <family val="2"/>
          </rPr>
          <t xml:space="preserve">
</t>
        </r>
        <r>
          <rPr>
            <sz val="9"/>
            <color indexed="81"/>
            <rFont val="Tahoma"/>
            <family val="2"/>
          </rPr>
          <t>AUR +1.4% (function of mix, less clearance and clearance AURs higher), UPT -1.2%, transactions down slightly; estimate lower intl tourist sales negatively impacted comp by 1%</t>
        </r>
        <r>
          <rPr>
            <sz val="9"/>
            <color indexed="81"/>
            <rFont val="Tahoma"/>
            <family val="2"/>
          </rPr>
          <t xml:space="preserve">
</t>
        </r>
      </text>
    </comment>
    <comment ref="DJ10" authorId="4">
      <text>
        <r>
          <rPr>
            <b/>
            <sz val="9"/>
            <color indexed="81"/>
            <rFont val="Tahoma"/>
            <family val="2"/>
          </rPr>
          <t>Baglione, Gregory  (Research):</t>
        </r>
        <r>
          <rPr>
            <sz val="9"/>
            <color indexed="81"/>
            <rFont val="Tahoma"/>
            <family val="2"/>
          </rPr>
          <t xml:space="preserve">
Assume flat comp for 2016, ~-(0.5%)-(1.0%) two-year stack
5/11/16
The number of </t>
        </r>
        <r>
          <rPr>
            <b/>
            <sz val="9"/>
            <color indexed="81"/>
            <rFont val="Tahoma"/>
            <family val="2"/>
          </rPr>
          <t>transactions declined 7%</t>
        </r>
        <r>
          <rPr>
            <sz val="9"/>
            <color indexed="81"/>
            <rFont val="Tahoma"/>
            <family val="2"/>
          </rPr>
          <t xml:space="preserve"> in the quarter, which is far worse than what was experienced last year. This is the proxy, as you know, for traffic. </t>
        </r>
        <r>
          <rPr>
            <b/>
            <sz val="9"/>
            <color indexed="81"/>
            <rFont val="Tahoma"/>
            <family val="2"/>
          </rPr>
          <t>AUR, average unit retail, was up slightly and units per transaction was up approximately 1%.</t>
        </r>
      </text>
    </comment>
    <comment ref="DN10" authorId="5">
      <text>
        <r>
          <rPr>
            <b/>
            <sz val="9"/>
            <color indexed="81"/>
            <rFont val="Tahoma"/>
            <family val="2"/>
          </rPr>
          <t>De Courreges, Edouard (Research):</t>
        </r>
        <r>
          <rPr>
            <sz val="9"/>
            <color indexed="81"/>
            <rFont val="Tahoma"/>
            <family val="2"/>
          </rPr>
          <t xml:space="preserve">
De Courreges, Edouard (Research):
5/11/17: 
transactions declined 7.5% AUR l increased 0.7% and UPT increased 2.2%.
BUSINESS:  strongest in women's apparel, most notably, active and dresses and fine jewelry, fragrances, women's shoes, furniture and mattresses. Weaker businesses in the quarter included handbags, fashion jewelry and watches, housewares and top of table. Trends at Bloomingdale's were similar to those at Macy's in the quarter. Bluemercury had a strong quarter with continued successful store openings as well as double-digit comp growth.
GEO:  Southwest region  was strongest, Northeast region was weakest. International tourists sales declined at about the same rate as our comp sales, ie no mpact.
</t>
        </r>
      </text>
    </comment>
    <comment ref="AR11" authorId="1">
      <text>
        <r>
          <rPr>
            <b/>
            <sz val="8"/>
            <color indexed="81"/>
            <rFont val="Tahoma"/>
            <family val="2"/>
          </rPr>
          <t>Includes direct to consumer revenues</t>
        </r>
        <r>
          <rPr>
            <sz val="8"/>
            <color indexed="81"/>
            <rFont val="Tahoma"/>
            <family val="2"/>
          </rPr>
          <t xml:space="preserve">
</t>
        </r>
      </text>
    </comment>
    <comment ref="CS11" authorId="1">
      <text>
        <r>
          <rPr>
            <b/>
            <sz val="8"/>
            <color indexed="81"/>
            <rFont val="Tahoma"/>
            <family val="2"/>
          </rPr>
          <t xml:space="preserve">Guidance: 2/21/2012
</t>
        </r>
        <r>
          <rPr>
            <sz val="8"/>
            <color indexed="81"/>
            <rFont val="Tahoma"/>
            <family val="2"/>
          </rPr>
          <t>- 1Q12 through 3Q12: Total sales growth expected to be slightly below comp due to store closures at end of 2011.</t>
        </r>
      </text>
    </comment>
    <comment ref="CT11" authorId="1">
      <text>
        <r>
          <rPr>
            <b/>
            <sz val="8"/>
            <color indexed="81"/>
            <rFont val="Tahoma"/>
            <family val="2"/>
          </rPr>
          <t xml:space="preserve">5/9/2012 Guidance
</t>
        </r>
        <r>
          <rPr>
            <sz val="8"/>
            <color indexed="81"/>
            <rFont val="Tahoma"/>
            <family val="2"/>
          </rPr>
          <t xml:space="preserve">1) +3.5% in 2Q-4Q; 3.7% for FY12
2) Guidance includes some disruption at JCP (some impact but not "enormous")
</t>
        </r>
        <r>
          <rPr>
            <b/>
            <sz val="8"/>
            <color indexed="81"/>
            <rFont val="Tahoma"/>
            <family val="2"/>
          </rPr>
          <t xml:space="preserve">
5/3/2012 Guidance:
AUR Trends:
</t>
        </r>
        <r>
          <rPr>
            <sz val="8"/>
            <color indexed="81"/>
            <rFont val="Tahoma"/>
            <family val="2"/>
          </rPr>
          <t>Fall 2012 &lt; Fall 2011 &amp; &gt; Spring 2011
Spring 2012 &lt; Spring 2011 but not back to Fall 2010 levels</t>
        </r>
        <r>
          <rPr>
            <b/>
            <sz val="8"/>
            <color indexed="81"/>
            <rFont val="Tahoma"/>
            <family val="2"/>
          </rPr>
          <t xml:space="preserve">
Guidance 2/21/12:
</t>
        </r>
        <r>
          <rPr>
            <sz val="8"/>
            <color indexed="81"/>
            <rFont val="Tahoma"/>
            <family val="2"/>
          </rPr>
          <t>FY comp of 3.5%, expect relatively even throughout the year</t>
        </r>
      </text>
    </comment>
    <comment ref="CX11" authorId="1">
      <text>
        <r>
          <rPr>
            <b/>
            <sz val="8"/>
            <color indexed="81"/>
            <rFont val="Tahoma"/>
            <family val="2"/>
          </rPr>
          <t xml:space="preserve">8/14/2013: </t>
        </r>
        <r>
          <rPr>
            <sz val="8"/>
            <color indexed="81"/>
            <rFont val="Tahoma"/>
            <family val="2"/>
          </rPr>
          <t>Adding in licensing shop sales comp would have been +0.3% (or 110 bps higher)
AUR was flat. Transaction down 1.6%, UPT up just short of 1%</t>
        </r>
      </text>
    </comment>
    <comment ref="DB11" authorId="2">
      <text>
        <r>
          <rPr>
            <b/>
            <sz val="9"/>
            <color indexed="81"/>
            <rFont val="Tahoma"/>
            <family val="2"/>
          </rPr>
          <t xml:space="preserve">8/13/14: </t>
        </r>
        <r>
          <rPr>
            <sz val="9"/>
            <color indexed="81"/>
            <rFont val="Tahoma"/>
            <family val="2"/>
          </rPr>
          <t xml:space="preserve">owned+licensed comp 4%. AUR +1.5%, Transactions +2.7%, UPT - 0.3%.
We estimate F&amp;F shift positively impacted comp by ~150 bps (first 10 days of the quarter +DD) 
1H14: AUR +0.7%, Transactions +2.7%, UPT - 0.3%. 
</t>
        </r>
      </text>
    </comment>
    <comment ref="DF11" authorId="3">
      <text>
        <r>
          <rPr>
            <b/>
            <sz val="9"/>
            <color indexed="81"/>
            <rFont val="Tahoma"/>
            <family val="2"/>
          </rPr>
          <t>casselau:</t>
        </r>
        <r>
          <rPr>
            <sz val="9"/>
            <color indexed="81"/>
            <rFont val="Tahoma"/>
            <family val="2"/>
          </rPr>
          <t xml:space="preserve">
5/13/15: per Karen: expect positive comp, but not +2%
Transactions: down slightly
AUR:-1.3%
UPT: -1.2%</t>
        </r>
      </text>
    </comment>
    <comment ref="DJ11" authorId="4">
      <text>
        <r>
          <rPr>
            <b/>
            <sz val="9"/>
            <color indexed="81"/>
            <rFont val="Tahoma"/>
            <family val="2"/>
          </rPr>
          <t>Baglione, Gregory  (Research):</t>
        </r>
        <r>
          <rPr>
            <sz val="9"/>
            <color indexed="81"/>
            <rFont val="Tahoma"/>
            <family val="2"/>
          </rPr>
          <t xml:space="preserve">
Assume flat comp for 2016, ~-(0.5%)-(1.0%) two-year stack
Transactions: -6%
AUR: +3.5%
</t>
        </r>
      </text>
    </comment>
    <comment ref="DN11" authorId="6">
      <text>
        <r>
          <rPr>
            <b/>
            <sz val="9"/>
            <color indexed="81"/>
            <rFont val="Tahoma"/>
            <family val="2"/>
          </rPr>
          <t>Cassel, Lauren (Research):</t>
        </r>
        <r>
          <rPr>
            <sz val="9"/>
            <color indexed="81"/>
            <rFont val="Tahoma"/>
            <family val="2"/>
          </rPr>
          <t xml:space="preserve">
5/11/17: We expect the improvement in trends to start in the second quarter and then continue to build in the third and fourth quarters for 4 key reasons.</t>
        </r>
      </text>
    </comment>
    <comment ref="AR12" authorId="1">
      <text>
        <r>
          <rPr>
            <b/>
            <sz val="8"/>
            <color indexed="81"/>
            <rFont val="Tahoma"/>
            <family val="2"/>
          </rPr>
          <t>Includes direct to consumer revenues</t>
        </r>
        <r>
          <rPr>
            <sz val="8"/>
            <color indexed="81"/>
            <rFont val="Tahoma"/>
            <family val="2"/>
          </rPr>
          <t xml:space="preserve">
</t>
        </r>
      </text>
    </comment>
    <comment ref="CS12" authorId="1">
      <text>
        <r>
          <rPr>
            <b/>
            <sz val="8"/>
            <color indexed="81"/>
            <rFont val="Tahoma"/>
            <family val="2"/>
          </rPr>
          <t xml:space="preserve">Guidance: 2/21/2012
</t>
        </r>
        <r>
          <rPr>
            <sz val="8"/>
            <color indexed="81"/>
            <rFont val="Tahoma"/>
            <family val="2"/>
          </rPr>
          <t>- 1Q12 through 3Q12: Total sales growth expected to be slightly below comp due to store closures at end of 2011.</t>
        </r>
      </text>
    </comment>
    <comment ref="CT12" authorId="1">
      <text>
        <r>
          <rPr>
            <b/>
            <sz val="8"/>
            <color indexed="81"/>
            <rFont val="Tahoma"/>
            <family val="2"/>
          </rPr>
          <t xml:space="preserve">11/7/2012: </t>
        </r>
        <r>
          <rPr>
            <sz val="8"/>
            <color indexed="81"/>
            <rFont val="Tahoma"/>
            <family val="2"/>
          </rPr>
          <t xml:space="preserve">AUR +4.5%; traffic +; upt/trans cont'd to fall vs. LY
</t>
        </r>
        <r>
          <rPr>
            <b/>
            <sz val="8"/>
            <color indexed="81"/>
            <rFont val="Tahoma"/>
            <family val="2"/>
          </rPr>
          <t xml:space="preserve">
8/8/2012 Guidance </t>
        </r>
        <r>
          <rPr>
            <sz val="8"/>
            <color indexed="81"/>
            <rFont val="Tahoma"/>
            <family val="2"/>
          </rPr>
          <t xml:space="preserve">
+3.7% in 2H with 3Q comp &lt; 4Q comp</t>
        </r>
        <r>
          <rPr>
            <b/>
            <sz val="8"/>
            <color indexed="81"/>
            <rFont val="Tahoma"/>
            <family val="2"/>
          </rPr>
          <t xml:space="preserve">
5/9/2012 Guidance
</t>
        </r>
        <r>
          <rPr>
            <sz val="8"/>
            <color indexed="81"/>
            <rFont val="Tahoma"/>
            <family val="2"/>
          </rPr>
          <t xml:space="preserve">1) +3.5% in 2Q-4Q; 3.7% for FY12
2) Guidance includes some disruption at JCP (some impact but not "enormous")
</t>
        </r>
        <r>
          <rPr>
            <b/>
            <sz val="8"/>
            <color indexed="81"/>
            <rFont val="Tahoma"/>
            <family val="2"/>
          </rPr>
          <t xml:space="preserve">5/3/2012 Guidance:
AUR Trends:
</t>
        </r>
        <r>
          <rPr>
            <sz val="8"/>
            <color indexed="81"/>
            <rFont val="Tahoma"/>
            <family val="2"/>
          </rPr>
          <t>Fall 2012 &lt; Fall 2011 &amp; &gt; Spring 2011
Spring 2012 &lt; Spring 2011 but not back to Fall 2010 levels</t>
        </r>
        <r>
          <rPr>
            <b/>
            <sz val="8"/>
            <color indexed="81"/>
            <rFont val="Tahoma"/>
            <family val="2"/>
          </rPr>
          <t xml:space="preserve">
Guidance 2/21/12:
</t>
        </r>
        <r>
          <rPr>
            <sz val="8"/>
            <color indexed="81"/>
            <rFont val="Tahoma"/>
            <family val="2"/>
          </rPr>
          <t>FY comp of 3.5%, expect relatively even throughout the year</t>
        </r>
      </text>
    </comment>
    <comment ref="CX12" authorId="7">
      <text>
        <r>
          <rPr>
            <b/>
            <sz val="8"/>
            <color indexed="81"/>
            <rFont val="Tahoma"/>
            <family val="2"/>
          </rPr>
          <t xml:space="preserve">8/15/13: </t>
        </r>
        <r>
          <rPr>
            <sz val="8"/>
            <color indexed="81"/>
            <rFont val="Tahoma"/>
            <family val="2"/>
          </rPr>
          <t xml:space="preserve">now expect 2nd half 2013 comp +2.5 to 4%
</t>
        </r>
        <r>
          <rPr>
            <sz val="8"/>
            <color indexed="81"/>
            <rFont val="Tahoma"/>
            <family val="2"/>
          </rPr>
          <t xml:space="preserve">
</t>
        </r>
        <r>
          <rPr>
            <b/>
            <sz val="8"/>
            <color indexed="81"/>
            <rFont val="Tahoma"/>
            <family val="2"/>
          </rPr>
          <t xml:space="preserve">11/13/13: </t>
        </r>
        <r>
          <rPr>
            <sz val="8"/>
            <color indexed="81"/>
            <rFont val="Tahoma"/>
            <family val="2"/>
          </rPr>
          <t>3Q Transaction count +1%; 1H13 flat. 
3Q UPT +2%; 1H13 flat
3Q AUR up slightly vs. LY +4.5%</t>
        </r>
        <r>
          <rPr>
            <b/>
            <sz val="8"/>
            <color indexed="81"/>
            <rFont val="Tahoma"/>
            <family val="2"/>
          </rPr>
          <t xml:space="preserve">
</t>
        </r>
      </text>
    </comment>
    <comment ref="DA12" authorId="2">
      <text>
        <r>
          <rPr>
            <b/>
            <sz val="9"/>
            <color indexed="81"/>
            <rFont val="Tahoma"/>
            <family val="2"/>
          </rPr>
          <t xml:space="preserve">8/13/14: </t>
        </r>
        <r>
          <rPr>
            <sz val="9"/>
            <color indexed="81"/>
            <rFont val="Tahoma"/>
            <family val="2"/>
          </rPr>
          <t xml:space="preserve">Karen: "Our total sales growth in the back half of the year is expected to be approximately 30 basis points lower than the comp growth, due to lower outside revenue from our private-brand merchandise."
</t>
        </r>
      </text>
    </comment>
    <comment ref="DB12" authorId="2">
      <text>
        <r>
          <rPr>
            <b/>
            <sz val="9"/>
            <color indexed="81"/>
            <rFont val="Tahoma"/>
            <family val="2"/>
          </rPr>
          <t xml:space="preserve">8/13/14: </t>
        </r>
        <r>
          <rPr>
            <sz val="9"/>
            <color indexed="81"/>
            <rFont val="Tahoma"/>
            <family val="2"/>
          </rPr>
          <t xml:space="preserve">2H guidance 2-3%. Licensed sales should add 20-30 bps. Karen: "we expect the third-quarter comp sales to be lower than the comp sales in the fourth quarter, given the last year's strengthened third quarter and the tougher fourth quarter."
</t>
        </r>
        <r>
          <rPr>
            <b/>
            <sz val="9"/>
            <color indexed="81"/>
            <rFont val="Tahoma"/>
            <family val="2"/>
          </rPr>
          <t xml:space="preserve">11/12/14: </t>
        </r>
        <r>
          <rPr>
            <sz val="9"/>
            <color indexed="81"/>
            <rFont val="Tahoma"/>
            <family val="2"/>
          </rPr>
          <t>Owned + Licensed -0.7%. Quarter: transactions down slightly, UPT down a little more, AUR up slightly</t>
        </r>
      </text>
    </comment>
    <comment ref="DF12" authorId="4">
      <text>
        <r>
          <rPr>
            <b/>
            <sz val="9"/>
            <color indexed="81"/>
            <rFont val="Tahoma"/>
            <family val="2"/>
          </rPr>
          <t>Baglione, Gregory  (Research):</t>
        </r>
        <r>
          <rPr>
            <sz val="9"/>
            <color indexed="81"/>
            <rFont val="Tahoma"/>
            <family val="2"/>
          </rPr>
          <t xml:space="preserve">
8/12/15: Updated guidance to comparable sales on an owned
plus licensed basis to be approximately flat, compared with previous guidance for growth of approximately 2 percent. Comparable sales on an owned basis will be approximately 50 basis points lower than on an owned plus licensed basis. The company expects total sales to be down by approximately 1 percent in 2015, compared to previous guidance for total sales growth of approximately 1 percent.
 8/12/15-Expectation for fall sales is now a 1% comp growth on an ownded-plus-licensed basis with owned comp about 50 basis points lowerapproximately 1 percent.
8/12/15-Sales growth to be stronger in the fourth quarter than in the third as we begin to year-round on the weakness in the international tourist sales. 
Transactions: -3.6%
AUR: -1%
UPT: +1%
</t>
        </r>
      </text>
    </comment>
    <comment ref="DJ12" authorId="4">
      <text>
        <r>
          <rPr>
            <b/>
            <sz val="9"/>
            <color indexed="81"/>
            <rFont val="Tahoma"/>
            <family val="2"/>
          </rPr>
          <t>Baglione, Gregory  (Research):</t>
        </r>
        <r>
          <rPr>
            <sz val="9"/>
            <color indexed="81"/>
            <rFont val="Tahoma"/>
            <family val="2"/>
          </rPr>
          <t xml:space="preserve">
11/10/16
MSe: -3.0% 
-2.7% on an owned plus license basis
strong categories: shoes, fragrances, soft home
weak categories: handbags, cosmetics, fashion wtches
growth strategies in fine jewelry, shoes, home gaining traction
"meaningful improvement in our apparel business, men's, women's, kid's
+DD gains at macys.com and bloomingdales.com
"Geographically, our business was strongest throughout the West. International tourist sales stabilized during the quarter and were down in line with the rest of our sales. As a result, the international tourist business did not have a meaningful impact on our sales in total; although it still, represented a headwind for our major international tourist stores for both Bloomingdale's and Macy's."
AUR: +3.5%  vs 1H16 +1.6
Transactions: -6% vs. same 1H16
------
Assume flat comp for 2016, ~-(0.5%)-(1.0%) two-year stack
8/11/16
As we move to the back half of the year, we are encouraged by the recent business trends. Our annual sales guidance of minus 3% to minus 4% on a comp owned plus licensed basis feels achievable. The fall season would need to be minus 2.3% to minus 4.1% to hit that guidance. This compares to the minus 3.8% in the first half of the year
</t>
        </r>
      </text>
    </comment>
    <comment ref="DN12" authorId="5">
      <text>
        <r>
          <rPr>
            <b/>
            <sz val="9"/>
            <color indexed="81"/>
            <rFont val="Tahoma"/>
            <family val="2"/>
          </rPr>
          <t>De Courreges, Edouard (Research):</t>
        </r>
        <r>
          <rPr>
            <sz val="9"/>
            <color indexed="81"/>
            <rFont val="Tahoma"/>
            <family val="2"/>
          </rPr>
          <t xml:space="preserve">
11/9: 11/9: Trans -7.3%
AUR  +2.9%
UPT +1%
8/10/17: the traffic is going to be pretty consistent with what we experienced in the second half of the year or in the
second quarter. I think the initiatives and kind of ranking them, certainly, fine jewelry and what we're experiencing in women's shoes, Big Ticket,
fragrance, some of the place that we have in apparel and the classifications business like dresses, we expect to be a significant piece of the trend
improvement as we get into the back half of the year.
We said that the third quarter would be around the 2.5% from the second quarter, may be a little bit worse</t>
        </r>
      </text>
    </comment>
    <comment ref="AR13" authorId="1">
      <text>
        <r>
          <rPr>
            <b/>
            <sz val="8"/>
            <color indexed="81"/>
            <rFont val="Tahoma"/>
            <family val="2"/>
          </rPr>
          <t>Includes direct to consumer revenues</t>
        </r>
        <r>
          <rPr>
            <sz val="8"/>
            <color indexed="81"/>
            <rFont val="Tahoma"/>
            <family val="2"/>
          </rPr>
          <t xml:space="preserve">
</t>
        </r>
      </text>
    </comment>
    <comment ref="CS13" authorId="1">
      <text>
        <r>
          <rPr>
            <b/>
            <sz val="8"/>
            <color indexed="81"/>
            <rFont val="Tahoma"/>
            <family val="2"/>
          </rPr>
          <t xml:space="preserve">11/7/2012: </t>
        </r>
        <r>
          <rPr>
            <sz val="8"/>
            <color indexed="81"/>
            <rFont val="Tahoma"/>
            <family val="2"/>
          </rPr>
          <t>sales growth should be ~3 pts higher vs. comp +7.2%</t>
        </r>
        <r>
          <rPr>
            <b/>
            <sz val="8"/>
            <color indexed="81"/>
            <rFont val="Tahoma"/>
            <family val="2"/>
          </rPr>
          <t xml:space="preserve">
Guidance: 2/21/2012
</t>
        </r>
        <r>
          <rPr>
            <sz val="8"/>
            <color indexed="81"/>
            <rFont val="Tahoma"/>
            <family val="2"/>
          </rPr>
          <t xml:space="preserve">Sales growth should be 3.5 pts higher than comp store sales growth in 4Q due to 53rd week.
</t>
        </r>
        <r>
          <rPr>
            <b/>
            <sz val="8"/>
            <color indexed="81"/>
            <rFont val="Tahoma"/>
            <family val="2"/>
          </rPr>
          <t xml:space="preserve">
Note: </t>
        </r>
        <r>
          <rPr>
            <sz val="8"/>
            <color indexed="81"/>
            <rFont val="Tahoma"/>
            <family val="2"/>
          </rPr>
          <t xml:space="preserve">January 2013 includes an extra week (not included in comp)
</t>
        </r>
      </text>
    </comment>
    <comment ref="CT13" authorId="1">
      <text>
        <r>
          <rPr>
            <b/>
            <sz val="8"/>
            <color indexed="81"/>
            <rFont val="Tahoma"/>
            <family val="2"/>
          </rPr>
          <t>1/3/2013 Guidance:</t>
        </r>
        <r>
          <rPr>
            <sz val="8"/>
            <color indexed="81"/>
            <rFont val="Tahoma"/>
            <family val="2"/>
          </rPr>
          <t xml:space="preserve"> 3-3.5%</t>
        </r>
        <r>
          <rPr>
            <b/>
            <sz val="8"/>
            <color indexed="81"/>
            <rFont val="Tahoma"/>
            <family val="2"/>
          </rPr>
          <t xml:space="preserve">
11/29/2012 Guidance: </t>
        </r>
        <r>
          <rPr>
            <sz val="8"/>
            <color indexed="81"/>
            <rFont val="Tahoma"/>
            <family val="2"/>
          </rPr>
          <t>+4.2%</t>
        </r>
        <r>
          <rPr>
            <b/>
            <sz val="8"/>
            <color indexed="81"/>
            <rFont val="Tahoma"/>
            <family val="2"/>
          </rPr>
          <t xml:space="preserve">
11/7/2012 Guidance: </t>
        </r>
        <r>
          <rPr>
            <sz val="8"/>
            <color indexed="81"/>
            <rFont val="Tahoma"/>
            <family val="2"/>
          </rPr>
          <t>+4.2%; AUR growth expected to continue moderating in 4Q</t>
        </r>
        <r>
          <rPr>
            <b/>
            <sz val="8"/>
            <color indexed="81"/>
            <rFont val="Tahoma"/>
            <family val="2"/>
          </rPr>
          <t xml:space="preserve">
8/8/2012 Guidance
</t>
        </r>
        <r>
          <rPr>
            <sz val="8"/>
            <color indexed="81"/>
            <rFont val="Tahoma"/>
            <family val="2"/>
          </rPr>
          <t>+3.7% in 2H with 3Q comp &lt; 4Q comp
Xmas benefit from 2 extra days btwn Thanksgiving &amp; Christmas</t>
        </r>
        <r>
          <rPr>
            <b/>
            <sz val="8"/>
            <color indexed="81"/>
            <rFont val="Tahoma"/>
            <family val="2"/>
          </rPr>
          <t xml:space="preserve">
5/9/2012 Guidance</t>
        </r>
        <r>
          <rPr>
            <sz val="8"/>
            <color indexed="81"/>
            <rFont val="Tahoma"/>
            <family val="2"/>
          </rPr>
          <t xml:space="preserve">
1) +3.5% in 2Q-4Q; 3.7% for FY12</t>
        </r>
        <r>
          <rPr>
            <b/>
            <sz val="8"/>
            <color indexed="81"/>
            <rFont val="Tahoma"/>
            <family val="2"/>
          </rPr>
          <t xml:space="preserve">
</t>
        </r>
        <r>
          <rPr>
            <sz val="8"/>
            <color indexed="81"/>
            <rFont val="Tahoma"/>
            <family val="2"/>
          </rPr>
          <t xml:space="preserve">2) Guidance includes some disruption at JCP (some impact but not "enormous")
</t>
        </r>
        <r>
          <rPr>
            <b/>
            <sz val="8"/>
            <color indexed="81"/>
            <rFont val="Tahoma"/>
            <family val="2"/>
          </rPr>
          <t xml:space="preserve">
5/3/2012 Guidance:
AUR Trends:</t>
        </r>
        <r>
          <rPr>
            <sz val="8"/>
            <color indexed="81"/>
            <rFont val="Tahoma"/>
            <family val="2"/>
          </rPr>
          <t xml:space="preserve">
Fall 2012 &lt; Fall 2011 &amp; &gt; Spring 2011
Spring 2012 &lt; Spring 2011 but not back to Fall 2010 levels</t>
        </r>
        <r>
          <rPr>
            <b/>
            <sz val="8"/>
            <color indexed="81"/>
            <rFont val="Tahoma"/>
            <family val="2"/>
          </rPr>
          <t xml:space="preserve">
Guidance 2/21/12:
</t>
        </r>
        <r>
          <rPr>
            <sz val="8"/>
            <color indexed="81"/>
            <rFont val="Tahoma"/>
            <family val="2"/>
          </rPr>
          <t>FY comp of 3.5%, expect relatively even throughout the year</t>
        </r>
      </text>
    </comment>
    <comment ref="CW13" authorId="1">
      <text>
        <r>
          <rPr>
            <b/>
            <sz val="8"/>
            <color indexed="81"/>
            <rFont val="Tahoma"/>
            <family val="2"/>
          </rPr>
          <t xml:space="preserve">Note: </t>
        </r>
        <r>
          <rPr>
            <sz val="8"/>
            <color indexed="81"/>
            <rFont val="Tahoma"/>
            <family val="2"/>
          </rPr>
          <t>LY extra week added ~3pt to sales</t>
        </r>
      </text>
    </comment>
    <comment ref="CX13" authorId="7">
      <text>
        <r>
          <rPr>
            <b/>
            <sz val="8"/>
            <color indexed="81"/>
            <rFont val="Tahoma"/>
            <family val="2"/>
          </rPr>
          <t xml:space="preserve">8/15/13: </t>
        </r>
        <r>
          <rPr>
            <sz val="8"/>
            <color indexed="81"/>
            <rFont val="Tahoma"/>
            <family val="2"/>
          </rPr>
          <t>now expect 2nd half 2013 comp +2.5 to 4%</t>
        </r>
        <r>
          <rPr>
            <sz val="8"/>
            <color indexed="81"/>
            <rFont val="Tahoma"/>
            <family val="2"/>
          </rPr>
          <t xml:space="preserve">
</t>
        </r>
        <r>
          <rPr>
            <b/>
            <sz val="8"/>
            <color indexed="81"/>
            <rFont val="Tahoma"/>
            <family val="2"/>
          </rPr>
          <t xml:space="preserve">2/25/14: </t>
        </r>
        <r>
          <rPr>
            <sz val="8"/>
            <color indexed="81"/>
            <rFont val="Tahoma"/>
            <family val="2"/>
          </rPr>
          <t>Average unit retail in the fourth quarter was up approximately 1%, with transactions down just under 1% and units per transactions up a little more than 1%.</t>
        </r>
      </text>
    </comment>
    <comment ref="DB13" authorId="2">
      <text>
        <r>
          <rPr>
            <b/>
            <sz val="9"/>
            <color indexed="81"/>
            <rFont val="Tahoma"/>
            <family val="2"/>
          </rPr>
          <t xml:space="preserve">2/3/15: +2.5% owned + licensed (vs. 2.5-3% guidance); AUR +1.4%, transactions +2.5%, UPT -1.3%
</t>
        </r>
        <r>
          <rPr>
            <sz val="9"/>
            <color indexed="81"/>
            <rFont val="Tahoma"/>
            <family val="2"/>
          </rPr>
          <t>1/8/15: Holiday comp +2.1% (owned + licensed +2.7%); raising 4Q guidance to 1.9%-2.4% owned only (+2.5-3% comp incl. licensed)</t>
        </r>
        <r>
          <rPr>
            <b/>
            <sz val="9"/>
            <color indexed="81"/>
            <rFont val="Tahoma"/>
            <family val="2"/>
          </rPr>
          <t xml:space="preserve">
11/12/14:</t>
        </r>
        <r>
          <rPr>
            <sz val="9"/>
            <color indexed="81"/>
            <rFont val="Tahoma"/>
            <family val="2"/>
          </rPr>
          <t xml:space="preserve"> guidance 1.8-2.8% (2-3% including licensed depts)
</t>
        </r>
        <r>
          <rPr>
            <b/>
            <sz val="9"/>
            <color indexed="81"/>
            <rFont val="Tahoma"/>
            <family val="2"/>
          </rPr>
          <t>8/13/14:</t>
        </r>
        <r>
          <rPr>
            <sz val="9"/>
            <color indexed="81"/>
            <rFont val="Tahoma"/>
            <family val="2"/>
          </rPr>
          <t xml:space="preserve"> 2H guidance 2-3% (owned + licensed)</t>
        </r>
      </text>
    </comment>
    <comment ref="DF13" authorId="4">
      <text>
        <r>
          <rPr>
            <b/>
            <sz val="9"/>
            <color indexed="81"/>
            <rFont val="Tahoma"/>
            <family val="2"/>
          </rPr>
          <t>Baglione, Gregory  (Research):</t>
        </r>
        <r>
          <rPr>
            <sz val="9"/>
            <color indexed="81"/>
            <rFont val="Tahoma"/>
            <family val="2"/>
          </rPr>
          <t xml:space="preserve">
2/23/16
Unfortunately, the decline in international tourist sales did not lessen during the fourth quarter and hurt our comp performance by approximately
1 point.
transactions: -4%
AUR: -1%
UPT: +1%
8/12/15: Updated guidance to comparable sales on an owned
plus licensed basis to be approximately flat, compared with previous guidance for growth of approximately 2 percent. Comparable sales on an owned basis will be approximately 50 basis points lower than on an owned plus licensed basis. The company expects total sales to be down by approximately 1 percent in 2015, compared to previous guidance for total sales growth of approximately 1 percent.
 8/12/15-Expectation for fall sales is now a 1% comp growth on an ownded-plus-licensed basis with owned comp about 50 basis points lowerapproximately 1 percent.
8/12/15-Sales growth to be stronger in the fourth quarter than in the third as we begin to year-round on the weakness in the international tourist sales. </t>
        </r>
      </text>
    </comment>
    <comment ref="DJ13" authorId="4">
      <text>
        <r>
          <rPr>
            <b/>
            <sz val="9"/>
            <color indexed="81"/>
            <rFont val="Tahoma"/>
            <family val="2"/>
          </rPr>
          <t xml:space="preserve">Baglione, Gregory  (Research):
2/21/17- 4Q EPS
</t>
        </r>
        <r>
          <rPr>
            <sz val="9"/>
            <color indexed="81"/>
            <rFont val="Tahoma"/>
            <family val="2"/>
          </rPr>
          <t xml:space="preserve">On an owned basis, fourth quarter comparable sales declined by 2.7 percent. Comparable sales on an owned plus licensed basis for the fourth quarter were down 2.1 percent.
</t>
        </r>
        <r>
          <rPr>
            <b/>
            <sz val="9"/>
            <color indexed="81"/>
            <rFont val="Tahoma"/>
            <family val="2"/>
          </rPr>
          <t xml:space="preserve">
</t>
        </r>
        <r>
          <rPr>
            <sz val="9"/>
            <color indexed="81"/>
            <rFont val="Tahoma"/>
            <family val="2"/>
          </rPr>
          <t>Transactions -4% 
AUR +2%</t>
        </r>
        <r>
          <rPr>
            <sz val="9"/>
            <color indexed="81"/>
            <rFont val="Tahoma"/>
            <family val="2"/>
          </rPr>
          <t xml:space="preserve">
By family of business, we saw </t>
        </r>
        <r>
          <rPr>
            <b/>
            <sz val="9"/>
            <color indexed="81"/>
            <rFont val="Tahoma"/>
            <family val="2"/>
          </rPr>
          <t xml:space="preserve">the best performance during the quarter in apparel -- men's, women's and kids -- as well as in fine jewelry, shoes, intimate apparel, and fragrances. 
The most disappointing categories in the quarter were handbags, fashion watches, and fashion jewelry. 
</t>
        </r>
        <r>
          <rPr>
            <sz val="9"/>
            <color indexed="81"/>
            <rFont val="Tahoma"/>
            <family val="2"/>
          </rPr>
          <t>While not one of the weakest categories, we also had hoped for better performance in cosmetics. Our home businesses were tougher than expected in total, but within home, we had stronger sales in furniture, mattresses, luggage, and textiles.
Geographically, our business was strongest in the Southwest, most notably Southern California. And the trends at Bloomingdales were similar to those that Macy's. 
1/4/17
-CINCINNATI--(BUSINESS WIRE)--Jan. 4, 2017-- Macy’s, Inc. (NYSE:M)</t>
        </r>
        <r>
          <rPr>
            <b/>
            <sz val="9"/>
            <color indexed="81"/>
            <rFont val="Tahoma"/>
            <family val="2"/>
          </rPr>
          <t xml:space="preserve"> </t>
        </r>
        <r>
          <rPr>
            <sz val="9"/>
            <color indexed="81"/>
            <rFont val="Tahoma"/>
            <family val="2"/>
          </rPr>
          <t>today announced that its comparable sales on an owned plus licensed basis declined by 2.1 percent in the months of November and December 2016 combined,</t>
        </r>
        <r>
          <rPr>
            <sz val="9"/>
            <color indexed="81"/>
            <rFont val="Tahoma"/>
            <family val="2"/>
          </rPr>
          <t xml:space="preserve"> compared to the same period last year. </t>
        </r>
        <r>
          <rPr>
            <b/>
            <sz val="9"/>
            <color indexed="81"/>
            <rFont val="Tahoma"/>
            <family val="2"/>
          </rPr>
          <t xml:space="preserve">On an owned basis, comparable sales declined by 2.7 percent in the combined November/December period.
</t>
        </r>
        <r>
          <rPr>
            <sz val="9"/>
            <color indexed="81"/>
            <rFont val="Tahoma"/>
            <family val="2"/>
          </rPr>
          <t xml:space="preserve">
“While our sales trend is consistent with the lower end of our guidance, we had anticipated sales would be stronger. We believe that our performance during the holiday season reflects the broader challenges facing much of the retail industry. We are pleased with the performance of our digital business, with double-digit gains at both macys.com and bloomingdales.com; however, store sales continued to be impacted by changing customer behavior. Our apparel business, which includes women’s, men’s and children’s, performed well, with particular strength in active and cold-weather merchandise. Sales were also strong in fine jewelry, as well as furniture and bedding, reflecting the success of our initiatives in those categories. However, ongoing weakness in handbags and watches negatively impacted our results,” said Terry J. Lundgren, Macy’s, Inc. chairman and chief executive officer.
-Macy’s, Inc.</t>
        </r>
        <r>
          <rPr>
            <b/>
            <sz val="9"/>
            <color indexed="81"/>
            <rFont val="Tahoma"/>
            <family val="2"/>
          </rPr>
          <t xml:space="preserve"> maintains its previously provided full-year sales guidance of a 2.5 percent to 3.0 percent decrease in comparable sales on an owned plus licensed basis,</t>
        </r>
        <r>
          <rPr>
            <sz val="9"/>
            <color indexed="81"/>
            <rFont val="Tahoma"/>
            <family val="2"/>
          </rPr>
          <t xml:space="preserve"> and expects to come in at the lower end of that guidance, with comparable sales on an owned basis to be approximately 50 basis points lower.
-</t>
        </r>
        <r>
          <rPr>
            <b/>
            <sz val="9"/>
            <color indexed="81"/>
            <rFont val="Tahoma"/>
            <family val="2"/>
          </rPr>
          <t>The company now expects full-year 2016 diluted earnings per share (excluding asset impairment, restructuring, retirement settlement and other charges) to be in a range of $2.95 to $3.10 (compared with previous guidance of $3.15 to $3.40).</t>
        </r>
        <r>
          <rPr>
            <sz val="9"/>
            <color indexed="81"/>
            <rFont val="Tahoma"/>
            <family val="2"/>
          </rPr>
          <t xml:space="preserve">
11/10/16
We are expecting comps sales on an owned plus license basis to be down approximately 0.5% to down 2% in the quarter.
"The trend improvements relative to the spring season that we saw in the third quarter, combined with a more normal weather pattern, stabilization in international tourist sales and the mix benefit of the higher proportion of digital sales that happen in the holiday season make us confident that we will be able to deliver an improved comp owned plus license sales trend in the fourth quarter."
8/11/16
As we move to the back half of the year, we are encouraged by the recent business trends. Our annual sales guidance of minus 3% to minus 4% on a comp owned plus licensed basis feels achievable. The fall season would need to be minus 2.3% to minus 4.1% to hit that guidance. This compares to the minus 3.8% in the first half of the year</t>
        </r>
      </text>
    </comment>
    <comment ref="DM13" authorId="5">
      <text>
        <r>
          <rPr>
            <b/>
            <sz val="9"/>
            <color indexed="81"/>
            <rFont val="Tahoma"/>
            <family val="2"/>
          </rPr>
          <t>De Courreges, Edouard (Research):</t>
        </r>
        <r>
          <rPr>
            <sz val="9"/>
            <color indexed="81"/>
            <rFont val="Tahoma"/>
            <family val="2"/>
          </rPr>
          <t xml:space="preserve">
Strong categories included fragrance, dresses, jewelry, coats, children's, shoes, and home textiles
strength across all regions</t>
        </r>
      </text>
    </comment>
    <comment ref="DN13" authorId="5">
      <text>
        <r>
          <rPr>
            <b/>
            <sz val="9"/>
            <color indexed="81"/>
            <rFont val="Tahoma"/>
            <family val="2"/>
          </rPr>
          <t xml:space="preserve">De Courreges, Edouard </t>
        </r>
        <r>
          <rPr>
            <sz val="9"/>
            <color indexed="81"/>
            <rFont val="Tahoma"/>
            <family val="2"/>
          </rPr>
          <t>(Research):
1/4/18: +1  nov/dec. Assume Jan is flat. nov/dec = 80% of sales.</t>
        </r>
        <r>
          <rPr>
            <b/>
            <sz val="9"/>
            <color indexed="81"/>
            <rFont val="Tahoma"/>
            <family val="2"/>
          </rPr>
          <t xml:space="preserve">
</t>
        </r>
        <r>
          <rPr>
            <sz val="9"/>
            <color indexed="81"/>
            <rFont val="Tahoma"/>
            <family val="2"/>
          </rPr>
          <t xml:space="preserve">
8/10/17: in order to get to minus 2 to minus 3, mathematically for the fall that would be </t>
        </r>
        <r>
          <rPr>
            <b/>
            <sz val="9"/>
            <color indexed="81"/>
            <rFont val="Tahoma"/>
            <family val="2"/>
          </rPr>
          <t xml:space="preserve">minus 0.8% to minus 2.6%. So I think that's the back half guidance. </t>
        </r>
        <r>
          <rPr>
            <sz val="9"/>
            <color indexed="81"/>
            <rFont val="Tahoma"/>
            <family val="2"/>
          </rPr>
          <t xml:space="preserve">We were trying to give some color around expectations for the third quarter. And you'll recall in June, </t>
        </r>
        <r>
          <rPr>
            <b/>
            <sz val="9"/>
            <color indexed="81"/>
            <rFont val="Tahoma"/>
            <family val="2"/>
          </rPr>
          <t>we had said we expected Q2 to be better than Q1, Q3 better than Q2, Q4 better than Q3</t>
        </r>
        <r>
          <rPr>
            <sz val="9"/>
            <color indexed="81"/>
            <rFont val="Tahoma"/>
            <family val="2"/>
          </rPr>
          <t>. With Q2 being better than what we had expected, I was just cautioning that Q3 may be close to Q2 or slightly worse.</t>
        </r>
      </text>
    </comment>
    <comment ref="CD14" authorId="8">
      <text>
        <r>
          <rPr>
            <b/>
            <sz val="8"/>
            <color indexed="81"/>
            <rFont val="Tahoma"/>
            <family val="2"/>
          </rPr>
          <t>Guidance: 2/6/08
 (1)%-1.5%</t>
        </r>
        <r>
          <rPr>
            <sz val="8"/>
            <color indexed="81"/>
            <rFont val="Tahoma"/>
            <family val="2"/>
          </rPr>
          <t xml:space="preserve">
</t>
        </r>
      </text>
    </comment>
    <comment ref="CS14" authorId="1">
      <text>
        <r>
          <rPr>
            <b/>
            <sz val="8"/>
            <color indexed="81"/>
            <rFont val="Tahoma"/>
            <family val="2"/>
          </rPr>
          <t>2/20/2013</t>
        </r>
        <r>
          <rPr>
            <sz val="8"/>
            <color indexed="81"/>
            <rFont val="Tahoma"/>
            <family val="2"/>
          </rPr>
          <t xml:space="preserve"> per mgmt extra week added ~100 bps to FY sales growth</t>
        </r>
        <r>
          <rPr>
            <b/>
            <sz val="8"/>
            <color indexed="81"/>
            <rFont val="Tahoma"/>
            <family val="2"/>
          </rPr>
          <t xml:space="preserve">
Guidance 2/21/12:
</t>
        </r>
        <r>
          <rPr>
            <sz val="8"/>
            <color indexed="81"/>
            <rFont val="Tahoma"/>
            <family val="2"/>
          </rPr>
          <t>FY sales growth +1% above comp stores sales w/ extra week (comp guidance +3.5%)</t>
        </r>
      </text>
    </comment>
    <comment ref="CT14" authorId="9">
      <text>
        <r>
          <rPr>
            <b/>
            <sz val="8"/>
            <color indexed="81"/>
            <rFont val="Tahoma"/>
            <family val="2"/>
          </rPr>
          <t xml:space="preserve">8/8/2012 Guidance
</t>
        </r>
        <r>
          <rPr>
            <sz val="8"/>
            <color indexed="81"/>
            <rFont val="Tahoma"/>
            <family val="2"/>
          </rPr>
          <t>+3.7% w/ 3Q &lt; 4Q comp</t>
        </r>
        <r>
          <rPr>
            <b/>
            <sz val="8"/>
            <color indexed="81"/>
            <rFont val="Tahoma"/>
            <family val="2"/>
          </rPr>
          <t xml:space="preserve">
5/9/2012 Guidance
</t>
        </r>
        <r>
          <rPr>
            <sz val="8"/>
            <color indexed="81"/>
            <rFont val="Tahoma"/>
            <family val="2"/>
          </rPr>
          <t xml:space="preserve">1) </t>
        </r>
        <r>
          <rPr>
            <b/>
            <sz val="8"/>
            <color indexed="81"/>
            <rFont val="Tahoma"/>
            <family val="2"/>
          </rPr>
          <t>+</t>
        </r>
        <r>
          <rPr>
            <sz val="8"/>
            <color indexed="81"/>
            <rFont val="Tahoma"/>
            <family val="2"/>
          </rPr>
          <t>3.7% for FY12
2) Guidance includes some disruption at JCP (some impact but not "enormous")
3) Expect AUR up y/y</t>
        </r>
        <r>
          <rPr>
            <b/>
            <sz val="8"/>
            <color indexed="81"/>
            <rFont val="Tahoma"/>
            <family val="2"/>
          </rPr>
          <t xml:space="preserve">
Guidance 2/21/12
</t>
        </r>
        <r>
          <rPr>
            <sz val="8"/>
            <color indexed="81"/>
            <rFont val="Tahoma"/>
            <family val="2"/>
          </rPr>
          <t>- +3.5% comp (expect relatively even through the year)</t>
        </r>
        <r>
          <rPr>
            <b/>
            <sz val="8"/>
            <color indexed="81"/>
            <rFont val="Tahoma"/>
            <family val="2"/>
          </rPr>
          <t xml:space="preserve">
Commentary 11/9/11:
</t>
        </r>
        <r>
          <rPr>
            <sz val="8"/>
            <color indexed="81"/>
            <rFont val="Tahoma"/>
            <family val="2"/>
          </rPr>
          <t>1) Potential to see some benefit from price optimization strategy in 3Q12 after testing; but likely to see full benefit starting in 2013
2) Expect some disruption to comp at 34th Street store due to renovation; slower growth y/y at store (but will still see some growth)</t>
        </r>
        <r>
          <rPr>
            <b/>
            <sz val="8"/>
            <color indexed="81"/>
            <rFont val="Tahoma"/>
            <family val="2"/>
          </rPr>
          <t xml:space="preserve">
Guidance 4/27/10: 
</t>
        </r>
        <r>
          <rPr>
            <sz val="8"/>
            <color indexed="81"/>
            <rFont val="Tahoma"/>
            <family val="2"/>
          </rPr>
          <t>Goal to accelerate comps absolute and relative to peers. JCP guided to 5% comp over next 5 years as reference
Also expect add'l $1Bn sales re dot.com over undisclosed time period</t>
        </r>
        <r>
          <rPr>
            <sz val="8"/>
            <color indexed="81"/>
            <rFont val="Tahoma"/>
            <family val="2"/>
          </rPr>
          <t xml:space="preserve">
</t>
        </r>
      </text>
    </comment>
    <comment ref="CX14" authorId="1">
      <text>
        <r>
          <rPr>
            <b/>
            <sz val="8"/>
            <color indexed="81"/>
            <rFont val="Tahoma"/>
            <family val="2"/>
          </rPr>
          <t xml:space="preserve">2/26/2013 guidance: </t>
        </r>
        <r>
          <rPr>
            <sz val="8"/>
            <color indexed="81"/>
            <rFont val="Tahoma"/>
            <family val="2"/>
          </rPr>
          <t xml:space="preserve">+3.5%
</t>
        </r>
        <r>
          <rPr>
            <b/>
            <sz val="8"/>
            <color indexed="81"/>
            <rFont val="Tahoma"/>
            <family val="2"/>
          </rPr>
          <t>8/15/13:</t>
        </r>
        <r>
          <rPr>
            <sz val="8"/>
            <color indexed="81"/>
            <rFont val="Tahoma"/>
            <family val="2"/>
          </rPr>
          <t xml:space="preserve"> full yr guidance lowered to +2 to 2.9%
</t>
        </r>
        <r>
          <rPr>
            <b/>
            <sz val="8"/>
            <color indexed="81"/>
            <rFont val="Tahoma"/>
            <family val="2"/>
          </rPr>
          <t>1/8/14</t>
        </r>
        <r>
          <rPr>
            <sz val="8"/>
            <color indexed="81"/>
            <rFont val="Tahoma"/>
            <family val="2"/>
          </rPr>
          <t>: new FY guidance 2.2% - 2.3%</t>
        </r>
      </text>
    </comment>
    <comment ref="DB14" authorId="10">
      <text>
        <r>
          <rPr>
            <b/>
            <sz val="8"/>
            <color indexed="81"/>
            <rFont val="Tahoma"/>
            <family val="2"/>
          </rPr>
          <t xml:space="preserve">1/8/14: </t>
        </r>
        <r>
          <rPr>
            <sz val="8"/>
            <color indexed="81"/>
            <rFont val="Tahoma"/>
            <family val="2"/>
          </rPr>
          <t>Initial guidance 2.5% - 3%</t>
        </r>
        <r>
          <rPr>
            <sz val="8"/>
            <color indexed="81"/>
            <rFont val="Tahoma"/>
            <family val="2"/>
          </rPr>
          <t xml:space="preserve">
</t>
        </r>
        <r>
          <rPr>
            <b/>
            <sz val="8"/>
            <color indexed="81"/>
            <rFont val="Tahoma"/>
            <family val="2"/>
          </rPr>
          <t>2/25/14:</t>
        </r>
        <r>
          <rPr>
            <sz val="8"/>
            <color indexed="81"/>
            <rFont val="Tahoma"/>
            <family val="2"/>
          </rPr>
          <t xml:space="preserve"> Reaffirmed 2.5-3%
</t>
        </r>
        <r>
          <rPr>
            <b/>
            <sz val="8"/>
            <color indexed="81"/>
            <rFont val="Tahoma"/>
            <family val="2"/>
          </rPr>
          <t>5/14/14</t>
        </r>
        <r>
          <rPr>
            <sz val="8"/>
            <color indexed="81"/>
            <rFont val="Tahoma"/>
            <family val="2"/>
          </rPr>
          <t xml:space="preserve">: Reaffirmed 2.5-3%
</t>
        </r>
        <r>
          <rPr>
            <b/>
            <sz val="8"/>
            <color indexed="81"/>
            <rFont val="Tahoma"/>
            <family val="2"/>
          </rPr>
          <t xml:space="preserve">8/13/14: </t>
        </r>
        <r>
          <rPr>
            <sz val="8"/>
            <color indexed="81"/>
            <rFont val="Tahoma"/>
            <family val="2"/>
          </rPr>
          <t xml:space="preserve">Lowered to 1.5-2% (2-2.5% incl. licensed depts.)
</t>
        </r>
        <r>
          <rPr>
            <b/>
            <sz val="8"/>
            <color indexed="81"/>
            <rFont val="Tahoma"/>
            <family val="2"/>
          </rPr>
          <t>11/12/14:</t>
        </r>
        <r>
          <rPr>
            <sz val="8"/>
            <color indexed="81"/>
            <rFont val="Tahoma"/>
            <family val="2"/>
          </rPr>
          <t xml:space="preserve"> Lowered to 0.7-1% (1.2-1.5% incl. licensed depts.)
</t>
        </r>
        <r>
          <rPr>
            <b/>
            <sz val="8"/>
            <color indexed="81"/>
            <rFont val="Tahoma"/>
            <family val="2"/>
          </rPr>
          <t>1/8/15:</t>
        </r>
        <r>
          <rPr>
            <sz val="8"/>
            <color indexed="81"/>
            <rFont val="Tahoma"/>
            <family val="2"/>
          </rPr>
          <t xml:space="preserve"> Narrowed 0.7-0.8% (1.4-1.5% incl. licensed departments)
</t>
        </r>
        <r>
          <rPr>
            <b/>
            <sz val="8"/>
            <color indexed="81"/>
            <rFont val="Tahoma"/>
            <family val="2"/>
          </rPr>
          <t>2/3/15:</t>
        </r>
        <r>
          <rPr>
            <sz val="8"/>
            <color indexed="81"/>
            <rFont val="Tahoma"/>
            <family val="2"/>
          </rPr>
          <t xml:space="preserve"> owned only 0.7% (vs. 0.7-0.8% guidance); owned + licensed 1.4% (vs. 1.4-1.5% guidance)</t>
        </r>
      </text>
    </comment>
    <comment ref="DD14" authorId="3">
      <text>
        <r>
          <rPr>
            <b/>
            <sz val="9"/>
            <color indexed="81"/>
            <rFont val="Tahoma"/>
            <family val="2"/>
          </rPr>
          <t>casselau:</t>
        </r>
        <r>
          <rPr>
            <sz val="9"/>
            <color indexed="81"/>
            <rFont val="Tahoma"/>
            <family val="2"/>
          </rPr>
          <t xml:space="preserve">
5% of annual sales from tourists</t>
        </r>
      </text>
    </comment>
    <comment ref="DE14" authorId="3">
      <text>
        <r>
          <rPr>
            <sz val="9"/>
            <color indexed="81"/>
            <rFont val="Tahoma"/>
            <family val="2"/>
          </rPr>
          <t xml:space="preserve">8/12/15: Updated guidance to comparable sales on an owned
plus licensed basis to be approximately flat, compared with previous guidance for growth of approximately 2 percent. Comparable sales on an owned basis will be approximately 50 basis points lower than on an owned plus licensed basis. The company expects total sales to be down by approximately 1 percent in 2015, compared to previous guidance for total sales growth of approximately 1 percent.
 8/12/15-Expectation for fall sales is now a 1% comp growth on an ownded-plus-licensed basis with owned comp about 50 basis points lowerapproximately 1 percent.
8/12/15-Sales growth to be stronger in the fourth quarter than in the third as we begin to year-round on the weakness in the international tourist sales. 
</t>
        </r>
        <r>
          <rPr>
            <b/>
            <sz val="9"/>
            <color indexed="81"/>
            <rFont val="Tahoma"/>
            <family val="2"/>
          </rPr>
          <t>casselau:</t>
        </r>
        <r>
          <rPr>
            <sz val="9"/>
            <color indexed="81"/>
            <rFont val="Tahoma"/>
            <family val="2"/>
          </rPr>
          <t xml:space="preserve">
5/13/15: expect spread to widen as year progresses
2/24/15: guidance +1% (0.5% of spread from closed stores $130M revenue; rest from ending sourcing agreement with ARO)</t>
        </r>
      </text>
    </comment>
    <comment ref="DF14" authorId="3">
      <text>
        <r>
          <rPr>
            <b/>
            <sz val="9"/>
            <color indexed="81"/>
            <rFont val="Tahoma"/>
            <family val="2"/>
          </rPr>
          <t xml:space="preserve">casselau:
5/13/15: </t>
        </r>
        <r>
          <rPr>
            <sz val="9"/>
            <color indexed="81"/>
            <rFont val="Tahoma"/>
            <family val="2"/>
          </rPr>
          <t xml:space="preserve">reiterate +2% guidance on owned +licensed basis, "slightly lower" on an owned basis
</t>
        </r>
        <r>
          <rPr>
            <b/>
            <sz val="9"/>
            <color indexed="81"/>
            <rFont val="Tahoma"/>
            <family val="2"/>
          </rPr>
          <t>2/24/15:</t>
        </r>
        <r>
          <rPr>
            <sz val="9"/>
            <color indexed="81"/>
            <rFont val="Tahoma"/>
            <family val="2"/>
          </rPr>
          <t xml:space="preserve"> +2% initial comp guidance +2% (owned and owned+licensed)</t>
        </r>
      </text>
    </comment>
    <comment ref="DJ14" authorId="4">
      <text>
        <r>
          <rPr>
            <b/>
            <sz val="9"/>
            <color indexed="81"/>
            <rFont val="Tahoma"/>
            <family val="2"/>
          </rPr>
          <t>Baglione, Gregory  (Research):</t>
        </r>
        <r>
          <rPr>
            <sz val="9"/>
            <color indexed="81"/>
            <rFont val="Tahoma"/>
            <family val="2"/>
          </rPr>
          <t xml:space="preserve">
</t>
        </r>
        <r>
          <rPr>
            <b/>
            <sz val="9"/>
            <color indexed="81"/>
            <rFont val="Tahoma"/>
            <family val="2"/>
          </rPr>
          <t>2/21/17 - 4Q EPS</t>
        </r>
        <r>
          <rPr>
            <sz val="9"/>
            <color indexed="81"/>
            <rFont val="Tahoma"/>
            <family val="2"/>
          </rPr>
          <t xml:space="preserve">
Fiscal 2016 comparable sales on an owned basis declined by 3.5 percent. On an owned plus licensed basis, comparable sales for fiscal 2016 declined by 2.9 percent. This compares to the most recent guidance for 2016 sales on an owned plus licensed basis to be down 2.5 percent to 3.0 percent.
1/4/17
-Macy’s, Inc. maintains its previously provided full-year sales guidance of a 2.5 percent to 3.0 percent decrease in comparable sales on an owned plus licensed basis, and expects to come in at the lower end of that guidance, with comparable sales on an owned basis to be approximately 50 basis points lower.
11/10/16
Macy’s, Inc. expects full-year 2016 comparable sales on an owned plus licensed basis to decrease in the range of 2.5 percent to 3.0 percent (compared with previous guidance of a decrease in the range of 3 percent to 4 percent), with comparable sales on an owned basis to be approximately 50 basis points lower. 
current:-2.8%
8/11/16
As we move to the back half of the year, we are encouraged by the recent business trends. Our annual sales guidance of minus 3% to minus 4% on a comp owned plus licensed basis feels achievable. The fall season would need to be minus 2.3% to minus 4.1% to hit that guidance. This compares to the minus 3.8% in the first half of the year. (implies -2.6 to -4.6% owned)
5/11/16 
FY Comp 3-4%, -0.5% on an owned plus licensed basisvs. prior guidance This compares with previous guidance for comparable sales on
an owned plus licensed basis to decline by approximately 1 percent in fiscal 2016.  
</t>
        </r>
      </text>
    </comment>
    <comment ref="DM14" authorId="6">
      <text>
        <r>
          <rPr>
            <b/>
            <sz val="9"/>
            <color indexed="81"/>
            <rFont val="Tahoma"/>
            <family val="2"/>
          </rPr>
          <t>Cassel, Lauren (Research):</t>
        </r>
        <r>
          <rPr>
            <sz val="9"/>
            <color indexed="81"/>
            <rFont val="Tahoma"/>
            <family val="2"/>
          </rPr>
          <t xml:space="preserve">
2/21/17: 53rd week will add 120 bps to full year sales </t>
        </r>
      </text>
    </comment>
    <comment ref="DN14" authorId="11">
      <text>
        <r>
          <rPr>
            <b/>
            <sz val="9"/>
            <color indexed="81"/>
            <rFont val="Tahoma"/>
            <family val="2"/>
          </rPr>
          <t xml:space="preserve">Roberts, Cynthia (Research):
</t>
        </r>
        <r>
          <rPr>
            <sz val="9"/>
            <color indexed="81"/>
            <rFont val="Tahoma"/>
            <family val="2"/>
          </rPr>
          <t>5/11/17</t>
        </r>
        <r>
          <rPr>
            <b/>
            <sz val="9"/>
            <color indexed="81"/>
            <rFont val="Tahoma"/>
            <family val="2"/>
          </rPr>
          <t xml:space="preserve">: </t>
        </r>
        <r>
          <rPr>
            <sz val="9"/>
            <color indexed="81"/>
            <rFont val="Tahoma"/>
            <family val="2"/>
          </rPr>
          <t>Our sales and earnings in the first quarter were consistent with our expectations and keep us on track to achieve our annual guidance of a comp owned plus licensed sales decline of 2% to 3 and total sales to decline 3.2% to 4.3%.</t>
        </r>
        <r>
          <rPr>
            <b/>
            <sz val="9"/>
            <color indexed="81"/>
            <rFont val="Tahoma"/>
            <family val="2"/>
          </rPr>
          <t xml:space="preserve">
</t>
        </r>
        <r>
          <rPr>
            <sz val="9"/>
            <color indexed="81"/>
            <rFont val="Tahoma"/>
            <family val="2"/>
          </rPr>
          <t xml:space="preserve">
2/21/17 - 4Q EPS
In fiscal 2017, the company expects </t>
        </r>
        <r>
          <rPr>
            <b/>
            <sz val="9"/>
            <color indexed="81"/>
            <rFont val="Tahoma"/>
            <family val="2"/>
          </rPr>
          <t xml:space="preserve">comparable sales on an owned basis to decline between 2.2 percent and 3.3 </t>
        </r>
        <r>
          <rPr>
            <sz val="9"/>
            <color indexed="81"/>
            <rFont val="Tahoma"/>
            <family val="2"/>
          </rPr>
          <t xml:space="preserve">percent, with comparable sales on an owned plus licensed basis to decline between 2.0 percent and 3.0 percent. </t>
        </r>
        <r>
          <rPr>
            <b/>
            <sz val="9"/>
            <color indexed="81"/>
            <rFont val="Tahoma"/>
            <family val="2"/>
          </rPr>
          <t>Total sales are expected to be down between 3.2 percent and 4.3 percent in fiscal 2017</t>
        </r>
        <r>
          <rPr>
            <sz val="9"/>
            <color indexed="81"/>
            <rFont val="Tahoma"/>
            <family val="2"/>
          </rPr>
          <t xml:space="preserve">, reflecting the 66 stores closed in 2016. 
</t>
        </r>
        <r>
          <rPr>
            <b/>
            <sz val="9"/>
            <color indexed="81"/>
            <rFont val="Tahoma"/>
            <family val="2"/>
          </rPr>
          <t xml:space="preserve">53rd week will add 120 bps to full year sales 
</t>
        </r>
        <r>
          <rPr>
            <sz val="9"/>
            <color indexed="81"/>
            <rFont val="Tahoma"/>
            <family val="2"/>
          </rPr>
          <t xml:space="preserve">
</t>
        </r>
      </text>
    </comment>
    <comment ref="DR14" authorId="5">
      <text>
        <r>
          <rPr>
            <b/>
            <sz val="9"/>
            <color indexed="81"/>
            <rFont val="Tahoma"/>
            <family val="2"/>
          </rPr>
          <t>De Courreges, Edouard (Research):</t>
        </r>
        <r>
          <rPr>
            <sz val="9"/>
            <color indexed="81"/>
            <rFont val="Tahoma"/>
            <family val="2"/>
          </rPr>
          <t xml:space="preserve">
2/27/18: flat to +1 guidance, weighted toward 2H</t>
        </r>
      </text>
    </comment>
    <comment ref="DP23" authorId="5">
      <text>
        <r>
          <rPr>
            <b/>
            <sz val="9"/>
            <color indexed="81"/>
            <rFont val="Tahoma"/>
            <family val="2"/>
          </rPr>
          <t>De Courreges, Edouard (Research):</t>
        </r>
        <r>
          <rPr>
            <sz val="9"/>
            <color indexed="81"/>
            <rFont val="Tahoma"/>
            <family val="2"/>
          </rPr>
          <t xml:space="preserve">
2/27 guidance: $645-665M
penetration is 46.2%
2018 BAML: I think -- no, because we're hoping that the nontender neutral, the credit piece of that will help us to continue to build the proprietary penetration. </t>
        </r>
        <r>
          <rPr>
            <b/>
            <sz val="9"/>
            <color indexed="81"/>
            <rFont val="Tahoma"/>
            <family val="2"/>
          </rPr>
          <t>As you know, it was down about 90 basis points last year, so we are facing a pretty significant headwind, but we do th</t>
        </r>
        <r>
          <rPr>
            <sz val="9"/>
            <color indexed="81"/>
            <rFont val="Tahoma"/>
            <family val="2"/>
          </rPr>
          <t>ink, as this program continues, that will start to either be down less, which is really the key. But in addition,</t>
        </r>
        <r>
          <rPr>
            <b/>
            <sz val="9"/>
            <color indexed="81"/>
            <rFont val="Tahoma"/>
            <family val="2"/>
          </rPr>
          <t xml:space="preserve"> we are planning for bad debt to be slightly higher than it was last year, not at all at a concerning level, still way lower than historic level</t>
        </r>
        <r>
          <rPr>
            <sz val="9"/>
            <color indexed="81"/>
            <rFont val="Tahoma"/>
            <family val="2"/>
          </rPr>
          <t xml:space="preserve">s, but that is partially impacting the economics. The </t>
        </r>
        <r>
          <rPr>
            <b/>
            <sz val="9"/>
            <color indexed="81"/>
            <rFont val="Tahoma"/>
            <family val="2"/>
          </rPr>
          <t>other thing also is there's not a 53rd week this year. And if you think about credit sales, there's a lot of credit sales in that week</t>
        </r>
        <r>
          <rPr>
            <sz val="9"/>
            <color indexed="81"/>
            <rFont val="Tahoma"/>
            <family val="2"/>
          </rPr>
          <t xml:space="preserve">, and so it's negatively impacting the credit income as well. </t>
        </r>
      </text>
    </comment>
    <comment ref="AB29" authorId="12">
      <text>
        <r>
          <rPr>
            <sz val="8"/>
            <color indexed="81"/>
            <rFont val="Tahoma"/>
            <family val="2"/>
          </rPr>
          <t xml:space="preserve">1.761 of rental income
</t>
        </r>
      </text>
    </comment>
    <comment ref="CP29" authorId="13">
      <text>
        <r>
          <rPr>
            <b/>
            <sz val="8"/>
            <color indexed="81"/>
            <rFont val="Tahoma"/>
            <family val="2"/>
          </rPr>
          <t xml:space="preserve">Comment 5/11/11:
</t>
        </r>
        <r>
          <rPr>
            <sz val="8"/>
            <color indexed="81"/>
            <rFont val="Tahoma"/>
            <family val="2"/>
          </rPr>
          <t>1) Gross margins would have been flattish y/y without Search Send and free shipping online 
2) Implies ~30 bps y/y headwind from both</t>
        </r>
        <r>
          <rPr>
            <b/>
            <sz val="8"/>
            <color indexed="81"/>
            <rFont val="Tahoma"/>
            <family val="2"/>
          </rPr>
          <t xml:space="preserve">
Guidance 2/22/11:
</t>
        </r>
        <r>
          <rPr>
            <sz val="8"/>
            <color indexed="81"/>
            <rFont val="Tahoma"/>
            <family val="2"/>
          </rPr>
          <t>1) 1Q GMs likely down &gt; rest of year; IR suggests will be down slightly worse than ~25 bps in 4Q10
2) Rate should improve over balance of year (2Q - 4Q) as company laps Search and Send in 1Q
--Search and Send puts pressure on GMs since M eats shipping cost for in-store customer
3) Flattish" gross margin for the full year</t>
        </r>
        <r>
          <rPr>
            <b/>
            <sz val="8"/>
            <color indexed="81"/>
            <rFont val="Tahoma"/>
            <family val="2"/>
          </rPr>
          <t xml:space="preserve">
Refer to Apparel Inflation Model.</t>
        </r>
        <r>
          <rPr>
            <sz val="8"/>
            <color indexed="81"/>
            <rFont val="Tahoma"/>
            <family val="2"/>
          </rPr>
          <t xml:space="preserve">
</t>
        </r>
      </text>
    </comment>
    <comment ref="CT29" authorId="1">
      <text>
        <r>
          <rPr>
            <b/>
            <sz val="8"/>
            <color indexed="81"/>
            <rFont val="Tahoma"/>
            <family val="2"/>
          </rPr>
          <t xml:space="preserve">Comment 5/9/2012
</t>
        </r>
        <r>
          <rPr>
            <sz val="8"/>
            <color indexed="81"/>
            <rFont val="Tahoma"/>
            <family val="2"/>
          </rPr>
          <t xml:space="preserve">1) merch margins "flattish" in 1Q
2) growth in omnichannel pressured margins
3) some negative impact from excess cold weather inventory b/c of warm winter
</t>
        </r>
        <r>
          <rPr>
            <b/>
            <sz val="8"/>
            <color indexed="81"/>
            <rFont val="Tahoma"/>
            <family val="2"/>
          </rPr>
          <t xml:space="preserve">
Comment 4/5/2012
</t>
        </r>
        <r>
          <rPr>
            <sz val="8"/>
            <color indexed="81"/>
            <rFont val="Tahoma"/>
            <family val="2"/>
          </rPr>
          <t>Had already accounted for markdown of cold weather merch in 4Q</t>
        </r>
        <r>
          <rPr>
            <b/>
            <sz val="8"/>
            <color indexed="81"/>
            <rFont val="Tahoma"/>
            <family val="2"/>
          </rPr>
          <t xml:space="preserve">
Guidance 2/21/12
</t>
        </r>
        <r>
          <rPr>
            <sz val="8"/>
            <color indexed="81"/>
            <rFont val="Tahoma"/>
            <family val="2"/>
          </rPr>
          <t>Do not expect any pressure on merch margins from excess cold weather inventory</t>
        </r>
      </text>
    </comment>
    <comment ref="DF29" authorId="3">
      <text>
        <r>
          <rPr>
            <b/>
            <sz val="9"/>
            <color indexed="81"/>
            <rFont val="Tahoma"/>
            <family val="2"/>
          </rPr>
          <t>casselau:</t>
        </r>
        <r>
          <rPr>
            <sz val="9"/>
            <color indexed="81"/>
            <rFont val="Tahoma"/>
            <family val="2"/>
          </rPr>
          <t xml:space="preserve">
5/13/15: merch margin +20 bps, favorably impacted by west coast port delays</t>
        </r>
      </text>
    </comment>
    <comment ref="DI29" authorId="4">
      <text>
        <r>
          <rPr>
            <b/>
            <sz val="9"/>
            <color indexed="81"/>
            <rFont val="Tahoma"/>
            <family val="2"/>
          </rPr>
          <t>Baglione, Gregory  (Research):</t>
        </r>
        <r>
          <rPr>
            <sz val="9"/>
            <color indexed="81"/>
            <rFont val="Tahoma"/>
            <family val="2"/>
          </rPr>
          <t xml:space="preserve">
2/23/16
Gm is assumed to decline in 1Q/3Q because of the lingering impact of the tough fourth quarter; and in the third quarter, because of the strong 2015 performance. 
</t>
        </r>
      </text>
    </comment>
    <comment ref="DM29" authorId="4">
      <text>
        <r>
          <rPr>
            <b/>
            <sz val="9"/>
            <color indexed="81"/>
            <rFont val="Tahoma"/>
            <family val="2"/>
          </rPr>
          <t>Baglione, Gregory  (Research):</t>
        </r>
        <r>
          <rPr>
            <sz val="9"/>
            <color indexed="81"/>
            <rFont val="Tahoma"/>
            <family val="2"/>
          </rPr>
          <t xml:space="preserve">
2/23/16
Gm is assumed to decline in 1Q/3Q because of the lingering impact of the tough fourth quarter; and in the third quarter, because of the strong 2015 performance. 
</t>
        </r>
      </text>
    </comment>
    <comment ref="DN29" authorId="5">
      <text>
        <r>
          <rPr>
            <b/>
            <sz val="9"/>
            <color indexed="81"/>
            <rFont val="Tahoma"/>
            <family val="2"/>
          </rPr>
          <t>De Courreges, Edouard (Research):</t>
        </r>
        <r>
          <rPr>
            <sz val="9"/>
            <color indexed="81"/>
            <rFont val="Tahoma"/>
            <family val="2"/>
          </rPr>
          <t xml:space="preserve">
De Courreges, Edouard (Research):
5/11/17: The gross margin rate in the quarter was 38.1%, 100 basis points below last year. The decline was due in part to ending 2016 with inventory higher than we had anticipated, compounded by weak sales trends in February and margin pressures in a few families of business. We are experiencing gross margin declines in the Beauty business due to increased promotional activity; in housewares due to price competition; and in fashion watches due to the strong customer demand and, therefore, growth in lower-margin tech watches. While we do not expect to have as much margin pressure going forward due to the inventory level, the pressure in these 3 categories is expected to continue. We are working to offset this margin pressure through speeding up our inventory turnover, accelerating growth in our private brands as well as from our Last Act clearance strategy.</t>
        </r>
      </text>
    </comment>
    <comment ref="CP30" authorId="13">
      <text>
        <r>
          <rPr>
            <b/>
            <sz val="8"/>
            <color indexed="81"/>
            <rFont val="Tahoma"/>
            <family val="2"/>
          </rPr>
          <t xml:space="preserve">Comment 8/10/11:
</t>
        </r>
        <r>
          <rPr>
            <sz val="8"/>
            <color indexed="81"/>
            <rFont val="Tahoma"/>
            <family val="2"/>
          </rPr>
          <t>Down due to stronger internet sales and free shipping</t>
        </r>
        <r>
          <rPr>
            <b/>
            <sz val="8"/>
            <color indexed="81"/>
            <rFont val="Tahoma"/>
            <family val="2"/>
          </rPr>
          <t xml:space="preserve">
Guidance 5/11/11:
</t>
        </r>
        <r>
          <rPr>
            <sz val="8"/>
            <color indexed="81"/>
            <rFont val="Tahoma"/>
            <family val="2"/>
          </rPr>
          <t>No specific guidance</t>
        </r>
        <r>
          <rPr>
            <b/>
            <sz val="8"/>
            <color indexed="81"/>
            <rFont val="Tahoma"/>
            <family val="2"/>
          </rPr>
          <t xml:space="preserve">
</t>
        </r>
        <r>
          <rPr>
            <sz val="8"/>
            <color indexed="81"/>
            <rFont val="Tahoma"/>
            <family val="2"/>
          </rPr>
          <t>Anniversarying Search/Send in middle of 2Q11
Anniversarying Free Shipping 1Q12
**Assuming 30 bps collective headwind re 1Q11 commentary and 50% each, implies 15 bps y/y positive impact in 3Q/4Q from Search/Send and partial +'ve impact in 2Q (~ 5 bps)</t>
        </r>
        <r>
          <rPr>
            <b/>
            <sz val="8"/>
            <color indexed="81"/>
            <rFont val="Tahoma"/>
            <family val="2"/>
          </rPr>
          <t xml:space="preserve">
</t>
        </r>
        <r>
          <rPr>
            <sz val="8"/>
            <color indexed="81"/>
            <rFont val="Tahoma"/>
            <family val="2"/>
          </rPr>
          <t>**No postive impact on Free Shipping until 1Q12</t>
        </r>
        <r>
          <rPr>
            <b/>
            <sz val="8"/>
            <color indexed="81"/>
            <rFont val="Tahoma"/>
            <family val="2"/>
          </rPr>
          <t xml:space="preserve">
Guidance 2/22/11:
</t>
        </r>
        <r>
          <rPr>
            <sz val="8"/>
            <color indexed="81"/>
            <rFont val="Tahoma"/>
            <family val="2"/>
          </rPr>
          <t>1) 1Q GMs likely down &gt; rest of year; IR suggests will be down slightly worse than ~25 bps in 4Q10
2) Rate should improve over balance of year (2Q - 4Q) as company laps Search and Send in 1Q
--Search and Send puts pressure on GMs since M eats shipping cost for in-store customer
3) Flattish" gross margin for the full year</t>
        </r>
        <r>
          <rPr>
            <b/>
            <sz val="8"/>
            <color indexed="81"/>
            <rFont val="Tahoma"/>
            <family val="2"/>
          </rPr>
          <t xml:space="preserve">
Refer to Apparel Inflation Model.</t>
        </r>
        <r>
          <rPr>
            <sz val="8"/>
            <color indexed="81"/>
            <rFont val="Tahoma"/>
            <family val="2"/>
          </rPr>
          <t xml:space="preserve">
</t>
        </r>
      </text>
    </comment>
    <comment ref="CT30" authorId="1">
      <text>
        <r>
          <rPr>
            <b/>
            <sz val="8"/>
            <color indexed="81"/>
            <rFont val="Tahoma"/>
            <family val="2"/>
          </rPr>
          <t xml:space="preserve">Guidance 5/9/2012
</t>
        </r>
        <r>
          <rPr>
            <sz val="8"/>
            <color indexed="81"/>
            <rFont val="Tahoma"/>
            <family val="2"/>
          </rPr>
          <t>1) Flattish even with pressure growth in ominchannel
2) 2Q gross mgns benefit from strong selling in 1Q (fewer markdowns in 2Q on excess inventory)</t>
        </r>
      </text>
    </comment>
    <comment ref="DB30" authorId="2">
      <text>
        <r>
          <rPr>
            <b/>
            <sz val="9"/>
            <color indexed="81"/>
            <rFont val="Tahoma"/>
            <family val="2"/>
          </rPr>
          <t xml:space="preserve">8/13/14: </t>
        </r>
        <r>
          <rPr>
            <sz val="9"/>
            <color indexed="81"/>
            <rFont val="Tahoma"/>
            <family val="2"/>
          </rPr>
          <t xml:space="preserve">Merch margin down 30 bps. Flat for the season. Delivery expense also pressured margins (more than 10 bps). Income from licensed business improves margins.
</t>
        </r>
      </text>
    </comment>
    <comment ref="DF30" authorId="3">
      <text>
        <r>
          <rPr>
            <b/>
            <sz val="9"/>
            <color indexed="81"/>
            <rFont val="Tahoma"/>
            <family val="2"/>
          </rPr>
          <t>casselau:</t>
        </r>
        <r>
          <rPr>
            <sz val="9"/>
            <color indexed="81"/>
            <rFont val="Tahoma"/>
            <family val="2"/>
          </rPr>
          <t xml:space="preserve">
8/12/15:
2Q GM down as  due to weaker sales, w additional markdowns needed to keep our inventory fresh, and as a result, the gross margin rate was lower than w expected.
5/13/15: west coast port delays will negatively impact merch margins
</t>
        </r>
      </text>
    </comment>
    <comment ref="DI30" authorId="4">
      <text>
        <r>
          <rPr>
            <b/>
            <sz val="9"/>
            <color indexed="81"/>
            <rFont val="Tahoma"/>
            <family val="2"/>
          </rPr>
          <t>Baglione, Gregory  (Research):</t>
        </r>
        <r>
          <rPr>
            <sz val="9"/>
            <color indexed="81"/>
            <rFont val="Tahoma"/>
            <family val="2"/>
          </rPr>
          <t xml:space="preserve">
8/11/16
"Gross margin rate in the second quarter was 40.9%, flat with last year, which is better than we had expected. This resulted from our sales being stronger than expected and also from the success of our Last Act strategy for clearing end-of-season merchandise."
5/11/16
Expect GM to be down in 2Q "While we are satisfied with our overall inventory level, the slowness in selling of warm weather goods will put pressure on our gross margin rate in the second quarter"
2/23/16
Gm is assumed to decline in 1Q/3Q because of the lingering impact of the tough fourth quarter; and in the third quarter, because of the strong 2015 performance. 
We model +20 BPS recover (slight improvement in two-year trend)
</t>
        </r>
      </text>
    </comment>
    <comment ref="DM30" authorId="11">
      <text>
        <r>
          <rPr>
            <b/>
            <sz val="9"/>
            <color indexed="81"/>
            <rFont val="Tahoma"/>
            <family val="2"/>
          </rPr>
          <t xml:space="preserve">Roberts, Cynthia (Research):
</t>
        </r>
        <r>
          <rPr>
            <sz val="9"/>
            <color indexed="81"/>
            <rFont val="Tahoma"/>
            <family val="2"/>
          </rPr>
          <t xml:space="preserve">
2/21/17
"our gross margin rate is expected to decline for the year as a whole and in each quarter. The merchandise margin is actually
assumed to be approximately flat, but because of the digital growth and increased free shipping, gross margin rate is assumed to decline"</t>
        </r>
      </text>
    </comment>
    <comment ref="DN30" authorId="6">
      <text>
        <r>
          <rPr>
            <b/>
            <sz val="9"/>
            <color indexed="81"/>
            <rFont val="Tahoma"/>
            <family val="2"/>
          </rPr>
          <t>Cassel, Lauren (Research):</t>
        </r>
        <r>
          <rPr>
            <sz val="9"/>
            <color indexed="81"/>
            <rFont val="Tahoma"/>
            <family val="2"/>
          </rPr>
          <t xml:space="preserve">
8/10/17: GM better than expected bc of sales better than expected
6/6/17: Analyst Day: -100 bps given excess inventory/incremental markdowns, beauty markdowns, shift to tech watches</t>
        </r>
      </text>
    </comment>
    <comment ref="CP31" authorId="13">
      <text>
        <r>
          <rPr>
            <b/>
            <sz val="8"/>
            <color indexed="81"/>
            <rFont val="Tahoma"/>
            <family val="2"/>
          </rPr>
          <t xml:space="preserve">Commentary 11/9/11: 
</t>
        </r>
        <r>
          <rPr>
            <sz val="8"/>
            <color indexed="81"/>
            <rFont val="Tahoma"/>
            <family val="2"/>
          </rPr>
          <t>1) Merchandise margins were "flattish"
2) Pressure from free shipping &amp; growth of online business</t>
        </r>
        <r>
          <rPr>
            <b/>
            <sz val="8"/>
            <color indexed="81"/>
            <rFont val="Tahoma"/>
            <family val="2"/>
          </rPr>
          <t xml:space="preserve">
Guidance 8/10/11:
</t>
        </r>
        <r>
          <rPr>
            <sz val="8"/>
            <color indexed="81"/>
            <rFont val="Tahoma"/>
            <family val="2"/>
          </rPr>
          <t>1)</t>
        </r>
        <r>
          <rPr>
            <b/>
            <sz val="8"/>
            <color indexed="81"/>
            <rFont val="Tahoma"/>
            <family val="2"/>
          </rPr>
          <t xml:space="preserve"> </t>
        </r>
        <r>
          <rPr>
            <sz val="8"/>
            <color indexed="81"/>
            <rFont val="Tahoma"/>
            <family val="2"/>
          </rPr>
          <t xml:space="preserve">Expect GM down slightly in Fall (3Q/4Q), particularly in 3Q
2) Due to impact of free shipping on Internet and growth in that business
3) Offered free shipping much of 4Q10, so less y/y impact
</t>
        </r>
        <r>
          <rPr>
            <b/>
            <sz val="8"/>
            <color indexed="81"/>
            <rFont val="Tahoma"/>
            <family val="2"/>
          </rPr>
          <t xml:space="preserve">
Guidance 2/22/11:
</t>
        </r>
        <r>
          <rPr>
            <sz val="8"/>
            <color indexed="81"/>
            <rFont val="Tahoma"/>
            <family val="2"/>
          </rPr>
          <t>1) 1Q GMs likely down &gt; rest of year; IR suggests will be down slightly worse than ~25 bps in 4Q10
2) Rate should improve over balance of year (2Q - 4Q) as company laps Search and Send in 1Q
--Search and Send puts pressure on GMs since M eats shipping cost for in-store customer
3) Flattish" gross margin for the full year</t>
        </r>
        <r>
          <rPr>
            <b/>
            <sz val="8"/>
            <color indexed="81"/>
            <rFont val="Tahoma"/>
            <family val="2"/>
          </rPr>
          <t xml:space="preserve">
Refer to Apparel Inflation Model.</t>
        </r>
        <r>
          <rPr>
            <sz val="8"/>
            <color indexed="81"/>
            <rFont val="Tahoma"/>
            <family val="2"/>
          </rPr>
          <t xml:space="preserve">
</t>
        </r>
      </text>
    </comment>
    <comment ref="CT31" authorId="1">
      <text>
        <r>
          <rPr>
            <b/>
            <sz val="8"/>
            <color indexed="81"/>
            <rFont val="Tahoma"/>
            <family val="2"/>
          </rPr>
          <t xml:space="preserve">11/7/2012: </t>
        </r>
        <r>
          <rPr>
            <sz val="8"/>
            <color indexed="81"/>
            <rFont val="Tahoma"/>
            <family val="2"/>
          </rPr>
          <t>merch margins offset pressure from free shipping related to e-comm growth</t>
        </r>
        <r>
          <rPr>
            <b/>
            <sz val="8"/>
            <color indexed="81"/>
            <rFont val="Tahoma"/>
            <family val="2"/>
          </rPr>
          <t xml:space="preserve">
8/8/2012 Guidance
</t>
        </r>
        <r>
          <rPr>
            <sz val="8"/>
            <color indexed="81"/>
            <rFont val="Tahoma"/>
            <family val="2"/>
          </rPr>
          <t xml:space="preserve">1) Flattish gross mgn vs. LY (potentially down slightly b/c of omni-channel growth)
</t>
        </r>
        <r>
          <rPr>
            <b/>
            <sz val="8"/>
            <color indexed="81"/>
            <rFont val="Tahoma"/>
            <family val="2"/>
          </rPr>
          <t xml:space="preserve">
Guidance 5/9/2012
</t>
        </r>
        <r>
          <rPr>
            <sz val="8"/>
            <color indexed="81"/>
            <rFont val="Tahoma"/>
            <family val="2"/>
          </rPr>
          <t>1) Expect some product cost relief in 2H12 but like LY not really until later in 3Q will it even begin to impact GM's</t>
        </r>
      </text>
    </comment>
    <comment ref="CX31" authorId="7">
      <text>
        <r>
          <rPr>
            <b/>
            <sz val="8"/>
            <color indexed="81"/>
            <rFont val="Tahoma"/>
            <family val="2"/>
          </rPr>
          <t>8/15/13:</t>
        </r>
        <r>
          <rPr>
            <sz val="8"/>
            <color indexed="81"/>
            <rFont val="Tahoma"/>
            <family val="2"/>
          </rPr>
          <t xml:space="preserve"> Expect 2H13 GM essentially flat to down slightly
</t>
        </r>
        <r>
          <rPr>
            <b/>
            <sz val="8"/>
            <color indexed="81"/>
            <rFont val="Tahoma"/>
            <family val="2"/>
          </rPr>
          <t>11/13/13:</t>
        </r>
        <r>
          <rPr>
            <sz val="8"/>
            <color indexed="81"/>
            <rFont val="Tahoma"/>
            <family val="2"/>
          </rPr>
          <t xml:space="preserve"> in part due to the increased shipping costs associated with our Omni-channel business, but our merchandise margin was down as well in the quarter</t>
        </r>
      </text>
    </comment>
    <comment ref="DB31" authorId="2">
      <text>
        <r>
          <rPr>
            <b/>
            <sz val="9"/>
            <color indexed="81"/>
            <rFont val="Tahoma"/>
            <family val="2"/>
          </rPr>
          <t xml:space="preserve">8/13/14: </t>
        </r>
        <r>
          <rPr>
            <sz val="9"/>
            <color indexed="81"/>
            <rFont val="Tahoma"/>
            <family val="2"/>
          </rPr>
          <t xml:space="preserve">"we expect gross margin rate to be flat to down slightly for the season, as well as for the year"
</t>
        </r>
      </text>
    </comment>
    <comment ref="DF31" authorId="4">
      <text>
        <r>
          <rPr>
            <b/>
            <sz val="9"/>
            <color indexed="81"/>
            <rFont val="Tahoma"/>
            <family val="2"/>
          </rPr>
          <t>Baglione, Gregory  (Research):</t>
        </r>
        <r>
          <rPr>
            <sz val="9"/>
            <color indexed="81"/>
            <rFont val="Tahoma"/>
            <family val="2"/>
          </rPr>
          <t xml:space="preserve">
11/11/15
Gross margin rate in the quarter was 39.8%, up 60 basis points versus last year. Merchandise margin was up slightly in the quarter. But the gross margin rate also benefited from the reduction in the low-margin third-party sales versus last year.
8/12/15  The gross margin rate is expected to be flattish in the back half of the year</t>
        </r>
      </text>
    </comment>
    <comment ref="DI31" authorId="4">
      <text>
        <r>
          <rPr>
            <b/>
            <sz val="9"/>
            <color indexed="81"/>
            <rFont val="Tahoma"/>
            <family val="2"/>
          </rPr>
          <t>Baglione, Gregory  (Research):</t>
        </r>
        <r>
          <rPr>
            <sz val="9"/>
            <color indexed="81"/>
            <rFont val="Tahoma"/>
            <family val="2"/>
          </rPr>
          <t xml:space="preserve">
11/10/16
MSe: 39.3%
"GM reflects the benefit of lower inventory levels and the impact of our Last Act clearance strategy"
8/11/16
Previous 39% 
Upated 39.2% given better run-rate in 2Q
5/11/16
Lowering 3Q GM to 39% from 39.2%
2/23/16
Gm is assumed to decline in 1Q/3Q because of the lingering impact of the tough fourth quarter; and in the third quarter, because of the strong 2015 performance. 
We model -60 bps y/y but sequential two year improvement
1/7/16
Previous: 39.7%
Updated: 39.2%, company did not mark down inventory, held off to 4Q which provides a tough 3Q compare
</t>
        </r>
      </text>
    </comment>
    <comment ref="DM31" authorId="5">
      <text>
        <r>
          <rPr>
            <b/>
            <sz val="9"/>
            <color indexed="81"/>
            <rFont val="Tahoma"/>
            <family val="2"/>
          </rPr>
          <t>De Courreges, Edouard (Research):</t>
        </r>
        <r>
          <rPr>
            <sz val="9"/>
            <color indexed="81"/>
            <rFont val="Tahoma"/>
            <family val="2"/>
          </rPr>
          <t xml:space="preserve">
less clearance sales bc of better inventory mgmt
merch margin flat
</t>
        </r>
      </text>
    </comment>
    <comment ref="DN31" authorId="11">
      <text>
        <r>
          <rPr>
            <b/>
            <sz val="9"/>
            <color indexed="81"/>
            <rFont val="Tahoma"/>
            <family val="2"/>
          </rPr>
          <t>Roberts, Cynthia (Research):</t>
        </r>
        <r>
          <rPr>
            <sz val="9"/>
            <color indexed="81"/>
            <rFont val="Tahoma"/>
            <family val="2"/>
          </rPr>
          <t xml:space="preserve">
2/21/17: "our gross margin rate is expected to decline for the year as a whole and in each quarter. The merchandise margin is actually assumed to be approximately flat, but because of the digital growth and increased free shipping, gross margin rate is assumed to decline"</t>
        </r>
      </text>
    </comment>
    <comment ref="CP32" authorId="13">
      <text>
        <r>
          <rPr>
            <b/>
            <sz val="8"/>
            <color indexed="81"/>
            <rFont val="Tahoma"/>
            <family val="2"/>
          </rPr>
          <t xml:space="preserve">Commentary 2/21/12
</t>
        </r>
        <r>
          <rPr>
            <sz val="8"/>
            <color indexed="81"/>
            <rFont val="Tahoma"/>
            <family val="2"/>
          </rPr>
          <t>Merch margins flat w/ pressure from free shipping</t>
        </r>
        <r>
          <rPr>
            <b/>
            <sz val="8"/>
            <color indexed="81"/>
            <rFont val="Tahoma"/>
            <family val="2"/>
          </rPr>
          <t xml:space="preserve">
Commentary 11/9/11:
</t>
        </r>
        <r>
          <rPr>
            <sz val="8"/>
            <color indexed="81"/>
            <rFont val="Tahoma"/>
            <family val="2"/>
          </rPr>
          <t>1) Gross margin down y/y due to growth in online business; lapping free shipping for most of 4Q LY, but growth in business y/y will result in online shipping costs up y/y on dollar basis (</t>
        </r>
        <r>
          <rPr>
            <b/>
            <i/>
            <sz val="8"/>
            <color indexed="81"/>
            <rFont val="Tahoma"/>
            <family val="2"/>
          </rPr>
          <t>free shipping into'd LY on 1/26/11</t>
        </r>
        <r>
          <rPr>
            <sz val="8"/>
            <color indexed="81"/>
            <rFont val="Tahoma"/>
            <family val="2"/>
          </rPr>
          <t>)
- 4Q gross margins down less than 3Q</t>
        </r>
        <r>
          <rPr>
            <b/>
            <sz val="8"/>
            <color indexed="81"/>
            <rFont val="Tahoma"/>
            <family val="2"/>
          </rPr>
          <t xml:space="preserve">
</t>
        </r>
        <r>
          <rPr>
            <sz val="8"/>
            <color indexed="81"/>
            <rFont val="Tahoma"/>
            <family val="2"/>
          </rPr>
          <t xml:space="preserve">2) Merchandise margin ~Flat
</t>
        </r>
        <r>
          <rPr>
            <b/>
            <sz val="8"/>
            <color indexed="81"/>
            <rFont val="Tahoma"/>
            <family val="2"/>
          </rPr>
          <t xml:space="preserve">
Guidance 8/10/11:
</t>
        </r>
        <r>
          <rPr>
            <sz val="8"/>
            <color indexed="81"/>
            <rFont val="Tahoma"/>
            <family val="2"/>
          </rPr>
          <t xml:space="preserve">1) Expect GM down slightly in Fall (3Q/4Q), particularly in 3Q
2) Due to impact of free shipping on Internet and growth in that business
3) Offered free shipping much of 4Q10, so less y/y impact
</t>
        </r>
        <r>
          <rPr>
            <b/>
            <sz val="8"/>
            <color indexed="81"/>
            <rFont val="Tahoma"/>
            <family val="2"/>
          </rPr>
          <t xml:space="preserve">
Guidance 2/22/11:
</t>
        </r>
        <r>
          <rPr>
            <sz val="8"/>
            <color indexed="81"/>
            <rFont val="Tahoma"/>
            <family val="2"/>
          </rPr>
          <t>1) 1Q GMs likely down &gt; rest of year; IR suggests will be down slightly worse than ~25 bps in 4Q10
2) Rate should improve over balance of year (2Q - 4Q) as company laps Search and Send in 1Q
--Search and Send puts pressure on GMs since M eats shipping cost for in-store customer
3) Flattish" gross margin for the full year</t>
        </r>
        <r>
          <rPr>
            <b/>
            <sz val="8"/>
            <color indexed="81"/>
            <rFont val="Tahoma"/>
            <family val="2"/>
          </rPr>
          <t xml:space="preserve">
Refer to Apparel Inflation Model.</t>
        </r>
        <r>
          <rPr>
            <sz val="8"/>
            <color indexed="81"/>
            <rFont val="Tahoma"/>
            <family val="2"/>
          </rPr>
          <t xml:space="preserve">
</t>
        </r>
      </text>
    </comment>
    <comment ref="CT32" authorId="1">
      <text>
        <r>
          <rPr>
            <b/>
            <sz val="8"/>
            <color indexed="81"/>
            <rFont val="Tahoma"/>
            <family val="2"/>
          </rPr>
          <t xml:space="preserve">11/7/2012 Guidance: </t>
        </r>
        <r>
          <rPr>
            <sz val="8"/>
            <color indexed="81"/>
            <rFont val="Tahoma"/>
            <family val="2"/>
          </rPr>
          <t>2H flat to slightly down vs. LY due to e-comm growth</t>
        </r>
        <r>
          <rPr>
            <b/>
            <i/>
            <sz val="8"/>
            <color indexed="12"/>
            <rFont val="Tahoma"/>
            <family val="2"/>
          </rPr>
          <t xml:space="preserve">
</t>
        </r>
        <r>
          <rPr>
            <sz val="10"/>
            <rFont val="Arial"/>
            <family val="2"/>
          </rPr>
          <t>8/8/2012 Guidance</t>
        </r>
        <r>
          <rPr>
            <b/>
            <sz val="8"/>
            <color indexed="12"/>
            <rFont val="Tahoma"/>
            <family val="2"/>
          </rPr>
          <t xml:space="preserve">
</t>
        </r>
        <r>
          <rPr>
            <sz val="8"/>
            <color indexed="12"/>
            <rFont val="Tahoma"/>
            <family val="2"/>
          </rPr>
          <t>1) Flattish gross mgn vs. LY (potentially down slightly b/c of omni-channel growth)</t>
        </r>
        <r>
          <rPr>
            <b/>
            <i/>
            <sz val="8"/>
            <color indexed="12"/>
            <rFont val="Tahoma"/>
            <family val="2"/>
          </rPr>
          <t xml:space="preserve">
</t>
        </r>
        <r>
          <rPr>
            <b/>
            <sz val="8"/>
            <color indexed="81"/>
            <rFont val="Tahoma"/>
            <family val="2"/>
          </rPr>
          <t>5/9/2012 Guidance</t>
        </r>
        <r>
          <rPr>
            <sz val="8"/>
            <color indexed="81"/>
            <rFont val="Tahoma"/>
            <family val="2"/>
          </rPr>
          <t xml:space="preserve">
1) Expect some product cost relief in 2H12 but like LY not really until later in 3Q will it even begin to impact GM's</t>
        </r>
        <r>
          <rPr>
            <b/>
            <i/>
            <sz val="8"/>
            <color indexed="12"/>
            <rFont val="Tahoma"/>
            <family val="2"/>
          </rPr>
          <t xml:space="preserve">
</t>
        </r>
        <r>
          <rPr>
            <b/>
            <sz val="8"/>
            <color indexed="81"/>
            <rFont val="Tahoma"/>
            <family val="2"/>
          </rPr>
          <t xml:space="preserve">
1/5/12 and 1/9/12 Commentary
</t>
        </r>
        <r>
          <rPr>
            <sz val="8"/>
            <color indexed="81"/>
            <rFont val="Tahoma"/>
            <family val="2"/>
          </rPr>
          <t xml:space="preserve">Impact from 53rd week from 4Q:
- No impact to gross margins + SG&amp;A benefit (there ~10-20% of flex on SG&amp;A - so if SG&amp;A ratio is 26%, the SG&amp;A ratio on extra week is 26%-~15%=~11%)
- Should have good flow through of extra week of sales in 4Q12
- Salaried employees do not get more but hourly do
- Attractive EBIT on extra week of sales
</t>
        </r>
      </text>
    </comment>
    <comment ref="CX32" authorId="7">
      <text>
        <r>
          <rPr>
            <b/>
            <sz val="8"/>
            <color indexed="81"/>
            <rFont val="Tahoma"/>
            <family val="2"/>
          </rPr>
          <t>8/15/13:</t>
        </r>
        <r>
          <rPr>
            <sz val="8"/>
            <color indexed="81"/>
            <rFont val="Tahoma"/>
            <family val="2"/>
          </rPr>
          <t xml:space="preserve"> Expect 2H13 GM essentially flat to down slightly
</t>
        </r>
        <r>
          <rPr>
            <b/>
            <sz val="8"/>
            <color indexed="81"/>
            <rFont val="Tahoma"/>
            <family val="2"/>
          </rPr>
          <t>11/13/13</t>
        </r>
        <r>
          <rPr>
            <sz val="8"/>
            <color indexed="81"/>
            <rFont val="Tahoma"/>
            <family val="2"/>
          </rPr>
          <t xml:space="preserve">: We do expect continued pressure on our gross margin rate in the fourth quarter, but hope to be able to offset it with lower SG&amp;A as a percent to sales. 
</t>
        </r>
      </text>
    </comment>
    <comment ref="DA32" authorId="3">
      <text>
        <r>
          <rPr>
            <b/>
            <sz val="9"/>
            <color indexed="81"/>
            <rFont val="Tahoma"/>
            <family val="2"/>
          </rPr>
          <t>casselau:</t>
        </r>
        <r>
          <rPr>
            <sz val="9"/>
            <color indexed="81"/>
            <rFont val="Tahoma"/>
            <family val="2"/>
          </rPr>
          <t xml:space="preserve">
2/25/15: merch margin -30 bps; increase in S&amp;H costs offset by licensing income</t>
        </r>
      </text>
    </comment>
    <comment ref="DB32" authorId="2">
      <text>
        <r>
          <rPr>
            <b/>
            <sz val="9"/>
            <color indexed="81"/>
            <rFont val="Tahoma"/>
            <family val="2"/>
          </rPr>
          <t xml:space="preserve">11/12/14: </t>
        </r>
        <r>
          <rPr>
            <sz val="9"/>
            <color indexed="81"/>
            <rFont val="Tahoma"/>
            <family val="2"/>
          </rPr>
          <t xml:space="preserve">we had an expectation of a flat to slightly down gross margin rate in the back half of the year, and that expectation has not changed, which means that the fourth quarter margin could be flat or could decline. We are expecting a slight decline in merchandise margin compounded by an increase in delivery expense, but we're hoping to be able to offset those factors again through the license income.
</t>
        </r>
      </text>
    </comment>
    <comment ref="DF32" authorId="4">
      <text>
        <r>
          <rPr>
            <b/>
            <sz val="9"/>
            <color indexed="81"/>
            <rFont val="Tahoma"/>
            <family val="2"/>
          </rPr>
          <t>Baglione, Gregory  (Research):</t>
        </r>
        <r>
          <rPr>
            <sz val="9"/>
            <color indexed="81"/>
            <rFont val="Tahoma"/>
            <family val="2"/>
          </rPr>
          <t xml:space="preserve">
2/23/16
At the start of the quarter, you will remember that we
expected a lower than last year gross margin rate. However, our actual rate was worse than expected as a result of the weak holiday sales and our desire to start 2016 with the right inventory level.
11/11/15
The gross margin is expected to be will be low last year in the fourth quarter , due primarily to the higher than desired inventory position going into the quarter. For the fall season as a whole we are expecting a lower gross margin rate than last year. 
Previous GM 40.3%
Updated: 39.7
1/6/15
Previous GM 38.5%
Holiday update now implies EPS of $2.18-$2.23, vs. prior $2.54-$2.64. Leaving GM unchanged brings our EPS to $4.12.
Updating GM to 37.8% to reach $3.90
</t>
        </r>
      </text>
    </comment>
    <comment ref="DI32" authorId="4">
      <text>
        <r>
          <rPr>
            <b/>
            <sz val="9"/>
            <color indexed="81"/>
            <rFont val="Tahoma"/>
            <family val="2"/>
          </rPr>
          <t>Baglione, Gregory  (Research):</t>
        </r>
        <r>
          <rPr>
            <sz val="9"/>
            <color indexed="81"/>
            <rFont val="Tahoma"/>
            <family val="2"/>
          </rPr>
          <t xml:space="preserve">
</t>
        </r>
        <r>
          <rPr>
            <b/>
            <sz val="9"/>
            <color indexed="81"/>
            <rFont val="Tahoma"/>
            <family val="2"/>
          </rPr>
          <t>2/21/17 - 4Q EPS</t>
        </r>
        <r>
          <rPr>
            <sz val="9"/>
            <color indexed="81"/>
            <rFont val="Tahoma"/>
            <family val="2"/>
          </rPr>
          <t xml:space="preserve">
Gross margins in the quarter was up 90 basis points over last year. Merchandise margin was up slightly more than that, but we had higher delivery expense associated with our dotcom businesses.The gross margin in the apparel areas was strong, offset in part by lower-than-expected margin rates in other parts of the business.
1/4/17
Management would not comment on 4Q GM. We assume most of the EPS pressure stemmed from GM. We now model 38.2% 4Q GM vs. prior 39%
11/10/16
Expect GM to be up at least 100 bps over last year.
"And we are expecting at least a 100 basis point improvement in the gross margin rate this year in the fourth quarter. Given our inventory position and our Last Act strategy, we believe this to be achievable. Remember, last year, our gross margin rate dropped 290 basis points versus 2014, so we do have a lot of room to improve."
</t>
        </r>
      </text>
    </comment>
    <comment ref="DM32" authorId="5">
      <text>
        <r>
          <rPr>
            <b/>
            <sz val="9"/>
            <color indexed="81"/>
            <rFont val="Tahoma"/>
            <family val="2"/>
          </rPr>
          <t>De Courreges, Edouard (Research):</t>
        </r>
        <r>
          <rPr>
            <sz val="9"/>
            <color indexed="81"/>
            <rFont val="Tahoma"/>
            <family val="2"/>
          </rPr>
          <t xml:space="preserve">
Merch margin was up y/y offset by shipping expense deleverage from free shipping to gold and platinum loyalty members</t>
        </r>
      </text>
    </comment>
    <comment ref="DN32" authorId="11">
      <text>
        <r>
          <rPr>
            <b/>
            <sz val="9"/>
            <color indexed="81"/>
            <rFont val="Tahoma"/>
            <family val="2"/>
          </rPr>
          <t>Roberts, Cynthia (Research):</t>
        </r>
        <r>
          <rPr>
            <sz val="9"/>
            <color indexed="81"/>
            <rFont val="Tahoma"/>
            <family val="2"/>
          </rPr>
          <t xml:space="preserve">
1/14/18: Karen: "we did not buy the comp"
8/10/17: we expect the fourth quarter to be very promotional
2/21/17: "our gross margin rate is expected to decline for the year as a whole and in each quarter. The merchandise margin is actually assumed to be approximately flat, but because of the digital growth and increased free shipping, gross margin rate is assumed to decline"</t>
        </r>
      </text>
    </comment>
    <comment ref="CW33" authorId="1">
      <text>
        <r>
          <rPr>
            <b/>
            <sz val="8"/>
            <color indexed="81"/>
            <rFont val="Tahoma"/>
            <family val="2"/>
          </rPr>
          <t xml:space="preserve">2/26/2013 guidance: </t>
        </r>
        <r>
          <rPr>
            <sz val="8"/>
            <color indexed="81"/>
            <rFont val="Tahoma"/>
            <family val="2"/>
          </rPr>
          <t>flat to slightly down</t>
        </r>
        <r>
          <rPr>
            <b/>
            <sz val="8"/>
            <color indexed="81"/>
            <rFont val="Tahoma"/>
            <family val="2"/>
          </rPr>
          <t xml:space="preserve">
</t>
        </r>
      </text>
    </comment>
    <comment ref="CX33" authorId="1">
      <text>
        <r>
          <rPr>
            <b/>
            <sz val="8"/>
            <color indexed="81"/>
            <rFont val="Tahoma"/>
            <family val="2"/>
          </rPr>
          <t xml:space="preserve">2/26/2013 guidance: </t>
        </r>
        <r>
          <rPr>
            <sz val="8"/>
            <color indexed="81"/>
            <rFont val="Tahoma"/>
            <family val="2"/>
          </rPr>
          <t>flat to slightly down</t>
        </r>
        <r>
          <rPr>
            <b/>
            <sz val="8"/>
            <color indexed="81"/>
            <rFont val="Tahoma"/>
            <family val="2"/>
          </rPr>
          <t xml:space="preserve">
2/25/14: -</t>
        </r>
        <r>
          <rPr>
            <sz val="8"/>
            <color indexed="81"/>
            <rFont val="Tahoma"/>
            <family val="2"/>
          </rPr>
          <t>20 bps mostly due to shipping charges. Merch margin was flat</t>
        </r>
        <r>
          <rPr>
            <b/>
            <sz val="8"/>
            <color indexed="81"/>
            <rFont val="Tahoma"/>
            <family val="2"/>
          </rPr>
          <t xml:space="preserve">
</t>
        </r>
      </text>
    </comment>
    <comment ref="DB33" authorId="10">
      <text>
        <r>
          <rPr>
            <b/>
            <sz val="8"/>
            <color indexed="81"/>
            <rFont val="Tahoma"/>
            <family val="2"/>
          </rPr>
          <t xml:space="preserve">2/25/14: </t>
        </r>
        <r>
          <rPr>
            <sz val="8"/>
            <color indexed="81"/>
            <rFont val="Tahoma"/>
            <family val="2"/>
          </rPr>
          <t>guidance flat to down slightly</t>
        </r>
        <r>
          <rPr>
            <sz val="8"/>
            <color indexed="81"/>
            <rFont val="Tahoma"/>
            <family val="2"/>
          </rPr>
          <t xml:space="preserve">
</t>
        </r>
        <r>
          <rPr>
            <b/>
            <sz val="8"/>
            <color indexed="81"/>
            <rFont val="Tahoma"/>
            <family val="2"/>
          </rPr>
          <t>5/14/14</t>
        </r>
        <r>
          <rPr>
            <sz val="8"/>
            <color indexed="81"/>
            <rFont val="Tahoma"/>
            <family val="2"/>
          </rPr>
          <t>: Karen Koguet: don't expect FY margin expectations to change</t>
        </r>
      </text>
    </comment>
    <comment ref="DH33" authorId="4">
      <text>
        <r>
          <rPr>
            <b/>
            <sz val="9"/>
            <color indexed="81"/>
            <rFont val="Tahoma"/>
            <family val="2"/>
          </rPr>
          <t>Baglione, Gregory  (Research):</t>
        </r>
        <r>
          <rPr>
            <sz val="9"/>
            <color indexed="81"/>
            <rFont val="Tahoma"/>
            <family val="2"/>
          </rPr>
          <t xml:space="preserve">
5/11/16
We are now assuming that our gross margin rate for the full year will be approximately flat to last year. </t>
        </r>
      </text>
    </comment>
    <comment ref="DI33" authorId="4">
      <text/>
    </comment>
    <comment ref="DM33" authorId="11">
      <text>
        <r>
          <rPr>
            <b/>
            <sz val="9"/>
            <color indexed="81"/>
            <rFont val="Tahoma"/>
            <family val="2"/>
          </rPr>
          <t>Roberts, Cynthia (Research):</t>
        </r>
        <r>
          <rPr>
            <sz val="9"/>
            <color indexed="81"/>
            <rFont val="Tahoma"/>
            <family val="2"/>
          </rPr>
          <t xml:space="preserve">
2/21/17
"our gross margin rate is expected to decline for the year as a whole and in each quarter. The merchandise margin is actually
assumed to be approximately flat, but because of the digital growth and increased free shipping, gross margin rate is assumed to decline"</t>
        </r>
      </text>
    </comment>
    <comment ref="DN33" authorId="6">
      <text>
        <r>
          <rPr>
            <b/>
            <sz val="9"/>
            <color indexed="81"/>
            <rFont val="Tahoma"/>
            <family val="2"/>
          </rPr>
          <t>Cassel, Lauren /(Research):</t>
        </r>
        <r>
          <rPr>
            <sz val="9"/>
            <color indexed="81"/>
            <rFont val="Tahoma"/>
            <family val="2"/>
          </rPr>
          <t>/:
8/10/17: gross margin rate is now expected to be between down 50 to down 70 basis points relative to last year 
6/6/17: Analyst Day: -60 to -80 bps</t>
        </r>
      </text>
    </comment>
    <comment ref="DQ33" authorId="5">
      <text>
        <r>
          <rPr>
            <b/>
            <sz val="9"/>
            <color indexed="81"/>
            <rFont val="Tahoma"/>
            <family val="2"/>
          </rPr>
          <t>De Courreges, Edouard (Research):</t>
        </r>
        <r>
          <rPr>
            <sz val="9"/>
            <color indexed="81"/>
            <rFont val="Tahoma"/>
            <family val="2"/>
          </rPr>
          <t xml:space="preserve">
2/27: GM will be flat to up slightly</t>
        </r>
      </text>
    </comment>
    <comment ref="CT35" authorId="1">
      <text>
        <r>
          <rPr>
            <b/>
            <sz val="8"/>
            <color indexed="81"/>
            <rFont val="Tahoma"/>
            <family val="2"/>
          </rPr>
          <t xml:space="preserve">11/7/2012 Guidance: </t>
        </r>
        <r>
          <rPr>
            <sz val="8"/>
            <color indexed="81"/>
            <rFont val="Tahoma"/>
            <family val="2"/>
          </rPr>
          <t>2H flat to slightly down vs. LY due to ecomm growth</t>
        </r>
        <r>
          <rPr>
            <b/>
            <i/>
            <sz val="8"/>
            <color indexed="12"/>
            <rFont val="Tahoma"/>
            <family val="2"/>
          </rPr>
          <t xml:space="preserve">
</t>
        </r>
        <r>
          <rPr>
            <sz val="10"/>
            <rFont val="Arial"/>
            <family val="2"/>
          </rPr>
          <t>8/8/2012 Guidance</t>
        </r>
        <r>
          <rPr>
            <b/>
            <sz val="8"/>
            <color indexed="12"/>
            <rFont val="Tahoma"/>
            <family val="2"/>
          </rPr>
          <t xml:space="preserve">
</t>
        </r>
        <r>
          <rPr>
            <sz val="8"/>
            <color indexed="12"/>
            <rFont val="Tahoma"/>
            <family val="2"/>
          </rPr>
          <t>1) Flattish gross mgn vs. LY (potentially down slightly b/c of omni-channel growth)</t>
        </r>
        <r>
          <rPr>
            <b/>
            <i/>
            <sz val="8"/>
            <color indexed="12"/>
            <rFont val="Tahoma"/>
            <family val="2"/>
          </rPr>
          <t xml:space="preserve">
</t>
        </r>
        <r>
          <rPr>
            <b/>
            <sz val="8"/>
            <color indexed="81"/>
            <rFont val="Tahoma"/>
            <family val="2"/>
          </rPr>
          <t>5/9/2012 Guidance</t>
        </r>
        <r>
          <rPr>
            <sz val="8"/>
            <color indexed="81"/>
            <rFont val="Tahoma"/>
            <family val="2"/>
          </rPr>
          <t xml:space="preserve">
1) Expect some product cost relief in 2H12 but like LY not really until later in 3Q will it even begin to impact GM's</t>
        </r>
        <r>
          <rPr>
            <b/>
            <i/>
            <sz val="8"/>
            <color indexed="12"/>
            <rFont val="Tahoma"/>
            <family val="2"/>
          </rPr>
          <t xml:space="preserve">
</t>
        </r>
        <r>
          <rPr>
            <b/>
            <sz val="8"/>
            <color indexed="81"/>
            <rFont val="Tahoma"/>
            <family val="2"/>
          </rPr>
          <t xml:space="preserve">
1/5/12 and 1/9/12 Commentary
</t>
        </r>
        <r>
          <rPr>
            <sz val="8"/>
            <color indexed="81"/>
            <rFont val="Tahoma"/>
            <family val="2"/>
          </rPr>
          <t xml:space="preserve">Impact from 53rd week from 4Q:
- No impact to gross margins + SG&amp;A benefit (there ~10-20% of flex on SG&amp;A - so if SG&amp;A ratio is 26%, the SG&amp;A ratio on extra week is 26%-~15%=~11%)
- Should have good flow through of extra week of sales in 4Q12
- Salaried employees do not get more but hourly do
- Attractive EBIT on extra week of sales
</t>
        </r>
      </text>
    </comment>
    <comment ref="CS39" authorId="1">
      <text>
        <r>
          <rPr>
            <b/>
            <sz val="8"/>
            <color indexed="81"/>
            <rFont val="Tahoma"/>
            <family val="2"/>
          </rPr>
          <t xml:space="preserve">5/9/2012 Comment
</t>
        </r>
        <r>
          <rPr>
            <sz val="8"/>
            <color indexed="81"/>
            <rFont val="Tahoma"/>
            <family val="2"/>
          </rPr>
          <t xml:space="preserve">1) credit was the biggest factor in SG&amp;A improvement </t>
        </r>
        <r>
          <rPr>
            <b/>
            <sz val="8"/>
            <color indexed="81"/>
            <rFont val="Tahoma"/>
            <family val="2"/>
          </rPr>
          <t>($43M benefit y/y)</t>
        </r>
        <r>
          <rPr>
            <sz val="8"/>
            <color indexed="81"/>
            <rFont val="Tahoma"/>
            <family val="2"/>
          </rPr>
          <t xml:space="preserve">
2) $12M benefit from lower D&amp;A expense
3) Offsetting some of favorability was: higher expenses related to investment in online and general business, higher selling exp due to higher sales, $16M of higher pension exp, and year-rounding on $12M gain on sales of share of the Knot</t>
        </r>
        <r>
          <rPr>
            <b/>
            <sz val="8"/>
            <color indexed="81"/>
            <rFont val="Tahoma"/>
            <family val="2"/>
          </rPr>
          <t xml:space="preserve">
Per 2/21/12 Guidance:
</t>
        </r>
        <r>
          <rPr>
            <sz val="8"/>
            <color indexed="81"/>
            <rFont val="Tahoma"/>
            <family val="2"/>
          </rPr>
          <t>-  expect strong credit performance in 2012 w/ earnings more evenly distributed throughout the year</t>
        </r>
      </text>
    </comment>
    <comment ref="CW39" authorId="1">
      <text>
        <r>
          <rPr>
            <b/>
            <sz val="8"/>
            <color indexed="81"/>
            <rFont val="Tahoma"/>
            <family val="2"/>
          </rPr>
          <t xml:space="preserve">5/15/2013: </t>
        </r>
        <r>
          <rPr>
            <sz val="8"/>
            <color indexed="81"/>
            <rFont val="Tahoma"/>
            <family val="2"/>
          </rPr>
          <t>SG&amp;A had a $23M benefit y/y (more than expected)</t>
        </r>
        <r>
          <rPr>
            <b/>
            <sz val="8"/>
            <color indexed="81"/>
            <rFont val="Tahoma"/>
            <family val="2"/>
          </rPr>
          <t xml:space="preserve">
Note: </t>
        </r>
        <r>
          <rPr>
            <sz val="8"/>
            <color indexed="81"/>
            <rFont val="Tahoma"/>
            <family val="2"/>
          </rPr>
          <t>KH noted D&amp;A could start increasing y/y in FY13</t>
        </r>
      </text>
    </comment>
    <comment ref="DD39" authorId="14">
      <text>
        <r>
          <rPr>
            <b/>
            <sz val="9"/>
            <color indexed="81"/>
            <rFont val="Tahoma"/>
            <family val="2"/>
          </rPr>
          <t>Baglione, Gregory (Research):</t>
        </r>
        <r>
          <rPr>
            <sz val="9"/>
            <color indexed="81"/>
            <rFont val="Tahoma"/>
            <family val="2"/>
          </rPr>
          <t xml:space="preserve">
5/13/15
SG&amp;A in the quarter was $2.023 billion, up 1.2% over last year. It actually isn't a big increase in dollars, but because of the lower sales, as a percent
of sales, expense was up 60 basis points over last year in the quarter.
In spite of the expense benefits from the restructuring that we did at year-end, we were not able to flex expense down sufficiently in light of the
sales shortfall. This is largely due to the fact that the first quarter is a low-volume quarter and therefore making it a tough quarter to reduce expense.</t>
        </r>
      </text>
    </comment>
    <comment ref="DH39" authorId="4">
      <text>
        <r>
          <rPr>
            <b/>
            <sz val="9"/>
            <color indexed="81"/>
            <rFont val="Tahoma"/>
            <family val="2"/>
          </rPr>
          <t>Baglione, Gregory  (Research):</t>
        </r>
        <r>
          <rPr>
            <sz val="9"/>
            <color indexed="81"/>
            <rFont val="Tahoma"/>
            <family val="2"/>
          </rPr>
          <t xml:space="preserve">
5/11/16
For the 13 weeks ended April 30, 2016, includes $13 million on a pre-tax basis, or $9 million after tax or $.03 per diluted share attributable to Macy’s, Inc., of non-cash settlement charges relating to the Company’s defined benefit retirement plans. These charges result from an increase in lump sum distributions associated with store closings, a voluntary separation program and organizational restructuring, in addition to periodic distribution activity.</t>
        </r>
      </text>
    </comment>
    <comment ref="DJ39" authorId="4">
      <text>
        <r>
          <rPr>
            <b/>
            <sz val="9"/>
            <color indexed="81"/>
            <rFont val="Tahoma"/>
            <family val="2"/>
          </rPr>
          <t>Baglione, Gregory  (Research):</t>
        </r>
        <r>
          <rPr>
            <sz val="9"/>
            <color indexed="81"/>
            <rFont val="Tahoma"/>
            <family val="2"/>
          </rPr>
          <t xml:space="preserve">
5/11/16
-SG&amp;A in the first quarter, excluding the retirement plan-related settlement charges, was $1.966 billion, down $57 million, or 2.8%, below last year. In the quarter, we benefited from the restructuring completed at year-end, the expense flex on the lower sales, and lower retirement expense, offset in part by omnichannel-related expense as well as the expense additions associated with Bluemercury, Backstage, and China.
-Credit income was $182 million in the quarter, $3 million above last year. While our proprietary credit card penetration of 45.9% was 100 basis
points above last year, credit sales were below last year due to the overall sales trend. We still expect credit income to be slightly below last year
on an annual basis, primarily as a result of the sales decline.
-Asset sale gains in the quarter were $14 million, $4 million associated with Brooklyn and $10 million for other asset sales. This compares to $20
million in the first quarter last year.
2/23/16
$2.23B LY
- (1/8) $86M Brooklyn
-$150M (other asset gains)
2/23/16
See quartrly grid 
LY's SG&amp;A:
+20M gain add back
-11 M gain Bklyn
-15M Gain "Other"
-75M Savings
+71M increase from wages/investments
+4% core
2/3/16
Adjusting SG&amp;A rate to -2.2% from -1.2%, reflecting $20M asset gain (evenly distributed) from the timing of the Brooklyn Transaction.
1/7/16
</t>
        </r>
        <r>
          <rPr>
            <b/>
            <sz val="9"/>
            <color indexed="81"/>
            <rFont val="Tahoma"/>
            <family val="2"/>
          </rPr>
          <t>Cost efficency breakout:</t>
        </r>
        <r>
          <rPr>
            <sz val="9"/>
            <color indexed="81"/>
            <rFont val="Tahoma"/>
            <family val="2"/>
          </rPr>
          <t xml:space="preserve">
We expect the company to reduce SG&amp;A by $333M next year. 
2/3* $83M is expected to come in 1Q (~$55M)
~$90M in 2Q-4Q
We also model 2% annual SG&amp;A inflation, or ~$40M/quarter
</t>
        </r>
      </text>
    </comment>
    <comment ref="DL39" authorId="14">
      <text>
        <r>
          <rPr>
            <b/>
            <sz val="9"/>
            <color indexed="81"/>
            <rFont val="Tahoma"/>
            <family val="2"/>
          </rPr>
          <t>Baglione, Gregory (Research):</t>
        </r>
        <r>
          <rPr>
            <sz val="9"/>
            <color indexed="81"/>
            <rFont val="Tahoma"/>
            <family val="2"/>
          </rPr>
          <t xml:space="preserve">
5/11/17: We
</t>
        </r>
        <r>
          <rPr>
            <b/>
            <sz val="9"/>
            <color indexed="81"/>
            <rFont val="Tahoma"/>
            <family val="2"/>
          </rPr>
          <t xml:space="preserve">benefited in the quarter from $54 million more in asset sale gains </t>
        </r>
        <r>
          <rPr>
            <sz val="9"/>
            <color indexed="81"/>
            <rFont val="Tahoma"/>
            <family val="2"/>
          </rPr>
          <t xml:space="preserve">compared to last year, </t>
        </r>
        <r>
          <rPr>
            <b/>
            <sz val="9"/>
            <color indexed="81"/>
            <rFont val="Tahoma"/>
            <family val="2"/>
          </rPr>
          <t>reduced expense from closed stor</t>
        </r>
        <r>
          <rPr>
            <sz val="9"/>
            <color indexed="81"/>
            <rFont val="Tahoma"/>
            <family val="2"/>
          </rPr>
          <t>es and the i</t>
        </r>
        <r>
          <rPr>
            <b/>
            <sz val="9"/>
            <color indexed="81"/>
            <rFont val="Tahoma"/>
            <family val="2"/>
          </rPr>
          <t>mpact of our restructuring</t>
        </r>
        <r>
          <rPr>
            <sz val="9"/>
            <color indexed="81"/>
            <rFont val="Tahoma"/>
            <family val="2"/>
          </rPr>
          <t xml:space="preserve">. We offset some of the reduced expense with our </t>
        </r>
        <r>
          <rPr>
            <b/>
            <sz val="9"/>
            <color indexed="81"/>
            <rFont val="Tahoma"/>
            <family val="2"/>
          </rPr>
          <t>investment in growing our digital and mobile business and expanding Bluemercury</t>
        </r>
        <r>
          <rPr>
            <sz val="9"/>
            <color indexed="81"/>
            <rFont val="Tahoma"/>
            <family val="2"/>
          </rPr>
          <t xml:space="preserve">
1/19/17
See SG&amp;A Detal Tab</t>
        </r>
      </text>
    </comment>
    <comment ref="DN39" authorId="11">
      <text>
        <r>
          <rPr>
            <b/>
            <sz val="9"/>
            <color indexed="81"/>
            <rFont val="Tahoma"/>
            <family val="2"/>
          </rPr>
          <t>Roberts, Cynthia (Research):</t>
        </r>
        <r>
          <rPr>
            <sz val="9"/>
            <color indexed="81"/>
            <rFont val="Tahoma"/>
            <family val="2"/>
          </rPr>
          <t xml:space="preserve">
2/21/17 -4Q EPS
"we are assuming the SG&amp;A savings of $550 million, offset by the growth spending of approximately $250 million. So the net reduction versus 2016 of approximately $300 million is embedded in our guidance. Should sales be at the lower end of our range, we would, however, expect SG&amp;A dollars
to be lower as well"
</t>
        </r>
      </text>
    </comment>
    <comment ref="CO40" authorId="1">
      <text>
        <r>
          <rPr>
            <b/>
            <sz val="8"/>
            <color indexed="81"/>
            <rFont val="Tahoma"/>
            <family val="2"/>
          </rPr>
          <t>Comment 11/9/11:</t>
        </r>
        <r>
          <rPr>
            <sz val="8"/>
            <color indexed="81"/>
            <rFont val="Tahoma"/>
            <family val="2"/>
          </rPr>
          <t xml:space="preserve">
Benefit from credit = $57MM</t>
        </r>
      </text>
    </comment>
    <comment ref="CP40" authorId="1">
      <text>
        <r>
          <rPr>
            <b/>
            <sz val="8"/>
            <color indexed="81"/>
            <rFont val="Tahoma"/>
            <family val="2"/>
          </rPr>
          <t>Comment 11/9/11:</t>
        </r>
        <r>
          <rPr>
            <sz val="8"/>
            <color indexed="81"/>
            <rFont val="Tahoma"/>
            <family val="2"/>
          </rPr>
          <t xml:space="preserve">
Benefit from credit = $57MM</t>
        </r>
      </text>
    </comment>
    <comment ref="CS40" authorId="1">
      <text>
        <r>
          <rPr>
            <b/>
            <sz val="8"/>
            <color indexed="81"/>
            <rFont val="Tahoma"/>
            <family val="2"/>
          </rPr>
          <t xml:space="preserve">Per 5/9/2012 Guidance: 
</t>
        </r>
        <r>
          <rPr>
            <sz val="8"/>
            <color indexed="81"/>
            <rFont val="Tahoma"/>
            <family val="2"/>
          </rPr>
          <t xml:space="preserve">1) 2Q SG&amp;A dollar growth &gt; 1Q (of +1.1%) w/ credit profitability only up slightly vs. 2Q11
</t>
        </r>
        <r>
          <rPr>
            <b/>
            <sz val="8"/>
            <color indexed="81"/>
            <rFont val="Tahoma"/>
            <family val="2"/>
          </rPr>
          <t xml:space="preserve">
Per 2/21/12 Guidance:
</t>
        </r>
        <r>
          <rPr>
            <sz val="8"/>
            <color indexed="81"/>
            <rFont val="Tahoma"/>
            <family val="2"/>
          </rPr>
          <t>-  expect strong credit performance in 2012 w/ earnings more evenly distributed throughout the year</t>
        </r>
      </text>
    </comment>
    <comment ref="CW40" authorId="1">
      <text>
        <r>
          <rPr>
            <b/>
            <sz val="8"/>
            <color indexed="81"/>
            <rFont val="Tahoma"/>
            <family val="2"/>
          </rPr>
          <t xml:space="preserve">5/15/2013 guidance: </t>
        </r>
        <r>
          <rPr>
            <sz val="8"/>
            <color indexed="81"/>
            <rFont val="Tahoma"/>
            <family val="2"/>
          </rPr>
          <t xml:space="preserve">Expect 2Q credit expense up similar amount as 1Q &amp; up but by "a whole lot less" in 2H </t>
        </r>
        <r>
          <rPr>
            <b/>
            <i/>
            <sz val="8"/>
            <color indexed="81"/>
            <rFont val="Tahoma"/>
            <family val="2"/>
          </rPr>
          <t>(note: subtracted ~30 bps to account for $19M higher credit income than previously modeled)</t>
        </r>
        <r>
          <rPr>
            <b/>
            <sz val="8"/>
            <color indexed="81"/>
            <rFont val="Tahoma"/>
            <family val="2"/>
          </rPr>
          <t xml:space="preserve">
Note: </t>
        </r>
        <r>
          <rPr>
            <sz val="8"/>
            <color indexed="81"/>
            <rFont val="Tahoma"/>
            <family val="2"/>
          </rPr>
          <t>KH noted D&amp;A could start increasing y/y in 
FY13</t>
        </r>
      </text>
    </comment>
    <comment ref="CZ40" authorId="2">
      <text>
        <r>
          <rPr>
            <sz val="9"/>
            <color indexed="81"/>
            <rFont val="Tahoma"/>
            <family val="2"/>
          </rPr>
          <t xml:space="preserve">$40M saving from retirement and 
credit income $6M better
</t>
        </r>
      </text>
    </comment>
    <comment ref="DD40" authorId="14">
      <text>
        <r>
          <rPr>
            <b/>
            <sz val="9"/>
            <color indexed="81"/>
            <rFont val="Tahoma"/>
            <family val="2"/>
          </rPr>
          <t>Baglione, Gregory (Research):</t>
        </r>
        <r>
          <rPr>
            <sz val="9"/>
            <color indexed="81"/>
            <rFont val="Tahoma"/>
            <family val="2"/>
          </rPr>
          <t xml:space="preserve">
8/12/15
SG&amp;A in the quarter was $2.058 billion, up 1.7% over last year, which is similar to the increase in the first quarter, and as a percent of sales it was
33.8%, 150 basis points above last year. The biggest increases in expense versus last year related to our gross investments, our omnichannel
strategies, a full quarter of Bluemercury expense, and the start-up expense associated with the Backstage pilot. In addition, we were negatively
impacted in the quarter by higher medical benefit expense.</t>
        </r>
      </text>
    </comment>
    <comment ref="DH40" authorId="4">
      <text>
        <r>
          <rPr>
            <b/>
            <sz val="9"/>
            <color indexed="81"/>
            <rFont val="Tahoma"/>
            <family val="2"/>
          </rPr>
          <t>Baglione, Gregory  (Research):</t>
        </r>
        <r>
          <rPr>
            <sz val="9"/>
            <color indexed="81"/>
            <rFont val="Tahoma"/>
            <family val="2"/>
          </rPr>
          <t xml:space="preserve">
3)   For the 13 weeks ended July 30, 2016, includes $249 million on a pre-tax basis, or $154 million after tax or $.49 per diluted share attributable to Macy’s, Inc., primarily for asset impairment charges. These charges relate primarily to anticipated store closings.
(4)   For the 13 weeks ended July 30, 2016, includes $6 million on a pre-tax basis, or $3 million after tax or $.02 per diluted share attributable to Macy’s, Inc., of non-cash settlement charges relating to the Company’s defined benefit retirement plans. These charges result from an increase in lump sum distributions associated with store closings, a voluntary separation program and organizational restructuring, in addition to periodic distribution activity.</t>
        </r>
      </text>
    </comment>
    <comment ref="DJ40" authorId="4">
      <text>
        <r>
          <rPr>
            <b/>
            <sz val="9"/>
            <color indexed="81"/>
            <rFont val="Tahoma"/>
            <family val="2"/>
          </rPr>
          <t>Baglione, Gregory  (Research):</t>
        </r>
        <r>
          <rPr>
            <sz val="9"/>
            <color indexed="81"/>
            <rFont val="Tahoma"/>
            <family val="2"/>
          </rPr>
          <t xml:space="preserve">
8/11/16
SG&amp;A in the quarter was $2.026 billion, or 34.5% of sales. This is $32 million, or 1.6%, below last year in the quarter, due primarily to $21 million in asset sale gains in the quarter versus none during the second quarter last year. The portion of the Brooklyn gain that was booked in the quarter was $11 million and gains on other asset sales were $10 million. We also benefited in the quarter from the restructuring that we completed at year-end 2015, lower store expense due to last year's closings, and lower retirement expense. Offsetting these positive factors were an increase in expense to support our digital growth and a reduction in credit income. Credit income in the quarter was $181 million, $14 million below last year, due primarily to lower credit sales. The penetration of our proprietary credit cards was approximately 47% in the second quarter, down about 80 basis points from last year, but up over 100 basis points from 2014.
5/11/16
Lower to-4% from -1.5% given lower sales outlook
2/23/16
See quartrly grid 
LY's SG&amp;A:
-$11M gain Bklyn
-$20M Gain (Other)
-$150M Savings
+$113M (4-5% core growth)
Down 1.5% y/y
2/3/16
Adjusting SG&amp;A rate to -3.4% from -2.4%, reflecting $20M asset gain (evenly distributed) from the timing of the Brooklyn Transaction.
1/7/16
We expect the company to reduce SG&amp;A by $333M next year. 
</t>
        </r>
        <r>
          <rPr>
            <b/>
            <sz val="9"/>
            <color indexed="81"/>
            <rFont val="Tahoma"/>
            <family val="2"/>
          </rPr>
          <t>Cost efficency breakout:</t>
        </r>
        <r>
          <rPr>
            <sz val="9"/>
            <color indexed="81"/>
            <rFont val="Tahoma"/>
            <family val="2"/>
          </rPr>
          <t xml:space="preserve">
2/3* $83M is expected to come in 1Q (~$55M)
~$90M in 2Q-4Q
We also model 2% annual SG&amp;A inflation, or ~$40M/quarter
</t>
        </r>
        <r>
          <rPr>
            <b/>
            <sz val="9"/>
            <color indexed="81"/>
            <rFont val="Tahoma"/>
            <family val="2"/>
          </rPr>
          <t xml:space="preserve">
</t>
        </r>
      </text>
    </comment>
    <comment ref="DL40" authorId="14">
      <text>
        <r>
          <rPr>
            <b/>
            <sz val="9"/>
            <color indexed="81"/>
            <rFont val="Tahoma"/>
            <family val="2"/>
          </rPr>
          <t>Baglione, Gregory (Research):</t>
        </r>
        <r>
          <rPr>
            <sz val="9"/>
            <color indexed="81"/>
            <rFont val="Tahoma"/>
            <family val="2"/>
          </rPr>
          <t xml:space="preserve">
8/10/17: For the first half of the year, SG&amp;A, excluding real estate asset sale gains, was $170 million below last year, which is consistent with the net $300
million annual reduction commitment we made earlier this year. As a reminder, it was a $550 million SG&amp;A reduction, which we expected to offset
with $250 million of reinvestments into the business
1/19/17
See SG&amp;A Detal Tab</t>
        </r>
      </text>
    </comment>
    <comment ref="DN40" authorId="11">
      <text>
        <r>
          <rPr>
            <b/>
            <sz val="9"/>
            <color indexed="81"/>
            <rFont val="Tahoma"/>
            <family val="2"/>
          </rPr>
          <t>Roberts, Cynthia (Research):</t>
        </r>
        <r>
          <rPr>
            <sz val="9"/>
            <color indexed="81"/>
            <rFont val="Tahoma"/>
            <family val="2"/>
          </rPr>
          <t xml:space="preserve">
8/10/17: reduction is due to closed stores and the restructuring completed at the start of the year, partially offset from some timing shifts from the first quarter and our investments in digital growth.
2/21/17 -4Q EPS
"we are assuming the SG&amp;A savings of $550 million, offset by the growth spending of approximately $250 million. So the net reduction versus 2016 of approximately $300 million is embedded in our guidance. Should sales be at the lower end of our range, we would, however, expect SG&amp;A dollars
to be lower as well"
</t>
        </r>
      </text>
    </comment>
    <comment ref="CO41" authorId="1">
      <text>
        <r>
          <rPr>
            <b/>
            <sz val="8"/>
            <color indexed="81"/>
            <rFont val="Tahoma"/>
            <family val="2"/>
          </rPr>
          <t xml:space="preserve">3Q11 10Q Commentary
</t>
        </r>
        <r>
          <rPr>
            <sz val="8"/>
            <color indexed="81"/>
            <rFont val="Tahoma"/>
            <family val="2"/>
          </rPr>
          <t>1) SG&amp;A also benefit from lower D&amp;A (in addition to items below)
2) Other offsets (besides those below) included increased selling costs &amp; investments in Omni-channel strategy</t>
        </r>
        <r>
          <rPr>
            <b/>
            <sz val="8"/>
            <color indexed="81"/>
            <rFont val="Tahoma"/>
            <family val="2"/>
          </rPr>
          <t xml:space="preserve">
11/9/11 release / commentary: 
</t>
        </r>
        <r>
          <rPr>
            <sz val="8"/>
            <color indexed="81"/>
            <rFont val="Tahoma"/>
            <family val="2"/>
          </rPr>
          <t>1) Benefitted from strong credit performance: $108MM benefit ($185MM 3Q11 vs. $77MM LY 10Q)
- Credit benefit was related to a "true-up" of the past 3 quarters; the true-up occurs every year in 3Q
- Saw portfolio improve faster than expected
- Higher profitability in credit vs. 2007
- Penetration 48.8%, -50bps due to strength in tourist biz and fewer approvals y/y due to higher credit standards
2) $15MM shift of marketing expense from 3Q11 to 4Q11
3) Ex credit benefit &amp; marketing shift, SG&amp;A was in-line with plan</t>
        </r>
      </text>
    </comment>
    <comment ref="CP41" authorId="1">
      <text>
        <r>
          <rPr>
            <b/>
            <sz val="8"/>
            <color indexed="81"/>
            <rFont val="Tahoma"/>
            <family val="2"/>
          </rPr>
          <t xml:space="preserve">3Q11 10Q Commentary
</t>
        </r>
        <r>
          <rPr>
            <sz val="8"/>
            <color indexed="81"/>
            <rFont val="Tahoma"/>
            <family val="2"/>
          </rPr>
          <t>1) SG&amp;A also benefit from lower D&amp;A (in addition to items below)
2) Other offsets (besides those below) included increased selling costs &amp; investments in Omni-channel strategy</t>
        </r>
        <r>
          <rPr>
            <b/>
            <sz val="8"/>
            <color indexed="81"/>
            <rFont val="Tahoma"/>
            <family val="2"/>
          </rPr>
          <t xml:space="preserve">
11/9/11 release / commentary: 
</t>
        </r>
        <r>
          <rPr>
            <sz val="8"/>
            <color indexed="81"/>
            <rFont val="Tahoma"/>
            <family val="2"/>
          </rPr>
          <t>1) Benefitted from strong credit performance: $108MM benefit ($185MM 3Q11 vs. $77MM LY 10Q)
- Credit benefit was related to a "true-up" of the past 3 quarters; the true-up occurs every year in 3Q
- Saw portfolio improve faster than expected
- Higher profitability in credit vs. 2007
- Penetration 48.8%, -50bps due to strength in tourist biz and fewer approvals y/y due to higher credit standards
2) $15MM shift of marketing expense from 3Q11 to 4Q11
3) Ex credit benefit &amp; marketing shift, SG&amp;A was in-line with plan</t>
        </r>
      </text>
    </comment>
    <comment ref="CS41" authorId="1">
      <text>
        <r>
          <rPr>
            <b/>
            <sz val="8"/>
            <color indexed="81"/>
            <rFont val="Tahoma"/>
            <family val="2"/>
          </rPr>
          <t xml:space="preserve">11/7/2012: </t>
        </r>
        <r>
          <rPr>
            <sz val="8"/>
            <color indexed="81"/>
            <rFont val="Tahoma"/>
            <family val="2"/>
          </rPr>
          <t>D&amp;A -$13M y/y; credit -$23M y/y; retirement exp +$17M y/y; cont'd investment in omni increase SG&amp;A $'s</t>
        </r>
        <r>
          <rPr>
            <b/>
            <sz val="8"/>
            <color indexed="81"/>
            <rFont val="Tahoma"/>
            <family val="2"/>
          </rPr>
          <t xml:space="preserve">
8/8/2012 Guidance
</t>
        </r>
        <r>
          <rPr>
            <sz val="8"/>
            <color indexed="81"/>
            <rFont val="Tahoma"/>
            <family val="2"/>
          </rPr>
          <t>1) SG&amp;A as a % of sales to decline in the fall; but in $ the % increase is expected to be higher than it was in the Spring
2) -$35/-40M impact from credit in 3Q</t>
        </r>
        <r>
          <rPr>
            <b/>
            <sz val="8"/>
            <color indexed="81"/>
            <rFont val="Tahoma"/>
            <family val="2"/>
          </rPr>
          <t xml:space="preserve">
Per 5/9/2012 Guidance:
</t>
        </r>
        <r>
          <rPr>
            <sz val="8"/>
            <color indexed="81"/>
            <rFont val="Tahoma"/>
            <family val="2"/>
          </rPr>
          <t>1) expect credit profitability $40-45M lower vs. LY</t>
        </r>
        <r>
          <rPr>
            <b/>
            <sz val="8"/>
            <color indexed="81"/>
            <rFont val="Tahoma"/>
            <family val="2"/>
          </rPr>
          <t xml:space="preserve">
Per 2/21/12 Guidance:
</t>
        </r>
        <r>
          <rPr>
            <sz val="8"/>
            <color indexed="81"/>
            <rFont val="Tahoma"/>
            <family val="2"/>
          </rPr>
          <t xml:space="preserve">-  expect strong credit performance in 2012 w/ earnings more evenly distributed throughout the year
</t>
        </r>
        <r>
          <rPr>
            <b/>
            <sz val="8"/>
            <color indexed="81"/>
            <rFont val="Tahoma"/>
            <family val="2"/>
          </rPr>
          <t xml:space="preserve">
Commentary 11/9/11:
</t>
        </r>
        <r>
          <rPr>
            <sz val="8"/>
            <color indexed="81"/>
            <rFont val="Tahoma"/>
            <family val="2"/>
          </rPr>
          <t>Note: true up in credit occurs in 3Q every year</t>
        </r>
        <r>
          <rPr>
            <sz val="8"/>
            <color indexed="81"/>
            <rFont val="Tahoma"/>
            <family val="2"/>
          </rPr>
          <t xml:space="preserve">
1) Some benefit from credit in 2012, but less than 2011
2) M should be able to leverage SG&amp;A expense on a +3% comp, including credit, but modestly</t>
        </r>
      </text>
    </comment>
    <comment ref="CW41" authorId="1">
      <text>
        <r>
          <rPr>
            <b/>
            <sz val="8"/>
            <color indexed="81"/>
            <rFont val="Tahoma"/>
            <family val="2"/>
          </rPr>
          <t xml:space="preserve">5/15/2013 guidance: </t>
        </r>
        <r>
          <rPr>
            <sz val="8"/>
            <color indexed="81"/>
            <rFont val="Tahoma"/>
            <family val="2"/>
          </rPr>
          <t>Expect 2Q credit expense up similar amount as 1Q &amp; up but by "a whole lot less" in 2H</t>
        </r>
        <r>
          <rPr>
            <b/>
            <sz val="8"/>
            <color indexed="81"/>
            <rFont val="Tahoma"/>
            <family val="2"/>
          </rPr>
          <t xml:space="preserve">
Note: </t>
        </r>
        <r>
          <rPr>
            <sz val="8"/>
            <color indexed="81"/>
            <rFont val="Tahoma"/>
            <family val="2"/>
          </rPr>
          <t xml:space="preserve">KH noted D&amp;A could start increasing y/y in FY13
</t>
        </r>
        <r>
          <rPr>
            <b/>
            <sz val="8"/>
            <color indexed="81"/>
            <rFont val="Tahoma"/>
            <family val="2"/>
          </rPr>
          <t>11/13/2013:</t>
        </r>
        <r>
          <rPr>
            <sz val="8"/>
            <color indexed="81"/>
            <rFont val="Tahoma"/>
            <family val="2"/>
          </rPr>
          <t xml:space="preserve"> depreciation and amortization was $12 million below last year, and our credit profitability increased $8 million over last year. As expected, the benefit from credit was much less relative to a year ago than that experienced during the first half of the year</t>
        </r>
      </text>
    </comment>
    <comment ref="CX41" authorId="10">
      <text>
        <r>
          <rPr>
            <sz val="8"/>
            <color indexed="81"/>
            <rFont val="Tahoma"/>
            <family val="2"/>
          </rPr>
          <t xml:space="preserve">expense dollars grew 1% in spite of continued omnichannel investment and the added marketing expense; </t>
        </r>
        <r>
          <rPr>
            <sz val="8"/>
            <color indexed="81"/>
            <rFont val="Tahoma"/>
            <family val="2"/>
          </rPr>
          <t xml:space="preserve">
</t>
        </r>
      </text>
    </comment>
    <comment ref="CZ41" authorId="2">
      <text>
        <r>
          <rPr>
            <b/>
            <sz val="9"/>
            <color indexed="81"/>
            <rFont val="Tahoma"/>
            <family val="2"/>
          </rPr>
          <t xml:space="preserve">11/12/14: </t>
        </r>
        <r>
          <rPr>
            <sz val="9"/>
            <color indexed="81"/>
            <rFont val="Tahoma"/>
            <family val="2"/>
          </rPr>
          <t xml:space="preserve">We also continue to benefit from the approximately $100 million in annual reduction initiatives that we implemented at year end 2013 as well as lower retirement income and strong credit performance. Included in the third quarter were net gains on asset sales of approximately $48 million. These gains were mostly expected this year but not until the fourth quarter, and remember that last year we had $58 million of gains on asset sales in the fourth quarter. In addition as previously mentioned, we shifted marketing expense to the fourth quarter (approximately $10M)
</t>
        </r>
      </text>
    </comment>
    <comment ref="DD41" authorId="4">
      <text>
        <r>
          <rPr>
            <b/>
            <sz val="9"/>
            <color indexed="81"/>
            <rFont val="Tahoma"/>
            <family val="2"/>
          </rPr>
          <t>Baglione, Gregory  (Research):</t>
        </r>
        <r>
          <rPr>
            <sz val="9"/>
            <color indexed="81"/>
            <rFont val="Tahoma"/>
            <family val="2"/>
          </rPr>
          <t xml:space="preserve">
11/11/15
SG&amp;A in the quarter was $1.968 billion, down $39 million or 1.9% versus last year. During the third quarter </t>
        </r>
        <r>
          <rPr>
            <b/>
            <sz val="9"/>
            <color indexed="81"/>
            <rFont val="Tahoma"/>
            <family val="2"/>
          </rPr>
          <t>we booked a $57 million gain on the
sale of the upper floors of our Seattle store, which occurred a quarter earlier than we had planned. In total, in the third quarter we booked $78 million of asset sales which compares to $48 million last year.</t>
        </r>
        <r>
          <rPr>
            <sz val="9"/>
            <color indexed="81"/>
            <rFont val="Tahoma"/>
            <family val="2"/>
          </rPr>
          <t xml:space="preserve">
Marketing expense was less than last year in the quarter, due primarily to a timing shift into the fourth quarter. We also benefited in the quarter
from the savings associated with the restructuring implemented earlier this year, and also a reduction in the bonus accrual due to our weak
performance. The reductions were offset, in part, by our investment in growth initiatives, investments in digital, Bluemercury, Backstage and China.
Credit income in the quarter was $177 million, which is $5 million lower than last year, as anticipated, due to the costs associated with reissuing
our co-brand credit cards with chips. Credit usage or penetration was 49.3% in the quarter, above last year by 60 basis points. Remember, also, that
we are consolidating the results from the China joint venture, which at this point is only a small amount of expense.
**Excluding asset impairment charges of $111 million primarily related to previously-announced plans to close 35 to 40 stores in early 2016.**
</t>
        </r>
      </text>
    </comment>
    <comment ref="DF41" authorId="4">
      <text>
        <r>
          <rPr>
            <b/>
            <sz val="9"/>
            <color indexed="81"/>
            <rFont val="Tahoma"/>
            <family val="2"/>
          </rPr>
          <t>Baglione, Gregory  (Research):</t>
        </r>
        <r>
          <rPr>
            <sz val="9"/>
            <color indexed="81"/>
            <rFont val="Tahoma"/>
            <family val="2"/>
          </rPr>
          <t xml:space="preserve">
11/11/15
-SG&amp;A in the quarter was $1.968 billion, down $39 million or 1.9% versus last year. During the third quarter we booked a $57 million gain on the
sale of the upper floors of our Seattle store, which occurred a quarter earlier than we had planned. In total, in the third quarter we booked $78
million of asset sales which compares to $48 million last year.
-Marketing expense was less than last year in the quarter, due primarily to a timing shift into the fourth quarter. We also benefited in the quarter
from the savings associated with the restructuring implemented earlier this year, and also a reduction in the bonus accrual due to our weak
performance. The reductions were offset, in part, by our investment in growth initiatives, investments in digital, Bluemercury, Backstage and China.
-Credit income in the quarter was $177 million, which is $5 million lower than last year, as anticipated, due to the costs associated with reissuing
our co-brand credit cards with chips. Credit usage or penetration was 49.3% in the quarter, above last year by 60 basis points. Remember, also, that
we are consolidating the results from the China joint venture, which at this point is only a small amount of expense.
11/1/15
Reducing SG&amp;A to reflect  Seattle store  press release “The purchase price for the four floors, totaling more than 300,000 square feet, was $65 million in cash. Macy’s, Inc. will record a gain of approximately $60 million in the third quarter of 2015. The gain was originally anticipated and included in 2015 earnings guidance previously provided by the company although it is being booked a quarter earlier than expected.”
Previous SG&amp;A 2.065B, Current ~$2.0B
8/12/15: SG&amp;A dollars are expected to be below last year as a result of the large gain expected from the Brooklyn transaction. Without Brooklyn, SG&amp;A is expected to be in the range of last year. As you model the quarters, know that the third-quarter SG&amp;A will be negatively impacted by the timing of asset sales this year relative to last year. 
And, additionally, the third-quarter expense will be negatively impacted by a slight reduction in credit income in the quarter due to the costs associated with the EMV card reissue for our cobranded cards.  
</t>
        </r>
      </text>
    </comment>
    <comment ref="DJ41" authorId="4">
      <text>
        <r>
          <rPr>
            <b/>
            <sz val="9"/>
            <color indexed="81"/>
            <rFont val="Tahoma"/>
            <family val="2"/>
          </rPr>
          <t>Baglione, Gregory  (Research):</t>
        </r>
        <r>
          <rPr>
            <sz val="9"/>
            <color indexed="81"/>
            <rFont val="Tahoma"/>
            <family val="2"/>
          </rPr>
          <t xml:space="preserve">
11/10/16
increase related to lower asset sale gain this year
-"We recognized $41 million of these gains in the third quarter this year, which compares to $78 million last year. As you know, asset sales will be lumpy by quarter and are hard to forecast. Most of the gains in the quarter this year relate to the transaction announced last week with General Growth Properties, as well as the $9 million booked relating to the Brooklyn transaction in the quarter. If you exclude these gains in both years, SG&amp;A dollars were up 3.2%. "
-Credit income was $12M lower y/y 
-We are also continuing to invest in digital growth, as well as in our Bluemercury, China and Backstage initiatives. And our earnings from credit were
$165 million in the third quarter, which is $12 million lower than a year ago. Our overall sales reduction hurts our credit income and this was
magnified by a reduction in the usage of our proprietary card. Proprietary card penetration was still very high in the third quarter at 48.5%, but it
was 80 basis points lower than a year ago.
8/11/16
Company now expects $50M from Brooklyn transaction to shift into 2017 (10c EPS), but keeping guidance unchanged.
We continue to model SG&amp;A at-2%
5/11/16
Lower to-2% from +1.0% given lower sales outlook
2/23/16
See quarteryl grid ~0.8-1.0% SG&amp;A growth
LY's SG&amp;A:
+$78M gain add back
-$33M gain Bklyn
-$35M Gain "Other)
-$183M Savings
+$122M wage pressure/investments
Yields +1.0% SG&amp;A growth
</t>
        </r>
        <r>
          <rPr>
            <sz val="9"/>
            <color indexed="81"/>
            <rFont val="Tahoma"/>
            <family val="2"/>
          </rPr>
          <t xml:space="preserve">
</t>
        </r>
      </text>
    </comment>
    <comment ref="DL41" authorId="14">
      <text>
        <r>
          <rPr>
            <b/>
            <sz val="9"/>
            <color indexed="81"/>
            <rFont val="Tahoma"/>
            <family val="2"/>
          </rPr>
          <t xml:space="preserve">Baglione, Gregory (Research):
</t>
        </r>
        <r>
          <rPr>
            <sz val="9"/>
            <color indexed="81"/>
            <rFont val="Tahoma"/>
            <family val="2"/>
          </rPr>
          <t xml:space="preserve">3Q17: reduced exp. Due to store closures and impact of restructuring activities; partially offset  by contineud investments  in digital growth, strategic initiatives in shoes and jewelry, and expansion of Backstage and bluemercury
</t>
        </r>
        <r>
          <rPr>
            <b/>
            <sz val="9"/>
            <color indexed="81"/>
            <rFont val="Tahoma"/>
            <family val="2"/>
          </rPr>
          <t xml:space="preserve">
</t>
        </r>
        <r>
          <rPr>
            <sz val="9"/>
            <color indexed="81"/>
            <rFont val="Tahoma"/>
            <family val="2"/>
          </rPr>
          <t>65M from real estate gain</t>
        </r>
        <r>
          <rPr>
            <b/>
            <sz val="9"/>
            <color indexed="81"/>
            <rFont val="Tahoma"/>
            <family val="2"/>
          </rPr>
          <t xml:space="preserve">
</t>
        </r>
        <r>
          <rPr>
            <sz val="9"/>
            <color indexed="81"/>
            <rFont val="Tahoma"/>
            <family val="2"/>
          </rPr>
          <t xml:space="preserve">
1/19/17
See SG&amp;A Detal Tab</t>
        </r>
      </text>
    </comment>
    <comment ref="DN41" authorId="11">
      <text>
        <r>
          <rPr>
            <b/>
            <sz val="9"/>
            <color indexed="81"/>
            <rFont val="Tahoma"/>
            <family val="2"/>
          </rPr>
          <t>Roberts, Cynthia (Research):</t>
        </r>
        <r>
          <rPr>
            <sz val="9"/>
            <color indexed="81"/>
            <rFont val="Tahoma"/>
            <family val="2"/>
          </rPr>
          <t xml:space="preserve">
2/21/17 -4Q EPS
"we are assuming the SG&amp;A savings of $550 million, offset by the growth spending of approximately $250 million. So the net reduction versus 2016 of approximately $300 million is embedded in our guidance. Should sales be at the lower end of our range, we would, however, expect SG&amp;A dollars
to be lower as well"
</t>
        </r>
      </text>
    </comment>
    <comment ref="CO42" authorId="1">
      <text>
        <r>
          <rPr>
            <b/>
            <sz val="8"/>
            <color indexed="81"/>
            <rFont val="Tahoma"/>
            <family val="2"/>
          </rPr>
          <t xml:space="preserve">2/21/12 Commentary:
</t>
        </r>
        <r>
          <rPr>
            <sz val="8"/>
            <color indexed="81"/>
            <rFont val="Tahoma"/>
            <family val="2"/>
          </rPr>
          <t>- Better than expected due to various y/e adjustments and lower dep related to timing of capex; credit profitability increased $59M vs LY</t>
        </r>
        <r>
          <rPr>
            <b/>
            <sz val="8"/>
            <color indexed="81"/>
            <rFont val="Tahoma"/>
            <family val="2"/>
          </rPr>
          <t xml:space="preserve">
Commentary 1/5/12:
</t>
        </r>
        <r>
          <rPr>
            <sz val="8"/>
            <color indexed="81"/>
            <rFont val="Tahoma"/>
            <family val="2"/>
          </rPr>
          <t>- Flow through not as high as in past in 4Q given incremental expenses previusly noted
- Noted w/ prior guidance for +4-4.5% comp, expected &lt;4% SG&amp;A $ growth, now w/ guidance for 5-5.5%, SG&amp;A $ growth now up &lt;5%</t>
        </r>
        <r>
          <rPr>
            <b/>
            <sz val="8"/>
            <color indexed="81"/>
            <rFont val="Tahoma"/>
            <family val="2"/>
          </rPr>
          <t xml:space="preserve">
11/9/11 commentary: 
</t>
        </r>
        <r>
          <rPr>
            <sz val="8"/>
            <color indexed="81"/>
            <rFont val="Tahoma"/>
            <family val="2"/>
          </rPr>
          <t>Note: mgmt indicated that ~3.5% growth is too low</t>
        </r>
        <r>
          <rPr>
            <b/>
            <sz val="8"/>
            <color indexed="81"/>
            <rFont val="Tahoma"/>
            <family val="2"/>
          </rPr>
          <t xml:space="preserve">
</t>
        </r>
        <r>
          <rPr>
            <sz val="8"/>
            <color indexed="81"/>
            <rFont val="Tahoma"/>
            <family val="2"/>
          </rPr>
          <t>1) $15MM shift of marketing expense from 3Q11 to 4Q11
2) Up &lt; comp sales (even w/$15MM marketing shift)
3) Incremental expenses y/y due to investment in MAGIC selling, additional recovery spending post-Holiday, and investment in omni-channel
4) Expects $55-60MM improvement in credit business y/y
5) Bad debt still at pre-recession levels but greater profit due to lower funding costs - still some room for improvement in 2012</t>
        </r>
      </text>
    </comment>
    <comment ref="CP42" authorId="1">
      <text>
        <r>
          <rPr>
            <b/>
            <sz val="8"/>
            <color indexed="81"/>
            <rFont val="Tahoma"/>
            <family val="2"/>
          </rPr>
          <t xml:space="preserve">2/21/12 Commentary:
</t>
        </r>
        <r>
          <rPr>
            <sz val="8"/>
            <color indexed="81"/>
            <rFont val="Tahoma"/>
            <family val="2"/>
          </rPr>
          <t>- Better than expected due to various y/e adjustments and lower dep related to timing of capex; credit profitability increased $59M vs LY</t>
        </r>
        <r>
          <rPr>
            <b/>
            <sz val="8"/>
            <color indexed="81"/>
            <rFont val="Tahoma"/>
            <family val="2"/>
          </rPr>
          <t xml:space="preserve">
Commentary 1/5/12:
</t>
        </r>
        <r>
          <rPr>
            <sz val="8"/>
            <color indexed="81"/>
            <rFont val="Tahoma"/>
            <family val="2"/>
          </rPr>
          <t>- Flow through not as high as in past in 4Q given incremental expenses previusly noted
- Noted w/ prior guidance for +4-4.5% comp, expected &lt;4% SG&amp;A $ growth, now w/ guidance for 5-5.5%, SG&amp;A $ growth now up &lt;5%</t>
        </r>
        <r>
          <rPr>
            <b/>
            <sz val="8"/>
            <color indexed="81"/>
            <rFont val="Tahoma"/>
            <family val="2"/>
          </rPr>
          <t xml:space="preserve">
11/9/11 commentary: 
</t>
        </r>
        <r>
          <rPr>
            <sz val="8"/>
            <color indexed="81"/>
            <rFont val="Tahoma"/>
            <family val="2"/>
          </rPr>
          <t>Note: mgmt indicated that ~3.5% growth is too low</t>
        </r>
        <r>
          <rPr>
            <b/>
            <sz val="8"/>
            <color indexed="81"/>
            <rFont val="Tahoma"/>
            <family val="2"/>
          </rPr>
          <t xml:space="preserve">
</t>
        </r>
        <r>
          <rPr>
            <sz val="8"/>
            <color indexed="81"/>
            <rFont val="Tahoma"/>
            <family val="2"/>
          </rPr>
          <t>1) $15MM shift of marketing expense from 3Q11 to 4Q11
2) Up &lt; comp sales (even w/$15MM marketing shift)
3) Incremental expenses y/y due to investment in MAGIC selling, additional recovery spending post-Holiday, and investment in omni-channel
4) Expects $55-60MM improvement in credit business y/y
5) Bad debt still at pre-recession levels but greater profit due to lower funding costs - still some room for improvement in 2012</t>
        </r>
      </text>
    </comment>
    <comment ref="CS42" authorId="1">
      <text>
        <r>
          <rPr>
            <sz val="10"/>
            <rFont val="Arial"/>
            <family val="2"/>
          </rPr>
          <t xml:space="preserve">11/6/2012 Guidance
</t>
        </r>
        <r>
          <rPr>
            <sz val="10"/>
            <rFont val="Arial"/>
            <family val="2"/>
          </rPr>
          <t>$25-$30M higher credit income y/y; offset in part by higher retirement exp and cont'd investment in omnichannel</t>
        </r>
        <r>
          <rPr>
            <sz val="10"/>
            <rFont val="Arial"/>
            <family val="2"/>
          </rPr>
          <t xml:space="preserve">
8/8/2012 Guidance</t>
        </r>
        <r>
          <rPr>
            <sz val="10"/>
            <rFont val="Arial"/>
            <family val="2"/>
          </rPr>
          <t xml:space="preserve">
SG&amp;A as a % of sales to decline in the fall; but in $ the % increase is expected to be higher than it was in the Spring
Credit to improve y/y in 4Q</t>
        </r>
        <r>
          <rPr>
            <sz val="10"/>
            <rFont val="Arial"/>
            <family val="2"/>
          </rPr>
          <t xml:space="preserve">
</t>
        </r>
        <r>
          <rPr>
            <b/>
            <i/>
            <sz val="8"/>
            <color indexed="12"/>
            <rFont val="Tahoma"/>
            <family val="2"/>
          </rPr>
          <t xml:space="preserve">
</t>
        </r>
        <r>
          <rPr>
            <b/>
            <sz val="8"/>
            <color indexed="81"/>
            <rFont val="Tahoma"/>
            <family val="2"/>
          </rPr>
          <t xml:space="preserve">Per 2/21/12 Guidance:
</t>
        </r>
        <r>
          <rPr>
            <sz val="8"/>
            <color indexed="81"/>
            <rFont val="Tahoma"/>
            <family val="2"/>
          </rPr>
          <t>-  expect strong credit performance in 2012 w/ earnings more evenly distributed throughout the year</t>
        </r>
        <r>
          <rPr>
            <b/>
            <sz val="8"/>
            <color indexed="81"/>
            <rFont val="Tahoma"/>
            <family val="2"/>
          </rPr>
          <t xml:space="preserve">
1/5/12 and 1/9/12 Commentary</t>
        </r>
        <r>
          <rPr>
            <sz val="8"/>
            <color indexed="81"/>
            <rFont val="Tahoma"/>
            <family val="2"/>
          </rPr>
          <t xml:space="preserve">
Impact from 53rd week to 4Q:
- No impact to gross margins + SG&amp;A benefit (there ~10-20% of flex on SG&amp;A - so if SG&amp;A margin is 26%, the margin on extra week is 26%-~15%=~11%)
- Should have good flow through of extra week of sales in 4Q12
- Salaried employees do not get more but hourly do
- Attractive EBIT on extra week of sales
</t>
        </r>
      </text>
    </comment>
    <comment ref="CW42" authorId="1">
      <text>
        <r>
          <rPr>
            <b/>
            <sz val="8"/>
            <color indexed="81"/>
            <rFont val="Tahoma"/>
            <family val="2"/>
          </rPr>
          <t xml:space="preserve">5/15/2013 guidance: </t>
        </r>
        <r>
          <rPr>
            <sz val="8"/>
            <color indexed="81"/>
            <rFont val="Tahoma"/>
            <family val="2"/>
          </rPr>
          <t>Expect 2Q credit expense up similar amount as 1Q &amp; up but by "a whole lot less" in 2H</t>
        </r>
        <r>
          <rPr>
            <b/>
            <sz val="8"/>
            <color indexed="81"/>
            <rFont val="Tahoma"/>
            <family val="2"/>
          </rPr>
          <t xml:space="preserve">
Note: </t>
        </r>
        <r>
          <rPr>
            <sz val="8"/>
            <color indexed="81"/>
            <rFont val="Tahoma"/>
            <family val="2"/>
          </rPr>
          <t xml:space="preserve">KH noted D&amp;A could start increasing y/y in FY13
</t>
        </r>
        <r>
          <rPr>
            <b/>
            <sz val="8"/>
            <color indexed="81"/>
            <rFont val="Tahoma"/>
            <family val="2"/>
          </rPr>
          <t>11/13/13:</t>
        </r>
        <r>
          <rPr>
            <sz val="8"/>
            <color indexed="81"/>
            <rFont val="Tahoma"/>
            <family val="2"/>
          </rPr>
          <t xml:space="preserve"> We do expect continued pressure on our gross margin rate in the fourth quarter, but hope to be able to offset it with lower SG&amp;A as a percent to sales. Year-rounding on the 53rd week, however, does put pressure on the SG&amp;A rate.</t>
        </r>
      </text>
    </comment>
    <comment ref="DA42" authorId="2">
      <text>
        <r>
          <rPr>
            <b/>
            <sz val="9"/>
            <color indexed="81"/>
            <rFont val="Tahoma"/>
            <family val="2"/>
          </rPr>
          <t xml:space="preserve">2/25/15: better than expected driven by lower medical and retirement expenses and stronger-than-expected credit performance
11/12/14: </t>
        </r>
        <r>
          <rPr>
            <sz val="9"/>
            <color indexed="81"/>
            <rFont val="Tahoma"/>
            <family val="2"/>
          </rPr>
          <t xml:space="preserve">SG&amp;A in the fourth quarter will be negatively impacted due to the timing of items mentioned earlier. Remember that last year in the fourth quarter we had $58 million of asset sale gains, which we don't expect to repeat given the $48 million in gains that occurred this year in the third quarter. We also shifted, as I mentioned, some of our marketing spend from the third quarter into the fourth quarter (~$10M). So while we expect SG&amp;A as a percent of sales to improve versus last year for the fall season as a whole, it will likely not do so in the fourth quarter.
</t>
        </r>
      </text>
    </comment>
    <comment ref="DD42" authorId="4">
      <text>
        <r>
          <rPr>
            <b/>
            <sz val="9"/>
            <color indexed="81"/>
            <rFont val="Tahoma"/>
            <family val="2"/>
          </rPr>
          <t>Baglione, Gregory  (Research):</t>
        </r>
        <r>
          <rPr>
            <sz val="9"/>
            <color indexed="81"/>
            <rFont val="Tahoma"/>
            <family val="2"/>
          </rPr>
          <t xml:space="preserve">
2/23/16
SG&amp;A was flat to last year. Included in the SG&amp;A were asset sale gains of approximately $114 million. Included in this number is $84 million associated with the Brooklyn transaction, $18 million for the sale of one of our Mission Valley stores in San Diego, and approximately $12 million in other miscellaneous asset sale gains. 
Credit income was $280 million in the quarter, up approximately $40 million over last year. 
11/11/15
S G&amp;A in the fourth quarter is expected to benefit from the $250 million gain on the Brooklyn transaction . Excluding this game , S G&amp;A dollars are expected to increase versus last year. While we will continue to benefit from the restructuring completed earlier this year the benefits are offset by the investment in growth initiatives , the shift in the timing of marketing expense in the third quarter as well as lower asset sales gained this year outside of the Brooklyn transaction. Interest expense is assumed to be $96 million in the fourth quarter. 
</t>
        </r>
      </text>
    </comment>
    <comment ref="DF42" authorId="4">
      <text>
        <r>
          <rPr>
            <b/>
            <sz val="9"/>
            <color indexed="81"/>
            <rFont val="Tahoma"/>
            <family val="2"/>
          </rPr>
          <t>Baglione, Gregory  (Research):</t>
        </r>
        <r>
          <rPr>
            <sz val="9"/>
            <color indexed="81"/>
            <rFont val="Tahoma"/>
            <family val="2"/>
          </rPr>
          <t xml:space="preserve">
2/23/16
SG&amp;A was flat to last year. Included in the SG&amp;A were asset sale gains of approximately $114 million. Included in this number is $84 million associated with the Brooklyn transaction, $18 million for the sale of one of our Mission Valley stores in San Diego, and approximately $12 million in other miscellaneous asset sale gains. 
1/29/16
"As a result of the transaction, Macy’s is expected to record a gain of approximately $250 million. Approximately $86 million of the gain will be recognized in the fourth quarter of 2015 and the remaining $164 million expected to be booked in fiscal 2016 and fiscal 2017 with specific amounts dependent on the construction schedule. Macy’s received $68 million in cash from the sale in the fourth quarter of 2015, with the remaining $202 million in cash to be received in fiscal 2016 and fiscal 2017."
Printer Friendly Version View printer-friendly version
Download PDF Downloadable Version
Macy’s, Inc. Completes Brooklyn Store Redevelopment Transaction
CINCINNATI--(BUSINESS WIRE)--Jan. 29, 2016-- Macy’s, Inc. (NYSE:M) today announced that, as expected, it has completed the real estate transaction with Tishman Speyer that will enable the re-creation of its Brooklyn store on Fulton Street.
Macy’s continues to own and operate the first four floors and lower level of its existing nine-story Fulton Street retail store, which will be reconfigured and remodeled in a $100 million project that is beginning this spring and will continue over the next three years.
Tishman Speyer has now purchased the remaining portion of the store site, which it will redevelop into approximately 10 floors of distinct, first-class office space. In addition, Tishman Speyer has purchased Macy’s Hoyt Street parking facility, which could be used for a future mixed-use development.
As previously announced, Macy’s will receive $270 million in cash from Tishman Speyer, of which $100 million will be used to renovate the Brooklyn Macy’s store.
“We are looking forward with great anticipation to the implementation phases of this project, which will transform Macy’s Brooklyn store and significantly enhance the downtown Brooklyn community, which is emerging as a vibrant center for living, shopping, working and entertainment,” said Terry J. Lundgren, chairman and chief executive officer of Macy’s, Inc. “Moreover, this collaboration with Tishman Speyer is a great example of how our company can create significant additional value by strategically exploring the potential of our real estate assets while maintaining a robust store presence that is being upgraded to drive future growth.”
As a result of the transaction, Macy’s is expected to record a gain of approximately $250 million. Approximately $86 million of the gain will be recognized in the fourth quarter of 2015 and the remaining $164 million expected to be booked in fiscal 2016 and fiscal 2017 with specific amounts dependent on the construction schedule. Macy’s received $68 million in cash from the sale in the fourth quarter of 2015, with the remaining $202 million in cash to be received in fiscal 2016 and fiscal 2017.
Given this timing change in accounting for the transaction, Macy’s management has revised its earnings guidance for the fourth quarter and full-year 2015, which previously has assumed the entire gain would be booked in the fourth quarter of 2015. Earnings per diluted share for the full-year 2015 now are expected in the range of $3.54 to $3.59, excluding expenses related to cost efficiencies announced earlier in January and asset impairment charges associated primarily with spring 2016 store closings. This compares with previous guidance in the range of $3.85 to $3.90. Updated annual guidance calculates to guidance for fourth quarter earnings of $1.85 to $1.90 per diluted share, excluding charges associated with cost efficiencies and store closings. This compares with previous guidance for earnings per diluted share of $2.18 to $2.23 in the fourth quarter.
Model updates 1/7/16
Cost Efficency Updates w/ Holiday sales outlook:
Reducing SG&amp;A rate to -1.4% from -8.5% 
1/6/16
Following holiday sales update, reducing SG&amp;A guidance to -8.5% per commentary with mgmt.
11/11/15: SG&amp;A in the fourth quarter is expected to benefit from the $250 million gain on the Brooklyn transaction. Excluding this gain, SG&amp;A dollars are expected to increase versus last year.
"The other issue that will cause an increase in the fourthquarter is that we have shifted marketing dollars from the third quarter into the fourth quarter."
We model 1% SG&amp;A reversal from comp accrual reversal
-11% SGA&amp; from Brooklyn
+1.5% from core SG&amp;A growth
-1% from reversal of bonsus reversal
SG&amp;A =-10.5%
Previous: 2.126B
Updated: $2,08b
11/1/15
$60M SG&amp;A benefit from Seattle was previously included in full year guidance. That benefit is being pulled forward into 3Q. Therefore, increasing SG&amp;A by $60M to reflect this chance. Previous SG&amp;A  $2.064B, Current $2.12B
8/12/15: SG&amp;A dollars are expected to be below last year as a result of the large gain expected from the Brooklyn transaction. Without Brooklyn, SG&amp;A is expected to be in the range of last year. As you model the quarters, know that the third-quarter SG&amp;A will be negatively impacted by the timing of asset sales this year relative to last year. 
And, additionally, the third-quarter expense will be negatively impacted by a slight reduction in credit income in the quarter due to the costs associated with the EMV card reissue for our cobranded cards.  
8/12/15 Ex. SG&amp;A benefit, $2.312B
</t>
        </r>
      </text>
    </comment>
    <comment ref="DJ42" authorId="4">
      <text>
        <r>
          <rPr>
            <b/>
            <sz val="9"/>
            <color indexed="81"/>
            <rFont val="Tahoma"/>
            <family val="2"/>
          </rPr>
          <t>Baglione, Gregory  (Research):</t>
        </r>
        <r>
          <rPr>
            <sz val="9"/>
            <color indexed="81"/>
            <rFont val="Tahoma"/>
            <family val="2"/>
          </rPr>
          <t xml:space="preserve">
</t>
        </r>
        <r>
          <rPr>
            <b/>
            <sz val="9"/>
            <color indexed="81"/>
            <rFont val="Tahoma"/>
            <family val="2"/>
          </rPr>
          <t xml:space="preserve">2/21/17 - 4Q EPS
</t>
        </r>
        <r>
          <rPr>
            <sz val="9"/>
            <color indexed="81"/>
            <rFont val="Tahoma"/>
            <family val="2"/>
          </rPr>
          <t>During the quarter, expense in our stores was lower than last year due both to flexing expense on the lower sales and from the impact of the store closings. In addition, SG&amp;A was lower due to the expense reductions that we implemented at the start of 2016.We also benefited in the fourth quarter from $20 million higher asset sale gains than we booked last year.
This year in the fourth quarter, we booked asset sale gains of $133 million. This includes $10 million for Brooklyn and $123 million relating to other assets. There were no gains on sales of flagship properties in the fourth quarter or in the full year. We did complete the sale of the Union Square Men's Store in the quarter and received the cash, but the gain will be booked in the fourth quarter of 2017. The downtown Minneapolis transaction did not close during the quarter, but we do expect that it will close shortly. The SG&amp;A reductions were offset primarily by expense associated with
our fast-growing digital business as well as by $72 million lower credit income than last year in the quarter.</t>
        </r>
        <r>
          <rPr>
            <sz val="9"/>
            <color indexed="81"/>
            <rFont val="Tahoma"/>
            <family val="2"/>
          </rPr>
          <t xml:space="preserve">
1/4/17
The company continues to drive shareholder value through ongoing real estate initiatives. As previously communicated, the three prongs of the real estate strategy are: flagship assets, closure of approximately 100 stores and creating value from the remaining real estate portfolio. Since the end of the third quarter, Macy’s, Inc. has completed the following transactions that, in total, resulted in the receipt of approximately $95 million of cash proceeds and gain recognition of approximately $56 million:
Sale of the Stonestown store in San Francisco, CA, to General Growth Properties (GGP). Macy’s, Inc. will lease this store back from GGP as that company develops plans for this location.
Sale of the downtown Portland, OR, store (announced in the third quarter release).
In addition, the company has signed an agreement to sell the downtown Minneapolis store to the 601W Companies, whose intention is to redevelop the building into creative office space on the upper floors and to pursue retail opportunities on the street and skywalk levels. This transaction is expected to close by fiscal year end.
</t>
        </r>
        <r>
          <rPr>
            <b/>
            <sz val="9"/>
            <color indexed="81"/>
            <rFont val="Tahoma"/>
            <family val="2"/>
          </rPr>
          <t>*Per management expect to get the ~$100M in 4Q</t>
        </r>
        <r>
          <rPr>
            <sz val="9"/>
            <color indexed="81"/>
            <rFont val="Tahoma"/>
            <family val="2"/>
          </rPr>
          <t xml:space="preserve">
11/10/16
SG&amp;A is expected to be up over last year in both dollars and rate in the fourth quarter.  Also, we are experiencing an additional delay in the construction of Brooklyn and as a result, the timing for booking of the gain is getting delayed more into 2017 and 2018. We now expect to book only $27 million this year. This is $59 million or $0.12 per share lower than what we expected early in 2016 when we originally gave earnings guidance. While not insignificant, we remain comfortable that we can cover this shortfall and are sticking with our earnings guidance. But not changing guidance is actually a $0.12 per share increase in our expectations from operations. </t>
        </r>
        <r>
          <rPr>
            <b/>
            <sz val="9"/>
            <color indexed="81"/>
            <rFont val="Tahoma"/>
            <family val="2"/>
          </rPr>
          <t>In the fourth quarter, we expect to book a $4 million gain associated with Brooklyn. We are also anticipating other non-flagship asset sales, including the Portland gain of approximately $100 million</t>
        </r>
        <r>
          <rPr>
            <sz val="9"/>
            <color indexed="81"/>
            <rFont val="Tahoma"/>
            <family val="2"/>
          </rPr>
          <t xml:space="preserve">, which will take our annual number to approximately $150 million, which is consistent with the guidance at the start of the year.
4Q Model
-Real estate gains $104M vs. LY $114M (so net $10M real estate)
- 4Q credit income down $50-$60M
prev:+1.0%
current:+ 0.3%
2/23/16
LY's SG&amp;A:
+$114M gain add back
-$33M gain Bklyn
-$80M Gain "Other
-$228M Savings
+$116M wage pressure/investments
Yields 0.3% SG&amp;A decline
1/7/16
</t>
        </r>
        <r>
          <rPr>
            <b/>
            <sz val="9"/>
            <color indexed="81"/>
            <rFont val="Tahoma"/>
            <family val="2"/>
          </rPr>
          <t>Cost efficency breakout:</t>
        </r>
        <r>
          <rPr>
            <sz val="9"/>
            <color indexed="81"/>
            <rFont val="Tahoma"/>
            <family val="2"/>
          </rPr>
          <t xml:space="preserve">
2/3* $83M is expected to come in 1Q
~$90M in 2Q-4Q
We also model 2% annual SG&amp;A inflation, or $40M/quarter
For 4Q we reverse the $250M asset sale gain
SG&amp;A growth 9.5%</t>
        </r>
      </text>
    </comment>
    <comment ref="DL42" authorId="14">
      <text>
        <r>
          <rPr>
            <b/>
            <sz val="9"/>
            <color indexed="81"/>
            <rFont val="Tahoma"/>
            <family val="2"/>
          </rPr>
          <t>Baglione, Gregory (Research):</t>
        </r>
        <r>
          <rPr>
            <sz val="9"/>
            <color indexed="81"/>
            <rFont val="Tahoma"/>
            <family val="2"/>
          </rPr>
          <t xml:space="preserve">
1/19/17
See SG&amp;A Detal Tab</t>
        </r>
      </text>
    </comment>
    <comment ref="DN42" authorId="11">
      <text>
        <r>
          <rPr>
            <b/>
            <sz val="9"/>
            <color indexed="81"/>
            <rFont val="Tahoma"/>
            <family val="2"/>
          </rPr>
          <t>Roberts, Cynthia (Research):</t>
        </r>
        <r>
          <rPr>
            <sz val="9"/>
            <color indexed="81"/>
            <rFont val="Tahoma"/>
            <family val="2"/>
          </rPr>
          <t xml:space="preserve">
2/21/17 -4Q EPS
"we are assuming the SG&amp;A savings of $550 million, offset by the growth spending of approximately $250 million. So the net reduction versus 2016 of approximately $300 million is embedded in our guidance. Should sales be at the lower end of our range, we would, however, expect SG&amp;A dollars
to be lower as well"
</t>
        </r>
      </text>
    </comment>
    <comment ref="BX43" authorId="8">
      <text>
        <r>
          <rPr>
            <sz val="8"/>
            <color indexed="81"/>
            <rFont val="Tahoma"/>
            <family val="2"/>
          </rPr>
          <t>$450M in expense synergies from May acquisition</t>
        </r>
      </text>
    </comment>
    <comment ref="CS43" authorId="1">
      <text>
        <r>
          <rPr>
            <b/>
            <sz val="8"/>
            <color indexed="81"/>
            <rFont val="Tahoma"/>
            <family val="2"/>
          </rPr>
          <t xml:space="preserve">8/8/2012 Guidance
</t>
        </r>
        <r>
          <rPr>
            <sz val="8"/>
            <color indexed="81"/>
            <rFont val="Tahoma"/>
            <family val="2"/>
          </rPr>
          <t>SG&amp;A as a % of sales to decline in the fall; but in $ the % increase is expected to be higher than it was in the Spring</t>
        </r>
        <r>
          <rPr>
            <b/>
            <sz val="8"/>
            <color indexed="81"/>
            <rFont val="Tahoma"/>
            <family val="2"/>
          </rPr>
          <t xml:space="preserve">
5/9/2012 Guidance
</t>
        </r>
        <r>
          <rPr>
            <sz val="8"/>
            <color indexed="81"/>
            <rFont val="Tahoma"/>
            <family val="2"/>
          </rPr>
          <t>$15-20M benefit in 2012 from credit
Note: 1Q benefit was consistent with higher end of guidance</t>
        </r>
        <r>
          <rPr>
            <b/>
            <sz val="8"/>
            <color indexed="81"/>
            <rFont val="Tahoma"/>
            <family val="2"/>
          </rPr>
          <t xml:space="preserve">
Per 2/21/12 Guidance:
</t>
        </r>
        <r>
          <rPr>
            <sz val="8"/>
            <color indexed="81"/>
            <rFont val="Tahoma"/>
            <family val="2"/>
          </rPr>
          <t>- expect to be able to continue to improve as % of sales
- income from credit $15-20M in 2012 (expect big variances vs. LY); expect strong credit performance w/ earnings more evenly distributed throughout the year
- expect retirement exp +$65M y/y
- expect D&amp;A -$25M y/y
- marketing $s flat y/y</t>
        </r>
        <r>
          <rPr>
            <b/>
            <sz val="8"/>
            <color indexed="81"/>
            <rFont val="Tahoma"/>
            <family val="2"/>
          </rPr>
          <t xml:space="preserve">
Commentary 11/9/11:
</t>
        </r>
        <r>
          <rPr>
            <sz val="8"/>
            <color indexed="81"/>
            <rFont val="Tahoma"/>
            <family val="2"/>
          </rPr>
          <t>Note: true up in credit occurs in 3Q every year</t>
        </r>
        <r>
          <rPr>
            <sz val="8"/>
            <color indexed="81"/>
            <rFont val="Tahoma"/>
            <family val="2"/>
          </rPr>
          <t xml:space="preserve">
1) Some benefit from credit in 2012, but less than 2011
2) M should be able to leverage SG&amp;A expense on a +3% comp, including credit, but modestly</t>
        </r>
      </text>
    </comment>
    <comment ref="CW43" authorId="1">
      <text>
        <r>
          <rPr>
            <b/>
            <sz val="8"/>
            <color indexed="81"/>
            <rFont val="Tahoma"/>
            <family val="2"/>
          </rPr>
          <t>5/15/2013 guidance:</t>
        </r>
        <r>
          <rPr>
            <sz val="8"/>
            <color indexed="81"/>
            <rFont val="Tahoma"/>
            <family val="2"/>
          </rPr>
          <t xml:space="preserve"> Expect 2Q credit expense up similar amount as 1Q &amp; up but by "a whole lot less" in 2H</t>
        </r>
        <r>
          <rPr>
            <b/>
            <sz val="8"/>
            <color indexed="81"/>
            <rFont val="Tahoma"/>
            <family val="2"/>
          </rPr>
          <t xml:space="preserve">
2/26/2013 guidance: </t>
        </r>
        <r>
          <rPr>
            <sz val="8"/>
            <color indexed="81"/>
            <rFont val="Tahoma"/>
            <family val="2"/>
          </rPr>
          <t>assumes SG&amp;A leverage and 
improve as a rate, offsetting any reduction in GM rate</t>
        </r>
      </text>
    </comment>
    <comment ref="CZ43" authorId="15">
      <text>
        <r>
          <rPr>
            <b/>
            <sz val="8"/>
            <color indexed="81"/>
            <rFont val="Tahoma"/>
            <family val="2"/>
          </rPr>
          <t xml:space="preserve">kimberlg </t>
        </r>
        <r>
          <rPr>
            <b/>
            <sz val="8"/>
            <color indexed="81"/>
            <rFont val="Tahoma"/>
            <family val="2"/>
          </rPr>
          <t>2/25/14:</t>
        </r>
        <r>
          <rPr>
            <sz val="8"/>
            <color indexed="81"/>
            <rFont val="Tahoma"/>
            <family val="2"/>
          </rPr>
          <t xml:space="preserve"> our initial estimate is for SG&amp;A $'s to grow $130M y/y composed of:
2% inflation or $170M
$58M add back - LY asset sales non-recurring
less $100M cost saves
</t>
        </r>
      </text>
    </comment>
    <comment ref="DH43" authorId="4">
      <text>
        <r>
          <rPr>
            <b/>
            <sz val="9"/>
            <color indexed="81"/>
            <rFont val="Tahoma"/>
            <family val="2"/>
          </rPr>
          <t>Baglione, Gregory  (Research):</t>
        </r>
        <r>
          <rPr>
            <sz val="9"/>
            <color indexed="81"/>
            <rFont val="Tahoma"/>
            <family val="2"/>
          </rPr>
          <t xml:space="preserve">
11/1//16
Also, we are experiencing an additional delay in the construction of Brooklyn and as a result, the timing for booking of the gain is getting delayed more into 2017 and 2018. We now expect to book only $27 million this year. This is $59 million or $0.12 per share lower than what we expected early in 2016 when we originally gave earnings guidance. While not insignificant, we remain comfortable that we can cover this shortfall and are sticking with our earnings guidance. But not changing guidance is actually a $0.12 per share increase in our expectations from operations. In the fourth quarter, we expect to book a $4 million gain associated with Brooklyn. We are also anticipating other non-flagship asset sales, including the Portland gain of approximately $100 million, which will take our annual number to approximately $150 million, which is consistent with the guidance at the start of the year. 
8/11/16
The only change in our key assumptions versus our prior earnings guidance is that we now expect the Brooklyn gain in fiscal 2016 to be approximately $36 million, which is $50 million less than what we had told you to expect when we gave guidance in February.
So they still expect $150M "other" asset gains 
2/23/16
"Expense dollars are expect to be flattish to the 2015 level, and as a result of the sales decline, the rate as a percent to sales is assumed to increase"
This includes
-$400M expense reductions outlined in Jan to offset wages/other investments.
-$235M asset gains= $86M brooklyn +$150M of other asset sales.
1) 1/4 of $86M will be booked in first half of the year.
2) remainder in back half of the year
3)$150M asset sales
Asset sale gains are expected to be lower in 1Q/3Q than in 2Q/4Q
</t>
        </r>
      </text>
    </comment>
    <comment ref="DJ43" authorId="14">
      <text>
        <r>
          <rPr>
            <b/>
            <sz val="9"/>
            <color indexed="81"/>
            <rFont val="Tahoma"/>
            <family val="2"/>
          </rPr>
          <t>Baglione, Gregory (Research):</t>
        </r>
        <r>
          <rPr>
            <sz val="9"/>
            <color indexed="81"/>
            <rFont val="Tahoma"/>
            <family val="2"/>
          </rPr>
          <t xml:space="preserve">
For the full year expect SG&amp;A to "be up slightly"
</t>
        </r>
      </text>
    </comment>
    <comment ref="DN43" authorId="11">
      <text>
        <r>
          <rPr>
            <b/>
            <sz val="9"/>
            <color indexed="81"/>
            <rFont val="Tahoma"/>
            <family val="2"/>
          </rPr>
          <t>Roberts, Cynthia (Research):</t>
        </r>
        <r>
          <rPr>
            <sz val="9"/>
            <color indexed="81"/>
            <rFont val="Tahoma"/>
            <family val="2"/>
          </rPr>
          <t xml:space="preserve">
2/21/17 -4Q EPS
"we are assuming the SG&amp;A savings of $550 million, offset by the growth spending of approximately $250 million. So the net reduction versus 2016 of approximately $300 million is embedded in our guidance. Should sales be at the lower end of our range, we would, however, expect SG&amp;A dollars
to be lower as well"
</t>
        </r>
      </text>
    </comment>
    <comment ref="DQ43" authorId="5">
      <text>
        <r>
          <rPr>
            <b/>
            <sz val="9"/>
            <color indexed="81"/>
            <rFont val="Tahoma"/>
            <family val="2"/>
          </rPr>
          <t>De Courreges, Edouard (Research):</t>
        </r>
        <r>
          <rPr>
            <sz val="9"/>
            <color indexed="81"/>
            <rFont val="Tahoma"/>
            <family val="2"/>
          </rPr>
          <t xml:space="preserve">
2/27: SGA Dollars flat y/y guidance; not flat here because of difference in real estate</t>
        </r>
      </text>
    </comment>
    <comment ref="CS45" authorId="1">
      <text>
        <r>
          <rPr>
            <b/>
            <sz val="8"/>
            <color indexed="81"/>
            <rFont val="Tahoma"/>
            <family val="2"/>
          </rPr>
          <t xml:space="preserve">8/8/2012 Guidance
</t>
        </r>
        <r>
          <rPr>
            <sz val="8"/>
            <color indexed="81"/>
            <rFont val="Tahoma"/>
            <family val="2"/>
          </rPr>
          <t>1) SG&amp;A as a % of sales to decline in the fall; but in $ the % increase is expected to be higher than it was in the Spring
2) -$35/-40M impact from credit in 3Q</t>
        </r>
        <r>
          <rPr>
            <b/>
            <sz val="8"/>
            <color indexed="81"/>
            <rFont val="Tahoma"/>
            <family val="2"/>
          </rPr>
          <t xml:space="preserve">
Per 5/9/2012 Guidance:
</t>
        </r>
        <r>
          <rPr>
            <sz val="8"/>
            <color indexed="81"/>
            <rFont val="Tahoma"/>
            <family val="2"/>
          </rPr>
          <t>1) expect credit profitability $40-45M lower vs. LY</t>
        </r>
        <r>
          <rPr>
            <b/>
            <sz val="8"/>
            <color indexed="81"/>
            <rFont val="Tahoma"/>
            <family val="2"/>
          </rPr>
          <t xml:space="preserve">
Per 2/21/12 Guidance:
</t>
        </r>
        <r>
          <rPr>
            <sz val="8"/>
            <color indexed="81"/>
            <rFont val="Tahoma"/>
            <family val="2"/>
          </rPr>
          <t xml:space="preserve">-  expect strong credit performance in 2012 w/ earnings more evenly distributed throughout the year
</t>
        </r>
        <r>
          <rPr>
            <b/>
            <sz val="8"/>
            <color indexed="81"/>
            <rFont val="Tahoma"/>
            <family val="2"/>
          </rPr>
          <t xml:space="preserve">
Commentary 11/9/11:
</t>
        </r>
        <r>
          <rPr>
            <sz val="8"/>
            <color indexed="81"/>
            <rFont val="Tahoma"/>
            <family val="2"/>
          </rPr>
          <t>Note: true up in credit occurs in 3Q every year</t>
        </r>
        <r>
          <rPr>
            <sz val="8"/>
            <color indexed="81"/>
            <rFont val="Tahoma"/>
            <family val="2"/>
          </rPr>
          <t xml:space="preserve">
1) Some benefit from credit in 2012, but less than 2011
2) M should be able to leverage SG&amp;A expense on a +3% comp, including credit, but modestly</t>
        </r>
      </text>
    </comment>
    <comment ref="DL50" authorId="5">
      <text>
        <r>
          <rPr>
            <b/>
            <sz val="9"/>
            <color indexed="81"/>
            <rFont val="Tahoma"/>
            <family val="2"/>
          </rPr>
          <t>De Courreges, Edouard (Research):</t>
        </r>
        <r>
          <rPr>
            <sz val="9"/>
            <color indexed="81"/>
            <rFont val="Tahoma"/>
            <family val="2"/>
          </rPr>
          <t xml:space="preserve">
8/10/17: excludes $51 million of noncash retirement plan settlement charges</t>
        </r>
      </text>
    </comment>
    <comment ref="DF51" authorId="4">
      <text>
        <r>
          <rPr>
            <sz val="9"/>
            <color indexed="81"/>
            <rFont val="Tahoma"/>
            <family val="2"/>
          </rPr>
          <t xml:space="preserve">11/4/15
Seattle store was originally expected to be a gain in Q4, closed earlier than expected now in Q3. </t>
        </r>
        <r>
          <rPr>
            <b/>
            <sz val="9"/>
            <color indexed="81"/>
            <rFont val="Tahoma"/>
            <family val="2"/>
          </rPr>
          <t xml:space="preserve">
Baglione, Gregory  (Research):</t>
        </r>
        <r>
          <rPr>
            <sz val="9"/>
            <color indexed="81"/>
            <rFont val="Tahoma"/>
            <family val="2"/>
          </rPr>
          <t xml:space="preserve">
because of the sales assumption and the SG&amp;A comparisons to last year, operating income is assumed to be below last year in the third quarter, but in the fourth quarter, operating income is expected to be above last year without the benefit of the Brooklyn gain. 
</t>
        </r>
      </text>
    </comment>
    <comment ref="DD52" authorId="4">
      <text>
        <r>
          <rPr>
            <b/>
            <sz val="9"/>
            <color indexed="81"/>
            <rFont val="Tahoma"/>
            <family val="2"/>
          </rPr>
          <t xml:space="preserve">Baglione, Gregory  (Research):
</t>
        </r>
        <r>
          <rPr>
            <sz val="9"/>
            <color indexed="81"/>
            <rFont val="Tahoma"/>
            <family val="2"/>
          </rPr>
          <t>$250 mn gain on Brooklyn store expected in Q4</t>
        </r>
        <r>
          <rPr>
            <b/>
            <sz val="9"/>
            <color indexed="81"/>
            <rFont val="Tahoma"/>
            <family val="2"/>
          </rPr>
          <t xml:space="preserve">
</t>
        </r>
      </text>
    </comment>
    <comment ref="DF52" authorId="4">
      <text>
        <r>
          <rPr>
            <sz val="9"/>
            <color indexed="81"/>
            <rFont val="Tahoma"/>
            <family val="2"/>
          </rPr>
          <t xml:space="preserve">11/4/15
Seattle store was originally expected to be a gain in Q4, closed earlier than expected now in Q3. </t>
        </r>
        <r>
          <rPr>
            <b/>
            <sz val="9"/>
            <color indexed="81"/>
            <rFont val="Tahoma"/>
            <family val="2"/>
          </rPr>
          <t xml:space="preserve">
Baglione, Gregory  (Research):</t>
        </r>
        <r>
          <rPr>
            <sz val="9"/>
            <color indexed="81"/>
            <rFont val="Tahoma"/>
            <family val="2"/>
          </rPr>
          <t xml:space="preserve">
8/12/15 Because of the sales assumption and the SG&amp;A comparisons to last year, operating income is assumed to be below last year in the third quarter, but in the fourth quarter, operating income is expected to be above last year without the benefit of the Brooklyn gain. 
</t>
        </r>
      </text>
    </comment>
    <comment ref="CW53" authorId="1">
      <text>
        <r>
          <rPr>
            <b/>
            <sz val="8"/>
            <color indexed="81"/>
            <rFont val="Tahoma"/>
            <family val="2"/>
          </rPr>
          <t xml:space="preserve">2/26/2013 guidance: </t>
        </r>
        <r>
          <rPr>
            <sz val="8"/>
            <color indexed="81"/>
            <rFont val="Tahoma"/>
            <family val="2"/>
          </rPr>
          <t>assumes an op income rate increase in FY13, but it's getting more challenging as profit levels rise - plus building omnichannel requires incremental expense which goes into GM due to shipping costs</t>
        </r>
      </text>
    </comment>
    <comment ref="CR78" authorId="13">
      <text>
        <r>
          <rPr>
            <b/>
            <sz val="8"/>
            <color indexed="81"/>
            <rFont val="Tahoma"/>
            <family val="2"/>
          </rPr>
          <t xml:space="preserve">Note: 2/21/2012
</t>
        </r>
        <r>
          <rPr>
            <b/>
            <i/>
            <sz val="8"/>
            <color indexed="12"/>
            <rFont val="Tahoma"/>
            <family val="2"/>
          </rPr>
          <t>~$15M factor added to account for amortization of financing fees / premium (decrease to int exp) and  capitalized interest (increase to int exp)</t>
        </r>
        <r>
          <rPr>
            <sz val="8"/>
            <color indexed="81"/>
            <rFont val="Tahoma"/>
            <family val="2"/>
          </rPr>
          <t xml:space="preserve">
</t>
        </r>
      </text>
    </comment>
    <comment ref="CZ78" authorId="2">
      <text>
        <r>
          <rPr>
            <b/>
            <sz val="9"/>
            <color indexed="81"/>
            <rFont val="Tahoma"/>
            <family val="2"/>
          </rPr>
          <t>5/14/14:</t>
        </r>
        <r>
          <rPr>
            <sz val="9"/>
            <color indexed="81"/>
            <rFont val="Tahoma"/>
            <family val="2"/>
          </rPr>
          <t xml:space="preserve"> +$3M y/y due to the $400M debt issued LY vs. $190M matured
</t>
        </r>
      </text>
    </comment>
    <comment ref="CR79" authorId="13">
      <text>
        <r>
          <rPr>
            <b/>
            <sz val="8"/>
            <color indexed="81"/>
            <rFont val="Tahoma"/>
            <family val="2"/>
          </rPr>
          <t xml:space="preserve">Note: 2/21/2012
</t>
        </r>
        <r>
          <rPr>
            <b/>
            <i/>
            <sz val="8"/>
            <color indexed="12"/>
            <rFont val="Tahoma"/>
            <family val="2"/>
          </rPr>
          <t>~$15M factor added to account for amortization of financing fees / premium (decrease to int exp) and  capitalized interest (increase to int exp)</t>
        </r>
        <r>
          <rPr>
            <sz val="8"/>
            <color indexed="81"/>
            <rFont val="Tahoma"/>
            <family val="2"/>
          </rPr>
          <t xml:space="preserve">
</t>
        </r>
      </text>
    </comment>
    <comment ref="DL79" authorId="5">
      <text>
        <r>
          <rPr>
            <b/>
            <sz val="9"/>
            <color indexed="81"/>
            <rFont val="Tahoma"/>
            <family val="2"/>
          </rPr>
          <t>De Courreges, Edouard (Research):</t>
        </r>
        <r>
          <rPr>
            <sz val="9"/>
            <color indexed="81"/>
            <rFont val="Tahoma"/>
            <family val="2"/>
          </rPr>
          <t xml:space="preserve">
8/10/17: Excludes the net premiums and expenses associated with the early retirement of debt (-2M pre tax)</t>
        </r>
      </text>
    </comment>
    <comment ref="CR80" authorId="13">
      <text>
        <r>
          <rPr>
            <b/>
            <sz val="8"/>
            <color indexed="81"/>
            <rFont val="Tahoma"/>
            <family val="2"/>
          </rPr>
          <t xml:space="preserve">Note: 2/21/2012
</t>
        </r>
        <r>
          <rPr>
            <b/>
            <i/>
            <sz val="8"/>
            <color indexed="12"/>
            <rFont val="Tahoma"/>
            <family val="2"/>
          </rPr>
          <t>~$15M factor added to account for amortization of financing fees / premium (decrease to int exp) and  capitalized interest (increase to int exp)</t>
        </r>
        <r>
          <rPr>
            <sz val="8"/>
            <color indexed="81"/>
            <rFont val="Tahoma"/>
            <family val="2"/>
          </rPr>
          <t xml:space="preserve">
</t>
        </r>
      </text>
    </comment>
    <comment ref="DD80" authorId="4">
      <text>
        <r>
          <rPr>
            <b/>
            <sz val="9"/>
            <color indexed="81"/>
            <rFont val="Tahoma"/>
            <family val="2"/>
          </rPr>
          <t>Baglione, Gregory  (Research):</t>
        </r>
        <r>
          <rPr>
            <sz val="9"/>
            <color indexed="81"/>
            <rFont val="Tahoma"/>
            <family val="2"/>
          </rPr>
          <t xml:space="preserve">
8/12/15 Interest expense is expected to be $80 million in the third quarter, lower than what we have been running year-to-date, due to a gain associated with the debt we are calling at par next week</t>
        </r>
      </text>
    </comment>
    <comment ref="BX81" authorId="0">
      <text>
        <r>
          <rPr>
            <b/>
            <u/>
            <sz val="8"/>
            <color indexed="81"/>
            <rFont val="Tahoma"/>
            <family val="2"/>
          </rPr>
          <t>Guidance</t>
        </r>
        <r>
          <rPr>
            <b/>
            <sz val="8"/>
            <color indexed="81"/>
            <rFont val="Tahoma"/>
            <family val="2"/>
          </rPr>
          <t xml:space="preserve">
Author</t>
        </r>
        <r>
          <rPr>
            <sz val="8"/>
            <color indexed="81"/>
            <rFont val="Tahoma"/>
            <family val="2"/>
          </rPr>
          <t xml:space="preserve">: Morgan Stanley
</t>
        </r>
        <r>
          <rPr>
            <b/>
            <sz val="8"/>
            <color indexed="81"/>
            <rFont val="Tahoma"/>
            <family val="2"/>
          </rPr>
          <t>Date</t>
        </r>
        <r>
          <rPr>
            <sz val="8"/>
            <color indexed="81"/>
            <rFont val="Tahoma"/>
            <family val="2"/>
          </rPr>
          <t xml:space="preserve">: 11/14/2007
</t>
        </r>
        <r>
          <rPr>
            <b/>
            <sz val="8"/>
            <color indexed="81"/>
            <rFont val="Tahoma"/>
            <family val="2"/>
          </rPr>
          <t>Comment</t>
        </r>
        <r>
          <rPr>
            <sz val="8"/>
            <color indexed="81"/>
            <rFont val="Tahoma"/>
            <family val="2"/>
          </rPr>
          <t>: $140M
8/15/2007: $140M
2/27/2007: $280M 3Q and 4Q combined</t>
        </r>
      </text>
    </comment>
    <comment ref="CR81" authorId="13">
      <text>
        <r>
          <rPr>
            <b/>
            <sz val="8"/>
            <color indexed="81"/>
            <rFont val="Tahoma"/>
            <family val="2"/>
          </rPr>
          <t xml:space="preserve">11/7/2012: </t>
        </r>
        <r>
          <rPr>
            <sz val="8"/>
            <color indexed="81"/>
            <rFont val="Tahoma"/>
            <family val="2"/>
          </rPr>
          <t>$112M (ex debt tender premium)</t>
        </r>
        <r>
          <rPr>
            <b/>
            <sz val="8"/>
            <color indexed="81"/>
            <rFont val="Tahoma"/>
            <family val="2"/>
          </rPr>
          <t xml:space="preserve">
8/8/2012 Guidance
</t>
        </r>
        <r>
          <rPr>
            <sz val="8"/>
            <color indexed="81"/>
            <rFont val="Tahoma"/>
            <family val="2"/>
          </rPr>
          <t>Should include an extra wk of interest expense for the 53rd week</t>
        </r>
        <r>
          <rPr>
            <b/>
            <sz val="8"/>
            <color indexed="81"/>
            <rFont val="Tahoma"/>
            <family val="2"/>
          </rPr>
          <t xml:space="preserve">
Note: 2/21/2012
</t>
        </r>
        <r>
          <rPr>
            <b/>
            <i/>
            <sz val="8"/>
            <color indexed="12"/>
            <rFont val="Tahoma"/>
            <family val="2"/>
          </rPr>
          <t>~$15M factor added to account for amortization of financing fees / premium (decrease to int exp) and  capitalized interest (increase to int exp)</t>
        </r>
        <r>
          <rPr>
            <sz val="8"/>
            <color indexed="81"/>
            <rFont val="Tahoma"/>
            <family val="2"/>
          </rPr>
          <t xml:space="preserve">
</t>
        </r>
      </text>
    </comment>
    <comment ref="DD81" authorId="4">
      <text>
        <r>
          <rPr>
            <b/>
            <sz val="9"/>
            <color indexed="81"/>
            <rFont val="Tahoma"/>
            <family val="2"/>
          </rPr>
          <t xml:space="preserve">Baglione, Gregory  (Research):
</t>
        </r>
        <r>
          <rPr>
            <sz val="9"/>
            <color indexed="81"/>
            <rFont val="Tahoma"/>
            <family val="2"/>
          </rPr>
          <t xml:space="preserve">11/11/15
Guidance interest expense $96M
8/12/15: But in the fourth quarter interest expense is assumed to be back at the levels experienced in the first two quarters of the year.
</t>
        </r>
      </text>
    </comment>
    <comment ref="BX82" authorId="0">
      <text>
        <r>
          <rPr>
            <b/>
            <u/>
            <sz val="8"/>
            <color indexed="81"/>
            <rFont val="Tahoma"/>
            <family val="2"/>
          </rPr>
          <t>Guidance</t>
        </r>
        <r>
          <rPr>
            <b/>
            <sz val="8"/>
            <color indexed="81"/>
            <rFont val="Tahoma"/>
            <family val="2"/>
          </rPr>
          <t xml:space="preserve">
Author</t>
        </r>
        <r>
          <rPr>
            <sz val="8"/>
            <color indexed="81"/>
            <rFont val="Tahoma"/>
            <family val="2"/>
          </rPr>
          <t xml:space="preserve">: Morgan Stanley
</t>
        </r>
        <r>
          <rPr>
            <b/>
            <sz val="8"/>
            <color indexed="81"/>
            <rFont val="Tahoma"/>
            <family val="2"/>
          </rPr>
          <t>Date</t>
        </r>
        <r>
          <rPr>
            <sz val="8"/>
            <color indexed="81"/>
            <rFont val="Tahoma"/>
            <family val="2"/>
          </rPr>
          <t xml:space="preserve">: 2/27/2007
</t>
        </r>
        <r>
          <rPr>
            <b/>
            <sz val="8"/>
            <color indexed="81"/>
            <rFont val="Tahoma"/>
            <family val="2"/>
          </rPr>
          <t>Comment</t>
        </r>
        <r>
          <rPr>
            <sz val="8"/>
            <color indexed="81"/>
            <rFont val="Tahoma"/>
            <family val="2"/>
          </rPr>
          <t>: 
$530M.  Includes costs to execute $4bn repurchase program</t>
        </r>
      </text>
    </comment>
    <comment ref="CR82" authorId="1">
      <text>
        <r>
          <rPr>
            <b/>
            <sz val="8"/>
            <color indexed="81"/>
            <rFont val="Tahoma"/>
            <family val="2"/>
          </rPr>
          <t xml:space="preserve">Guidance 2/21/12:
</t>
        </r>
        <r>
          <rPr>
            <sz val="8"/>
            <color indexed="81"/>
            <rFont val="Tahoma"/>
            <family val="2"/>
          </rPr>
          <t>$435M-$440M
The price for the redemption was calculated pursuant to the indenture and resulted in the recognition of additional interest expense of $4 million in 2012. The additional interest expense resulting from these transactions is presented as premium on early retirement of debt on the Consolidated Statements of Income.</t>
        </r>
      </text>
    </comment>
    <comment ref="CV82" authorId="1">
      <text>
        <r>
          <rPr>
            <b/>
            <sz val="8"/>
            <color indexed="81"/>
            <rFont val="Tahoma"/>
            <family val="2"/>
          </rPr>
          <t xml:space="preserve">2/26/2013 Guidance: </t>
        </r>
        <r>
          <rPr>
            <sz val="8"/>
            <color indexed="81"/>
            <rFont val="Tahoma"/>
            <family val="2"/>
          </rPr>
          <t>$395M</t>
        </r>
        <r>
          <rPr>
            <i/>
            <sz val="8"/>
            <color indexed="81"/>
            <rFont val="Tahoma"/>
            <family val="2"/>
          </rPr>
          <t xml:space="preserve">
</t>
        </r>
        <r>
          <rPr>
            <b/>
            <sz val="8"/>
            <color indexed="81"/>
            <rFont val="Tahoma"/>
            <family val="2"/>
          </rPr>
          <t xml:space="preserve">11/29/2012: 
</t>
        </r>
        <r>
          <rPr>
            <sz val="8"/>
            <color indexed="81"/>
            <rFont val="Tahoma"/>
            <family val="2"/>
          </rPr>
          <t>1) per IR - back of the envelope  -30M vs. FY12 from tender
2) Also paid down debt 3/15: $616M @ 5.35% and $173 @ 8% -&gt; ~$6M benefit for 1.5 months of less int y/y)
3) Also $109M due in Aug. 2013 (est. $3M benefit to 2H13)</t>
        </r>
      </text>
    </comment>
    <comment ref="CZ82" authorId="10">
      <text>
        <r>
          <rPr>
            <b/>
            <sz val="8"/>
            <color indexed="81"/>
            <rFont val="Tahoma"/>
            <family val="2"/>
          </rPr>
          <t xml:space="preserve">2/25/14: </t>
        </r>
        <r>
          <rPr>
            <sz val="8"/>
            <color indexed="81"/>
            <rFont val="Tahoma"/>
            <family val="2"/>
          </rPr>
          <t xml:space="preserve">guidance $390M
</t>
        </r>
        <r>
          <rPr>
            <b/>
            <sz val="8"/>
            <color indexed="81"/>
            <rFont val="Tahoma"/>
            <family val="2"/>
          </rPr>
          <t>8/13/14:</t>
        </r>
        <r>
          <rPr>
            <sz val="8"/>
            <color indexed="81"/>
            <rFont val="Tahoma"/>
            <family val="2"/>
          </rPr>
          <t xml:space="preserve"> guidance $390M</t>
        </r>
      </text>
    </comment>
    <comment ref="DD82" authorId="3">
      <text>
        <r>
          <rPr>
            <b/>
            <sz val="9"/>
            <color indexed="81"/>
            <rFont val="Tahoma"/>
            <family val="2"/>
          </rPr>
          <t>casselau:</t>
        </r>
        <r>
          <rPr>
            <sz val="9"/>
            <color indexed="81"/>
            <rFont val="Tahoma"/>
            <family val="2"/>
          </rPr>
          <t xml:space="preserve">
2/25/15: $380M guidance</t>
        </r>
      </text>
    </comment>
    <comment ref="DH82" authorId="4">
      <text>
        <r>
          <rPr>
            <b/>
            <sz val="9"/>
            <color indexed="81"/>
            <rFont val="Tahoma"/>
            <family val="2"/>
          </rPr>
          <t>Baglione, Gregory  (Research):</t>
        </r>
        <r>
          <rPr>
            <sz val="9"/>
            <color indexed="81"/>
            <rFont val="Tahoma"/>
            <family val="2"/>
          </rPr>
          <t xml:space="preserve">
11/11/16
Unchanged $365M expected
8/11/16
Guidance unchanged
2/23/16
Expect FY interest expense $365M
</t>
        </r>
      </text>
    </comment>
    <comment ref="DL82" authorId="11">
      <text>
        <r>
          <rPr>
            <b/>
            <sz val="9"/>
            <color indexed="81"/>
            <rFont val="Tahoma"/>
            <family val="2"/>
          </rPr>
          <t>Roberts, Cynthia (Research):</t>
        </r>
        <r>
          <rPr>
            <sz val="9"/>
            <color indexed="81"/>
            <rFont val="Tahoma"/>
            <family val="2"/>
          </rPr>
          <t xml:space="preserve">
8/10/17: Annual interest expense is e</t>
        </r>
        <r>
          <rPr>
            <b/>
            <sz val="9"/>
            <color indexed="81"/>
            <rFont val="Tahoma"/>
            <family val="2"/>
          </rPr>
          <t>xpected to be approximately $315 million,</t>
        </r>
        <r>
          <rPr>
            <sz val="9"/>
            <color indexed="81"/>
            <rFont val="Tahoma"/>
            <family val="2"/>
          </rPr>
          <t xml:space="preserve"> (corrected by company after the call) excluding the net income -- net impactof any premiums or expenses associated with debt repurchases. This is l</t>
        </r>
        <r>
          <rPr>
            <b/>
            <sz val="9"/>
            <color indexed="81"/>
            <rFont val="Tahoma"/>
            <family val="2"/>
          </rPr>
          <t xml:space="preserve">ower than our original guidance due to the earlier than assumed repurchase
of debt.
</t>
        </r>
        <r>
          <rPr>
            <sz val="9"/>
            <color indexed="81"/>
            <rFont val="Tahoma"/>
            <family val="2"/>
          </rPr>
          <t xml:space="preserve">
2/21/17: </t>
        </r>
        <r>
          <rPr>
            <b/>
            <sz val="9"/>
            <color indexed="81"/>
            <rFont val="Tahoma"/>
            <family val="2"/>
          </rPr>
          <t>Guidance: Interest expense ~ $320M to $325M;</t>
        </r>
        <r>
          <rPr>
            <sz val="9"/>
            <color indexed="81"/>
            <rFont val="Tahoma"/>
            <family val="2"/>
          </rPr>
          <t xml:space="preserve"> The reduction versus 2016 results from paying off the debt in 2016 of maturity as well as the additional $300 million in 2017 and an estimate of our anticipated debt repurchase. Actual interest expense could vary based on the timing and the actual amount of that repurchase.</t>
        </r>
      </text>
    </comment>
    <comment ref="DP82" authorId="5">
      <text>
        <r>
          <rPr>
            <b/>
            <sz val="9"/>
            <color indexed="81"/>
            <rFont val="Tahoma"/>
            <family val="2"/>
          </rPr>
          <t>De Courreges, Edouard (Research):</t>
        </r>
        <r>
          <rPr>
            <sz val="9"/>
            <color indexed="81"/>
            <rFont val="Tahoma"/>
            <family val="2"/>
          </rPr>
          <t xml:space="preserve">
2/27 Guide: interest exp $255M-260M</t>
        </r>
      </text>
    </comment>
    <comment ref="DE118" authorId="3">
      <text>
        <r>
          <rPr>
            <b/>
            <sz val="9"/>
            <color indexed="81"/>
            <rFont val="Tahoma"/>
            <family val="2"/>
          </rPr>
          <t>casselau:</t>
        </r>
        <r>
          <rPr>
            <sz val="9"/>
            <color indexed="81"/>
            <rFont val="Tahoma"/>
            <family val="2"/>
          </rPr>
          <t xml:space="preserve">
5/13/15: last year they benefitted from tax settlements</t>
        </r>
      </text>
    </comment>
    <comment ref="DH118" authorId="4">
      <text>
        <r>
          <rPr>
            <b/>
            <sz val="9"/>
            <color indexed="81"/>
            <rFont val="Tahoma"/>
            <family val="2"/>
          </rPr>
          <t>Baglione, Gregory  (Research):</t>
        </r>
        <r>
          <rPr>
            <sz val="9"/>
            <color indexed="81"/>
            <rFont val="Tahoma"/>
            <family val="2"/>
          </rPr>
          <t xml:space="preserve">
5/11/16
 For the 13 weeks ended April 30, 2016, includes $13 million on a pre-tax basis, or $9 million after tax or $.03 per diluted share attributable to Macy’s, Inc., of non-cash settlement charges relating to the Company’s defined benefit retirement plans. These charges result from an increase in lump sum distributions associated with store closings, a voluntary separation program and organizational restructuring, in addition to periodic distribution activy
$4M Tax adjustment</t>
        </r>
      </text>
    </comment>
    <comment ref="DL118" authorId="5">
      <text>
        <r>
          <rPr>
            <b/>
            <sz val="9"/>
            <color indexed="81"/>
            <rFont val="Tahoma"/>
            <family val="2"/>
          </rPr>
          <t xml:space="preserve">De Courreges, Edouard (Research):
5/11/17: </t>
        </r>
        <r>
          <rPr>
            <sz val="9"/>
            <color indexed="81"/>
            <rFont val="Tahoma"/>
            <family val="2"/>
          </rPr>
          <t>include premium expenses and f</t>
        </r>
        <r>
          <rPr>
            <b/>
            <sz val="9"/>
            <color indexed="81"/>
            <rFont val="Tahoma"/>
            <family val="2"/>
          </rPr>
          <t>ees of approximately $3 million on a pre-tax basis, $2 million after tax</t>
        </r>
        <r>
          <rPr>
            <sz val="9"/>
            <color indexed="81"/>
            <rFont val="Tahoma"/>
            <family val="2"/>
          </rPr>
          <t xml:space="preserve">  or $.01 per diluted share attributable to Macy’s, Inc., associated with the early retirement of debt</t>
        </r>
      </text>
    </comment>
    <comment ref="DQ118" authorId="5">
      <text>
        <r>
          <rPr>
            <b/>
            <sz val="9"/>
            <color indexed="81"/>
            <rFont val="Tahoma"/>
            <family val="2"/>
          </rPr>
          <t>De Courreges, Edouard (Research):</t>
        </r>
        <r>
          <rPr>
            <sz val="9"/>
            <color indexed="81"/>
            <rFont val="Tahoma"/>
            <family val="2"/>
          </rPr>
          <t xml:space="preserve">
Assume 14% reduction from tax reform (35-21), but add back ~2% from loss of certain deductions</t>
        </r>
      </text>
    </comment>
    <comment ref="DA119" authorId="2">
      <text>
        <r>
          <rPr>
            <b/>
            <sz val="9"/>
            <color indexed="81"/>
            <rFont val="Tahoma"/>
            <family val="2"/>
          </rPr>
          <t xml:space="preserve">8/15/14: </t>
        </r>
        <r>
          <rPr>
            <sz val="9"/>
            <color indexed="81"/>
            <rFont val="Tahoma"/>
            <family val="2"/>
          </rPr>
          <t xml:space="preserve">higher y/y due to timing
</t>
        </r>
      </text>
    </comment>
    <comment ref="DL119" authorId="5">
      <text>
        <r>
          <rPr>
            <b/>
            <sz val="9"/>
            <color indexed="81"/>
            <rFont val="Tahoma"/>
            <family val="2"/>
          </rPr>
          <t>De Courreges, Edouard (Research):</t>
        </r>
        <r>
          <rPr>
            <sz val="9"/>
            <color indexed="81"/>
            <rFont val="Tahoma"/>
            <family val="2"/>
          </rPr>
          <t xml:space="preserve">
8/10/17: </t>
        </r>
        <r>
          <rPr>
            <b/>
            <sz val="9"/>
            <color indexed="81"/>
            <rFont val="Tahoma"/>
            <family val="2"/>
          </rPr>
          <t xml:space="preserve">non-cash  settlement charges of $51 million </t>
        </r>
        <r>
          <rPr>
            <sz val="9"/>
            <color indexed="81"/>
            <rFont val="Tahoma"/>
            <family val="2"/>
          </rPr>
          <t>and $6 million, respectively, were recognized on a pre-tax basis. The</t>
        </r>
        <r>
          <rPr>
            <b/>
            <sz val="9"/>
            <color indexed="81"/>
            <rFont val="Tahoma"/>
            <family val="2"/>
          </rPr>
          <t xml:space="preserve"> after tax effect of these charges during the 13 weeks ended July 29, 2017 was $32 million</t>
        </r>
        <r>
          <rPr>
            <sz val="9"/>
            <color indexed="81"/>
            <rFont val="Tahoma"/>
            <family val="2"/>
          </rPr>
          <t xml:space="preserve">, or $.10 per diluted share attributable to Macy’s, Inc.
include income associated with the early retirement of debt of approximately $2 million on a pre-tax basis, $1 million after tax, related to premium amortization net of expenses and fees.         </t>
        </r>
      </text>
    </comment>
    <comment ref="CS120" authorId="1">
      <text>
        <r>
          <rPr>
            <b/>
            <sz val="8"/>
            <color indexed="81"/>
            <rFont val="Tahoma"/>
            <family val="2"/>
          </rPr>
          <t xml:space="preserve">11/7/2012: </t>
        </r>
        <r>
          <rPr>
            <sz val="8"/>
            <color indexed="81"/>
            <rFont val="Tahoma"/>
            <family val="2"/>
          </rPr>
          <t>benefit from normal course state tax settlements</t>
        </r>
        <r>
          <rPr>
            <b/>
            <sz val="8"/>
            <color indexed="81"/>
            <rFont val="Tahoma"/>
            <family val="2"/>
          </rPr>
          <t xml:space="preserve">
8/8/2012 Guidance: </t>
        </r>
        <r>
          <rPr>
            <sz val="8"/>
            <color indexed="81"/>
            <rFont val="Tahoma"/>
            <family val="2"/>
          </rPr>
          <t>37% for FY, lapping ~5c benefit from tax settlements LY</t>
        </r>
      </text>
    </comment>
    <comment ref="DE120" authorId="4">
      <text>
        <r>
          <rPr>
            <b/>
            <sz val="9"/>
            <color indexed="81"/>
            <rFont val="Tahoma"/>
            <family val="2"/>
          </rPr>
          <t>Baglione, Gregory  (Research):</t>
        </r>
        <r>
          <rPr>
            <sz val="9"/>
            <color indexed="81"/>
            <rFont val="Tahoma"/>
            <family val="2"/>
          </rPr>
          <t xml:space="preserve">
8/12/15  In the third quarter the tax rate is expected to be higher than last year, because last year's rate benefited from one-time tax settlements that happened during the quarter and was only 33%. 
</t>
        </r>
      </text>
    </comment>
    <comment ref="DL120" authorId="5">
      <text>
        <r>
          <rPr>
            <b/>
            <sz val="9"/>
            <color indexed="81"/>
            <rFont val="Tahoma"/>
            <family val="2"/>
          </rPr>
          <t xml:space="preserve">De Courreges, Edouard (Research):
</t>
        </r>
        <r>
          <rPr>
            <sz val="9"/>
            <color indexed="81"/>
            <rFont val="Tahoma"/>
            <family val="2"/>
          </rPr>
          <t>33M from restructuring
22M from settlement (retiremeent plans)</t>
        </r>
      </text>
    </comment>
    <comment ref="CR121" authorId="1">
      <text>
        <r>
          <rPr>
            <b/>
            <sz val="8"/>
            <color indexed="81"/>
            <rFont val="Tahoma"/>
            <family val="2"/>
          </rPr>
          <t xml:space="preserve">2/26/2013: </t>
        </r>
        <r>
          <rPr>
            <sz val="8"/>
            <color indexed="81"/>
            <rFont val="Tahoma"/>
            <family val="2"/>
          </rPr>
          <t>Adjusted for $133M debt retirement expense ($85M after tax, or 21c) and $5M store closing expense ($3M after tax, or 1c)</t>
        </r>
        <r>
          <rPr>
            <b/>
            <sz val="8"/>
            <color indexed="81"/>
            <rFont val="Tahoma"/>
            <family val="2"/>
          </rPr>
          <t xml:space="preserve">
</t>
        </r>
      </text>
    </comment>
    <comment ref="CS121" authorId="1">
      <text>
        <r>
          <rPr>
            <b/>
            <sz val="8"/>
            <color indexed="81"/>
            <rFont val="Tahoma"/>
            <family val="2"/>
          </rPr>
          <t xml:space="preserve">11/7/2012 Guidance: </t>
        </r>
        <r>
          <rPr>
            <sz val="8"/>
            <color indexed="81"/>
            <rFont val="Tahoma"/>
            <family val="2"/>
          </rPr>
          <t>4Q 37%</t>
        </r>
        <r>
          <rPr>
            <b/>
            <sz val="8"/>
            <color indexed="81"/>
            <rFont val="Tahoma"/>
            <family val="2"/>
          </rPr>
          <t xml:space="preserve">
8/8/2012 Guidance: </t>
        </r>
        <r>
          <rPr>
            <sz val="8"/>
            <color indexed="81"/>
            <rFont val="Tahoma"/>
            <family val="2"/>
          </rPr>
          <t>37% for FY</t>
        </r>
      </text>
    </comment>
    <comment ref="CV121" authorId="10">
      <text>
        <r>
          <rPr>
            <b/>
            <sz val="8"/>
            <color indexed="81"/>
            <rFont val="Tahoma"/>
            <family val="2"/>
          </rPr>
          <t>2/15/14</t>
        </r>
        <r>
          <rPr>
            <sz val="8"/>
            <color indexed="81"/>
            <rFont val="Tahoma"/>
            <family val="2"/>
          </rPr>
          <t xml:space="preserve">
Add tax impact of $88 one-time costs
$13M benefit from valuation allowance related to state NOLs
</t>
        </r>
      </text>
    </comment>
    <comment ref="DH121" authorId="11">
      <text>
        <r>
          <rPr>
            <b/>
            <sz val="9"/>
            <color indexed="81"/>
            <rFont val="Tahoma"/>
            <family val="2"/>
          </rPr>
          <t>Roberts, Cynthia (Research):</t>
        </r>
        <r>
          <rPr>
            <sz val="9"/>
            <color indexed="81"/>
            <rFont val="Tahoma"/>
            <family val="2"/>
          </rPr>
          <t xml:space="preserve">
2/21/17
For the 13 weeks ended January 28, 2017, impairments, store closing and other costs amounted to $230 million on a pre-tax basis, $137 million after tax or $.45 per diluted share attributable to Macy’s, Inc. 
Non-cash settlement charges of $17 million on a pre-tax basis, $10 million after tax or $.03 per diluted share attributable to Macy’s, Inc., were recognized in the 13 weeks ended January 28, 2017. </t>
        </r>
      </text>
    </comment>
    <comment ref="DI121" authorId="11">
      <text>
        <r>
          <rPr>
            <b/>
            <sz val="9"/>
            <color indexed="81"/>
            <rFont val="Tahoma"/>
            <family val="2"/>
          </rPr>
          <t>Roberts, Cynthia (Research):</t>
        </r>
        <r>
          <rPr>
            <sz val="9"/>
            <color indexed="81"/>
            <rFont val="Tahoma"/>
            <family val="2"/>
          </rPr>
          <t xml:space="preserve">
11/10/16
previous :37.0%
current: 36.4%
change reflects adjustment to FY 37% guidance</t>
        </r>
      </text>
    </comment>
    <comment ref="CS122" authorId="1">
      <text>
        <r>
          <rPr>
            <b/>
            <sz val="8"/>
            <color indexed="81"/>
            <rFont val="Tahoma"/>
            <family val="2"/>
          </rPr>
          <t xml:space="preserve">Guidance 5/9/2012
</t>
        </r>
        <r>
          <rPr>
            <sz val="8"/>
            <color indexed="81"/>
            <rFont val="Tahoma"/>
            <family val="2"/>
          </rPr>
          <t>Reaffirmed +37% tax rate guidance</t>
        </r>
        <r>
          <rPr>
            <b/>
            <sz val="8"/>
            <color indexed="81"/>
            <rFont val="Tahoma"/>
            <family val="2"/>
          </rPr>
          <t xml:space="preserve">
Guidance 2/21/12
</t>
        </r>
        <r>
          <rPr>
            <sz val="8"/>
            <color indexed="81"/>
            <rFont val="Tahoma"/>
            <family val="2"/>
          </rPr>
          <t>36.95%</t>
        </r>
        <r>
          <rPr>
            <b/>
            <sz val="8"/>
            <color indexed="81"/>
            <rFont val="Tahoma"/>
            <family val="2"/>
          </rPr>
          <t xml:space="preserve">
Comment 11/9/11:
</t>
        </r>
        <r>
          <rPr>
            <sz val="8"/>
            <color indexed="81"/>
            <rFont val="Tahoma"/>
            <family val="2"/>
          </rPr>
          <t>Trying to target 37% run-rate</t>
        </r>
      </text>
    </comment>
    <comment ref="CW122" authorId="1">
      <text>
        <r>
          <rPr>
            <b/>
            <sz val="8"/>
            <color indexed="81"/>
            <rFont val="Tahoma"/>
            <family val="2"/>
          </rPr>
          <t xml:space="preserve">2/26/2013 guidance: </t>
        </r>
        <r>
          <rPr>
            <sz val="8"/>
            <color indexed="81"/>
            <rFont val="Tahoma"/>
            <family val="2"/>
          </rPr>
          <t xml:space="preserve">36.95%
</t>
        </r>
        <r>
          <rPr>
            <b/>
            <sz val="8"/>
            <color indexed="81"/>
            <rFont val="Tahoma"/>
            <family val="2"/>
          </rPr>
          <t>8/15/13:</t>
        </r>
        <r>
          <rPr>
            <sz val="8"/>
            <color indexed="81"/>
            <rFont val="Tahoma"/>
            <family val="2"/>
          </rPr>
          <t xml:space="preserve"> reaffirms 36.95% full year target
</t>
        </r>
        <r>
          <rPr>
            <b/>
            <sz val="8"/>
            <color indexed="81"/>
            <rFont val="Tahoma"/>
            <family val="2"/>
          </rPr>
          <t>11/13/13:</t>
        </r>
        <r>
          <rPr>
            <sz val="8"/>
            <color indexed="81"/>
            <rFont val="Tahoma"/>
            <family val="2"/>
          </rPr>
          <t xml:space="preserve"> now expects 36%. Due to securing the benefit of additional state and federal income tax credits and settlements throughout this year. 
</t>
        </r>
      </text>
    </comment>
    <comment ref="DA122" authorId="10">
      <text>
        <r>
          <rPr>
            <b/>
            <sz val="8"/>
            <color indexed="81"/>
            <rFont val="Tahoma"/>
            <family val="2"/>
          </rPr>
          <t xml:space="preserve">2/25/14: </t>
        </r>
        <r>
          <rPr>
            <sz val="8"/>
            <color indexed="81"/>
            <rFont val="Tahoma"/>
            <family val="2"/>
          </rPr>
          <t>guidance 36.4%</t>
        </r>
        <r>
          <rPr>
            <sz val="8"/>
            <color indexed="81"/>
            <rFont val="Tahoma"/>
            <family val="2"/>
          </rPr>
          <t xml:space="preserve">
</t>
        </r>
        <r>
          <rPr>
            <b/>
            <sz val="8"/>
            <color indexed="81"/>
            <rFont val="Tahoma"/>
            <family val="2"/>
          </rPr>
          <t>8/13/14:</t>
        </r>
        <r>
          <rPr>
            <sz val="8"/>
            <color indexed="81"/>
            <rFont val="Tahoma"/>
            <family val="2"/>
          </rPr>
          <t xml:space="preserve"> reiterated guidance 36.4%</t>
        </r>
      </text>
    </comment>
    <comment ref="DE122" authorId="3">
      <text>
        <r>
          <rPr>
            <b/>
            <sz val="9"/>
            <color indexed="81"/>
            <rFont val="Tahoma"/>
            <family val="2"/>
          </rPr>
          <t>casselau:</t>
        </r>
        <r>
          <rPr>
            <sz val="9"/>
            <color indexed="81"/>
            <rFont val="Tahoma"/>
            <family val="2"/>
          </rPr>
          <t xml:space="preserve">
37%</t>
        </r>
      </text>
    </comment>
    <comment ref="DI122" authorId="4">
      <text>
        <r>
          <rPr>
            <b/>
            <sz val="9"/>
            <color indexed="81"/>
            <rFont val="Tahoma"/>
            <family val="2"/>
          </rPr>
          <t>Baglione, Gregory  (Research):</t>
        </r>
        <r>
          <rPr>
            <sz val="9"/>
            <color indexed="81"/>
            <rFont val="Tahoma"/>
            <family val="2"/>
          </rPr>
          <t xml:space="preserve">
11/11/16
FY rate 37%
2/23/16
Expect FY tax rate 37%
</t>
        </r>
      </text>
    </comment>
    <comment ref="DM122" authorId="11">
      <text>
        <r>
          <rPr>
            <b/>
            <sz val="9"/>
            <color indexed="81"/>
            <rFont val="Tahoma"/>
            <family val="2"/>
          </rPr>
          <t>Roberts, Cynthia (Research):</t>
        </r>
        <r>
          <rPr>
            <sz val="9"/>
            <color indexed="81"/>
            <rFont val="Tahoma"/>
            <family val="2"/>
          </rPr>
          <t xml:space="preserve">
1/4/18: 1 month benefit from tax reform will bring our tax rate  to ~36%
8/10/17: 37% reconfirmed
5/11/17: The effective tax rate of 47.4% is higher than our annual estimate (EC: Q1 doesn't match bc of adjustment) due to the adoption of the new accounting rule for the income tax effects of stock-based compensation.</t>
        </r>
        <r>
          <rPr>
            <b/>
            <sz val="9"/>
            <color indexed="81"/>
            <rFont val="Tahoma"/>
            <family val="2"/>
          </rPr>
          <t xml:space="preserve"> We still expect the annual effective rate to be approximately 37%.</t>
        </r>
        <r>
          <rPr>
            <sz val="9"/>
            <color indexed="81"/>
            <rFont val="Tahoma"/>
            <family val="2"/>
          </rPr>
          <t xml:space="preserve">
2/21/17
guidance:  we are assuming an effective tax rate of 37%</t>
        </r>
      </text>
    </comment>
    <comment ref="CJ138" authorId="9">
      <text>
        <r>
          <rPr>
            <sz val="8"/>
            <color indexed="81"/>
            <rFont val="Tahoma"/>
            <family val="2"/>
          </rPr>
          <t xml:space="preserve">1) $27M pre-tax/ $17M after tax impact of debt premium
2) Equivalent to 4 cents of EPS
</t>
        </r>
      </text>
    </comment>
    <comment ref="DH138" authorId="4">
      <text>
        <r>
          <rPr>
            <b/>
            <sz val="9"/>
            <color indexed="81"/>
            <rFont val="Tahoma"/>
            <family val="2"/>
          </rPr>
          <t>Baglione, Gregory  (Research):</t>
        </r>
        <r>
          <rPr>
            <sz val="9"/>
            <color indexed="81"/>
            <rFont val="Tahoma"/>
            <family val="2"/>
          </rPr>
          <t xml:space="preserve">
NCI</t>
        </r>
      </text>
    </comment>
    <comment ref="DL138" authorId="5">
      <text>
        <r>
          <rPr>
            <b/>
            <sz val="9"/>
            <color indexed="81"/>
            <rFont val="Tahoma"/>
            <family val="2"/>
          </rPr>
          <t>De Courreges, Edouard (Research):</t>
        </r>
        <r>
          <rPr>
            <sz val="9"/>
            <color indexed="81"/>
            <rFont val="Tahoma"/>
            <family val="2"/>
          </rPr>
          <t xml:space="preserve">
5/11/17: include </t>
        </r>
        <r>
          <rPr>
            <b/>
            <sz val="9"/>
            <color indexed="81"/>
            <rFont val="Tahoma"/>
            <family val="2"/>
          </rPr>
          <t>premium expenses and fees of approximately $3 million</t>
        </r>
        <r>
          <rPr>
            <sz val="9"/>
            <color indexed="81"/>
            <rFont val="Tahoma"/>
            <family val="2"/>
          </rPr>
          <t xml:space="preserve"> on a pre-tax basis, $2 million after tax  or $.01 per diluted share attributable to Macy’s, Inc., </t>
        </r>
        <r>
          <rPr>
            <b/>
            <sz val="9"/>
            <color indexed="81"/>
            <rFont val="Tahoma"/>
            <family val="2"/>
          </rPr>
          <t>associated with the early retirement of debt</t>
        </r>
      </text>
    </comment>
    <comment ref="DH139" authorId="4">
      <text>
        <r>
          <rPr>
            <b/>
            <sz val="9"/>
            <color indexed="81"/>
            <rFont val="Tahoma"/>
            <family val="2"/>
          </rPr>
          <t>Baglione, Gregory  (Research):</t>
        </r>
        <r>
          <rPr>
            <sz val="9"/>
            <color indexed="81"/>
            <rFont val="Tahoma"/>
            <family val="2"/>
          </rPr>
          <t xml:space="preserve">
NCI</t>
        </r>
      </text>
    </comment>
    <comment ref="CJ140" authorId="9">
      <text>
        <r>
          <rPr>
            <sz val="8"/>
            <color indexed="81"/>
            <rFont val="Tahoma"/>
            <family val="2"/>
          </rPr>
          <t xml:space="preserve">1) $39M pre-tax/ $24M after tax impact of debt premium
2) Equivalent to 6 cents of EPS
</t>
        </r>
      </text>
    </comment>
    <comment ref="DL140" authorId="5">
      <text>
        <r>
          <rPr>
            <b/>
            <sz val="9"/>
            <color indexed="81"/>
            <rFont val="Tahoma"/>
            <family val="2"/>
          </rPr>
          <t>De Courreges, Edouard (Research):</t>
        </r>
        <r>
          <rPr>
            <sz val="9"/>
            <color indexed="81"/>
            <rFont val="Tahoma"/>
            <family val="2"/>
          </rPr>
          <t xml:space="preserve">
33M from restructuring
22M from settlement (retiremeent plans)</t>
        </r>
      </text>
    </comment>
    <comment ref="BX141" authorId="8">
      <text>
        <r>
          <rPr>
            <b/>
            <sz val="8"/>
            <color indexed="81"/>
            <rFont val="Tahoma"/>
            <family val="2"/>
          </rPr>
          <t xml:space="preserve">Guidance: 2/6/08
</t>
        </r>
        <r>
          <rPr>
            <sz val="8"/>
            <color indexed="81"/>
            <rFont val="Tahoma"/>
            <family val="2"/>
          </rPr>
          <t>A credit, primarily attributable to a loss related to the disposition of a former subsidiary, will reduce income tax expense by ~$78M and contribute ~18 cents to 4Q EPS.</t>
        </r>
        <r>
          <rPr>
            <b/>
            <sz val="8"/>
            <color indexed="81"/>
            <rFont val="Tahoma"/>
            <family val="2"/>
          </rPr>
          <t xml:space="preserve">
</t>
        </r>
        <r>
          <rPr>
            <sz val="8"/>
            <color indexed="81"/>
            <rFont val="Tahoma"/>
            <family val="2"/>
          </rPr>
          <t xml:space="preserve">
</t>
        </r>
      </text>
    </comment>
    <comment ref="CR141" authorId="1">
      <text>
        <r>
          <rPr>
            <b/>
            <sz val="8"/>
            <color indexed="81"/>
            <rFont val="Tahoma"/>
            <family val="2"/>
          </rPr>
          <t>2/26/2013:</t>
        </r>
        <r>
          <rPr>
            <sz val="8"/>
            <color indexed="81"/>
            <rFont val="Tahoma"/>
            <family val="2"/>
          </rPr>
          <t xml:space="preserve"> Adjusted for $133M debt retirement expense ($85M after tax, or 21c) and $5M store closing expense ($3M after tax, or 1c)</t>
        </r>
        <r>
          <rPr>
            <b/>
            <sz val="8"/>
            <color indexed="81"/>
            <rFont val="Tahoma"/>
            <family val="2"/>
          </rPr>
          <t xml:space="preserve">
2/7/2013:</t>
        </r>
        <r>
          <rPr>
            <sz val="8"/>
            <color indexed="81"/>
            <rFont val="Tahoma"/>
            <family val="2"/>
          </rPr>
          <t xml:space="preserve"> Expect 22c impact for costs associated w/ debt tender &amp; store closings</t>
        </r>
        <r>
          <rPr>
            <b/>
            <sz val="8"/>
            <color indexed="81"/>
            <rFont val="Tahoma"/>
            <family val="2"/>
          </rPr>
          <t xml:space="preserve">
1/3/2013: </t>
        </r>
        <r>
          <rPr>
            <sz val="8"/>
            <color indexed="81"/>
            <rFont val="Tahoma"/>
            <family val="2"/>
          </rPr>
          <t>Expect 21c impact for costs associated w/ debt tender &amp; store closings; 4Q EPS including items $1.70-$1.75</t>
        </r>
      </text>
    </comment>
    <comment ref="CV141" authorId="10">
      <text>
        <r>
          <rPr>
            <b/>
            <sz val="8"/>
            <color indexed="81"/>
            <rFont val="Tahoma"/>
            <family val="2"/>
          </rPr>
          <t>duol:
$88M (before tax) cost related to store closing and cost redution announced in Jan 2014</t>
        </r>
        <r>
          <rPr>
            <sz val="8"/>
            <color indexed="81"/>
            <rFont val="Tahoma"/>
            <family val="2"/>
          </rPr>
          <t xml:space="preserve">
$39M asset impairment charges 
$43M restructuring-related costs and expenses 
$6 million of other related costs and expenses</t>
        </r>
      </text>
    </comment>
    <comment ref="DD141" authorId="4">
      <text>
        <r>
          <rPr>
            <b/>
            <sz val="9"/>
            <color indexed="81"/>
            <rFont val="Tahoma"/>
            <family val="2"/>
          </rPr>
          <t>Baglione, Gregory  (Research):</t>
        </r>
        <r>
          <rPr>
            <sz val="9"/>
            <color indexed="81"/>
            <rFont val="Tahoma"/>
            <family val="2"/>
          </rPr>
          <t xml:space="preserve">
$37M of charges were for additional non-cash impairment</t>
        </r>
      </text>
    </comment>
    <comment ref="DH141" authorId="11">
      <text>
        <r>
          <rPr>
            <b/>
            <sz val="9"/>
            <color indexed="81"/>
            <rFont val="Tahoma"/>
            <family val="2"/>
          </rPr>
          <t>Roberts, Cynthia (Research):</t>
        </r>
        <r>
          <rPr>
            <sz val="9"/>
            <color indexed="81"/>
            <rFont val="Tahoma"/>
            <family val="2"/>
          </rPr>
          <t xml:space="preserve">
2/21/17
For the 13 weeks ended January 28, 2017, impairments, store closing and other costs amounted to $230 million on a pre-tax basis, $137 million after tax or $.45 per diluted share attributable to Macy’s, Inc. 
Non-cash settlement charges of $17 million on a pre-tax basis, $10 million after tax or $.03 per diluted share attributable to Macy’s, Inc., were recognized in the 13 weeks ended January 28, 2017. </t>
        </r>
      </text>
    </comment>
    <comment ref="DL141" authorId="5">
      <text>
        <r>
          <rPr>
            <b/>
            <sz val="9"/>
            <color indexed="81"/>
            <rFont val="Tahoma"/>
            <family val="2"/>
          </rPr>
          <t>De Courreges, Edouard (Research):</t>
        </r>
        <r>
          <rPr>
            <sz val="9"/>
            <color indexed="81"/>
            <rFont val="Tahoma"/>
            <family val="2"/>
          </rPr>
          <t xml:space="preserve">
anticipate one-time 160M  (115) cash, booked in 4Q for restructuring, asset impairment, store closings, and other costs</t>
        </r>
      </text>
    </comment>
    <comment ref="AJ142" authorId="0">
      <text>
        <r>
          <rPr>
            <b/>
            <sz val="8"/>
            <color indexed="81"/>
            <rFont val="Tahoma"/>
            <family val="2"/>
          </rPr>
          <t>The extraordinary items for 1998 and 1997 were after-tax expenses associated with debt prepayments</t>
        </r>
      </text>
    </comment>
    <comment ref="AN142" authorId="0">
      <text>
        <r>
          <rPr>
            <b/>
            <sz val="8"/>
            <color indexed="81"/>
            <rFont val="Tahoma"/>
            <family val="2"/>
          </rPr>
          <t>The extraordinary items for 1998 and 1997 were after-tax expenses associated with debt prepayments</t>
        </r>
      </text>
    </comment>
    <comment ref="AR142" authorId="0">
      <text>
        <r>
          <rPr>
            <b/>
            <sz val="8"/>
            <color indexed="81"/>
            <rFont val="Tahoma"/>
            <family val="2"/>
          </rPr>
          <t>Discontinued operations include the after-tax operations of Fingerhut Companies, Inc.</t>
        </r>
      </text>
    </comment>
    <comment ref="CR142" authorId="1">
      <text>
        <r>
          <rPr>
            <b/>
            <sz val="8"/>
            <color indexed="81"/>
            <rFont val="Tahoma"/>
            <family val="2"/>
          </rPr>
          <t>Note:</t>
        </r>
        <r>
          <rPr>
            <sz val="8"/>
            <color indexed="81"/>
            <rFont val="Tahoma"/>
            <family val="2"/>
          </rPr>
          <t xml:space="preserve"> Adjusted for int expense rounding</t>
        </r>
      </text>
    </comment>
    <comment ref="BX158" authorId="0">
      <text>
        <r>
          <rPr>
            <b/>
            <u/>
            <sz val="8"/>
            <color indexed="81"/>
            <rFont val="Tahoma"/>
            <family val="2"/>
          </rPr>
          <t>Guidance</t>
        </r>
        <r>
          <rPr>
            <b/>
            <sz val="8"/>
            <color indexed="81"/>
            <rFont val="Tahoma"/>
            <family val="2"/>
          </rPr>
          <t xml:space="preserve">
Author</t>
        </r>
        <r>
          <rPr>
            <sz val="8"/>
            <color indexed="81"/>
            <rFont val="Tahoma"/>
            <family val="2"/>
          </rPr>
          <t xml:space="preserve">: Morgan Stanley
</t>
        </r>
        <r>
          <rPr>
            <b/>
            <sz val="8"/>
            <color indexed="81"/>
            <rFont val="Tahoma"/>
            <family val="2"/>
          </rPr>
          <t>Date</t>
        </r>
        <r>
          <rPr>
            <sz val="8"/>
            <color indexed="81"/>
            <rFont val="Tahoma"/>
            <family val="2"/>
          </rPr>
          <t xml:space="preserve">: 2/27/2007
</t>
        </r>
        <r>
          <rPr>
            <b/>
            <sz val="8"/>
            <color indexed="81"/>
            <rFont val="Tahoma"/>
            <family val="2"/>
          </rPr>
          <t>Comment</t>
        </r>
        <r>
          <rPr>
            <sz val="8"/>
            <color indexed="81"/>
            <rFont val="Tahoma"/>
            <family val="2"/>
          </rPr>
          <t>: 
$0.15-$0.20</t>
        </r>
      </text>
    </comment>
    <comment ref="CJ158" authorId="9">
      <text>
        <r>
          <rPr>
            <b/>
            <sz val="8"/>
            <color indexed="81"/>
            <rFont val="Tahoma"/>
            <family val="2"/>
          </rPr>
          <t xml:space="preserve">Guidance 5/6/10:
</t>
        </r>
        <r>
          <rPr>
            <sz val="8"/>
            <color indexed="81"/>
            <rFont val="Tahoma"/>
            <family val="2"/>
          </rPr>
          <t>Raised to $0.02 to $0.04</t>
        </r>
        <r>
          <rPr>
            <b/>
            <sz val="8"/>
            <color indexed="81"/>
            <rFont val="Tahoma"/>
            <family val="2"/>
          </rPr>
          <t xml:space="preserve">
Guidance 4/27/10:
</t>
        </r>
        <r>
          <rPr>
            <sz val="8"/>
            <color indexed="81"/>
            <rFont val="Tahoma"/>
            <family val="2"/>
          </rPr>
          <t>Approx</t>
        </r>
        <r>
          <rPr>
            <b/>
            <sz val="8"/>
            <color indexed="81"/>
            <rFont val="Tahoma"/>
            <family val="2"/>
          </rPr>
          <t xml:space="preserve"> </t>
        </r>
        <r>
          <rPr>
            <sz val="8"/>
            <color indexed="81"/>
            <rFont val="Tahoma"/>
            <family val="2"/>
          </rPr>
          <t>breakeven EPS in 1Q
Excluding $27M in premium and fees related to repurchase of debt, 1Q EPS guidance is ~$0.04.</t>
        </r>
        <r>
          <rPr>
            <sz val="8"/>
            <color indexed="81"/>
            <rFont val="Tahoma"/>
            <family val="2"/>
          </rPr>
          <t xml:space="preserve">
</t>
        </r>
      </text>
    </comment>
    <comment ref="DH158" authorId="4">
      <text>
        <r>
          <rPr>
            <b/>
            <sz val="9"/>
            <color indexed="81"/>
            <rFont val="Tahoma"/>
            <family val="2"/>
          </rPr>
          <t>Baglione, Gregory  (Research):</t>
        </r>
        <r>
          <rPr>
            <sz val="9"/>
            <color indexed="81"/>
            <rFont val="Tahoma"/>
            <family val="2"/>
          </rPr>
          <t xml:space="preserve">
2/23/16
FY EPS $3.80-$3.90
"We assume that the earnings growth in the second and fourth quarters will more than offset the declines in the first and third quarters, so that as you could tell from our guidance for the full year, earnings per share would exceed 2015"</t>
        </r>
      </text>
    </comment>
    <comment ref="BT159" authorId="0">
      <text>
        <r>
          <rPr>
            <b/>
            <sz val="8"/>
            <color indexed="81"/>
            <rFont val="Tahoma"/>
            <family val="2"/>
          </rPr>
          <t>Guidance: 6/1/06
Ex-one-time merger integration and inventory valuation costs and gain on the sale of credit receivables 
$0.39-0.44 post split
Includes impact of $80M tax benefit to be in-line with company guidance</t>
        </r>
      </text>
    </comment>
    <comment ref="BX159" authorId="0">
      <text>
        <r>
          <rPr>
            <b/>
            <u/>
            <sz val="8"/>
            <color indexed="81"/>
            <rFont val="Tahoma"/>
            <family val="2"/>
          </rPr>
          <t>Guidance</t>
        </r>
        <r>
          <rPr>
            <b/>
            <sz val="8"/>
            <color indexed="81"/>
            <rFont val="Tahoma"/>
            <family val="2"/>
          </rPr>
          <t xml:space="preserve">
Author</t>
        </r>
        <r>
          <rPr>
            <sz val="8"/>
            <color indexed="81"/>
            <rFont val="Tahoma"/>
            <family val="2"/>
          </rPr>
          <t xml:space="preserve">: Morgan Stanley
</t>
        </r>
        <r>
          <rPr>
            <b/>
            <sz val="8"/>
            <color indexed="81"/>
            <rFont val="Tahoma"/>
            <family val="2"/>
          </rPr>
          <t>Date</t>
        </r>
        <r>
          <rPr>
            <sz val="8"/>
            <color indexed="81"/>
            <rFont val="Tahoma"/>
            <family val="2"/>
          </rPr>
          <t xml:space="preserve">: 5/16/2007
</t>
        </r>
        <r>
          <rPr>
            <b/>
            <sz val="8"/>
            <color indexed="81"/>
            <rFont val="Tahoma"/>
            <family val="2"/>
          </rPr>
          <t>Comment</t>
        </r>
        <r>
          <rPr>
            <sz val="8"/>
            <color indexed="81"/>
            <rFont val="Tahoma"/>
            <family val="2"/>
          </rPr>
          <t>: Revised to $0.35-$0.45
2/27/2007: $0.40-$0.45</t>
        </r>
      </text>
    </comment>
    <comment ref="DE159" authorId="3">
      <text>
        <r>
          <rPr>
            <b/>
            <sz val="9"/>
            <color indexed="81"/>
            <rFont val="Tahoma"/>
            <family val="2"/>
          </rPr>
          <t>casselau:</t>
        </r>
        <r>
          <rPr>
            <sz val="9"/>
            <color indexed="81"/>
            <rFont val="Tahoma"/>
            <family val="2"/>
          </rPr>
          <t xml:space="preserve">
5/13/15: per Karen: expect 2Q EPS below last year</t>
        </r>
      </text>
    </comment>
    <comment ref="DH159" authorId="4">
      <text>
        <r>
          <rPr>
            <b/>
            <sz val="9"/>
            <color indexed="81"/>
            <rFont val="Tahoma"/>
            <family val="2"/>
          </rPr>
          <t>Baglione, Gregory  (Research):</t>
        </r>
        <r>
          <rPr>
            <sz val="9"/>
            <color indexed="81"/>
            <rFont val="Tahoma"/>
            <family val="2"/>
          </rPr>
          <t xml:space="preserve">
2/23/16
FY EPS $3.80-$3.90
"We assume that the earnings growth in the second and fourth quarters will more than offset the declines in the first and third quarters, so that as you could tell from our guidance for the full year, earnings per share would exceed 2015"</t>
        </r>
      </text>
    </comment>
    <comment ref="BT160" authorId="0">
      <text>
        <r>
          <rPr>
            <b/>
            <sz val="8"/>
            <color indexed="81"/>
            <rFont val="Tahoma"/>
            <family val="2"/>
          </rPr>
          <t>Includes $0.01 benefit from lower tax rate driven by settlements.
Guidance: 8/9/2006
Ex-one-time merger integration and inventory valuation costs and gain on the sale of credit receivables 
$0.15-$0.20 in 3Q, $1.55-$1.70 2H
Prior 2H guidance $1.50-1.62
Subtraction factor to account for rounding</t>
        </r>
      </text>
    </comment>
    <comment ref="BX160" authorId="0">
      <text>
        <r>
          <rPr>
            <b/>
            <u/>
            <sz val="8"/>
            <color indexed="81"/>
            <rFont val="Tahoma"/>
            <family val="2"/>
          </rPr>
          <t>Guidance</t>
        </r>
        <r>
          <rPr>
            <b/>
            <sz val="8"/>
            <color indexed="81"/>
            <rFont val="Tahoma"/>
            <family val="2"/>
          </rPr>
          <t xml:space="preserve">
Author</t>
        </r>
        <r>
          <rPr>
            <sz val="8"/>
            <color indexed="81"/>
            <rFont val="Tahoma"/>
            <family val="2"/>
          </rPr>
          <t xml:space="preserve">: Morgan Stanley
</t>
        </r>
        <r>
          <rPr>
            <b/>
            <sz val="8"/>
            <color indexed="81"/>
            <rFont val="Tahoma"/>
            <family val="2"/>
          </rPr>
          <t>Date</t>
        </r>
        <r>
          <rPr>
            <sz val="8"/>
            <color indexed="81"/>
            <rFont val="Tahoma"/>
            <family val="2"/>
          </rPr>
          <t xml:space="preserve">: 2/27/2007
</t>
        </r>
        <r>
          <rPr>
            <b/>
            <sz val="8"/>
            <color indexed="81"/>
            <rFont val="Tahoma"/>
            <family val="2"/>
          </rPr>
          <t>Comment</t>
        </r>
        <r>
          <rPr>
            <sz val="8"/>
            <color indexed="81"/>
            <rFont val="Tahoma"/>
            <family val="2"/>
          </rPr>
          <t>: 
$1.85-$2.00 3Q and 4Q combined</t>
        </r>
      </text>
    </comment>
    <comment ref="CJ160" authorId="9">
      <text>
        <r>
          <rPr>
            <b/>
            <sz val="8"/>
            <color indexed="81"/>
            <rFont val="Tahoma"/>
            <family val="2"/>
          </rPr>
          <t xml:space="preserve">Note: 11/10/2010
</t>
        </r>
        <r>
          <rPr>
            <sz val="8"/>
            <color indexed="81"/>
            <rFont val="Tahoma"/>
            <family val="2"/>
          </rPr>
          <t>Includes $0.06 in fees related to repayment of debt</t>
        </r>
        <r>
          <rPr>
            <b/>
            <sz val="8"/>
            <color indexed="81"/>
            <rFont val="Tahoma"/>
            <family val="2"/>
          </rPr>
          <t xml:space="preserve">
Guidance 11/4/10:
</t>
        </r>
        <r>
          <rPr>
            <sz val="8"/>
            <color indexed="81"/>
            <rFont val="Tahoma"/>
            <family val="2"/>
          </rPr>
          <t>Raise 2H guidance to $1.50-$1.55 from $1.45-$1.50, excluding 6 cent hit ($39M pre-tax/$24M after tax) resulting from debt repurchase</t>
        </r>
        <r>
          <rPr>
            <sz val="8"/>
            <color indexed="81"/>
            <rFont val="Tahoma"/>
            <family val="2"/>
          </rPr>
          <t xml:space="preserve">
2H EPS = 3Q + 4Q + 0.06 = $0.02 +$1.50 + $0.06 = $1.58, which is slightly ahead of $1.50-$1.55 guidance</t>
        </r>
      </text>
    </comment>
    <comment ref="CR160" authorId="1">
      <text>
        <r>
          <rPr>
            <b/>
            <sz val="8"/>
            <color indexed="81"/>
            <rFont val="Tahoma"/>
            <family val="2"/>
          </rPr>
          <t xml:space="preserve">8/30/2012 Cons: </t>
        </r>
        <r>
          <rPr>
            <sz val="8"/>
            <color indexed="81"/>
            <rFont val="Tahoma"/>
            <family val="2"/>
          </rPr>
          <t xml:space="preserve">$0.27
</t>
        </r>
        <r>
          <rPr>
            <b/>
            <sz val="8"/>
            <color indexed="81"/>
            <rFont val="Tahoma"/>
            <family val="2"/>
          </rPr>
          <t xml:space="preserve">8/8/2012 Guidance
</t>
        </r>
        <r>
          <rPr>
            <sz val="8"/>
            <color indexed="81"/>
            <rFont val="Tahoma"/>
            <family val="2"/>
          </rPr>
          <t>3Q EPS down y/y given ~5c negative impact due to lapping credit true up (credit expect -$35/-40M in 3Q) &amp; lapping 5c benefit LY from tax settlements but more than made up for in 4Q</t>
        </r>
      </text>
    </comment>
    <comment ref="DH160" authorId="4">
      <text>
        <r>
          <rPr>
            <b/>
            <sz val="9"/>
            <color indexed="81"/>
            <rFont val="Tahoma"/>
            <family val="2"/>
          </rPr>
          <t>Baglione, Gregory  (Research):</t>
        </r>
        <r>
          <rPr>
            <sz val="9"/>
            <color indexed="81"/>
            <rFont val="Tahoma"/>
            <family val="2"/>
          </rPr>
          <t xml:space="preserve">
11/10/16
MSe: 41c
2/23/16
FY EPS $3.80-$3.90
"We assume that the earnings growth in the second and fourth quarters will more than offset the declines in the first and third quarters, so that as you could tell from our guidance for the full year, earnings per share would exceed 2015"</t>
        </r>
      </text>
    </comment>
    <comment ref="BT161" authorId="0">
      <text>
        <r>
          <rPr>
            <b/>
            <sz val="8"/>
            <color indexed="81"/>
            <rFont val="Tahoma"/>
            <family val="2"/>
          </rPr>
          <t>Guidance: 8/9/2006
Ex-one-time merger integration and inventory valuation costs and gain on the sale of credit receivables 
$1.40-1.50 in 4Q, $1.55-$1.70 2H
Prior 2H guidance $1.50-1.62</t>
        </r>
      </text>
    </comment>
    <comment ref="BX161" authorId="0">
      <text>
        <r>
          <rPr>
            <b/>
            <u/>
            <sz val="8"/>
            <color indexed="81"/>
            <rFont val="Tahoma"/>
            <family val="2"/>
          </rPr>
          <t>Guidance</t>
        </r>
        <r>
          <rPr>
            <b/>
            <sz val="8"/>
            <color indexed="81"/>
            <rFont val="Tahoma"/>
            <family val="2"/>
          </rPr>
          <t xml:space="preserve">
Author</t>
        </r>
        <r>
          <rPr>
            <sz val="8"/>
            <color indexed="81"/>
            <rFont val="Tahoma"/>
            <family val="2"/>
          </rPr>
          <t xml:space="preserve">: Morgan Stanley
</t>
        </r>
        <r>
          <rPr>
            <b/>
            <sz val="8"/>
            <color indexed="81"/>
            <rFont val="Tahoma"/>
            <family val="2"/>
          </rPr>
          <t>Date</t>
        </r>
        <r>
          <rPr>
            <sz val="8"/>
            <color indexed="81"/>
            <rFont val="Tahoma"/>
            <family val="2"/>
          </rPr>
          <t xml:space="preserve">: 11/14/2007
</t>
        </r>
        <r>
          <rPr>
            <b/>
            <sz val="8"/>
            <color indexed="81"/>
            <rFont val="Tahoma"/>
            <family val="2"/>
          </rPr>
          <t>Comment</t>
        </r>
        <r>
          <rPr>
            <sz val="8"/>
            <color indexed="81"/>
            <rFont val="Tahoma"/>
            <family val="2"/>
          </rPr>
          <t>: $1.70-$1.80
8/15/2007: $1.70-$1.80
2/27/2007: $1.85-$2.00 3Q and 4Q combined</t>
        </r>
      </text>
    </comment>
    <comment ref="CJ161" authorId="9">
      <text>
        <r>
          <rPr>
            <b/>
            <sz val="8"/>
            <color indexed="81"/>
            <rFont val="Tahoma"/>
            <family val="2"/>
          </rPr>
          <t xml:space="preserve">Note: 2/22/2011
</t>
        </r>
        <r>
          <rPr>
            <sz val="8"/>
            <color indexed="81"/>
            <rFont val="Tahoma"/>
            <family val="2"/>
          </rPr>
          <t>$1.55 GAAP
$1.59 ex 4 cents ($25M) re asset impairments
$1.57 "clean" after excluding 2 cent tax benefit ($9M) re state deferred income taxes in 4Q
We model to $1.59 to minimize disparity with Street</t>
        </r>
        <r>
          <rPr>
            <b/>
            <sz val="8"/>
            <color indexed="81"/>
            <rFont val="Tahoma"/>
            <family val="2"/>
          </rPr>
          <t xml:space="preserve">
Guidance 11/4/10:
</t>
        </r>
        <r>
          <rPr>
            <sz val="8"/>
            <color indexed="81"/>
            <rFont val="Tahoma"/>
            <family val="2"/>
          </rPr>
          <t>Raise 2H guidance to $1.50-$1.55 from $1.45-$1.50, excluding 6 cent hit ($39M pre-tax/$24M after tax) resulting from debt repurchase</t>
        </r>
        <r>
          <rPr>
            <sz val="8"/>
            <color indexed="81"/>
            <rFont val="Tahoma"/>
            <family val="2"/>
          </rPr>
          <t xml:space="preserve">
2H EPS = 3Q + 4Q + 0.06 = $0.02 +$1.50 + $0.06 = $1.58, which is slightly ahead of $1.50-$1.55 guidance</t>
        </r>
      </text>
    </comment>
    <comment ref="CR161" authorId="1">
      <text>
        <r>
          <rPr>
            <b/>
            <sz val="8"/>
            <color indexed="81"/>
            <rFont val="Tahoma"/>
            <family val="2"/>
          </rPr>
          <t xml:space="preserve">2/7/2013 Guidance: </t>
        </r>
        <r>
          <rPr>
            <sz val="8"/>
            <color indexed="81"/>
            <rFont val="Tahoma"/>
            <family val="2"/>
          </rPr>
          <t>$1.94-$1.99 4Q (ex costs related to tender &amp; store closings)</t>
        </r>
        <r>
          <rPr>
            <b/>
            <sz val="8"/>
            <color indexed="81"/>
            <rFont val="Tahoma"/>
            <family val="2"/>
          </rPr>
          <t xml:space="preserve">
1/3/2013 Guidance: </t>
        </r>
        <r>
          <rPr>
            <sz val="8"/>
            <color indexed="81"/>
            <rFont val="Tahoma"/>
            <family val="2"/>
          </rPr>
          <t>$1.91-$1.96 4Q (ex costs related to tender &amp; store closings of 21c, includ $2-4M of store closing costs )</t>
        </r>
        <r>
          <rPr>
            <b/>
            <sz val="8"/>
            <color indexed="81"/>
            <rFont val="Tahoma"/>
            <family val="2"/>
          </rPr>
          <t xml:space="preserve">
11/29/2012 Guidance (reiterate):</t>
        </r>
        <r>
          <rPr>
            <sz val="8"/>
            <color indexed="81"/>
            <rFont val="Tahoma"/>
            <family val="2"/>
          </rPr>
          <t xml:space="preserve"> $1.94-$1.99 4Q</t>
        </r>
        <r>
          <rPr>
            <b/>
            <sz val="8"/>
            <color indexed="81"/>
            <rFont val="Tahoma"/>
            <family val="2"/>
          </rPr>
          <t xml:space="preserve">
11/7/2012 Guidance: </t>
        </r>
        <r>
          <rPr>
            <sz val="8"/>
            <color indexed="81"/>
            <rFont val="Tahoma"/>
            <family val="2"/>
          </rPr>
          <t>$1.94-$1.99 4Q</t>
        </r>
        <r>
          <rPr>
            <b/>
            <sz val="8"/>
            <color indexed="81"/>
            <rFont val="Tahoma"/>
            <family val="2"/>
          </rPr>
          <t xml:space="preserve">
8/8/2012 Guidance
</t>
        </r>
        <r>
          <rPr>
            <sz val="8"/>
            <color indexed="81"/>
            <rFont val="Tahoma"/>
            <family val="2"/>
          </rPr>
          <t>3Q EPS down y/y given ~5c negative impact due to lapping credit true up (credit expect -$35/-40M in 3Q) &amp; lapping 5c benefit LY from tax settlements but more than made up for in 4Q</t>
        </r>
        <r>
          <rPr>
            <b/>
            <sz val="8"/>
            <color indexed="81"/>
            <rFont val="Tahoma"/>
            <family val="2"/>
          </rPr>
          <t xml:space="preserve">
1/5/12 and 1/9/12 Commentary</t>
        </r>
        <r>
          <rPr>
            <sz val="8"/>
            <color indexed="81"/>
            <rFont val="Tahoma"/>
            <family val="2"/>
          </rPr>
          <t xml:space="preserve">
Impact from 53rd week:
- Multiple revenues by 5/4 to get benefit to sales
- No impact to gross margins + SG&amp;A benefit (there ~10-20% of flex on SG&amp;A - so if SG&amp;A margin is 26%, the margin on extra week is 26%-~15%=~11%)
- Should have good flow through of extra week of sales in 4Q12
- Salaried employees do not get more but hourly do
- Attractive EBIT on extra week of sales
- ~$7M of EBIT flow through = $0.01
</t>
        </r>
      </text>
    </comment>
    <comment ref="CZ161" authorId="2">
      <text>
        <r>
          <rPr>
            <b/>
            <sz val="9"/>
            <color indexed="81"/>
            <rFont val="Tahoma"/>
            <family val="2"/>
          </rPr>
          <t xml:space="preserve">2/3/15: implied guidance $2.40-2.42
</t>
        </r>
        <r>
          <rPr>
            <sz val="9"/>
            <color indexed="81"/>
            <rFont val="Tahoma"/>
            <family val="2"/>
          </rPr>
          <t xml:space="preserve">1/8/15: reiterate $2.30-$2.40
11/12/14: guidance $2.30-2.40
</t>
        </r>
      </text>
    </comment>
    <comment ref="DD161" authorId="4">
      <text>
        <r>
          <rPr>
            <b/>
            <sz val="9"/>
            <color indexed="81"/>
            <rFont val="Tahoma"/>
            <family val="2"/>
          </rPr>
          <t>Baglione, Gregory  (Research):</t>
        </r>
        <r>
          <rPr>
            <sz val="9"/>
            <color indexed="81"/>
            <rFont val="Tahoma"/>
            <family val="2"/>
          </rPr>
          <t xml:space="preserve">
11/11/15
Updated annual guidancelead to fourth quarter earnings of $2.54 to $2.64 per diluted share, excluding any additional charges associated with store closings or cost reductions. 
1/6/15
Holiday Update: Company now expects 4Q EPS of $2.18-$2.23.</t>
        </r>
      </text>
    </comment>
    <comment ref="DH161" authorId="4">
      <text>
        <r>
          <rPr>
            <b/>
            <sz val="9"/>
            <color indexed="81"/>
            <rFont val="Tahoma"/>
            <family val="2"/>
          </rPr>
          <t>Baglione, Gregory  (Research):</t>
        </r>
        <r>
          <rPr>
            <sz val="9"/>
            <color indexed="81"/>
            <rFont val="Tahoma"/>
            <family val="2"/>
          </rPr>
          <t xml:space="preserve">
1/4/17
-CINCINNATI--(BUSINESS WIRE)--Jan. 4, 2017-- Macy’s, Inc. (NYSE:M) today announced that its comparable sales on an owned plus licensed basis declined by 2.1 percent in the months of November and December 2016 combined, compared to the same period last year. On an owned basis, comparable sales declined by 2.7 percent in the combined November/December period.
“While our sales trend is consistent with the lower end of our guidance, we had anticipated sales would be stronger. We believe that our performance during the holiday season reflects the broader challenges facing much of the retail industry. We are pleased with the performance of our digital business, with double-digit gains at both macys.com and bloomingdales.com; however, store sales continued to be impacted by changing customer behavior. Our apparel business, which includes women’s, men’s and children’s, performed well, with particular strength in active and cold-weather merchandise. Sales were also strong in fine jewelry, as well as furniture and bedding, reflecting the success of our initiatives in those categories. However, ongoing weakness in handbags and watches negatively impacted our results,” said Terry J. Lundgren, Macy’s, Inc. chairman and chief executive officer.
-Macy’s, Inc. maintains its previously provided full-year sales guidance of a 2.5 percent to 3.0 percent decrease in comparable sales on an owned plus licensed basis, and expects to come in at the lower end of that guidance, with comparable sales on an owned basis to be approximately 50 basis points lower.
-The company now expects full-year 2016 diluted earnings per share (excluding asset impairment, restructuring, retirement settlement and other charges) to be in a range of $2.95 to $3.10 (compared with previous guidance of $3.15 to $3.40).
11/10/16 
previous: $2.06
current:$2.32
reflects GM change from 38.3% to current 39%, SGA change from 0.3% from 1%
2/23/16
FY EPS $3.80-$3.90
"We assume that the earnings growth in the second and fourth quarters will more than offset the declines in the first and third quarters, so that as you could tell from our guidance for the full year, earnings per share would exceed 2015"</t>
        </r>
      </text>
    </comment>
    <comment ref="BT162" authorId="0">
      <text>
        <r>
          <rPr>
            <b/>
            <sz val="8"/>
            <color indexed="81"/>
            <rFont val="Tahoma"/>
            <family val="2"/>
          </rPr>
          <t>Guidance: 8/9/2006
Ex-one-time merger integration and inventory valuation costs and gain on the sale of credit receivables 
$2.00-2.15 vs prior $1.91-2.04
Includes impact of $80M tax benefit to be in-line with company guidance</t>
        </r>
      </text>
    </comment>
    <comment ref="BX162" authorId="0">
      <text>
        <r>
          <rPr>
            <b/>
            <u/>
            <sz val="8"/>
            <color indexed="81"/>
            <rFont val="Tahoma"/>
            <family val="2"/>
          </rPr>
          <t>Guidance</t>
        </r>
        <r>
          <rPr>
            <b/>
            <sz val="8"/>
            <color indexed="81"/>
            <rFont val="Tahoma"/>
            <family val="2"/>
          </rPr>
          <t xml:space="preserve">
Author</t>
        </r>
        <r>
          <rPr>
            <sz val="8"/>
            <color indexed="81"/>
            <rFont val="Tahoma"/>
            <family val="2"/>
          </rPr>
          <t xml:space="preserve">: Morgan Stanley
</t>
        </r>
        <r>
          <rPr>
            <b/>
            <sz val="8"/>
            <color indexed="81"/>
            <rFont val="Tahoma"/>
            <family val="2"/>
          </rPr>
          <t>Date</t>
        </r>
        <r>
          <rPr>
            <sz val="8"/>
            <color indexed="81"/>
            <rFont val="Tahoma"/>
            <family val="2"/>
          </rPr>
          <t xml:space="preserve">: 5/16/2007
</t>
        </r>
        <r>
          <rPr>
            <b/>
            <sz val="8"/>
            <color indexed="81"/>
            <rFont val="Tahoma"/>
            <family val="2"/>
          </rPr>
          <t>Comment</t>
        </r>
        <r>
          <rPr>
            <sz val="8"/>
            <color indexed="81"/>
            <rFont val="Tahoma"/>
            <family val="2"/>
          </rPr>
          <t>: No change to $2.45-$2.60
2/27/2007: $2.45-$2.60</t>
        </r>
      </text>
    </comment>
    <comment ref="CR162" authorId="1">
      <text>
        <r>
          <rPr>
            <b/>
            <sz val="8"/>
            <color indexed="81"/>
            <rFont val="Tahoma"/>
            <family val="2"/>
          </rPr>
          <t>11/7/2012 Guidance:</t>
        </r>
        <r>
          <rPr>
            <sz val="8"/>
            <color indexed="81"/>
            <rFont val="Tahoma"/>
            <family val="2"/>
          </rPr>
          <t xml:space="preserve"> $3.40-$3.35
</t>
        </r>
        <r>
          <rPr>
            <b/>
            <sz val="8"/>
            <color indexed="81"/>
            <rFont val="Tahoma"/>
            <family val="2"/>
          </rPr>
          <t xml:space="preserve">
Guidance 8/8/2012
</t>
        </r>
        <r>
          <rPr>
            <sz val="8"/>
            <color indexed="81"/>
            <rFont val="Tahoma"/>
            <family val="2"/>
          </rPr>
          <t>$3.30-$3.35
3Q EPS down y/y given ~5c negative impact due to lapping credit true up (credit expect -$35/-40M in 3Q) &amp; lapping 5c benefit LY from tax settlements but more than made up for in 4Q</t>
        </r>
        <r>
          <rPr>
            <b/>
            <sz val="8"/>
            <color indexed="81"/>
            <rFont val="Tahoma"/>
            <family val="2"/>
          </rPr>
          <t xml:space="preserve">
Guidance 7/5/2012
</t>
        </r>
        <r>
          <rPr>
            <sz val="8"/>
            <color indexed="81"/>
            <rFont val="Tahoma"/>
            <family val="2"/>
          </rPr>
          <t>Reaffirmed $3.25-$3.30</t>
        </r>
        <r>
          <rPr>
            <b/>
            <sz val="8"/>
            <color indexed="81"/>
            <rFont val="Tahoma"/>
            <family val="2"/>
          </rPr>
          <t xml:space="preserve">
Guidance 5/9/2012
</t>
        </r>
        <r>
          <rPr>
            <sz val="8"/>
            <color indexed="81"/>
            <rFont val="Tahoma"/>
            <family val="2"/>
          </rPr>
          <t>Reaffirmed $3.25-$3.30</t>
        </r>
        <r>
          <rPr>
            <b/>
            <sz val="8"/>
            <color indexed="81"/>
            <rFont val="Tahoma"/>
            <family val="2"/>
          </rPr>
          <t xml:space="preserve">
Guidance 2/21/2012:
$3.25-3.30
</t>
        </r>
        <r>
          <rPr>
            <b/>
            <i/>
            <sz val="8"/>
            <color indexed="12"/>
            <rFont val="Tahoma"/>
            <family val="2"/>
          </rPr>
          <t>Note: This includes 53rd week impact (but would not disclose EPS impact) and some degree of share buybacks (again, amount not disclosed but we think it's somewhere in range of current authorization $1.3bn)</t>
        </r>
      </text>
    </comment>
    <comment ref="CV162" authorId="1">
      <text>
        <r>
          <rPr>
            <b/>
            <sz val="8"/>
            <color indexed="81"/>
            <rFont val="Tahoma"/>
            <family val="2"/>
          </rPr>
          <t xml:space="preserve">11/13/13: </t>
        </r>
        <r>
          <rPr>
            <sz val="8"/>
            <color indexed="81"/>
            <rFont val="Tahoma"/>
            <family val="2"/>
          </rPr>
          <t>reaffirmed</t>
        </r>
        <r>
          <rPr>
            <b/>
            <sz val="8"/>
            <color indexed="81"/>
            <rFont val="Tahoma"/>
            <family val="2"/>
          </rPr>
          <t xml:space="preserve"> </t>
        </r>
        <r>
          <rPr>
            <sz val="8"/>
            <color indexed="81"/>
            <rFont val="Tahoma"/>
            <family val="2"/>
          </rPr>
          <t>$3.80-$3.90</t>
        </r>
        <r>
          <rPr>
            <b/>
            <sz val="8"/>
            <color indexed="81"/>
            <rFont val="Tahoma"/>
            <family val="2"/>
          </rPr>
          <t xml:space="preserve">
8/15/13: </t>
        </r>
        <r>
          <rPr>
            <sz val="8"/>
            <color indexed="81"/>
            <rFont val="Tahoma"/>
            <family val="2"/>
          </rPr>
          <t>lowered to $3.80-$3.90</t>
        </r>
        <r>
          <rPr>
            <b/>
            <sz val="8"/>
            <color indexed="81"/>
            <rFont val="Tahoma"/>
            <family val="2"/>
          </rPr>
          <t xml:space="preserve">
5/15/13: </t>
        </r>
        <r>
          <rPr>
            <sz val="8"/>
            <color indexed="81"/>
            <rFont val="Tahoma"/>
            <family val="2"/>
          </rPr>
          <t>$3.90-$3.95</t>
        </r>
        <r>
          <rPr>
            <b/>
            <sz val="8"/>
            <color indexed="81"/>
            <rFont val="Tahoma"/>
            <family val="2"/>
          </rPr>
          <t xml:space="preserve">
2/26/2013 guidance: </t>
        </r>
        <r>
          <rPr>
            <sz val="8"/>
            <color indexed="81"/>
            <rFont val="Tahoma"/>
            <family val="2"/>
          </rPr>
          <t>$3.90-$3.95 (includes repo)</t>
        </r>
      </text>
    </comment>
    <comment ref="CZ162" authorId="10">
      <text>
        <r>
          <rPr>
            <b/>
            <sz val="8"/>
            <color indexed="81"/>
            <rFont val="Tahoma"/>
            <family val="2"/>
          </rPr>
          <t xml:space="preserve">1/8/14: </t>
        </r>
        <r>
          <rPr>
            <sz val="8"/>
            <color indexed="81"/>
            <rFont val="Tahoma"/>
            <family val="2"/>
          </rPr>
          <t>Initial guidance $4.40-4.50</t>
        </r>
        <r>
          <rPr>
            <sz val="8"/>
            <color indexed="81"/>
            <rFont val="Tahoma"/>
            <family val="2"/>
          </rPr>
          <t xml:space="preserve">
</t>
        </r>
        <r>
          <rPr>
            <b/>
            <sz val="8"/>
            <color indexed="81"/>
            <rFont val="Tahoma"/>
            <family val="2"/>
          </rPr>
          <t>2/25/14:</t>
        </r>
        <r>
          <rPr>
            <sz val="8"/>
            <color indexed="81"/>
            <rFont val="Tahoma"/>
            <family val="2"/>
          </rPr>
          <t xml:space="preserve"> Reaffirmed $4.40-4.50
</t>
        </r>
        <r>
          <rPr>
            <b/>
            <sz val="8"/>
            <color indexed="81"/>
            <rFont val="Tahoma"/>
            <family val="2"/>
          </rPr>
          <t>5/15/14:</t>
        </r>
        <r>
          <rPr>
            <sz val="8"/>
            <color indexed="81"/>
            <rFont val="Tahoma"/>
            <family val="2"/>
          </rPr>
          <t xml:space="preserve"> Reaffirmed $4.40-4.50
</t>
        </r>
        <r>
          <rPr>
            <b/>
            <sz val="8"/>
            <color indexed="81"/>
            <rFont val="Tahoma"/>
            <family val="2"/>
          </rPr>
          <t>8/13/14:</t>
        </r>
        <r>
          <rPr>
            <sz val="8"/>
            <color indexed="81"/>
            <rFont val="Tahoma"/>
            <family val="2"/>
          </rPr>
          <t xml:space="preserve"> Reaffirmed $4.40-4.50
</t>
        </r>
        <r>
          <rPr>
            <b/>
            <sz val="8"/>
            <color indexed="81"/>
            <rFont val="Tahoma"/>
            <family val="2"/>
          </rPr>
          <t>11/12/14:</t>
        </r>
        <r>
          <rPr>
            <sz val="8"/>
            <color indexed="81"/>
            <rFont val="Tahoma"/>
            <family val="2"/>
          </rPr>
          <t xml:space="preserve"> Lowered to $4.25-4.35
</t>
        </r>
        <r>
          <rPr>
            <b/>
            <sz val="8"/>
            <color indexed="81"/>
            <rFont val="Tahoma"/>
            <family val="2"/>
          </rPr>
          <t xml:space="preserve">1/8/15: </t>
        </r>
        <r>
          <rPr>
            <sz val="8"/>
            <color indexed="81"/>
            <rFont val="Tahoma"/>
            <family val="2"/>
          </rPr>
          <t xml:space="preserve">Maintaining $4.25-$4.35
</t>
        </r>
        <r>
          <rPr>
            <b/>
            <sz val="8"/>
            <color indexed="81"/>
            <rFont val="Tahoma"/>
            <family val="2"/>
          </rPr>
          <t>2/3/15:</t>
        </r>
        <r>
          <rPr>
            <sz val="8"/>
            <color indexed="81"/>
            <rFont val="Tahoma"/>
            <family val="2"/>
          </rPr>
          <t xml:space="preserve"> </t>
        </r>
        <r>
          <rPr>
            <b/>
            <sz val="8"/>
            <color indexed="81"/>
            <rFont val="Tahoma"/>
            <family val="2"/>
          </rPr>
          <t>Raising to $4.35-$4.37
excludes $87M in charges associated with previously announced merchandising and marketing restructuring, store and adjustments, store sclosings and asset impairments</t>
        </r>
      </text>
    </comment>
    <comment ref="DD162" authorId="3">
      <text>
        <r>
          <rPr>
            <sz val="9"/>
            <color indexed="81"/>
            <rFont val="Tahoma"/>
            <family val="2"/>
          </rPr>
          <t>11/11/15
Earnings per diluted share for the full-year 2015 now are expected in the range of $4.20 to $4.30, excluding asset impairment charges associated primarily with previously announced store closings.This compares with previous guidance in the range of $4.70 to $4.80.
Earnings guidance for 2015 includes gains from asset sales, including approximately $60 million from the sale of real estate in Seattle and an expected $250 million gain on the sale of real estate in downtown Brooklyn.
11/5/15
Asset gains were included in company's original guidance (i.e both Brooklyn/Seattle).
5/13/15: reiterate $4.70-$4.80
2/24/15: initial guidance $4.70-$4.80
1/6/15
Holdiay Update: Company now expects FY EPS $3.85-$3.90 vs. prior $4.20-$4.30.</t>
        </r>
      </text>
    </comment>
    <comment ref="DH162" authorId="4">
      <text>
        <r>
          <rPr>
            <b/>
            <sz val="9"/>
            <color indexed="81"/>
            <rFont val="Tahoma"/>
            <family val="2"/>
          </rPr>
          <t>Baglione, Gregory  (Research):</t>
        </r>
        <r>
          <rPr>
            <sz val="9"/>
            <color indexed="81"/>
            <rFont val="Tahoma"/>
            <family val="2"/>
          </rPr>
          <t xml:space="preserve">
1/4/17
2016 Guidance
Macy’s, Inc. maintains its previously provided full-year sales guidance of a
2.5 percent to 3.0 percent decrease in comparable sales on an owned plus
licensed basis, and expects to come in at the lower end of that guidance, with
comparable sales on an owned basis to be approximately 50 basis points lower.
The company now expects full-year 2016 diluted earnings per share (excluding
asset impairment, restructuring, retirement settlement and other charges) to
be in a range of $2.95 to $3.10 (compared with previous guidance of $3.15 to
$3.40).
11/10/16 
reaffirmed guidance $3.15-$3.40
5/11/16
With top-line sales expected to remain below our initial expectations, the company has revised its guidance for earnings per diluted share (excluding settlement charges) in fiscal 2016 to a range of $3.15 to $3.40. This compares with previous guidance of $3.80 to $3.90 per diluted share in 2016.
2/23/16
FY EPS $3.80-$3.90
"We assume that the earnings growth in the second and fourth quarters will more than offset the declines in the first and third quarters, so that as you could tell from our guidance for the full year, earnings per share would exceed 2015"</t>
        </r>
      </text>
    </comment>
    <comment ref="DL162" authorId="11">
      <text>
        <r>
          <rPr>
            <b/>
            <sz val="9"/>
            <color indexed="81"/>
            <rFont val="Tahoma"/>
            <family val="2"/>
          </rPr>
          <t xml:space="preserve">Roberts, Cynthia (Research):
11/9: guidance upped 1c to $3.38-3.63
</t>
        </r>
        <r>
          <rPr>
            <sz val="9"/>
            <color indexed="81"/>
            <rFont val="Tahoma"/>
            <family val="2"/>
          </rPr>
          <t>5/11/17: 2/21/17 guidance reiterated</t>
        </r>
        <r>
          <rPr>
            <b/>
            <sz val="9"/>
            <color indexed="81"/>
            <rFont val="Tahoma"/>
            <family val="2"/>
          </rPr>
          <t xml:space="preserve">
</t>
        </r>
        <r>
          <rPr>
            <sz val="9"/>
            <color indexed="81"/>
            <rFont val="Tahoma"/>
            <family val="2"/>
          </rPr>
          <t xml:space="preserve">
2/21/17: Guidance:  </t>
        </r>
        <r>
          <rPr>
            <b/>
            <sz val="9"/>
            <color indexed="81"/>
            <rFont val="Tahoma"/>
            <family val="2"/>
          </rPr>
          <t>$3.37-$3.62</t>
        </r>
        <r>
          <rPr>
            <sz val="9"/>
            <color indexed="81"/>
            <rFont val="Tahoma"/>
            <family val="2"/>
          </rPr>
          <t xml:space="preserve"> ($2.90-$3.15 excluding Union Square Men's sale)
Adjusted diluted earnings per share of between </t>
        </r>
        <r>
          <rPr>
            <b/>
            <sz val="9"/>
            <color indexed="81"/>
            <rFont val="Tahoma"/>
            <family val="2"/>
          </rPr>
          <t>$3.37 and $3.62</t>
        </r>
        <r>
          <rPr>
            <sz val="9"/>
            <color indexed="81"/>
            <rFont val="Tahoma"/>
            <family val="2"/>
          </rPr>
          <t xml:space="preserve"> are expected in 2017, excluding the impact of the anticipated settlement charges related to the company’s defined benefit plans. </t>
        </r>
        <r>
          <rPr>
            <b/>
            <sz val="9"/>
            <color indexed="81"/>
            <rFont val="Tahoma"/>
            <family val="2"/>
          </rPr>
          <t>Excluding the impact of the anticipated fourth quarter gain on the sale of the Union Square Men’s building in San Francisco and the anticipated settlement charges related to the company’s defined benefit plans, adjusted diluted earnings per share of $2.90 to $3.15 are expected in 2017.</t>
        </r>
        <r>
          <rPr>
            <sz val="9"/>
            <color indexed="81"/>
            <rFont val="Tahoma"/>
            <family val="2"/>
          </rPr>
          <t xml:space="preserve">
</t>
        </r>
      </text>
    </comment>
    <comment ref="DE169" authorId="3">
      <text>
        <r>
          <rPr>
            <b/>
            <sz val="9"/>
            <color indexed="81"/>
            <rFont val="Tahoma"/>
            <family val="2"/>
          </rPr>
          <t>casselau:</t>
        </r>
        <r>
          <rPr>
            <sz val="9"/>
            <color indexed="81"/>
            <rFont val="Tahoma"/>
            <family val="2"/>
          </rPr>
          <t xml:space="preserve">
5/13/15: per Karen: expect 2Q EPS below last year</t>
        </r>
      </text>
    </comment>
    <comment ref="BX171" authorId="0">
      <text>
        <r>
          <rPr>
            <b/>
            <u/>
            <sz val="8"/>
            <color indexed="81"/>
            <rFont val="Tahoma"/>
            <family val="2"/>
          </rPr>
          <t>Guidance</t>
        </r>
        <r>
          <rPr>
            <b/>
            <sz val="8"/>
            <color indexed="81"/>
            <rFont val="Tahoma"/>
            <family val="2"/>
          </rPr>
          <t xml:space="preserve">
Author</t>
        </r>
        <r>
          <rPr>
            <sz val="8"/>
            <color indexed="81"/>
            <rFont val="Tahoma"/>
            <family val="2"/>
          </rPr>
          <t xml:space="preserve">: Morgan Stanley
</t>
        </r>
        <r>
          <rPr>
            <b/>
            <sz val="8"/>
            <color indexed="81"/>
            <rFont val="Tahoma"/>
            <family val="2"/>
          </rPr>
          <t>Date</t>
        </r>
        <r>
          <rPr>
            <sz val="8"/>
            <color indexed="81"/>
            <rFont val="Tahoma"/>
            <family val="2"/>
          </rPr>
          <t xml:space="preserve">: 2/27/2007
</t>
        </r>
        <r>
          <rPr>
            <b/>
            <sz val="8"/>
            <color indexed="81"/>
            <rFont val="Tahoma"/>
            <family val="2"/>
          </rPr>
          <t>Comment</t>
        </r>
        <r>
          <rPr>
            <sz val="8"/>
            <color indexed="81"/>
            <rFont val="Tahoma"/>
            <family val="2"/>
          </rPr>
          <t>: 
37.2%</t>
        </r>
      </text>
    </comment>
    <comment ref="CR171" authorId="1">
      <text>
        <r>
          <rPr>
            <b/>
            <sz val="8"/>
            <color indexed="81"/>
            <rFont val="Tahoma"/>
            <family val="2"/>
          </rPr>
          <t xml:space="preserve">2/7/2013 Guidance: </t>
        </r>
        <r>
          <rPr>
            <sz val="8"/>
            <color indexed="81"/>
            <rFont val="Tahoma"/>
            <family val="2"/>
          </rPr>
          <t xml:space="preserve">$1.72-$1.77 4Q incl costs related to tender &amp; store closings (22c)
</t>
        </r>
        <r>
          <rPr>
            <b/>
            <sz val="8"/>
            <color indexed="81"/>
            <rFont val="Tahoma"/>
            <family val="2"/>
          </rPr>
          <t xml:space="preserve">
1/3/2013: </t>
        </r>
        <r>
          <rPr>
            <sz val="8"/>
            <color indexed="81"/>
            <rFont val="Tahoma"/>
            <family val="2"/>
          </rPr>
          <t>Expect 21c impact for costs associated w/ debt tender &amp; store closings; 4Q EPS including items $1.70-$1.75</t>
        </r>
      </text>
    </comment>
    <comment ref="DP172" authorId="5">
      <text>
        <r>
          <rPr>
            <b/>
            <sz val="9"/>
            <color indexed="81"/>
            <rFont val="Tahoma"/>
            <family val="2"/>
          </rPr>
          <t>De Courreges, Edouard (Research):</t>
        </r>
        <r>
          <rPr>
            <sz val="9"/>
            <color indexed="81"/>
            <rFont val="Tahoma"/>
            <family val="2"/>
          </rPr>
          <t xml:space="preserve">
2/17/18: Guide to $3.55-$3.75</t>
        </r>
      </text>
    </comment>
    <comment ref="CV178" authorId="1">
      <text>
        <r>
          <rPr>
            <b/>
            <sz val="8"/>
            <color indexed="81"/>
            <rFont val="Tahoma"/>
            <family val="2"/>
          </rPr>
          <t xml:space="preserve">5/15/2013: </t>
        </r>
        <r>
          <rPr>
            <sz val="8"/>
            <color indexed="81"/>
            <rFont val="Tahoma"/>
            <family val="2"/>
          </rPr>
          <t>repo'd $360M (or 8.4M shares) in 1Q</t>
        </r>
      </text>
    </comment>
    <comment ref="CZ178" authorId="1">
      <text>
        <r>
          <rPr>
            <b/>
            <sz val="8"/>
            <color indexed="81"/>
            <rFont val="Tahoma"/>
            <family val="2"/>
          </rPr>
          <t xml:space="preserve">5/14/2014: </t>
        </r>
        <r>
          <rPr>
            <sz val="8"/>
            <color indexed="81"/>
            <rFont val="Tahoma"/>
            <family val="2"/>
          </rPr>
          <t>repo'd $432M (or 7.4M shares) in 1Q</t>
        </r>
      </text>
    </comment>
    <comment ref="DD178" authorId="3">
      <text>
        <r>
          <rPr>
            <b/>
            <sz val="9"/>
            <color indexed="81"/>
            <rFont val="Tahoma"/>
            <family val="2"/>
          </rPr>
          <t>casselau:</t>
        </r>
        <r>
          <rPr>
            <sz val="9"/>
            <color indexed="81"/>
            <rFont val="Tahoma"/>
            <family val="2"/>
          </rPr>
          <t xml:space="preserve">
5/13/15: increased share repo authorization by $1.5B to $2.1B</t>
        </r>
      </text>
    </comment>
    <comment ref="DL178" authorId="11">
      <text>
        <r>
          <rPr>
            <b/>
            <sz val="9"/>
            <color indexed="81"/>
            <rFont val="Tahoma"/>
            <family val="2"/>
          </rPr>
          <t>Roberts, Cynthia (Research):</t>
        </r>
        <r>
          <rPr>
            <sz val="9"/>
            <color indexed="81"/>
            <rFont val="Tahoma"/>
            <family val="2"/>
          </rPr>
          <t xml:space="preserve">
2/21/17
"We also are not assuming that we will buy back any stock in 2017"</t>
        </r>
      </text>
    </comment>
    <comment ref="CV179" authorId="1">
      <text>
        <r>
          <rPr>
            <b/>
            <sz val="8"/>
            <color indexed="81"/>
            <rFont val="Tahoma"/>
            <family val="2"/>
          </rPr>
          <t xml:space="preserve">8/15/2013: </t>
        </r>
        <r>
          <rPr>
            <sz val="8"/>
            <color indexed="81"/>
            <rFont val="Tahoma"/>
            <family val="2"/>
          </rPr>
          <t>repo'd $446.7M  (9.2M shares) in 2Q</t>
        </r>
      </text>
    </comment>
    <comment ref="CZ179" authorId="1">
      <text>
        <r>
          <rPr>
            <b/>
            <sz val="8"/>
            <color indexed="81"/>
            <rFont val="Tahoma"/>
            <family val="2"/>
          </rPr>
          <t xml:space="preserve">8/13/2014: </t>
        </r>
        <r>
          <rPr>
            <sz val="8"/>
            <color indexed="81"/>
            <rFont val="Tahoma"/>
            <family val="2"/>
          </rPr>
          <t>repo'd $517M (or 8.9M shares) in 2Q</t>
        </r>
      </text>
    </comment>
    <comment ref="DL179" authorId="11">
      <text>
        <r>
          <rPr>
            <b/>
            <sz val="9"/>
            <color indexed="81"/>
            <rFont val="Tahoma"/>
            <family val="2"/>
          </rPr>
          <t>Roberts, Cynthia (Research):</t>
        </r>
        <r>
          <rPr>
            <sz val="9"/>
            <color indexed="81"/>
            <rFont val="Tahoma"/>
            <family val="2"/>
          </rPr>
          <t xml:space="preserve">
2/21/17
"We also are not assuming that we will buy back any stock in 2017"</t>
        </r>
      </text>
    </comment>
    <comment ref="CV180" authorId="10">
      <text>
        <r>
          <rPr>
            <b/>
            <sz val="8"/>
            <color indexed="81"/>
            <rFont val="Tahoma"/>
            <family val="2"/>
          </rPr>
          <t xml:space="preserve">11/13/13: </t>
        </r>
        <r>
          <rPr>
            <sz val="8"/>
            <color indexed="81"/>
            <rFont val="Tahoma"/>
            <family val="2"/>
          </rPr>
          <t xml:space="preserve">Repo'd 10.1M shares for $447M
</t>
        </r>
      </text>
    </comment>
    <comment ref="DL180" authorId="11">
      <text>
        <r>
          <rPr>
            <b/>
            <sz val="9"/>
            <color indexed="81"/>
            <rFont val="Tahoma"/>
            <family val="2"/>
          </rPr>
          <t>Roberts, Cynthia (Research):</t>
        </r>
        <r>
          <rPr>
            <sz val="9"/>
            <color indexed="81"/>
            <rFont val="Tahoma"/>
            <family val="2"/>
          </rPr>
          <t xml:space="preserve">
2/21/17
"We also are not assuming that we will buy back any stock in 2017"</t>
        </r>
      </text>
    </comment>
    <comment ref="BX181" authorId="0">
      <text>
        <r>
          <rPr>
            <b/>
            <u/>
            <sz val="8"/>
            <color indexed="81"/>
            <rFont val="Tahoma"/>
            <family val="2"/>
          </rPr>
          <t>Comment</t>
        </r>
        <r>
          <rPr>
            <b/>
            <sz val="8"/>
            <color indexed="81"/>
            <rFont val="Tahoma"/>
            <family val="2"/>
          </rPr>
          <t xml:space="preserve">
Author</t>
        </r>
        <r>
          <rPr>
            <sz val="8"/>
            <color indexed="81"/>
            <rFont val="Tahoma"/>
            <family val="2"/>
          </rPr>
          <t xml:space="preserve">: Morgan Stanley
</t>
        </r>
        <r>
          <rPr>
            <b/>
            <sz val="8"/>
            <color indexed="81"/>
            <rFont val="Tahoma"/>
            <family val="2"/>
          </rPr>
          <t>Date</t>
        </r>
        <r>
          <rPr>
            <sz val="8"/>
            <color indexed="81"/>
            <rFont val="Tahoma"/>
            <family val="2"/>
          </rPr>
          <t xml:space="preserve">: 2/27/2007
</t>
        </r>
        <r>
          <rPr>
            <b/>
            <sz val="8"/>
            <color indexed="81"/>
            <rFont val="Tahoma"/>
            <family val="2"/>
          </rPr>
          <t>Comment</t>
        </r>
        <r>
          <rPr>
            <sz val="8"/>
            <color indexed="81"/>
            <rFont val="Tahoma"/>
            <family val="2"/>
          </rPr>
          <t>: 
Assuming share dilution from options expense</t>
        </r>
      </text>
    </comment>
    <comment ref="CZ181" authorId="3">
      <text>
        <r>
          <rPr>
            <b/>
            <sz val="9"/>
            <color indexed="81"/>
            <rFont val="Tahoma"/>
            <family val="2"/>
          </rPr>
          <t>casselau:</t>
        </r>
        <r>
          <rPr>
            <sz val="9"/>
            <color indexed="81"/>
            <rFont val="Tahoma"/>
            <family val="2"/>
          </rPr>
          <t xml:space="preserve">
2/25/15: bought back $417 million worth of stock</t>
        </r>
      </text>
    </comment>
    <comment ref="DL181" authorId="11">
      <text>
        <r>
          <rPr>
            <b/>
            <sz val="9"/>
            <color indexed="81"/>
            <rFont val="Tahoma"/>
            <family val="2"/>
          </rPr>
          <t>Roberts, Cynthia (Research):</t>
        </r>
        <r>
          <rPr>
            <sz val="9"/>
            <color indexed="81"/>
            <rFont val="Tahoma"/>
            <family val="2"/>
          </rPr>
          <t xml:space="preserve">
2/21/17
"We also are not assuming that we will buy back any stock in 2017"</t>
        </r>
      </text>
    </comment>
    <comment ref="CZ182" authorId="3">
      <text>
        <r>
          <rPr>
            <b/>
            <sz val="9"/>
            <color indexed="81"/>
            <rFont val="Tahoma"/>
            <family val="2"/>
          </rPr>
          <t>casselau:</t>
        </r>
        <r>
          <rPr>
            <sz val="9"/>
            <color indexed="81"/>
            <rFont val="Tahoma"/>
            <family val="2"/>
          </rPr>
          <t xml:space="preserve">
2/25/15: repurchased 31.9M shares for $1.9B; currently have authorization ro repurchase $1B</t>
        </r>
      </text>
    </comment>
    <comment ref="DL182" authorId="11">
      <text>
        <r>
          <rPr>
            <b/>
            <sz val="9"/>
            <color indexed="81"/>
            <rFont val="Tahoma"/>
            <family val="2"/>
          </rPr>
          <t>Roberts, Cynthia (Research):</t>
        </r>
        <r>
          <rPr>
            <sz val="9"/>
            <color indexed="81"/>
            <rFont val="Tahoma"/>
            <family val="2"/>
          </rPr>
          <t xml:space="preserve">
5/11/17: Matt reiterated no  change in callback
2/21/17
"We also are not assuming that we will buy back any stock in 2017"</t>
        </r>
      </text>
    </comment>
    <comment ref="CS198" authorId="9">
      <text>
        <r>
          <rPr>
            <b/>
            <sz val="8"/>
            <color indexed="81"/>
            <rFont val="Tahoma"/>
            <family val="2"/>
          </rPr>
          <t xml:space="preserve">Comment 5/9/2012
</t>
        </r>
        <r>
          <rPr>
            <sz val="8"/>
            <color indexed="81"/>
            <rFont val="Tahoma"/>
            <family val="2"/>
          </rPr>
          <t>1)</t>
        </r>
        <r>
          <rPr>
            <b/>
            <sz val="8"/>
            <color indexed="81"/>
            <rFont val="Tahoma"/>
            <family val="2"/>
          </rPr>
          <t xml:space="preserve"> </t>
        </r>
        <r>
          <rPr>
            <sz val="8"/>
            <color indexed="81"/>
            <rFont val="Tahoma"/>
            <family val="2"/>
          </rPr>
          <t xml:space="preserve">$214M of repo or 5.4M shares
</t>
        </r>
        <r>
          <rPr>
            <b/>
            <sz val="8"/>
            <color indexed="81"/>
            <rFont val="Tahoma"/>
            <family val="2"/>
          </rPr>
          <t xml:space="preserve">
Comment 1/5/12:
</t>
        </r>
        <r>
          <rPr>
            <sz val="8"/>
            <color indexed="81"/>
            <rFont val="Tahoma"/>
            <family val="2"/>
          </rPr>
          <t>1) Board authorized a $1Bn increase in buyback program
2) Total authorization now $1.6Bn (at 1/5/12)</t>
        </r>
        <r>
          <rPr>
            <b/>
            <sz val="8"/>
            <color indexed="81"/>
            <rFont val="Tahoma"/>
            <family val="2"/>
          </rPr>
          <t xml:space="preserve">
Comment 11/9/11:
</t>
        </r>
        <r>
          <rPr>
            <sz val="8"/>
            <color indexed="81"/>
            <rFont val="Tahoma"/>
            <family val="2"/>
          </rPr>
          <t>Note: Mgmt views rumors of $1.8-2.0Bn of repo in 2012 too high</t>
        </r>
        <r>
          <rPr>
            <b/>
            <sz val="8"/>
            <color indexed="81"/>
            <rFont val="Tahoma"/>
            <family val="2"/>
          </rPr>
          <t xml:space="preserve">
Guidance 5/11/2011:
</t>
        </r>
        <r>
          <rPr>
            <sz val="8"/>
            <color indexed="81"/>
            <rFont val="Tahoma"/>
            <family val="2"/>
          </rPr>
          <t>Very strong likelihood see buyback by 2012</t>
        </r>
        <r>
          <rPr>
            <sz val="8"/>
            <color indexed="81"/>
            <rFont val="Tahoma"/>
            <family val="2"/>
          </rPr>
          <t xml:space="preserve">
</t>
        </r>
      </text>
    </comment>
    <comment ref="CW198" authorId="1">
      <text>
        <r>
          <rPr>
            <b/>
            <sz val="8"/>
            <color indexed="81"/>
            <rFont val="Tahoma"/>
            <family val="2"/>
          </rPr>
          <t xml:space="preserve">5/15/2013: </t>
        </r>
        <r>
          <rPr>
            <sz val="8"/>
            <color indexed="81"/>
            <rFont val="Tahoma"/>
            <family val="2"/>
          </rPr>
          <t>repo'd $360M (or 8.4M shares) in 1Q</t>
        </r>
      </text>
    </comment>
    <comment ref="CX198" authorId="1">
      <text>
        <r>
          <rPr>
            <b/>
            <sz val="8"/>
            <color indexed="81"/>
            <rFont val="Tahoma"/>
            <family val="2"/>
          </rPr>
          <t xml:space="preserve">5/15/2013: </t>
        </r>
        <r>
          <rPr>
            <sz val="8"/>
            <color indexed="81"/>
            <rFont val="Tahoma"/>
            <family val="2"/>
          </rPr>
          <t>repo'd $360M (or 8.4M shares) in 1Q</t>
        </r>
      </text>
    </comment>
    <comment ref="DB198" authorId="1">
      <text>
        <r>
          <rPr>
            <b/>
            <sz val="8"/>
            <color indexed="81"/>
            <rFont val="Tahoma"/>
            <family val="2"/>
          </rPr>
          <t xml:space="preserve">5/15/2014: </t>
        </r>
        <r>
          <rPr>
            <sz val="8"/>
            <color indexed="81"/>
            <rFont val="Tahoma"/>
            <family val="2"/>
          </rPr>
          <t>repo'd $432M (or 7.4M shares) in 1Q</t>
        </r>
      </text>
    </comment>
    <comment ref="DF198" authorId="1">
      <text>
        <r>
          <rPr>
            <b/>
            <sz val="8"/>
            <color indexed="81"/>
            <rFont val="Tahoma"/>
            <family val="2"/>
          </rPr>
          <t>5/13/15: r</t>
        </r>
        <r>
          <rPr>
            <sz val="8"/>
            <color indexed="81"/>
            <rFont val="Tahoma"/>
            <family val="2"/>
          </rPr>
          <t>epurchased 5.9M shares of its common stock for a total of $385M</t>
        </r>
      </text>
    </comment>
    <comment ref="DI198" authorId="4">
      <text>
        <r>
          <rPr>
            <b/>
            <sz val="9"/>
            <color indexed="81"/>
            <rFont val="Tahoma"/>
            <family val="2"/>
          </rPr>
          <t>Baglione, Gregory  (Research):</t>
        </r>
        <r>
          <rPr>
            <sz val="9"/>
            <color indexed="81"/>
            <rFont val="Tahoma"/>
            <family val="2"/>
          </rPr>
          <t xml:space="preserve">
The company repurchased approximately 3.0 million shares of its common stock for a total of approximately $129 million in the first quarter of 2016. This brings the remaining authorization outstanding, as of the end of the first quarter on April 30, 2016, to approximately $1.9 billion, which the company can use to purchase common shares in the open market, in privately negotiated transactions or otherwise at any time and from time to time without prior notice.</t>
        </r>
      </text>
    </comment>
    <comment ref="DJ198" authorId="4">
      <text>
        <r>
          <rPr>
            <b/>
            <sz val="9"/>
            <color indexed="81"/>
            <rFont val="Tahoma"/>
            <family val="2"/>
          </rPr>
          <t>Baglione, Gregory  (Research):</t>
        </r>
        <r>
          <rPr>
            <sz val="9"/>
            <color indexed="81"/>
            <rFont val="Tahoma"/>
            <family val="2"/>
          </rPr>
          <t xml:space="preserve">
Repurchased on $129M of stock, ~3M shares</t>
        </r>
      </text>
    </comment>
    <comment ref="CR199" authorId="1">
      <text>
        <r>
          <rPr>
            <b/>
            <sz val="8"/>
            <color indexed="81"/>
            <rFont val="Tahoma"/>
            <family val="2"/>
          </rPr>
          <t xml:space="preserve">8/8/2012 release
</t>
        </r>
        <r>
          <rPr>
            <sz val="8"/>
            <color indexed="81"/>
            <rFont val="Tahoma"/>
            <family val="2"/>
          </rPr>
          <t>repo'd 10.6M shares for $374M</t>
        </r>
      </text>
    </comment>
    <comment ref="CS199" authorId="9">
      <text>
        <r>
          <rPr>
            <b/>
            <sz val="8"/>
            <color indexed="81"/>
            <rFont val="Tahoma"/>
            <family val="2"/>
          </rPr>
          <t xml:space="preserve">Comment 1/5/12:
</t>
        </r>
        <r>
          <rPr>
            <sz val="8"/>
            <color indexed="81"/>
            <rFont val="Tahoma"/>
            <family val="2"/>
          </rPr>
          <t>1) Board authorized a $1Bn increase in buyback program
2) Total authorization now $1.6Bn (at 1/5/12)</t>
        </r>
        <r>
          <rPr>
            <b/>
            <sz val="8"/>
            <color indexed="81"/>
            <rFont val="Tahoma"/>
            <family val="2"/>
          </rPr>
          <t xml:space="preserve">
Comment 11/9/11:
</t>
        </r>
        <r>
          <rPr>
            <sz val="8"/>
            <color indexed="81"/>
            <rFont val="Tahoma"/>
            <family val="2"/>
          </rPr>
          <t>Note: Mgmt views rumors of $1.8-2.0Bn of repo in 2012 too high</t>
        </r>
        <r>
          <rPr>
            <b/>
            <sz val="8"/>
            <color indexed="81"/>
            <rFont val="Tahoma"/>
            <family val="2"/>
          </rPr>
          <t xml:space="preserve">
Guidance 5/11/2011:
</t>
        </r>
        <r>
          <rPr>
            <sz val="8"/>
            <color indexed="81"/>
            <rFont val="Tahoma"/>
            <family val="2"/>
          </rPr>
          <t>Very strong likelihood see buyback by 2012</t>
        </r>
        <r>
          <rPr>
            <sz val="8"/>
            <color indexed="81"/>
            <rFont val="Tahoma"/>
            <family val="2"/>
          </rPr>
          <t xml:space="preserve">
</t>
        </r>
      </text>
    </comment>
    <comment ref="CT199" authorId="1">
      <text>
        <r>
          <rPr>
            <b/>
            <sz val="8"/>
            <color indexed="81"/>
            <rFont val="Tahoma"/>
            <family val="2"/>
          </rPr>
          <t>8/8/2012 release</t>
        </r>
        <r>
          <rPr>
            <sz val="8"/>
            <color indexed="81"/>
            <rFont val="Tahoma"/>
            <family val="2"/>
          </rPr>
          <t xml:space="preserve">
repo'd 10.6M shares for $374M</t>
        </r>
        <r>
          <rPr>
            <b/>
            <sz val="8"/>
            <color indexed="81"/>
            <rFont val="Tahoma"/>
            <family val="2"/>
          </rPr>
          <t xml:space="preserve">
7/5/2012 Assumption:
</t>
        </r>
        <r>
          <rPr>
            <sz val="8"/>
            <color indexed="81"/>
            <rFont val="Tahoma"/>
            <family val="2"/>
          </rPr>
          <t>Shares repo'd at $36/shr based on qtd avg price</t>
        </r>
      </text>
    </comment>
    <comment ref="CV199" authorId="1">
      <text>
        <r>
          <rPr>
            <b/>
            <sz val="8"/>
            <color indexed="81"/>
            <rFont val="Tahoma"/>
            <family val="2"/>
          </rPr>
          <t xml:space="preserve">Note: </t>
        </r>
        <r>
          <rPr>
            <sz val="8"/>
            <color indexed="81"/>
            <rFont val="Tahoma"/>
            <family val="2"/>
          </rPr>
          <t>Includes offset from share issuance/options exercised</t>
        </r>
      </text>
    </comment>
    <comment ref="CW199" authorId="1">
      <text>
        <r>
          <rPr>
            <b/>
            <sz val="8"/>
            <color indexed="81"/>
            <rFont val="Tahoma"/>
            <family val="2"/>
          </rPr>
          <t xml:space="preserve">8/15/2013: </t>
        </r>
        <r>
          <rPr>
            <sz val="8"/>
            <color indexed="81"/>
            <rFont val="Tahoma"/>
            <family val="2"/>
          </rPr>
          <t>repo'd $446.7M  (9.2M shares) in 2Q</t>
        </r>
      </text>
    </comment>
    <comment ref="CX199" authorId="1">
      <text>
        <r>
          <rPr>
            <b/>
            <sz val="8"/>
            <color indexed="81"/>
            <rFont val="Tahoma"/>
            <family val="2"/>
          </rPr>
          <t xml:space="preserve">8/15/2013: </t>
        </r>
        <r>
          <rPr>
            <sz val="8"/>
            <color indexed="81"/>
            <rFont val="Tahoma"/>
            <family val="2"/>
          </rPr>
          <t>repo'd $446.7M  (9.2M shares) in 2Q</t>
        </r>
      </text>
    </comment>
    <comment ref="DB199" authorId="1">
      <text>
        <r>
          <rPr>
            <b/>
            <sz val="8"/>
            <color indexed="81"/>
            <rFont val="Tahoma"/>
            <family val="2"/>
          </rPr>
          <t xml:space="preserve">8/13/2014: </t>
        </r>
        <r>
          <rPr>
            <sz val="8"/>
            <color indexed="81"/>
            <rFont val="Tahoma"/>
            <family val="2"/>
          </rPr>
          <t>repo'd $517M (or 8.9M shares) in 2Q</t>
        </r>
      </text>
    </comment>
    <comment ref="DF199" authorId="4">
      <text>
        <r>
          <rPr>
            <b/>
            <sz val="9"/>
            <color indexed="81"/>
            <rFont val="Tahoma"/>
            <family val="2"/>
          </rPr>
          <t>Baglione, Gregory  (Research):</t>
        </r>
        <r>
          <rPr>
            <sz val="9"/>
            <color indexed="81"/>
            <rFont val="Tahoma"/>
            <family val="2"/>
          </rPr>
          <t xml:space="preserve">
8/12/15Year-to-date we utilized $937 million to purchase 13.9 million shares of our stock.
The company repurchased approximately 8.0 million shares of its common stock for a total of approximately $552 million in the second quarter of 2015. In the fiscal year to date, the company repurchased approximately 13.9 million shares of its common stock for approximately $937 million. At Aug. 1, 2015, the company had remaining authorization to repurchase up to approximately $1.6 billion of its common stock.</t>
        </r>
      </text>
    </comment>
    <comment ref="DI199" authorId="4">
      <text>
        <r>
          <rPr>
            <b/>
            <sz val="9"/>
            <color indexed="81"/>
            <rFont val="Tahoma"/>
            <family val="2"/>
          </rPr>
          <t>Baglione, Gregory  (Research):</t>
        </r>
        <r>
          <rPr>
            <sz val="9"/>
            <color indexed="81"/>
            <rFont val="Tahoma"/>
            <family val="2"/>
          </rPr>
          <t xml:space="preserve">
8/11/16
The company did not repurchase any shares of its common stock in the second quarter of 2016. Given first quarter results, the company had decided to suspend its repurchase program but will consider resuming stock buybacks in the second half of 2016 assuming current sales trends continue. At July 30, 2016, the company has remaining authorization to repurchase up to approximately $1.9 billion of its common stock.</t>
        </r>
      </text>
    </comment>
    <comment ref="DJ199" authorId="4">
      <text>
        <r>
          <rPr>
            <b/>
            <sz val="9"/>
            <color indexed="81"/>
            <rFont val="Tahoma"/>
            <family val="2"/>
          </rPr>
          <t>Baglione, Gregory  (Research):</t>
        </r>
        <r>
          <rPr>
            <sz val="9"/>
            <color indexed="81"/>
            <rFont val="Tahoma"/>
            <family val="2"/>
          </rPr>
          <t xml:space="preserve">
8/11/16
The company did not repurchase any shares of its common stock in the second quarter of 2016. Given first quarter results, the company had decided to suspend its repurchase program but will consider resuming stock buybacks in the second half of 2016 assuming current sales trends continue. At July 30, 2016, the company has remaining authorization to repurchase up to approximately $1.9 billion of its common stock.</t>
        </r>
      </text>
    </comment>
    <comment ref="CS200" authorId="9">
      <text>
        <r>
          <rPr>
            <b/>
            <sz val="8"/>
            <color indexed="81"/>
            <rFont val="Tahoma"/>
            <family val="2"/>
          </rPr>
          <t xml:space="preserve">Comment 1/5/12:
</t>
        </r>
        <r>
          <rPr>
            <sz val="8"/>
            <color indexed="81"/>
            <rFont val="Tahoma"/>
            <family val="2"/>
          </rPr>
          <t>1) Board authorized a $1Bn increase in buyback program
2) Total authorization now $1.6Bn (at 1/5/12)</t>
        </r>
        <r>
          <rPr>
            <b/>
            <sz val="8"/>
            <color indexed="81"/>
            <rFont val="Tahoma"/>
            <family val="2"/>
          </rPr>
          <t xml:space="preserve">
Comment 11/9/11:
</t>
        </r>
        <r>
          <rPr>
            <sz val="8"/>
            <color indexed="81"/>
            <rFont val="Tahoma"/>
            <family val="2"/>
          </rPr>
          <t>Note: Mgmt views rumors of $1.8-2.0Bn of repo in 2012 too high</t>
        </r>
        <r>
          <rPr>
            <b/>
            <sz val="8"/>
            <color indexed="81"/>
            <rFont val="Tahoma"/>
            <family val="2"/>
          </rPr>
          <t xml:space="preserve">
Guidance 5/11/2011:
</t>
        </r>
        <r>
          <rPr>
            <sz val="8"/>
            <color indexed="81"/>
            <rFont val="Tahoma"/>
            <family val="2"/>
          </rPr>
          <t>Very strong likelihood see buyback by 2012</t>
        </r>
        <r>
          <rPr>
            <sz val="8"/>
            <color indexed="81"/>
            <rFont val="Tahoma"/>
            <family val="2"/>
          </rPr>
          <t xml:space="preserve">
</t>
        </r>
      </text>
    </comment>
    <comment ref="CT200" authorId="1">
      <text>
        <r>
          <rPr>
            <b/>
            <sz val="8"/>
            <color indexed="81"/>
            <rFont val="Tahoma"/>
            <family val="2"/>
          </rPr>
          <t>11/7/2012:</t>
        </r>
        <r>
          <rPr>
            <sz val="8"/>
            <color indexed="81"/>
            <rFont val="Tahoma"/>
            <family val="2"/>
          </rPr>
          <t xml:space="preserve"> $403M repo; 10.3M shares</t>
        </r>
      </text>
    </comment>
    <comment ref="CW200" authorId="10">
      <text>
        <r>
          <rPr>
            <b/>
            <sz val="8"/>
            <color indexed="81"/>
            <rFont val="Tahoma"/>
            <family val="2"/>
          </rPr>
          <t xml:space="preserve">11/13/13: </t>
        </r>
        <r>
          <rPr>
            <sz val="8"/>
            <color indexed="81"/>
            <rFont val="Tahoma"/>
            <family val="2"/>
          </rPr>
          <t xml:space="preserve">Repo'd 10.1M shares for $447M
</t>
        </r>
      </text>
    </comment>
    <comment ref="CX200" authorId="10">
      <text>
        <r>
          <rPr>
            <b/>
            <sz val="8"/>
            <color indexed="81"/>
            <rFont val="Tahoma"/>
            <family val="2"/>
          </rPr>
          <t xml:space="preserve">11/13/13: </t>
        </r>
        <r>
          <rPr>
            <sz val="8"/>
            <color indexed="81"/>
            <rFont val="Tahoma"/>
            <family val="2"/>
          </rPr>
          <t xml:space="preserve">Repo'd 10.1M shares for $447M
</t>
        </r>
      </text>
    </comment>
    <comment ref="DF200" authorId="4">
      <text>
        <r>
          <rPr>
            <b/>
            <sz val="9"/>
            <color indexed="81"/>
            <rFont val="Tahoma"/>
            <family val="2"/>
          </rPr>
          <t>Baglione, Gregory  (Research):</t>
        </r>
        <r>
          <rPr>
            <sz val="9"/>
            <color indexed="81"/>
            <rFont val="Tahoma"/>
            <family val="2"/>
          </rPr>
          <t xml:space="preserve">
The company repurchased approximately 16.7 million shares of its common stock for a total of approximately $900 million in the third quarter of 2015.
</t>
        </r>
      </text>
    </comment>
    <comment ref="DI200" authorId="4">
      <text>
        <r>
          <rPr>
            <b/>
            <sz val="9"/>
            <color indexed="81"/>
            <rFont val="Tahoma"/>
            <family val="2"/>
          </rPr>
          <t>Baglione, Gregory  (Research):</t>
        </r>
        <r>
          <rPr>
            <sz val="9"/>
            <color indexed="81"/>
            <rFont val="Tahoma"/>
            <family val="2"/>
          </rPr>
          <t xml:space="preserve">
11/11/16
In the third quarter of 2016, the company resumed its stock buyback program and repurchased approximately 3 million shares of its common stock for a total of approximately $108 million. In the first nine months, the company repurchased approximately 6 million shares of its common stock for approximately $238 million. At October 29, 2016, the company had remaining authorization to repurchase up to approximately $1.8 billion of its common stock.
previous: 0
current: (108)
8/11/16
The company did not repurchase any shares of its common stock in the second quarter of 2016. Given first quarter results, the company had decided to suspend its repurchase program but will consider resuming stock buybacks in the second half of 2016 assuming current sales trends continue. At July 30, 2016, the company has remaining authorization to repurchase up to approximately $1.9 billion of its common stock.
</t>
        </r>
      </text>
    </comment>
    <comment ref="DJ200" authorId="4">
      <text>
        <r>
          <rPr>
            <b/>
            <sz val="9"/>
            <color indexed="81"/>
            <rFont val="Tahoma"/>
            <family val="2"/>
          </rPr>
          <t>Baglione, Gregory  (Research):</t>
        </r>
        <r>
          <rPr>
            <sz val="9"/>
            <color indexed="81"/>
            <rFont val="Tahoma"/>
            <family val="2"/>
          </rPr>
          <t xml:space="preserve">
11/11/16
In the third quarter of 2016, the company resumed its stock buyback program and repurchased approximately 3 million shares of its common stock for a total of approximately $108 million. In the first nine months, the company repurchased approximately 6 million shares of its common stock for approximately $238 million. At October 29, 2016, the company had remaining authorization to repurchase up to approximately $1.8 billion of its common stock.
previous: 0
current: (108)
8/11/16
The company did not repurchase any shares of its common stock in the second quarter of 2016. Given first quarter results, the company had decided to suspend its repurchase program but will consider resuming stock buybacks in the second half of 2016 assuming current sales trends continue. At July 30, 2016, the company has remaining authorization to repurchase up to approximately $1.9 billion of its common stock.
</t>
        </r>
      </text>
    </comment>
    <comment ref="CS201" authorId="9">
      <text>
        <r>
          <rPr>
            <b/>
            <sz val="8"/>
            <color indexed="81"/>
            <rFont val="Tahoma"/>
            <family val="2"/>
          </rPr>
          <t xml:space="preserve">Comment 1/5/12:
</t>
        </r>
        <r>
          <rPr>
            <sz val="8"/>
            <color indexed="81"/>
            <rFont val="Tahoma"/>
            <family val="2"/>
          </rPr>
          <t>1) Board authorized a $1Bn increase in buyback program
2) Total authorization now $1.6Bn (at 1/5/12)</t>
        </r>
        <r>
          <rPr>
            <b/>
            <sz val="8"/>
            <color indexed="81"/>
            <rFont val="Tahoma"/>
            <family val="2"/>
          </rPr>
          <t xml:space="preserve">
Comment 11/9/11:
</t>
        </r>
        <r>
          <rPr>
            <sz val="8"/>
            <color indexed="81"/>
            <rFont val="Tahoma"/>
            <family val="2"/>
          </rPr>
          <t>Note: Mgmt views rumors of $1.8-2.0Bn of repo in 2012 too high</t>
        </r>
        <r>
          <rPr>
            <b/>
            <sz val="8"/>
            <color indexed="81"/>
            <rFont val="Tahoma"/>
            <family val="2"/>
          </rPr>
          <t xml:space="preserve">
Guidance 5/11/2011:
</t>
        </r>
        <r>
          <rPr>
            <sz val="8"/>
            <color indexed="81"/>
            <rFont val="Tahoma"/>
            <family val="2"/>
          </rPr>
          <t>Very strong likelihood see buyback by 2012</t>
        </r>
        <r>
          <rPr>
            <sz val="8"/>
            <color indexed="81"/>
            <rFont val="Tahoma"/>
            <family val="2"/>
          </rPr>
          <t xml:space="preserve">
</t>
        </r>
      </text>
    </comment>
    <comment ref="CT201" authorId="1">
      <text>
        <r>
          <rPr>
            <b/>
            <sz val="8"/>
            <color indexed="81"/>
            <rFont val="Tahoma"/>
            <family val="2"/>
          </rPr>
          <t xml:space="preserve">2/7/2013: </t>
        </r>
        <r>
          <rPr>
            <sz val="8"/>
            <color indexed="81"/>
            <rFont val="Tahoma"/>
            <family val="2"/>
          </rPr>
          <t>Avg qtr stock price $39</t>
        </r>
        <r>
          <rPr>
            <b/>
            <sz val="8"/>
            <color indexed="81"/>
            <rFont val="Tahoma"/>
            <family val="2"/>
          </rPr>
          <t xml:space="preserve">
1/3/2013: </t>
        </r>
        <r>
          <rPr>
            <sz val="8"/>
            <color indexed="81"/>
            <rFont val="Tahoma"/>
            <family val="2"/>
          </rPr>
          <t>Avg qtd stock price $39</t>
        </r>
        <r>
          <rPr>
            <b/>
            <sz val="8"/>
            <color indexed="81"/>
            <rFont val="Tahoma"/>
            <family val="2"/>
          </rPr>
          <t xml:space="preserve">
11/29/2012: </t>
        </r>
        <r>
          <rPr>
            <sz val="8"/>
            <color indexed="81"/>
            <rFont val="Tahoma"/>
            <family val="2"/>
          </rPr>
          <t>Avg Nov stock price = $40</t>
        </r>
      </text>
    </comment>
    <comment ref="CX201" authorId="10">
      <text>
        <r>
          <rPr>
            <b/>
            <sz val="8"/>
            <color indexed="81"/>
            <rFont val="Tahoma"/>
            <family val="2"/>
          </rPr>
          <t xml:space="preserve">2/25/14: </t>
        </r>
        <r>
          <rPr>
            <sz val="8"/>
            <color indexed="81"/>
            <rFont val="Tahoma"/>
            <family val="2"/>
          </rPr>
          <t xml:space="preserve">Repo'd 33.6M shares for the year
</t>
        </r>
      </text>
    </comment>
    <comment ref="DI201" authorId="4">
      <text>
        <r>
          <rPr>
            <b/>
            <sz val="9"/>
            <color indexed="81"/>
            <rFont val="Tahoma"/>
            <family val="2"/>
          </rPr>
          <t>Baglione, Gregory  (Research):</t>
        </r>
        <r>
          <rPr>
            <sz val="9"/>
            <color indexed="81"/>
            <rFont val="Tahoma"/>
            <family val="2"/>
          </rPr>
          <t xml:space="preserve">
8/11/16
The company did not repurchase any shares of its common stock in the second quarter of 2016. Given first quarter results, the company had decided to suspend its repurchase program but will consider resuming stock buybacks in the second half of 2016 assuming current sales trends continue. At July 30, 2016, the company has remaining authorization to repurchase up to approximately $1.9 billion of its common stock.</t>
        </r>
      </text>
    </comment>
    <comment ref="CS202" authorId="9">
      <text>
        <r>
          <rPr>
            <b/>
            <sz val="8"/>
            <color indexed="81"/>
            <rFont val="Tahoma"/>
            <family val="2"/>
          </rPr>
          <t xml:space="preserve">Guidance 7/5/2012
</t>
        </r>
        <r>
          <rPr>
            <sz val="8"/>
            <color indexed="81"/>
            <rFont val="Tahoma"/>
            <family val="2"/>
          </rPr>
          <t>Expect to buy back at least $1Bn in shares this year</t>
        </r>
        <r>
          <rPr>
            <b/>
            <sz val="8"/>
            <color indexed="81"/>
            <rFont val="Tahoma"/>
            <family val="2"/>
          </rPr>
          <t xml:space="preserve">
Comment 1/5/12:
</t>
        </r>
        <r>
          <rPr>
            <sz val="8"/>
            <color indexed="81"/>
            <rFont val="Tahoma"/>
            <family val="2"/>
          </rPr>
          <t>1) Board authorized a $1Bn increase in buyback program
2) Total authorization now $1.6Bn (at 1/5/12)</t>
        </r>
        <r>
          <rPr>
            <b/>
            <sz val="8"/>
            <color indexed="81"/>
            <rFont val="Tahoma"/>
            <family val="2"/>
          </rPr>
          <t xml:space="preserve">
Comment 11/9/11:
</t>
        </r>
        <r>
          <rPr>
            <sz val="8"/>
            <color indexed="81"/>
            <rFont val="Tahoma"/>
            <family val="2"/>
          </rPr>
          <t>Note: Mgmt views rumors of $1.8-2.0Bn of repo in 2012 too high</t>
        </r>
        <r>
          <rPr>
            <b/>
            <sz val="8"/>
            <color indexed="81"/>
            <rFont val="Tahoma"/>
            <family val="2"/>
          </rPr>
          <t xml:space="preserve">
Guidance 5/11/2011:
</t>
        </r>
        <r>
          <rPr>
            <sz val="8"/>
            <color indexed="81"/>
            <rFont val="Tahoma"/>
            <family val="2"/>
          </rPr>
          <t>Very strong likelihood see buyback by 2012</t>
        </r>
        <r>
          <rPr>
            <sz val="8"/>
            <color indexed="81"/>
            <rFont val="Tahoma"/>
            <family val="2"/>
          </rPr>
          <t xml:space="preserve">
</t>
        </r>
      </text>
    </comment>
    <comment ref="CW202" authorId="9">
      <text>
        <r>
          <rPr>
            <b/>
            <sz val="8"/>
            <color indexed="81"/>
            <rFont val="Tahoma"/>
            <family val="2"/>
          </rPr>
          <t xml:space="preserve">2/15/2014:
</t>
        </r>
        <r>
          <rPr>
            <sz val="8"/>
            <color indexed="81"/>
            <rFont val="Tahoma"/>
            <family val="2"/>
          </rPr>
          <t>Bought back 33.6M shares for $1.6B in 2013</t>
        </r>
      </text>
    </comment>
    <comment ref="DI202" authorId="6">
      <text>
        <r>
          <rPr>
            <b/>
            <sz val="9"/>
            <color indexed="81"/>
            <rFont val="Tahoma"/>
            <family val="2"/>
          </rPr>
          <t>Cassel, Lauren (Research):</t>
        </r>
        <r>
          <rPr>
            <sz val="9"/>
            <color indexed="81"/>
            <rFont val="Tahoma"/>
            <family val="2"/>
          </rPr>
          <t xml:space="preserve">
2/21/17: In fiscal 2016, the company repurchased approximately 7.9 million shares of its common stock for approximately $316 million.</t>
        </r>
      </text>
    </comment>
  </commentList>
</comments>
</file>

<file path=xl/comments6.xml><?xml version="1.0" encoding="utf-8"?>
<comments xmlns="http://schemas.openxmlformats.org/spreadsheetml/2006/main">
  <authors>
    <author>De Courreges, Edouard (Research)</author>
    <author>Baglione, Gregory  (Research)</author>
    <author>balskyh</author>
    <author>Roberts, Cynthia (Research)</author>
    <author>Baglione, Gregory (Research)</author>
    <author>casselau</author>
    <author>cuomochr</author>
  </authors>
  <commentList>
    <comment ref="AE9" authorId="0">
      <text>
        <r>
          <rPr>
            <b/>
            <sz val="9"/>
            <color indexed="81"/>
            <rFont val="Tahoma"/>
            <family val="2"/>
          </rPr>
          <t>De Courreges, Edouard (Research):</t>
        </r>
        <r>
          <rPr>
            <sz val="9"/>
            <color indexed="81"/>
            <rFont val="Tahoma"/>
            <family val="2"/>
          </rPr>
          <t xml:space="preserve">
14% per Atlas calcs</t>
        </r>
      </text>
    </comment>
    <comment ref="AF9" authorId="0">
      <text>
        <r>
          <rPr>
            <b/>
            <sz val="9"/>
            <color indexed="81"/>
            <rFont val="Tahoma"/>
            <family val="2"/>
          </rPr>
          <t>De Courreges, Edouard (Research):</t>
        </r>
        <r>
          <rPr>
            <sz val="9"/>
            <color indexed="81"/>
            <rFont val="Tahoma"/>
            <family val="2"/>
          </rPr>
          <t xml:space="preserve">
15.4% per Atlas calcs</t>
        </r>
      </text>
    </comment>
    <comment ref="AG9" authorId="0">
      <text>
        <r>
          <rPr>
            <b/>
            <sz val="9"/>
            <color indexed="81"/>
            <rFont val="Tahoma"/>
            <family val="2"/>
          </rPr>
          <t>De Courreges, Edouard (Research):</t>
        </r>
        <r>
          <rPr>
            <sz val="9"/>
            <color indexed="81"/>
            <rFont val="Tahoma"/>
            <family val="2"/>
          </rPr>
          <t xml:space="preserve">
17.8% per Atlas calcs</t>
        </r>
      </text>
    </comment>
    <comment ref="AH10" authorId="0">
      <text>
        <r>
          <rPr>
            <b/>
            <sz val="9"/>
            <color indexed="81"/>
            <rFont val="Tahoma"/>
            <family val="2"/>
          </rPr>
          <t>De Courreges, Edouard (Research):</t>
        </r>
        <r>
          <rPr>
            <sz val="9"/>
            <color indexed="81"/>
            <rFont val="Tahoma"/>
            <family val="2"/>
          </rPr>
          <t xml:space="preserve">
5/11/17: On the digital growth, we said that it was double digits in the first quarter increase.
Matt on call back:  we're seeing growth in all categories, and it really has not changed over time.</t>
        </r>
      </text>
    </comment>
    <comment ref="AH11" authorId="1">
      <text>
        <r>
          <rPr>
            <b/>
            <sz val="9"/>
            <color indexed="81"/>
            <rFont val="Tahoma"/>
            <family val="2"/>
          </rPr>
          <t xml:space="preserve">Baglione, Gregory  (Research):
1/4/17
</t>
        </r>
        <r>
          <rPr>
            <sz val="9"/>
            <color indexed="81"/>
            <rFont val="Tahoma"/>
            <family val="2"/>
          </rPr>
          <t xml:space="preserve">As a result of closing 63 Macy’s stores in early 2017, along with the three closed mid-year 2016, the company’s 2017 sales are expected to be negatively impacted by approximately $575 million. This reflects the company’s ability to retain sales at nearby stores and on macys.com through targeted marketing and merchandising efforts.
Given the overall trends challenging us and the broader retail industry, and the time needed to execute new strategies, we expect our 2017 change in comparable sales to be relatively consistent with our November/December sales trend,” said Terry J. Lundgren, chairman and chief executive officer of Macy’s, Inc. </t>
        </r>
        <r>
          <rPr>
            <b/>
            <sz val="9"/>
            <color indexed="81"/>
            <rFont val="Tahoma"/>
            <family val="2"/>
          </rPr>
          <t xml:space="preserve">
2017e Sales Forcast:
2016e $25.8B
-2% comp
-$575M reduction from 68 store closures ($8.5M per store)
+ 53rd Week= ~1.2% of total sales ($330M) per 2012 cell comments using ~$285M here
Implies $25.064B
</t>
        </r>
        <r>
          <rPr>
            <sz val="9"/>
            <color indexed="81"/>
            <rFont val="Tahoma"/>
            <family val="2"/>
          </rPr>
          <t>8/11/16
Management stated timing of closures and sales loss is still unknown.
We remove $750M sales from 2016e sales and then apply our comp forecast.
We assume the remaining $250M comes out of 2017
$750M sales ~3% sales headwind
-1% comp
Offset by ~1.3% benefit from 53rd week, leads to sales ~
We remove $750M from LY's sales and model a -1% comp=</t>
        </r>
      </text>
    </comment>
    <comment ref="AI11" authorId="1">
      <text>
        <r>
          <rPr>
            <b/>
            <sz val="9"/>
            <color indexed="81"/>
            <rFont val="Tahoma"/>
            <family val="2"/>
          </rPr>
          <t xml:space="preserve">Baglione, Gregory  (Research):
1/4/17
</t>
        </r>
        <r>
          <rPr>
            <sz val="9"/>
            <color indexed="81"/>
            <rFont val="Tahoma"/>
            <family val="2"/>
          </rPr>
          <t xml:space="preserve">As a result of closing 63 Macy’s stores in early 2017, along with the three closed mid-year 2016, the company’s 2017 sales are expected to be negatively impacted by approximately $575 million. This reflects the company’s ability to retain sales at nearby stores and on macys.com through targeted marketing and merchandising efforts.
Given the overall trends challenging us and the broader retail industry, and the time needed to execute new strategies, we expect our 2017 change in comparable sales to be relatively consistent with our November/December sales trend,” said Terry J. Lundgren, chairman and chief executive officer of Macy’s, Inc. </t>
        </r>
        <r>
          <rPr>
            <b/>
            <sz val="9"/>
            <color indexed="81"/>
            <rFont val="Tahoma"/>
            <family val="2"/>
          </rPr>
          <t xml:space="preserve">
2017e Sales Forcast:
2016e $25.8B
-2% comp
-$575M reduction from 68 store closures ($8.5M per store)
+ 53rd Week= ~1.2% of total sales ($330M) per 2012 cell comments using ~$285M here
Implies $25.064B
</t>
        </r>
        <r>
          <rPr>
            <sz val="9"/>
            <color indexed="81"/>
            <rFont val="Tahoma"/>
            <family val="2"/>
          </rPr>
          <t>8/11/16
Management stated timing of closures and sales loss is still unknown.
We remove $750M sales from 2016e sales and then apply our comp forecast.
We assume the remaining $250M comes out of 2017
$750M sales ~3% sales headwind
-1% comp
Offset by ~1.3% benefit from 53rd week, leads to sales ~
We remove $750M from LY's sales and model a -1% comp=</t>
        </r>
      </text>
    </comment>
    <comment ref="AC12" authorId="2">
      <text>
        <r>
          <rPr>
            <b/>
            <sz val="8"/>
            <color indexed="81"/>
            <rFont val="Tahoma"/>
            <family val="2"/>
          </rPr>
          <t xml:space="preserve">2/20/2013 Per mgmt </t>
        </r>
        <r>
          <rPr>
            <sz val="8"/>
            <color indexed="81"/>
            <rFont val="Tahoma"/>
            <family val="2"/>
          </rPr>
          <t>extra week added ~1pt to sales growth for FY</t>
        </r>
      </text>
    </comment>
    <comment ref="AH27" authorId="1">
      <text>
        <r>
          <rPr>
            <b/>
            <sz val="9"/>
            <color indexed="81"/>
            <rFont val="Tahoma"/>
            <family val="2"/>
          </rPr>
          <t>Baglione, Gregory  (Research)</t>
        </r>
        <r>
          <rPr>
            <sz val="9"/>
            <color indexed="81"/>
            <rFont val="Tahoma"/>
            <family val="2"/>
          </rPr>
          <t xml:space="preserve">
1/4/17
As a result of closing 63 Macy’s stores in early 2017, along with the three closed mid-year 2016, the company’s 2017 sales are expected to be negatively impacted by approximately $575 million. This reflects the company’s ability to retain sales at nearby stores and on macys.com through targeted marketing and merchandising efforts.
Given the overall trends challenging us and the broader retail industry, and the time needed to execute new strategies, we expect our 2017 change in comparable sales to be relatively consistent with our November/December sales trend,” said Terry J. Lundgren, chairman and chief executive officer of Macy’s, Inc. </t>
        </r>
      </text>
    </comment>
    <comment ref="AH29" authorId="3">
      <text>
        <r>
          <rPr>
            <b/>
            <sz val="9"/>
            <color indexed="81"/>
            <rFont val="Tahoma"/>
            <family val="2"/>
          </rPr>
          <t>Roberts, Cynthia (Research):</t>
        </r>
        <r>
          <rPr>
            <sz val="9"/>
            <color indexed="81"/>
            <rFont val="Tahoma"/>
            <family val="2"/>
          </rPr>
          <t xml:space="preserve">
</t>
        </r>
        <r>
          <rPr>
            <b/>
            <sz val="9"/>
            <color indexed="81"/>
            <rFont val="Tahoma"/>
            <family val="2"/>
          </rPr>
          <t>2017e Sales Forecast:</t>
        </r>
        <r>
          <rPr>
            <sz val="9"/>
            <color indexed="81"/>
            <rFont val="Tahoma"/>
            <family val="2"/>
          </rPr>
          <t xml:space="preserve">
2016e $25.8B
-2.0% comp
=$25.3B
-$575M reduction from 68 store closures
=$24.74B
+ 53rd Week= ~1% sales growth per 2012 cell comments using ~$285M here
Implies $25.064B
</t>
        </r>
      </text>
    </comment>
    <comment ref="AI33" authorId="4">
      <text>
        <r>
          <rPr>
            <b/>
            <sz val="9"/>
            <color indexed="81"/>
            <rFont val="Tahoma"/>
            <family val="2"/>
          </rPr>
          <t>Baglione, Gregory (Research):</t>
        </r>
        <r>
          <rPr>
            <sz val="9"/>
            <color indexed="81"/>
            <rFont val="Tahoma"/>
            <family val="2"/>
          </rPr>
          <t xml:space="preserve">
2012 53rd week was 1-1.5% total sales contribution</t>
        </r>
      </text>
    </comment>
    <comment ref="AG40" authorId="1">
      <text>
        <r>
          <rPr>
            <b/>
            <sz val="9"/>
            <color indexed="81"/>
            <rFont val="Tahoma"/>
            <family val="2"/>
          </rPr>
          <t>Baglione, Gregory  (Research):</t>
        </r>
        <r>
          <rPr>
            <sz val="9"/>
            <color indexed="81"/>
            <rFont val="Tahoma"/>
            <family val="2"/>
          </rPr>
          <t xml:space="preserve">
or fiscal 2016, a new Macy’s store has been announced for opening in Kapolei, HI, along with a replacement Macy’s store in Los Angeles, CA. 
</t>
        </r>
        <r>
          <rPr>
            <b/>
            <sz val="9"/>
            <color indexed="81"/>
            <rFont val="Tahoma"/>
            <family val="2"/>
          </rPr>
          <t>2/23/16</t>
        </r>
        <r>
          <rPr>
            <sz val="9"/>
            <color indexed="81"/>
            <rFont val="Tahoma"/>
            <family val="2"/>
          </rPr>
          <t xml:space="preserve">
In fiscal 2016, the company expects to open a new Macy’s store in Kapolei, HI, as well as approximately 42 additional Bluemercury locations (24 freestanding and 18 inside Macy’s) and 16 Macy’s Backstage locations (1 freestanding and 15 inside Macy’s). Announced new stores in future years include Macy’s in Murray, UT (2017), a Macy’s replacement store in Los Angeles, CA (2017), and Bloomingdale’s in San Jose, CA (2017) and Norwalk, CT (2018). In addition, a new Bloomingdale’s store is expected to open in 2017 in Kuwait, and new Macy’s and Bloomingdale’s stores are planned to open in Abu Dhabi, United Arab Emirates, in 2018 under license agreements with Al Tayer Group</t>
        </r>
      </text>
    </comment>
    <comment ref="AH40" authorId="5">
      <text>
        <r>
          <rPr>
            <b/>
            <sz val="9"/>
            <color indexed="81"/>
            <rFont val="Tahoma"/>
            <family val="2"/>
          </rPr>
          <t>casselau:</t>
        </r>
        <r>
          <rPr>
            <sz val="9"/>
            <color indexed="81"/>
            <rFont val="Tahoma"/>
            <family val="2"/>
          </rPr>
          <t xml:space="preserve">
</t>
        </r>
        <r>
          <rPr>
            <b/>
            <sz val="9"/>
            <color indexed="81"/>
            <rFont val="Tahoma"/>
            <family val="2"/>
          </rPr>
          <t xml:space="preserve">assume 5 annual store closures </t>
        </r>
        <r>
          <rPr>
            <sz val="9"/>
            <color indexed="81"/>
            <rFont val="Tahoma"/>
            <family val="2"/>
          </rPr>
          <t xml:space="preserve">
Announced new stores for fiscal 2017 include new Macy’s and Bloomingdale’s in Miami, FL, and a new Bloomingdale’s in San Jose, CA. 
Assumes company closes ~20-25 doors, opens ~15-20 doors. Net neutral growth moving forward
1/7/16
Five new Macy’s and Bloomingdale’s stores are currently planned and/or under construction, as previously announced.
New Macy’s stores will be opening in:
Ka Makana Ali’i, Kapolei, HI (103,000 square feet; to open in fall 2016; approximately 180 associates).
Westfield Century City, Los Angeles, CA (a 155,000 square-foot store to open in spring 2017 to replace an older and smaller Macy’s store in this very successful shopping center).
Fashion Place, Murray, UT (160,000 square feet; to open in spring 2017; approximately 150 associates).
New Bloomingdale’s stores will be opening in:
Westfield Valley Fair Shopping Center, San Jose, CA (150,000 square feet; to open in fall 2017; approximately 250 associates).
The SoNo Collection, Norwalk, CT (150,000 square feet; to open in fall 2018; approximately 200 associates).
In addition, in the next two years, the company plans to open about 50 additional Macy’s Backstage off-price locations (most of which will be inside existing Macy’s stores), and about 40 freestanding Bluemercury beauty specialty stores.
Internationally, new Macy’s and Bloomingdale’s stores are planned to open in Al Maryah Central in Abu Dhabi, United Arab Emirates, in 2018 under license agreements with Al Tayer Group.
2/23/16
In fiscal 2016, the company expects to open a new Macy’s store in Kapolei, HI, as well as approximately 42 additional Bluemercury locations (24 freestanding and 18 inside Macy’s) and 16 Macy’s Backstage locations (1 freestanding and 15 inside Macy’s). Announced new stores in future years include Macy’s in Murray, UT (2017), a Macy’s replacement store in Los Angeles, CA (2017), and Bloomingdale’s in San Jose, CA (2017) and Norwalk, CT (2018). In addition, a new Bloomingdale’s store is expected to open in 2017 in Kuwait, and new Macy’s and Bloomingdale’s stores are planned to open in Abu Dhabi, United Arab Emirates, in 2018 under license agreements with Al Tayer Group.
Assuming -10 door closure moving forwarrd (5 back stage opennings 15-20 Macy's closures)</t>
        </r>
      </text>
    </comment>
    <comment ref="AI40" authorId="5">
      <text>
        <r>
          <rPr>
            <b/>
            <sz val="9"/>
            <color indexed="81"/>
            <rFont val="Tahoma"/>
            <family val="2"/>
          </rPr>
          <t>casselau:</t>
        </r>
        <r>
          <rPr>
            <sz val="9"/>
            <color indexed="81"/>
            <rFont val="Tahoma"/>
            <family val="2"/>
          </rPr>
          <t xml:space="preserve">
</t>
        </r>
        <r>
          <rPr>
            <b/>
            <sz val="9"/>
            <color indexed="81"/>
            <rFont val="Tahoma"/>
            <family val="2"/>
          </rPr>
          <t xml:space="preserve">assume 5 annual store closures </t>
        </r>
        <r>
          <rPr>
            <sz val="9"/>
            <color indexed="81"/>
            <rFont val="Tahoma"/>
            <family val="2"/>
          </rPr>
          <t xml:space="preserve">
Announced new stores for fiscal 2017 include new Macy’s and Bloomingdale’s in Miami, FL, and a new Bloomingdale’s in San Jose, CA. 
Assumes company closes ~20-25 doors, opens ~15-20 doors. Net neutral growth moving forward
1/7/16
Five new Macy’s and Bloomingdale’s stores are currently planned and/or under construction, as previously announced.
New Macy’s stores will be opening in:
Ka Makana Ali’i, Kapolei, HI (103,000 square feet; to open in fall 2016; approximately 180 associates).
Westfield Century City, Los Angeles, CA (a 155,000 square-foot store to open in spring 2017 to replace an older and smaller Macy’s store in this very successful shopping center).
Fashion Place, Murray, UT (160,000 square feet; to open in spring 2017; approximately 150 associates).
New Bloomingdale’s stores will be opening in:
Westfield Valley Fair Shopping Center, San Jose, CA (150,000 square feet; to open in fall 2017; approximately 250 associates).
The SoNo Collection, Norwalk, CT (150,000 square feet; to open in fall 2018; approximately 200 associates).
In addition, in the next two years, the company plans to open about 50 additional Macy’s Backstage off-price locations (most of which will be inside existing Macy’s stores), and about 40 freestanding Bluemercury beauty specialty stores.
Internationally, new Macy’s and Bloomingdale’s stores are planned to open in Al Maryah Central in Abu Dhabi, United Arab Emirates, in 2018 under license agreements with Al Tayer Group.
2/23/16
In fiscal 2016, the company expects to open a new Macy’s store in Kapolei, HI, as well as approximately 42 additional Bluemercury locations (24 freestanding and 18 inside Macy’s) and 16 Macy’s Backstage locations (1 freestanding and 15 inside Macy’s). Announced new stores in future years include Macy’s in Murray, UT (2017), a Macy’s replacement store in Los Angeles, CA (2017), and Bloomingdale’s in San Jose, CA (2017) and Norwalk, CT (2018). In addition, a new Bloomingdale’s store is expected to open in 2017 in Kuwait, and new Macy’s and Bloomingdale’s stores are planned to open in Abu Dhabi, United Arab Emirates, in 2018 under license agreements with Al Tayer Group.</t>
        </r>
      </text>
    </comment>
    <comment ref="AJ40" authorId="5">
      <text>
        <r>
          <rPr>
            <b/>
            <sz val="9"/>
            <color indexed="81"/>
            <rFont val="Tahoma"/>
            <family val="2"/>
          </rPr>
          <t>casselau:</t>
        </r>
        <r>
          <rPr>
            <sz val="9"/>
            <color indexed="81"/>
            <rFont val="Tahoma"/>
            <family val="2"/>
          </rPr>
          <t xml:space="preserve">
</t>
        </r>
        <r>
          <rPr>
            <b/>
            <sz val="9"/>
            <color indexed="81"/>
            <rFont val="Tahoma"/>
            <family val="2"/>
          </rPr>
          <t xml:space="preserve">assume 5 annual store closures </t>
        </r>
        <r>
          <rPr>
            <sz val="9"/>
            <color indexed="81"/>
            <rFont val="Tahoma"/>
            <family val="2"/>
          </rPr>
          <t xml:space="preserve">
Announced new stores for fiscal 2017 include new Macy’s and Bloomingdale’s in Miami, FL, and a new Bloomingdale’s in San Jose, CA. 
Assumes company closes ~20-25 doors, opens ~15-20 doors. Net neutral growth moving forward
1/7/16
Five new Macy’s and Bloomingdale’s stores are currently planned and/or under construction, as previously announced.
New Macy’s stores will be opening in:
Ka Makana Ali’i, Kapolei, HI (103,000 square feet; to open in fall 2016; approximately 180 associates).
Westfield Century City, Los Angeles, CA (a 155,000 square-foot store to open in spring 2017 to replace an older and smaller Macy’s store in this very successful shopping center).
Fashion Place, Murray, UT (160,000 square feet; to open in spring 2017; approximately 150 associates).
New Bloomingdale’s stores will be opening in:
Westfield Valley Fair Shopping Center, San Jose, CA (150,000 square feet; to open in fall 2017; approximately 250 associates).
The SoNo Collection, Norwalk, CT (150,000 square feet; to open in fall 2018; approximately 200 associates).
In addition, in the next two years, the company plans to open about 50 additional Macy’s Backstage off-price locations (most of which will be inside existing Macy’s stores), and about 40 freestanding Bluemercury beauty specialty stores.
Internationally, new Macy’s and Bloomingdale’s stores are planned to open in Al Maryah Central in Abu Dhabi, United Arab Emirates, in 2018 under license agreements with Al Tayer Group.
2/23/16
In fiscal 2016, the company expects to open a new Macy’s store in Kapolei, HI, as well as approximately 42 additional Bluemercury locations (24 freestanding and 18 inside Macy’s) and 16 Macy’s Backstage locations (1 freestanding and 15 inside Macy’s). Announced new stores in future years include Macy’s in Murray, UT (2017), a Macy’s replacement store in Los Angeles, CA (2017), and Bloomingdale’s in San Jose, CA (2017) and Norwalk, CT (2018). In addition, a new Bloomingdale’s store is expected to open in 2017 in Kuwait, and new Macy’s and Bloomingdale’s stores are planned to open in Abu Dhabi, United Arab Emirates, in 2018 under license agreements with Al Tayer Group.</t>
        </r>
      </text>
    </comment>
    <comment ref="AC41" authorId="6">
      <text>
        <r>
          <rPr>
            <b/>
            <sz val="8"/>
            <color indexed="81"/>
            <rFont val="Tahoma"/>
            <family val="2"/>
          </rPr>
          <t xml:space="preserve">Per 1/4/2012 Release / Guidance:
</t>
        </r>
        <r>
          <rPr>
            <sz val="8"/>
            <color indexed="81"/>
            <rFont val="Tahoma"/>
            <family val="2"/>
          </rPr>
          <t xml:space="preserve">- Macy's to close 5 stores in early Spring 2012 (final clearance sales at these locations will begin Sun, Jan 8 and run for ~10 wks (~ thru 3/18/12))
- Macy's will open 5 new stores + 1 replacement store in FY12-FY13 </t>
        </r>
        <r>
          <rPr>
            <b/>
            <sz val="8"/>
            <color indexed="81"/>
            <rFont val="Tahoma"/>
            <family val="2"/>
          </rPr>
          <t>(2 new in FY12; remainder in FY 13)</t>
        </r>
        <r>
          <rPr>
            <sz val="8"/>
            <color indexed="81"/>
            <rFont val="Tahoma"/>
            <family val="2"/>
          </rPr>
          <t xml:space="preserve">
- Total store count for Macy's after all openings and closings will be 804
- Bloomingdale's will close 4 stores in early Spring 2012 (final clearance sale same as above)
- Bloomingdale's will open 1 new store in FY 13 + 1 replacement store in FY14
-</t>
        </r>
        <r>
          <rPr>
            <b/>
            <sz val="8"/>
            <color indexed="81"/>
            <rFont val="Tahoma"/>
            <family val="2"/>
          </rPr>
          <t xml:space="preserve"> 5 New Bloomingdale's Outlet stores in FY12 each with about 25k SF</t>
        </r>
        <r>
          <rPr>
            <sz val="8"/>
            <color indexed="81"/>
            <rFont val="Tahoma"/>
            <family val="2"/>
          </rPr>
          <t xml:space="preserve">
- Total store count for Bloomindale's after all openings and closings will be 38 FL &amp; home stores + 12 outlets
[Note: see 2012 Stores Tab for more details]
</t>
        </r>
        <r>
          <rPr>
            <b/>
            <sz val="8"/>
            <color indexed="81"/>
            <rFont val="Tahoma"/>
            <family val="2"/>
          </rPr>
          <t xml:space="preserve">
11/9/11 commentary / release:
</t>
        </r>
        <r>
          <rPr>
            <sz val="8"/>
            <color indexed="81"/>
            <rFont val="Tahoma"/>
            <family val="2"/>
          </rPr>
          <t xml:space="preserve">1) open 2 new stores and 1 replacement store in 2012
2) open 3 new stores in 2013/early 2014 and 1 replacement store
</t>
        </r>
        <r>
          <rPr>
            <b/>
            <sz val="8"/>
            <color indexed="81"/>
            <rFont val="Tahoma"/>
            <family val="2"/>
          </rPr>
          <t xml:space="preserve">
PR 5/23/2011:
</t>
        </r>
        <r>
          <rPr>
            <sz val="8"/>
            <color indexed="81"/>
            <rFont val="Tahoma"/>
            <family val="2"/>
          </rPr>
          <t>Spring 2012 planned opening in WI; former Younker's location</t>
        </r>
        <r>
          <rPr>
            <sz val="8"/>
            <color indexed="81"/>
            <rFont val="Tahoma"/>
            <family val="2"/>
          </rPr>
          <t xml:space="preserve">
</t>
        </r>
      </text>
    </comment>
    <comment ref="AD41" authorId="6">
      <text>
        <r>
          <rPr>
            <b/>
            <sz val="8"/>
            <color indexed="81"/>
            <rFont val="Tahoma"/>
            <family val="2"/>
          </rPr>
          <t xml:space="preserve">Per 10K 2011
</t>
        </r>
        <r>
          <rPr>
            <sz val="8"/>
            <color indexed="81"/>
            <rFont val="Tahoma"/>
            <family val="2"/>
          </rPr>
          <t>Will open 3 new Macy's stores, 1 replacement store, 1 new Bloomies and one Bloomies replacement store, and may open additional Bloomingdale's outlets in 2013/early 2014</t>
        </r>
        <r>
          <rPr>
            <b/>
            <sz val="8"/>
            <color indexed="81"/>
            <rFont val="Tahoma"/>
            <family val="2"/>
          </rPr>
          <t xml:space="preserve">
Per 1/4/2012 Release / Guidance:</t>
        </r>
        <r>
          <rPr>
            <sz val="8"/>
            <color indexed="81"/>
            <rFont val="Tahoma"/>
            <family val="2"/>
          </rPr>
          <t xml:space="preserve">
- Macy's will open 5 new stores + 1 replacement store in FY12-FY13</t>
        </r>
        <r>
          <rPr>
            <b/>
            <sz val="8"/>
            <color indexed="81"/>
            <rFont val="Tahoma"/>
            <family val="2"/>
          </rPr>
          <t xml:space="preserve"> (3 new + 1 replacement in FY13)</t>
        </r>
        <r>
          <rPr>
            <sz val="8"/>
            <color indexed="81"/>
            <rFont val="Tahoma"/>
            <family val="2"/>
          </rPr>
          <t xml:space="preserve">
- Bloomingdale's will open 1 new store in FY13
</t>
        </r>
        <r>
          <rPr>
            <b/>
            <sz val="8"/>
            <color indexed="81"/>
            <rFont val="Tahoma"/>
            <family val="2"/>
          </rPr>
          <t xml:space="preserve">
11/9/11 commentary / release:
</t>
        </r>
        <r>
          <rPr>
            <sz val="8"/>
            <color indexed="81"/>
            <rFont val="Tahoma"/>
            <family val="2"/>
          </rPr>
          <t xml:space="preserve">1) open 2 new stores and 1 replacement store in 2012
2) open 3 new stores in 2013/early 2014 and 1 replacement store
</t>
        </r>
        <r>
          <rPr>
            <b/>
            <i/>
            <sz val="8"/>
            <color indexed="10"/>
            <rFont val="Tahoma"/>
            <family val="2"/>
          </rPr>
          <t>Assuming all open in 2013</t>
        </r>
        <r>
          <rPr>
            <sz val="8"/>
            <color indexed="81"/>
            <rFont val="Tahoma"/>
            <family val="2"/>
          </rPr>
          <t xml:space="preserve">
</t>
        </r>
        <r>
          <rPr>
            <b/>
            <sz val="8"/>
            <color indexed="81"/>
            <rFont val="Tahoma"/>
            <family val="2"/>
          </rPr>
          <t xml:space="preserve">
PR 5/23/2011:
</t>
        </r>
        <r>
          <rPr>
            <sz val="8"/>
            <color indexed="81"/>
            <rFont val="Tahoma"/>
            <family val="2"/>
          </rPr>
          <t>Spring 2013 planned opening in IL; former Circuit City location</t>
        </r>
        <r>
          <rPr>
            <sz val="8"/>
            <color indexed="81"/>
            <rFont val="Tahoma"/>
            <family val="2"/>
          </rPr>
          <t xml:space="preserve">
</t>
        </r>
      </text>
    </comment>
    <comment ref="AE41" authorId="6">
      <text>
        <r>
          <rPr>
            <b/>
            <sz val="8"/>
            <color indexed="81"/>
            <rFont val="Tahoma"/>
            <family val="2"/>
          </rPr>
          <t xml:space="preserve">1/3/2013 Announced 2014 Openings:
</t>
        </r>
        <r>
          <rPr>
            <sz val="8"/>
            <color indexed="81"/>
            <rFont val="Tahoma"/>
            <family val="2"/>
          </rPr>
          <t>- Macy's Bronx, NY; 160k SF; Fall 2014
- Macy's Sarasota, FL; 160k SF; Fall 2014
- Macy's Las Vegas, NV; 180k SF; Fall 2014
- Bloomingdales Palo Alto, CA; 120k SF, Spring 2014
- Macy's Ridgedale Consolidation; 202 SF main store will be expanded &amp; upgraded by 84k SF and 129 SF smaller store will be closed</t>
        </r>
        <r>
          <rPr>
            <b/>
            <sz val="8"/>
            <color indexed="81"/>
            <rFont val="Tahoma"/>
            <family val="2"/>
          </rPr>
          <t xml:space="preserve">
Per 1/4/2012 Release / Guidance:
</t>
        </r>
        <r>
          <rPr>
            <sz val="8"/>
            <color indexed="81"/>
            <rFont val="Tahoma"/>
            <family val="2"/>
          </rPr>
          <t>- Plan to open Bloomingdale's in Stanford Shopping Center in Palo Alto, CA in similar format to SOHO, NYC  store (120 SF); will replace current 229k SF store in the same shopping center (Spring 2014)</t>
        </r>
        <r>
          <rPr>
            <b/>
            <sz val="8"/>
            <color indexed="81"/>
            <rFont val="Tahoma"/>
            <family val="2"/>
          </rPr>
          <t xml:space="preserve">
11/9/11 commentary / release:
</t>
        </r>
        <r>
          <rPr>
            <sz val="8"/>
            <color indexed="81"/>
            <rFont val="Tahoma"/>
            <family val="2"/>
          </rPr>
          <t xml:space="preserve">1) open 2 new stores and 1 replacement store in 2012
2) open 3 new stores in 2013/early 2014 and 1 replacement store
</t>
        </r>
        <r>
          <rPr>
            <b/>
            <i/>
            <sz val="8"/>
            <color indexed="10"/>
            <rFont val="Tahoma"/>
            <family val="2"/>
          </rPr>
          <t>Assuming all open in 2013</t>
        </r>
        <r>
          <rPr>
            <sz val="8"/>
            <color indexed="81"/>
            <rFont val="Tahoma"/>
            <family val="2"/>
          </rPr>
          <t xml:space="preserve">
</t>
        </r>
      </text>
    </comment>
    <comment ref="AF41" authorId="5">
      <text>
        <r>
          <rPr>
            <b/>
            <sz val="9"/>
            <color indexed="81"/>
            <rFont val="Tahoma"/>
            <family val="2"/>
          </rPr>
          <t>casselau:</t>
        </r>
        <r>
          <rPr>
            <sz val="9"/>
            <color indexed="81"/>
            <rFont val="Tahoma"/>
            <family val="2"/>
          </rPr>
          <t xml:space="preserve">
1/8/15: Announced 14 store closures (~$130M in sales) and previously announced two store openings (Macy's PR and Bloomies HI)</t>
        </r>
      </text>
    </comment>
    <comment ref="AG41" authorId="1">
      <text>
        <r>
          <rPr>
            <b/>
            <sz val="9"/>
            <color indexed="81"/>
            <rFont val="Tahoma"/>
            <family val="2"/>
          </rPr>
          <t>Baglione, Gregory  (Research):</t>
        </r>
        <r>
          <rPr>
            <sz val="9"/>
            <color indexed="81"/>
            <rFont val="Tahoma"/>
            <family val="2"/>
          </rPr>
          <t xml:space="preserve">
9/8/15
Company plans to close 35-40 stores in early 2016, representing ~1% of sales 
</t>
        </r>
      </text>
    </comment>
    <comment ref="AC47" authorId="2">
      <text>
        <r>
          <rPr>
            <b/>
            <sz val="8"/>
            <color indexed="81"/>
            <rFont val="Tahoma"/>
            <family val="2"/>
          </rPr>
          <t xml:space="preserve">Per 1/4/2012 Release / Guidance:
</t>
        </r>
        <r>
          <rPr>
            <sz val="8"/>
            <color indexed="81"/>
            <rFont val="Tahoma"/>
            <family val="2"/>
          </rPr>
          <t>- Total announced Macy's closings (5 stores) = 936k SF
- Total announced Macy's openings for FY12 (2 stores) = 300k SF
- Total announced Bloomingdale's closings (4 stores) = 819k SF
- Total announced Bloomingdale's openings for FY12 = 125k SF (all outlets)</t>
        </r>
      </text>
    </comment>
    <comment ref="AD47" authorId="2">
      <text>
        <r>
          <rPr>
            <b/>
            <sz val="8"/>
            <color indexed="81"/>
            <rFont val="Tahoma"/>
            <family val="2"/>
          </rPr>
          <t xml:space="preserve">Per 1/4/2012 Release / Guidance:
</t>
        </r>
        <r>
          <rPr>
            <sz val="8"/>
            <color indexed="81"/>
            <rFont val="Tahoma"/>
            <family val="2"/>
          </rPr>
          <t>- Total announced Macy's openings for FY12 (2 stores) = 403k SF
- Total announced Bloomingdale's openings for FY12 = 120k SF</t>
        </r>
      </text>
    </comment>
    <comment ref="AE47" authorId="2">
      <text>
        <r>
          <rPr>
            <b/>
            <sz val="8"/>
            <color indexed="81"/>
            <rFont val="Tahoma"/>
            <family val="2"/>
          </rPr>
          <t xml:space="preserve">Per 1/4/2012 Release / Guidance:
</t>
        </r>
        <r>
          <rPr>
            <sz val="8"/>
            <color indexed="81"/>
            <rFont val="Tahoma"/>
            <family val="2"/>
          </rPr>
          <t>- Total announced Bloomingdale's openings for FY12 = 120k SF (replacing store w/ 229k SF)</t>
        </r>
      </text>
    </comment>
  </commentList>
</comments>
</file>

<file path=xl/comments7.xml><?xml version="1.0" encoding="utf-8"?>
<comments xmlns="http://schemas.openxmlformats.org/spreadsheetml/2006/main">
  <authors>
    <author>Baglione, Gregory  (Research)</author>
    <author>balskyh</author>
    <author>De Courreges, Edouard (Research)</author>
    <author>duol</author>
  </authors>
  <commentList>
    <comment ref="AH7" authorId="0">
      <text>
        <r>
          <rPr>
            <b/>
            <sz val="9"/>
            <color indexed="81"/>
            <rFont val="Tahoma"/>
            <family val="2"/>
          </rPr>
          <t xml:space="preserve">Baglione, Gregory  (Research):
1/4/17
</t>
        </r>
        <r>
          <rPr>
            <sz val="9"/>
            <color indexed="81"/>
            <rFont val="Tahoma"/>
            <family val="2"/>
          </rPr>
          <t xml:space="preserve">As a result of closing 63 Macy’s stores in early 2017, along with the three closed mid-year 2016, the company’s 2017 sales are expected to be negatively impacted by approximately $575 million. This reflects the company’s ability to retain sales at nearby stores and on macys.com through targeted marketing and merchandising efforts.
Given the overall trends challenging us and the broader retail industry, and the time needed to execute new strategies, we expect our 2017 change in comparable sales to be relatively consistent with our November/December sales trend,” said Terry J. Lundgren, chairman and chief executive officer of Macy’s, Inc. </t>
        </r>
        <r>
          <rPr>
            <b/>
            <sz val="9"/>
            <color indexed="81"/>
            <rFont val="Tahoma"/>
            <family val="2"/>
          </rPr>
          <t xml:space="preserve">
2017e Sales Forcast:
2016e $25.8B
-2% comp
-$575M reduction from 68 store closures ($8.5M per store)
+ 53rd Week= ~1.2% of total sales ($330M) per 2012 cell comments using ~$250M here
Implies $25.033B
</t>
        </r>
        <r>
          <rPr>
            <sz val="9"/>
            <color indexed="81"/>
            <rFont val="Tahoma"/>
            <family val="2"/>
          </rPr>
          <t>8/11/16
Management stated timing of closures and sales loss is still unknown.
We remove $750M sales from 2016e sales and then apply our comp forecast.
We assume the remaining $250M comes out of 2017
$750M sales ~3% sales headwind
-1% comp
Offset by ~1.3% benefit from 53rd week, leads to sales ~
We remove $750M from LY's sales and model a -1% comp=</t>
        </r>
      </text>
    </comment>
    <comment ref="AI7" authorId="0">
      <text>
        <r>
          <rPr>
            <b/>
            <sz val="9"/>
            <color indexed="81"/>
            <rFont val="Tahoma"/>
            <family val="2"/>
          </rPr>
          <t xml:space="preserve">Baglione, Gregory  (Research):
1/4/17
</t>
        </r>
        <r>
          <rPr>
            <sz val="9"/>
            <color indexed="81"/>
            <rFont val="Tahoma"/>
            <family val="2"/>
          </rPr>
          <t>2018e Sales
2017e  $25.03B
-1.5% comp
-53rd week ~$300M
-$250M from 30 additional store closures (30 stores X $8.5M per store)
=$24.02B</t>
        </r>
        <r>
          <rPr>
            <b/>
            <sz val="9"/>
            <color indexed="81"/>
            <rFont val="Tahoma"/>
            <family val="2"/>
          </rPr>
          <t xml:space="preserve">
</t>
        </r>
        <r>
          <rPr>
            <sz val="9"/>
            <color indexed="81"/>
            <rFont val="Tahoma"/>
            <family val="2"/>
          </rPr>
          <t xml:space="preserve">8/11/16
Management stated timing of closures and sales loss is still unknown.
We remove $250M sales from 2017e sales and then apply our </t>
        </r>
      </text>
    </comment>
    <comment ref="AC8" authorId="1">
      <text>
        <r>
          <rPr>
            <b/>
            <sz val="8"/>
            <color indexed="81"/>
            <rFont val="Tahoma"/>
            <family val="2"/>
          </rPr>
          <t xml:space="preserve">2/20/2013 Per mgmt </t>
        </r>
        <r>
          <rPr>
            <sz val="8"/>
            <color indexed="81"/>
            <rFont val="Tahoma"/>
            <family val="2"/>
          </rPr>
          <t>extra week added ~1pt to sales growth for FY</t>
        </r>
      </text>
    </comment>
    <comment ref="AI9" authorId="2">
      <text>
        <r>
          <rPr>
            <b/>
            <sz val="9"/>
            <color indexed="81"/>
            <rFont val="Tahoma"/>
            <family val="2"/>
          </rPr>
          <t>De Courreges, Edouard (Research):</t>
        </r>
        <r>
          <rPr>
            <sz val="9"/>
            <color indexed="81"/>
            <rFont val="Tahoma"/>
            <family val="2"/>
          </rPr>
          <t xml:space="preserve">
5/11/17: Model comps of -3 going forward</t>
        </r>
      </text>
    </comment>
    <comment ref="AJ9" authorId="2">
      <text>
        <r>
          <rPr>
            <b/>
            <sz val="9"/>
            <color indexed="81"/>
            <rFont val="Tahoma"/>
            <family val="2"/>
          </rPr>
          <t>De Courreges, Edouard (Research):</t>
        </r>
        <r>
          <rPr>
            <sz val="9"/>
            <color indexed="81"/>
            <rFont val="Tahoma"/>
            <family val="2"/>
          </rPr>
          <t xml:space="preserve">
5/11/17: Model comps of -3 going forward</t>
        </r>
      </text>
    </comment>
    <comment ref="AK9" authorId="2">
      <text>
        <r>
          <rPr>
            <b/>
            <sz val="9"/>
            <color indexed="81"/>
            <rFont val="Tahoma"/>
            <family val="2"/>
          </rPr>
          <t>De Courreges, Edouard (Research):</t>
        </r>
        <r>
          <rPr>
            <sz val="9"/>
            <color indexed="81"/>
            <rFont val="Tahoma"/>
            <family val="2"/>
          </rPr>
          <t xml:space="preserve">
5/11/17: Model comps of -3 going forward</t>
        </r>
      </text>
    </comment>
    <comment ref="AL9" authorId="2">
      <text>
        <r>
          <rPr>
            <b/>
            <sz val="9"/>
            <color indexed="81"/>
            <rFont val="Tahoma"/>
            <family val="2"/>
          </rPr>
          <t>De Courreges, Edouard (Research):</t>
        </r>
        <r>
          <rPr>
            <sz val="9"/>
            <color indexed="81"/>
            <rFont val="Tahoma"/>
            <family val="2"/>
          </rPr>
          <t xml:space="preserve">
5/11/17: Model comps of -3 going forward</t>
        </r>
      </text>
    </comment>
    <comment ref="AM9" authorId="2">
      <text>
        <r>
          <rPr>
            <b/>
            <sz val="9"/>
            <color indexed="81"/>
            <rFont val="Tahoma"/>
            <family val="2"/>
          </rPr>
          <t>De Courreges, Edouard (Research):</t>
        </r>
        <r>
          <rPr>
            <sz val="9"/>
            <color indexed="81"/>
            <rFont val="Tahoma"/>
            <family val="2"/>
          </rPr>
          <t xml:space="preserve">
5/11/17: Model comps of -3 going forward</t>
        </r>
      </text>
    </comment>
    <comment ref="AH15" authorId="0">
      <text>
        <r>
          <rPr>
            <b/>
            <sz val="9"/>
            <color indexed="81"/>
            <rFont val="Tahoma"/>
            <family val="2"/>
          </rPr>
          <t>Baglione, Gregory  (Research):</t>
        </r>
        <r>
          <rPr>
            <sz val="9"/>
            <color indexed="81"/>
            <rFont val="Tahoma"/>
            <family val="2"/>
          </rPr>
          <t xml:space="preserve">
Model gross margin to delcine ~5-10 bps per year going forward.
prev: 39.5%
current: 39.3%
</t>
        </r>
      </text>
    </comment>
    <comment ref="AI15" authorId="0">
      <text>
        <r>
          <rPr>
            <b/>
            <sz val="9"/>
            <color indexed="81"/>
            <rFont val="Tahoma"/>
            <family val="2"/>
          </rPr>
          <t>Baglione, Gregory  (Research):</t>
        </r>
        <r>
          <rPr>
            <sz val="9"/>
            <color indexed="81"/>
            <rFont val="Tahoma"/>
            <family val="2"/>
          </rPr>
          <t xml:space="preserve">
5/11/17 Model GM decline of -40bps per year going forward
1/4/17
Model gross margin to delcine ~5-10 bps per year going forward.
</t>
        </r>
      </text>
    </comment>
    <comment ref="AJ15" authorId="0">
      <text>
        <r>
          <rPr>
            <b/>
            <sz val="9"/>
            <color indexed="81"/>
            <rFont val="Tahoma"/>
            <family val="2"/>
          </rPr>
          <t>Baglione, Gregory  (Research):</t>
        </r>
        <r>
          <rPr>
            <sz val="9"/>
            <color indexed="81"/>
            <rFont val="Tahoma"/>
            <family val="2"/>
          </rPr>
          <t xml:space="preserve">
5/11/17 Model GM decline of -40bps per year going forward
11/10/16
prev: 39.2%
curr: 39.4%
Model gross margin to delcine ~5-10 bps per year going forward.
8/11/16
Assumes GM flat to -10 bps in 2017 and thereafter</t>
        </r>
      </text>
    </comment>
    <comment ref="AK15" authorId="2">
      <text>
        <r>
          <rPr>
            <b/>
            <sz val="9"/>
            <color indexed="81"/>
            <rFont val="Tahoma"/>
            <family val="2"/>
          </rPr>
          <t>De Courreges, Edouard (Research):</t>
        </r>
        <r>
          <rPr>
            <sz val="9"/>
            <color indexed="81"/>
            <rFont val="Tahoma"/>
            <family val="2"/>
          </rPr>
          <t xml:space="preserve">
5/11/17 Model GM decline of -40bps per year going forward</t>
        </r>
      </text>
    </comment>
    <comment ref="AL15" authorId="2">
      <text>
        <r>
          <rPr>
            <b/>
            <sz val="9"/>
            <color indexed="81"/>
            <rFont val="Tahoma"/>
            <family val="2"/>
          </rPr>
          <t>De Courreges, Edouard (Research):</t>
        </r>
        <r>
          <rPr>
            <sz val="9"/>
            <color indexed="81"/>
            <rFont val="Tahoma"/>
            <family val="2"/>
          </rPr>
          <t xml:space="preserve">
5/11/17 Model GM decline of -40bps per year going forward</t>
        </r>
      </text>
    </comment>
    <comment ref="AM15" authorId="2">
      <text>
        <r>
          <rPr>
            <b/>
            <sz val="9"/>
            <color indexed="81"/>
            <rFont val="Tahoma"/>
            <family val="2"/>
          </rPr>
          <t>De Courreges, Edouard (Research):</t>
        </r>
        <r>
          <rPr>
            <sz val="9"/>
            <color indexed="81"/>
            <rFont val="Tahoma"/>
            <family val="2"/>
          </rPr>
          <t xml:space="preserve">
5/11/17 Model GM decline of -40bps per year going forward</t>
        </r>
      </text>
    </comment>
    <comment ref="AE16" authorId="1">
      <text>
        <r>
          <rPr>
            <b/>
            <sz val="8"/>
            <color indexed="81"/>
            <rFont val="Tahoma"/>
            <family val="2"/>
          </rPr>
          <t xml:space="preserve">2/26/2013: </t>
        </r>
        <r>
          <rPr>
            <sz val="8"/>
            <color indexed="81"/>
            <rFont val="Tahoma"/>
            <family val="2"/>
          </rPr>
          <t>per mgmt, GM could start to expand in FY14 given ongoing initiatives</t>
        </r>
      </text>
    </comment>
    <comment ref="AF16" authorId="1">
      <text>
        <r>
          <rPr>
            <b/>
            <sz val="8"/>
            <color indexed="81"/>
            <rFont val="Tahoma"/>
            <family val="2"/>
          </rPr>
          <t xml:space="preserve">2/26/2013: </t>
        </r>
        <r>
          <rPr>
            <sz val="8"/>
            <color indexed="81"/>
            <rFont val="Tahoma"/>
            <family val="2"/>
          </rPr>
          <t>per mgmt, GM could start to expand in FY14 given ongoing initiatives</t>
        </r>
      </text>
    </comment>
    <comment ref="AJ21" authorId="0">
      <text>
        <r>
          <rPr>
            <b/>
            <sz val="9"/>
            <color indexed="81"/>
            <rFont val="Tahoma"/>
            <family val="2"/>
          </rPr>
          <t>Baglione, Gregory  (Research):</t>
        </r>
        <r>
          <rPr>
            <sz val="9"/>
            <color indexed="81"/>
            <rFont val="Tahoma"/>
            <family val="2"/>
          </rPr>
          <t xml:space="preserve">
1/4/17
Model SG&amp;A to decline ~1% in 2019 and thereafter</t>
        </r>
      </text>
    </comment>
    <comment ref="AD47" authorId="3">
      <text>
        <r>
          <rPr>
            <b/>
            <sz val="8"/>
            <color indexed="81"/>
            <rFont val="Tahoma"/>
            <family val="2"/>
          </rPr>
          <t>duol:</t>
        </r>
        <r>
          <rPr>
            <sz val="8"/>
            <color indexed="81"/>
            <rFont val="Tahoma"/>
            <family val="2"/>
          </rPr>
          <t xml:space="preserve">
to match CF net income line</t>
        </r>
      </text>
    </comment>
  </commentList>
</comments>
</file>

<file path=xl/comments8.xml><?xml version="1.0" encoding="utf-8"?>
<comments xmlns="http://schemas.openxmlformats.org/spreadsheetml/2006/main">
  <authors>
    <author>cuomochr</author>
    <author>balskyh</author>
    <author>duol</author>
    <author>casselau</author>
    <author>Baglione, Gregory  (Research)</author>
    <author>Baglione, Gregory (Research)</author>
    <author>De Courreges, Edouard (Research)</author>
    <author>leechi</author>
  </authors>
  <commentList>
    <comment ref="C151" authorId="0">
      <text>
        <r>
          <rPr>
            <b/>
            <sz val="8"/>
            <color indexed="81"/>
            <rFont val="Tahoma"/>
            <family val="2"/>
          </rPr>
          <t xml:space="preserve">http://www.macysinc.com/investors/storeinformation/squarefootage.aspx
</t>
        </r>
        <r>
          <rPr>
            <sz val="8"/>
            <color indexed="81"/>
            <rFont val="Tahoma"/>
            <family val="2"/>
          </rPr>
          <t>842 on Feb 25, 2012</t>
        </r>
        <r>
          <rPr>
            <b/>
            <sz val="8"/>
            <color indexed="81"/>
            <rFont val="Tahoma"/>
            <family val="2"/>
          </rPr>
          <t xml:space="preserve">
2/21/12 Guidance
</t>
        </r>
        <r>
          <rPr>
            <sz val="8"/>
            <color indexed="81"/>
            <rFont val="Tahoma"/>
            <family val="2"/>
          </rPr>
          <t>- 2 Macy's opened in 1Q12
- 12 Bloomies in 2012
- All store closures announced 1/4/12 already closed in 4Q11</t>
        </r>
        <r>
          <rPr>
            <b/>
            <sz val="8"/>
            <color indexed="81"/>
            <rFont val="Tahoma"/>
            <family val="2"/>
          </rPr>
          <t xml:space="preserve">
Per 1/4/2012 Release / Guidance:
</t>
        </r>
        <r>
          <rPr>
            <sz val="8"/>
            <color indexed="81"/>
            <rFont val="Tahoma"/>
            <family val="2"/>
          </rPr>
          <t xml:space="preserve">- Macy's to close 5 stores in early Spring 2012 
- Bloomingdale's will close 4 stores in early Spring 2012 
- Macy's to open 2 new stores in Mar 2012
- 2 Bloomingdale's outlets to open in Spring 2012
</t>
        </r>
        <r>
          <rPr>
            <b/>
            <i/>
            <sz val="8"/>
            <color indexed="81"/>
            <rFont val="Tahoma"/>
            <family val="2"/>
          </rPr>
          <t>[Note: see 2012 Stores Tab for more details]</t>
        </r>
        <r>
          <rPr>
            <sz val="8"/>
            <color indexed="81"/>
            <rFont val="Tahoma"/>
            <family val="2"/>
          </rPr>
          <t xml:space="preserve">
</t>
        </r>
        <r>
          <rPr>
            <b/>
            <sz val="8"/>
            <color indexed="81"/>
            <rFont val="Tahoma"/>
            <family val="2"/>
          </rPr>
          <t xml:space="preserve">
11/9/11 commentary / release:
</t>
        </r>
        <r>
          <rPr>
            <sz val="8"/>
            <color indexed="81"/>
            <rFont val="Tahoma"/>
            <family val="2"/>
          </rPr>
          <t xml:space="preserve">1) open 2 new stores and 1 replacement store in 2012
2) open 3 new stores in 2013/early 2014 and 1 replacement store
</t>
        </r>
        <r>
          <rPr>
            <b/>
            <sz val="8"/>
            <color indexed="81"/>
            <rFont val="Tahoma"/>
            <family val="2"/>
          </rPr>
          <t xml:space="preserve">
PR 5/23/2011:
</t>
        </r>
        <r>
          <rPr>
            <sz val="8"/>
            <color indexed="81"/>
            <rFont val="Tahoma"/>
            <family val="2"/>
          </rPr>
          <t>Spring 2012 planned opening in WI; former Younker's location</t>
        </r>
        <r>
          <rPr>
            <sz val="8"/>
            <color indexed="81"/>
            <rFont val="Tahoma"/>
            <family val="2"/>
          </rPr>
          <t xml:space="preserve">
</t>
        </r>
      </text>
    </comment>
    <comment ref="C152" authorId="0">
      <text>
        <r>
          <rPr>
            <b/>
            <sz val="8"/>
            <color indexed="81"/>
            <rFont val="Tahoma"/>
            <family val="2"/>
          </rPr>
          <t xml:space="preserve">Per 2011 10K
</t>
        </r>
        <r>
          <rPr>
            <sz val="8"/>
            <color indexed="81"/>
            <rFont val="Tahoma"/>
            <family val="2"/>
          </rPr>
          <t>As of 3/29/12 2 Macy's stores opened ytd</t>
        </r>
        <r>
          <rPr>
            <b/>
            <sz val="8"/>
            <color indexed="81"/>
            <rFont val="Tahoma"/>
            <family val="2"/>
          </rPr>
          <t xml:space="preserve">
2/21/12 Guidance
</t>
        </r>
        <r>
          <rPr>
            <sz val="8"/>
            <color indexed="81"/>
            <rFont val="Tahoma"/>
            <family val="2"/>
          </rPr>
          <t>- 2 Macy's opened in 1Q12
- 12 Bloomies in 2012
- All store closures announced 1/4/12 already closed in 4Q11</t>
        </r>
        <r>
          <rPr>
            <b/>
            <sz val="8"/>
            <color indexed="81"/>
            <rFont val="Tahoma"/>
            <family val="2"/>
          </rPr>
          <t xml:space="preserve">
Per 1/4/2012 Release / Guidance:
</t>
        </r>
        <r>
          <rPr>
            <sz val="8"/>
            <color indexed="81"/>
            <rFont val="Tahoma"/>
            <family val="2"/>
          </rPr>
          <t xml:space="preserve">- Macy's to close 5 stores in early Spring 2012 
- Bloomingdale's will close 4 stores in early Spring 2012 
- Macy's to open 2 new stores in Mar 2012
- 2 Bloomingdale's outlets to open in Spring 2012
</t>
        </r>
        <r>
          <rPr>
            <b/>
            <i/>
            <sz val="8"/>
            <color indexed="81"/>
            <rFont val="Tahoma"/>
            <family val="2"/>
          </rPr>
          <t>[Note: see 2012 Stores Tab for more details]</t>
        </r>
        <r>
          <rPr>
            <sz val="8"/>
            <color indexed="81"/>
            <rFont val="Tahoma"/>
            <family val="2"/>
          </rPr>
          <t xml:space="preserve">
</t>
        </r>
        <r>
          <rPr>
            <b/>
            <sz val="8"/>
            <color indexed="81"/>
            <rFont val="Tahoma"/>
            <family val="2"/>
          </rPr>
          <t xml:space="preserve">
11/9/11 commentary / release:
</t>
        </r>
        <r>
          <rPr>
            <sz val="8"/>
            <color indexed="81"/>
            <rFont val="Tahoma"/>
            <family val="2"/>
          </rPr>
          <t xml:space="preserve">1) open 2 new stores and 1 replacement store in 2012
2) open 3 new stores in 2013/early 2014 and 1 replacement store
</t>
        </r>
        <r>
          <rPr>
            <b/>
            <sz val="8"/>
            <color indexed="81"/>
            <rFont val="Tahoma"/>
            <family val="2"/>
          </rPr>
          <t xml:space="preserve">
PR 5/23/2011:
</t>
        </r>
        <r>
          <rPr>
            <sz val="8"/>
            <color indexed="81"/>
            <rFont val="Tahoma"/>
            <family val="2"/>
          </rPr>
          <t>Spring 2012 planned opening in WI; former Younker's location</t>
        </r>
        <r>
          <rPr>
            <sz val="8"/>
            <color indexed="81"/>
            <rFont val="Tahoma"/>
            <family val="2"/>
          </rPr>
          <t xml:space="preserve">
</t>
        </r>
      </text>
    </comment>
    <comment ref="C153" authorId="0">
      <text>
        <r>
          <rPr>
            <b/>
            <sz val="8"/>
            <color indexed="81"/>
            <rFont val="Tahoma"/>
            <family val="2"/>
          </rPr>
          <t xml:space="preserve">Per 2011 10K
</t>
        </r>
        <r>
          <rPr>
            <sz val="8"/>
            <color indexed="81"/>
            <rFont val="Tahoma"/>
            <family val="2"/>
          </rPr>
          <t>As of 3/29/12 2 Macy's stores opened ytd</t>
        </r>
        <r>
          <rPr>
            <b/>
            <sz val="8"/>
            <color indexed="81"/>
            <rFont val="Tahoma"/>
            <family val="2"/>
          </rPr>
          <t xml:space="preserve">
2/21/12 Guidance
</t>
        </r>
        <r>
          <rPr>
            <sz val="8"/>
            <color indexed="81"/>
            <rFont val="Tahoma"/>
            <family val="2"/>
          </rPr>
          <t>- 2 Macy's opened in 1Q12
- 12 Bloomies in 2012
- All store closures announced 1/4/12 already closed in 4Q11</t>
        </r>
        <r>
          <rPr>
            <b/>
            <sz val="8"/>
            <color indexed="81"/>
            <rFont val="Tahoma"/>
            <family val="2"/>
          </rPr>
          <t xml:space="preserve">
Per 1/4/2012 Release / Guidance:
</t>
        </r>
        <r>
          <rPr>
            <sz val="8"/>
            <color indexed="81"/>
            <rFont val="Tahoma"/>
            <family val="2"/>
          </rPr>
          <t xml:space="preserve">- Macy's to close 5 stores in early Spring 2012 
- Bloomingdale's will close 4 stores in early Spring 2012 
- Macy's to open 2 new stores in Mar 2012
- 2 Bloomingdale's outlets to open in Spring 2012
</t>
        </r>
        <r>
          <rPr>
            <b/>
            <i/>
            <sz val="8"/>
            <color indexed="81"/>
            <rFont val="Tahoma"/>
            <family val="2"/>
          </rPr>
          <t>[Note: see 2012 Stores Tab for more details]</t>
        </r>
        <r>
          <rPr>
            <sz val="8"/>
            <color indexed="81"/>
            <rFont val="Tahoma"/>
            <family val="2"/>
          </rPr>
          <t xml:space="preserve">
</t>
        </r>
        <r>
          <rPr>
            <b/>
            <sz val="8"/>
            <color indexed="81"/>
            <rFont val="Tahoma"/>
            <family val="2"/>
          </rPr>
          <t xml:space="preserve">
11/9/11 commentary / release:
</t>
        </r>
        <r>
          <rPr>
            <sz val="8"/>
            <color indexed="81"/>
            <rFont val="Tahoma"/>
            <family val="2"/>
          </rPr>
          <t xml:space="preserve">1) open 2 new stores and 1 replacement store in 2012
2) open 3 new stores in 2013/early 2014 and 1 replacement store
</t>
        </r>
        <r>
          <rPr>
            <b/>
            <sz val="8"/>
            <color indexed="81"/>
            <rFont val="Tahoma"/>
            <family val="2"/>
          </rPr>
          <t xml:space="preserve">
PR 5/23/2011:
</t>
        </r>
        <r>
          <rPr>
            <sz val="8"/>
            <color indexed="81"/>
            <rFont val="Tahoma"/>
            <family val="2"/>
          </rPr>
          <t>Spring 2012 planned opening in WI; former Younker's location</t>
        </r>
        <r>
          <rPr>
            <sz val="8"/>
            <color indexed="81"/>
            <rFont val="Tahoma"/>
            <family val="2"/>
          </rPr>
          <t xml:space="preserve">
</t>
        </r>
      </text>
    </comment>
    <comment ref="C154" authorId="0">
      <text>
        <r>
          <rPr>
            <b/>
            <sz val="8"/>
            <color indexed="81"/>
            <rFont val="Tahoma"/>
            <family val="2"/>
          </rPr>
          <t xml:space="preserve">Per 1/4/2012 Release / Guidance:
</t>
        </r>
        <r>
          <rPr>
            <sz val="8"/>
            <color indexed="81"/>
            <rFont val="Tahoma"/>
            <family val="2"/>
          </rPr>
          <t xml:space="preserve">- 1 Bloomingdale's outlet to open in Summer 2012
</t>
        </r>
      </text>
    </comment>
    <comment ref="C155" authorId="0">
      <text>
        <r>
          <rPr>
            <b/>
            <sz val="8"/>
            <color indexed="81"/>
            <rFont val="Tahoma"/>
            <family val="2"/>
          </rPr>
          <t xml:space="preserve">Per 1/4/2012 Release / Guidance:
</t>
        </r>
        <r>
          <rPr>
            <sz val="8"/>
            <color indexed="81"/>
            <rFont val="Tahoma"/>
            <family val="2"/>
          </rPr>
          <t xml:space="preserve">- 1 Bloomingdale's outlet to open in Summer 2012
</t>
        </r>
      </text>
    </comment>
    <comment ref="C156" authorId="0">
      <text>
        <r>
          <rPr>
            <b/>
            <sz val="8"/>
            <color indexed="81"/>
            <rFont val="Tahoma"/>
            <family val="2"/>
          </rPr>
          <t xml:space="preserve">Per 1/4/2012 Release / Guidance:
</t>
        </r>
        <r>
          <rPr>
            <sz val="8"/>
            <color indexed="81"/>
            <rFont val="Tahoma"/>
            <family val="2"/>
          </rPr>
          <t xml:space="preserve">- 1 Bloomingdale's outlet to open in Summer 2012
</t>
        </r>
      </text>
    </comment>
    <comment ref="C157" authorId="0">
      <text>
        <r>
          <rPr>
            <b/>
            <sz val="8"/>
            <color indexed="81"/>
            <rFont val="Tahoma"/>
            <family val="2"/>
          </rPr>
          <t xml:space="preserve">Per 1/4/2012 Release / Guidance:
</t>
        </r>
        <r>
          <rPr>
            <sz val="8"/>
            <color indexed="81"/>
            <rFont val="Tahoma"/>
            <family val="2"/>
          </rPr>
          <t xml:space="preserve">- 2 Bloomingdale's outlets to open in Fall 2012
</t>
        </r>
      </text>
    </comment>
    <comment ref="C158" authorId="0">
      <text>
        <r>
          <rPr>
            <b/>
            <sz val="8"/>
            <color indexed="81"/>
            <rFont val="Tahoma"/>
            <family val="2"/>
          </rPr>
          <t xml:space="preserve">Per 1/4/2012 Release / Guidance:
</t>
        </r>
        <r>
          <rPr>
            <sz val="8"/>
            <color indexed="81"/>
            <rFont val="Tahoma"/>
            <family val="2"/>
          </rPr>
          <t xml:space="preserve">- 2 Bloomingdale's outlets to open in Fall 2012
</t>
        </r>
      </text>
    </comment>
    <comment ref="C159" authorId="0">
      <text>
        <r>
          <rPr>
            <b/>
            <sz val="8"/>
            <color indexed="81"/>
            <rFont val="Tahoma"/>
            <family val="2"/>
          </rPr>
          <t xml:space="preserve">Per 1/4/2012 Release / Guidance:
</t>
        </r>
        <r>
          <rPr>
            <sz val="8"/>
            <color indexed="81"/>
            <rFont val="Tahoma"/>
            <family val="2"/>
          </rPr>
          <t xml:space="preserve">- 2 Bloomingdale's outlets to open in Fall 2012
</t>
        </r>
      </text>
    </comment>
    <comment ref="I159" authorId="1">
      <text>
        <r>
          <rPr>
            <b/>
            <sz val="8"/>
            <color indexed="81"/>
            <rFont val="Tahoma"/>
            <family val="2"/>
          </rPr>
          <t xml:space="preserve">11/7/2012: </t>
        </r>
        <r>
          <rPr>
            <sz val="8"/>
            <color indexed="81"/>
            <rFont val="Tahoma"/>
            <family val="2"/>
          </rPr>
          <t>2 stores consolidated into 1</t>
        </r>
      </text>
    </comment>
    <comment ref="C162" authorId="0">
      <text>
        <r>
          <rPr>
            <b/>
            <sz val="8"/>
            <color indexed="81"/>
            <rFont val="Tahoma"/>
            <family val="2"/>
          </rPr>
          <t xml:space="preserve">1/3/2013 Guidance: 
</t>
        </r>
        <r>
          <rPr>
            <sz val="8"/>
            <color indexed="81"/>
            <rFont val="Tahoma"/>
            <family val="2"/>
          </rPr>
          <t>Will close 6 stores early Spring 2013, including:
- Macy's Pasadena, CA (158k SF)
- Macy's Belmont, MA (75k SF)
- Macy's Honolul, HI (80k SF)
- Macy's St. Paul, MN (362 SF)
- Macy's Downtown Houston, TX (791 SF)
- Bloomingdale's Fashion Show Home Store, Las Vegas, NV (99k SF)</t>
        </r>
        <r>
          <rPr>
            <b/>
            <sz val="8"/>
            <color indexed="81"/>
            <rFont val="Tahoma"/>
            <family val="2"/>
          </rPr>
          <t xml:space="preserve">
11/9/11 commentary / release:
</t>
        </r>
        <r>
          <rPr>
            <sz val="8"/>
            <color indexed="81"/>
            <rFont val="Tahoma"/>
            <family val="2"/>
          </rPr>
          <t xml:space="preserve">1) open 2 new stores and 1 replacement store in 2012
2) open 3 new stores in 2013/early 2014 and 1 replacement store
</t>
        </r>
        <r>
          <rPr>
            <b/>
            <sz val="8"/>
            <color indexed="81"/>
            <rFont val="Tahoma"/>
            <family val="2"/>
          </rPr>
          <t xml:space="preserve">
PR 5/23/2011:
</t>
        </r>
        <r>
          <rPr>
            <sz val="8"/>
            <color indexed="81"/>
            <rFont val="Tahoma"/>
            <family val="2"/>
          </rPr>
          <t>Spring 2012 planned opening in WI; former Younker's location</t>
        </r>
        <r>
          <rPr>
            <sz val="8"/>
            <color indexed="81"/>
            <rFont val="Tahoma"/>
            <family val="2"/>
          </rPr>
          <t xml:space="preserve">
</t>
        </r>
      </text>
    </comment>
    <comment ref="I162" authorId="1">
      <text>
        <r>
          <rPr>
            <b/>
            <sz val="8"/>
            <color indexed="81"/>
            <rFont val="Tahoma"/>
            <family val="2"/>
          </rPr>
          <t xml:space="preserve">1/3/2013 Guidance: 
</t>
        </r>
        <r>
          <rPr>
            <sz val="8"/>
            <color indexed="81"/>
            <rFont val="Tahoma"/>
            <family val="2"/>
          </rPr>
          <t>Will close 6 stores early Spring 2013, including:
- Macy's Pasadena, CA (158k SF)
- Macy's Belmont, MA (75k SF)
- Macy's Honolul, HI (80k SF)
- Macy's St. Paul, MN (362 SF)
- Macy's Downtown Houston, TX (791 SF)
- Bloomingdale's Fashion Show Home Store, Las Vegas, NV (99k SF)</t>
        </r>
      </text>
    </comment>
    <comment ref="I165" authorId="1">
      <text>
        <r>
          <rPr>
            <b/>
            <sz val="8"/>
            <color indexed="81"/>
            <rFont val="Tahoma"/>
            <family val="2"/>
          </rPr>
          <t xml:space="preserve">1/3/2013 Guidance: </t>
        </r>
        <r>
          <rPr>
            <sz val="8"/>
            <color indexed="81"/>
            <rFont val="Tahoma"/>
            <family val="2"/>
          </rPr>
          <t xml:space="preserve">
</t>
        </r>
        <r>
          <rPr>
            <u/>
            <sz val="8"/>
            <color indexed="81"/>
            <rFont val="Tahoma"/>
            <family val="2"/>
          </rPr>
          <t>2013 Planned Openings</t>
        </r>
        <r>
          <rPr>
            <sz val="8"/>
            <color indexed="81"/>
            <rFont val="Tahoma"/>
            <family val="2"/>
          </rPr>
          <t xml:space="preserve">
1) Macy's Victorville, CA 103k SF; Spring 2013
2) Macy's Men Store in Las Vegas; 105k SF; Spring 2013
3) Macy's Gurnee, IL 140k SF; Fall 2013
4) Bloomingdale's Glendale, CA; 120k SF; Fall 2013
5) Bloomingdale's Outlet Rosemont, IL; 25k SF; Fall 2013
6)Macy's Bay Shoe, NY; Fall 2013 (replacement store)
</t>
        </r>
        <r>
          <rPr>
            <b/>
            <sz val="8"/>
            <color indexed="81"/>
            <rFont val="Tahoma"/>
            <family val="2"/>
          </rPr>
          <t>From website:</t>
        </r>
        <r>
          <rPr>
            <sz val="8"/>
            <color indexed="81"/>
            <rFont val="Tahoma"/>
            <family val="2"/>
          </rPr>
          <t xml:space="preserve">
Las Vegas Fashion Show Men’s, Las Vegas, NV, Southwest - Open
Victor Valley, Victorville, CA, Southwest - Open</t>
        </r>
      </text>
    </comment>
    <comment ref="I166" authorId="1">
      <text>
        <r>
          <rPr>
            <b/>
            <sz val="8"/>
            <color indexed="81"/>
            <rFont val="Tahoma"/>
            <family val="2"/>
          </rPr>
          <t xml:space="preserve">1/3/2013 Guidance: </t>
        </r>
        <r>
          <rPr>
            <sz val="8"/>
            <color indexed="81"/>
            <rFont val="Tahoma"/>
            <family val="2"/>
          </rPr>
          <t xml:space="preserve">
</t>
        </r>
        <r>
          <rPr>
            <u/>
            <sz val="8"/>
            <color indexed="81"/>
            <rFont val="Tahoma"/>
            <family val="2"/>
          </rPr>
          <t>2013 Planned Openings</t>
        </r>
        <r>
          <rPr>
            <sz val="8"/>
            <color indexed="81"/>
            <rFont val="Tahoma"/>
            <family val="2"/>
          </rPr>
          <t xml:space="preserve">
1) Macy's Victorville, CA 103k SF; Spring 2013
2) Macy's Men Store in Las Vegas; 105k SF; Spring 2013
3) Macy's Gurnee, IL 140k SF; Fall 2013
4) Bloomingdale's Glendale, CA; 120k SF; Fall 2013
5) Bloomingdale's Outlet Rosemont, IL; 25k SF; Fall 2013
6)Macy's Bay Shoe, NY; Fall 2013 (replacement store)
</t>
        </r>
        <r>
          <rPr>
            <b/>
            <sz val="8"/>
            <color indexed="81"/>
            <rFont val="Tahoma"/>
            <family val="2"/>
          </rPr>
          <t>Q2 10Q:</t>
        </r>
        <r>
          <rPr>
            <sz val="8"/>
            <color indexed="81"/>
            <rFont val="Tahoma"/>
            <family val="2"/>
          </rPr>
          <t xml:space="preserve">
During 2013, the Company opened new
Macy's stores in Gurnee, Illinois </t>
        </r>
        <r>
          <rPr>
            <b/>
            <sz val="8"/>
            <color indexed="81"/>
            <rFont val="Tahoma"/>
            <family val="2"/>
          </rPr>
          <t>(3)</t>
        </r>
        <r>
          <rPr>
            <sz val="8"/>
            <color indexed="81"/>
            <rFont val="Tahoma"/>
            <family val="2"/>
          </rPr>
          <t xml:space="preserve"> and Victorville, California </t>
        </r>
        <r>
          <rPr>
            <b/>
            <sz val="8"/>
            <color indexed="81"/>
            <rFont val="Tahoma"/>
            <family val="2"/>
          </rPr>
          <t>(1)</t>
        </r>
        <r>
          <rPr>
            <sz val="8"/>
            <color indexed="81"/>
            <rFont val="Tahoma"/>
            <family val="2"/>
          </rPr>
          <t xml:space="preserve">, expanded into an additional Macy's location in an existing mall in Las Vegas , Nevada </t>
        </r>
        <r>
          <rPr>
            <b/>
            <sz val="8"/>
            <color indexed="81"/>
            <rFont val="Tahoma"/>
            <family val="2"/>
          </rPr>
          <t>(2)</t>
        </r>
        <r>
          <rPr>
            <sz val="8"/>
            <color indexed="81"/>
            <rFont val="Tahoma"/>
            <family val="2"/>
          </rPr>
          <t xml:space="preserve"> and opened a new Bloomingdale's Outlet store in Rosemont, Illinois </t>
        </r>
        <r>
          <rPr>
            <b/>
            <sz val="8"/>
            <color indexed="81"/>
            <rFont val="Tahoma"/>
            <family val="2"/>
          </rPr>
          <t>(5)</t>
        </r>
        <r>
          <rPr>
            <sz val="8"/>
            <color indexed="81"/>
            <rFont val="Tahoma"/>
            <family val="2"/>
          </rPr>
          <t xml:space="preserve">. </t>
        </r>
        <r>
          <rPr>
            <b/>
            <sz val="8"/>
            <color indexed="81"/>
            <rFont val="Tahoma"/>
            <family val="2"/>
          </rPr>
          <t>A Macy's store was closed in St. Louis, Missouri during 2013.</t>
        </r>
        <r>
          <rPr>
            <sz val="8"/>
            <color indexed="81"/>
            <rFont val="Tahoma"/>
            <family val="2"/>
          </rPr>
          <t xml:space="preserve"> The Company intends to open a Macy's replacement store in Bay Shore, New York </t>
        </r>
        <r>
          <rPr>
            <b/>
            <sz val="8"/>
            <color indexed="81"/>
            <rFont val="Tahoma"/>
            <family val="2"/>
          </rPr>
          <t>(6)</t>
        </r>
        <r>
          <rPr>
            <sz val="8"/>
            <color indexed="81"/>
            <rFont val="Tahoma"/>
            <family val="2"/>
          </rPr>
          <t xml:space="preserve"> and a new Bloomingdale's store in Glendale, California during the remainder of fiscal 2013 </t>
        </r>
        <r>
          <rPr>
            <b/>
            <sz val="8"/>
            <color indexed="81"/>
            <rFont val="Tahoma"/>
            <family val="2"/>
          </rPr>
          <t>(5)</t>
        </r>
        <r>
          <rPr>
            <sz val="8"/>
            <color indexed="81"/>
            <rFont val="Tahoma"/>
            <family val="2"/>
          </rPr>
          <t xml:space="preserve">.
</t>
        </r>
        <r>
          <rPr>
            <b/>
            <sz val="8"/>
            <color indexed="81"/>
            <rFont val="Tahoma"/>
            <family val="2"/>
          </rPr>
          <t xml:space="preserve">From Website:
</t>
        </r>
        <r>
          <rPr>
            <sz val="8"/>
            <color indexed="81"/>
            <rFont val="Tahoma"/>
            <family val="2"/>
          </rPr>
          <t>Downtown St. Louis, St. Louis, MO, North - Closed
Rosemont, IL, Bloomingdale’s Outlet - Open
Gurnee Mills, IL, North - Open</t>
        </r>
      </text>
    </comment>
    <comment ref="I167" authorId="1">
      <text>
        <r>
          <rPr>
            <b/>
            <sz val="8"/>
            <color indexed="81"/>
            <rFont val="Tahoma"/>
            <family val="2"/>
          </rPr>
          <t xml:space="preserve">1/3/2013 Guidance: </t>
        </r>
        <r>
          <rPr>
            <sz val="8"/>
            <color indexed="81"/>
            <rFont val="Tahoma"/>
            <family val="2"/>
          </rPr>
          <t xml:space="preserve">
</t>
        </r>
        <r>
          <rPr>
            <u/>
            <sz val="8"/>
            <color indexed="81"/>
            <rFont val="Tahoma"/>
            <family val="2"/>
          </rPr>
          <t>2013 Planned Openings</t>
        </r>
        <r>
          <rPr>
            <sz val="8"/>
            <color indexed="81"/>
            <rFont val="Tahoma"/>
            <family val="2"/>
          </rPr>
          <t xml:space="preserve">
1) Macy's Victorville, CA 103k SF; Spring 2013
2) Macy's Men Store in Las Vegas; 105k SF; Spring 2013
3) Macy's Gurnee, IL 140k SF; Fall 2013
4) Bloomingdale's Glendale, CA; 120k SF; Fall 2013
5) Bloomingdale's Outlet Rosemont, IL; 25k SF; Fall 2013
6)Macy's Bay Shoe, NY; Fall 2013 (replacement store)
</t>
        </r>
        <r>
          <rPr>
            <b/>
            <sz val="8"/>
            <color indexed="81"/>
            <rFont val="Tahoma"/>
            <family val="2"/>
          </rPr>
          <t>From the 10-Q (Bolded incremental in 3Q):</t>
        </r>
        <r>
          <rPr>
            <sz val="8"/>
            <color indexed="81"/>
            <rFont val="Tahoma"/>
            <family val="2"/>
          </rPr>
          <t xml:space="preserve">
During 2013, the Company opened new Macy's stores in Gurnee, Illinois and Victorville, California, expanded into an additional Macy's location in an existing mall in Las Vegas, Nevada, </t>
        </r>
        <r>
          <rPr>
            <b/>
            <sz val="8"/>
            <color indexed="81"/>
            <rFont val="Tahoma"/>
            <family val="2"/>
          </rPr>
          <t xml:space="preserve">opened a Macy's replacement store in Bay Shore, New York </t>
        </r>
        <r>
          <rPr>
            <sz val="8"/>
            <color indexed="81"/>
            <rFont val="Tahoma"/>
            <family val="2"/>
          </rPr>
          <t xml:space="preserve">and opened a new Bloomingdale's Outlet store in Rosemont, Illinois. </t>
        </r>
        <r>
          <rPr>
            <b/>
            <sz val="8"/>
            <color indexed="81"/>
            <rFont val="Tahoma"/>
            <family val="2"/>
          </rPr>
          <t>In addition, a new Bloomingdale's store in Glendale, California opened in early November 2013.</t>
        </r>
        <r>
          <rPr>
            <sz val="8"/>
            <color indexed="81"/>
            <rFont val="Tahoma"/>
            <family val="2"/>
          </rPr>
          <t xml:space="preserve"> A Macy's store was closed in St. Louis, Missouri and the Macy's men's and furniture store in Sacramento, California was consolidated into a nearby full-line store during 2013.
</t>
        </r>
        <r>
          <rPr>
            <b/>
            <sz val="8"/>
            <color indexed="81"/>
            <rFont val="Tahoma"/>
            <family val="2"/>
          </rPr>
          <t xml:space="preserve">From Website: 
</t>
        </r>
        <r>
          <rPr>
            <sz val="8"/>
            <color indexed="81"/>
            <rFont val="Tahoma"/>
            <family val="2"/>
          </rPr>
          <t>Southshore, NY, Northeast - Opened
Downtown Sacramento Men’s/Furniture, Sacramento, CA, Northwest - Closed</t>
        </r>
      </text>
    </comment>
    <comment ref="I168" authorId="1">
      <text>
        <r>
          <rPr>
            <b/>
            <sz val="8"/>
            <color indexed="81"/>
            <rFont val="Tahoma"/>
            <family val="2"/>
          </rPr>
          <t xml:space="preserve">2/25/14: </t>
        </r>
        <r>
          <rPr>
            <sz val="8"/>
            <color indexed="81"/>
            <rFont val="Tahoma"/>
            <family val="2"/>
          </rPr>
          <t xml:space="preserve">
In fiscal 2013, the company </t>
        </r>
        <r>
          <rPr>
            <b/>
            <sz val="8"/>
            <color indexed="81"/>
            <rFont val="Tahoma"/>
            <family val="2"/>
          </rPr>
          <t>opened six stores and closed seven stores.</t>
        </r>
        <r>
          <rPr>
            <sz val="8"/>
            <color indexed="81"/>
            <rFont val="Tahoma"/>
            <family val="2"/>
          </rPr>
          <t xml:space="preserve"> Macy’s opened new stores in Victorville, CA, and Gurnee, IL, as well as a replacement store in Bay Shore, NY, and new men’s store in Las Vegas, NV. Bloomingdale’s opened a new store in Glendale, CA, and a new Bloomingdale’s Outlet store in Rosemont, IL. As previously announced, Macy’s closed stores in Mesa, AZ; Overland Park, KS; Florissant and St. Louis, MO; Irondequoit, NY; and Murray, UT. The Macy’s men’s and furniture store in downtown Sacramento, CA, was consolidated into a nearby full-line store.</t>
        </r>
        <r>
          <rPr>
            <b/>
            <sz val="8"/>
            <color indexed="81"/>
            <rFont val="Tahoma"/>
            <family val="2"/>
          </rPr>
          <t xml:space="preserve">
1/3/2013 Guidance: </t>
        </r>
        <r>
          <rPr>
            <sz val="8"/>
            <color indexed="81"/>
            <rFont val="Tahoma"/>
            <family val="2"/>
          </rPr>
          <t xml:space="preserve">
</t>
        </r>
        <r>
          <rPr>
            <u/>
            <sz val="8"/>
            <color indexed="81"/>
            <rFont val="Tahoma"/>
            <family val="2"/>
          </rPr>
          <t>2013 Planned Openings</t>
        </r>
        <r>
          <rPr>
            <sz val="8"/>
            <color indexed="81"/>
            <rFont val="Tahoma"/>
            <family val="2"/>
          </rPr>
          <t xml:space="preserve">
1) Macy's Victorville, CA 103k SF; Spring 2013
2) Macy's Men Store in Las Vegas; 105k SF; Spring 2013
3) Macy's Gurnee, IL 140k SF; Fall 2013
4) Bloomingdale's Glendale, CA; 120k SF; Fall 2013
5) Bloomingdale's Outlet Rosemont, IL; 25k SF; Fall 2013
6)Macy's Bay Shoe, NY; Fall 2013 (replacement store)</t>
        </r>
      </text>
    </comment>
    <comment ref="I171" authorId="2">
      <text>
        <r>
          <rPr>
            <b/>
            <sz val="8"/>
            <color indexed="81"/>
            <rFont val="Tahoma"/>
            <family val="2"/>
          </rPr>
          <t xml:space="preserve">1/8/14: </t>
        </r>
        <r>
          <rPr>
            <sz val="8"/>
            <color indexed="81"/>
            <rFont val="Tahoma"/>
            <family val="2"/>
          </rPr>
          <t xml:space="preserve">The company is announcing today that it will </t>
        </r>
        <r>
          <rPr>
            <b/>
            <sz val="8"/>
            <color indexed="81"/>
            <rFont val="Tahoma"/>
            <family val="2"/>
          </rPr>
          <t>close the following five Macy’s stores in early spring 2014</t>
        </r>
        <r>
          <rPr>
            <sz val="8"/>
            <color indexed="81"/>
            <rFont val="Tahoma"/>
            <family val="2"/>
          </rPr>
          <t xml:space="preserve">.
Fiesta Mall, Mesa, AZ (159,000 square feet; opened in 1979; 98 associates);
Metcalf South Shopping Center, Overland Park, KS (216,000 square feet; opened in 1967; 88 associates);
Jamestown Mall, Florissant, MO (200,000 square feet; opened in 1994; 88 associates);
Medley Centre, Irondequoit, NY (129,000 square feet; opened in 1990; 96 associates);
Fashion Place Mall, Murray, UT (26,000 square feet; opened in 1988; 42 associates).
</t>
        </r>
        <r>
          <rPr>
            <b/>
            <sz val="8"/>
            <color indexed="81"/>
            <rFont val="Tahoma"/>
            <family val="2"/>
          </rPr>
          <t>New Macy’s stores will be opening in:</t>
        </r>
        <r>
          <rPr>
            <sz val="8"/>
            <color indexed="81"/>
            <rFont val="Tahoma"/>
            <family val="2"/>
          </rPr>
          <t xml:space="preserve">
University Town Center, Sarasota, FL (160,000 square feet; to open in fall 2014; approximately 175 associates);
Shops at Summerlin, Las Vegas, NV (180,000 square feet; to open in fall 2014; approximately 160 associates);
Mall at Bay Plaza, The Bronx, NY (160,000 square feet; to open in fall 2014; approximately 225 associates);
Plaza Del Caribe, Ponce, PR (150,000 square feet; to open in fall 2015; approximately 275 associates);
Mall at Miami Worldcenter, Miami, FL (195,000 square feet; to open in fall 2016; approximately 150 associates).
</t>
        </r>
        <r>
          <rPr>
            <b/>
            <sz val="8"/>
            <color indexed="81"/>
            <rFont val="Tahoma"/>
            <family val="2"/>
          </rPr>
          <t>New Bloomingdale’s stores will be opening in:</t>
        </r>
        <r>
          <rPr>
            <sz val="8"/>
            <color indexed="81"/>
            <rFont val="Tahoma"/>
            <family val="2"/>
          </rPr>
          <t xml:space="preserve">
Stanford Shopping Center in Palo Alto, CA (120,000 square feet; to open in fall 2014). It will be an all-new store to replace an older store in the same shopping center;
Ala Moana, Honolulu, HI (167,000 square feet; to open in fall 2015; approximately 250 associates);
Mall at Miami Worldcenter, Miami, FL (120,000 square feet; to open in fall 2016; approximately 225 associates).</t>
        </r>
      </text>
    </comment>
    <comment ref="I172" authorId="2">
      <text>
        <r>
          <rPr>
            <b/>
            <sz val="8"/>
            <color indexed="81"/>
            <rFont val="Tahoma"/>
            <family val="2"/>
          </rPr>
          <t xml:space="preserve">1/8/14: </t>
        </r>
        <r>
          <rPr>
            <sz val="8"/>
            <color indexed="81"/>
            <rFont val="Tahoma"/>
            <family val="2"/>
          </rPr>
          <t xml:space="preserve">The company is announcing today that it will </t>
        </r>
        <r>
          <rPr>
            <b/>
            <sz val="8"/>
            <color indexed="81"/>
            <rFont val="Tahoma"/>
            <family val="2"/>
          </rPr>
          <t>close the following five Macy’s stores in early spring 2014</t>
        </r>
        <r>
          <rPr>
            <sz val="8"/>
            <color indexed="81"/>
            <rFont val="Tahoma"/>
            <family val="2"/>
          </rPr>
          <t xml:space="preserve">.
Fiesta Mall, Mesa, AZ (159,000 square feet; opened in 1979; 98 associates);
Metcalf South Shopping Center, Overland Park, KS (216,000 square feet; opened in 1967; 88 associates);
Jamestown Mall, Florissant, MO (200,000 square feet; opened in 1994; 88 associates);
Medley Centre, Irondequoit, NY (129,000 square feet; opened in 1990; 96 associates);
Fashion Place Mall, Murray, UT (26,000 square feet; opened in 1988; 42 associates).
</t>
        </r>
        <r>
          <rPr>
            <b/>
            <sz val="8"/>
            <color indexed="81"/>
            <rFont val="Tahoma"/>
            <family val="2"/>
          </rPr>
          <t>New Macy’s stores will be opening in:</t>
        </r>
        <r>
          <rPr>
            <sz val="8"/>
            <color indexed="81"/>
            <rFont val="Tahoma"/>
            <family val="2"/>
          </rPr>
          <t xml:space="preserve">
University Town Center, Sarasota, FL (160,000 square feet; to open in fall 2014; approximately 175 associates);
Shops at Summerlin, Las Vegas, NV (180,000 square feet; to open in fall 2014; approximately 160 associates);
Mall at Bay Plaza, The Bronx, NY (160,000 square feet; to open in fall 2014; approximately 225 associates);
Plaza Del Caribe, Ponce, PR (150,000 square feet; to open in fall 2015; approximately 275 associates);
Mall at Miami Worldcenter, Miami, FL (195,000 square feet; to open in fall 2016; approximately 150 associates).
</t>
        </r>
        <r>
          <rPr>
            <b/>
            <sz val="8"/>
            <color indexed="81"/>
            <rFont val="Tahoma"/>
            <family val="2"/>
          </rPr>
          <t>New Bloomingdale’s stores will be opening in:</t>
        </r>
        <r>
          <rPr>
            <sz val="8"/>
            <color indexed="81"/>
            <rFont val="Tahoma"/>
            <family val="2"/>
          </rPr>
          <t xml:space="preserve">
Stanford Shopping Center in Palo Alto, CA (120,000 square feet; to open in fall 2014). It will be an all-new store to replace an older store in the same shopping center;
Ala Moana, Honolulu, HI (167,000 square feet; to open in fall 2015; approximately 250 associates);
Mall at Miami Worldcenter, Miami, FL (120,000 square feet; to open in fall 2016; approximately 225 associates).</t>
        </r>
      </text>
    </comment>
    <comment ref="I173" authorId="2">
      <text>
        <r>
          <rPr>
            <b/>
            <sz val="8"/>
            <color indexed="81"/>
            <rFont val="Tahoma"/>
            <family val="2"/>
          </rPr>
          <t xml:space="preserve">8/13/14: </t>
        </r>
        <r>
          <rPr>
            <sz val="8"/>
            <color indexed="81"/>
            <rFont val="Tahoma"/>
            <family val="2"/>
          </rPr>
          <t>In August 2014, the company closed Macy's stores in Bradenton, FL, and York, PA. In the second half of 2014, the company is opening three new Macy's stores in Sarasota, FL, Las Vegas, NV, and The Bronx in New York City. A new Bloomingdale's replacement store will open in Palo Alto, CA</t>
        </r>
        <r>
          <rPr>
            <b/>
            <sz val="8"/>
            <color indexed="81"/>
            <rFont val="Tahoma"/>
            <family val="2"/>
          </rPr>
          <t xml:space="preserve">
1/8/14: </t>
        </r>
        <r>
          <rPr>
            <sz val="8"/>
            <color indexed="81"/>
            <rFont val="Tahoma"/>
            <family val="2"/>
          </rPr>
          <t xml:space="preserve">The company is announcing today that it will </t>
        </r>
        <r>
          <rPr>
            <b/>
            <sz val="8"/>
            <color indexed="81"/>
            <rFont val="Tahoma"/>
            <family val="2"/>
          </rPr>
          <t>close the following five Macy’s stores in early spring 2014</t>
        </r>
        <r>
          <rPr>
            <sz val="8"/>
            <color indexed="81"/>
            <rFont val="Tahoma"/>
            <family val="2"/>
          </rPr>
          <t xml:space="preserve">.
Fiesta Mall, Mesa, AZ (159,000 square feet; opened in 1979; 98 associates);
Metcalf South Shopping Center, Overland Park, KS (216,000 square feet; opened in 1967; 88 associates);
Jamestown Mall, Florissant, MO (200,000 square feet; opened in 1994; 88 associates);
Medley Centre, Irondequoit, NY (129,000 square feet; opened in 1990; 96 associates);
Fashion Place Mall, Murray, UT (26,000 square feet; opened in 1988; 42 associates).
</t>
        </r>
        <r>
          <rPr>
            <b/>
            <sz val="8"/>
            <color indexed="81"/>
            <rFont val="Tahoma"/>
            <family val="2"/>
          </rPr>
          <t>New Macy’s stores will be opening in:</t>
        </r>
        <r>
          <rPr>
            <sz val="8"/>
            <color indexed="81"/>
            <rFont val="Tahoma"/>
            <family val="2"/>
          </rPr>
          <t xml:space="preserve">
University Town Center, Sarasota, FL (160,000 square feet; to open in fall 2014; approximately 175 associates);
Shops at Summerlin, Las Vegas, NV (180,000 square feet; to open in fall 2014; approximately 160 associates);
Mall at Bay Plaza, The Bronx, NY (160,000 square feet; to open in fall 2014; approximately 225 associates);
Plaza Del Caribe, Ponce, PR (150,000 square feet; to open in fall 2015; approximately 275 associates);
Mall at Miami Worldcenter, Miami, FL (195,000 square feet; to open in fall 2016; approximately 150 associates).
</t>
        </r>
        <r>
          <rPr>
            <b/>
            <sz val="8"/>
            <color indexed="81"/>
            <rFont val="Tahoma"/>
            <family val="2"/>
          </rPr>
          <t>New Bloomingdale’s stores will be opening in:</t>
        </r>
        <r>
          <rPr>
            <sz val="8"/>
            <color indexed="81"/>
            <rFont val="Tahoma"/>
            <family val="2"/>
          </rPr>
          <t xml:space="preserve">
Stanford Shopping Center in Palo Alto, CA (120,000 square feet; to open in fall 2014). It will be an all-new store to replace an older store in the same shopping center;
Ala Moana, Honolulu, HI (167,000 square feet; to open in fall 2015; approximately 250 associates);
Mall at Miami Worldcenter, Miami, FL (120,000 square feet; to open in fall 2016; approximately 225 associates).</t>
        </r>
      </text>
    </comment>
    <comment ref="I174" authorId="2">
      <text>
        <r>
          <rPr>
            <b/>
            <sz val="8"/>
            <color indexed="81"/>
            <rFont val="Tahoma"/>
            <family val="2"/>
          </rPr>
          <t xml:space="preserve">1/8/14: </t>
        </r>
        <r>
          <rPr>
            <sz val="8"/>
            <color indexed="81"/>
            <rFont val="Tahoma"/>
            <family val="2"/>
          </rPr>
          <t xml:space="preserve">The company is announcing today that it will </t>
        </r>
        <r>
          <rPr>
            <b/>
            <sz val="8"/>
            <color indexed="81"/>
            <rFont val="Tahoma"/>
            <family val="2"/>
          </rPr>
          <t>close the following five Macy’s stores in early spring 2014</t>
        </r>
        <r>
          <rPr>
            <sz val="8"/>
            <color indexed="81"/>
            <rFont val="Tahoma"/>
            <family val="2"/>
          </rPr>
          <t xml:space="preserve">.
Fiesta Mall, Mesa, AZ (159,000 square feet; opened in 1979; 98 associates);
Metcalf South Shopping Center, Overland Park, KS (216,000 square feet; opened in 1967; 88 associates);
Jamestown Mall, Florissant, MO (200,000 square feet; opened in 1994; 88 associates);
Medley Centre, Irondequoit, NY (129,000 square feet; opened in 1990; 96 associates);
Fashion Place Mall, Murray, UT (26,000 square feet; opened in 1988; 42 associates).
</t>
        </r>
        <r>
          <rPr>
            <b/>
            <sz val="8"/>
            <color indexed="81"/>
            <rFont val="Tahoma"/>
            <family val="2"/>
          </rPr>
          <t>New Macy’s stores will be opening in:</t>
        </r>
        <r>
          <rPr>
            <sz val="8"/>
            <color indexed="81"/>
            <rFont val="Tahoma"/>
            <family val="2"/>
          </rPr>
          <t xml:space="preserve">
University Town Center, Sarasota, FL (160,000 square feet; to open in fall 2014; approximately 175 associates);
Shops at Summerlin, Las Vegas, NV (180,000 square feet; to open in fall 2014; approximately 160 associates);
Mall at Bay Plaza, The Bronx, NY (160,000 square feet; to open in fall 2014; approximately 225 associates);
Plaza Del Caribe, Ponce, PR (150,000 square feet; to open in fall 2015; approximately 275 associates);
Mall at Miami Worldcenter, Miami, FL (195,000 square feet; to open in fall 2016; approximately 150 associates).
</t>
        </r>
        <r>
          <rPr>
            <b/>
            <sz val="8"/>
            <color indexed="81"/>
            <rFont val="Tahoma"/>
            <family val="2"/>
          </rPr>
          <t>New Bloomingdale’s stores will be opening in:</t>
        </r>
        <r>
          <rPr>
            <sz val="8"/>
            <color indexed="81"/>
            <rFont val="Tahoma"/>
            <family val="2"/>
          </rPr>
          <t xml:space="preserve">
Stanford Shopping Center in Palo Alto, CA (120,000 square feet; to open in fall 2014). It will be an all-new store to replace an older store in the same shopping center;
Ala Moana, Honolulu, HI (167,000 square feet; to open in fall 2015; approximately 250 associates);
Mall at Miami Worldcenter, Miami, FL (120,000 square feet; to open in fall 2016; approximately 225 associates).</t>
        </r>
      </text>
    </comment>
    <comment ref="I177" authorId="3">
      <text>
        <r>
          <rPr>
            <b/>
            <sz val="9"/>
            <color indexed="81"/>
            <rFont val="Tahoma"/>
            <family val="2"/>
          </rPr>
          <t>casselau:</t>
        </r>
        <r>
          <rPr>
            <sz val="9"/>
            <color indexed="81"/>
            <rFont val="Tahoma"/>
            <family val="2"/>
          </rPr>
          <t xml:space="preserve">
it will close the following 14 Macy’s stores (out of a current total of about 790 Macy’s stores) in early spring 2015. </t>
        </r>
      </text>
    </comment>
    <comment ref="I178" authorId="4">
      <text>
        <r>
          <rPr>
            <b/>
            <sz val="9"/>
            <color indexed="81"/>
            <rFont val="Tahoma"/>
            <family val="2"/>
          </rPr>
          <t>Baglione, Gregory  (Research):</t>
        </r>
        <r>
          <rPr>
            <sz val="9"/>
            <color indexed="81"/>
            <rFont val="Tahoma"/>
            <family val="2"/>
          </rPr>
          <t xml:space="preserve">
Closed 2 macys, opened 3 BM
Montana Avenue, Santa Monica, CA, Bluemercury - Opened
Highland Park Village, Dallas, TX, Bluemercury - Opened
Brentwood, Los Angeles, CA, Bluemercury - Opened
Essex Green, West Orange, NJ, NJ Central - Closed
Downtown Pittsburgh, Pittsburgh, PA, Pittsburgh - Closed</t>
        </r>
      </text>
    </comment>
    <comment ref="I179" authorId="3">
      <text>
        <r>
          <rPr>
            <b/>
            <sz val="9"/>
            <color indexed="81"/>
            <rFont val="Tahoma"/>
            <family val="2"/>
          </rPr>
          <t>casselau:</t>
        </r>
        <r>
          <rPr>
            <sz val="9"/>
            <color indexed="81"/>
            <rFont val="Tahoma"/>
            <family val="2"/>
          </rPr>
          <t xml:space="preserve">
New stores to be opened in fall 2015, include a Macy’s in Ponce, PR, as well as a new Bloomingdale’s in Honolulu
Also Bloomies Outlet and 4 Backstage stores
8/12/15
two new full-line stores in the fall, a Bloomingdale's in Honolulu and a second Macy's store in Puerto Rico. Plus we are opening the
10 Bluemercury locations, six Macy's Backstage off-price stores, and a very exciting new Bloomingdale's Outlet store on the Upper West Side of Manhattan.
11/11/15
Bedford, NH, Northeast - Closed
Owings Mills Mall, Owings Mills, MD, Mid-Atlantic - Closed
Plaza Del Caribe, Ponce, PR, Southeast - Opened
Sheepshead Bay, Brooklyn, NY, Backstage - Opened
Queens Place, Elmhurst, NY, Backstage - Opened
Melville, Hunington, NY, Backstage - Opened
Lake Success, New Hyde Park, NY, Backstage - Opened
Fordham Place, Bronx, NY, Backstage - Opened
Southlake Town Square, Southlake, TX, Bluemercury - Opened
Washingtonian, Gaitherburg, MD, Bluemercury - Opened
Tampa, FL, Bluemercury - Opened
Sea Girt, NJ, Bluemercury - Opened
Bronxville, NY, Bluemercury - Opened
Carlsbad, CA, Bluemercury - Opened
P Street, Washington, DC, Bluemercury - Opened
Reston Town Center, Reston, VA, Bluemercury - Opened
88th &amp; 3rd, New York, NY, Bluemercury - Opened
Country Club Plaza, Kansas City, MO, Bluemercury - Opened</t>
        </r>
      </text>
    </comment>
    <comment ref="C180" authorId="4">
      <text>
        <r>
          <rPr>
            <b/>
            <sz val="9"/>
            <color indexed="81"/>
            <rFont val="Tahoma"/>
            <family val="2"/>
          </rPr>
          <t>Baglione, Gregory  (Research):</t>
        </r>
        <r>
          <rPr>
            <sz val="9"/>
            <color indexed="81"/>
            <rFont val="Tahoma"/>
            <family val="2"/>
          </rPr>
          <t xml:space="preserve">
Excludes BM </t>
        </r>
      </text>
    </comment>
    <comment ref="I180" authorId="3">
      <text>
        <r>
          <rPr>
            <b/>
            <sz val="9"/>
            <color indexed="81"/>
            <rFont val="Tahoma"/>
            <family val="2"/>
          </rPr>
          <t>casselau:</t>
        </r>
        <r>
          <rPr>
            <sz val="9"/>
            <color indexed="81"/>
            <rFont val="Tahoma"/>
            <family val="2"/>
          </rPr>
          <t xml:space="preserve">
New stores to be opened in fall 2015, include a Macy’s in Ponce, PR, as well as a new Bloomingdale’s in Honolulu
Also Bloomies Outlet and 4 Backstage stores
8/12/15
two new full-line stores in the fall, a Bloomingdale's in Honolulu and a second Macy's store in Puerto Rico. Plus we are opening the
10 Bluemercury locations, six Macy's Backstage off-price stores, and a very exciting new Bloomingdale's Outlet store on the Upper West Side of Manhattan.</t>
        </r>
      </text>
    </comment>
    <comment ref="C183" authorId="4">
      <text>
        <r>
          <rPr>
            <b/>
            <sz val="9"/>
            <color indexed="81"/>
            <rFont val="Tahoma"/>
            <family val="2"/>
          </rPr>
          <t>Baglione, Gregory  (Research):</t>
        </r>
        <r>
          <rPr>
            <sz val="9"/>
            <color indexed="81"/>
            <rFont val="Tahoma"/>
            <family val="2"/>
          </rPr>
          <t xml:space="preserve">
Excludes BM </t>
        </r>
      </text>
    </comment>
    <comment ref="I183" authorId="2">
      <text>
        <r>
          <rPr>
            <b/>
            <sz val="8"/>
            <color indexed="81"/>
            <rFont val="Tahoma"/>
            <family val="2"/>
          </rPr>
          <t xml:space="preserve">1/8/14: </t>
        </r>
        <r>
          <rPr>
            <sz val="8"/>
            <color indexed="81"/>
            <rFont val="Tahoma"/>
            <family val="2"/>
          </rPr>
          <t xml:space="preserve">The company is announcing today that it will </t>
        </r>
        <r>
          <rPr>
            <b/>
            <sz val="8"/>
            <color indexed="81"/>
            <rFont val="Tahoma"/>
            <family val="2"/>
          </rPr>
          <t>close the following five Macy’s stores in early spring 2014</t>
        </r>
        <r>
          <rPr>
            <sz val="8"/>
            <color indexed="81"/>
            <rFont val="Tahoma"/>
            <family val="2"/>
          </rPr>
          <t xml:space="preserve">.
Fiesta Mall, Mesa, AZ (159,000 square feet; opened in 1979; 98 associates);
Metcalf South Shopping Center, Overland Park, KS (216,000 square feet; opened in 1967; 88 associates);
Jamestown Mall, Florissant, MO (200,000 square feet; opened in 1994; 88 associates);
Medley Centre, Irondequoit, NY (129,000 square feet; opened in 1990; 96 associates);
Fashion Place Mall, Murray, UT (26,000 square feet; opened in 1988; 42 associates).
</t>
        </r>
        <r>
          <rPr>
            <b/>
            <sz val="8"/>
            <color indexed="81"/>
            <rFont val="Tahoma"/>
            <family val="2"/>
          </rPr>
          <t>New Macy’s stores will be opening in:</t>
        </r>
        <r>
          <rPr>
            <sz val="8"/>
            <color indexed="81"/>
            <rFont val="Tahoma"/>
            <family val="2"/>
          </rPr>
          <t xml:space="preserve">
University Town Center, Sarasota, FL (160,000 square feet; to open in fall 2014; approximately 175 associates);
Shops at Summerlin, Las Vegas, NV (180,000 square feet; to open in fall 2014; approximately 160 associates);
Mall at Bay Plaza, The Bronx, NY (160,000 square feet; to open in fall 2014; approximately 225 associates);
Plaza Del Caribe, Ponce, PR (150,000 square feet; to open in fall 2015; approximately 275 associates);
Mall at Miami Worldcenter, Miami, FL (195,000 square feet; to open in fall 2016; approximately 150 associates).
</t>
        </r>
        <r>
          <rPr>
            <b/>
            <sz val="8"/>
            <color indexed="81"/>
            <rFont val="Tahoma"/>
            <family val="2"/>
          </rPr>
          <t>New Bloomingdale’s stores will be opening in:</t>
        </r>
        <r>
          <rPr>
            <sz val="8"/>
            <color indexed="81"/>
            <rFont val="Tahoma"/>
            <family val="2"/>
          </rPr>
          <t xml:space="preserve">
Stanford Shopping Center in Palo Alto, CA (120,000 square feet; to open in fall 2014). It will be an all-new store to replace an older store in the same shopping center;
Ala Moana, Honolulu, HI (167,000 square feet; to open in fall 2015; approximately 250 associates);
Mall at Miami Worldcenter, Miami, FL (120,000 square feet; to open in fall 2016; approximately 225 associates).
5/11/16
5/11/16
As of 1Q16
Ala Moana Jewel Gallery (Oahu), HI, Southwest - Closed
Kierland Commons, Scottsdale, AZ, Bluemercury - Opened
Winter Park, FL, Bluemercury - Opened
Ridgewood, NJ, Bluemercury - Opened
West Hartford, Hartford, CT, Bluemercury - Opened
Los Gatos, CA, Bluemercury - Opened
Rice Village, Houston, TX, Bluemercury - Opened
Woodway Collection, Houston, TX, Bluemercury - Opened</t>
        </r>
      </text>
    </comment>
    <comment ref="C184" authorId="4">
      <text>
        <r>
          <rPr>
            <b/>
            <sz val="9"/>
            <color indexed="81"/>
            <rFont val="Tahoma"/>
            <family val="2"/>
          </rPr>
          <t>Baglione, Gregory  (Research):</t>
        </r>
        <r>
          <rPr>
            <sz val="9"/>
            <color indexed="81"/>
            <rFont val="Tahoma"/>
            <family val="2"/>
          </rPr>
          <t xml:space="preserve">
Excludes BM </t>
        </r>
      </text>
    </comment>
    <comment ref="I184" authorId="4">
      <text>
        <r>
          <rPr>
            <b/>
            <sz val="9"/>
            <color indexed="81"/>
            <rFont val="Tahoma"/>
            <family val="2"/>
          </rPr>
          <t>Baglione, Gregory  (Research):</t>
        </r>
        <r>
          <rPr>
            <sz val="9"/>
            <color indexed="81"/>
            <rFont val="Tahoma"/>
            <family val="2"/>
          </rPr>
          <t xml:space="preserve">
Company plans to close 35-40 stores in early 2016, representing ~1% of sales
2/23/16
In fiscal 2016, the company expects to open a new Macy’s store in Kapolei, HI, as well as approximately 42 additional Bluemercury locations (24 freestanding and 18 inside Macy’s) and 16 Macy’s Backstage locations (1 freestanding and 15 inside Macy’s). Announced new stores in future years include Macy’s in Murray, UT (2017), a Macy’s replacement store in Los Angeles, CA (2017), and Bloomingdale’s in San Jose, CA (2017) and Norwalk, CT (2018). In addition, a new Bloomingdale’s store is expected to open in 2017 in Kuwait, and new Macy’s and Bloomingdale’s stores are planned to open in Abu Dhabi, United Arab Emirates, in 2018 under license agreements with Al Tayer Group
Management has not provided any updated guidance to store closures assume modest increase, potential for further closures later in year.
5/11/16
In fiscal 2016, while Macy’s, Inc. continues to review its store portfolio, the company expects to open a new Macy’s store in Kapolei, HI, as well as approximately 42 additional Bluemercury locations (24 freestanding and 18 inside Macy’s), 16 Macy’s Backstage locations (one freestanding and 15 inside Macy’s) and a Bloomingdale’s Outlet store in Orange, CA. Announced new stores in future years include Macy’s in Murray, UT (2017), a Macy’s replacement store in Los Angeles, CA (2017), and Bloomingdale’s in San Jose, CA (2018), and Norwalk, CT (2018). In addition, a new Bloomingdale’s store is expected to open in 2017 in Kuwait, and new Macy’s and Bloomingdale’s stores are planned to open in Abu Dhabi, United Arab Emirates, in 2018 under license agreements with Al Tayer Group.</t>
        </r>
      </text>
    </comment>
    <comment ref="C185" authorId="4">
      <text>
        <r>
          <rPr>
            <b/>
            <sz val="9"/>
            <color indexed="81"/>
            <rFont val="Tahoma"/>
            <family val="2"/>
          </rPr>
          <t>Baglione, Gregory  (Research):</t>
        </r>
        <r>
          <rPr>
            <sz val="9"/>
            <color indexed="81"/>
            <rFont val="Tahoma"/>
            <family val="2"/>
          </rPr>
          <t xml:space="preserve">
Excludes BM </t>
        </r>
      </text>
    </comment>
    <comment ref="I185" authorId="4">
      <text>
        <r>
          <rPr>
            <b/>
            <sz val="9"/>
            <color indexed="81"/>
            <rFont val="Tahoma"/>
            <family val="2"/>
          </rPr>
          <t>Baglione, Gregory  (Research):</t>
        </r>
        <r>
          <rPr>
            <sz val="9"/>
            <color indexed="81"/>
            <rFont val="Tahoma"/>
            <family val="2"/>
          </rPr>
          <t xml:space="preserve">
Company plans to close 35-40 stores in early 2016, representing ~1% of sales
2/23/16
In fiscal 2016, the company expects to open a new Macy’s store in Kapolei, HI, as well as approximately 42 additional Bluemercury locations (24 freestanding and 18 inside Macy’s) and 16 Macy’s Backstage locations (1 freestanding and 15 inside Macy’s). Announced new stores in future years include Macy’s in Murray, UT (2017), a Macy’s replacement store in Los Angeles, CA (2017), and Bloomingdale’s in San Jose, CA (2017) and Norwalk, CT (2018). In addition, a new Bloomingdale’s store is expected to open in 2017 in Kuwait, and new Macy’s and Bloomingdale’s stores are planned to open in Abu Dhabi, United Arab Emirates, in 2018 under license agreements with Al Tayer Group
Management has not provided any updated guidance to store closures assume modest increase, potential for further closures later in year.
5/11/16
In fiscal 2016, while Macy’s, Inc. continues to review its store portfolio, the company expects to open a new Macy’s store in Kapolei, HI, as well as approximately 42 additional Bluemercury locations (24 freestanding and 18 inside Macy’s), 16 Macy’s Backstage locations (one freestanding and 15 inside Macy’s) and a Bloomingdale’s Outlet store in Orange, CA. Announced new stores in future years include Macy’s in Murray, UT (2017), a Macy’s replacement store in Los Angeles, CA (2017), and Bloomingdale’s in San Jose, CA (2018), and Norwalk, CT (2018). In addition, a new Bloomingdale’s store is expected to open in 2017 in Kuwait, and new Macy’s and Bloomingdale’s stores are planned to open in Abu Dhabi, United Arab Emirates, in 2018 under license agreements with Al Tayer Group.</t>
        </r>
      </text>
    </comment>
    <comment ref="C186" authorId="4">
      <text>
        <r>
          <rPr>
            <b/>
            <sz val="9"/>
            <color indexed="81"/>
            <rFont val="Tahoma"/>
            <family val="2"/>
          </rPr>
          <t>Baglione, Gregory  (Research):</t>
        </r>
        <r>
          <rPr>
            <sz val="9"/>
            <color indexed="81"/>
            <rFont val="Tahoma"/>
            <family val="2"/>
          </rPr>
          <t xml:space="preserve">
Excludes BM 
2/21/17 - 4Q EPS
 In fiscal 2016, the company opened 27 stores and closed 66 stores, all as previously announced. Macy’s, Inc. plans to close an additional approximately 34 stores over the next few years for a total of approximately 100 stores. New stores opened in fiscal 2016 included one Macy’s store in Kapolei, HI, 24 Bluemercury freestanding stores, one Macy’s Backstage freestanding store in San Antonio, TX, and one Bloomingdale’s Outlet in Orange, CA.</t>
        </r>
      </text>
    </comment>
    <comment ref="I186" authorId="4">
      <text>
        <r>
          <rPr>
            <b/>
            <sz val="9"/>
            <color indexed="81"/>
            <rFont val="Tahoma"/>
            <family val="2"/>
          </rPr>
          <t>Baglione, Gregory  (Research):</t>
        </r>
        <r>
          <rPr>
            <sz val="9"/>
            <color indexed="81"/>
            <rFont val="Tahoma"/>
            <family val="2"/>
          </rPr>
          <t xml:space="preserve">
Company plans to close 35-40 stores in early 2016, representing ~1% of sales
2/23/16
In fiscal 2016, the company expects to open a new Macy’s store in Kapolei, HI, as well as approximately 42 additional Bluemercury locations (24 freestanding and 18 inside Macy’s) and 16 Macy’s Backstage locations (1 freestanding and 15 inside Macy’s). Announced new stores in future years include Macy’s in Murray, UT (2017), a Macy’s replacement store in Los Angeles, CA (2017), and Bloomingdale’s in San Jose, CA (2017) and Norwalk, CT (2018). In addition, a new Bloomingdale’s store is expected to open in 2017 in Kuwait, and new Macy’s and Bloomingdale’s stores are planned to open in Abu Dhabi, United Arab Emirates, in 2018 under license agreements with Al Tayer Group
Management has not provided any updated guidance to store closures assume modest increase, potential for further closures later in year.
5/11/16
In fiscal 2016, while Macy’s, Inc. continues to review its store portfolio, the company expects to open a new Macy’s store in Kapolei, HI, as well as approximately 42 additional Bluemercury locations (24 freestanding and 18 inside Macy’s), 16 Macy’s Backstage locations (one freestanding and 15 inside Macy’s) and a Bloomingdale’s Outlet store in Orange, CA. Announced new stores in future years include Macy’s in Murray, UT (2017), a Macy’s replacement store in Los Angeles, CA (2017), and Bloomingdale’s in San Jose, CA (2018), and Norwalk, CT (2018). In addition, a new Bloomingdale’s store is expected to open in 2017 in Kuwait, and new Macy’s and Bloomingdale’s stores are planned to open in Abu Dhabi, United Arab Emirates, in 2018 under license agreements with Al Tayer Group.</t>
        </r>
      </text>
    </comment>
    <comment ref="C189" authorId="5">
      <text>
        <r>
          <rPr>
            <b/>
            <sz val="9"/>
            <color indexed="81"/>
            <rFont val="Tahoma"/>
            <family val="2"/>
          </rPr>
          <t xml:space="preserve">Baglione, Gregory (Research):
Store Portfolio Restructure
</t>
        </r>
        <r>
          <rPr>
            <sz val="9"/>
            <color indexed="81"/>
            <rFont val="Tahoma"/>
            <family val="2"/>
          </rPr>
          <t xml:space="preserve">
The company today announced 68 Macy’s store closings (out of a current total of 730 Macy’s stores). Of the 68, three closed mid-year, 63 will be closed in early spring 2017 and two will be closed in mid-2017. Three other locations were sold, or are to be sold, and are being leased back. (A list of planned store closings, as well as store openings, is included at the end of this news release.) The company intends to opportunistically close approximately 30 additional stores over the next few years as leases or operating covenants expire or sale transactions are completed.
As a result of closing 63 Macy’s stores in early 2017, along with the three closed mid-year 2016, the company’s 2017 sales are expected to be negatively impacted by approximately $575 million. This reflects the company’s ability to retain sales at nearby stores and on macys.com through targeted marketing and merchandising efforts.
Associates displaced by store closings may be offered positions in nearby stores where possible. Eligible full-time and part-time associates who are affected by the store closings will be offered severance benefits. The company estimates that 3,900 associates will be displaced as a result of these closures.
“As we’ve noted, it is essential that we maintain a healthy portfolio of the right stores in the right places. Our plan to close approximately 100 stores over the next few years is an important part of our strategy to help us right-size our physical footprint as we expand our digital reach. We are closing locations that are unproductive or are no longer robust shopping destinations due to changes in the local retail shopping landscape, as well as monetizing locations with highly valued real estate,” Lundgren said. “These are never easy decisions, and we are committed to treating associates affected by these closings with respect and transparency.”
Four new Macy’s and Bloomingdale’s stores are currently planned and/or under construction, as previously announced. In addition, new Macy’s and Bloomingdale’s stores are planned to open in Abu Dhabi, and one Bloomingdale’s store is planned to open in Kuwait, all under license agreements with Al Tayer Group. The company also plans to continue its expansion of Macy’s Backstage (within Macy’s stores) and Bluemercury (freestanding and within Macy’s stores).
Store Openings
Four new Macy’s and Bloomingdale’s stores are currently planned and/or under construction, as previously announced.
New Macy’s stores will be opening in:
Westfield Century City, Los Angeles, CA (a 155,000 square-foot store to open in spring 2017; Macy’s previously operated a 136,000 square-foot store in this location which closed in January 2016);
Fashion Place, Murray, UT (160,000 square feet; to open in spring 2017; approximately 150 associates)
New Bloomingdale’s stores will be opening in:
Westfield Valley Fair Shopping Center, San Jose, CA (150,000 square feet; to open in spring 2019; approximately 250 associates);
The SoNo Collection, Norwalk, CT (150,000 square feet; to open in fall 2019; approximately 200 associates)
In addition, in the next two years, the company plans to open approximately 50 additional Macy’s Backstage off-price locations (all of which will be inside existing Macy’s stores) and about 50 Bluemercury beauty specialty stores (freestanding and shops inside existing Macy's stores).
Internationally, under license agreements with Al Tayer Group, a new Bloomingdale’s store is planned to open in 360 Mall in Al Zahra, Kuwait in Spring 2017 and new Macy’s and Bloomingdale’s stores are planned to open in Al Maryah Central in Abu Dhabi, United Arab Emirates, in 2018.</t>
        </r>
      </text>
    </comment>
    <comment ref="I190" authorId="6">
      <text>
        <r>
          <rPr>
            <b/>
            <sz val="9"/>
            <color indexed="81"/>
            <rFont val="Tahoma"/>
            <family val="2"/>
          </rPr>
          <t>De Courreges, Edouard (Research):</t>
        </r>
        <r>
          <rPr>
            <sz val="9"/>
            <color indexed="81"/>
            <rFont val="Tahoma"/>
            <family val="2"/>
          </rPr>
          <t xml:space="preserve">
8/10/17:</t>
        </r>
        <r>
          <rPr>
            <sz val="8"/>
            <color indexed="81"/>
            <rFont val="Tahoma"/>
            <family val="2"/>
          </rPr>
          <t>opened 16 new freestanding Bluemercury beauty specialty stores and 12 new Macy’s Backstage off-price stores within
existing Macy’s stores. As previously announced,</t>
        </r>
        <r>
          <rPr>
            <b/>
            <sz val="8"/>
            <color indexed="81"/>
            <rFont val="Tahoma"/>
            <family val="2"/>
          </rPr>
          <t xml:space="preserve"> the company closed two
Macy’s stores</t>
        </r>
        <r>
          <rPr>
            <sz val="8"/>
            <color indexed="81"/>
            <rFont val="Tahoma"/>
            <family val="2"/>
          </rPr>
          <t xml:space="preserve"> in Temple, TX, and Dublin, OH</t>
        </r>
      </text>
    </comment>
    <comment ref="C191" authorId="6">
      <text>
        <r>
          <rPr>
            <b/>
            <sz val="9"/>
            <color indexed="81"/>
            <rFont val="Tahoma"/>
            <family val="2"/>
          </rPr>
          <t>De Courreges, Edouard (Research):</t>
        </r>
        <r>
          <rPr>
            <sz val="9"/>
            <color indexed="81"/>
            <rFont val="Tahoma"/>
            <family val="2"/>
          </rPr>
          <t xml:space="preserve">
11/9: No new M stores; see below:
</t>
        </r>
        <r>
          <rPr>
            <sz val="8"/>
            <color indexed="81"/>
            <rFont val="Tahoma"/>
            <family val="2"/>
          </rPr>
          <t>In the third quarter of 2017, the company opened eight new freestanding Bluemercury beauty specialty stores for a total of 135 stores and seven new Macy’s Backstage off-price stores within existing Macy’s stores for a total of 45 locations. During the quarter, the company announced that it will close the following stores in early 2018: Laguna Hills Mall in Laguna Hills, CA; Stonestown Galleria in San Francisco, CA; and Westside Pavilion in Los Angeles, CA.</t>
        </r>
      </text>
    </comment>
    <comment ref="I192" authorId="6">
      <text>
        <r>
          <rPr>
            <b/>
            <sz val="9"/>
            <color indexed="81"/>
            <rFont val="Tahoma"/>
            <family val="2"/>
          </rPr>
          <t>De Courreges, Edouard (Research):</t>
        </r>
        <r>
          <rPr>
            <sz val="9"/>
            <color indexed="81"/>
            <rFont val="Tahoma"/>
            <family val="2"/>
          </rPr>
          <t xml:space="preserve">
2/27/18: opened 2 M stores, closed 16 in 2017</t>
        </r>
      </text>
    </comment>
    <comment ref="C195" authorId="5">
      <text>
        <r>
          <rPr>
            <b/>
            <sz val="9"/>
            <color indexed="81"/>
            <rFont val="Tahoma"/>
            <family val="2"/>
          </rPr>
          <t xml:space="preserve">Baglione, Gregory (Research):
Store Portfolio Restructure
</t>
        </r>
        <r>
          <rPr>
            <sz val="9"/>
            <color indexed="81"/>
            <rFont val="Tahoma"/>
            <family val="2"/>
          </rPr>
          <t xml:space="preserve">
The company today announced 68 Macy’s store closings (out of a current total of 730 Macy’s stores). Of the 68, three closed mid-year, 63 will be closed in early spring 2017 and two will be closed in mid-2017. Three other locations were sold, or are to be sold, and are being leased back. (A list of planned store closings, as well as store openings, is included at the end of this news release.) The company intends to opportunistically close approximately 30 additional stores over the next few years as leases or operating covenants expire or sale transactions are completed.
As a result of closing 63 Macy’s stores in early 2017, along with the three closed mid-year 2016, the company’s 2017 sales are expected to be negatively impacted by approximately $575 million. This reflects the company’s ability to retain sales at nearby stores and on macys.com through targeted marketing and merchandising efforts.
Associates displaced by store closings may be offered positions in nearby stores where possible. Eligible full-time and part-time associates who are affected by the store closings will be offered severance benefits. The company estimates that 3,900 associates will be displaced as a result of these closures.
“As we’ve noted, it is essential that we maintain a healthy portfolio of the right stores in the right places. Our plan to close approximately 100 stores over the next few years is an important part of our strategy to help us right-size our physical footprint as we expand our digital reach. We are closing locations that are unproductive or are no longer robust shopping destinations due to changes in the local retail shopping landscape, as well as monetizing locations with highly valued real estate,” Lundgren said. “These are never easy decisions, and we are committed to treating associates affected by these closings with respect and transparency.”
Four new Macy’s and Bloomingdale’s stores are currently planned and/or under construction, as previously announced. In addition, new Macy’s and Bloomingdale’s stores are planned to open in Abu Dhabi, and one Bloomingdale’s store is planned to open in Kuwait, all under license agreements with Al Tayer Group. The company also plans to continue its expansion of Macy’s Backstage (within Macy’s stores) and Bluemercury (freestanding and within Macy’s stores).
Store Openings
Four new Macy’s and Bloomingdale’s stores are currently planned and/or under construction, as previously announced.
New Macy’s stores will be opening in:
Westfield Century City, Los Angeles, CA (a 155,000 square-foot store to open in spring 2017; Macy’s previously operated a 136,000 square-foot store in this location which closed in January 2016);
Fashion Place, Murray, UT (160,000 square feet; to open in spring 2017; approximately 150 associates)
New Bloomingdale’s stores will be opening in:
Westfield Valley Fair Shopping Center, San Jose, CA (150,000 square feet; to open in spring 2019; approximately 250 associates);
The SoNo Collection, Norwalk, CT (150,000 square feet; to open in fall 2019; approximately 200 associates)
In addition, in the next two years, the company plans to open approximately 50 additional Macy’s Backstage off-price locations (all of which will be inside existing Macy’s stores) and about 50 Bluemercury beauty specialty stores (freestanding and shops inside existing Macy's stores).
Internationally, under license agreements with Al Tayer Group, a new Bloomingdale’s store is planned to open in 360 Mall in Al Zahra, Kuwait in Spring 2017 and new Macy’s and Bloomingdale’s stores are planned to open in Al Maryah Central in Abu Dhabi, United Arab Emirates, in 2018.</t>
        </r>
      </text>
    </comment>
    <comment ref="I195" authorId="6">
      <text>
        <r>
          <rPr>
            <b/>
            <sz val="9"/>
            <color indexed="81"/>
            <rFont val="Tahoma"/>
            <family val="2"/>
          </rPr>
          <t>De Courreges, Edouard (Research):</t>
        </r>
        <r>
          <rPr>
            <sz val="9"/>
            <color indexed="81"/>
            <rFont val="Tahoma"/>
            <family val="2"/>
          </rPr>
          <t xml:space="preserve">
11 stores to close early 2018; remaining 19 to close by ~Jan 2019</t>
        </r>
      </text>
    </comment>
    <comment ref="C284" authorId="7">
      <text>
        <r>
          <rPr>
            <sz val="8"/>
            <color indexed="81"/>
            <rFont val="Tahoma"/>
            <family val="2"/>
          </rPr>
          <t>8/9/2007: Per store information portion of M website</t>
        </r>
      </text>
    </comment>
    <comment ref="C315" authorId="0">
      <text>
        <r>
          <rPr>
            <b/>
            <sz val="8"/>
            <color indexed="81"/>
            <rFont val="Tahoma"/>
            <family val="2"/>
          </rPr>
          <t>cuomochr:</t>
        </r>
        <r>
          <rPr>
            <sz val="8"/>
            <color indexed="81"/>
            <rFont val="Tahoma"/>
            <family val="2"/>
          </rPr>
          <t xml:space="preserve">
See Square Footage at: http://www.macysinc.com/investors/storeinformation/squarefootage.aspx</t>
        </r>
      </text>
    </comment>
    <comment ref="C318" authorId="0">
      <text>
        <r>
          <rPr>
            <b/>
            <sz val="8"/>
            <color indexed="81"/>
            <rFont val="Tahoma"/>
            <family val="2"/>
          </rPr>
          <t>cuomochr:</t>
        </r>
        <r>
          <rPr>
            <sz val="8"/>
            <color indexed="81"/>
            <rFont val="Tahoma"/>
            <family val="2"/>
          </rPr>
          <t xml:space="preserve">
See Square Footage at: http://www.macysinc.com/investors/storeinformation/squarefootage.aspx</t>
        </r>
      </text>
    </comment>
    <comment ref="C329" authorId="0">
      <text>
        <r>
          <rPr>
            <sz val="8"/>
            <color indexed="81"/>
            <rFont val="Tahoma"/>
            <family val="2"/>
          </rPr>
          <t>http://www.macysinc.com/investors/storeinformation/squarefootage.aspx</t>
        </r>
        <r>
          <rPr>
            <sz val="8"/>
            <color indexed="81"/>
            <rFont val="Tahoma"/>
            <family val="2"/>
          </rPr>
          <t xml:space="preserve">
</t>
        </r>
      </text>
    </comment>
    <comment ref="C332" authorId="0">
      <text>
        <r>
          <rPr>
            <sz val="8"/>
            <color indexed="81"/>
            <rFont val="Tahoma"/>
            <family val="2"/>
          </rPr>
          <t>http://www.macysinc.com/investors/storeinformation/squarefootage.aspx</t>
        </r>
        <r>
          <rPr>
            <sz val="8"/>
            <color indexed="81"/>
            <rFont val="Tahoma"/>
            <family val="2"/>
          </rPr>
          <t xml:space="preserve">
</t>
        </r>
      </text>
    </comment>
    <comment ref="C337" authorId="0">
      <text>
        <r>
          <rPr>
            <sz val="8"/>
            <color indexed="81"/>
            <rFont val="Tahoma"/>
            <family val="2"/>
          </rPr>
          <t>http://www.macysinc.com/investors/storeinformation/squarefootage.aspx</t>
        </r>
        <r>
          <rPr>
            <sz val="8"/>
            <color indexed="81"/>
            <rFont val="Tahoma"/>
            <family val="2"/>
          </rPr>
          <t xml:space="preserve">
</t>
        </r>
      </text>
    </comment>
    <comment ref="C340" authorId="0">
      <text>
        <r>
          <rPr>
            <sz val="8"/>
            <color indexed="81"/>
            <rFont val="Tahoma"/>
            <family val="2"/>
          </rPr>
          <t>http://www.macysinc.com/investors/storeinformation/squarefootage.aspx</t>
        </r>
        <r>
          <rPr>
            <sz val="8"/>
            <color indexed="81"/>
            <rFont val="Tahoma"/>
            <family val="2"/>
          </rPr>
          <t xml:space="preserve">
</t>
        </r>
      </text>
    </comment>
    <comment ref="C343" authorId="0">
      <text>
        <r>
          <rPr>
            <sz val="8"/>
            <color indexed="81"/>
            <rFont val="Tahoma"/>
            <family val="2"/>
          </rPr>
          <t>http://www.macysinc.com/investors/storeinformation/squarefootage.aspx</t>
        </r>
        <r>
          <rPr>
            <sz val="8"/>
            <color indexed="81"/>
            <rFont val="Tahoma"/>
            <family val="2"/>
          </rPr>
          <t xml:space="preserve">
</t>
        </r>
      </text>
    </comment>
    <comment ref="C346" authorId="0">
      <text>
        <r>
          <rPr>
            <sz val="8"/>
            <color indexed="81"/>
            <rFont val="Tahoma"/>
            <family val="2"/>
          </rPr>
          <t>http://www.macysinc.com/investors/storeinformation/squarefootage.aspx</t>
        </r>
        <r>
          <rPr>
            <sz val="8"/>
            <color indexed="81"/>
            <rFont val="Tahoma"/>
            <family val="2"/>
          </rPr>
          <t xml:space="preserve">
154,371 as of Dec 31, 2011</t>
        </r>
      </text>
    </comment>
    <comment ref="C350" authorId="0">
      <text>
        <r>
          <rPr>
            <b/>
            <sz val="8"/>
            <color indexed="81"/>
            <rFont val="Tahoma"/>
            <family val="2"/>
          </rPr>
          <t xml:space="preserve">2/21/12 Guidance
</t>
        </r>
        <r>
          <rPr>
            <sz val="8"/>
            <color indexed="81"/>
            <rFont val="Tahoma"/>
            <family val="2"/>
          </rPr>
          <t>- 2 Macy's openings in 1Q12
- 12 Bloomies outlets in 2012 
- All store closures from 1/4 release already closed in 4Q11</t>
        </r>
        <r>
          <rPr>
            <b/>
            <sz val="8"/>
            <color indexed="81"/>
            <rFont val="Tahoma"/>
            <family val="2"/>
          </rPr>
          <t xml:space="preserve">
Per 1/4/2012 Release / Guidance:
</t>
        </r>
        <r>
          <rPr>
            <sz val="8"/>
            <color indexed="81"/>
            <rFont val="Tahoma"/>
            <family val="2"/>
          </rPr>
          <t xml:space="preserve">- Macy's to close 5 stores in early Spring 2012 (936k SF)
- Bloomingdale's will close 4 stores in early Spring 2012 (819k SF)
- Macy's to open 2 new stores in Mar 2012 (300k SF)
- 2 Bloomingdale's outlets to open in Spring 2012 (50k SF)
</t>
        </r>
        <r>
          <rPr>
            <b/>
            <i/>
            <sz val="8"/>
            <color indexed="81"/>
            <rFont val="Tahoma"/>
            <family val="2"/>
          </rPr>
          <t>[Note: see 2012 Stores Tab for more details]</t>
        </r>
        <r>
          <rPr>
            <sz val="8"/>
            <color indexed="81"/>
            <rFont val="Tahoma"/>
            <family val="2"/>
          </rPr>
          <t xml:space="preserve">
</t>
        </r>
        <r>
          <rPr>
            <b/>
            <sz val="8"/>
            <color indexed="81"/>
            <rFont val="Tahoma"/>
            <family val="2"/>
          </rPr>
          <t xml:space="preserve">
11/9/11 commentary / release:
</t>
        </r>
        <r>
          <rPr>
            <sz val="8"/>
            <color indexed="81"/>
            <rFont val="Tahoma"/>
            <family val="2"/>
          </rPr>
          <t xml:space="preserve">1) open 2 new stores and 1 replacement store in 2012
2) open 3 new stores in 2013/early 2014 and 1 replacement store
</t>
        </r>
        <r>
          <rPr>
            <b/>
            <sz val="8"/>
            <color indexed="81"/>
            <rFont val="Tahoma"/>
            <family val="2"/>
          </rPr>
          <t xml:space="preserve">
PR 5/23/2011:
</t>
        </r>
        <r>
          <rPr>
            <sz val="8"/>
            <color indexed="81"/>
            <rFont val="Tahoma"/>
            <family val="2"/>
          </rPr>
          <t>Spring 2012 planned opening in WI; former Younker's location</t>
        </r>
        <r>
          <rPr>
            <sz val="8"/>
            <color indexed="81"/>
            <rFont val="Tahoma"/>
            <family val="2"/>
          </rPr>
          <t xml:space="preserve">
</t>
        </r>
      </text>
    </comment>
    <comment ref="C351" authorId="0">
      <text>
        <r>
          <rPr>
            <b/>
            <sz val="8"/>
            <color indexed="81"/>
            <rFont val="Tahoma"/>
            <family val="2"/>
          </rPr>
          <t xml:space="preserve">2/21/12 Guidance
</t>
        </r>
        <r>
          <rPr>
            <sz val="8"/>
            <color indexed="81"/>
            <rFont val="Tahoma"/>
            <family val="2"/>
          </rPr>
          <t>- 2 Macy's opened in 1Q12
- 12 Bloomies in 2012
- All store closures announced 1/4/12 already closed in 4Q11</t>
        </r>
        <r>
          <rPr>
            <b/>
            <sz val="8"/>
            <color indexed="81"/>
            <rFont val="Tahoma"/>
            <family val="2"/>
          </rPr>
          <t xml:space="preserve">
Per 1/4/2012 Release / Guidance:
</t>
        </r>
        <r>
          <rPr>
            <sz val="8"/>
            <color indexed="81"/>
            <rFont val="Tahoma"/>
            <family val="2"/>
          </rPr>
          <t xml:space="preserve">- Macy's to close 5 stores in early Spring 2012 
- Bloomingdale's will close 4 stores in early Spring 2012 
- Macy's to open 2 new stores in Mar 2012
- 2 Bloomingdale's outlets to open in Spring 2012
</t>
        </r>
        <r>
          <rPr>
            <b/>
            <i/>
            <sz val="8"/>
            <color indexed="81"/>
            <rFont val="Tahoma"/>
            <family val="2"/>
          </rPr>
          <t>[Note: see 2012 Stores Tab for more details]</t>
        </r>
        <r>
          <rPr>
            <sz val="8"/>
            <color indexed="81"/>
            <rFont val="Tahoma"/>
            <family val="2"/>
          </rPr>
          <t xml:space="preserve">
</t>
        </r>
        <r>
          <rPr>
            <b/>
            <sz val="8"/>
            <color indexed="81"/>
            <rFont val="Tahoma"/>
            <family val="2"/>
          </rPr>
          <t xml:space="preserve">
11/9/11 commentary / release:
</t>
        </r>
        <r>
          <rPr>
            <sz val="8"/>
            <color indexed="81"/>
            <rFont val="Tahoma"/>
            <family val="2"/>
          </rPr>
          <t xml:space="preserve">1) open 2 new stores and 1 replacement store in 2012
2) open 3 new stores in 2013/early 2014 and 1 replacement store
</t>
        </r>
        <r>
          <rPr>
            <b/>
            <sz val="8"/>
            <color indexed="81"/>
            <rFont val="Tahoma"/>
            <family val="2"/>
          </rPr>
          <t xml:space="preserve">
PR 5/23/2011:
</t>
        </r>
        <r>
          <rPr>
            <sz val="8"/>
            <color indexed="81"/>
            <rFont val="Tahoma"/>
            <family val="2"/>
          </rPr>
          <t>Spring 2012 planned opening in WI; former Younker's location</t>
        </r>
        <r>
          <rPr>
            <sz val="8"/>
            <color indexed="81"/>
            <rFont val="Tahoma"/>
            <family val="2"/>
          </rPr>
          <t xml:space="preserve">
</t>
        </r>
      </text>
    </comment>
    <comment ref="C352" authorId="0">
      <text>
        <r>
          <rPr>
            <b/>
            <sz val="8"/>
            <color indexed="81"/>
            <rFont val="Tahoma"/>
            <family val="2"/>
          </rPr>
          <t>2/21/12 Guidance</t>
        </r>
        <r>
          <rPr>
            <sz val="8"/>
            <color indexed="81"/>
            <rFont val="Tahoma"/>
            <family val="2"/>
          </rPr>
          <t xml:space="preserve">
- 2 Macy's openings in 1Q12
- 12 Bloomies outlets in 2012 
- All store closures from 1/4 release already closed</t>
        </r>
        <r>
          <rPr>
            <b/>
            <sz val="8"/>
            <color indexed="81"/>
            <rFont val="Tahoma"/>
            <family val="2"/>
          </rPr>
          <t xml:space="preserve">
Per 1/4/2012 Release / Guidance:
</t>
        </r>
        <r>
          <rPr>
            <sz val="8"/>
            <color indexed="81"/>
            <rFont val="Tahoma"/>
            <family val="2"/>
          </rPr>
          <t xml:space="preserve">- 1 Bloomingdale's outlet to open in Summer 2012
</t>
        </r>
      </text>
    </comment>
    <comment ref="C353" authorId="0">
      <text>
        <r>
          <rPr>
            <b/>
            <sz val="8"/>
            <color indexed="81"/>
            <rFont val="Tahoma"/>
            <family val="2"/>
          </rPr>
          <t>2/21/12 Guidance</t>
        </r>
        <r>
          <rPr>
            <sz val="8"/>
            <color indexed="81"/>
            <rFont val="Tahoma"/>
            <family val="2"/>
          </rPr>
          <t xml:space="preserve">
- 2 Macy's openings in 1Q12
- 12 Bloomies outlets in 2012 
- All store closures from 1/4 release already closed</t>
        </r>
        <r>
          <rPr>
            <b/>
            <sz val="8"/>
            <color indexed="81"/>
            <rFont val="Tahoma"/>
            <family val="2"/>
          </rPr>
          <t xml:space="preserve">
Per 1/4/2012 Release / Guidance:
</t>
        </r>
        <r>
          <rPr>
            <sz val="8"/>
            <color indexed="81"/>
            <rFont val="Tahoma"/>
            <family val="2"/>
          </rPr>
          <t xml:space="preserve">- 1 Bloomingdale's outlet to open in Summer 2012
</t>
        </r>
      </text>
    </comment>
    <comment ref="C354" authorId="0">
      <text>
        <r>
          <rPr>
            <b/>
            <sz val="8"/>
            <color indexed="81"/>
            <rFont val="Tahoma"/>
            <family val="2"/>
          </rPr>
          <t>2/21/12 Guidance</t>
        </r>
        <r>
          <rPr>
            <sz val="8"/>
            <color indexed="81"/>
            <rFont val="Tahoma"/>
            <family val="2"/>
          </rPr>
          <t xml:space="preserve">
- 2 Macy's openings in 1Q12
- 12 Bloomies outlets in 2012 
- All store closures from 1/4 release already closed</t>
        </r>
        <r>
          <rPr>
            <b/>
            <sz val="8"/>
            <color indexed="81"/>
            <rFont val="Tahoma"/>
            <family val="2"/>
          </rPr>
          <t xml:space="preserve">
Per 1/4/2012 Release / Guidance:
</t>
        </r>
        <r>
          <rPr>
            <sz val="8"/>
            <color indexed="81"/>
            <rFont val="Tahoma"/>
            <family val="2"/>
          </rPr>
          <t xml:space="preserve">- 1 Bloomingdale's outlet to open in Summer 2012
</t>
        </r>
      </text>
    </comment>
    <comment ref="C355" authorId="0">
      <text>
        <r>
          <rPr>
            <b/>
            <sz val="8"/>
            <color indexed="81"/>
            <rFont val="Tahoma"/>
            <family val="2"/>
          </rPr>
          <t xml:space="preserve">2/21/12 Guidance
</t>
        </r>
        <r>
          <rPr>
            <sz val="8"/>
            <color indexed="81"/>
            <rFont val="Tahoma"/>
            <family val="2"/>
          </rPr>
          <t xml:space="preserve">- 2 Macy's openings in 1Q12
- 12 Bloomies outlets in 2012 
- All store closures from 1/4 release already closed
</t>
        </r>
        <r>
          <rPr>
            <b/>
            <sz val="8"/>
            <color indexed="81"/>
            <rFont val="Tahoma"/>
            <family val="2"/>
          </rPr>
          <t xml:space="preserve">
Per 1/4/2012 Release / Guidance:
</t>
        </r>
        <r>
          <rPr>
            <sz val="8"/>
            <color indexed="81"/>
            <rFont val="Tahoma"/>
            <family val="2"/>
          </rPr>
          <t xml:space="preserve">- 2 Bloomingdale's outlets to open in Fall 2012 (50k SF)
</t>
        </r>
      </text>
    </comment>
    <comment ref="C356" authorId="0">
      <text>
        <r>
          <rPr>
            <b/>
            <sz val="8"/>
            <color indexed="81"/>
            <rFont val="Tahoma"/>
            <family val="2"/>
          </rPr>
          <t xml:space="preserve">2/21/12 Guidance
</t>
        </r>
        <r>
          <rPr>
            <sz val="8"/>
            <color indexed="81"/>
            <rFont val="Tahoma"/>
            <family val="2"/>
          </rPr>
          <t xml:space="preserve">- 2 Macy's openings in 1Q12
- 12 Bloomies outlets in 2012 
- All store closures from 1/4 release already closed
</t>
        </r>
        <r>
          <rPr>
            <b/>
            <sz val="8"/>
            <color indexed="81"/>
            <rFont val="Tahoma"/>
            <family val="2"/>
          </rPr>
          <t xml:space="preserve">
Per 1/4/2012 Release / Guidance:
</t>
        </r>
        <r>
          <rPr>
            <sz val="8"/>
            <color indexed="81"/>
            <rFont val="Tahoma"/>
            <family val="2"/>
          </rPr>
          <t xml:space="preserve">- 2 Bloomingdale's outlets to open in Fall 2012 (50k SF)
</t>
        </r>
      </text>
    </comment>
    <comment ref="C357" authorId="0">
      <text>
        <r>
          <rPr>
            <b/>
            <sz val="8"/>
            <color indexed="81"/>
            <rFont val="Tahoma"/>
            <family val="2"/>
          </rPr>
          <t xml:space="preserve">2/21/12 Guidance
</t>
        </r>
        <r>
          <rPr>
            <sz val="8"/>
            <color indexed="81"/>
            <rFont val="Tahoma"/>
            <family val="2"/>
          </rPr>
          <t xml:space="preserve">- 2 Macy's openings in 1Q12
- 12 Bloomies outlets in 2012 
- All store closures from 1/4 release already closed
</t>
        </r>
        <r>
          <rPr>
            <b/>
            <sz val="8"/>
            <color indexed="81"/>
            <rFont val="Tahoma"/>
            <family val="2"/>
          </rPr>
          <t xml:space="preserve">
Per 1/4/2012 Release / Guidance:
</t>
        </r>
        <r>
          <rPr>
            <sz val="8"/>
            <color indexed="81"/>
            <rFont val="Tahoma"/>
            <family val="2"/>
          </rPr>
          <t xml:space="preserve">- 2 Bloomingdale's outlets to open in Fall 2012 (50k SF)
</t>
        </r>
      </text>
    </comment>
    <comment ref="C358" authorId="0">
      <text>
        <r>
          <rPr>
            <b/>
            <sz val="8"/>
            <color indexed="81"/>
            <rFont val="Tahoma"/>
            <family val="2"/>
          </rPr>
          <t>2/21/12 Guidance</t>
        </r>
        <r>
          <rPr>
            <sz val="8"/>
            <color indexed="81"/>
            <rFont val="Tahoma"/>
            <family val="2"/>
          </rPr>
          <t xml:space="preserve">
- 2 Macy's openings in 1Q12
- 12 Bloomies outlets in 2012 
- All store closures from 1/4 release already closed</t>
        </r>
        <r>
          <rPr>
            <b/>
            <sz val="8"/>
            <color indexed="81"/>
            <rFont val="Tahoma"/>
            <family val="2"/>
          </rPr>
          <t xml:space="preserve">
11/9/11 commentary / release:
</t>
        </r>
        <r>
          <rPr>
            <sz val="8"/>
            <color indexed="81"/>
            <rFont val="Tahoma"/>
            <family val="2"/>
          </rPr>
          <t xml:space="preserve">1) open 2 new stores and 1 replacement store in 2012
2) open 3 new stores in 2013/early 2014 and 1 replacement store
</t>
        </r>
        <r>
          <rPr>
            <b/>
            <sz val="8"/>
            <color indexed="81"/>
            <rFont val="Tahoma"/>
            <family val="2"/>
          </rPr>
          <t xml:space="preserve">
PR 5/23/2011:
</t>
        </r>
        <r>
          <rPr>
            <sz val="8"/>
            <color indexed="81"/>
            <rFont val="Tahoma"/>
            <family val="2"/>
          </rPr>
          <t>Spring 2012 planned opening in WI; former Younker's location</t>
        </r>
        <r>
          <rPr>
            <sz val="8"/>
            <color indexed="81"/>
            <rFont val="Tahoma"/>
            <family val="2"/>
          </rPr>
          <t xml:space="preserve">
</t>
        </r>
      </text>
    </comment>
    <comment ref="C359" authorId="0">
      <text>
        <r>
          <rPr>
            <b/>
            <sz val="8"/>
            <color indexed="81"/>
            <rFont val="Tahoma"/>
            <family val="2"/>
          </rPr>
          <t>2/21/12 Guidance</t>
        </r>
        <r>
          <rPr>
            <sz val="8"/>
            <color indexed="81"/>
            <rFont val="Tahoma"/>
            <family val="2"/>
          </rPr>
          <t xml:space="preserve">
- 2 Macy's openings in 1Q12
- 12 Bloomies outlets in 2012 
- All store closures from 1/4 release already closed</t>
        </r>
        <r>
          <rPr>
            <b/>
            <sz val="8"/>
            <color indexed="81"/>
            <rFont val="Tahoma"/>
            <family val="2"/>
          </rPr>
          <t xml:space="preserve">
11/9/11 commentary / release:
</t>
        </r>
        <r>
          <rPr>
            <sz val="8"/>
            <color indexed="81"/>
            <rFont val="Tahoma"/>
            <family val="2"/>
          </rPr>
          <t xml:space="preserve">1) open 2 new stores and 1 replacement store in 2012
2) open 3 new stores in 2013/early 2014 and 1 replacement store
</t>
        </r>
        <r>
          <rPr>
            <b/>
            <sz val="8"/>
            <color indexed="81"/>
            <rFont val="Tahoma"/>
            <family val="2"/>
          </rPr>
          <t xml:space="preserve">
PR 5/23/2011:
</t>
        </r>
        <r>
          <rPr>
            <sz val="8"/>
            <color indexed="81"/>
            <rFont val="Tahoma"/>
            <family val="2"/>
          </rPr>
          <t>Spring 2012 planned opening in WI; former Younker's location</t>
        </r>
        <r>
          <rPr>
            <sz val="8"/>
            <color indexed="81"/>
            <rFont val="Tahoma"/>
            <family val="2"/>
          </rPr>
          <t xml:space="preserve">
</t>
        </r>
      </text>
    </comment>
    <comment ref="C360" authorId="0">
      <text>
        <r>
          <rPr>
            <b/>
            <sz val="8"/>
            <color indexed="81"/>
            <rFont val="Tahoma"/>
            <family val="2"/>
          </rPr>
          <t xml:space="preserve">1/3/2013 Guidance: 
</t>
        </r>
        <r>
          <rPr>
            <sz val="8"/>
            <color indexed="81"/>
            <rFont val="Tahoma"/>
            <family val="2"/>
          </rPr>
          <t>Will close 6 stores early Spring 2013, including:
- Macy's Pasadena, CA (158k SF)
- Macy's Belmont, MA (75k SF)
- Macy's Honolul, HI (80k SF)
- Macy's St. Paul, MN (362 SF)
- Macy's Downtown Houston, TX (791 SF)
- Bloomingdale's Fashion Show Home Store, Las Vegas, NV (99k SF)</t>
        </r>
        <r>
          <rPr>
            <b/>
            <sz val="8"/>
            <color indexed="81"/>
            <rFont val="Tahoma"/>
            <family val="2"/>
          </rPr>
          <t xml:space="preserve">
11/9/11 commentary / release:
</t>
        </r>
        <r>
          <rPr>
            <sz val="8"/>
            <color indexed="81"/>
            <rFont val="Tahoma"/>
            <family val="2"/>
          </rPr>
          <t xml:space="preserve">1) open 2 new stores and 1 replacement store in 2012
2) open 3 new stores in 2013/early 2014 and 1 replacement store
</t>
        </r>
        <r>
          <rPr>
            <b/>
            <sz val="8"/>
            <color indexed="81"/>
            <rFont val="Tahoma"/>
            <family val="2"/>
          </rPr>
          <t xml:space="preserve">
PR 5/23/2011:
</t>
        </r>
        <r>
          <rPr>
            <sz val="8"/>
            <color indexed="81"/>
            <rFont val="Tahoma"/>
            <family val="2"/>
          </rPr>
          <t>Spring 2012 planned opening in WI; former Younker's location</t>
        </r>
        <r>
          <rPr>
            <sz val="8"/>
            <color indexed="81"/>
            <rFont val="Tahoma"/>
            <family val="2"/>
          </rPr>
          <t xml:space="preserve">
</t>
        </r>
      </text>
    </comment>
    <comment ref="C363" authorId="1">
      <text>
        <r>
          <rPr>
            <b/>
            <sz val="8"/>
            <color indexed="81"/>
            <rFont val="Tahoma"/>
            <family val="2"/>
          </rPr>
          <t xml:space="preserve">1/3/2013 Guidance: </t>
        </r>
        <r>
          <rPr>
            <sz val="8"/>
            <color indexed="81"/>
            <rFont val="Tahoma"/>
            <family val="2"/>
          </rPr>
          <t xml:space="preserve">
</t>
        </r>
        <r>
          <rPr>
            <u/>
            <sz val="8"/>
            <color indexed="81"/>
            <rFont val="Tahoma"/>
            <family val="2"/>
          </rPr>
          <t>2013 Planned Openings</t>
        </r>
        <r>
          <rPr>
            <sz val="8"/>
            <color indexed="81"/>
            <rFont val="Tahoma"/>
            <family val="2"/>
          </rPr>
          <t xml:space="preserve">
1) Macy's Victorville, CA 103k SF; Spring 2013
2) Macy's Men Store in Las Vegas; 105k SF; Spring 2013
3) Macy's Gurnee, IL 140k SF; Fall 2013
4) Bloomingdale's Glendale, CA; 120k SF; Fall 2013
5) Bloomingdale's Outlet Rosemont, IL; 25k SF; Fall 2013
6)Macy's Bay Shoe, NY; Fall 2013 (replacement store)</t>
        </r>
      </text>
    </comment>
    <comment ref="C364" authorId="1">
      <text>
        <r>
          <rPr>
            <b/>
            <sz val="8"/>
            <color indexed="81"/>
            <rFont val="Tahoma"/>
            <family val="2"/>
          </rPr>
          <t xml:space="preserve">1/3/2013 Guidance: </t>
        </r>
        <r>
          <rPr>
            <sz val="8"/>
            <color indexed="81"/>
            <rFont val="Tahoma"/>
            <family val="2"/>
          </rPr>
          <t xml:space="preserve">
</t>
        </r>
        <r>
          <rPr>
            <u/>
            <sz val="8"/>
            <color indexed="81"/>
            <rFont val="Tahoma"/>
            <family val="2"/>
          </rPr>
          <t>2013 Planned Openings</t>
        </r>
        <r>
          <rPr>
            <sz val="8"/>
            <color indexed="81"/>
            <rFont val="Tahoma"/>
            <family val="2"/>
          </rPr>
          <t xml:space="preserve">
1) Macy's Victorville, CA 103k SF; Spring 2013
2) Macy's Men Store in Las Vegas; 105k SF; Spring 2013
3) Macy's Gurnee, IL 140k SF; Fall 2013
4) Bloomingdale's Glendale, CA; 120k SF; Fall 2013
5) Bloomingdale's Outlet Rosemont, IL; 25k SF; Fall 2013
6)Macy's Bay Shoe, NY; Fall 2013 (replacement store)</t>
        </r>
      </text>
    </comment>
    <comment ref="C365" authorId="1">
      <text>
        <r>
          <rPr>
            <b/>
            <sz val="8"/>
            <color indexed="81"/>
            <rFont val="Tahoma"/>
            <family val="2"/>
          </rPr>
          <t xml:space="preserve">1/3/2013 Guidance: </t>
        </r>
        <r>
          <rPr>
            <sz val="8"/>
            <color indexed="81"/>
            <rFont val="Tahoma"/>
            <family val="2"/>
          </rPr>
          <t xml:space="preserve">
</t>
        </r>
        <r>
          <rPr>
            <u/>
            <sz val="8"/>
            <color indexed="81"/>
            <rFont val="Tahoma"/>
            <family val="2"/>
          </rPr>
          <t>2013 Planned Openings</t>
        </r>
        <r>
          <rPr>
            <sz val="8"/>
            <color indexed="81"/>
            <rFont val="Tahoma"/>
            <family val="2"/>
          </rPr>
          <t xml:space="preserve">
1) Macy's Victorville, CA 103k SF; Spring 2013
2) Macy's Men Store in Las Vegas; 105k SF; Spring 2013
3) Macy's Gurnee, IL 140k SF; Fall 2013
4) Bloomingdale's Glendale, CA; 120k SF; Fall 2013
5) Bloomingdale's Outlet Rosemont, IL; 25k SF; Fall 2013
6)Macy's Bay Shoe, NY; Fall 2013 (replacement store)</t>
        </r>
      </text>
    </comment>
    <comment ref="C366" authorId="1">
      <text>
        <r>
          <rPr>
            <b/>
            <sz val="8"/>
            <color indexed="81"/>
            <rFont val="Tahoma"/>
            <family val="2"/>
          </rPr>
          <t xml:space="preserve">1/3/2013 Guidance: </t>
        </r>
        <r>
          <rPr>
            <sz val="8"/>
            <color indexed="81"/>
            <rFont val="Tahoma"/>
            <family val="2"/>
          </rPr>
          <t xml:space="preserve">
</t>
        </r>
        <r>
          <rPr>
            <u/>
            <sz val="8"/>
            <color indexed="81"/>
            <rFont val="Tahoma"/>
            <family val="2"/>
          </rPr>
          <t>2013 Planned Openings</t>
        </r>
        <r>
          <rPr>
            <sz val="8"/>
            <color indexed="81"/>
            <rFont val="Tahoma"/>
            <family val="2"/>
          </rPr>
          <t xml:space="preserve">
1) Macy's Victorville, CA 103k SF; Spring 2013
2) Macy's Men Store in Las Vegas; 105k SF; Spring 2013
3) Macy's Gurnee, IL 140k SF; Fall 2013
4) Bloomingdale's Glendale, CA; 120k SF; Fall 2013
5) Bloomingdale's Outlet Rosemont, IL; 25k SF; Fall 2013
6)Macy's Bay Shoe, NY; Fall 2013 (replacement store)
</t>
        </r>
        <r>
          <rPr>
            <b/>
            <sz val="8"/>
            <color indexed="81"/>
            <rFont val="Tahoma"/>
            <family val="2"/>
          </rPr>
          <t>5/15/13</t>
        </r>
        <r>
          <rPr>
            <sz val="8"/>
            <color indexed="81"/>
            <rFont val="Tahoma"/>
            <family val="2"/>
          </rPr>
          <t xml:space="preserve">: Opened 1) in 1Q
</t>
        </r>
        <r>
          <rPr>
            <b/>
            <sz val="8"/>
            <color indexed="81"/>
            <rFont val="Tahoma"/>
            <family val="2"/>
          </rPr>
          <t>8/15/13: Opened</t>
        </r>
        <r>
          <rPr>
            <sz val="8"/>
            <color indexed="81"/>
            <rFont val="Tahoma"/>
            <family val="2"/>
          </rPr>
          <t xml:space="preserve"> 3) and 5) in 2Q. </t>
        </r>
        <r>
          <rPr>
            <b/>
            <sz val="8"/>
            <color indexed="81"/>
            <rFont val="Tahoma"/>
            <family val="2"/>
          </rPr>
          <t>Closed</t>
        </r>
        <r>
          <rPr>
            <sz val="8"/>
            <color indexed="81"/>
            <rFont val="Tahoma"/>
            <family val="2"/>
          </rPr>
          <t xml:space="preserve"> a Macy's in St.Louis, MO. In the second half of 2013, opening 4) and 6).</t>
        </r>
      </text>
    </comment>
    <comment ref="C372" authorId="1">
      <text>
        <r>
          <rPr>
            <b/>
            <sz val="8"/>
            <color indexed="81"/>
            <rFont val="Tahoma"/>
            <family val="2"/>
          </rPr>
          <t xml:space="preserve">1/3/2013 Guidance: </t>
        </r>
        <r>
          <rPr>
            <sz val="8"/>
            <color indexed="81"/>
            <rFont val="Tahoma"/>
            <family val="2"/>
          </rPr>
          <t xml:space="preserve">
</t>
        </r>
        <r>
          <rPr>
            <u/>
            <sz val="8"/>
            <color indexed="81"/>
            <rFont val="Tahoma"/>
            <family val="2"/>
          </rPr>
          <t>2013 Planned Openings</t>
        </r>
        <r>
          <rPr>
            <sz val="8"/>
            <color indexed="81"/>
            <rFont val="Tahoma"/>
            <family val="2"/>
          </rPr>
          <t xml:space="preserve">
1) Macy's Victorville, CA 103k SF; Spring 2013
2) Macy's Men Store in Las Vegas; 105k SF; Spring 2013
3) Macy's Gurnee, IL 140k SF; Fall 2013
4) Bloomingdale's Glendale, CA; 120k SF; Fall 2013
5) Bloomingdale's Outlet Rosemont, IL; 25k SF; Fall 2013
6)Macy's Bay Shoe, NY; Fall 2013 (replacement store)
</t>
        </r>
        <r>
          <rPr>
            <b/>
            <sz val="8"/>
            <color indexed="81"/>
            <rFont val="Tahoma"/>
            <family val="2"/>
          </rPr>
          <t>5/15/13</t>
        </r>
        <r>
          <rPr>
            <sz val="8"/>
            <color indexed="81"/>
            <rFont val="Tahoma"/>
            <family val="2"/>
          </rPr>
          <t xml:space="preserve">: Opened 1) in 1Q
</t>
        </r>
        <r>
          <rPr>
            <b/>
            <sz val="8"/>
            <color indexed="81"/>
            <rFont val="Tahoma"/>
            <family val="2"/>
          </rPr>
          <t>8/15/13: Opened</t>
        </r>
        <r>
          <rPr>
            <sz val="8"/>
            <color indexed="81"/>
            <rFont val="Tahoma"/>
            <family val="2"/>
          </rPr>
          <t xml:space="preserve"> 3) and 5) in 2Q. </t>
        </r>
        <r>
          <rPr>
            <b/>
            <sz val="8"/>
            <color indexed="81"/>
            <rFont val="Tahoma"/>
            <family val="2"/>
          </rPr>
          <t>Closed</t>
        </r>
        <r>
          <rPr>
            <sz val="8"/>
            <color indexed="81"/>
            <rFont val="Tahoma"/>
            <family val="2"/>
          </rPr>
          <t xml:space="preserve"> a Macy's in St.Louis, MO. In the second half of 2013, opening 4) and 6).</t>
        </r>
      </text>
    </comment>
  </commentList>
</comments>
</file>

<file path=xl/comments9.xml><?xml version="1.0" encoding="utf-8"?>
<comments xmlns="http://schemas.openxmlformats.org/spreadsheetml/2006/main">
  <authors>
    <author>mmcclell</author>
    <author>Scott Feiler</author>
    <author>cuomochr</author>
    <author>balskyh</author>
    <author>duol</author>
    <author>Baglione, Gregory  (Research)</author>
    <author>Baglione, Gregory (Research)</author>
    <author>De Courreges, Edouard (Research)</author>
    <author>leechi</author>
    <author>DL</author>
  </authors>
  <commentList>
    <comment ref="W10" authorId="0">
      <text>
        <r>
          <rPr>
            <b/>
            <sz val="8"/>
            <color indexed="81"/>
            <rFont val="Tahoma"/>
            <family val="2"/>
          </rPr>
          <t xml:space="preserve">Guidance: 2/26/08
</t>
        </r>
        <r>
          <rPr>
            <sz val="8"/>
            <color indexed="81"/>
            <rFont val="Tahoma"/>
            <family val="2"/>
          </rPr>
          <t>$1.3Bn</t>
        </r>
        <r>
          <rPr>
            <b/>
            <sz val="8"/>
            <color indexed="81"/>
            <rFont val="Tahoma"/>
            <family val="2"/>
          </rPr>
          <t xml:space="preserve">
</t>
        </r>
      </text>
    </comment>
    <comment ref="X10" authorId="1">
      <text>
        <r>
          <rPr>
            <b/>
            <sz val="8"/>
            <color indexed="81"/>
            <rFont val="Tahoma"/>
            <family val="2"/>
          </rPr>
          <t xml:space="preserve">Guidance: 2/24/2009
</t>
        </r>
        <r>
          <rPr>
            <sz val="8"/>
            <color indexed="81"/>
            <rFont val="Tahoma"/>
            <family val="2"/>
          </rPr>
          <t>D&amp;A $50M below 2008</t>
        </r>
        <r>
          <rPr>
            <sz val="8"/>
            <color indexed="81"/>
            <rFont val="Tahoma"/>
            <family val="2"/>
          </rPr>
          <t xml:space="preserve">
</t>
        </r>
      </text>
    </comment>
    <comment ref="Y10" authorId="2">
      <text>
        <r>
          <rPr>
            <b/>
            <sz val="8"/>
            <color indexed="81"/>
            <rFont val="Tahoma"/>
            <family val="2"/>
          </rPr>
          <t xml:space="preserve">Guidance 8/11/10:
</t>
        </r>
        <r>
          <rPr>
            <sz val="8"/>
            <color indexed="81"/>
            <rFont val="Tahoma"/>
            <family val="2"/>
          </rPr>
          <t>$590 M in 2H</t>
        </r>
        <r>
          <rPr>
            <b/>
            <sz val="8"/>
            <color indexed="81"/>
            <rFont val="Tahoma"/>
            <family val="2"/>
          </rPr>
          <t xml:space="preserve">
Guidance 2/22/10:
</t>
        </r>
        <r>
          <rPr>
            <sz val="8"/>
            <color indexed="81"/>
            <rFont val="Tahoma"/>
            <family val="2"/>
          </rPr>
          <t>$1.18bn for year
$575-$580mn in 1H</t>
        </r>
        <r>
          <rPr>
            <sz val="8"/>
            <color indexed="81"/>
            <rFont val="Tahoma"/>
            <family val="2"/>
          </rPr>
          <t xml:space="preserve">
</t>
        </r>
      </text>
    </comment>
    <comment ref="Z10" authorId="2">
      <text>
        <r>
          <rPr>
            <b/>
            <sz val="8"/>
            <color indexed="81"/>
            <rFont val="Tahoma"/>
            <family val="2"/>
          </rPr>
          <t xml:space="preserve">Guidance 2/22/11:
</t>
        </r>
        <r>
          <rPr>
            <sz val="8"/>
            <color indexed="81"/>
            <rFont val="Tahoma"/>
            <family val="2"/>
          </rPr>
          <t>$1.110 bn</t>
        </r>
        <r>
          <rPr>
            <sz val="8"/>
            <color indexed="81"/>
            <rFont val="Tahoma"/>
            <family val="2"/>
          </rPr>
          <t xml:space="preserve">
</t>
        </r>
      </text>
    </comment>
    <comment ref="AA10" authorId="3">
      <text>
        <r>
          <rPr>
            <b/>
            <sz val="8"/>
            <color indexed="81"/>
            <rFont val="Tahoma"/>
            <family val="2"/>
          </rPr>
          <t xml:space="preserve">8/8/2012 Guidance
</t>
        </r>
        <r>
          <rPr>
            <sz val="8"/>
            <color indexed="81"/>
            <rFont val="Tahoma"/>
            <family val="2"/>
          </rPr>
          <t>$1,055M (including $542 in 2H)</t>
        </r>
        <r>
          <rPr>
            <b/>
            <sz val="8"/>
            <color indexed="81"/>
            <rFont val="Tahoma"/>
            <family val="2"/>
          </rPr>
          <t xml:space="preserve">
Guidance 2/21/12
</t>
        </r>
        <r>
          <rPr>
            <sz val="8"/>
            <color indexed="81"/>
            <rFont val="Tahoma"/>
            <family val="2"/>
          </rPr>
          <t>- Down $25M y/y</t>
        </r>
        <r>
          <rPr>
            <b/>
            <sz val="8"/>
            <color indexed="81"/>
            <rFont val="Tahoma"/>
            <family val="2"/>
          </rPr>
          <t xml:space="preserve">
Comment 11/9/11:
</t>
        </r>
        <r>
          <rPr>
            <sz val="8"/>
            <color indexed="81"/>
            <rFont val="Tahoma"/>
            <family val="2"/>
          </rPr>
          <t>D&amp;A not up y/y in 2012</t>
        </r>
      </text>
    </comment>
    <comment ref="AB10" authorId="3">
      <text>
        <r>
          <rPr>
            <b/>
            <sz val="8"/>
            <color indexed="81"/>
            <rFont val="Tahoma"/>
            <family val="2"/>
          </rPr>
          <t xml:space="preserve">2/26/2013 guidance: </t>
        </r>
        <r>
          <rPr>
            <sz val="8"/>
            <color indexed="81"/>
            <rFont val="Tahoma"/>
            <family val="2"/>
          </rPr>
          <t xml:space="preserve">
-$10M y/y</t>
        </r>
      </text>
    </comment>
    <comment ref="AC10" authorId="4">
      <text>
        <r>
          <rPr>
            <b/>
            <sz val="8"/>
            <color indexed="81"/>
            <rFont val="Tahoma"/>
            <family val="2"/>
          </rPr>
          <t xml:space="preserve">2/25/14: </t>
        </r>
        <r>
          <rPr>
            <sz val="8"/>
            <color indexed="81"/>
            <rFont val="Tahoma"/>
            <family val="2"/>
          </rPr>
          <t>Guidance $1040M</t>
        </r>
        <r>
          <rPr>
            <sz val="8"/>
            <color indexed="81"/>
            <rFont val="Tahoma"/>
            <family val="2"/>
          </rPr>
          <t xml:space="preserve">
</t>
        </r>
      </text>
    </comment>
    <comment ref="AE10" authorId="5">
      <text>
        <r>
          <rPr>
            <b/>
            <sz val="9"/>
            <color indexed="81"/>
            <rFont val="Tahoma"/>
            <family val="2"/>
          </rPr>
          <t>Baglione, Gregory  (Research):</t>
        </r>
        <r>
          <rPr>
            <sz val="9"/>
            <color indexed="81"/>
            <rFont val="Tahoma"/>
            <family val="2"/>
          </rPr>
          <t xml:space="preserve">
11/10/16 
guidance: $1.055B
2/23/16
Expect Dep $1.7BDepreciation and amortization for the year is now estimated at approximately $1.055 billion. </t>
        </r>
      </text>
    </comment>
    <comment ref="AE11" authorId="6">
      <text>
        <r>
          <rPr>
            <b/>
            <sz val="9"/>
            <color indexed="81"/>
            <rFont val="Tahoma"/>
            <family val="2"/>
          </rPr>
          <t>Baglione, Gregory (Research):</t>
        </r>
        <r>
          <rPr>
            <sz val="9"/>
            <color indexed="81"/>
            <rFont val="Tahoma"/>
            <family val="2"/>
          </rPr>
          <t xml:space="preserve">
1/4/17
In conjunction with today’s announcement, approximately $250 million of charges or 50 cents per share (of which approximately $210 million is expected to be cash) are expected to be recorded in the fourth quarter of 2016. These charges were not previously included in earnings guidance provided by the company and are in addition to the $249 million recorded in the second quarter as an estimate of asset impairment and other charges primarily related to 2016 store closings.
(Editor’s Note: Macy’s, Inc. this afternoon also issued a separate news release announcing sales results for the November/December 2016 period and updating guidance.)</t>
        </r>
      </text>
    </comment>
    <comment ref="AF11" authorId="7">
      <text>
        <r>
          <rPr>
            <b/>
            <sz val="9"/>
            <color indexed="81"/>
            <rFont val="Tahoma"/>
            <family val="2"/>
          </rPr>
          <t>De Courreges, Edouard (Research):</t>
        </r>
        <r>
          <rPr>
            <sz val="9"/>
            <color indexed="81"/>
            <rFont val="Tahoma"/>
            <family val="2"/>
          </rPr>
          <t xml:space="preserve">
2/27/18: $544M gains on real estate</t>
        </r>
      </text>
    </comment>
    <comment ref="AB13" authorId="3">
      <text>
        <r>
          <rPr>
            <b/>
            <sz val="8"/>
            <color indexed="81"/>
            <rFont val="Tahoma"/>
            <family val="2"/>
          </rPr>
          <t xml:space="preserve">2/26/2013: </t>
        </r>
        <r>
          <rPr>
            <sz val="8"/>
            <color indexed="81"/>
            <rFont val="Tahoma"/>
            <family val="2"/>
          </rPr>
          <t>expect to make $150M pension contribution in FY13</t>
        </r>
      </text>
    </comment>
    <comment ref="AC13" authorId="5">
      <text>
        <r>
          <rPr>
            <sz val="9"/>
            <color indexed="81"/>
            <rFont val="Tahoma"/>
            <family val="2"/>
          </rPr>
          <t xml:space="preserve">
Impairements, SBC, Amortization of financing costs and premium acquired on debt</t>
        </r>
      </text>
    </comment>
    <comment ref="AD14" authorId="5">
      <text>
        <r>
          <rPr>
            <b/>
            <sz val="9"/>
            <color indexed="81"/>
            <rFont val="Tahoma"/>
            <family val="2"/>
          </rPr>
          <t>Baglione, Gregory  (Research):</t>
        </r>
        <r>
          <rPr>
            <sz val="9"/>
            <color indexed="81"/>
            <rFont val="Tahoma"/>
            <family val="2"/>
          </rPr>
          <t xml:space="preserve">
1/29/16
 Macy’s received $68 million in cash from the sale in the fourth quarter of 2015, with the remaining $202 million in cash to be received in fiscal 2016 and fiscal 2017.</t>
        </r>
      </text>
    </comment>
    <comment ref="AE14" authorId="5">
      <text>
        <r>
          <rPr>
            <b/>
            <sz val="9"/>
            <color indexed="81"/>
            <rFont val="Tahoma"/>
            <family val="2"/>
          </rPr>
          <t>Baglione, Gregory  (Research):</t>
        </r>
        <r>
          <rPr>
            <sz val="9"/>
            <color indexed="81"/>
            <rFont val="Tahoma"/>
            <family val="2"/>
          </rPr>
          <t xml:space="preserve">
1/29/16
 Macy’s received $68 million in cash from the sale in the fourth quarter of 2015, with the remaining $202 million in cash to be received in fiscal 2016 and fiscal 2017.
2/23/16
Expect $150M of asset sale gains in addition to $86M from Brooklyn</t>
        </r>
      </text>
    </comment>
    <comment ref="AF14" authorId="5">
      <text>
        <r>
          <rPr>
            <b/>
            <sz val="9"/>
            <color indexed="81"/>
            <rFont val="Tahoma"/>
            <family val="2"/>
          </rPr>
          <t>Baglione, Gregory  (Research):</t>
        </r>
        <r>
          <rPr>
            <sz val="9"/>
            <color indexed="81"/>
            <rFont val="Tahoma"/>
            <family val="2"/>
          </rPr>
          <t xml:space="preserve">
2/27/18: 411M cash proceeds from real estate
2/23/16
$86M from brooklyn</t>
        </r>
      </text>
    </comment>
    <comment ref="AG14" authorId="7">
      <text>
        <r>
          <rPr>
            <b/>
            <sz val="9"/>
            <color indexed="81"/>
            <rFont val="Tahoma"/>
            <family val="2"/>
          </rPr>
          <t>De Courreges, Edouard (Research):</t>
        </r>
        <r>
          <rPr>
            <sz val="9"/>
            <color indexed="81"/>
            <rFont val="Tahoma"/>
            <family val="2"/>
          </rPr>
          <t xml:space="preserve">
$340-370M expected cash proceeds from asset sales</t>
        </r>
      </text>
    </comment>
    <comment ref="AB16" authorId="4">
      <text>
        <r>
          <rPr>
            <b/>
            <sz val="8"/>
            <color indexed="81"/>
            <rFont val="Tahoma"/>
            <family val="2"/>
          </rPr>
          <t>duol:</t>
        </r>
        <r>
          <rPr>
            <sz val="8"/>
            <color indexed="81"/>
            <rFont val="Tahoma"/>
            <family val="2"/>
          </rPr>
          <t xml:space="preserve">
Increase in prepaid expense and other current assets</t>
        </r>
      </text>
    </comment>
    <comment ref="T19" authorId="3">
      <text>
        <r>
          <rPr>
            <b/>
            <sz val="8"/>
            <color indexed="81"/>
            <rFont val="Tahoma"/>
            <family val="2"/>
          </rPr>
          <t>Includes $5,321 for acquisition of May's</t>
        </r>
      </text>
    </comment>
    <comment ref="W19" authorId="0">
      <text>
        <r>
          <rPr>
            <b/>
            <sz val="8"/>
            <color indexed="81"/>
            <rFont val="Tahoma"/>
            <family val="2"/>
          </rPr>
          <t xml:space="preserve">Guidance: 8/13/08
</t>
        </r>
        <r>
          <rPr>
            <sz val="8"/>
            <color indexed="81"/>
            <rFont val="Tahoma"/>
            <family val="2"/>
          </rPr>
          <t>they are working hard to try and bring the number down to $950mm</t>
        </r>
        <r>
          <rPr>
            <b/>
            <sz val="8"/>
            <color indexed="81"/>
            <rFont val="Tahoma"/>
            <family val="2"/>
          </rPr>
          <t xml:space="preserve">
Guidance: 2/26/08
</t>
        </r>
        <r>
          <rPr>
            <sz val="8"/>
            <color indexed="81"/>
            <rFont val="Tahoma"/>
            <family val="2"/>
          </rPr>
          <t>$1Bn</t>
        </r>
        <r>
          <rPr>
            <b/>
            <sz val="8"/>
            <color indexed="81"/>
            <rFont val="Tahoma"/>
            <family val="2"/>
          </rPr>
          <t xml:space="preserve">
Guidance: 2/6/2008
</t>
        </r>
        <r>
          <rPr>
            <sz val="8"/>
            <color indexed="81"/>
            <rFont val="Tahoma"/>
            <family val="2"/>
          </rPr>
          <t>$1.1Bn</t>
        </r>
        <r>
          <rPr>
            <sz val="8"/>
            <color indexed="81"/>
            <rFont val="Tahoma"/>
            <family val="2"/>
          </rPr>
          <t xml:space="preserve">
</t>
        </r>
      </text>
    </comment>
    <comment ref="X19" authorId="1">
      <text>
        <r>
          <rPr>
            <b/>
            <sz val="8"/>
            <color indexed="81"/>
            <rFont val="Tahoma"/>
            <family val="2"/>
          </rPr>
          <t xml:space="preserve">Guidance: 8/12/2009
</t>
        </r>
        <r>
          <rPr>
            <sz val="8"/>
            <color indexed="81"/>
            <rFont val="Tahoma"/>
            <family val="2"/>
          </rPr>
          <t>reiterate $450M (think they can ultimately get back to $800M in the long-run)</t>
        </r>
        <r>
          <rPr>
            <b/>
            <sz val="8"/>
            <color indexed="81"/>
            <rFont val="Tahoma"/>
            <family val="2"/>
          </rPr>
          <t xml:space="preserve">
Guidance: 2/24/2009
</t>
        </r>
        <r>
          <rPr>
            <sz val="8"/>
            <color indexed="81"/>
            <rFont val="Tahoma"/>
            <family val="2"/>
          </rPr>
          <t xml:space="preserve">reiterate $450M
</t>
        </r>
        <r>
          <rPr>
            <b/>
            <sz val="8"/>
            <color indexed="81"/>
            <rFont val="Tahoma"/>
            <family val="2"/>
          </rPr>
          <t xml:space="preserve">
Guidance: 11/12/3008
</t>
        </r>
        <r>
          <rPr>
            <sz val="8"/>
            <color indexed="81"/>
            <rFont val="Tahoma"/>
            <family val="2"/>
          </rPr>
          <t>Reduced budget to $450mm (new reduction coming mainly from re-models)</t>
        </r>
        <r>
          <rPr>
            <b/>
            <sz val="8"/>
            <color indexed="81"/>
            <rFont val="Tahoma"/>
            <family val="2"/>
          </rPr>
          <t xml:space="preserve">
Guidance: 11/12/3008
</t>
        </r>
        <r>
          <rPr>
            <sz val="8"/>
            <color indexed="81"/>
            <rFont val="Tahoma"/>
            <family val="2"/>
          </rPr>
          <t>Reduced budget from ~$1Bn to $550mm-$600mm</t>
        </r>
      </text>
    </comment>
    <comment ref="Y19" authorId="1">
      <text>
        <r>
          <rPr>
            <b/>
            <sz val="8"/>
            <color indexed="81"/>
            <rFont val="Tahoma"/>
            <family val="2"/>
          </rPr>
          <t xml:space="preserve">Guidance: 8/11/2010
</t>
        </r>
        <r>
          <rPr>
            <sz val="8"/>
            <color indexed="81"/>
            <rFont val="Tahoma"/>
            <family val="2"/>
          </rPr>
          <t>1) Reiterates $550M in 2010</t>
        </r>
        <r>
          <rPr>
            <b/>
            <sz val="8"/>
            <color indexed="81"/>
            <rFont val="Tahoma"/>
            <family val="2"/>
          </rPr>
          <t xml:space="preserve">
Guidance: 2/22/2010</t>
        </r>
        <r>
          <rPr>
            <sz val="8"/>
            <color indexed="81"/>
            <rFont val="Tahoma"/>
            <family val="2"/>
          </rPr>
          <t xml:space="preserve">
1) $550mn in 2010, which includes capitalized software
2) Reiterates $800mn by 2012</t>
        </r>
        <r>
          <rPr>
            <b/>
            <sz val="8"/>
            <color indexed="81"/>
            <rFont val="Tahoma"/>
            <family val="2"/>
          </rPr>
          <t xml:space="preserve">
Guidance: 8/12/2009
</t>
        </r>
        <r>
          <rPr>
            <sz val="8"/>
            <color indexed="81"/>
            <rFont val="Tahoma"/>
            <family val="2"/>
          </rPr>
          <t>Thinks they can ultimately get back to $800M in the long-run</t>
        </r>
        <r>
          <rPr>
            <b/>
            <sz val="8"/>
            <color indexed="81"/>
            <rFont val="Tahoma"/>
            <family val="2"/>
          </rPr>
          <t xml:space="preserve">
</t>
        </r>
      </text>
    </comment>
    <comment ref="Z19" authorId="1">
      <text>
        <r>
          <rPr>
            <b/>
            <sz val="8"/>
            <color indexed="81"/>
            <rFont val="Tahoma"/>
            <family val="2"/>
          </rPr>
          <t xml:space="preserve">Guidance 8/10/11:
</t>
        </r>
        <r>
          <rPr>
            <sz val="8"/>
            <color indexed="81"/>
            <rFont val="Tahoma"/>
            <family val="2"/>
          </rPr>
          <t>Reiterate $800 million of Capex in 2011</t>
        </r>
        <r>
          <rPr>
            <b/>
            <sz val="8"/>
            <color indexed="81"/>
            <rFont val="Tahoma"/>
            <family val="2"/>
          </rPr>
          <t xml:space="preserve">
Guidance: 2/22/2011
</t>
        </r>
        <r>
          <rPr>
            <sz val="8"/>
            <color indexed="81"/>
            <rFont val="Tahoma"/>
            <family val="2"/>
          </rPr>
          <t>1) $800 million of Capex in 2011</t>
        </r>
        <r>
          <rPr>
            <b/>
            <sz val="8"/>
            <color indexed="81"/>
            <rFont val="Tahoma"/>
            <family val="2"/>
          </rPr>
          <t xml:space="preserve">
-</t>
        </r>
        <r>
          <rPr>
            <sz val="8"/>
            <color indexed="81"/>
            <rFont val="Tahoma"/>
            <family val="2"/>
          </rPr>
          <t>IR: 20% Direct to Consumer including fullfillment center = $160M
-Tech spend in line with $100-$170M over past few yrs = MS est $170M
-Effectively no new store growth (3 Bloom outlets)  = MS est $10M
-"Large majority" of remainder is remodels = $800-$340 = $460M</t>
        </r>
        <r>
          <rPr>
            <b/>
            <sz val="8"/>
            <color indexed="81"/>
            <rFont val="Tahoma"/>
            <family val="2"/>
          </rPr>
          <t xml:space="preserve">
Guidance: 11/10/2010
</t>
        </r>
        <r>
          <rPr>
            <sz val="8"/>
            <color indexed="81"/>
            <rFont val="Tahoma"/>
            <family val="2"/>
          </rPr>
          <t xml:space="preserve">1) $800 million of Capex in 2011; 20% for "Direct to Consumer Business" includes distribution center build as well as technology investment
</t>
        </r>
        <r>
          <rPr>
            <b/>
            <sz val="8"/>
            <color indexed="81"/>
            <rFont val="Tahoma"/>
            <family val="2"/>
          </rPr>
          <t xml:space="preserve">Guidance: 8/11/2010
</t>
        </r>
        <r>
          <rPr>
            <sz val="8"/>
            <color indexed="81"/>
            <rFont val="Tahoma"/>
            <family val="2"/>
          </rPr>
          <t>1) Reiterates $800mn by 2012
2) Hints at taking 2011 up to $800M</t>
        </r>
        <r>
          <rPr>
            <b/>
            <sz val="8"/>
            <color indexed="81"/>
            <rFont val="Tahoma"/>
            <family val="2"/>
          </rPr>
          <t xml:space="preserve">
Guidance: 2/22/2010</t>
        </r>
        <r>
          <rPr>
            <sz val="8"/>
            <color indexed="81"/>
            <rFont val="Tahoma"/>
            <family val="2"/>
          </rPr>
          <t xml:space="preserve">
1) Reiterates $800mn by 2012</t>
        </r>
        <r>
          <rPr>
            <b/>
            <sz val="8"/>
            <color indexed="81"/>
            <rFont val="Tahoma"/>
            <family val="2"/>
          </rPr>
          <t xml:space="preserve">
Guidance: 8/12/2009
</t>
        </r>
        <r>
          <rPr>
            <sz val="8"/>
            <color indexed="81"/>
            <rFont val="Tahoma"/>
            <family val="2"/>
          </rPr>
          <t>Thinks they can ultimately get back to $800M in the long-run</t>
        </r>
        <r>
          <rPr>
            <b/>
            <sz val="8"/>
            <color indexed="81"/>
            <rFont val="Tahoma"/>
            <family val="2"/>
          </rPr>
          <t xml:space="preserve">
</t>
        </r>
      </text>
    </comment>
    <comment ref="AA19" authorId="1">
      <text>
        <r>
          <rPr>
            <b/>
            <sz val="8"/>
            <color indexed="81"/>
            <rFont val="Tahoma"/>
            <family val="2"/>
          </rPr>
          <t xml:space="preserve">Guidance 5/9/2012
</t>
        </r>
        <r>
          <rPr>
            <sz val="8"/>
            <color indexed="81"/>
            <rFont val="Tahoma"/>
            <family val="2"/>
          </rPr>
          <t>$950M, $100M increase related to $100M acquisition of 2 parcels in San Fran in 1Q</t>
        </r>
        <r>
          <rPr>
            <b/>
            <sz val="8"/>
            <color indexed="81"/>
            <rFont val="Tahoma"/>
            <family val="2"/>
          </rPr>
          <t xml:space="preserve">
Guidance 2/21/12
</t>
        </r>
        <r>
          <rPr>
            <sz val="8"/>
            <color indexed="81"/>
            <rFont val="Tahoma"/>
            <family val="2"/>
          </rPr>
          <t>- $850M</t>
        </r>
        <r>
          <rPr>
            <b/>
            <sz val="8"/>
            <color indexed="81"/>
            <rFont val="Tahoma"/>
            <family val="2"/>
          </rPr>
          <t xml:space="preserve">
Commentary 11/9/11:
</t>
        </r>
        <r>
          <rPr>
            <sz val="8"/>
            <color indexed="81"/>
            <rFont val="Tahoma"/>
            <family val="2"/>
          </rPr>
          <t>1) Target $800-850 includes Herald Square renovation
2) Could go higher than $800-$850 given higher EBITDA to invest, but will not exceed $900MM</t>
        </r>
        <r>
          <rPr>
            <b/>
            <sz val="8"/>
            <color indexed="81"/>
            <rFont val="Tahoma"/>
            <family val="2"/>
          </rPr>
          <t xml:space="preserve">
Note 11/2/11: </t>
        </r>
        <r>
          <rPr>
            <sz val="8"/>
            <color indexed="81"/>
            <rFont val="Tahoma"/>
            <family val="2"/>
          </rPr>
          <t>$400MM investment in 34th Street store from Spring '12 - 2015, already included in 2012 guidance</t>
        </r>
        <r>
          <rPr>
            <b/>
            <sz val="8"/>
            <color indexed="81"/>
            <rFont val="Tahoma"/>
            <family val="2"/>
          </rPr>
          <t xml:space="preserve">
: 2/22/2010</t>
        </r>
        <r>
          <rPr>
            <sz val="8"/>
            <color indexed="81"/>
            <rFont val="Tahoma"/>
            <family val="2"/>
          </rPr>
          <t xml:space="preserve">
1) Reiterates $800mn by 2012</t>
        </r>
        <r>
          <rPr>
            <b/>
            <sz val="8"/>
            <color indexed="81"/>
            <rFont val="Tahoma"/>
            <family val="2"/>
          </rPr>
          <t xml:space="preserve">
Guidance: 8/12/2009
</t>
        </r>
        <r>
          <rPr>
            <sz val="8"/>
            <color indexed="81"/>
            <rFont val="Tahoma"/>
            <family val="2"/>
          </rPr>
          <t>Thinks they can ultimately get back to $800M in the long-run</t>
        </r>
        <r>
          <rPr>
            <b/>
            <sz val="8"/>
            <color indexed="81"/>
            <rFont val="Tahoma"/>
            <family val="2"/>
          </rPr>
          <t xml:space="preserve">
</t>
        </r>
      </text>
    </comment>
    <comment ref="AB19" authorId="3">
      <text>
        <r>
          <rPr>
            <b/>
            <sz val="8"/>
            <color indexed="81"/>
            <rFont val="Tahoma"/>
            <family val="2"/>
          </rPr>
          <t xml:space="preserve">8/15/2013: reaffirmed $925M guidance
5/15/2013: </t>
        </r>
        <r>
          <rPr>
            <sz val="8"/>
            <color indexed="81"/>
            <rFont val="Tahoma"/>
            <family val="2"/>
          </rPr>
          <t>$925M</t>
        </r>
        <r>
          <rPr>
            <b/>
            <sz val="8"/>
            <color indexed="81"/>
            <rFont val="Tahoma"/>
            <family val="2"/>
          </rPr>
          <t xml:space="preserve">
2/26/2013 guidance:</t>
        </r>
        <r>
          <rPr>
            <sz val="8"/>
            <color indexed="81"/>
            <rFont val="Tahoma"/>
            <family val="2"/>
          </rPr>
          <t xml:space="preserve"> $925M</t>
        </r>
        <r>
          <rPr>
            <b/>
            <sz val="8"/>
            <color indexed="81"/>
            <rFont val="Tahoma"/>
            <family val="2"/>
          </rPr>
          <t xml:space="preserve">
5/9/2012 Guidance 
~</t>
        </r>
        <r>
          <rPr>
            <sz val="8"/>
            <color indexed="81"/>
            <rFont val="Tahoma"/>
            <family val="2"/>
          </rPr>
          <t>$900M expected for 2013+</t>
        </r>
        <r>
          <rPr>
            <b/>
            <sz val="8"/>
            <color indexed="81"/>
            <rFont val="Tahoma"/>
            <family val="2"/>
          </rPr>
          <t xml:space="preserve">
Commentary 11/9/11:</t>
        </r>
        <r>
          <rPr>
            <sz val="8"/>
            <color indexed="81"/>
            <rFont val="Tahoma"/>
            <family val="2"/>
          </rPr>
          <t xml:space="preserve">
1) Target $800-850 includes Herald Square rennovation
2) Could go higher than $800-$850 given higher EBITDA to invest, but will not exceed $900MM
</t>
        </r>
        <r>
          <rPr>
            <b/>
            <sz val="8"/>
            <color indexed="81"/>
            <rFont val="Tahoma"/>
            <family val="2"/>
          </rPr>
          <t xml:space="preserve">
Note 11/2/11: $400MM investment in 34th Street store from Spring '12 - 2015, already included in 2012 guidance</t>
        </r>
        <r>
          <rPr>
            <sz val="8"/>
            <color indexed="81"/>
            <rFont val="Tahoma"/>
            <family val="2"/>
          </rPr>
          <t xml:space="preserve">
</t>
        </r>
      </text>
    </comment>
    <comment ref="AC19" authorId="3">
      <text>
        <r>
          <rPr>
            <b/>
            <sz val="8"/>
            <color indexed="81"/>
            <rFont val="Tahoma"/>
            <family val="2"/>
          </rPr>
          <t>2/3/15: announced purchase of Bluemercury for $210M in cash; expected to close 1Q15; expected to be accretive FY16
2/25/13:</t>
        </r>
        <r>
          <rPr>
            <sz val="8"/>
            <color indexed="81"/>
            <rFont val="Tahoma"/>
            <family val="2"/>
          </rPr>
          <t xml:space="preserve"> guidance $1050M</t>
        </r>
        <r>
          <rPr>
            <b/>
            <sz val="8"/>
            <color indexed="81"/>
            <rFont val="Tahoma"/>
            <family val="2"/>
          </rPr>
          <t xml:space="preserve">
5/15/2013: </t>
        </r>
        <r>
          <rPr>
            <sz val="8"/>
            <color indexed="81"/>
            <rFont val="Tahoma"/>
            <family val="2"/>
          </rPr>
          <t>expect</t>
        </r>
        <r>
          <rPr>
            <b/>
            <sz val="8"/>
            <color indexed="81"/>
            <rFont val="Tahoma"/>
            <family val="2"/>
          </rPr>
          <t xml:space="preserve"> </t>
        </r>
        <r>
          <rPr>
            <sz val="8"/>
            <color indexed="81"/>
            <rFont val="Tahoma"/>
            <family val="2"/>
          </rPr>
          <t>$925M-$1Bn over mid-term</t>
        </r>
        <r>
          <rPr>
            <b/>
            <sz val="8"/>
            <color indexed="81"/>
            <rFont val="Tahoma"/>
            <family val="2"/>
          </rPr>
          <t xml:space="preserve">
Commentary 11/9/11:</t>
        </r>
        <r>
          <rPr>
            <sz val="8"/>
            <color indexed="81"/>
            <rFont val="Tahoma"/>
            <family val="2"/>
          </rPr>
          <t xml:space="preserve">
1) Target $800-850 includes Herald Square rennovation
2) Could go higher than $800-$850 given higher EBITDA to invest, but will not exceed $900MM
Note 11/2/11: $400MM investment in 34th Street store from Spring '12 - 2015, already included in 2012 guidance</t>
        </r>
      </text>
    </comment>
    <comment ref="AD19" authorId="3">
      <text>
        <r>
          <rPr>
            <b/>
            <sz val="8"/>
            <color indexed="81"/>
            <rFont val="Tahoma"/>
            <family val="2"/>
          </rPr>
          <t xml:space="preserve">Commentary 11/9/11:
</t>
        </r>
        <r>
          <rPr>
            <sz val="8"/>
            <color indexed="81"/>
            <rFont val="Tahoma"/>
            <family val="2"/>
          </rPr>
          <t xml:space="preserve">1) Target $800-850 includes Herald Square rennovation
2) Could go higher than $800-$850 given higher EBITDA to invest, but will not exceed $900MM
</t>
        </r>
        <r>
          <rPr>
            <b/>
            <sz val="8"/>
            <color indexed="81"/>
            <rFont val="Tahoma"/>
            <family val="2"/>
          </rPr>
          <t xml:space="preserve">
Note 11/2/11: </t>
        </r>
        <r>
          <rPr>
            <sz val="8"/>
            <color indexed="81"/>
            <rFont val="Tahoma"/>
            <family val="2"/>
          </rPr>
          <t>$400MM investment in 34th Street store from Spring '12 - 2015, already included in 2012 guidance</t>
        </r>
      </text>
    </comment>
    <comment ref="AE19" authorId="5">
      <text>
        <r>
          <rPr>
            <b/>
            <sz val="9"/>
            <color indexed="81"/>
            <rFont val="Tahoma"/>
            <family val="2"/>
          </rPr>
          <t>Baglione, Gregory  (Research):</t>
        </r>
        <r>
          <rPr>
            <sz val="9"/>
            <color indexed="81"/>
            <rFont val="Tahoma"/>
            <family val="2"/>
          </rPr>
          <t xml:space="preserve">
11/11/15
Macy's, Inc. will reduce capital spending to less than $1 billion in 2016 from the $1.2 billion expected in 2015
Reducing CapEx to $1B from $1.2B
2/23/16
Guidance $900M
8/11/16
$900M guidance unchanged
11/10/16 $900M  guidance unchanged</t>
        </r>
      </text>
    </comment>
    <comment ref="AF19" authorId="5">
      <text>
        <r>
          <rPr>
            <b/>
            <sz val="9"/>
            <color indexed="81"/>
            <rFont val="Tahoma"/>
            <family val="2"/>
          </rPr>
          <t>Baglione, Gregory  (Research):</t>
        </r>
        <r>
          <rPr>
            <sz val="9"/>
            <color indexed="81"/>
            <rFont val="Tahoma"/>
            <family val="2"/>
          </rPr>
          <t xml:space="preserve">
5/11/17: 900M reiterated
2/21/17: guidance ~$900M
11/11/15
Macy's, Inc. will reduce capital spending to less than $1 billion in 2016 from the $1.2 billion expected in 2015</t>
        </r>
      </text>
    </comment>
    <comment ref="AG19" authorId="7">
      <text>
        <r>
          <rPr>
            <b/>
            <sz val="9"/>
            <color indexed="81"/>
            <rFont val="Tahoma"/>
            <family val="2"/>
          </rPr>
          <t>De Courreges, Edouard (Research):</t>
        </r>
        <r>
          <rPr>
            <sz val="9"/>
            <color indexed="81"/>
            <rFont val="Tahoma"/>
            <family val="2"/>
          </rPr>
          <t xml:space="preserve">
2/27: 1B capex ongoing +$50M 2018 due to Union Sq and State St</t>
        </r>
      </text>
    </comment>
    <comment ref="AB24" authorId="4">
      <text>
        <r>
          <rPr>
            <b/>
            <sz val="8"/>
            <color indexed="81"/>
            <rFont val="Tahoma"/>
            <family val="2"/>
          </rPr>
          <t>duol:</t>
        </r>
        <r>
          <rPr>
            <sz val="8"/>
            <color indexed="81"/>
            <rFont val="Tahoma"/>
            <family val="2"/>
          </rPr>
          <t xml:space="preserve">
Other, net CF from investing activities</t>
        </r>
      </text>
    </comment>
    <comment ref="AE30" authorId="7">
      <text>
        <r>
          <rPr>
            <b/>
            <sz val="9"/>
            <color indexed="81"/>
            <rFont val="Tahoma"/>
            <family val="2"/>
          </rPr>
          <t>De Courreges, Edouard (Research):</t>
        </r>
        <r>
          <rPr>
            <sz val="9"/>
            <color indexed="81"/>
            <rFont val="Tahoma"/>
            <family val="2"/>
          </rPr>
          <t xml:space="preserve">
includes 7.3 plug until 10-k issued</t>
        </r>
      </text>
    </comment>
    <comment ref="AF30" authorId="7">
      <text>
        <r>
          <rPr>
            <b/>
            <sz val="9"/>
            <color indexed="81"/>
            <rFont val="Tahoma"/>
            <family val="2"/>
          </rPr>
          <t>De Courreges, Edouard (Research):</t>
        </r>
        <r>
          <rPr>
            <sz val="9"/>
            <color indexed="81"/>
            <rFont val="Tahoma"/>
            <family val="2"/>
          </rPr>
          <t xml:space="preserve">
Includes 19M plug until release of 10k</t>
        </r>
      </text>
    </comment>
    <comment ref="AA37" authorId="3">
      <text>
        <r>
          <rPr>
            <b/>
            <sz val="8"/>
            <color indexed="81"/>
            <rFont val="Tahoma"/>
            <family val="2"/>
          </rPr>
          <t xml:space="preserve">11/14/12: </t>
        </r>
        <r>
          <rPr>
            <sz val="8"/>
            <color indexed="81"/>
            <rFont val="Tahoma"/>
            <family val="2"/>
          </rPr>
          <t>$1Bn of debt raised for debt tender (see debt tab for details)</t>
        </r>
      </text>
    </comment>
    <comment ref="Y38" authorId="2">
      <text>
        <r>
          <rPr>
            <b/>
            <sz val="8"/>
            <color indexed="81"/>
            <rFont val="Tahoma"/>
            <family val="2"/>
          </rPr>
          <t xml:space="preserve">Guidance 3/31/10:
</t>
        </r>
        <r>
          <rPr>
            <sz val="8"/>
            <color indexed="81"/>
            <rFont val="Tahoma"/>
            <family val="2"/>
          </rPr>
          <t>1) M announces $500M repurchase of debtin 1Q10 in accordance w/strategy to reduce debt early that matures over next 3 years
2) $76.1M due June 1, $150M due Nov 1</t>
        </r>
        <r>
          <rPr>
            <b/>
            <sz val="8"/>
            <color indexed="81"/>
            <rFont val="Tahoma"/>
            <family val="2"/>
          </rPr>
          <t xml:space="preserve">
Guidance 2/22/10 (IR):
</t>
        </r>
        <r>
          <rPr>
            <sz val="8"/>
            <color indexed="81"/>
            <rFont val="Tahoma"/>
            <family val="2"/>
          </rPr>
          <t>$238mn due in 2010, consistent with 10K 2008</t>
        </r>
        <r>
          <rPr>
            <b/>
            <sz val="8"/>
            <color indexed="81"/>
            <rFont val="Tahoma"/>
            <family val="2"/>
          </rPr>
          <t xml:space="preserve">
Factset 12/14/09: </t>
        </r>
        <r>
          <rPr>
            <sz val="8"/>
            <color indexed="81"/>
            <rFont val="Tahoma"/>
            <family val="2"/>
          </rPr>
          <t>$227M in 2010</t>
        </r>
        <r>
          <rPr>
            <sz val="8"/>
            <color indexed="81"/>
            <rFont val="Tahoma"/>
            <family val="2"/>
          </rPr>
          <t xml:space="preserve">
</t>
        </r>
      </text>
    </comment>
    <comment ref="Z38" authorId="2">
      <text>
        <r>
          <rPr>
            <b/>
            <sz val="8"/>
            <color indexed="81"/>
            <rFont val="Tahoma"/>
            <family val="2"/>
          </rPr>
          <t xml:space="preserve">Comment 11/9/11:
</t>
        </r>
        <r>
          <rPr>
            <sz val="8"/>
            <color indexed="81"/>
            <rFont val="Tahoma"/>
            <family val="2"/>
          </rPr>
          <t>If FCF higher in 2012, opportunity to repurchase more stock, pay more dividend and pay down some debt.  Will use some cash to paydown debt and will refi some (Note: at YE10 2012 maturities were = ~$790MM)</t>
        </r>
        <r>
          <rPr>
            <b/>
            <sz val="8"/>
            <color indexed="81"/>
            <rFont val="Tahoma"/>
            <family val="2"/>
          </rPr>
          <t xml:space="preserve">
Guidance 2/22/11:
</t>
        </r>
        <r>
          <rPr>
            <sz val="8"/>
            <color indexed="81"/>
            <rFont val="Tahoma"/>
            <family val="2"/>
          </rPr>
          <t>$450M debt due in 2011</t>
        </r>
        <r>
          <rPr>
            <b/>
            <sz val="8"/>
            <color indexed="81"/>
            <rFont val="Tahoma"/>
            <family val="2"/>
          </rPr>
          <t xml:space="preserve">
1/31/11:
</t>
        </r>
        <r>
          <rPr>
            <sz val="8"/>
            <color indexed="81"/>
            <rFont val="Tahoma"/>
            <family val="2"/>
          </rPr>
          <t>M prepaid $170M and $41M of 6.625% senior notes and 7.45% senior debentures, respectively, in 2010.
Subtracting total of $211M from $650M debt due yields $439M due in 2011</t>
        </r>
        <r>
          <rPr>
            <b/>
            <sz val="8"/>
            <color indexed="81"/>
            <rFont val="Tahoma"/>
            <family val="2"/>
          </rPr>
          <t xml:space="preserve">
12/15/10:
</t>
        </r>
        <r>
          <rPr>
            <sz val="8"/>
            <color indexed="81"/>
            <rFont val="Tahoma"/>
            <family val="2"/>
          </rPr>
          <t>$650mn due in 2011, Factset</t>
        </r>
        <r>
          <rPr>
            <sz val="8"/>
            <color indexed="81"/>
            <rFont val="Tahoma"/>
            <family val="2"/>
          </rPr>
          <t xml:space="preserve">
</t>
        </r>
      </text>
    </comment>
    <comment ref="AA38" authorId="3">
      <text>
        <r>
          <rPr>
            <b/>
            <i/>
            <sz val="8"/>
            <color indexed="81"/>
            <rFont val="Tahoma"/>
            <family val="2"/>
          </rPr>
          <t>Note: $298M due Jan 2013</t>
        </r>
        <r>
          <rPr>
            <b/>
            <sz val="8"/>
            <color indexed="81"/>
            <rFont val="Tahoma"/>
            <family val="2"/>
          </rPr>
          <t xml:space="preserve">
11/28/2012: </t>
        </r>
        <r>
          <rPr>
            <sz val="8"/>
            <color indexed="81"/>
            <rFont val="Tahoma"/>
            <family val="2"/>
          </rPr>
          <t xml:space="preserve">$700M of debt tendered (details flowed through debt tab)
</t>
        </r>
        <r>
          <rPr>
            <b/>
            <sz val="8"/>
            <color indexed="81"/>
            <rFont val="Tahoma"/>
            <family val="2"/>
          </rPr>
          <t xml:space="preserve">11/13/2012: </t>
        </r>
        <r>
          <rPr>
            <sz val="8"/>
            <color indexed="81"/>
            <rFont val="Tahoma"/>
            <family val="2"/>
          </rPr>
          <t>debt tender lifted to $700M</t>
        </r>
        <r>
          <rPr>
            <b/>
            <sz val="8"/>
            <color indexed="81"/>
            <rFont val="Tahoma"/>
            <family val="2"/>
          </rPr>
          <t xml:space="preserve">
10/29/2012: </t>
        </r>
        <r>
          <rPr>
            <sz val="8"/>
            <color indexed="81"/>
            <rFont val="Tahoma"/>
            <family val="2"/>
          </rPr>
          <t xml:space="preserve">M announced cash tender for up to $500M in debt; tender expires 11/27/12; impact not currently included in the model 
</t>
        </r>
        <r>
          <rPr>
            <b/>
            <sz val="8"/>
            <color indexed="81"/>
            <rFont val="Tahoma"/>
            <family val="2"/>
          </rPr>
          <t>11/7/12 10Q:</t>
        </r>
        <r>
          <rPr>
            <sz val="8"/>
            <color indexed="81"/>
            <rFont val="Tahoma"/>
            <family val="2"/>
          </rPr>
          <t xml:space="preserve"> debt repaid $803M</t>
        </r>
      </text>
    </comment>
    <comment ref="AF38" authorId="7">
      <text>
        <r>
          <rPr>
            <b/>
            <sz val="9"/>
            <color indexed="81"/>
            <rFont val="Tahoma"/>
            <family val="2"/>
          </rPr>
          <t xml:space="preserve">De Courreges, Edouard (Research):
2/27/18: 950M of debt repaid
</t>
        </r>
        <r>
          <rPr>
            <sz val="9"/>
            <color indexed="81"/>
            <rFont val="Tahoma"/>
            <family val="2"/>
          </rPr>
          <t xml:space="preserve">
8/10/17:The </t>
        </r>
        <r>
          <rPr>
            <b/>
            <sz val="9"/>
            <color indexed="81"/>
            <rFont val="Tahoma"/>
            <family val="2"/>
          </rPr>
          <t>company repurchased approximately $101 million face value</t>
        </r>
        <r>
          <rPr>
            <sz val="9"/>
            <color indexed="81"/>
            <rFont val="Tahoma"/>
            <family val="2"/>
          </rPr>
          <t xml:space="preserve"> of senior notes and debentures in the second quarter of 2017. The debt repurchases were made
in the open market for a total cost of approximately $108 million, including
expenses related to the transactions.
5/11/17: 146 debt payment  face value of 2037 notes + 3M premium</t>
        </r>
      </text>
    </comment>
    <comment ref="AD40" authorId="5">
      <text>
        <r>
          <rPr>
            <b/>
            <sz val="9"/>
            <color indexed="81"/>
            <rFont val="Tahoma"/>
            <family val="2"/>
          </rPr>
          <t>Baglione, Gregory  (Research):</t>
        </r>
        <r>
          <rPr>
            <sz val="9"/>
            <color indexed="81"/>
            <rFont val="Tahoma"/>
            <family val="2"/>
          </rPr>
          <t xml:space="preserve">
$212M BM acq</t>
        </r>
      </text>
    </comment>
    <comment ref="AF40" authorId="7">
      <text>
        <r>
          <rPr>
            <b/>
            <sz val="9"/>
            <color indexed="81"/>
            <rFont val="Tahoma"/>
            <family val="2"/>
          </rPr>
          <t>De Courreges, Edouard (Research):</t>
        </r>
        <r>
          <rPr>
            <sz val="9"/>
            <color indexed="81"/>
            <rFont val="Tahoma"/>
            <family val="2"/>
          </rPr>
          <t xml:space="preserve">
-$1M Financing costs
$13M Proceeds from NCI
-$24M other, net</t>
        </r>
      </text>
    </comment>
    <comment ref="W41" authorId="8">
      <text>
        <r>
          <rPr>
            <b/>
            <sz val="8"/>
            <color indexed="81"/>
            <rFont val="Tahoma"/>
            <family val="2"/>
          </rPr>
          <t xml:space="preserve">Comment: 8/12/2009
</t>
        </r>
        <r>
          <rPr>
            <sz val="8"/>
            <color indexed="81"/>
            <rFont val="Tahoma"/>
            <family val="2"/>
          </rPr>
          <t>Mgmt said they still do not plan to buy back stock or pay dividendsin the near-term, will use cash to pay back debt for now</t>
        </r>
        <r>
          <rPr>
            <b/>
            <sz val="8"/>
            <color indexed="81"/>
            <rFont val="Tahoma"/>
            <family val="2"/>
          </rPr>
          <t xml:space="preserve">
Comment: 2/26/2008
</t>
        </r>
        <r>
          <rPr>
            <sz val="8"/>
            <color indexed="81"/>
            <rFont val="Tahoma"/>
            <family val="2"/>
          </rPr>
          <t>Mgmt does not plan to buy back stock until they see a change in sales trends.
11/14/2007: $870 in FY08 completes the authorization remaining after 3Q07</t>
        </r>
      </text>
    </comment>
    <comment ref="X41" authorId="0">
      <text>
        <r>
          <rPr>
            <b/>
            <sz val="8"/>
            <color indexed="81"/>
            <rFont val="Tahoma"/>
            <family val="2"/>
          </rPr>
          <t xml:space="preserve">Comment: 2/26/2008
</t>
        </r>
        <r>
          <rPr>
            <sz val="8"/>
            <color indexed="81"/>
            <rFont val="Tahoma"/>
            <family val="2"/>
          </rPr>
          <t>Mgmt does not plan to buyback stock until sales trends improve</t>
        </r>
        <r>
          <rPr>
            <sz val="8"/>
            <color indexed="81"/>
            <rFont val="Tahoma"/>
            <family val="2"/>
          </rPr>
          <t xml:space="preserve">
</t>
        </r>
      </text>
    </comment>
    <comment ref="Y41" authorId="0">
      <text>
        <r>
          <rPr>
            <b/>
            <sz val="8"/>
            <color indexed="81"/>
            <rFont val="Tahoma"/>
            <family val="2"/>
          </rPr>
          <t xml:space="preserve">Guidance 4/27/2010:
</t>
        </r>
        <r>
          <rPr>
            <sz val="8"/>
            <color indexed="81"/>
            <rFont val="Tahoma"/>
            <family val="2"/>
          </rPr>
          <t xml:space="preserve">Focus on becoming investment grade credit so assume no buyback for forseeable future
</t>
        </r>
        <r>
          <rPr>
            <b/>
            <sz val="8"/>
            <color indexed="81"/>
            <rFont val="Tahoma"/>
            <family val="2"/>
          </rPr>
          <t xml:space="preserve">
Comment: 2/26/2008
</t>
        </r>
        <r>
          <rPr>
            <sz val="8"/>
            <color indexed="81"/>
            <rFont val="Tahoma"/>
            <family val="2"/>
          </rPr>
          <t>Mgmt does not plan to buyback stock until sales trends improve</t>
        </r>
        <r>
          <rPr>
            <sz val="8"/>
            <color indexed="81"/>
            <rFont val="Tahoma"/>
            <family val="2"/>
          </rPr>
          <t xml:space="preserve">
</t>
        </r>
      </text>
    </comment>
    <comment ref="Z41" authorId="2">
      <text>
        <r>
          <rPr>
            <b/>
            <sz val="8"/>
            <color indexed="81"/>
            <rFont val="Tahoma"/>
            <family val="2"/>
          </rPr>
          <t xml:space="preserve">Comment 11/9/11:
</t>
        </r>
        <r>
          <rPr>
            <sz val="8"/>
            <color indexed="81"/>
            <rFont val="Tahoma"/>
            <family val="2"/>
          </rPr>
          <t>Holding off on significant repurchase until after cash comes in from Holiday sales</t>
        </r>
        <r>
          <rPr>
            <b/>
            <sz val="8"/>
            <color indexed="81"/>
            <rFont val="Tahoma"/>
            <family val="2"/>
          </rPr>
          <t xml:space="preserve">
Comment 8/10/11:
</t>
        </r>
        <r>
          <rPr>
            <sz val="8"/>
            <color indexed="81"/>
            <rFont val="Tahoma"/>
            <family val="2"/>
          </rPr>
          <t>M achieved target credit metrics by 2Q; opens door to buy back stock in fall (after holiday season; MS assumes Jan)</t>
        </r>
        <r>
          <rPr>
            <b/>
            <sz val="8"/>
            <color indexed="81"/>
            <rFont val="Tahoma"/>
            <family val="2"/>
          </rPr>
          <t xml:space="preserve">
Comment 5/11/11:
</t>
        </r>
        <r>
          <rPr>
            <sz val="8"/>
            <color indexed="81"/>
            <rFont val="Tahoma"/>
            <family val="2"/>
          </rPr>
          <t>M suggests willing to buyback stock before it receives an inv grade credit rating (targeting around the end of yr for upgrade, though subject to rating agencies)</t>
        </r>
        <r>
          <rPr>
            <b/>
            <sz val="8"/>
            <color indexed="81"/>
            <rFont val="Tahoma"/>
            <family val="2"/>
          </rPr>
          <t xml:space="preserve">
Comment 3/9/11 Conference:
</t>
        </r>
        <r>
          <rPr>
            <sz val="8"/>
            <color indexed="81"/>
            <rFont val="Tahoma"/>
            <family val="2"/>
          </rPr>
          <t xml:space="preserve">We assume $150M based on mgmt commentary that buyback increasingly likely in not too distant future
</t>
        </r>
      </text>
    </comment>
    <comment ref="AB41" authorId="3">
      <text>
        <r>
          <rPr>
            <b/>
            <sz val="8"/>
            <color indexed="81"/>
            <rFont val="Tahoma"/>
            <family val="2"/>
          </rPr>
          <t xml:space="preserve">8/15/2013: </t>
        </r>
        <r>
          <rPr>
            <sz val="8"/>
            <color indexed="81"/>
            <rFont val="Tahoma"/>
            <family val="2"/>
          </rPr>
          <t>repo'd $446.7M(9.2M shares) in 2Q. 1H13 total: $806.5M(17.5M shares). $2.2B remaining authorization</t>
        </r>
        <r>
          <rPr>
            <b/>
            <sz val="8"/>
            <color indexed="81"/>
            <rFont val="Tahoma"/>
            <family val="2"/>
          </rPr>
          <t xml:space="preserve">
5/15/2013: </t>
        </r>
        <r>
          <rPr>
            <sz val="8"/>
            <color indexed="81"/>
            <rFont val="Tahoma"/>
            <family val="2"/>
          </rPr>
          <t>repo'd $360M (or 8.4M shares) in 1Q</t>
        </r>
      </text>
    </comment>
    <comment ref="AC41" authorId="9">
      <text>
        <r>
          <rPr>
            <b/>
            <sz val="9"/>
            <color indexed="81"/>
            <rFont val="Tahoma"/>
            <family val="2"/>
          </rPr>
          <t xml:space="preserve">5/14/14: </t>
        </r>
        <r>
          <rPr>
            <sz val="9"/>
            <color indexed="81"/>
            <rFont val="Tahoma"/>
            <family val="2"/>
          </rPr>
          <t xml:space="preserve">Increased share repo by $1.5B. Has $2.5B remaining as of May 3, 2014
</t>
        </r>
      </text>
    </comment>
    <comment ref="AD41" authorId="5">
      <text>
        <r>
          <rPr>
            <b/>
            <sz val="9"/>
            <color indexed="81"/>
            <rFont val="Tahoma"/>
            <family val="2"/>
          </rPr>
          <t>Baglione, Gregory  (Research):</t>
        </r>
        <r>
          <rPr>
            <sz val="9"/>
            <color indexed="81"/>
            <rFont val="Tahoma"/>
            <family val="2"/>
          </rPr>
          <t xml:space="preserve">
11/11/15
$1.84b Repurchaes YTD
tentatively increasing to $2.1B</t>
        </r>
      </text>
    </comment>
    <comment ref="AE41" authorId="5">
      <text>
        <r>
          <rPr>
            <b/>
            <sz val="9"/>
            <color indexed="81"/>
            <rFont val="Tahoma"/>
            <family val="2"/>
          </rPr>
          <t>Baglione, Gregory  (Research):</t>
        </r>
        <r>
          <rPr>
            <sz val="9"/>
            <color indexed="81"/>
            <rFont val="Tahoma"/>
            <family val="2"/>
          </rPr>
          <t xml:space="preserve">
Lower our buyback assumption from $1.5B to $1B
5/11/16
Cutting buyback to $750M due to lower than expected operating income and cash balance</t>
        </r>
      </text>
    </comment>
    <comment ref="AF41" authorId="5">
      <text>
        <r>
          <rPr>
            <b/>
            <sz val="9"/>
            <color indexed="81"/>
            <rFont val="Tahoma"/>
            <family val="2"/>
          </rPr>
          <t>Baglione, Gregory  (Research):</t>
        </r>
        <r>
          <rPr>
            <sz val="9"/>
            <color indexed="81"/>
            <rFont val="Tahoma"/>
            <family val="2"/>
          </rPr>
          <t xml:space="preserve">
21/2/17
We also are not assuming that we will buy back any stock in 2017
1/4/17
Lower buybacks to $600M from $900-$1B given recent operating trends
</t>
        </r>
      </text>
    </comment>
    <comment ref="AA42" authorId="3">
      <text>
        <r>
          <rPr>
            <b/>
            <sz val="8"/>
            <color indexed="81"/>
            <rFont val="Tahoma"/>
            <family val="2"/>
          </rPr>
          <t xml:space="preserve">2/7/2013 guidance: </t>
        </r>
        <r>
          <rPr>
            <sz val="8"/>
            <color indexed="81"/>
            <rFont val="Tahoma"/>
            <family val="2"/>
          </rPr>
          <t>company expects to record a one-time reduction in its retirement related liabilities on the balance sheet of ~$300M in FY12 related to retirement plan changes</t>
        </r>
      </text>
    </comment>
    <comment ref="X43" authorId="1">
      <text>
        <r>
          <rPr>
            <b/>
            <sz val="8"/>
            <color indexed="81"/>
            <rFont val="Tahoma"/>
            <family val="2"/>
          </rPr>
          <t xml:space="preserve">2/2/2009
</t>
        </r>
        <r>
          <rPr>
            <sz val="8"/>
            <color indexed="81"/>
            <rFont val="Tahoma"/>
            <family val="2"/>
          </rPr>
          <t>cut quarterly dividend to 5 cents (20 cents annualized) per share of common stock from the current 13.25 cents (53 cents annualized).  The reduction in dividend is expected to conserve $138 million in cash in fiscal 2009.</t>
        </r>
      </text>
    </comment>
    <comment ref="AB56" authorId="3">
      <text>
        <r>
          <rPr>
            <b/>
            <sz val="8"/>
            <color indexed="81"/>
            <rFont val="Tahoma"/>
            <family val="2"/>
          </rPr>
          <t xml:space="preserve">5/15/2013: </t>
        </r>
        <r>
          <rPr>
            <sz val="8"/>
            <color indexed="81"/>
            <rFont val="Tahoma"/>
            <family val="2"/>
          </rPr>
          <t>dividend raised to 25c</t>
        </r>
        <r>
          <rPr>
            <b/>
            <sz val="8"/>
            <color indexed="81"/>
            <rFont val="Tahoma"/>
            <family val="2"/>
          </rPr>
          <t xml:space="preserve">
2/26/2013: </t>
        </r>
        <r>
          <rPr>
            <sz val="8"/>
            <color indexed="81"/>
            <rFont val="Tahoma"/>
            <family val="2"/>
          </rPr>
          <t xml:space="preserve">dividend 20c
</t>
        </r>
      </text>
    </comment>
    <comment ref="AC56" authorId="9">
      <text>
        <r>
          <rPr>
            <b/>
            <sz val="9"/>
            <color indexed="81"/>
            <rFont val="Tahoma"/>
            <family val="2"/>
          </rPr>
          <t>5/14/14:</t>
        </r>
        <r>
          <rPr>
            <sz val="9"/>
            <color indexed="81"/>
            <rFont val="Tahoma"/>
            <family val="2"/>
          </rPr>
          <t xml:space="preserve"> raised divident to 31.25c 
</t>
        </r>
      </text>
    </comment>
    <comment ref="AD56" authorId="9">
      <text>
        <r>
          <rPr>
            <b/>
            <sz val="9"/>
            <color indexed="81"/>
            <rFont val="Tahoma"/>
            <family val="2"/>
          </rPr>
          <t>5/14/14:</t>
        </r>
        <r>
          <rPr>
            <sz val="9"/>
            <color indexed="81"/>
            <rFont val="Tahoma"/>
            <family val="2"/>
          </rPr>
          <t xml:space="preserve"> raised divident to 31.25c 
</t>
        </r>
      </text>
    </comment>
  </commentList>
</comments>
</file>

<file path=xl/comments10.xml><?xml version="1.0" encoding="utf-8"?>
<comments xmlns="http://schemas.openxmlformats.org/spreadsheetml/2006/main">
  <authors>
    <author>De Courreges, Edouard (Research)</author>
    <author>balskyh</author>
    <author>duol</author>
  </authors>
  <commentList>
    <comment ref="AD13" authorId="0">
      <text>
        <r>
          <rPr>
            <b/>
            <sz val="9"/>
            <color indexed="81"/>
            <rFont val="Tahoma"/>
            <family val="2"/>
          </rPr>
          <t>De Courreges, Edouard (Research):</t>
        </r>
        <r>
          <rPr>
            <sz val="9"/>
            <color indexed="81"/>
            <rFont val="Tahoma"/>
            <family val="2"/>
          </rPr>
          <t xml:space="preserve">
Right of return asset</t>
        </r>
      </text>
    </comment>
    <comment ref="Z34" authorId="1">
      <text>
        <r>
          <rPr>
            <b/>
            <sz val="8"/>
            <color indexed="81"/>
            <rFont val="Tahoma"/>
            <family val="2"/>
          </rPr>
          <t xml:space="preserve">2/7/2013 guidance: </t>
        </r>
        <r>
          <rPr>
            <sz val="8"/>
            <color indexed="81"/>
            <rFont val="Tahoma"/>
            <family val="2"/>
          </rPr>
          <t>company expects to record a one-time reduction in its retirement related liabilities on the balance sheet of ~$300M in FY12 related to retirement plan changes</t>
        </r>
      </text>
    </comment>
    <comment ref="AA44" authorId="2">
      <text>
        <r>
          <rPr>
            <b/>
            <sz val="8"/>
            <color indexed="81"/>
            <rFont val="Tahoma"/>
            <family val="2"/>
          </rPr>
          <t>2/25/14:</t>
        </r>
        <r>
          <rPr>
            <sz val="8"/>
            <color indexed="81"/>
            <rFont val="Tahoma"/>
            <family val="2"/>
          </rPr>
          <t xml:space="preserve">
$6242, no break out</t>
        </r>
      </text>
    </comment>
  </commentList>
</comments>
</file>

<file path=xl/comments11.xml><?xml version="1.0" encoding="utf-8"?>
<comments xmlns="http://schemas.openxmlformats.org/spreadsheetml/2006/main">
  <authors>
    <author>balskyh</author>
    <author>Baglione, Gregory  (Research)</author>
    <author>cuomochr</author>
    <author>De Courreges, Edouard (Research)</author>
    <author>duol</author>
    <author>Michelle Clark</author>
    <author>leechi</author>
    <author>Baglione, Gregory (Research)</author>
  </authors>
  <commentList>
    <comment ref="BE10" authorId="0">
      <text>
        <r>
          <rPr>
            <b/>
            <sz val="8"/>
            <color indexed="81"/>
            <rFont val="Tahoma"/>
            <family val="2"/>
          </rPr>
          <t xml:space="preserve">12/18/2012:  </t>
        </r>
        <r>
          <rPr>
            <sz val="8"/>
            <color indexed="81"/>
            <rFont val="Tahoma"/>
            <family val="2"/>
          </rPr>
          <t>reduced inv plans for 3Q12 and 1Q13, flowing through inv as needed</t>
        </r>
      </text>
    </comment>
    <comment ref="BL10" authorId="1">
      <text>
        <r>
          <rPr>
            <b/>
            <sz val="9"/>
            <color indexed="81"/>
            <rFont val="Tahoma"/>
            <family val="2"/>
          </rPr>
          <t>Baglione, Gregory  (Research):</t>
        </r>
        <r>
          <rPr>
            <sz val="9"/>
            <color indexed="81"/>
            <rFont val="Tahoma"/>
            <family val="2"/>
          </rPr>
          <t xml:space="preserve">
5/11/
Restated from $6,055
</t>
        </r>
      </text>
    </comment>
    <comment ref="AV11" authorId="2">
      <text>
        <r>
          <rPr>
            <b/>
            <sz val="8"/>
            <color indexed="81"/>
            <rFont val="Tahoma"/>
            <family val="2"/>
          </rPr>
          <t xml:space="preserve">Comment 8/10/11:
</t>
        </r>
        <r>
          <rPr>
            <b/>
            <u/>
            <sz val="8"/>
            <color indexed="81"/>
            <rFont val="Tahoma"/>
            <family val="2"/>
          </rPr>
          <t>Inventory vs. Payables</t>
        </r>
        <r>
          <rPr>
            <b/>
            <sz val="8"/>
            <color indexed="81"/>
            <rFont val="Tahoma"/>
            <family val="2"/>
          </rPr>
          <t xml:space="preserve">
Inventory: </t>
        </r>
        <r>
          <rPr>
            <b/>
            <sz val="8"/>
            <color indexed="81"/>
            <rFont val="Tahoma"/>
            <family val="2"/>
          </rPr>
          <t>$172M</t>
        </r>
        <r>
          <rPr>
            <sz val="8"/>
            <color indexed="81"/>
            <rFont val="Tahoma"/>
            <family val="2"/>
          </rPr>
          <t xml:space="preserve"> incremental investment in 1H11, in part due to </t>
        </r>
        <r>
          <rPr>
            <b/>
            <i/>
            <sz val="8"/>
            <color indexed="81"/>
            <rFont val="Tahoma"/>
            <family val="2"/>
          </rPr>
          <t>increase in in-transit inventory to take advantage of sales oppty</t>
        </r>
        <r>
          <rPr>
            <sz val="8"/>
            <color indexed="81"/>
            <rFont val="Tahoma"/>
            <family val="2"/>
          </rPr>
          <t xml:space="preserve">
</t>
        </r>
        <r>
          <rPr>
            <b/>
            <sz val="8"/>
            <color indexed="81"/>
            <rFont val="Tahoma"/>
            <family val="2"/>
          </rPr>
          <t>--</t>
        </r>
        <r>
          <rPr>
            <sz val="8"/>
            <color indexed="81"/>
            <rFont val="Tahoma"/>
            <family val="2"/>
          </rPr>
          <t xml:space="preserve">2Q11 inv of $4.948M compares to YE10 inv of $4.758, i.e., </t>
        </r>
        <r>
          <rPr>
            <b/>
            <sz val="8"/>
            <color indexed="81"/>
            <rFont val="Tahoma"/>
            <family val="2"/>
          </rPr>
          <t>an $190M</t>
        </r>
        <r>
          <rPr>
            <sz val="8"/>
            <color indexed="81"/>
            <rFont val="Tahoma"/>
            <family val="2"/>
          </rPr>
          <t xml:space="preserve"> investment in inv through 1H11</t>
        </r>
        <r>
          <rPr>
            <sz val="8"/>
            <color indexed="81"/>
            <rFont val="Tahoma"/>
            <family val="2"/>
          </rPr>
          <t xml:space="preserve">
--2Q10 inv of $4.633M compares to YE09 inv of $4.615, i.e., </t>
        </r>
        <r>
          <rPr>
            <b/>
            <sz val="8"/>
            <color indexed="81"/>
            <rFont val="Tahoma"/>
            <family val="2"/>
          </rPr>
          <t>an $18M</t>
        </r>
        <r>
          <rPr>
            <sz val="8"/>
            <color indexed="81"/>
            <rFont val="Tahoma"/>
            <family val="2"/>
          </rPr>
          <t xml:space="preserve"> investment in inv through 1H10
</t>
        </r>
        <r>
          <rPr>
            <b/>
            <sz val="8"/>
            <color indexed="81"/>
            <rFont val="Tahoma"/>
            <family val="2"/>
          </rPr>
          <t>Payables: $109M</t>
        </r>
        <r>
          <rPr>
            <sz val="8"/>
            <color indexed="81"/>
            <rFont val="Tahoma"/>
            <family val="2"/>
          </rPr>
          <t xml:space="preserve"> of higher payables using similar math
</t>
        </r>
        <r>
          <rPr>
            <b/>
            <sz val="8"/>
            <color indexed="81"/>
            <rFont val="Tahoma"/>
            <family val="2"/>
          </rPr>
          <t xml:space="preserve">Net position is +$172M-$109M = </t>
        </r>
        <r>
          <rPr>
            <b/>
            <sz val="8"/>
            <color indexed="12"/>
            <rFont val="Tahoma"/>
            <family val="2"/>
          </rPr>
          <t>$63M additional cash</t>
        </r>
        <r>
          <rPr>
            <b/>
            <sz val="8"/>
            <color indexed="81"/>
            <rFont val="Tahoma"/>
            <family val="2"/>
          </rPr>
          <t xml:space="preserve"> for inventory in 1H11 vs. 1H10</t>
        </r>
        <r>
          <rPr>
            <i/>
            <sz val="8"/>
            <color indexed="81"/>
            <rFont val="Tahoma"/>
            <family val="2"/>
          </rPr>
          <t xml:space="preserve">
</t>
        </r>
        <r>
          <rPr>
            <b/>
            <i/>
            <sz val="8"/>
            <color indexed="81"/>
            <rFont val="Tahoma"/>
            <family val="2"/>
          </rPr>
          <t xml:space="preserve">
</t>
        </r>
        <r>
          <rPr>
            <b/>
            <u/>
            <sz val="8"/>
            <color indexed="81"/>
            <rFont val="Tahoma"/>
            <family val="2"/>
          </rPr>
          <t>Result</t>
        </r>
        <r>
          <rPr>
            <b/>
            <i/>
            <sz val="8"/>
            <color indexed="81"/>
            <rFont val="Tahoma"/>
            <family val="2"/>
          </rPr>
          <t xml:space="preserve">
</t>
        </r>
        <r>
          <rPr>
            <sz val="8"/>
            <color indexed="81"/>
            <rFont val="Tahoma"/>
            <family val="2"/>
          </rPr>
          <t xml:space="preserve">1) Inventory +6.8% y/y ($4,948M vs $4,633)
</t>
        </r>
        <r>
          <rPr>
            <b/>
            <sz val="8"/>
            <color indexed="81"/>
            <rFont val="Tahoma"/>
            <family val="2"/>
          </rPr>
          <t xml:space="preserve">2) Net of payables, inventory </t>
        </r>
        <r>
          <rPr>
            <b/>
            <sz val="8"/>
            <color indexed="12"/>
            <rFont val="Tahoma"/>
            <family val="2"/>
          </rPr>
          <t>+3.5%</t>
        </r>
        <r>
          <rPr>
            <b/>
            <sz val="8"/>
            <color indexed="81"/>
            <rFont val="Tahoma"/>
            <family val="2"/>
          </rPr>
          <t xml:space="preserve"> = ($4,948M-$1,956M)/($4,633M-$1,743M) </t>
        </r>
        <r>
          <rPr>
            <sz val="8"/>
            <color indexed="81"/>
            <rFont val="Tahoma"/>
            <family val="2"/>
          </rPr>
          <t xml:space="preserve">
</t>
        </r>
        <r>
          <rPr>
            <b/>
            <i/>
            <sz val="8"/>
            <color indexed="12"/>
            <rFont val="Tahoma"/>
            <family val="2"/>
          </rPr>
          <t>Company will continue to maintain comp store inventory growth at a level lower than comp store sales growth</t>
        </r>
      </text>
    </comment>
    <comment ref="BE11" authorId="0">
      <text>
        <r>
          <rPr>
            <b/>
            <sz val="8"/>
            <color indexed="81"/>
            <rFont val="Tahoma"/>
            <family val="2"/>
          </rPr>
          <t xml:space="preserve">12/18/2012:  </t>
        </r>
        <r>
          <rPr>
            <sz val="8"/>
            <color indexed="81"/>
            <rFont val="Tahoma"/>
            <family val="2"/>
          </rPr>
          <t>reduced inv plans for 3Q12 and 1Q13, flowing through inv as needed</t>
        </r>
      </text>
    </comment>
    <comment ref="BL11" authorId="1">
      <text>
        <r>
          <rPr>
            <b/>
            <sz val="9"/>
            <color indexed="81"/>
            <rFont val="Tahoma"/>
            <family val="2"/>
          </rPr>
          <t>Baglione, Gregory  (Research):</t>
        </r>
        <r>
          <rPr>
            <sz val="9"/>
            <color indexed="81"/>
            <rFont val="Tahoma"/>
            <family val="2"/>
          </rPr>
          <t xml:space="preserve">
8/11/16
Restated from $5,622M</t>
        </r>
      </text>
    </comment>
    <comment ref="BT11" authorId="3">
      <text>
        <r>
          <rPr>
            <b/>
            <sz val="9"/>
            <color indexed="81"/>
            <rFont val="Tahoma"/>
            <family val="2"/>
          </rPr>
          <t>De Courreges, Edouard (Research):</t>
        </r>
        <r>
          <rPr>
            <sz val="9"/>
            <color indexed="81"/>
            <rFont val="Tahoma"/>
            <family val="2"/>
          </rPr>
          <t xml:space="preserve">
5/11/17 Matt on callback: We were heavy on inventory coming out of 4Q, which was compounded by a rough February, where we weren’t able to sell through transitional merchandise. Moving into 2Q should start to see transfer of sales from store closures.</t>
        </r>
      </text>
    </comment>
    <comment ref="AV12" authorId="0">
      <text>
        <r>
          <rPr>
            <b/>
            <sz val="8"/>
            <color indexed="81"/>
            <rFont val="Tahoma"/>
            <family val="2"/>
          </rPr>
          <t xml:space="preserve">11/9/11 commentary:
</t>
        </r>
        <r>
          <rPr>
            <sz val="8"/>
            <color indexed="81"/>
            <rFont val="Tahoma"/>
            <family val="2"/>
          </rPr>
          <t>1) Inventory net of payables +6%</t>
        </r>
        <r>
          <rPr>
            <b/>
            <sz val="8"/>
            <color indexed="81"/>
            <rFont val="Tahoma"/>
            <family val="2"/>
          </rPr>
          <t xml:space="preserve">
11/2/11 commentary - </t>
        </r>
        <r>
          <rPr>
            <sz val="8"/>
            <color indexed="81"/>
            <rFont val="Tahoma"/>
            <family val="2"/>
          </rPr>
          <t>mgmt already noted inventory up in 3Q due to shift in shipment timing from vendors</t>
        </r>
      </text>
    </comment>
    <comment ref="AZ12" authorId="0">
      <text>
        <r>
          <rPr>
            <b/>
            <sz val="8"/>
            <color indexed="81"/>
            <rFont val="Tahoma"/>
            <family val="2"/>
          </rPr>
          <t xml:space="preserve">8/8/2012 Guidance
</t>
        </r>
        <r>
          <rPr>
            <sz val="8"/>
            <color indexed="81"/>
            <rFont val="Tahoma"/>
            <family val="2"/>
          </rPr>
          <t>Could improve turns in 2H12</t>
        </r>
      </text>
    </comment>
    <comment ref="BE12" authorId="4">
      <text>
        <r>
          <rPr>
            <b/>
            <sz val="8"/>
            <color indexed="81"/>
            <rFont val="Tahoma"/>
            <family val="2"/>
          </rPr>
          <t xml:space="preserve">11/13/13: </t>
        </r>
        <r>
          <rPr>
            <sz val="8"/>
            <color indexed="81"/>
            <rFont val="Tahoma"/>
            <family val="2"/>
          </rPr>
          <t xml:space="preserve">consistent with our plan. As I discussed at the end of the second quarter, this increase was caused by the calendar shift with last year having the 53rd week, there are unusual inventory comparisons at the end of each quarter. We aim to have inventory in our stores on the same calendar date, regardless of when it falls in the fiscal calendar, since that's how customers shop. So, for example, the last day of the third quarter this year was November 2nd, versus last year when it was October 27th. So receipts in the first day of November were booked in the third quarter this year and the fourth quarter last year. And also with our November sales growth planned significantly higher than that in December and January, due to the compressed calendar and to a lesser extent the year-rounding on Sandy, we needed to be sure we had stock in stores and in warehouses to support our growth. By year end, however, we do expect inventories to be back at a more normal level of increase relative to the prior year. 
</t>
        </r>
      </text>
    </comment>
    <comment ref="BL12" authorId="1">
      <text>
        <r>
          <rPr>
            <b/>
            <sz val="9"/>
            <color indexed="81"/>
            <rFont val="Tahoma"/>
            <family val="2"/>
          </rPr>
          <t>Baglione, Gregory  (Research):
11/10/16
Restated from $8.145B
8/11/15</t>
        </r>
        <r>
          <rPr>
            <sz val="9"/>
            <color indexed="81"/>
            <rFont val="Tahoma"/>
            <family val="2"/>
          </rPr>
          <t xml:space="preserve">
Inventory by year end is expected to be up by less than it is at the end of 2Q
</t>
        </r>
      </text>
    </comment>
    <comment ref="BT12" authorId="3">
      <text>
        <r>
          <rPr>
            <b/>
            <sz val="9"/>
            <color indexed="81"/>
            <rFont val="Tahoma"/>
            <family val="2"/>
          </rPr>
          <t>De Courreges, Edouard (Research):</t>
        </r>
        <r>
          <rPr>
            <sz val="9"/>
            <color indexed="81"/>
            <rFont val="Tahoma"/>
            <family val="2"/>
          </rPr>
          <t xml:space="preserve">
better inventory control from reduction of 3 groups into 1
comp inventory -4.2</t>
        </r>
      </text>
    </comment>
    <comment ref="AV13" authorId="5">
      <text>
        <r>
          <rPr>
            <b/>
            <sz val="8"/>
            <color indexed="81"/>
            <rFont val="Tahoma"/>
            <family val="2"/>
          </rPr>
          <t xml:space="preserve">12/1/11 Commentary
</t>
        </r>
        <r>
          <rPr>
            <sz val="8"/>
            <color indexed="81"/>
            <rFont val="Tahoma"/>
            <family val="2"/>
          </rPr>
          <t>At Nov-end, inventory in great shape</t>
        </r>
        <r>
          <rPr>
            <b/>
            <sz val="8"/>
            <color indexed="81"/>
            <rFont val="Tahoma"/>
            <family val="2"/>
          </rPr>
          <t xml:space="preserve">
Guidance: 11/9/2011
</t>
        </r>
        <r>
          <rPr>
            <sz val="8"/>
            <color indexed="81"/>
            <rFont val="Tahoma"/>
            <family val="2"/>
          </rPr>
          <t>Inventories up 6-7% at year-end due to timing shift.  Comp inventory up less than half that.</t>
        </r>
        <r>
          <rPr>
            <sz val="8"/>
            <color indexed="81"/>
            <rFont val="Tahoma"/>
            <family val="2"/>
          </rPr>
          <t xml:space="preserve">
</t>
        </r>
      </text>
    </comment>
    <comment ref="AZ13" authorId="0">
      <text>
        <r>
          <rPr>
            <b/>
            <sz val="8"/>
            <color indexed="81"/>
            <rFont val="Tahoma"/>
            <family val="2"/>
          </rPr>
          <t xml:space="preserve">8/8/2012 Guidance
</t>
        </r>
        <r>
          <rPr>
            <sz val="8"/>
            <color indexed="81"/>
            <rFont val="Tahoma"/>
            <family val="2"/>
          </rPr>
          <t>Could improve turns in 2H12</t>
        </r>
      </text>
    </comment>
    <comment ref="BL13" authorId="1">
      <text>
        <r>
          <rPr>
            <b/>
            <sz val="9"/>
            <color indexed="81"/>
            <rFont val="Tahoma"/>
            <family val="2"/>
          </rPr>
          <t>Baglione, Gregory  (Research):</t>
        </r>
        <r>
          <rPr>
            <sz val="9"/>
            <color indexed="81"/>
            <rFont val="Tahoma"/>
            <family val="2"/>
          </rPr>
          <t xml:space="preserve">
Expect to liquidate inventory in 4Q</t>
        </r>
      </text>
    </comment>
    <comment ref="AB28" authorId="6">
      <text>
        <r>
          <rPr>
            <b/>
            <sz val="8"/>
            <color indexed="81"/>
            <rFont val="Tahoma"/>
            <family val="2"/>
          </rPr>
          <t>- Income tax receivable</t>
        </r>
      </text>
    </comment>
    <comment ref="AN28" authorId="5">
      <text>
        <r>
          <rPr>
            <b/>
            <sz val="8"/>
            <color indexed="81"/>
            <rFont val="Tahoma"/>
            <family val="2"/>
          </rPr>
          <t>Note: Income tax receivable</t>
        </r>
        <r>
          <rPr>
            <sz val="8"/>
            <color indexed="81"/>
            <rFont val="Tahoma"/>
            <family val="2"/>
          </rPr>
          <t xml:space="preserve">
</t>
        </r>
      </text>
    </comment>
    <comment ref="BL34" authorId="1">
      <text>
        <r>
          <rPr>
            <b/>
            <sz val="9"/>
            <color indexed="81"/>
            <rFont val="Tahoma"/>
            <family val="2"/>
          </rPr>
          <t>Baglione, Gregory  (Research):</t>
        </r>
        <r>
          <rPr>
            <sz val="9"/>
            <color indexed="81"/>
            <rFont val="Tahoma"/>
            <family val="2"/>
          </rPr>
          <t xml:space="preserve">
5/11/16
Payables restated from $2,512</t>
        </r>
      </text>
    </comment>
    <comment ref="BL36" authorId="7">
      <text>
        <r>
          <rPr>
            <b/>
            <sz val="9"/>
            <color indexed="81"/>
            <rFont val="Tahoma"/>
            <family val="2"/>
          </rPr>
          <t>Baglione, Gregory (Research):</t>
        </r>
        <r>
          <rPr>
            <sz val="9"/>
            <color indexed="81"/>
            <rFont val="Tahoma"/>
            <family val="2"/>
          </rPr>
          <t xml:space="preserve">
11/10/16
Restated from $6.468B</t>
        </r>
      </text>
    </comment>
    <comment ref="BL41" authorId="1">
      <text>
        <r>
          <rPr>
            <b/>
            <sz val="9"/>
            <color indexed="81"/>
            <rFont val="Tahoma"/>
            <family val="2"/>
          </rPr>
          <t>Baglione, Gregory  (Research):</t>
        </r>
        <r>
          <rPr>
            <sz val="9"/>
            <color indexed="81"/>
            <rFont val="Tahoma"/>
            <family val="2"/>
          </rPr>
          <t xml:space="preserve">
Restated to $64M. Deferred income taxes restated to L-T liability with new GAAP guidelines</t>
        </r>
      </text>
    </comment>
  </commentList>
</comments>
</file>

<file path=xl/comments12.xml><?xml version="1.0" encoding="utf-8"?>
<comments xmlns="http://schemas.openxmlformats.org/spreadsheetml/2006/main">
  <authors>
    <author>balskyh</author>
  </authors>
  <commentList>
    <comment ref="N90" authorId="0">
      <text>
        <r>
          <rPr>
            <b/>
            <sz val="8"/>
            <color indexed="81"/>
            <rFont val="Tahoma"/>
            <family val="2"/>
          </rPr>
          <t xml:space="preserve">11/7/2012: </t>
        </r>
        <r>
          <rPr>
            <sz val="8"/>
            <color indexed="81"/>
            <rFont val="Tahoma"/>
            <family val="2"/>
          </rPr>
          <t>comp inv flat in 3Q12; planned this way so could flow through more newness for Holiday</t>
        </r>
      </text>
    </comment>
  </commentList>
</comments>
</file>

<file path=xl/comments13.xml><?xml version="1.0" encoding="utf-8"?>
<comments xmlns="http://schemas.openxmlformats.org/spreadsheetml/2006/main">
  <authors>
    <author>sancfa</author>
  </authors>
  <commentList>
    <comment ref="A1" authorId="0">
      <text>
        <r>
          <rPr>
            <b/>
            <sz val="8"/>
            <color indexed="81"/>
            <rFont val="Tahoma"/>
            <family val="2"/>
          </rPr>
          <t>卟䙄_x0001_＀＀䷧\啌啌坞当䕒呎䱁佟彐卌彅塅⡐㄰㈯〰ⰸ㄰㈯〰ⰸⰬ䌬䑁䀩䅃剟彔䕒呎䵟义䕟偘〨⼱〲㠰〬⼱〲㠰ⰬⰬ䅃⥄_x0018_＀＀_x0018_＀＀_x0008_＀＀_x0001_＀＀_x0001_＀＀豀碵꼝쐕䷧&amp;啌啌坞当义彔䅒䕔㕟䅙䝖〨⼱〲㠰ⰬⰬ䅃⥄_x0018_＀＀_x0018_＀＀_x0008_＀＀_x0001_＀＀_x0001_＀＀豀碵꼝쐕䷧_x000F_啌啌坞当佃也䵁책1＀＀_x0018_＀＀!＀＀_x0001_＀＀_x0008_＀＀啌啌䕌位⁎呁䱈呅䍉⁁义佃偒剏呁䑅찀䷧\啌啌坞当䕒呎䱁佟彐卌彅塅⡐㄰㈯〰ⰷ㄰㈯〰ⰷⰬ䌬䑁䀩䅃剟彔䕒呎䵟义䕟偘〨⼱〲㜰〬⼱〲㜰ⰬⰬ䅃⥄_x0018_＀＀_x0018_＀＀_x0008_＀＀_x0001_＀＀_x0001_＀＀豀碵꼝쐕_xDF52_仧_x0014_刣晥敲桳帣南䍟彏䅎䕍_x0014_＀＀_x0018_＀＀_x0004_＀＀_x0001_＀＀_x0008_＀＀乀A䷧&amp;啌啌坞当义彔䅒䕔㕟䅙䝖〨⼱〲㌰ⰬⰬ䅃⥄_x0018_＀＀_x0018_＀＀_x0008_＀＀_x0001_＀＀_x0001_＀＀豀碵꼝쐕䷧_x0018_啌啌坞当奆⡃⤰䍀彁奆⡃⤰_x0018_＀＀_x0018_＀＀_x0008_＀＀_x0001_＀＀_x0008_＀＀㄰㈯㄰1䷧&amp;啌啌坞当义彔䅒䕔㕟䅙䝖〨⼱〲㤰ⰬⰬ䅃⥄_x0018_＀＀_x0018_＀＀_x0008_＀＀_x0001_＀＀_x0001_＀＀豀碵꼝쐕䷧&amp;啌啌坞当义彔䅒䕔㕟䅙䝖〨⼱〲㐰ⰬⰬ䅃⥄_x0018_＀＀_x0018_＀＀_x0008_＀＀_x0001_＀＀_x0001_＀＀豀碵꼝쐕䷧\啌啌坞当䕒呎䱁佟彐卌彅塅⡐㄰㈯〰ⰶ㄰㈯〰ⰶⰬ䌬䑁䀩䅃剟彔䕒呎䵟义䕟偘〨⼱〲㘰〬⼱〲㘰ⰬⰬ䅃⥄_x0018_＀＀_x0018_＀＀_x0008_＀＀_x0001_＀＀_x0001_＀＀豀碵꼝쐕䷧&amp;啌啌坞当义彔䅒䕔㕟䅙䝖〨⼱〲〱ⰬⰬ䅃⥄_x0018_＀＀_x0018_＀＀_x0008_＀＀_x0001_＀＀_x0001_＀＀豀碵꼝쐕䷧0啌啌坞当䕌十彅佃䵍呉奟ㅒ〨⼱〲㌰〬⼱〲㌰ⰬⰬ䅃⥄_x0018_＀＀_x0018_＀＀_x0008_＀＀_x0001_＀＀_x0001_＀＀豀碵꼝쐕䷧0啌啌坞当䕌十彅佃䵍呉奟ㅒ〨⼱〲㐰〬⼱〲㐰ⰬⰬ䅃⥄_x0018_＀＀_x0018_＀＀_x0008_＀＀_x0001_＀＀_x0001_＀＀豀碵꼝쐕䷧0啌啌坞当䕌十彅佃䵍呉奟ㅒ〨⼱〲㔰〬⼱〲㔰ⰬⰬ䅃⥄_x0018_＀＀_x0018_＀＀_x0008_＀＀_x0001_＀＀_x0001_＀＀豀碵꼝쐕䷧0啌啌坞当䕌十彅佃䵍呉奟ㅒ〨⼱〲㘰〬⼱〲㘰ⰬⰬ䅃⥄_x0018_＀＀_x0018_＀＀_x0008_＀＀_x0001_＀＀_x0001_＀＀豀碵꼝쐕䷧0啌啌坞当䕌十彅佃䵍呉奟ㅒ〨⼱〲㜰〬⼱〲㜰ⰬⰬ䅃⥄_x0018_＀＀_x0018_＀＀_x0008_＀＀_x0001_＀＀_x0001_＀＀଻矪븻䀤䷧0啌啌坞当䕌十彅佃䵍呉㕟剙〨⼱〲㌰〬⼱〲㌰ⰬⰬ䅃⥄_x0018_＀＀_x0018_＀＀_x0008_＀＀_x0001_＀＀_x0001_＀＀豀碵꼝쐕䷧0啌啌坞当䕌十彅佃䵍呉奟ㅒ〨⼱〲㠰〬⼱〲㠰ⰬⰬ䅃⥄_x0018_＀＀_x0018_＀＀_x0008_＀＀_x0001_＀＀_x0001_＀＀㦧앿䀰䷧0啌啌坞当䕌十彅佃䵍呉㕟剙〨⼱〲㐰〬⼱〲㐰ⰬⰬ䅃⥄_x0018_＀＀_x0018_＀＀_x0008_＀＀_x0001_＀＀_x0001_＀＀豀碵꼝쐕䷧0啌啌坞当䕌十彅佃䵍呉奟ㅒ〨⼱〲㤰〬⼱〲㤰ⰬⰬ䅃⥄_x0018_＀＀_x0018_＀＀_x0008_＀＀_x0001_＀＀_x0001_＀＀막揝춚䀽䷧0啌啌坞当䕌十彅佃䵍呉㕟剙〨⼱〲㔰〬⼱〲㔰ⰬⰬ䅃⥄_x0018_＀＀_x0018_＀＀_x0008_＀＀_x0001_＀＀_x0001_＀＀豀碵꼝쐕䷧0啌啌坞当䕌十彅佃䵍呉㕟剙〨⼱〲㘰〬⼱〲㘰ⰬⰬ䅃⥄_x0018_＀＀_x0018_＀＀_x0008_＀＀_x0001_＀＀_x0001_＀＀豀碵꼝쐕䷧0啌啌坞当䕌十彅佃䵍呉㕟剙〨⼱〲㜰〬⼱〲㜰ⰬⰬ䅃⥄_x0018_＀＀_x0018_＀＀_x0008_＀＀_x0001_＀＀_x0001_＀＀豀碵꼝쐕䷧0啌啌坞当䕌十彅佃䵍呉㕟剙〨⼱〲㠰〬⼱〲㠰ⰬⰬ䅃⥄_x0018_＀＀_x0018_＀＀_x0008_＀＀_x0001_＀＀_x0001_＀＀Ꮻ知޿䁔䷧0啌啌坞当䕌十彅佃䵍呉㕟剙〨⼱〲㤰〬⼱〲㤰ⰬⰬ䅃⥄_x0018_＀＀_x0018_＀＀_x0008_＀＀_x0001_＀＀_x0001_＀＀懢⨏Ꟈ䁜䷧0啌啌坞当䕌十彅佃䵍呉奟ㅒ〨⼱〲〱〬⼱〲〱ⰬⰬ䅃⥄_x0018_＀＀_x0018_＀＀_x0008_＀＀_x0001_＀＀_x0001_＀＀锭⎷麜䀿䷧0啌啌坞当䕌十彅佃䵍呉奟ㅒ〨⼱〲ㄱ〬⼱〲ㄱⰬⰬ䅃⥄_x0018_＀＀_x0018_＀＀_x0008_＀＀_x0001_＀＀_x0001_＀＀牠좣罚䁂䷧\啌啌坞当䕒呎䱁佟彐卌彅塅⡐㄰㈯〰ⰵ㄰㈯〰ⰵⰬ䌬䑁䀩䅃剟彔䕒呎䵟义䕟偘〨⼱〲㔰〬⼱〲㔰ⰬⰬ䅃⥄_x0018_＀＀_x0018_＀＀_x0008_＀＀_x0001_＀＀_x0001_＀＀豀碵꼝쐕䷧0啌啌坞当䕌十彅佃䵍呉㕟剙〨⼱〲〱〬⼱〲〱ⰬⰬ䅃⥄_x0018_＀＀_x0018_＀＀_x0008_＀＀_x0001_＀＀_x0001_＀＀녆틜_xDE6A_䁐䷧0啌啌坞当䕌十彅佃䵍呉奟㉒〨⼱〲㌰〬⼱〲㌰ⰬⰬ䅃⥄_x0018_＀＀_x0018_＀＀_x0008_＀＀_x0001_＀＀_x0001_＀＀豀碵꼝쐕䷧0啌啌坞当䕌十彅佃䵍呉㕟剙〨⼱〲ㄱ〬⼱〲ㄱⰬⰬ䅃⥄_x0018_＀＀_x0018_＀＀_x0008_＀＀_x0001_＀＀_x0001_＀＀澨펙≥䁒䷧0啌啌坞当䕌十彅佃䵍呉奟㉒〨⼱〲㐰〬⼱〲㐰ⰬⰬ䅃⥄_x0018_＀＀_x0018_＀＀_x0008_＀＀_x0001_＀＀_x0001_＀＀豀碵꼝쐕䷧0啌啌坞当䕌十彅佃䵍呉奟㉒〨⼱〲㔰〬⼱〲㔰ⰬⰬ䅃⥄_x0018_＀＀_x0018_＀＀_x0008_＀＀_x0001_＀＀_x0001_＀＀豀碵꼝쐕䷧0啌啌坞当䕌十彅佃䵍呉奟㉒〨⼱〲㘰〬⼱〲㘰ⰬⰬ䅃⥄_x0018_＀＀_x0018_＀＀_x0008_＀＀_x0001_＀＀_x0001_＀＀豀碵꼝쐕䷧0啌啌坞当䕌十彅佃䵍呉奟㉒〨⼱〲㜰〬⼱〲㜰ⰬⰬ䅃⥄_x0018_＀＀_x0018_＀＀_x0008_＀＀_x0001_＀＀_x0001_＀＀甁⥽䀧_xDF53_仧_x001D_刣晥敲桳帣南䙟䍙〨䀩䅃䙟䍙〨착_x0014_＀＀_x0018_＀＀_x0004_＀＀_x0001_＀＀_x0008_＀＀乀A䷧0啌啌坞当䕌十彅佃䵍呉奟㉒〨⼱〲㠰〬⼱〲㠰ⰬⰬ䅃⥄_x0018_＀＀_x0018_＀＀_x0008_＀＀_x0001_＀＀_x0001_＀＀倅ȩ⃞䀴䷧0啌啌坞当䕌十彅佃䵍呉奟㉒〨⼱〲㤰〬⼱〲㤰ⰬⰬ䅃⥄_x0018_＀＀_x0018_＀＀_x0008_＀＀_x0001_＀＀_x0001_＀＀ඐꜷ䀾䷧0啌啌坞当䕌十彅佃䵍呉奟㉒〨⼱〲〱〬⼱〲〱ⰬⰬ䅃⥄_x0018_＀＀_x0018_＀＀_x0008_＀＀_x0001_＀＀_x0001_＀＀寀䄠䏱䀿䷧0啌啌坞当䕌十彅佃䵍呉奟㉒〨⼱〲ㄱ〬⼱〲ㄱⰬⰬ䅃⥄_x0018_＀＀_x0018_＀＀_x0008_＀＀_x0001_＀＀_x0001_＀＀ꏤᧅ⻃䁂䷧0啌啌坞当䕌十彅佃䵍呉奟㍒〨⼱〲㘰〬⼱〲㘰ⰬⰬ䅃⥄_x0018_＀＀_x0018_＀＀_x0008_＀＀_x0001_＀＀_x0001_＀＀豀碵꼝쐕䷧&amp;啌啌坞当义彔䅒䕔㕟䅙䝖〨⼱〲㔰ⰬⰬ䅃⥄_x0018_＀＀_x0018_＀＀_x0008_＀＀_x0001_＀＀_x0001_＀＀豀碵꼝쐕䷧0啌啌坞当䕌十彅佃䵍呉奟㍒〨⼱〲㜰〬⼱〲㜰ⰬⰬ䅃⥄_x0018_＀＀_x0018_＀＀_x0008_＀＀_x0001_＀＀_x0001_＀＀霧_xD8FC_嫯䀥䷧0啌啌坞当䕌十彅佃䵍呉奟㍒〨⼱〲㠰〬⼱〲㠰ⰬⰬ䅃⥄_x0018_＀＀_x0018_＀＀_x0008_＀＀_x0001_＀＀_x0001_＀＀翟㰒們䀳䷧0啌啌坞当䕌十彅佃䵍呉奟㍒〨⼱〲㤰〬⼱〲㤰ⰬⰬ䅃⥄_x0018_＀＀_x0018_＀＀_x0008_＀＀_x0001_＀＀_x0001_＀＀岉完㦮䀽䷧_x001C_啌啌䵞彗䅔彘䅒䕔丨坏Ⱜ∬偒⤢_x0018_＀＀_x0018_＀＀_x0008_＀＀_x0001_＀＀_x0001_＀＀濒ݟ꧎䁀䷧&amp;啌啌坞当义彔䅒䕔㕟䅙䝖〨⼱〲ㄱⰬⰬ䅃⥄_x0018_＀＀_x0018_＀＀_x0008_＀＀_x0001_＀＀_x0001_＀＀豀碵꼝쐕䷧0啌啌坞当䕌十彅佃䵍呉奟㍒〨⼱〲㌰〬⼱〲㌰ⰬⰬ䅃⥄_x0018_＀＀_x0018_＀＀_x0008_＀＀_x0001_＀＀_x0001_＀＀豀碵꼝쐕䷧0啌啌坞当䕌十彅佃䵍呉奟㍒〨⼱〲㐰〬⼱〲㐰ⰬⰬ䅃⥄_x0018_＀＀_x0018_＀＀_x0008_＀＀_x0001_＀＀_x0001_＀＀豀碵꼝쐕䷧0啌啌坞当䕌十彅佃䵍呉奟㍒〨⼱〲㔰〬⼱〲㔰ⰬⰬ䅃⥄_x0018_＀＀_x0018_＀＀_x0008_＀＀_x0001_＀＀_x0001_＀＀豀碵꼝쐕䷧\啌啌坞当䕒呎䱁佟彐卌彅塅⡐㄰㈯〰ⰴ㄰㈯〰ⰴⰬ䌬䑁䀩䅃剟彔䕒呎䵟义䕟偘〨⼱〲㐰〬⼱〲㐰ⰬⰬ䅃⥄_x0018_＀＀_x0018_＀＀_x0008_＀＀_x0001_＀＀_x0001_＀＀豀碵꼝쐕䷧\啌啌坞当䕒呎䱁佟彐卌彅塅⡐㄰㈯㄰ⰱ㄰㈯㄰ⰱⰬ䌬䑁䀩䅃剟彔䕒呎䵟义䕟偘〨⼱〲ㄱ〬⼱〲ㄱⰬⰬ䅃⥄_x0018_＀＀_x0018_＀＀_x0008_＀＀_x0001_＀＀_x0001_＀＀过ꍂ厅䁋䷧0啌啌坞当䕌十彅佃䵍呉奟㍒〨⼱〲〱〬⼱〲〱ⰬⰬ䅃⥄_x0018_＀＀_x0018_＀＀_x0008_＀＀_x0001_＀＀_x0001_＀＀䣔䃭䀿䷧0啌啌坞当䕌十彅佃䵍呉奟㍒〨⼱〲ㄱ〬⼱〲ㄱⰬⰬ䅃⥄_x0018_＀＀_x0018_＀＀_x0008_＀＀_x0001_＀＀_x0001_＀＀쿭_xDD45_䁁䷧0啌啌坞当䕌十彅佃䵍呉奟㑒〨⼱〲㌰〬⼱〲㌰ⰬⰬ䅃⥄_x0018_＀＀_x0018_＀＀_x0008_＀＀_x0001_＀＀_x0001_＀＀豀碵꼝쐕䷧0啌啌坞当䕌十彅佃䵍呉奟㑒〨⼱〲㐰〬⼱〲㐰ⰬⰬ䅃⥄_x0018_＀＀_x0018_＀＀_x0008_＀＀_x0001_＀＀_x0001_＀＀豀碵꼝쐕䷧0啌啌坞当䕌十彅佃䵍呉奟㑒〨⼱〲㔰〬⼱〲㔰ⰬⰬ䅃⥄_x0018_＀＀_x0018_＀＀_x0008_＀＀_x0001_＀＀_x0001_＀＀豀碵꼝쐕䷧0啌啌坞当䕌十彅佃䵍呉奟㑒〨⼱〲㘰〬⼱〲㘰ⰬⰬ䅃⥄_x0018_＀＀_x0018_＀＀_x0008_＀＀_x0001_＀＀_x0001_＀＀豀碵꼝쐕䷧0啌啌坞当䕌十彅佃䵍呉奟㑒〨⼱〲㜰〬⼱〲㜰ⰬⰬ䅃⥄_x0018_＀＀_x0018_＀＀_x0008_＀＀_x0001_＀＀_x0001_＀＀⮳丼椢䀡䷧0啌啌坞当䕌十彅佃䵍呉奟㑒〨⼱〲㠰〬⼱〲㠰ⰬⰬ䅃⥄_x0018_＀＀_x0018_＀＀_x0008_＀＀_x0001_＀＀_x0001_＀＀ᢅㅜ괫䀱䷧0啌啌坞当䕌十彅佃䵍呉奟㑒〨⼱〲㤰〬⼱〲㤰ⰬⰬ䅃⥄_x0018_＀＀_x0018_＀＀_x0008_＀＀_x0001_＀＀_x0001_＀＀✱䥛䀽䷧\啌啌坞当䕒呎䱁佟彐卌彅塅⡐㄰㈯〰ⰳ㄰㈯〰ⰳⰬ䌬䑁䀩䅃剟彔䕒呎䵟义䕟偘〨⼱〲㌰〬⼱〲㌰ⰬⰬ䅃⥄_x0018_＀＀_x0018_＀＀_x0008_＀＀_x0001_＀＀_x0001_＀＀豀碵꼝쐕䷧0啌啌坞当䕌十彅佃䵍呉奟㑒〨⼱〲〱〬⼱〲〱ⰬⰬ䅃⥄_x0018_＀＀_x0018_＀＀_x0008_＀＀_x0001_＀＀_x0001_＀＀৪㱋베䀾䷧0啌啌坞当䕌十彅佃䵍呉奟㑒〨⼱〲ㄱ〬⼱〲ㄱⰬⰬ䅃⥄_x0018_＀＀_x0018_＀＀_x0008_＀＀_x0001_＀＀_x0001_＀＀▁녗ꟸ䁁䷧_x0013_啌啌坞当卉彏佃䕄〨착_x0014_＀＀_x0018_＀＀_x0004_＀＀_x0001_＀＀_x0008_＀＀䅃D䷧0啌啌坞当䕌十彅佃䵍呉奟㕒〨⼱〲㌰〬⼱〲㌰ⰬⰬ䅃⥄_x0018_＀＀_x0018_＀＀_x0008_＀＀_x0001_＀＀_x0001_＀＀豀碵꼝쐕䷧&amp;啌啌坞当义彔䅒䕔㕟䅙䝖〨⼱〲㘰ⰬⰬ䅃⥄_x0018_＀＀_x0018_＀＀_x0008_＀＀_x0001_＀＀_x0001_＀＀豀碵꼝쐕䷧0啌啌坞当䕌十彅佃䵍呉奟㕒〨⼱〲㐰〬⼱〲㐰ⰬⰬ䅃⥄_x0018_＀＀_x0018_＀＀_x0008_＀＀_x0001_＀＀_x0001_＀＀豀碵꼝쐕䷧0啌啌坞当䕌十彅佃䵍呉奟㕒〨⼱〲㔰〬⼱〲㔰ⰬⰬ䅃⥄_x0018_＀＀_x0018_＀＀_x0008_＀＀_x0001_＀＀_x0001_＀＀豀碵꼝쐕䷧0啌啌坞当䕌十彅佃䵍呉奟㕒〨⼱〲㘰〬⼱〲㘰ⰬⰬ䅃⥄_x0018_＀＀_x0018_＀＀_x0008_＀＀_x0001_＀＀_x0001_＀＀豀碵꼝쐕䷧0啌啌坞当䕌十彅佃䵍呉奟㕒〨⼱〲㜰〬⼱〲㜰ⰬⰬ䅃⥄_x0018_＀＀_x0018_＀＀_x0008_＀＀_x0001_＀＀_x0001_＀＀먖㥫烲䁄䷧0啌啌坞当䕌十彅佃䵍呉奟㕒〨⼱〲㠰〬⼱〲㠰ⰬⰬ䅃⥄_x0018_＀＀_x0018_＀＀_x0008_＀＀_x0001_＀＀_x0001_＀＀Ꚃ鳊韓䀱䷧0啌啌坞当䕌十彅佃䵍呉奟㕒〨⼱〲㤰〬⼱〲㤰ⰬⰬ䅃⥄_x0018_＀＀_x0018_＀＀_x0008_＀＀_x0001_＀＀_x0001_＀＀霡䠀ῢ䀽䷧\啌啌坞当䕒呎䱁佟彐卌彅塅⡐㄰㈯㄰ⰰ㄰㈯㄰ⰰⰬ䌬䑁䀩䅃剟彔䕒呎䵟义䕟偘〨⼱〲〱〬⼱〲〱ⰬⰬ䅃⥄_x0018_＀＀_x0018_＀＀_x0008_＀＀_x0001_＀＀_x0001_＀＀≋䭞䬆䁇䷧0啌啌坞当䕌十彅佃䵍呉奟㕒〨⼱〲〱〬⼱〲〱ⰬⰬ䅃⥄_x0018_＀＀_x0018_＀＀_x0008_＀＀_x0001_＀＀_x0001_＀＀㘑봼Ꙓ䀽䷧0啌啌坞当䕌十彅佃䵍呉奟㕒〨⼱〲ㄱ〬⼱〲ㄱⰬⰬ䅃⥄_x0018_＀＀_x0018_＀＀_x0008_＀＀_x0001_＀＀_x0001_＀＀㏗掄➖䁀䷧(啌啌坞当义彔䅒䕔〨⼱〲㐰〬⼱〲㐰ⰬⰬ䅃⥄_x0018_＀＀_x0018_＀＀_x0008_＀＀_x0001_＀＀_x0001_＀＀豀碵꼝쐕䷧(啌啌坞当义彔䅒䕔〨⼱〲㔰〬⼱〲㔰ⰬⰬ䅃⥄_x0018_＀＀_x0018_＀＀_x0008_＀＀_x0001_＀＀_x0001_＀＀豀碵꼝쐕䷧&amp;啌啌坞当义彔䅒䕔㕟䅙䝖〨⼱〲㜰ⰬⰬ䅃⥄_x0018_＀＀_x0018_＀＀_x0008_＀＀_x0001_＀＀_x0001_＀＀豀碵꼝쐕䷧(啌啌坞当义彔䅒䕔〨⼱〲㘰〬⼱〲㘰ⰬⰬ䅃⥄_x0018_＀＀_x0018_＀＀_x0008_＀＀_x0001_＀＀_x0001_＀＀豀碵꼝쐕䷧(啌啌坞当义彔䅒䕔〨⼱〲㜰〬⼱〲㜰ⰬⰬ䅃⥄_x0018_＀＀_x0018_＀＀_x0008_＀＀_x0001_＀＀_x0001_＀＀豀碵꼝쐕䷧(啌啌坞当义彔䅒䕔〨⼱〲㠰〬⼱〲㠰ⰬⰬ䅃⥄_x0018_＀＀_x0018_＀＀_x0008_＀＀_x0001_＀＀_x0001_＀＀豀碵꼝쐕䷧(啌啌坞当义彔䅒䕔〨⼱〲㤰〬⼱〲㤰ⰬⰬ䅃⥄_x0018_＀＀_x0018_＀＀_x0008_＀＀_x0001_＀＀_x0001_＀＀豀碵꼝쐕䷧\啌啌坞当䕒呎䱁佟彐卌彅塅⡐㄰㈯〰ⰹ㄰㈯〰ⰹⰬ䌬䑁䀩䅃剟彔䕒呎䵟义䕟偘〨⼱〲㤰〬⼱〲㤰ⰬⰬ䅃⥄_x0018_＀＀_x0018_＀＀_x0008_＀＀_x0001_＀＀_x0001_＀＀豀碵꼝쐕䷧(啌啌坞当义彔䅒䕔〨⼱〲〱〬⼱〲〱ⰬⰬ䅃⥄_x0018_＀＀_x0018_＀＀_x0008_＀＀_x0001_＀＀_x0001_＀＀豀碵꼝쐕䷧(啌啌坞当义彔䅒䕔〨⼱〲ㄱ〬⼱〲ㄱⰬⰬ䅃⥄_x0018_＀＀_x0018_＀＀_x0008_＀＀_x0001_＀＀_x0001_＀＀豀碵꼝쐕_xDF53_仧_x0018_刣晥敲桳帣南䥟体䍟䑏⡅⤰_x0014_＀＀_x0018_＀＀_x0004_＀＀_x0001_＀＀_x0008_＀＀乀A</t>
        </r>
      </text>
    </comment>
    <comment ref="B1" authorId="0">
      <text>
        <r>
          <rPr>
            <b/>
            <sz val="8"/>
            <color indexed="81"/>
            <rFont val="Tahoma"/>
            <family val="2"/>
          </rPr>
          <t>4046</t>
        </r>
      </text>
    </comment>
  </commentList>
</comments>
</file>

<file path=xl/comments14.xml><?xml version="1.0" encoding="utf-8"?>
<comments xmlns="http://schemas.openxmlformats.org/spreadsheetml/2006/main">
  <authors>
    <author>De Courreges, Edouard (Research)</author>
  </authors>
  <commentList>
    <comment ref="I30" authorId="0">
      <text>
        <r>
          <rPr>
            <b/>
            <sz val="9"/>
            <color indexed="81"/>
            <rFont val="Tahoma"/>
            <family val="2"/>
          </rPr>
          <t>De Courreges, Edouard (Research):</t>
        </r>
        <r>
          <rPr>
            <sz val="9"/>
            <color indexed="81"/>
            <rFont val="Tahoma"/>
            <family val="2"/>
          </rPr>
          <t xml:space="preserve">
10 Yr US Yield IAW w/ BB on 8/2/17</t>
        </r>
      </text>
    </comment>
    <comment ref="I31" authorId="0">
      <text>
        <r>
          <rPr>
            <b/>
            <sz val="9"/>
            <color indexed="81"/>
            <rFont val="Tahoma"/>
            <family val="2"/>
          </rPr>
          <t>De Courreges, Edouard (Research):</t>
        </r>
        <r>
          <rPr>
            <sz val="9"/>
            <color indexed="81"/>
            <rFont val="Tahoma"/>
            <family val="2"/>
          </rPr>
          <t xml:space="preserve">
2016 ERP IAW Damodoran</t>
        </r>
      </text>
    </comment>
    <comment ref="I32" authorId="0">
      <text>
        <r>
          <rPr>
            <b/>
            <sz val="9"/>
            <color indexed="81"/>
            <rFont val="Tahoma"/>
            <family val="2"/>
          </rPr>
          <t>De Courreges, Edouard (Research):</t>
        </r>
        <r>
          <rPr>
            <sz val="9"/>
            <color indexed="81"/>
            <rFont val="Tahoma"/>
            <family val="2"/>
          </rPr>
          <t xml:space="preserve">
IAW BB 8/10/17 1yr raw</t>
        </r>
      </text>
    </comment>
  </commentList>
</comments>
</file>

<file path=xl/comments15.xml><?xml version="1.0" encoding="utf-8"?>
<comments xmlns="http://schemas.openxmlformats.org/spreadsheetml/2006/main">
  <authors>
    <author>Leon Michaelides</author>
  </authors>
  <commentList>
    <comment ref="C20" authorId="0">
      <text>
        <r>
          <rPr>
            <b/>
            <sz val="8"/>
            <color indexed="81"/>
            <rFont val="Tahoma"/>
            <family val="2"/>
          </rPr>
          <t>Leon Michaelides:</t>
        </r>
        <r>
          <rPr>
            <sz val="8"/>
            <color indexed="81"/>
            <rFont val="Tahoma"/>
            <family val="2"/>
          </rPr>
          <t xml:space="preserve">
This is assuming that the take on portfolio of leases is on average half way through their life.   Use the simple example to calculate what % this will be using the same assumptions as in the first year for this model.</t>
        </r>
      </text>
    </comment>
    <comment ref="B37" authorId="0">
      <text>
        <r>
          <rPr>
            <b/>
            <sz val="8"/>
            <color indexed="81"/>
            <rFont val="Tahoma"/>
            <family val="2"/>
          </rPr>
          <t>Leon Michaelides:</t>
        </r>
        <r>
          <rPr>
            <sz val="8"/>
            <color indexed="81"/>
            <rFont val="Tahoma"/>
            <family val="2"/>
          </rPr>
          <t xml:space="preserve">
If the company only begins using operating leases during the historical periods included in the template then for first year set weighted average interest rate equal to the interest implicit in new leases signed.</t>
        </r>
      </text>
    </comment>
    <comment ref="B40" authorId="0">
      <text>
        <r>
          <rPr>
            <b/>
            <sz val="8"/>
            <color indexed="81"/>
            <rFont val="Tahoma"/>
            <family val="2"/>
          </rPr>
          <t>Leon Michaelides:</t>
        </r>
        <r>
          <rPr>
            <sz val="8"/>
            <color indexed="81"/>
            <rFont val="Tahoma"/>
            <family val="2"/>
          </rPr>
          <t xml:space="preserve">
Use as an alternate method of forecasting lease payments.  Or if disclosures are available then use as a sensibility check on forecast lease payments.  </t>
        </r>
      </text>
    </comment>
    <comment ref="B43" authorId="0">
      <text>
        <r>
          <rPr>
            <b/>
            <sz val="8"/>
            <color indexed="81"/>
            <rFont val="Tahoma"/>
            <family val="2"/>
          </rPr>
          <t>Leon Michaelides:</t>
        </r>
        <r>
          <rPr>
            <sz val="8"/>
            <color indexed="81"/>
            <rFont val="Tahoma"/>
            <family val="2"/>
          </rPr>
          <t xml:space="preserve">
Use as an alternate method of forecasting lease payments.  Or if disclosures are available then use as a sensibility check on forecast lease payments.  </t>
        </r>
      </text>
    </comment>
    <comment ref="B47" authorId="0">
      <text>
        <r>
          <rPr>
            <b/>
            <sz val="8"/>
            <color indexed="81"/>
            <rFont val="Tahoma"/>
            <family val="2"/>
          </rPr>
          <t>Leon Michaelides:</t>
        </r>
        <r>
          <rPr>
            <sz val="8"/>
            <color indexed="81"/>
            <rFont val="Tahoma"/>
            <family val="2"/>
          </rPr>
          <t xml:space="preserve">
An option if disclosure is available is to forecast lease payments per number of leased units.</t>
        </r>
      </text>
    </comment>
    <comment ref="B50" authorId="0">
      <text>
        <r>
          <rPr>
            <b/>
            <sz val="8"/>
            <color indexed="81"/>
            <rFont val="Tahoma"/>
            <family val="2"/>
          </rPr>
          <t>Leon Michaelides:</t>
        </r>
        <r>
          <rPr>
            <sz val="8"/>
            <color indexed="81"/>
            <rFont val="Tahoma"/>
            <family val="2"/>
          </rPr>
          <t xml:space="preserve">
Present Value of the Increase in lease payments each year.  This is the PV of new leases signed and is equavilent to the capital spending financed through operating leases.
Either use an assumed growth rate or forecast capex explicitly.</t>
        </r>
      </text>
    </comment>
    <comment ref="B51" authorId="0">
      <text>
        <r>
          <rPr>
            <b/>
            <sz val="8"/>
            <color indexed="81"/>
            <rFont val="Tahoma"/>
            <family val="2"/>
          </rPr>
          <t>Leon Michaelides:</t>
        </r>
        <r>
          <rPr>
            <sz val="8"/>
            <color indexed="81"/>
            <rFont val="Tahoma"/>
            <family val="2"/>
          </rPr>
          <t xml:space="preserve">
Use as an alternate method of forecasting lease payments. </t>
        </r>
      </text>
    </comment>
    <comment ref="B56" authorId="0">
      <text>
        <r>
          <rPr>
            <b/>
            <sz val="8"/>
            <color indexed="81"/>
            <rFont val="Tahoma"/>
            <family val="2"/>
          </rPr>
          <t>Leon Michaelides:</t>
        </r>
        <r>
          <rPr>
            <sz val="8"/>
            <color indexed="81"/>
            <rFont val="Tahoma"/>
            <family val="2"/>
          </rPr>
          <t xml:space="preserve">
non cancelable leases only</t>
        </r>
      </text>
    </comment>
    <comment ref="B66" authorId="0">
      <text>
        <r>
          <rPr>
            <b/>
            <sz val="8"/>
            <color indexed="81"/>
            <rFont val="Tahoma"/>
            <family val="2"/>
          </rPr>
          <t>Leon Michaelides:</t>
        </r>
        <r>
          <rPr>
            <sz val="8"/>
            <color indexed="81"/>
            <rFont val="Tahoma"/>
            <family val="2"/>
          </rPr>
          <t xml:space="preserve">
If operating lease expense in the current year includes cancelable leases then estimate portion of non-cancelable leases as done in this example. 
e.g.  CY non cancelable lease pmnt = PY forecast year 1 commitment x growth in total commitments from PY to CY.</t>
        </r>
      </text>
    </comment>
    <comment ref="C139" authorId="0">
      <text>
        <r>
          <rPr>
            <b/>
            <sz val="8"/>
            <color indexed="81"/>
            <rFont val="Tahoma"/>
            <family val="2"/>
          </rPr>
          <t>Leon Michaelides:</t>
        </r>
        <r>
          <rPr>
            <sz val="8"/>
            <color indexed="81"/>
            <rFont val="Tahoma"/>
            <family val="2"/>
          </rPr>
          <t xml:space="preserve">
factor to apply to smooth depreciation of the take on carrying value of leased assets.  This is to depreciate them on a reducing balance method to similate a portfolio where leases would roll off over time.</t>
        </r>
      </text>
    </comment>
  </commentList>
</comments>
</file>

<file path=xl/sharedStrings.xml><?xml version="1.0" encoding="utf-8"?>
<sst xmlns="http://schemas.openxmlformats.org/spreadsheetml/2006/main" count="68623" uniqueCount="1070">
  <si>
    <t>This sheet contains Factset binary data for use with this workbook's =FDS codes.  Modifying the worksheet's contents may damage the workbook's =FDS functionality.</t>
  </si>
  <si>
    <t>LULU.O,mscalc:closePriceCurrencyCalc</t>
  </si>
  <si>
    <t>LULU.O,mscalc:sedolCodeCalc</t>
  </si>
  <si>
    <t>LULU.O,mscalc:targetPrice,,,,USD</t>
  </si>
  <si>
    <t>B23FN39</t>
  </si>
  <si>
    <t>Statutory Tax Rate</t>
  </si>
  <si>
    <t>LULU.O,mscalc:factsetIdCalc</t>
  </si>
  <si>
    <t>LULU</t>
  </si>
  <si>
    <t>Net Income Reported</t>
  </si>
  <si>
    <t>Balance Check</t>
  </si>
  <si>
    <t>Cash and Equivalents</t>
  </si>
  <si>
    <t>Inventories</t>
  </si>
  <si>
    <t>Net PP&amp;E</t>
  </si>
  <si>
    <t>Total Current Liabilities</t>
  </si>
  <si>
    <t>Total Long-Term Liabilities</t>
  </si>
  <si>
    <t>Total Shareholders' Equity</t>
  </si>
  <si>
    <t>Receivables</t>
  </si>
  <si>
    <t>Total Current Assets</t>
  </si>
  <si>
    <t>Liabilities and Shareholders' Equity</t>
  </si>
  <si>
    <t>TOTAL LIABILITIES</t>
  </si>
  <si>
    <t>Avg. Retail Sales Per Store ($MM)</t>
  </si>
  <si>
    <t>% Increase</t>
  </si>
  <si>
    <t>% Tax Rate</t>
  </si>
  <si>
    <t>% Net Margin</t>
  </si>
  <si>
    <t>% Chg. from LY</t>
  </si>
  <si>
    <t>% Chg. Avg. Units</t>
  </si>
  <si>
    <t>CAGR</t>
  </si>
  <si>
    <t># Stores Open BOY</t>
  </si>
  <si>
    <t># Stores Open EOY</t>
  </si>
  <si>
    <t>Avg. # Open</t>
  </si>
  <si>
    <t>Comparable-Store Sales</t>
  </si>
  <si>
    <t>Operating Profit ($MM)</t>
  </si>
  <si>
    <t>($ millions except per share data)</t>
  </si>
  <si>
    <t>Avg. Store Size (Gross Sq. Ft.)</t>
  </si>
  <si>
    <t>Ending Gross Sq. Ft. (MM)</t>
  </si>
  <si>
    <t>(a) Projected sales figures exclude Internet sales.</t>
  </si>
  <si>
    <t>% Gross Margin</t>
  </si>
  <si>
    <t>% of Sales</t>
  </si>
  <si>
    <t>% Margin</t>
  </si>
  <si>
    <t>(1)</t>
  </si>
  <si>
    <t>Total/Comp</t>
  </si>
  <si>
    <t>Non-Comp.</t>
  </si>
  <si>
    <t>Spread</t>
  </si>
  <si>
    <t>No. of Stores</t>
  </si>
  <si>
    <t>Space</t>
  </si>
  <si>
    <t>(1) - (2)</t>
  </si>
  <si>
    <t>Average</t>
  </si>
  <si>
    <t>Expansion</t>
  </si>
  <si>
    <t>Productivity (3)/(6)</t>
  </si>
  <si>
    <t>(2)</t>
  </si>
  <si>
    <t>(3)</t>
  </si>
  <si>
    <t>(4)</t>
  </si>
  <si>
    <t>(5)</t>
  </si>
  <si>
    <t>(6)</t>
  </si>
  <si>
    <t>(7)</t>
  </si>
  <si>
    <t>(9)</t>
  </si>
  <si>
    <t>Year</t>
  </si>
  <si>
    <t>Store</t>
  </si>
  <si>
    <t xml:space="preserve">Per Avg. </t>
  </si>
  <si>
    <t xml:space="preserve">Percent </t>
  </si>
  <si>
    <t>Change</t>
  </si>
  <si>
    <t>(8)</t>
  </si>
  <si>
    <t>(10)</t>
  </si>
  <si>
    <t>Square Footage</t>
  </si>
  <si>
    <t>(11)</t>
  </si>
  <si>
    <t>(12)</t>
  </si>
  <si>
    <t>(13)</t>
  </si>
  <si>
    <t>Productivity (3)/(13)</t>
  </si>
  <si>
    <t>(14)</t>
  </si>
  <si>
    <t>(15)</t>
  </si>
  <si>
    <t>(16)</t>
  </si>
  <si>
    <t>(17)</t>
  </si>
  <si>
    <t>Per Avg.</t>
  </si>
  <si>
    <t>Square Ft.</t>
  </si>
  <si>
    <t>Square Footage Analysis</t>
  </si>
  <si>
    <t>Store Analysis</t>
  </si>
  <si>
    <t>Sales (mm) (a)</t>
  </si>
  <si>
    <t>Sales (mm, except per foot data) (a)</t>
  </si>
  <si>
    <t>Source: Company reports and Morgan Stanley estimates.</t>
  </si>
  <si>
    <t>Apr</t>
  </si>
  <si>
    <t>Jul</t>
  </si>
  <si>
    <t>Oct</t>
  </si>
  <si>
    <t>Jan</t>
  </si>
  <si>
    <t xml:space="preserve">  Year</t>
  </si>
  <si>
    <t>6 Mos.</t>
  </si>
  <si>
    <t>9 Mos.</t>
  </si>
  <si>
    <t>NA</t>
  </si>
  <si>
    <t>For the fiscal year ending January 31 of the following year</t>
  </si>
  <si>
    <t>($ in millions except per share data)</t>
  </si>
  <si>
    <t>Sales</t>
  </si>
  <si>
    <t>Total</t>
  </si>
  <si>
    <t>Comp-</t>
  </si>
  <si>
    <t>Stores</t>
  </si>
  <si>
    <t>%</t>
  </si>
  <si>
    <t>Avg. Gross Sq. Ft. (MM)</t>
  </si>
  <si>
    <t>1Q</t>
  </si>
  <si>
    <t>2Q</t>
  </si>
  <si>
    <t>3Q</t>
  </si>
  <si>
    <t>4Q</t>
  </si>
  <si>
    <t>Inventory (Y-o-Y % Change vs. % Sales Growth)</t>
  </si>
  <si>
    <t>Equals: "Operating" Working Capital (Y-o-Y % Change vs. % Sales Growth)</t>
  </si>
  <si>
    <t>Year-to-Year Dollar Change in Working Capital</t>
  </si>
  <si>
    <t>($ millions)</t>
  </si>
  <si>
    <t>Cash &amp; Equivalents</t>
  </si>
  <si>
    <t>Long-Term Debt</t>
  </si>
  <si>
    <t>Total Debt</t>
  </si>
  <si>
    <t>Net Debt (Total Debt Less Cash)</t>
  </si>
  <si>
    <t>Shareholders' Equity</t>
  </si>
  <si>
    <t>Total Capital</t>
  </si>
  <si>
    <t>Total Debt as % of Total Capital</t>
  </si>
  <si>
    <t>Net Debt as % of Total Capital</t>
  </si>
  <si>
    <t>Source: Company reports.</t>
  </si>
  <si>
    <t>% Change</t>
  </si>
  <si>
    <t>TOTAL ASSETS</t>
  </si>
  <si>
    <t>Inventory</t>
  </si>
  <si>
    <t>Cost of</t>
  </si>
  <si>
    <t>End of</t>
  </si>
  <si>
    <t>Prior</t>
  </si>
  <si>
    <t>Following</t>
  </si>
  <si>
    <t>Goods Sold</t>
  </si>
  <si>
    <t>Quarter</t>
  </si>
  <si>
    <t>Prior Year</t>
  </si>
  <si>
    <t>Assets</t>
  </si>
  <si>
    <t>x</t>
  </si>
  <si>
    <t>TOTAL LIABILITIES AND S/H EQUITY</t>
  </si>
  <si>
    <t>Open</t>
  </si>
  <si>
    <t>Y-o-Y</t>
  </si>
  <si>
    <t>At</t>
  </si>
  <si>
    <t>at End</t>
  </si>
  <si>
    <t>per</t>
  </si>
  <si>
    <t>of Quarter</t>
  </si>
  <si>
    <t>Sq. Ft.</t>
  </si>
  <si>
    <t>vs.</t>
  </si>
  <si>
    <t>Inventory vs.</t>
  </si>
  <si>
    <t>Quarterly</t>
  </si>
  <si>
    <t>Turnover Analysis</t>
  </si>
  <si>
    <t>Average (a)</t>
  </si>
  <si>
    <t>Quarter (b)</t>
  </si>
  <si>
    <t>on Hand</t>
  </si>
  <si>
    <t>Days Inventory</t>
  </si>
  <si>
    <t>Avg. (a)</t>
  </si>
  <si>
    <t>Qtr (b)</t>
  </si>
  <si>
    <t>Follow</t>
  </si>
  <si>
    <t>Ratio calculations:</t>
  </si>
  <si>
    <t>COGS</t>
  </si>
  <si>
    <t>SG&amp;A</t>
  </si>
  <si>
    <t>Net Income</t>
  </si>
  <si>
    <t>Capital Expenditures</t>
  </si>
  <si>
    <t>TOTAL OPERATING SOURCES</t>
  </si>
  <si>
    <t>Net Working Capital</t>
  </si>
  <si>
    <t>TOTAL OPERATING USES</t>
  </si>
  <si>
    <t>INTERNAL CASH GENERATION (FUNDS NEEDED)</t>
  </si>
  <si>
    <t>TOTAL EXTERNAL SOURCES</t>
  </si>
  <si>
    <t>Beginning Cash Balance</t>
  </si>
  <si>
    <t>Increase (Decrease) in Cash</t>
  </si>
  <si>
    <t>Increase (Decrease) in</t>
  </si>
  <si>
    <t>(Increase) Decrease in</t>
  </si>
  <si>
    <t>Ending Cash Balance</t>
  </si>
  <si>
    <t>Total External Sources &amp; Cash</t>
  </si>
  <si>
    <t>Capex / Sales</t>
  </si>
  <si>
    <t>Cash Flow Per Share</t>
  </si>
  <si>
    <t>Income Statement</t>
  </si>
  <si>
    <t>Cost of Goods Sold</t>
  </si>
  <si>
    <t>Gross Profit</t>
  </si>
  <si>
    <t>SG&amp;A Expense</t>
  </si>
  <si>
    <t>Operating Income</t>
  </si>
  <si>
    <t>Pretax Income</t>
  </si>
  <si>
    <t>Taxes</t>
  </si>
  <si>
    <t>Net Income from Operations</t>
  </si>
  <si>
    <t>Extraordinary Gain/Loss</t>
  </si>
  <si>
    <t>Average Diluted Shares</t>
  </si>
  <si>
    <t>Average Basic Shares</t>
  </si>
  <si>
    <t>Operating EPS</t>
  </si>
  <si>
    <t>End of Period Shares</t>
  </si>
  <si>
    <t>EBITDA</t>
  </si>
  <si>
    <t>Margin Analysis</t>
  </si>
  <si>
    <t>Gross Margin</t>
  </si>
  <si>
    <t>Expense Ratio</t>
  </si>
  <si>
    <t>Operating Margin</t>
  </si>
  <si>
    <t>Pretax Margin</t>
  </si>
  <si>
    <t>Tax Rate</t>
  </si>
  <si>
    <t>Net Margin</t>
  </si>
  <si>
    <t>EBITDA Margin</t>
  </si>
  <si>
    <t>Year-Over-Year Growth</t>
  </si>
  <si>
    <t>Comparable Store Sales</t>
  </si>
  <si>
    <t>Quarterly Results and Estimates</t>
  </si>
  <si>
    <t>Annual Data (Year-end)</t>
  </si>
  <si>
    <t>Store Count</t>
  </si>
  <si>
    <t>Total Sq Ft (millions)</t>
  </si>
  <si>
    <t>Total Sq Ft Growth</t>
  </si>
  <si>
    <t>Avg Size</t>
  </si>
  <si>
    <t>USD</t>
  </si>
  <si>
    <t>,mscalc:closePriceCurrencyCalc</t>
  </si>
  <si>
    <t>,mscalc:sedolCodeCalc</t>
  </si>
  <si>
    <t>,mscalc:targetPrice,,,,USD</t>
  </si>
  <si>
    <t>LULU.O,mscalc:targetPrice</t>
  </si>
  <si>
    <t>Inventory Turnover</t>
  </si>
  <si>
    <t>Payables / Inventory</t>
  </si>
  <si>
    <t>Debt to Total Capital</t>
  </si>
  <si>
    <t>Return on Equity</t>
  </si>
  <si>
    <t>LULU.O,mscalc:defaultCurrencyCalc</t>
  </si>
  <si>
    <t>Month</t>
  </si>
  <si>
    <t>Amount</t>
  </si>
  <si>
    <t xml:space="preserve"> Feb</t>
  </si>
  <si>
    <t xml:space="preserve"> Mar</t>
  </si>
  <si>
    <t xml:space="preserve"> Apr</t>
  </si>
  <si>
    <t xml:space="preserve"> May</t>
  </si>
  <si>
    <t xml:space="preserve"> Jun</t>
  </si>
  <si>
    <t xml:space="preserve"> Jul</t>
  </si>
  <si>
    <t xml:space="preserve"> Aug</t>
  </si>
  <si>
    <t xml:space="preserve"> Sep</t>
  </si>
  <si>
    <t xml:space="preserve"> Oct</t>
  </si>
  <si>
    <t xml:space="preserve"> Nov</t>
  </si>
  <si>
    <t xml:space="preserve"> Dec</t>
  </si>
  <si>
    <t xml:space="preserve"> Jan</t>
  </si>
  <si>
    <t xml:space="preserve"> </t>
  </si>
  <si>
    <t>Other Assets</t>
  </si>
  <si>
    <t>% Growth</t>
  </si>
  <si>
    <t>% Increase / (% Decrease)</t>
  </si>
  <si>
    <t>Store Sales ($MM)</t>
  </si>
  <si>
    <t>Total Sales ($MM)</t>
  </si>
  <si>
    <t>Productivity Factor</t>
  </si>
  <si>
    <t>Y/Y ∆ bps</t>
  </si>
  <si>
    <t>Comp Store Sales Increase / (Decrease)</t>
  </si>
  <si>
    <t>% of Sales (before cost savings)</t>
  </si>
  <si>
    <t>Receivables Turnover</t>
  </si>
  <si>
    <t>Payable Turnover</t>
  </si>
  <si>
    <t>Net Debt/(Cash)</t>
  </si>
  <si>
    <t>Total Capitalization</t>
  </si>
  <si>
    <t>Net Operating Assets</t>
  </si>
  <si>
    <t>Debt/Equity</t>
  </si>
  <si>
    <t>Debt/Capitalization</t>
  </si>
  <si>
    <t>Net Debt/Capitalization</t>
  </si>
  <si>
    <t>Liquidity Position</t>
  </si>
  <si>
    <t>Operating Efficiency</t>
  </si>
  <si>
    <t>Days Inventory On Hand</t>
  </si>
  <si>
    <t>Days Sales Outstanding</t>
  </si>
  <si>
    <t>Avg. Total Sales Per Store ($MM)</t>
  </si>
  <si>
    <t>Total Sales Per Avg Gross Sq Ft</t>
  </si>
  <si>
    <t>Interest Exp/(Inc)</t>
  </si>
  <si>
    <t xml:space="preserve">NA </t>
  </si>
  <si>
    <t>JCP.N,mscalc:closePriceCurrencyCalc</t>
  </si>
  <si>
    <t>JCP.N,mscalc:targetPrice,,,,USD</t>
  </si>
  <si>
    <t>22</t>
  </si>
  <si>
    <t>JCP.N,mscalc:sedolCodeCalc</t>
  </si>
  <si>
    <t>JCP.N,mscalc:targetPrice</t>
  </si>
  <si>
    <t>2680303</t>
  </si>
  <si>
    <t>Floorspace</t>
  </si>
  <si>
    <t>Common Stock</t>
  </si>
  <si>
    <t>Other Current Assets</t>
  </si>
  <si>
    <t>Internet ($MM)</t>
  </si>
  <si>
    <t>+ Net New Units</t>
  </si>
  <si>
    <t>Dividend Per Share</t>
  </si>
  <si>
    <t>2012 Extra Week Impact</t>
  </si>
  <si>
    <t>Est.</t>
  </si>
  <si>
    <t>KSS.N,mscalc:closePriceCurrencyCalc</t>
  </si>
  <si>
    <t>KSS.N,mscalc:sedolCodeCalc</t>
  </si>
  <si>
    <t>KSS.N,mscalc:targetPrice,,,,USD</t>
  </si>
  <si>
    <t>2496113</t>
  </si>
  <si>
    <t>1. Retail Sales (Year-to-Year % Increase/Comps)</t>
  </si>
  <si>
    <t>Other (Income)</t>
  </si>
  <si>
    <t>--</t>
  </si>
  <si>
    <t>Deferred Income Taxes</t>
  </si>
  <si>
    <t>Other Long-Term Liabilities</t>
  </si>
  <si>
    <t>Depreciation and Amortization</t>
  </si>
  <si>
    <t>Accounts Payable and Accrued Liabilities</t>
  </si>
  <si>
    <t>Discontinued Operations Charges (Gains)</t>
  </si>
  <si>
    <t>Sale of PP&amp;E</t>
  </si>
  <si>
    <t>Borrowings of LT Debt</t>
  </si>
  <si>
    <t>Repayment of LT Debt</t>
  </si>
  <si>
    <t>Issuance of Common Stock</t>
  </si>
  <si>
    <t>Purchase of treasury Stock</t>
  </si>
  <si>
    <t>Cash dividends paid</t>
  </si>
  <si>
    <t>Qtr</t>
  </si>
  <si>
    <t>Square Footage and Store Count</t>
  </si>
  <si>
    <t>% chg.</t>
  </si>
  <si>
    <t>Store Openings and Closings</t>
  </si>
  <si>
    <t>GROSS SQUARE FOOTAGE (in 000s)</t>
  </si>
  <si>
    <t>Plus: Receivables (Y-o-Y % Change vs. % Sales Growth)</t>
  </si>
  <si>
    <t>Short-Term Debt (including debt held for sale)</t>
  </si>
  <si>
    <t>Retail Sales</t>
  </si>
  <si>
    <t>SKS.N,mscalc:targetPrice,,,,USD</t>
  </si>
  <si>
    <t>SKS.N,mscalc:closePriceCurrencyCalc</t>
  </si>
  <si>
    <t>SKS.N,mscalc:sedolCodeCalc</t>
  </si>
  <si>
    <t>2704786</t>
  </si>
  <si>
    <t>Macy's Inc.</t>
  </si>
  <si>
    <t>Federated (Post-Bankruptcy)</t>
  </si>
  <si>
    <t>Ex-Fingerhut</t>
  </si>
  <si>
    <t>Proforma -- May Department Stores</t>
  </si>
  <si>
    <t>RPT'D</t>
  </si>
  <si>
    <t>PFMA</t>
  </si>
  <si>
    <t>FD+MCO</t>
  </si>
  <si>
    <t>1994P</t>
  </si>
  <si>
    <t>R-1999</t>
  </si>
  <si>
    <t>R-2000</t>
  </si>
  <si>
    <t>R-2001</t>
  </si>
  <si>
    <t>R-2005</t>
  </si>
  <si>
    <t>O-2005</t>
  </si>
  <si>
    <t>O-Q406</t>
  </si>
  <si>
    <t>O-Q407</t>
  </si>
  <si>
    <t xml:space="preserve">NM </t>
  </si>
  <si>
    <t>Net Openings</t>
  </si>
  <si>
    <t>For the fiscal year ending January 11 of the following year</t>
  </si>
  <si>
    <t>4. Operating Income  (% of Sales / % Change)</t>
  </si>
  <si>
    <t>5. Interest Expense (Income)  (% of Sales)</t>
  </si>
  <si>
    <t>6. LIFO Charge</t>
  </si>
  <si>
    <t xml:space="preserve">7. Pre-Tax Extraordinary Charges </t>
  </si>
  <si>
    <t>10. Net Earnings (% Net Margin / % Change)</t>
  </si>
  <si>
    <t>12. Net Earnings (% Net Margin / % Change)</t>
  </si>
  <si>
    <t>3. Selling, General and Administrative Expense (% of Sales / % growth)</t>
  </si>
  <si>
    <t>9. Income Taxes/(Credit) (% Tax Rate)</t>
  </si>
  <si>
    <t>13. EPS Before Extraordinary/Discontinued - Fully Diluted (% Change)</t>
  </si>
  <si>
    <t>14. Earnings Per Share - GAAP - Fully Diluted (% change)</t>
  </si>
  <si>
    <t>1. Sales</t>
  </si>
  <si>
    <t>2. Cost of Goods Sold</t>
  </si>
  <si>
    <t>3. SG&amp;A Expense</t>
  </si>
  <si>
    <t>4. Operating Income</t>
  </si>
  <si>
    <t xml:space="preserve">5. Interest Expense </t>
  </si>
  <si>
    <t>7. Pre-Tax Extraordinary Charges</t>
  </si>
  <si>
    <t>8. Pretax Income</t>
  </si>
  <si>
    <t>9. Income Taxes</t>
  </si>
  <si>
    <t>10. Net Earnings</t>
  </si>
  <si>
    <t>11. Extraordinary Items (after tax)</t>
  </si>
  <si>
    <t>12. Net Earnings (after extra items)</t>
  </si>
  <si>
    <t>13. Operating Earnings per Share</t>
  </si>
  <si>
    <t>15. Average Shares Outstanding</t>
  </si>
  <si>
    <t>15. Average Diluted Shares</t>
  </si>
  <si>
    <t>16. Average Basic Shares</t>
  </si>
  <si>
    <t>17. Basic Shares Outstanding</t>
  </si>
  <si>
    <t>8. Pretax Income (Loss) (% Margin)</t>
  </si>
  <si>
    <t>Pension Expense (y/y $ change)</t>
  </si>
  <si>
    <t>Depreciation (% of Sales)</t>
  </si>
  <si>
    <t xml:space="preserve">Stores / Square Feet </t>
  </si>
  <si>
    <t>(Gain) Loss on Sale of Assets</t>
  </si>
  <si>
    <t>Supplies and Prepaid xpenses</t>
  </si>
  <si>
    <t>Current Income Taxes</t>
  </si>
  <si>
    <t>Other Liabilities</t>
  </si>
  <si>
    <t>Proceeds from Sale of Proprietary Accounts Receivable</t>
  </si>
  <si>
    <t>Net cash used by discontinued ops.</t>
  </si>
  <si>
    <t>Supplies and Prepaid Expenses</t>
  </si>
  <si>
    <t>Assets of Discontinued Operations</t>
  </si>
  <si>
    <t>Intangible Assets, Net</t>
  </si>
  <si>
    <t>Goodwill</t>
  </si>
  <si>
    <t>Notes Receivable</t>
  </si>
  <si>
    <t>Short-term Debt</t>
  </si>
  <si>
    <t>Income Taxes</t>
  </si>
  <si>
    <t>Liabilities of Discontinued Operations</t>
  </si>
  <si>
    <t>Long-term Debt</t>
  </si>
  <si>
    <t>Additional Paid-in-Capital</t>
  </si>
  <si>
    <t>Retained Earnings</t>
  </si>
  <si>
    <t>Accumulated Other Comprehensive Income</t>
  </si>
  <si>
    <t>Plus: Supplies and Prepaid Expenses (Y-o-Y % Change vs. % Sales Growth)</t>
  </si>
  <si>
    <t>Less: Accounts Payable and Accrued Liabilities (Y-o-Y % Change vs. % Sales Growth)</t>
  </si>
  <si>
    <t>Less: Income Taxes / Deferred Income Taxes (Y-o-Y % Change vs. % Sales Growth)</t>
  </si>
  <si>
    <t>Plus: Other Current Assets (incl. current assets held for sale)</t>
  </si>
  <si>
    <t>1Q00</t>
  </si>
  <si>
    <t>2Q00</t>
  </si>
  <si>
    <t>3Q00</t>
  </si>
  <si>
    <t>4Q00</t>
  </si>
  <si>
    <t>1Q01</t>
  </si>
  <si>
    <t>2Q01</t>
  </si>
  <si>
    <t>3Q01</t>
  </si>
  <si>
    <t>4Q01</t>
  </si>
  <si>
    <t>1Q02</t>
  </si>
  <si>
    <t>2Q02</t>
  </si>
  <si>
    <t>3Q02</t>
  </si>
  <si>
    <t>4Q02</t>
  </si>
  <si>
    <t>1Q03</t>
  </si>
  <si>
    <t>2Q03</t>
  </si>
  <si>
    <t>3Q03</t>
  </si>
  <si>
    <t>4Q03</t>
  </si>
  <si>
    <t>1Q04</t>
  </si>
  <si>
    <t>2Q04</t>
  </si>
  <si>
    <t>3Q04</t>
  </si>
  <si>
    <t>4Q04</t>
  </si>
  <si>
    <t>1Q05</t>
  </si>
  <si>
    <t>2Q05</t>
  </si>
  <si>
    <t>3Q05</t>
  </si>
  <si>
    <t>4Q05</t>
  </si>
  <si>
    <t>1Q06</t>
  </si>
  <si>
    <t>2Q06</t>
  </si>
  <si>
    <t>3Q06</t>
  </si>
  <si>
    <t>4Q06</t>
  </si>
  <si>
    <t>1Q07</t>
  </si>
  <si>
    <t>2Q07</t>
  </si>
  <si>
    <t>3Q07</t>
  </si>
  <si>
    <t>4Q07</t>
  </si>
  <si>
    <t>1Q08</t>
  </si>
  <si>
    <t>2Q08</t>
  </si>
  <si>
    <t>3Q08</t>
  </si>
  <si>
    <t>4Q08</t>
  </si>
  <si>
    <t>1Q09</t>
  </si>
  <si>
    <t>2Q09</t>
  </si>
  <si>
    <t>3Q09</t>
  </si>
  <si>
    <t>4Q09</t>
  </si>
  <si>
    <t>1Q10</t>
  </si>
  <si>
    <t>2Q10</t>
  </si>
  <si>
    <t>3Q10</t>
  </si>
  <si>
    <t>4Q10</t>
  </si>
  <si>
    <t>1Q11</t>
  </si>
  <si>
    <t>2Q11</t>
  </si>
  <si>
    <t>3Q11</t>
  </si>
  <si>
    <t>4Q11</t>
  </si>
  <si>
    <t>1Q12</t>
  </si>
  <si>
    <t>2Q12</t>
  </si>
  <si>
    <t>3Q12</t>
  </si>
  <si>
    <t>4Q12</t>
  </si>
  <si>
    <t>Store (incl. online)</t>
  </si>
  <si>
    <t>LIFO Charge</t>
  </si>
  <si>
    <t>Depreciation</t>
  </si>
  <si>
    <t>Repo Px</t>
  </si>
  <si>
    <t>Qtrly Shr</t>
  </si>
  <si>
    <t>Repo</t>
  </si>
  <si>
    <t>1H</t>
  </si>
  <si>
    <t>2H</t>
  </si>
  <si>
    <t>Depreciation as % of Sales</t>
  </si>
  <si>
    <t>Days Payable</t>
  </si>
  <si>
    <t>Prepaids as % of Sales</t>
  </si>
  <si>
    <t>Total Sales</t>
  </si>
  <si>
    <t>Bull</t>
  </si>
  <si>
    <t>Bear</t>
  </si>
  <si>
    <t>2010A</t>
  </si>
  <si>
    <t>2011A</t>
  </si>
  <si>
    <t>1Q13</t>
  </si>
  <si>
    <t>2Q13</t>
  </si>
  <si>
    <t>3Q13</t>
  </si>
  <si>
    <t>4Q13</t>
  </si>
  <si>
    <t>Proforma</t>
  </si>
  <si>
    <t>Operating Lease Module</t>
  </si>
  <si>
    <t>Adjustment to Income Statement</t>
  </si>
  <si>
    <t>Reverse Rent Payment</t>
  </si>
  <si>
    <t>Add Implied Depreciation Expense</t>
  </si>
  <si>
    <t>Net Increase/(Decrease) to Operating Income</t>
  </si>
  <si>
    <t>Add Estimated Interest Expense</t>
  </si>
  <si>
    <t>Net Increase/(Decrease) to Pre-tax Income</t>
  </si>
  <si>
    <t>Principal Paid</t>
  </si>
  <si>
    <t>FIXED ASSET SCHEDULE</t>
  </si>
  <si>
    <t>Beginning Carrying Value of Leased Assets</t>
  </si>
  <si>
    <t xml:space="preserve">Additions </t>
  </si>
  <si>
    <t>Current year charge</t>
  </si>
  <si>
    <t>Carying Value of Assets Held Under Operating Leases</t>
  </si>
  <si>
    <t>Ratio of carrying value to oustanding debt value for take on balance</t>
  </si>
  <si>
    <t>OPERATING LEASE DEBT SCHEDULE</t>
  </si>
  <si>
    <t>Beginning Balance of Implied Debt</t>
  </si>
  <si>
    <t>Interest</t>
  </si>
  <si>
    <t>Repayment</t>
  </si>
  <si>
    <t>Debt Issuances (Reductions)</t>
  </si>
  <si>
    <t>Ending Balance of Implied Debt</t>
  </si>
  <si>
    <t>Assets to Liabilities</t>
  </si>
  <si>
    <t>Cummulative Adjustment To Equity</t>
  </si>
  <si>
    <t>Year over Year Adjustment in Equity</t>
  </si>
  <si>
    <t>ASSUMPTIONS</t>
  </si>
  <si>
    <t>Weighted average interest rate of lease portfolio</t>
  </si>
  <si>
    <t>Interest implicit in new leases signed</t>
  </si>
  <si>
    <t>Number of Units Leased</t>
  </si>
  <si>
    <t>Growth in Leased Units</t>
  </si>
  <si>
    <t>Leased Units / Total Units in Capacity (%)</t>
  </si>
  <si>
    <t>Leased EOP Gross Sq. Ft. (000s)</t>
  </si>
  <si>
    <t>Growth in Leased Sq. Ft.</t>
  </si>
  <si>
    <t>Leased Sq. Footage / Total Sq. Footage in Capacity (%)</t>
  </si>
  <si>
    <t>Capex per Unit</t>
  </si>
  <si>
    <t>% change in capex per unit</t>
  </si>
  <si>
    <t>Capital expenditure financed through operating leases</t>
  </si>
  <si>
    <t>Marginal Tax Rate</t>
  </si>
  <si>
    <t>Current Year Operating Lease Payments</t>
  </si>
  <si>
    <t>YOY % Change in Current Year Operating Lease Expense</t>
  </si>
  <si>
    <t>Total Reported Lease Commitments</t>
  </si>
  <si>
    <t>Growth in Aggregate Lease Obligations</t>
  </si>
  <si>
    <t>Cumulative Payments After Year 5</t>
  </si>
  <si>
    <t>Implied Total Total Lease Life</t>
  </si>
  <si>
    <t>Implied Remaining Duration on Reported Lease Payements</t>
  </si>
  <si>
    <t>Lease Payment Schedule - Non Cancelable Leases Only</t>
  </si>
  <si>
    <t>Current year rental payment</t>
  </si>
  <si>
    <t>Expected payments forecast year 1</t>
  </si>
  <si>
    <t>Expected payments forecast year 2</t>
  </si>
  <si>
    <t>Expected payments forecast year 3</t>
  </si>
  <si>
    <t>Expected payments forecast year 4</t>
  </si>
  <si>
    <t>Expected payments forecast year 5</t>
  </si>
  <si>
    <t>Expected payments forecast year 6</t>
  </si>
  <si>
    <t>Expected payments forecast year 7</t>
  </si>
  <si>
    <t>Expected payments forecast year 8</t>
  </si>
  <si>
    <t>Expected payments forecast year 9</t>
  </si>
  <si>
    <t>Expected payments forecast year 10</t>
  </si>
  <si>
    <t>Expected payments forecast year 11</t>
  </si>
  <si>
    <t>Expected payments forecast year 12</t>
  </si>
  <si>
    <t>Expected payments forecast year 13</t>
  </si>
  <si>
    <t>Expected payments forecast year 14</t>
  </si>
  <si>
    <t>Expected payments forecast year 15</t>
  </si>
  <si>
    <t>Expected payments forecast year 16</t>
  </si>
  <si>
    <t>Expected payments forecast year 17</t>
  </si>
  <si>
    <t>Expected payments forecast year 18</t>
  </si>
  <si>
    <t>Expected payments forecast year 19</t>
  </si>
  <si>
    <t>Expected payments forecast year 20</t>
  </si>
  <si>
    <t>Expected payments forecast year 21</t>
  </si>
  <si>
    <t>Expected payments forecast year 22</t>
  </si>
  <si>
    <t>Expected payments forecast year 23</t>
  </si>
  <si>
    <t>Expected payments forecast year 24</t>
  </si>
  <si>
    <t>Expected payments forecast year 25</t>
  </si>
  <si>
    <t>Expected payments forecast year 26</t>
  </si>
  <si>
    <t>Expected payments forecast year 27</t>
  </si>
  <si>
    <t>Expected payments forecast year 28</t>
  </si>
  <si>
    <t>Expected payments forecast year 29</t>
  </si>
  <si>
    <t>Expected payments forecast year 30</t>
  </si>
  <si>
    <t>Rental Payments Schedule</t>
  </si>
  <si>
    <t>PV of incremental payments</t>
  </si>
  <si>
    <t>Period</t>
  </si>
  <si>
    <t>Present Value of Incremental Lease Payments</t>
  </si>
  <si>
    <t>Increase in current year lease payments versus previous years expected</t>
  </si>
  <si>
    <t>Estimated additions to leased assets in period</t>
  </si>
  <si>
    <t>Depreciation schedule</t>
  </si>
  <si>
    <t>Assumed Average Lease Life</t>
  </si>
  <si>
    <t>Fade rate for depreciation of opening balance</t>
  </si>
  <si>
    <t>Depreciation of take on book value</t>
  </si>
  <si>
    <t>Depreciation Schedule</t>
  </si>
  <si>
    <t>M.N</t>
  </si>
  <si>
    <t>M.N,mscalc:sedolCodeCalc</t>
  </si>
  <si>
    <t>M.N,mscalc:targetPrice,,,,USD</t>
  </si>
  <si>
    <t>M.N,mscalc:closePriceCurrencyCalc</t>
  </si>
  <si>
    <t>2345022</t>
  </si>
  <si>
    <t>New Space Productivity</t>
  </si>
  <si>
    <t>Ex Fingerhut</t>
  </si>
  <si>
    <t>.</t>
  </si>
  <si>
    <t>Earnings Per Share</t>
  </si>
  <si>
    <t>M</t>
  </si>
  <si>
    <t>1st Qtr</t>
  </si>
  <si>
    <t>2nd Qtr</t>
  </si>
  <si>
    <t>3rd Qtr</t>
  </si>
  <si>
    <t>4th Qtr</t>
  </si>
  <si>
    <t>Increase (Decrease) in Outstanding Checks / Other</t>
  </si>
  <si>
    <t>2012A</t>
  </si>
  <si>
    <t>Other Cash from Operations</t>
  </si>
  <si>
    <t>Other  / Pension Contribution</t>
  </si>
  <si>
    <t>2. Cost of Goods (% of Sales / bps change)</t>
  </si>
  <si>
    <t>Merchandise Payables</t>
  </si>
  <si>
    <t>Merchandise Payables / Inventory</t>
  </si>
  <si>
    <t>BASE CASE</t>
  </si>
  <si>
    <t>2004A</t>
  </si>
  <si>
    <t>2005A</t>
  </si>
  <si>
    <t>2006A</t>
  </si>
  <si>
    <t>2007A</t>
  </si>
  <si>
    <t>2008A</t>
  </si>
  <si>
    <t>2009A</t>
  </si>
  <si>
    <t>2017E</t>
  </si>
  <si>
    <t>Depreciation &amp; Amortization</t>
  </si>
  <si>
    <t>Interest and Other Exp/(Inc)</t>
  </si>
  <si>
    <t>BULL CASE</t>
  </si>
  <si>
    <t>Base Case Sales Comp Spread</t>
  </si>
  <si>
    <t>Bull Case Sales Comp Spread</t>
  </si>
  <si>
    <t>BEAR CASE</t>
  </si>
  <si>
    <t>Bear Case Sales Comp Spread</t>
  </si>
  <si>
    <t>INTERACTIVE</t>
  </si>
  <si>
    <t>Base</t>
  </si>
  <si>
    <t xml:space="preserve">Type "Bull / Base / Bear" here to toggle scenarios &gt;&gt; </t>
  </si>
  <si>
    <t>Actual</t>
  </si>
  <si>
    <t>-</t>
  </si>
  <si>
    <t>Currency</t>
  </si>
  <si>
    <t>Current Stock Price</t>
  </si>
  <si>
    <t>Count</t>
  </si>
  <si>
    <t>1Q14</t>
  </si>
  <si>
    <t>2Q14</t>
  </si>
  <si>
    <t>3Q14</t>
  </si>
  <si>
    <t>4Q14</t>
  </si>
  <si>
    <t>2-yr SG&amp;A</t>
  </si>
  <si>
    <t>2-yr Sales</t>
  </si>
  <si>
    <t>2013A</t>
  </si>
  <si>
    <t>2018E</t>
  </si>
  <si>
    <t>2014A</t>
  </si>
  <si>
    <t>14. GAAP Earnings per Share</t>
  </si>
  <si>
    <t>GAAP EPS</t>
  </si>
  <si>
    <t>2019E</t>
  </si>
  <si>
    <t>WACC</t>
  </si>
  <si>
    <t>NOPAT</t>
  </si>
  <si>
    <t>M.N,mscalc:sharePriceCurrent</t>
  </si>
  <si>
    <t>66.48</t>
  </si>
  <si>
    <t>EPS</t>
  </si>
  <si>
    <t>Metric</t>
  </si>
  <si>
    <t>M.N,mscalcharePriceCurrent</t>
  </si>
  <si>
    <t>$AV$2</t>
  </si>
  <si>
    <t>Model</t>
  </si>
  <si>
    <t>Forecasts</t>
  </si>
  <si>
    <t>Revenue</t>
  </si>
  <si>
    <t>Growth</t>
  </si>
  <si>
    <t>EBIT</t>
  </si>
  <si>
    <t>Margin</t>
  </si>
  <si>
    <t>Operating Taxes</t>
  </si>
  <si>
    <t xml:space="preserve">  NOPAT Margin</t>
  </si>
  <si>
    <t>+Depreciation &amp; Amortization</t>
  </si>
  <si>
    <t xml:space="preserve"> Increase in WC (&amp; other NOA)</t>
  </si>
  <si>
    <t>Total Reinvestment</t>
  </si>
  <si>
    <t xml:space="preserve">  Reinvest Rate</t>
  </si>
  <si>
    <t>Free Cash Flow from Operations</t>
  </si>
  <si>
    <t>Discount Factor</t>
  </si>
  <si>
    <t>NPV of Forecasted Cash Flows</t>
  </si>
  <si>
    <t>Terminal Value</t>
  </si>
  <si>
    <t>NPV of Terminal Value</t>
  </si>
  <si>
    <t>Terminal Value Growth Rate</t>
  </si>
  <si>
    <t xml:space="preserve">Debt Balance </t>
  </si>
  <si>
    <t>Risk-Free Rate</t>
  </si>
  <si>
    <t>Cash Balance (2015E)</t>
  </si>
  <si>
    <t>Market Risk Premium</t>
  </si>
  <si>
    <t>Net Debt</t>
  </si>
  <si>
    <t>Equity Beta</t>
  </si>
  <si>
    <t>Cost of Debt (Pre-tax)</t>
  </si>
  <si>
    <t>Required Equity Return</t>
  </si>
  <si>
    <t xml:space="preserve">Fully Diluted Shares </t>
  </si>
  <si>
    <t>Current Share Price</t>
  </si>
  <si>
    <t>Market Capitalization</t>
  </si>
  <si>
    <t>Market Enterprise Value</t>
  </si>
  <si>
    <t>Sum of NPV Forecasted CFs</t>
  </si>
  <si>
    <t>Intrinsic Enterprise Value</t>
  </si>
  <si>
    <t>Less: Debt</t>
  </si>
  <si>
    <t>Plus: Cash</t>
  </si>
  <si>
    <t>Less: MV of Non-controlling Interest</t>
  </si>
  <si>
    <t>Plus: MV of Equity Investments</t>
  </si>
  <si>
    <t>Equity Value</t>
  </si>
  <si>
    <t>Equity Value per Share</t>
  </si>
  <si>
    <t>Real Estate</t>
  </si>
  <si>
    <t>Multiple</t>
  </si>
  <si>
    <t>Implied PT</t>
  </si>
  <si>
    <t>Asset gains</t>
  </si>
  <si>
    <t>LY's SG&amp;A</t>
  </si>
  <si>
    <t>2015A</t>
  </si>
  <si>
    <t>Real Estate Add Backs</t>
  </si>
  <si>
    <t>Brooklyn ($86M)</t>
  </si>
  <si>
    <t>Other Asset Gains ($150M)</t>
  </si>
  <si>
    <t>SG&amp;A Savings ($400M)</t>
  </si>
  <si>
    <t>SG&amp;A Savings/ Offsets</t>
  </si>
  <si>
    <t>Implied 2016 SG&amp;A</t>
  </si>
  <si>
    <t>Implied Growth</t>
  </si>
  <si>
    <t>Other</t>
  </si>
  <si>
    <t>Sales/Avg Sq Ft (Including eCommerce)</t>
  </si>
  <si>
    <t>Sales/Avg Sq Ft (Stores Only)</t>
  </si>
  <si>
    <t>1Q15</t>
  </si>
  <si>
    <t>2Q15</t>
  </si>
  <si>
    <t>3Q15</t>
  </si>
  <si>
    <t>4Q15</t>
  </si>
  <si>
    <t>1Q16</t>
  </si>
  <si>
    <t>2Q16</t>
  </si>
  <si>
    <t>3Q16</t>
  </si>
  <si>
    <t>Review</t>
  </si>
  <si>
    <t>11. Extraordinary/Discontinued Items/ Non Controlling Interest</t>
  </si>
  <si>
    <t>PT</t>
  </si>
  <si>
    <t>4Q16</t>
  </si>
  <si>
    <t>1Q17</t>
  </si>
  <si>
    <t>2Q17</t>
  </si>
  <si>
    <t>3Q17</t>
  </si>
  <si>
    <t>4Q17</t>
  </si>
  <si>
    <t>Annual Earnings Model, Fiscal 2004A-2021E</t>
  </si>
  <si>
    <t>Credit Income ($ change, Y/Y Growth)</t>
  </si>
  <si>
    <t>Asset Gains ($ change, Y/Y Growth)</t>
  </si>
  <si>
    <t>Multi-Year Stacks</t>
  </si>
  <si>
    <t>2 Year</t>
  </si>
  <si>
    <t>3 Year</t>
  </si>
  <si>
    <t>2020E</t>
  </si>
  <si>
    <t>2021E</t>
  </si>
  <si>
    <t>Implied Core SG&amp;A Expense (% of sales / Y/Y % change)</t>
  </si>
  <si>
    <t>Total Selling, General and Administrative Expense  (% of Sales / Y/Y bps change)</t>
  </si>
  <si>
    <t>Rating</t>
  </si>
  <si>
    <t>2016A</t>
  </si>
  <si>
    <t>Adj. Operating EPS</t>
  </si>
  <si>
    <t>FY2018E</t>
  </si>
  <si>
    <t>FY2019E</t>
  </si>
  <si>
    <t>FY2020E</t>
  </si>
  <si>
    <t>FY2021E</t>
  </si>
  <si>
    <t>FY2022E</t>
  </si>
  <si>
    <t>FY2023E</t>
  </si>
  <si>
    <t>FY2024E</t>
  </si>
  <si>
    <t>FY2025E</t>
  </si>
  <si>
    <t>2022E</t>
  </si>
  <si>
    <t>Operating Results Summary &amp; Financial Analysis, Fiscal 1989A-2022E</t>
  </si>
  <si>
    <t>11A-16A</t>
  </si>
  <si>
    <t>16A-22E</t>
  </si>
  <si>
    <t>1a. Credit card revenues, net (Year-to-Year %)</t>
  </si>
  <si>
    <t>4a. Retirement Plan Income  (% of Sales / % Change)</t>
  </si>
  <si>
    <t>4b. Settlement Charges  (% of Sales / % Change)</t>
  </si>
  <si>
    <t>bvdgb</t>
  </si>
  <si>
    <t>1a Credit card revenues, net</t>
  </si>
  <si>
    <t>5a. Retirement plan income, net</t>
  </si>
  <si>
    <t>5b. Settlement charges</t>
  </si>
  <si>
    <t>No longer in SG&amp;A due to accounting changes</t>
  </si>
  <si>
    <t>NM</t>
  </si>
  <si>
    <t>Credit Sales</t>
  </si>
  <si>
    <t>Gross Margin (retail)</t>
  </si>
  <si>
    <t>Retirement Plan Income</t>
  </si>
  <si>
    <t>23</t>
  </si>
  <si>
    <t>Gross Profit (retail)</t>
  </si>
  <si>
    <t>Settlement Charges</t>
  </si>
  <si>
    <t>Shareholder Equity Schedule</t>
  </si>
  <si>
    <t>Opening Balance</t>
  </si>
  <si>
    <t>New Equity Issuance</t>
  </si>
  <si>
    <t>Dividends Paid</t>
  </si>
  <si>
    <t>AOCI</t>
  </si>
  <si>
    <t>Closing Balance</t>
  </si>
  <si>
    <t>Check</t>
  </si>
  <si>
    <t>ND</t>
  </si>
  <si>
    <t>Cost of Debt (Post-tax @ 21%)</t>
  </si>
  <si>
    <t>Balance Sheet, Fiscal 1989A-2022E</t>
  </si>
  <si>
    <t>Cash Flow Statement, Fiscal 1989A-2022E</t>
  </si>
  <si>
    <t>Quarterly Analysis of Debt and Total Capital, 2001A-2017A</t>
  </si>
  <si>
    <t>Quarterly Analysis of "Operating" Working Capital, 2001A-2017A</t>
  </si>
  <si>
    <t>Quarterly Analysis of Inventory Turnover, 2005A-2018E</t>
  </si>
  <si>
    <t>Annual Sales Model, Fiscal 1989A-2022E</t>
  </si>
  <si>
    <t>Quarterly Operating Results and Financial Analysis, , Fiscal 1989A-2018E</t>
  </si>
  <si>
    <t>Analysis of Space Productivity, 1989A-2018E</t>
  </si>
  <si>
    <t>Quarterly Operating Results and Financial Analysis, , Fiscal 1989A-2020E</t>
  </si>
  <si>
    <t>MSA13041</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</si>
  <si>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</si>
  <si>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</si>
  <si>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</si>
  <si>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</si>
  <si>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</si>
  <si>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</si>
  <si>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</si>
  <si>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</si>
  <si>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Kimberly Greenberger</t>
  </si>
  <si>
    <t>Date: 09 Apr 2018</t>
  </si>
  <si>
    <t>Ticker: M.N</t>
  </si>
  <si>
    <t>Stock Rating: Equal-Weight</t>
  </si>
  <si>
    <t>Industry: Retail, Department Stores</t>
  </si>
  <si>
    <t>Industry View: Cautious</t>
  </si>
  <si>
    <t>Price as of 09 Apr 2018: 29.35</t>
  </si>
  <si>
    <t>Target Price: 27</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</si>
  <si>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</si>
  <si>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</si>
  <si>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</si>
  <si>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</si>
  <si>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Macy's Inc..</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</si>
  <si>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</si>
  <si>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</si>
  <si>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</si>
  <si>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</si>
  <si>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</si>
  <si>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</si>
  <si>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</si>
  <si>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</si>
  <si>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</si>
  <si>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</si>
  <si>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</si>
  <si>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</si>
  <si>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</si>
  <si>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</si>
  <si>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</si>
  <si>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</si>
  <si>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</si>
  <si>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</si>
  <si>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</si>
  <si>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</si>
  <si>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</si>
  <si>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</si>
  <si>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</si>
  <si>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</si>
  <si>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</si>
  <si>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</si>
  <si>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</si>
  <si>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</si>
  <si>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</si>
  <si>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</si>
  <si>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</si>
  <si>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</si>
  <si>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</si>
  <si>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</si>
  <si>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</si>
  <si>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</si>
  <si>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</si>
  <si>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</si>
  <si>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</si>
  <si>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</si>
  <si>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</si>
  <si>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</si>
  <si>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</si>
  <si>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</si>
  <si>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</si>
  <si>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</si>
  <si>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</si>
  <si>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</si>
  <si>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</si>
  <si>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</si>
  <si>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</si>
  <si>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</si>
  <si>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</si>
  <si>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</si>
  <si>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</si>
  <si>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</si>
  <si>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</si>
  <si>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</si>
  <si>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</si>
  <si>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</si>
  <si>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</si>
  <si>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</si>
  <si>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</si>
  <si>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</si>
  <si>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</si>
  <si>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</si>
  <si>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</si>
  <si>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</si>
  <si>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</si>
  <si>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</si>
  <si>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</si>
  <si>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</si>
  <si>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</si>
  <si>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</si>
  <si>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</si>
  <si>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</si>
  <si>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</si>
  <si>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</si>
  <si>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</si>
  <si>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</si>
  <si>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</si>
  <si>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</si>
  <si>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</si>
  <si>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</si>
  <si>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</si>
  <si>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</si>
  <si>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</si>
  <si>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</si>
  <si>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</si>
  <si>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</si>
  <si>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</si>
  <si>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</si>
  <si>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</si>
  <si>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</si>
  <si>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</si>
  <si>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</si>
  <si>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</si>
  <si>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</si>
  <si>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</si>
  <si>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</si>
  <si>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</si>
  <si>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</si>
  <si>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</si>
  <si>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</si>
  <si>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</si>
  <si>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</si>
  <si>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</si>
  <si>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</si>
  <si>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</si>
  <si>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</si>
  <si>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</si>
  <si>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</si>
  <si>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</si>
  <si>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</si>
  <si>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</si>
  <si>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</si>
  <si>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</si>
  <si>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</si>
  <si>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</si>
  <si>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</si>
  <si>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</si>
  <si>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</si>
  <si>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</si>
  <si>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</si>
  <si>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</si>
  <si>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</si>
  <si>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</si>
  <si>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</si>
  <si>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</si>
  <si>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</si>
  <si>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</si>
  <si>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</si>
  <si>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</si>
  <si>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</si>
  <si>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</si>
  <si>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</si>
  <si>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</si>
  <si>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</si>
  <si>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</si>
  <si>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</si>
  <si>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</si>
  <si>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</si>
  <si>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</si>
  <si>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</si>
  <si>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</si>
  <si>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</si>
  <si>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</si>
  <si>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</si>
  <si>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</si>
  <si>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</si>
  <si>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</si>
  <si>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</si>
  <si>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</si>
  <si>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</si>
  <si>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</si>
  <si>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</si>
  <si>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</si>
  <si>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</si>
  <si>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</si>
  <si>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</si>
  <si>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</si>
  <si>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</si>
  <si>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</si>
  <si>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</si>
  <si>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</si>
  <si>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</si>
  <si>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</si>
  <si>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</si>
  <si>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</si>
  <si>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</si>
  <si>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</si>
  <si>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</si>
  <si>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</si>
  <si>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</si>
  <si>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</si>
  <si>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Macy's Inc..</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</si>
  <si>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</si>
  <si>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</si>
  <si>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</si>
  <si>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</si>
  <si>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</si>
  <si>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</si>
  <si>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</si>
  <si>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</si>
  <si>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</si>
  <si>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</si>
  <si>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</si>
  <si>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</si>
  <si>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</si>
  <si>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</si>
  <si>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</si>
  <si>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</si>
  <si>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</si>
  <si>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</si>
  <si>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</si>
  <si>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</si>
  <si>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</si>
  <si>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</si>
  <si>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</si>
  <si>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</si>
  <si>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</si>
  <si>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</si>
  <si>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</si>
  <si>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</si>
  <si>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</si>
  <si>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</si>
  <si>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</si>
  <si>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</si>
  <si>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</si>
  <si>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</si>
  <si>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</si>
  <si>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</si>
  <si>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</si>
  <si>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</si>
  <si>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</si>
  <si>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</si>
  <si>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</si>
  <si>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</si>
  <si>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</si>
  <si>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</si>
  <si>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</si>
  <si>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</si>
  <si>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</si>
  <si>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</si>
  <si>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</si>
  <si>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</si>
  <si>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</si>
  <si>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</si>
  <si>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</si>
  <si>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</si>
  <si>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</si>
  <si>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</si>
  <si>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</si>
  <si>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</si>
  <si>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</si>
  <si>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</si>
  <si>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</si>
  <si>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</si>
  <si>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</si>
  <si>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</si>
  <si>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</si>
  <si>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</si>
  <si>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</si>
  <si>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</si>
  <si>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Macy's Inc..</t>
  </si>
  <si>
    <t>Within the last 12 months, Morgan Stanley has provided or is providing investment banking services to,</t>
  </si>
  <si>
    <t>or has an investment banking client relationship with, the following company: Macy's Inc..</t>
  </si>
  <si>
    <t>Within the last 12 months, Morgan Stanley has received compensation for products and services other than</t>
  </si>
  <si>
    <t>investment banking services from Macy's Inc..</t>
  </si>
  <si>
    <t>In the next 3 months, Morgan Stanley expects to receive or intends to seek compensation for investment</t>
  </si>
  <si>
    <t>banking services from Macy's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</si>
  <si>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</si>
  <si>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</si>
  <si>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</si>
  <si>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</si>
  <si>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</si>
  <si>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Kimberly C Greenberger.</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</si>
  <si>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</si>
  <si>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</si>
  <si>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</si>
  <si>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</si>
  <si>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</si>
  <si>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</si>
  <si>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</si>
  <si>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</si>
  <si>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</si>
  <si>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</si>
  <si>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</si>
  <si>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</si>
  <si>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</si>
  <si>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</si>
  <si>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</si>
  <si>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</si>
  <si>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</si>
  <si>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</si>
  <si>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</si>
  <si>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</si>
  <si>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</si>
  <si>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</si>
  <si>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</si>
  <si>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</si>
  <si>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</si>
  <si>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</si>
  <si>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SubjectCode</t>
  </si>
  <si>
    <t>Description</t>
  </si>
  <si>
    <t>KeepVersions</t>
  </si>
  <si>
    <t>All</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</si>
  <si>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</si>
  <si>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</si>
  <si>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</si>
  <si>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</si>
  <si>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</si>
  <si>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</si>
  <si>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</si>
  <si>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</si>
  <si>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</si>
  <si>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</si>
  <si>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</si>
  <si>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</si>
  <si>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</si>
  <si>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</si>
  <si>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</si>
  <si>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</si>
  <si>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</si>
  <si>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</si>
  <si>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</si>
  <si>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</si>
  <si>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</si>
  <si>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</si>
  <si>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</si>
  <si>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</si>
  <si>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</si>
  <si>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</si>
  <si>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</si>
  <si>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</si>
  <si>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</si>
  <si>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</si>
  <si>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</si>
  <si>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</si>
  <si>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</si>
  <si>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</si>
  <si>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</si>
  <si>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</si>
  <si>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Equal-Weight / Cautious</t>
  </si>
  <si>
    <t>Regular Update</t>
  </si>
  <si>
    <t>NorthAmerica</t>
  </si>
  <si>
    <t>edouardd</t>
  </si>
  <si>
    <t>55616P104</t>
  </si>
  <si>
    <t>L:\RETAIL\Greenberger\Companies\M\Models\M_Model.xlsm</t>
  </si>
  <si>
    <t>Please contact edouard.de.courreges@ms.com with any questions/concerns. Updated in accordance with the 10-K release. Thank you, Ed</t>
  </si>
  <si>
    <t>[BRO MSA]</t>
  </si>
  <si>
    <t>[PRODUCT MODEL]</t>
  </si>
  <si>
    <t>[EMAIL_ALERT YES]</t>
  </si>
  <si>
    <t>[DISCIPLINE Company]</t>
  </si>
  <si>
    <t>[SUPPRESSED NO]</t>
  </si>
  <si>
    <t>[DOCDAT 2018-04-09]</t>
  </si>
  <si>
    <t>[DOCTIME 15:29]</t>
  </si>
  <si>
    <t>[PSYM M.N(S&amp;P) (None)]</t>
  </si>
  <si>
    <t>[COU 1]</t>
  </si>
  <si>
    <t>[ANA ]</t>
  </si>
  <si>
    <t>[HL M.N Model]</t>
  </si>
  <si>
    <t>[IND RETSPC]</t>
  </si>
  <si>
    <t>[PANA MSA13041]</t>
  </si>
</sst>
</file>

<file path=xl/styles.xml><?xml version="1.0" encoding="utf-8"?>
<styleSheet xmlns="http://schemas.openxmlformats.org/spreadsheetml/2006/main" xmlns:mc="http://schemas.openxmlformats.org/markup-compatibility/2006" xmlns:x14ac="http://schemas.microsoft.com/office/spreadsheetml/2009/9/ac" mc:Ignorable="x14ac">
  <numFmts count="66">
    <numFmt numFmtId="5" formatCode="&quot;$&quot;#,##0_);\(&quot;$&quot;#,##0\)"/>
    <numFmt numFmtId="6" formatCode="&quot;$&quot;#,##0_);[Red]\(&quot;$&quot;#,##0\)"/>
    <numFmt numFmtId="7" formatCode="&quot;$&quot;#,##0.00_);\(&quot;$&quot;#,##0.00\)"/>
    <numFmt numFmtId="41" formatCode="_(* #,##0_);_(* \(#,##0\);_(* &quot;-&quot;_);_(@_)"/>
    <numFmt numFmtId="44" formatCode="_(&quot;$&quot;* #,##0.00_);_(&quot;$&quot;* \(#,##0.00\);_(&quot;$&quot;* &quot;-&quot;??_);_(@_)"/>
    <numFmt numFmtId="43" formatCode="_(* #,##0.00_);_(* \(#,##0.00\);_(* &quot;-&quot;??_);_(@_)"/>
    <numFmt numFmtId="164" formatCode="#,##0.0_);\(#,##0.0\)"/>
    <numFmt numFmtId="165" formatCode="0.0"/>
    <numFmt numFmtId="166" formatCode="&quot;$&quot;#,##0.0"/>
    <numFmt numFmtId="167" formatCode="#,##0.0"/>
    <numFmt numFmtId="168" formatCode="\(0.0\)"/>
    <numFmt numFmtId="169" formatCode="\+0.0;\-0.0"/>
    <numFmt numFmtId="170" formatCode="&quot;$&quot;#,##0.0_);\(&quot;$&quot;#,##0.0\)"/>
    <numFmt numFmtId="171" formatCode="0.0_);\(0.0\)"/>
    <numFmt numFmtId="172" formatCode="_(* #,##0_);_(* \(#,##0\);_(* &quot;-&quot;??_);_(@_)"/>
    <numFmt numFmtId="173" formatCode="General_)"/>
    <numFmt numFmtId="174" formatCode="0.0;\(0.0\)"/>
    <numFmt numFmtId="175" formatCode="0.0_);[Red]\(0.0\)"/>
    <numFmt numFmtId="176" formatCode="0.0%"/>
    <numFmt numFmtId="177" formatCode="_(&quot;$&quot;* #,##0.0_);_(&quot;$&quot;* \(#,##0.0\);_(&quot;$&quot;* &quot;-&quot;??_);_(@_)"/>
    <numFmt numFmtId="178" formatCode="_(* #,##0.000_);_(* \(#,##0.000\);_(* &quot;-&quot;??_);_(@_)"/>
    <numFmt numFmtId="179" formatCode="0.0%;\(0.0%\)"/>
    <numFmt numFmtId="181" formatCode="&quot;$&quot;#,##0"/>
    <numFmt numFmtId="182" formatCode="0000&quot;A&quot;"/>
    <numFmt numFmtId="184" formatCode="0.0%_);\(0.0%\);&quot;–&quot;_)"/>
    <numFmt numFmtId="185" formatCode="General&quot;E&quot;"/>
    <numFmt numFmtId="186" formatCode="General&quot;A&quot;"/>
    <numFmt numFmtId="187" formatCode="00000;;&quot;--&quot;"/>
    <numFmt numFmtId="188" formatCode="#,##0_);\(#,##0\);&quot;--&quot;"/>
    <numFmt numFmtId="189" formatCode="&quot;$&quot;#,##0_);\(&quot;$&quot;#,##0\);&quot;--&quot;"/>
    <numFmt numFmtId="190" formatCode="0000&quot;E&quot;"/>
    <numFmt numFmtId="191" formatCode="0.0%_);\(0.0%\)"/>
    <numFmt numFmtId="192" formatCode="0.0\x"/>
    <numFmt numFmtId="193" formatCode="#,##0_);\(#,##0\);\-\-_);@_)"/>
    <numFmt numFmtId="194" formatCode="&quot;$&quot;#,##0.0_);\(&quot;$&quot;#,##0.0\);&quot;--&quot;"/>
    <numFmt numFmtId="195" formatCode="&quot;/&quot;0.0;&quot;/&quot;\(0.0\)"/>
    <numFmt numFmtId="196" formatCode="&quot;/&quot;0;&quot;/&quot;\(0\)"/>
    <numFmt numFmtId="197" formatCode="&quot;$&quot;0.0_)"/>
    <numFmt numFmtId="198" formatCode="0.0\x_)"/>
    <numFmt numFmtId="202" formatCode="#,##0_);\(#,##0\);#,##0_);@_)"/>
    <numFmt numFmtId="203" formatCode="#,##0.000_);\(#,##0.000\)"/>
    <numFmt numFmtId="204" formatCode="\+0;\-0"/>
    <numFmt numFmtId="205" formatCode="0_)"/>
    <numFmt numFmtId="206" formatCode="0_);\(0\)"/>
    <numFmt numFmtId="212" formatCode="_(* #,##0.0_);_(* \(#,##0.0\);_(* &quot;-&quot;?_);_(@_)"/>
    <numFmt numFmtId="213" formatCode="#,##0.0;\(#,##0.0\)"/>
    <numFmt numFmtId="214" formatCode="#,##0;\(#,##0\)"/>
    <numFmt numFmtId="215" formatCode="#,##0.00;\(#,##0.00\)"/>
    <numFmt numFmtId="216" formatCode="\F###0\A"/>
    <numFmt numFmtId="217" formatCode="\F###0\E"/>
    <numFmt numFmtId="218" formatCode="###0"/>
    <numFmt numFmtId="219" formatCode="###0.00"/>
    <numFmt numFmtId="220" formatCode="0.000"/>
    <numFmt numFmtId="224" formatCode="0.000%"/>
    <numFmt numFmtId="225" formatCode="&quot;/&quot;0.00;&quot;/&quot;\(0.00\)"/>
    <numFmt numFmtId="226" formatCode="0.00%_);\(0.00%\);&quot;–&quot;_)"/>
    <numFmt numFmtId="228" formatCode="_(&quot;$&quot;* #,##0.0_);_(&quot;$&quot;* \(#,##0.0\);_(&quot;$&quot;* &quot;-&quot;?_);_(@_)"/>
    <numFmt numFmtId="229" formatCode="&quot;$&quot;#,##0.000_);\(&quot;$&quot;#,##0.000\)"/>
    <numFmt numFmtId="234" formatCode="&quot;$&quot;#,##0.00"/>
    <numFmt numFmtId="236" formatCode="0.00_);\(0.00\)"/>
    <numFmt numFmtId="239" formatCode="0.000;\(0.000\)"/>
    <numFmt numFmtId="240" formatCode="_(* #,##0.0_);_(* \(#,##0.0\);_(* &quot;-&quot;??_);_(@_)"/>
    <numFmt numFmtId="241" formatCode="0%;\(0%\)"/>
    <numFmt numFmtId="243" formatCode="\(0.000\)"/>
    <numFmt numFmtId="244" formatCode="0%_);\(0%\);&quot;–&quot;_)"/>
    <numFmt numFmtId="259" formatCode="mm/dd/yy\ hh:mm"/>
  </numFmts>
  <fonts count="108" x14ac:knownFonts="1">
    <font>
      <sz val="10"/>
      <name val="Arial"/>
    </font>
    <font>
      <sz val="10"/>
      <name val="Arial"/>
      <family val="2"/>
    </font>
    <font>
      <b/>
      <sz val="10"/>
      <name val="Arial"/>
      <family val="2"/>
    </font>
    <font>
      <sz val="10"/>
      <name val="MS Sans Serif"/>
      <family val="2"/>
    </font>
    <font>
      <b/>
      <sz val="10"/>
      <color indexed="8"/>
      <name val="Times New Roman"/>
      <family val="1"/>
    </font>
    <font>
      <sz val="10"/>
      <name val="Courier"/>
      <family val="3"/>
    </font>
    <font>
      <sz val="9"/>
      <name val="Times New Roman"/>
      <family val="1"/>
    </font>
    <font>
      <sz val="10"/>
      <name val="Arial"/>
      <family val="2"/>
    </font>
    <font>
      <sz val="10"/>
      <color indexed="8"/>
      <name val="Times New Roman"/>
      <family val="1"/>
    </font>
    <font>
      <i/>
      <sz val="8"/>
      <name val="Times New Roman"/>
      <family val="1"/>
    </font>
    <font>
      <sz val="8"/>
      <name val="Arial"/>
      <family val="2"/>
    </font>
    <font>
      <i/>
      <sz val="8"/>
      <name val="Arial"/>
      <family val="2"/>
    </font>
    <font>
      <sz val="8"/>
      <name val="Arial"/>
      <family val="2"/>
    </font>
    <font>
      <b/>
      <sz val="8"/>
      <name val="Arial"/>
      <family val="2"/>
    </font>
    <font>
      <b/>
      <sz val="8"/>
      <color indexed="12"/>
      <name val="Arial"/>
      <family val="2"/>
    </font>
    <font>
      <b/>
      <u/>
      <sz val="8"/>
      <name val="Arial"/>
      <family val="2"/>
    </font>
    <font>
      <sz val="8"/>
      <color indexed="12"/>
      <name val="Arial"/>
      <family val="2"/>
    </font>
    <font>
      <sz val="8"/>
      <color indexed="81"/>
      <name val="Tahoma"/>
      <family val="2"/>
    </font>
    <font>
      <b/>
      <sz val="8"/>
      <color indexed="81"/>
      <name val="Tahoma"/>
      <family val="2"/>
    </font>
    <font>
      <sz val="8"/>
      <color indexed="12"/>
      <name val="Arial"/>
      <family val="2"/>
    </font>
    <font>
      <sz val="10"/>
      <name val="Helv"/>
    </font>
    <font>
      <sz val="11"/>
      <name val="Arial"/>
      <family val="2"/>
    </font>
    <font>
      <sz val="10"/>
      <color indexed="12"/>
      <name val="Arial"/>
      <family val="2"/>
    </font>
    <font>
      <sz val="8"/>
      <color indexed="17"/>
      <name val="Arial"/>
      <family val="2"/>
    </font>
    <font>
      <sz val="8"/>
      <color indexed="8"/>
      <name val="Arial"/>
      <family val="2"/>
    </font>
    <font>
      <sz val="8"/>
      <color indexed="17"/>
      <name val="Arial"/>
      <family val="2"/>
    </font>
    <font>
      <b/>
      <i/>
      <sz val="8"/>
      <color indexed="12"/>
      <name val="Tahoma"/>
      <family val="2"/>
    </font>
    <font>
      <b/>
      <i/>
      <sz val="8"/>
      <color indexed="17"/>
      <name val="Arial"/>
      <family val="2"/>
    </font>
    <font>
      <b/>
      <i/>
      <sz val="8"/>
      <color indexed="10"/>
      <name val="Tahoma"/>
      <family val="2"/>
    </font>
    <font>
      <b/>
      <u/>
      <sz val="8"/>
      <color indexed="81"/>
      <name val="Tahoma"/>
      <family val="2"/>
    </font>
    <font>
      <b/>
      <i/>
      <sz val="8"/>
      <color indexed="81"/>
      <name val="Tahoma"/>
      <family val="2"/>
    </font>
    <font>
      <i/>
      <sz val="8"/>
      <color indexed="81"/>
      <name val="Tahoma"/>
      <family val="2"/>
    </font>
    <font>
      <b/>
      <sz val="8"/>
      <name val="Arial"/>
      <family val="2"/>
    </font>
    <font>
      <b/>
      <u/>
      <sz val="8"/>
      <name val="Arial"/>
      <family val="2"/>
    </font>
    <font>
      <i/>
      <sz val="7"/>
      <name val="Arial"/>
      <family val="2"/>
    </font>
    <font>
      <sz val="7"/>
      <color indexed="8"/>
      <name val="Arial"/>
      <family val="2"/>
    </font>
    <font>
      <sz val="8"/>
      <name val="Times New Roman"/>
      <family val="1"/>
    </font>
    <font>
      <b/>
      <i/>
      <sz val="8"/>
      <color indexed="12"/>
      <name val="Arial"/>
      <family val="2"/>
    </font>
    <font>
      <sz val="10"/>
      <color indexed="17"/>
      <name val="Arial"/>
      <family val="2"/>
    </font>
    <font>
      <sz val="10"/>
      <color indexed="10"/>
      <name val="Arial"/>
      <family val="2"/>
    </font>
    <font>
      <b/>
      <sz val="8"/>
      <color indexed="12"/>
      <name val="Tahoma"/>
      <family val="2"/>
    </font>
    <font>
      <sz val="8"/>
      <color indexed="12"/>
      <name val="Tahoma"/>
      <family val="2"/>
    </font>
    <font>
      <sz val="10"/>
      <color indexed="9"/>
      <name val="Arial"/>
      <family val="2"/>
    </font>
    <font>
      <sz val="9"/>
      <name val="Times New Roman"/>
      <family val="1"/>
    </font>
    <font>
      <sz val="10"/>
      <name val="Arial"/>
      <family val="2"/>
    </font>
    <font>
      <b/>
      <sz val="8"/>
      <color indexed="12"/>
      <name val="Arial"/>
      <family val="2"/>
    </font>
    <font>
      <b/>
      <sz val="8"/>
      <color indexed="53"/>
      <name val="Arial"/>
      <family val="2"/>
    </font>
    <font>
      <sz val="8"/>
      <color indexed="53"/>
      <name val="Arial"/>
      <family val="2"/>
    </font>
    <font>
      <sz val="8"/>
      <color indexed="23"/>
      <name val="Arial"/>
      <family val="2"/>
    </font>
    <font>
      <sz val="8"/>
      <color indexed="22"/>
      <name val="Arial"/>
      <family val="2"/>
    </font>
    <font>
      <b/>
      <sz val="10"/>
      <color indexed="10"/>
      <name val="Arial"/>
      <family val="2"/>
    </font>
    <font>
      <b/>
      <sz val="10"/>
      <color indexed="12"/>
      <name val="Arial"/>
      <family val="2"/>
    </font>
    <font>
      <u/>
      <sz val="8"/>
      <color indexed="81"/>
      <name val="Tahoma"/>
      <family val="2"/>
    </font>
    <font>
      <sz val="10"/>
      <color indexed="8"/>
      <name val="MS Sans Serif"/>
      <family val="2"/>
    </font>
    <font>
      <b/>
      <u/>
      <sz val="10"/>
      <name val="Arial"/>
      <family val="2"/>
    </font>
    <font>
      <sz val="8"/>
      <color indexed="23"/>
      <name val="Arial"/>
      <family val="2"/>
    </font>
    <font>
      <sz val="8"/>
      <color indexed="55"/>
      <name val="Arial"/>
      <family val="2"/>
    </font>
    <font>
      <b/>
      <u/>
      <sz val="8"/>
      <color indexed="23"/>
      <name val="Arial"/>
      <family val="2"/>
    </font>
    <font>
      <b/>
      <sz val="8"/>
      <color indexed="62"/>
      <name val="Arial"/>
      <family val="2"/>
    </font>
    <font>
      <b/>
      <sz val="9"/>
      <color indexed="81"/>
      <name val="Tahoma"/>
      <family val="2"/>
    </font>
    <font>
      <sz val="9"/>
      <color indexed="81"/>
      <name val="Tahoma"/>
      <family val="2"/>
    </font>
    <font>
      <sz val="10"/>
      <color indexed="8"/>
      <name val="Arial"/>
      <family val="2"/>
    </font>
    <font>
      <i/>
      <sz val="10"/>
      <name val="Arial"/>
      <family val="2"/>
    </font>
    <font>
      <b/>
      <u/>
      <sz val="10"/>
      <color indexed="12"/>
      <name val="Arial"/>
      <family val="2"/>
    </font>
    <font>
      <b/>
      <sz val="10"/>
      <color indexed="17"/>
      <name val="Arial"/>
      <family val="2"/>
    </font>
    <font>
      <sz val="10"/>
      <name val="Times New Roman"/>
      <family val="1"/>
    </font>
    <font>
      <sz val="10"/>
      <color indexed="19"/>
      <name val="Arial"/>
      <family val="2"/>
    </font>
    <font>
      <i/>
      <sz val="10"/>
      <color indexed="12"/>
      <name val="Arial"/>
      <family val="2"/>
    </font>
    <font>
      <i/>
      <sz val="10"/>
      <color indexed="17"/>
      <name val="Arial"/>
      <family val="2"/>
    </font>
    <font>
      <sz val="10"/>
      <color indexed="57"/>
      <name val="Arial"/>
      <family val="2"/>
    </font>
    <font>
      <i/>
      <sz val="10"/>
      <color indexed="57"/>
      <name val="Arial"/>
      <family val="2"/>
    </font>
    <font>
      <b/>
      <i/>
      <sz val="10"/>
      <color indexed="12"/>
      <name val="Arial"/>
      <family val="2"/>
    </font>
    <font>
      <b/>
      <i/>
      <sz val="10"/>
      <name val="Arial"/>
      <family val="2"/>
    </font>
    <font>
      <sz val="8.25"/>
      <name val="Microsoft Sans Serif"/>
      <family val="2"/>
    </font>
    <font>
      <b/>
      <u/>
      <sz val="9"/>
      <color indexed="81"/>
      <name val="Tahoma"/>
      <family val="2"/>
    </font>
    <font>
      <sz val="11"/>
      <color theme="1"/>
      <name val="Calibri"/>
      <family val="2"/>
      <scheme val="minor"/>
    </font>
    <font>
      <sz val="10"/>
      <color theme="0"/>
      <name val="Arial"/>
      <family val="2"/>
    </font>
    <font>
      <b/>
      <sz val="10"/>
      <color theme="0"/>
      <name val="Arial"/>
      <family val="2"/>
    </font>
    <font>
      <sz val="10"/>
      <color theme="1"/>
      <name val="Arial"/>
      <family val="2"/>
    </font>
    <font>
      <b/>
      <sz val="10"/>
      <color theme="1"/>
      <name val="Arial"/>
      <family val="2"/>
    </font>
    <font>
      <b/>
      <i/>
      <sz val="10"/>
      <color theme="3"/>
      <name val="Arial"/>
      <family val="2"/>
    </font>
    <font>
      <i/>
      <sz val="10"/>
      <color theme="1"/>
      <name val="Arial"/>
      <family val="2"/>
    </font>
    <font>
      <i/>
      <sz val="10"/>
      <color theme="1" tint="0.499984740745262"/>
      <name val="Arial"/>
      <family val="2"/>
    </font>
    <font>
      <i/>
      <sz val="10"/>
      <color theme="4" tint="0.79998168889431442"/>
      <name val="Arial"/>
      <family val="2"/>
    </font>
    <font>
      <i/>
      <sz val="10"/>
      <color theme="0"/>
      <name val="Arial"/>
      <family val="2"/>
    </font>
    <font>
      <i/>
      <sz val="8"/>
      <color theme="0" tint="-0.34998626667073579"/>
      <name val="Arial"/>
      <family val="2"/>
    </font>
    <font>
      <i/>
      <sz val="8"/>
      <color theme="0"/>
      <name val="Arial"/>
      <family val="2"/>
    </font>
    <font>
      <sz val="8"/>
      <color theme="1"/>
      <name val="Arial"/>
      <family val="2"/>
    </font>
    <font>
      <b/>
      <u/>
      <sz val="10"/>
      <color rgb="FF0000FF"/>
      <name val="Arial"/>
      <family val="2"/>
    </font>
    <font>
      <b/>
      <sz val="10"/>
      <color rgb="FF0000FF"/>
      <name val="Arial"/>
      <family val="2"/>
    </font>
    <font>
      <b/>
      <sz val="10"/>
      <color rgb="FF00B0F0"/>
      <name val="Arial"/>
      <family val="2"/>
    </font>
    <font>
      <sz val="10"/>
      <color rgb="FF00B0F0"/>
      <name val="Arial"/>
      <family val="2"/>
    </font>
    <font>
      <sz val="10"/>
      <color rgb="FF0070C0"/>
      <name val="Arial"/>
      <family val="2"/>
    </font>
    <font>
      <b/>
      <sz val="11"/>
      <color rgb="FF0070C0"/>
      <name val="Arial"/>
      <family val="2"/>
    </font>
    <font>
      <b/>
      <sz val="10"/>
      <color rgb="FF008000"/>
      <name val="Arial"/>
      <family val="2"/>
    </font>
    <font>
      <b/>
      <sz val="8"/>
      <color rgb="FF0000FF"/>
      <name val="Arial"/>
      <family val="2"/>
    </font>
    <font>
      <sz val="8"/>
      <color rgb="FF0000FF"/>
      <name val="Arial"/>
      <family val="2"/>
    </font>
    <font>
      <sz val="10"/>
      <color rgb="FF0000FF"/>
      <name val="Arial"/>
      <family val="2"/>
    </font>
    <font>
      <b/>
      <i/>
      <sz val="10"/>
      <color rgb="FF008000"/>
      <name val="Arial"/>
      <family val="2"/>
    </font>
    <font>
      <sz val="10"/>
      <color rgb="FF008000"/>
      <name val="Arial"/>
      <family val="2"/>
    </font>
    <font>
      <b/>
      <sz val="8"/>
      <color rgb="FF008000"/>
      <name val="Arial"/>
      <family val="2"/>
    </font>
    <font>
      <sz val="8"/>
      <color rgb="FF008000"/>
      <name val="Arial"/>
      <family val="2"/>
    </font>
    <font>
      <sz val="10"/>
      <color rgb="FF00B050"/>
      <name val="Arial"/>
      <family val="2"/>
    </font>
    <font>
      <sz val="10"/>
      <color rgb="FF000000"/>
      <name val="Arial"/>
      <family val="2"/>
    </font>
    <font>
      <i/>
      <sz val="10"/>
      <color rgb="FF008000"/>
      <name val="Arial"/>
      <family val="2"/>
    </font>
    <font>
      <b/>
      <u/>
      <sz val="10"/>
      <color rgb="FF008000"/>
      <name val="Arial"/>
      <family val="2"/>
    </font>
    <font>
      <sz val="10"/>
      <color rgb="FFFF0000"/>
      <name val="Arial"/>
      <family val="2"/>
    </font>
    <font>
      <b/>
      <sz val="12"/>
      <color rgb="FF000080"/>
      <name val="Arial"/>
      <family val="2"/>
    </font>
  </fonts>
  <fills count="14">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indexed="44"/>
        <bgColor indexed="64"/>
      </patternFill>
    </fill>
    <fill>
      <patternFill patternType="solid">
        <fgColor indexed="47"/>
        <bgColor indexed="64"/>
      </patternFill>
    </fill>
    <fill>
      <patternFill patternType="solid">
        <fgColor indexed="65"/>
        <bgColor indexed="64"/>
      </patternFill>
    </fill>
    <fill>
      <patternFill patternType="solid">
        <fgColor indexed="53"/>
        <bgColor indexed="64"/>
      </patternFill>
    </fill>
    <fill>
      <patternFill patternType="solid">
        <fgColor theme="0"/>
        <bgColor indexed="64"/>
      </patternFill>
    </fill>
    <fill>
      <patternFill patternType="solid">
        <fgColor theme="3"/>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8" tint="0.79998168889431442"/>
        <bgColor indexed="64"/>
      </patternFill>
    </fill>
  </fills>
  <borders count="46">
    <border>
      <left/>
      <right/>
      <top/>
      <bottom/>
      <diagonal/>
    </border>
    <border>
      <left style="thin">
        <color indexed="64"/>
      </left>
      <right/>
      <top/>
      <bottom/>
      <diagonal/>
    </border>
    <border>
      <left/>
      <right/>
      <top/>
      <bottom style="thin">
        <color indexed="64"/>
      </bottom>
      <diagonal/>
    </border>
    <border>
      <left/>
      <right/>
      <top/>
      <bottom style="hair">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bottom style="thin">
        <color indexed="8"/>
      </bottom>
      <diagonal/>
    </border>
    <border>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theme="3"/>
      </left>
      <right/>
      <top style="thin">
        <color theme="3"/>
      </top>
      <bottom/>
      <diagonal/>
    </border>
    <border>
      <left/>
      <right style="thin">
        <color theme="3"/>
      </right>
      <top style="thin">
        <color theme="3"/>
      </top>
      <bottom/>
      <diagonal/>
    </border>
    <border>
      <left style="thin">
        <color theme="3"/>
      </left>
      <right/>
      <top/>
      <bottom/>
      <diagonal/>
    </border>
    <border>
      <left/>
      <right style="thin">
        <color theme="3"/>
      </right>
      <top/>
      <bottom/>
      <diagonal/>
    </border>
    <border>
      <left style="thin">
        <color theme="3"/>
      </left>
      <right/>
      <top/>
      <bottom style="thin">
        <color indexed="64"/>
      </bottom>
      <diagonal/>
    </border>
    <border>
      <left/>
      <right style="thin">
        <color theme="3"/>
      </right>
      <top/>
      <bottom style="thin">
        <color indexed="64"/>
      </bottom>
      <diagonal/>
    </border>
    <border>
      <left style="thin">
        <color theme="3"/>
      </left>
      <right/>
      <top/>
      <bottom style="thin">
        <color theme="3"/>
      </bottom>
      <diagonal/>
    </border>
    <border>
      <left/>
      <right style="thin">
        <color theme="3"/>
      </right>
      <top/>
      <bottom style="thin">
        <color theme="3"/>
      </bottom>
      <diagonal/>
    </border>
    <border>
      <left style="medium">
        <color theme="1" tint="0.499984740745262"/>
      </left>
      <right style="medium">
        <color theme="1" tint="0.499984740745262"/>
      </right>
      <top style="medium">
        <color theme="1" tint="0.499984740745262"/>
      </top>
      <bottom style="medium">
        <color theme="1" tint="0.499984740745262"/>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50">
    <xf numFmtId="0" fontId="0" fillId="0" borderId="0"/>
    <xf numFmtId="0" fontId="1" fillId="0" borderId="0"/>
    <xf numFmtId="0" fontId="7" fillId="0" borderId="0" applyNumberFormat="0" applyFont="0" applyFill="0" applyBorder="0" applyAlignment="0" applyProtection="0"/>
    <xf numFmtId="0" fontId="7" fillId="0" borderId="0" applyFill="0" applyAlignment="0">
      <protection locked="0"/>
    </xf>
    <xf numFmtId="0" fontId="1" fillId="2" borderId="0" applyNumberFormat="0" applyFont="0" applyBorder="0" applyAlignment="0" applyProtection="0"/>
    <xf numFmtId="0" fontId="1" fillId="0" borderId="0"/>
    <xf numFmtId="0" fontId="3" fillId="0" borderId="0"/>
    <xf numFmtId="0" fontId="3" fillId="0" borderId="0"/>
    <xf numFmtId="0" fontId="4" fillId="0" borderId="0"/>
    <xf numFmtId="43" fontId="1"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44" fontId="7" fillId="0" borderId="0" applyFont="0" applyFill="0" applyBorder="0" applyAlignment="0" applyProtection="0"/>
    <xf numFmtId="44" fontId="75" fillId="0" borderId="0" applyFont="0" applyFill="0" applyBorder="0" applyAlignment="0" applyProtection="0"/>
    <xf numFmtId="0" fontId="7" fillId="0" borderId="0" applyNumberFormat="0" applyFill="0" applyBorder="0" applyAlignment="0" applyProtection="0">
      <alignment vertical="top"/>
      <protection locked="0"/>
    </xf>
    <xf numFmtId="0" fontId="7" fillId="0" borderId="0"/>
    <xf numFmtId="0" fontId="7" fillId="0" borderId="0"/>
    <xf numFmtId="0" fontId="7" fillId="0" borderId="0" applyNumberFormat="0" applyFont="0" applyFill="0" applyBorder="0" applyAlignment="0" applyProtection="0"/>
    <xf numFmtId="0" fontId="75" fillId="0" borderId="0"/>
    <xf numFmtId="0" fontId="20" fillId="0" borderId="0"/>
    <xf numFmtId="0" fontId="1" fillId="0" borderId="0"/>
    <xf numFmtId="0" fontId="1" fillId="0" borderId="0"/>
    <xf numFmtId="0" fontId="43" fillId="0" borderId="0"/>
    <xf numFmtId="173" fontId="5" fillId="0" borderId="0"/>
    <xf numFmtId="0" fontId="10" fillId="0" borderId="0"/>
    <xf numFmtId="0" fontId="36" fillId="0" borderId="0"/>
    <xf numFmtId="164" fontId="5" fillId="0" borderId="0"/>
    <xf numFmtId="173" fontId="5" fillId="0" borderId="0"/>
    <xf numFmtId="37" fontId="5" fillId="0" borderId="0"/>
    <xf numFmtId="37" fontId="5" fillId="0" borderId="0"/>
    <xf numFmtId="0" fontId="1" fillId="0" borderId="0"/>
    <xf numFmtId="173" fontId="5" fillId="0" borderId="0"/>
    <xf numFmtId="0" fontId="1" fillId="0" borderId="0"/>
    <xf numFmtId="173" fontId="5" fillId="0" borderId="0"/>
    <xf numFmtId="173" fontId="5" fillId="0" borderId="0"/>
    <xf numFmtId="37" fontId="5" fillId="0" borderId="0"/>
    <xf numFmtId="0" fontId="6" fillId="0" borderId="0">
      <alignment vertical="center"/>
    </xf>
    <xf numFmtId="9" fontId="1"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5" fillId="0" borderId="0" applyFont="0" applyFill="0" applyBorder="0" applyAlignment="0" applyProtection="0"/>
    <xf numFmtId="0" fontId="7" fillId="2" borderId="0" applyNumberFormat="0" applyFont="0" applyBorder="0" applyAlignment="0" applyProtection="0"/>
    <xf numFmtId="0" fontId="8" fillId="0" borderId="0"/>
    <xf numFmtId="0" fontId="8" fillId="0" borderId="9">
      <alignment horizontal="centerContinuous"/>
    </xf>
    <xf numFmtId="0" fontId="9" fillId="0" borderId="9"/>
    <xf numFmtId="0" fontId="1" fillId="0" borderId="0"/>
    <xf numFmtId="0" fontId="5" fillId="0" borderId="0"/>
  </cellStyleXfs>
  <cellXfs count="1545">
    <xf numFmtId="0" fontId="0" fillId="0" borderId="0" xfId="0"/>
    <xf numFmtId="0" fontId="0" fillId="0" borderId="0" xfId="0" applyFill="1"/>
    <xf numFmtId="0" fontId="12" fillId="0" borderId="0" xfId="0" applyFont="1"/>
    <xf numFmtId="0" fontId="12" fillId="0" borderId="0" xfId="0" applyFont="1" applyAlignment="1">
      <alignment horizontal="left" indent="1"/>
    </xf>
    <xf numFmtId="0" fontId="15" fillId="0" borderId="0" xfId="0" applyFont="1"/>
    <xf numFmtId="0" fontId="12" fillId="0" borderId="0" xfId="0" applyFont="1" applyAlignment="1">
      <alignment horizontal="right"/>
    </xf>
    <xf numFmtId="176" fontId="12" fillId="0" borderId="0" xfId="40" applyNumberFormat="1" applyFont="1"/>
    <xf numFmtId="0" fontId="7" fillId="0" borderId="0" xfId="0" applyFont="1"/>
    <xf numFmtId="0" fontId="15" fillId="0" borderId="0" xfId="0" applyFont="1" applyBorder="1" applyAlignment="1">
      <alignment horizontal="center"/>
    </xf>
    <xf numFmtId="176" fontId="10" fillId="0" borderId="0" xfId="40" applyNumberFormat="1" applyFont="1" applyBorder="1"/>
    <xf numFmtId="49" fontId="0" fillId="0" borderId="0" xfId="0" applyNumberFormat="1"/>
    <xf numFmtId="0" fontId="12" fillId="0" borderId="4" xfId="0" applyFont="1" applyBorder="1"/>
    <xf numFmtId="0" fontId="7" fillId="0" borderId="0" xfId="0" applyFont="1" applyFill="1"/>
    <xf numFmtId="176" fontId="12" fillId="0" borderId="0" xfId="40" applyNumberFormat="1" applyFont="1" applyAlignment="1">
      <alignment horizontal="right"/>
    </xf>
    <xf numFmtId="0" fontId="13" fillId="0" borderId="0" xfId="0" applyFont="1" applyBorder="1" applyAlignment="1">
      <alignment horizontal="center"/>
    </xf>
    <xf numFmtId="0" fontId="13" fillId="0" borderId="0" xfId="0" applyFont="1" applyFill="1" applyBorder="1" applyAlignment="1">
      <alignment horizontal="center"/>
    </xf>
    <xf numFmtId="0" fontId="36" fillId="0" borderId="0" xfId="28"/>
    <xf numFmtId="0" fontId="10" fillId="0" borderId="0" xfId="33" applyFont="1"/>
    <xf numFmtId="0" fontId="44" fillId="0" borderId="0" xfId="25" applyFont="1" applyBorder="1"/>
    <xf numFmtId="0" fontId="10" fillId="0" borderId="0" xfId="25" applyFont="1" applyAlignment="1">
      <alignment horizontal="right"/>
    </xf>
    <xf numFmtId="0" fontId="10" fillId="0" borderId="0" xfId="33" applyFont="1" applyAlignment="1">
      <alignment horizontal="right"/>
    </xf>
    <xf numFmtId="0" fontId="13" fillId="2" borderId="14" xfId="33" applyFont="1" applyFill="1" applyBorder="1" applyAlignment="1">
      <alignment horizontal="centerContinuous"/>
    </xf>
    <xf numFmtId="0" fontId="13" fillId="2" borderId="4" xfId="33" applyFont="1" applyFill="1" applyBorder="1" applyAlignment="1">
      <alignment horizontal="centerContinuous"/>
    </xf>
    <xf numFmtId="0" fontId="13" fillId="2" borderId="5" xfId="33" applyFont="1" applyFill="1" applyBorder="1" applyAlignment="1">
      <alignment horizontal="centerContinuous"/>
    </xf>
    <xf numFmtId="217" fontId="10" fillId="0" borderId="0" xfId="33" applyNumberFormat="1" applyFont="1" applyAlignment="1">
      <alignment horizontal="right"/>
    </xf>
    <xf numFmtId="0" fontId="45" fillId="0" borderId="2" xfId="25" applyFont="1" applyBorder="1"/>
    <xf numFmtId="218" fontId="32" fillId="0" borderId="2" xfId="23" applyNumberFormat="1" applyFont="1" applyBorder="1" applyAlignment="1">
      <alignment horizontal="right"/>
    </xf>
    <xf numFmtId="217" fontId="45" fillId="0" borderId="2" xfId="25" applyNumberFormat="1" applyFont="1" applyBorder="1" applyAlignment="1">
      <alignment horizontal="right"/>
    </xf>
    <xf numFmtId="0" fontId="45" fillId="0" borderId="0" xfId="25" applyFont="1" applyBorder="1"/>
    <xf numFmtId="216" fontId="32" fillId="0" borderId="0" xfId="23" applyNumberFormat="1" applyFont="1" applyBorder="1" applyAlignment="1">
      <alignment horizontal="right"/>
    </xf>
    <xf numFmtId="181" fontId="12" fillId="0" borderId="0" xfId="12" applyNumberFormat="1" applyFont="1" applyBorder="1" applyAlignment="1">
      <alignment horizontal="right"/>
    </xf>
    <xf numFmtId="217" fontId="45" fillId="0" borderId="0" xfId="25" applyNumberFormat="1" applyFont="1" applyBorder="1" applyAlignment="1">
      <alignment horizontal="right"/>
    </xf>
    <xf numFmtId="0" fontId="10" fillId="0" borderId="0" xfId="33" applyFont="1" applyFill="1" applyBorder="1"/>
    <xf numFmtId="206" fontId="32" fillId="0" borderId="0" xfId="27" applyNumberFormat="1" applyFont="1" applyFill="1" applyBorder="1"/>
    <xf numFmtId="0" fontId="10" fillId="0" borderId="0" xfId="33" applyFont="1" applyFill="1" applyAlignment="1">
      <alignment horizontal="right"/>
    </xf>
    <xf numFmtId="181" fontId="10" fillId="0" borderId="0" xfId="33" applyNumberFormat="1" applyFont="1" applyAlignment="1">
      <alignment horizontal="right"/>
    </xf>
    <xf numFmtId="0" fontId="10" fillId="0" borderId="0" xfId="27" applyFont="1" applyFill="1"/>
    <xf numFmtId="214" fontId="12" fillId="0" borderId="0" xfId="12" applyNumberFormat="1" applyFont="1" applyFill="1" applyAlignment="1">
      <alignment horizontal="right"/>
    </xf>
    <xf numFmtId="206" fontId="10" fillId="0" borderId="0" xfId="27" applyNumberFormat="1" applyFont="1" applyFill="1" applyBorder="1" applyAlignment="1" applyProtection="1">
      <alignment horizontal="left"/>
    </xf>
    <xf numFmtId="214" fontId="12" fillId="0" borderId="2" xfId="12" applyNumberFormat="1" applyFont="1" applyFill="1" applyBorder="1" applyAlignment="1">
      <alignment horizontal="right"/>
    </xf>
    <xf numFmtId="214" fontId="12" fillId="0" borderId="0" xfId="12" applyNumberFormat="1" applyFont="1" applyFill="1" applyBorder="1" applyAlignment="1">
      <alignment horizontal="right"/>
    </xf>
    <xf numFmtId="0" fontId="13" fillId="0" borderId="0" xfId="27" applyFont="1" applyFill="1"/>
    <xf numFmtId="181" fontId="10" fillId="0" borderId="0" xfId="33" applyNumberFormat="1" applyFont="1" applyFill="1" applyAlignment="1">
      <alignment horizontal="right"/>
    </xf>
    <xf numFmtId="0" fontId="13" fillId="0" borderId="2" xfId="33" applyFont="1" applyFill="1" applyBorder="1"/>
    <xf numFmtId="0" fontId="10" fillId="0" borderId="0" xfId="27" applyFont="1" applyFill="1" applyAlignment="1">
      <alignment horizontal="left"/>
    </xf>
    <xf numFmtId="214" fontId="10" fillId="0" borderId="0" xfId="33" applyNumberFormat="1" applyFont="1" applyFill="1" applyAlignment="1">
      <alignment horizontal="right"/>
    </xf>
    <xf numFmtId="214" fontId="10" fillId="0" borderId="0" xfId="33" applyNumberFormat="1" applyFont="1"/>
    <xf numFmtId="0" fontId="10" fillId="0" borderId="0" xfId="33" applyFont="1" applyFill="1" applyAlignment="1">
      <alignment horizontal="left" indent="1"/>
    </xf>
    <xf numFmtId="0" fontId="10" fillId="0" borderId="0" xfId="33" applyFont="1" applyFill="1"/>
    <xf numFmtId="214" fontId="10" fillId="0" borderId="2" xfId="33" applyNumberFormat="1" applyFont="1" applyFill="1" applyBorder="1" applyAlignment="1">
      <alignment horizontal="right"/>
    </xf>
    <xf numFmtId="0" fontId="13" fillId="0" borderId="0" xfId="33" applyFont="1" applyFill="1"/>
    <xf numFmtId="214" fontId="13" fillId="0" borderId="0" xfId="33" applyNumberFormat="1" applyFont="1" applyAlignment="1">
      <alignment horizontal="right"/>
    </xf>
    <xf numFmtId="0" fontId="12" fillId="0" borderId="0" xfId="33" applyFont="1" applyFill="1"/>
    <xf numFmtId="9" fontId="13" fillId="3" borderId="0" xfId="40" applyNumberFormat="1" applyFont="1" applyFill="1" applyAlignment="1">
      <alignment horizontal="right"/>
    </xf>
    <xf numFmtId="9" fontId="12" fillId="0" borderId="0" xfId="40" applyFont="1" applyAlignment="1">
      <alignment horizontal="right"/>
    </xf>
    <xf numFmtId="214" fontId="12" fillId="0" borderId="0" xfId="33" applyNumberFormat="1" applyFont="1" applyAlignment="1">
      <alignment horizontal="right"/>
    </xf>
    <xf numFmtId="215" fontId="13" fillId="0" borderId="0" xfId="33" applyNumberFormat="1" applyFont="1" applyFill="1" applyAlignment="1">
      <alignment horizontal="right"/>
    </xf>
    <xf numFmtId="0" fontId="10" fillId="0" borderId="0" xfId="27" applyFont="1" applyFill="1" applyAlignment="1">
      <alignment horizontal="left" indent="1"/>
    </xf>
    <xf numFmtId="214" fontId="12" fillId="0" borderId="0" xfId="33" applyNumberFormat="1" applyFont="1" applyFill="1" applyAlignment="1">
      <alignment horizontal="right"/>
    </xf>
    <xf numFmtId="0" fontId="10" fillId="0" borderId="0" xfId="27" applyFont="1" applyFill="1" applyAlignment="1">
      <alignment horizontal="left" indent="2"/>
    </xf>
    <xf numFmtId="214" fontId="12" fillId="0" borderId="2" xfId="33" applyNumberFormat="1" applyFont="1" applyFill="1" applyBorder="1" applyAlignment="1">
      <alignment horizontal="right"/>
    </xf>
    <xf numFmtId="214" fontId="13" fillId="0" borderId="0" xfId="33" applyNumberFormat="1" applyFont="1" applyFill="1" applyAlignment="1">
      <alignment horizontal="right"/>
    </xf>
    <xf numFmtId="214" fontId="46" fillId="0" borderId="0" xfId="33" applyNumberFormat="1" applyFont="1" applyAlignment="1">
      <alignment horizontal="right"/>
    </xf>
    <xf numFmtId="0" fontId="13" fillId="0" borderId="0" xfId="33" applyFont="1"/>
    <xf numFmtId="9" fontId="12" fillId="0" borderId="0" xfId="40" applyFont="1" applyFill="1" applyAlignment="1">
      <alignment horizontal="right"/>
    </xf>
    <xf numFmtId="0" fontId="12" fillId="0" borderId="0" xfId="33" applyFont="1"/>
    <xf numFmtId="0" fontId="32" fillId="0" borderId="0" xfId="27" applyFont="1"/>
    <xf numFmtId="214" fontId="32" fillId="0" borderId="0" xfId="33" applyNumberFormat="1" applyFont="1" applyFill="1" applyAlignment="1">
      <alignment horizontal="right"/>
    </xf>
    <xf numFmtId="0" fontId="32" fillId="0" borderId="0" xfId="33" applyFont="1" applyAlignment="1">
      <alignment horizontal="left" indent="1"/>
    </xf>
    <xf numFmtId="214" fontId="32" fillId="0" borderId="0" xfId="33" applyNumberFormat="1" applyFont="1" applyAlignment="1">
      <alignment horizontal="right"/>
    </xf>
    <xf numFmtId="0" fontId="13" fillId="0" borderId="2" xfId="33" applyFont="1" applyBorder="1"/>
    <xf numFmtId="0" fontId="11" fillId="0" borderId="0" xfId="33" applyFont="1"/>
    <xf numFmtId="176" fontId="37" fillId="4" borderId="6" xfId="33" applyNumberFormat="1" applyFont="1" applyFill="1" applyBorder="1" applyAlignment="1">
      <alignment horizontal="right"/>
    </xf>
    <xf numFmtId="176" fontId="37" fillId="0" borderId="6" xfId="33" applyNumberFormat="1" applyFont="1" applyFill="1" applyBorder="1" applyAlignment="1">
      <alignment horizontal="right"/>
    </xf>
    <xf numFmtId="176" fontId="37" fillId="0" borderId="10" xfId="33" applyNumberFormat="1" applyFont="1" applyFill="1" applyBorder="1" applyAlignment="1">
      <alignment horizontal="right"/>
    </xf>
    <xf numFmtId="176" fontId="37" fillId="0" borderId="15" xfId="33" applyNumberFormat="1" applyFont="1" applyFill="1" applyBorder="1" applyAlignment="1">
      <alignment horizontal="right"/>
    </xf>
    <xf numFmtId="176" fontId="37" fillId="0" borderId="2" xfId="33" applyNumberFormat="1" applyFont="1" applyFill="1" applyBorder="1" applyAlignment="1">
      <alignment horizontal="right"/>
    </xf>
    <xf numFmtId="176" fontId="27" fillId="0" borderId="2" xfId="33" applyNumberFormat="1" applyFont="1" applyFill="1" applyBorder="1" applyAlignment="1">
      <alignment horizontal="right"/>
    </xf>
    <xf numFmtId="0" fontId="13" fillId="0" borderId="0" xfId="33" applyFont="1" applyBorder="1"/>
    <xf numFmtId="214" fontId="16" fillId="3" borderId="0" xfId="12" applyNumberFormat="1" applyFont="1" applyFill="1" applyAlignment="1">
      <alignment horizontal="right"/>
    </xf>
    <xf numFmtId="214" fontId="10" fillId="0" borderId="0" xfId="12" applyNumberFormat="1" applyFont="1" applyAlignment="1">
      <alignment horizontal="right"/>
    </xf>
    <xf numFmtId="0" fontId="10" fillId="0" borderId="0" xfId="33" applyFont="1" applyBorder="1"/>
    <xf numFmtId="176" fontId="12" fillId="0" borderId="0" xfId="40" applyNumberFormat="1" applyFont="1" applyBorder="1" applyAlignment="1">
      <alignment horizontal="right"/>
    </xf>
    <xf numFmtId="176" fontId="19" fillId="3" borderId="0" xfId="40" applyNumberFormat="1" applyFont="1" applyFill="1" applyBorder="1" applyAlignment="1">
      <alignment horizontal="right"/>
    </xf>
    <xf numFmtId="214" fontId="16" fillId="0" borderId="0" xfId="12" applyNumberFormat="1" applyFont="1" applyFill="1" applyAlignment="1">
      <alignment horizontal="right"/>
    </xf>
    <xf numFmtId="214" fontId="10" fillId="0" borderId="0" xfId="12" applyNumberFormat="1" applyFont="1" applyFill="1" applyAlignment="1">
      <alignment horizontal="right"/>
    </xf>
    <xf numFmtId="176" fontId="12" fillId="0" borderId="0" xfId="40" applyNumberFormat="1" applyFont="1" applyFill="1" applyBorder="1" applyAlignment="1">
      <alignment horizontal="right"/>
    </xf>
    <xf numFmtId="176" fontId="12" fillId="3" borderId="0" xfId="40" applyNumberFormat="1" applyFont="1" applyFill="1" applyBorder="1" applyAlignment="1">
      <alignment horizontal="right"/>
    </xf>
    <xf numFmtId="216" fontId="12" fillId="0" borderId="0" xfId="23" applyNumberFormat="1" applyFont="1" applyBorder="1" applyAlignment="1">
      <alignment horizontal="right"/>
    </xf>
    <xf numFmtId="217" fontId="19" fillId="0" borderId="0" xfId="25" applyNumberFormat="1" applyFont="1" applyBorder="1" applyAlignment="1">
      <alignment horizontal="right"/>
    </xf>
    <xf numFmtId="214" fontId="12" fillId="0" borderId="0" xfId="25" applyNumberFormat="1" applyFont="1" applyBorder="1" applyAlignment="1">
      <alignment horizontal="right"/>
    </xf>
    <xf numFmtId="216" fontId="12" fillId="0" borderId="0" xfId="23" applyNumberFormat="1" applyFont="1" applyFill="1" applyBorder="1" applyAlignment="1">
      <alignment horizontal="right"/>
    </xf>
    <xf numFmtId="214" fontId="12" fillId="0" borderId="0" xfId="25" applyNumberFormat="1" applyFont="1" applyFill="1" applyBorder="1" applyAlignment="1">
      <alignment horizontal="right"/>
    </xf>
    <xf numFmtId="9" fontId="37" fillId="3" borderId="7" xfId="40" applyFont="1" applyFill="1" applyBorder="1" applyAlignment="1">
      <alignment horizontal="right"/>
    </xf>
    <xf numFmtId="217" fontId="19" fillId="0" borderId="0" xfId="25" applyNumberFormat="1" applyFont="1" applyFill="1" applyBorder="1" applyAlignment="1">
      <alignment horizontal="right"/>
    </xf>
    <xf numFmtId="0" fontId="10" fillId="0" borderId="0" xfId="33" applyFont="1" applyBorder="1" applyAlignment="1">
      <alignment horizontal="left" indent="1"/>
    </xf>
    <xf numFmtId="214" fontId="47" fillId="0" borderId="0" xfId="25" applyNumberFormat="1" applyFont="1" applyFill="1" applyBorder="1" applyAlignment="1">
      <alignment horizontal="right"/>
    </xf>
    <xf numFmtId="214" fontId="12" fillId="0" borderId="0" xfId="12" applyNumberFormat="1" applyFont="1" applyBorder="1" applyAlignment="1">
      <alignment horizontal="right"/>
    </xf>
    <xf numFmtId="0" fontId="11" fillId="0" borderId="0" xfId="33" applyFont="1" applyAlignment="1">
      <alignment horizontal="left" indent="2"/>
    </xf>
    <xf numFmtId="9" fontId="10" fillId="0" borderId="0" xfId="40" applyNumberFormat="1" applyFont="1" applyAlignment="1">
      <alignment horizontal="right"/>
    </xf>
    <xf numFmtId="176" fontId="10" fillId="0" borderId="0" xfId="40" applyNumberFormat="1" applyFont="1" applyAlignment="1">
      <alignment horizontal="right"/>
    </xf>
    <xf numFmtId="214" fontId="19" fillId="3" borderId="0" xfId="12" applyNumberFormat="1" applyFont="1" applyFill="1" applyAlignment="1">
      <alignment horizontal="right"/>
    </xf>
    <xf numFmtId="214" fontId="19" fillId="3" borderId="0" xfId="13" applyNumberFormat="1" applyFont="1" applyFill="1" applyAlignment="1">
      <alignment horizontal="right"/>
    </xf>
    <xf numFmtId="9" fontId="10" fillId="0" borderId="0" xfId="40" applyFont="1" applyAlignment="1">
      <alignment horizontal="right"/>
    </xf>
    <xf numFmtId="214" fontId="14" fillId="0" borderId="6" xfId="12" applyNumberFormat="1" applyFont="1" applyFill="1" applyBorder="1" applyAlignment="1">
      <alignment horizontal="right"/>
    </xf>
    <xf numFmtId="214" fontId="14" fillId="0" borderId="10" xfId="12" applyNumberFormat="1" applyFont="1" applyFill="1" applyBorder="1" applyAlignment="1">
      <alignment horizontal="right"/>
    </xf>
    <xf numFmtId="214" fontId="14" fillId="3" borderId="15" xfId="12" applyNumberFormat="1" applyFont="1" applyFill="1" applyBorder="1" applyAlignment="1">
      <alignment horizontal="right"/>
    </xf>
    <xf numFmtId="214" fontId="14" fillId="3" borderId="2" xfId="12" applyNumberFormat="1" applyFont="1" applyFill="1" applyBorder="1" applyAlignment="1">
      <alignment horizontal="right"/>
    </xf>
    <xf numFmtId="214" fontId="16" fillId="0" borderId="0" xfId="12" applyNumberFormat="1" applyFont="1" applyFill="1" applyBorder="1" applyAlignment="1">
      <alignment horizontal="right"/>
    </xf>
    <xf numFmtId="214" fontId="19" fillId="0" borderId="0" xfId="25" applyNumberFormat="1" applyFont="1" applyFill="1" applyBorder="1" applyAlignment="1">
      <alignment horizontal="right"/>
    </xf>
    <xf numFmtId="214" fontId="19" fillId="0" borderId="0" xfId="25" applyNumberFormat="1" applyFont="1" applyBorder="1" applyAlignment="1">
      <alignment horizontal="right"/>
    </xf>
    <xf numFmtId="0" fontId="10" fillId="0" borderId="2" xfId="33" applyFont="1" applyBorder="1"/>
    <xf numFmtId="0" fontId="10" fillId="0" borderId="0" xfId="33" applyFont="1" applyBorder="1" applyAlignment="1">
      <alignment horizontal="left"/>
    </xf>
    <xf numFmtId="214" fontId="16" fillId="0" borderId="0" xfId="12" applyNumberFormat="1" applyFont="1" applyBorder="1" applyAlignment="1">
      <alignment horizontal="right"/>
    </xf>
    <xf numFmtId="206" fontId="10" fillId="0" borderId="0" xfId="27" applyNumberFormat="1" applyFont="1" applyBorder="1" applyAlignment="1" applyProtection="1">
      <alignment horizontal="left"/>
    </xf>
    <xf numFmtId="214" fontId="16" fillId="4" borderId="14" xfId="12" applyNumberFormat="1" applyFont="1" applyFill="1" applyBorder="1" applyAlignment="1">
      <alignment horizontal="right"/>
    </xf>
    <xf numFmtId="214" fontId="16" fillId="4" borderId="4" xfId="12" applyNumberFormat="1" applyFont="1" applyFill="1" applyBorder="1" applyAlignment="1">
      <alignment horizontal="right"/>
    </xf>
    <xf numFmtId="214" fontId="16" fillId="4" borderId="5" xfId="12" applyNumberFormat="1" applyFont="1" applyFill="1" applyBorder="1" applyAlignment="1">
      <alignment horizontal="right"/>
    </xf>
    <xf numFmtId="214" fontId="10" fillId="0" borderId="0" xfId="12" applyNumberFormat="1" applyFont="1" applyFill="1" applyBorder="1" applyAlignment="1">
      <alignment horizontal="right"/>
    </xf>
    <xf numFmtId="181" fontId="10" fillId="0" borderId="0" xfId="33" applyNumberFormat="1" applyFont="1"/>
    <xf numFmtId="214" fontId="16" fillId="4" borderId="0" xfId="12" applyNumberFormat="1" applyFont="1" applyFill="1" applyAlignment="1">
      <alignment horizontal="right"/>
    </xf>
    <xf numFmtId="214" fontId="16" fillId="4" borderId="0" xfId="13" applyNumberFormat="1" applyFont="1" applyFill="1" applyAlignment="1">
      <alignment horizontal="right"/>
    </xf>
    <xf numFmtId="0" fontId="10" fillId="0" borderId="0" xfId="33" applyFont="1" applyFill="1" applyAlignment="1">
      <alignment vertical="justify" textRotation="90" readingOrder="2"/>
    </xf>
    <xf numFmtId="172" fontId="48" fillId="0" borderId="0" xfId="12" applyNumberFormat="1" applyFont="1" applyFill="1"/>
    <xf numFmtId="172" fontId="10" fillId="0" borderId="0" xfId="12" applyNumberFormat="1" applyFont="1" applyFill="1"/>
    <xf numFmtId="214" fontId="15" fillId="0" borderId="6" xfId="12" applyNumberFormat="1" applyFont="1" applyFill="1" applyBorder="1" applyAlignment="1">
      <alignment horizontal="left" indent="1"/>
    </xf>
    <xf numFmtId="214" fontId="10" fillId="0" borderId="10" xfId="12" applyNumberFormat="1" applyFont="1" applyFill="1" applyBorder="1" applyAlignment="1">
      <alignment horizontal="right"/>
    </xf>
    <xf numFmtId="0" fontId="10" fillId="0" borderId="2" xfId="33" applyFont="1" applyBorder="1" applyAlignment="1">
      <alignment vertical="center" textRotation="90" readingOrder="2"/>
    </xf>
    <xf numFmtId="165" fontId="10" fillId="0" borderId="0" xfId="33" applyNumberFormat="1" applyFont="1" applyFill="1"/>
    <xf numFmtId="213" fontId="10" fillId="5" borderId="16" xfId="12" applyNumberFormat="1" applyFont="1" applyFill="1" applyBorder="1" applyAlignment="1">
      <alignment horizontal="right"/>
    </xf>
    <xf numFmtId="213" fontId="10" fillId="0" borderId="0" xfId="12" applyNumberFormat="1" applyFont="1" applyFill="1" applyBorder="1" applyAlignment="1">
      <alignment horizontal="right"/>
    </xf>
    <xf numFmtId="214" fontId="10" fillId="5" borderId="17" xfId="12" applyNumberFormat="1" applyFont="1" applyFill="1" applyBorder="1" applyAlignment="1">
      <alignment horizontal="right"/>
    </xf>
    <xf numFmtId="214" fontId="10" fillId="0" borderId="0" xfId="12" applyNumberFormat="1" applyFont="1" applyBorder="1" applyAlignment="1">
      <alignment horizontal="right"/>
    </xf>
    <xf numFmtId="214" fontId="10" fillId="5" borderId="7" xfId="12" applyNumberFormat="1" applyFont="1" applyFill="1" applyBorder="1" applyAlignment="1">
      <alignment horizontal="right"/>
    </xf>
    <xf numFmtId="214" fontId="10" fillId="0" borderId="14" xfId="12" applyNumberFormat="1" applyFont="1" applyBorder="1" applyAlignment="1">
      <alignment horizontal="right"/>
    </xf>
    <xf numFmtId="214" fontId="10" fillId="0" borderId="4" xfId="12" applyNumberFormat="1" applyFont="1" applyBorder="1" applyAlignment="1">
      <alignment horizontal="right"/>
    </xf>
    <xf numFmtId="214" fontId="10" fillId="0" borderId="0" xfId="33" applyNumberFormat="1" applyFont="1" applyAlignment="1">
      <alignment horizontal="right"/>
    </xf>
    <xf numFmtId="218" fontId="32" fillId="0" borderId="0" xfId="23" applyNumberFormat="1" applyFont="1" applyBorder="1" applyAlignment="1">
      <alignment horizontal="right"/>
    </xf>
    <xf numFmtId="214" fontId="13" fillId="0" borderId="7" xfId="33" applyNumberFormat="1" applyFont="1" applyBorder="1" applyAlignment="1">
      <alignment horizontal="right"/>
    </xf>
    <xf numFmtId="214" fontId="10" fillId="3" borderId="0" xfId="33" applyNumberFormat="1" applyFont="1" applyFill="1"/>
    <xf numFmtId="214" fontId="14" fillId="3" borderId="0" xfId="33" applyNumberFormat="1" applyFont="1" applyFill="1"/>
    <xf numFmtId="219" fontId="32" fillId="0" borderId="0" xfId="23" applyNumberFormat="1" applyFont="1" applyBorder="1" applyAlignment="1">
      <alignment horizontal="right"/>
    </xf>
    <xf numFmtId="165" fontId="13" fillId="0" borderId="0" xfId="33" applyNumberFormat="1" applyFont="1" applyAlignment="1">
      <alignment horizontal="right"/>
    </xf>
    <xf numFmtId="213" fontId="13" fillId="0" borderId="0" xfId="33" applyNumberFormat="1" applyFont="1" applyAlignment="1">
      <alignment horizontal="right"/>
    </xf>
    <xf numFmtId="213" fontId="10" fillId="0" borderId="0" xfId="33" applyNumberFormat="1" applyFont="1" applyAlignment="1">
      <alignment horizontal="right"/>
    </xf>
    <xf numFmtId="214" fontId="10" fillId="0" borderId="0" xfId="33" applyNumberFormat="1" applyFont="1" applyBorder="1"/>
    <xf numFmtId="213" fontId="10" fillId="0" borderId="0" xfId="33" applyNumberFormat="1" applyFont="1" applyBorder="1" applyAlignment="1">
      <alignment horizontal="right"/>
    </xf>
    <xf numFmtId="206" fontId="10" fillId="0" borderId="2" xfId="27" applyNumberFormat="1" applyFont="1" applyBorder="1" applyAlignment="1" applyProtection="1">
      <alignment horizontal="left"/>
    </xf>
    <xf numFmtId="165" fontId="10" fillId="0" borderId="10" xfId="33" applyNumberFormat="1" applyFont="1" applyBorder="1" applyAlignment="1">
      <alignment horizontal="right"/>
    </xf>
    <xf numFmtId="165" fontId="10" fillId="0" borderId="0" xfId="33" applyNumberFormat="1" applyFont="1" applyBorder="1" applyAlignment="1">
      <alignment horizontal="right"/>
    </xf>
    <xf numFmtId="206" fontId="48" fillId="0" borderId="0" xfId="27" applyNumberFormat="1" applyFont="1" applyBorder="1" applyAlignment="1" applyProtection="1">
      <alignment horizontal="left"/>
    </xf>
    <xf numFmtId="206" fontId="13" fillId="0" borderId="0" xfId="27" applyNumberFormat="1" applyFont="1" applyBorder="1" applyAlignment="1" applyProtection="1">
      <alignment horizontal="left"/>
    </xf>
    <xf numFmtId="0" fontId="55" fillId="0" borderId="0" xfId="0" applyFont="1" applyAlignment="1">
      <alignment horizontal="left" indent="1"/>
    </xf>
    <xf numFmtId="0" fontId="14" fillId="0" borderId="0" xfId="0" applyFont="1"/>
    <xf numFmtId="0" fontId="13" fillId="0" borderId="10" xfId="0" applyFont="1" applyBorder="1" applyAlignment="1">
      <alignment horizontal="center"/>
    </xf>
    <xf numFmtId="0" fontId="55" fillId="0" borderId="0" xfId="0" applyFont="1"/>
    <xf numFmtId="228" fontId="56" fillId="0" borderId="0" xfId="0" applyNumberFormat="1" applyFont="1"/>
    <xf numFmtId="164" fontId="56" fillId="0" borderId="0" xfId="0" applyNumberFormat="1" applyFont="1"/>
    <xf numFmtId="44" fontId="12" fillId="0" borderId="4" xfId="0" applyNumberFormat="1" applyFont="1" applyBorder="1"/>
    <xf numFmtId="0" fontId="57" fillId="0" borderId="0" xfId="0" applyFont="1"/>
    <xf numFmtId="176" fontId="56" fillId="0" borderId="0" xfId="40" applyNumberFormat="1" applyFont="1"/>
    <xf numFmtId="176" fontId="56" fillId="0" borderId="0" xfId="40" applyNumberFormat="1" applyFont="1" applyAlignment="1">
      <alignment horizontal="right"/>
    </xf>
    <xf numFmtId="164" fontId="56" fillId="0" borderId="0" xfId="0" applyNumberFormat="1" applyFont="1" applyAlignment="1">
      <alignment horizontal="right"/>
    </xf>
    <xf numFmtId="0" fontId="7" fillId="3" borderId="0" xfId="0" applyFont="1" applyFill="1"/>
    <xf numFmtId="228" fontId="12" fillId="0" borderId="0" xfId="0" applyNumberFormat="1" applyFont="1"/>
    <xf numFmtId="164" fontId="12" fillId="0" borderId="0" xfId="0" applyNumberFormat="1" applyFont="1"/>
    <xf numFmtId="164" fontId="19" fillId="0" borderId="0" xfId="0" applyNumberFormat="1" applyFont="1"/>
    <xf numFmtId="176" fontId="19" fillId="0" borderId="0" xfId="40" applyNumberFormat="1" applyFont="1"/>
    <xf numFmtId="164" fontId="19" fillId="0" borderId="0" xfId="0" applyNumberFormat="1" applyFont="1" applyFill="1"/>
    <xf numFmtId="176" fontId="12" fillId="0" borderId="0" xfId="40" applyNumberFormat="1" applyFont="1" applyBorder="1"/>
    <xf numFmtId="0" fontId="7" fillId="7" borderId="0" xfId="0" applyFont="1" applyFill="1"/>
    <xf numFmtId="0" fontId="58" fillId="0" borderId="0" xfId="0" applyFont="1"/>
    <xf numFmtId="164" fontId="12" fillId="0" borderId="0" xfId="0" applyNumberFormat="1" applyFont="1" applyFill="1"/>
    <xf numFmtId="0" fontId="13" fillId="0" borderId="0" xfId="24" applyFont="1" applyFill="1" applyAlignment="1">
      <alignment horizontal="right"/>
    </xf>
    <xf numFmtId="0" fontId="13" fillId="5" borderId="13" xfId="24" applyFont="1" applyFill="1" applyBorder="1" applyAlignment="1">
      <alignment horizontal="left" indent="1"/>
    </xf>
    <xf numFmtId="0" fontId="10" fillId="0" borderId="0" xfId="24" applyFont="1" applyBorder="1" applyAlignment="1">
      <alignment horizontal="center"/>
    </xf>
    <xf numFmtId="0" fontId="12" fillId="0" borderId="0" xfId="24" applyFont="1" applyBorder="1" applyAlignment="1">
      <alignment horizontal="center"/>
    </xf>
    <xf numFmtId="176" fontId="12" fillId="0" borderId="0" xfId="40" applyNumberFormat="1" applyFont="1" applyFill="1"/>
    <xf numFmtId="176" fontId="10" fillId="0" borderId="0" xfId="40" applyNumberFormat="1" applyFont="1" applyBorder="1" applyAlignment="1">
      <alignment horizontal="right"/>
    </xf>
    <xf numFmtId="176" fontId="10" fillId="0" borderId="0" xfId="40" applyNumberFormat="1" applyFont="1" applyFill="1" applyBorder="1"/>
    <xf numFmtId="176" fontId="0" fillId="0" borderId="0" xfId="40" applyNumberFormat="1" applyFont="1"/>
    <xf numFmtId="176" fontId="7" fillId="0" borderId="0" xfId="40" applyNumberFormat="1" applyFont="1"/>
    <xf numFmtId="0" fontId="15" fillId="0" borderId="0" xfId="0" applyFont="1" applyFill="1" applyBorder="1" applyAlignment="1">
      <alignment horizontal="center"/>
    </xf>
    <xf numFmtId="44" fontId="0" fillId="0" borderId="0" xfId="0" applyNumberFormat="1"/>
    <xf numFmtId="0" fontId="0" fillId="8" borderId="0" xfId="0" applyFill="1"/>
    <xf numFmtId="0" fontId="7" fillId="8" borderId="0" xfId="0" applyFont="1" applyFill="1"/>
    <xf numFmtId="0" fontId="77" fillId="9" borderId="0" xfId="0" applyFont="1" applyFill="1" applyAlignment="1">
      <alignment horizontal="center"/>
    </xf>
    <xf numFmtId="5" fontId="7" fillId="8" borderId="0" xfId="0" applyNumberFormat="1" applyFont="1" applyFill="1" applyAlignment="1">
      <alignment horizontal="center"/>
    </xf>
    <xf numFmtId="5" fontId="0" fillId="8" borderId="0" xfId="0" applyNumberFormat="1" applyFill="1"/>
    <xf numFmtId="176" fontId="10" fillId="0" borderId="0" xfId="40" applyNumberFormat="1" applyFont="1"/>
    <xf numFmtId="0" fontId="78" fillId="0" borderId="0" xfId="18" applyFont="1"/>
    <xf numFmtId="0" fontId="7" fillId="0" borderId="0" xfId="18" applyFont="1"/>
    <xf numFmtId="0" fontId="79" fillId="0" borderId="2" xfId="18" applyFont="1" applyBorder="1"/>
    <xf numFmtId="17" fontId="2" fillId="0" borderId="2" xfId="18" applyNumberFormat="1" applyFont="1" applyBorder="1" applyAlignment="1">
      <alignment horizontal="center"/>
    </xf>
    <xf numFmtId="17" fontId="2" fillId="12" borderId="2" xfId="18" applyNumberFormat="1" applyFont="1" applyFill="1" applyBorder="1" applyAlignment="1">
      <alignment horizontal="center"/>
    </xf>
    <xf numFmtId="0" fontId="2" fillId="0" borderId="0" xfId="18" applyFont="1"/>
    <xf numFmtId="17" fontId="2" fillId="0" borderId="0" xfId="18" applyNumberFormat="1" applyFont="1"/>
    <xf numFmtId="0" fontId="79" fillId="0" borderId="0" xfId="18" applyFont="1"/>
    <xf numFmtId="17" fontId="2" fillId="12" borderId="0" xfId="18" applyNumberFormat="1" applyFont="1" applyFill="1"/>
    <xf numFmtId="172" fontId="7" fillId="0" borderId="0" xfId="11" applyNumberFormat="1" applyFont="1"/>
    <xf numFmtId="172" fontId="7" fillId="12" borderId="0" xfId="11" applyNumberFormat="1" applyFont="1" applyFill="1"/>
    <xf numFmtId="9" fontId="7" fillId="0" borderId="0" xfId="42" applyFont="1"/>
    <xf numFmtId="176" fontId="80" fillId="12" borderId="0" xfId="42" applyNumberFormat="1" applyFont="1" applyFill="1"/>
    <xf numFmtId="176" fontId="7" fillId="0" borderId="0" xfId="42" applyNumberFormat="1" applyFont="1"/>
    <xf numFmtId="0" fontId="81" fillId="0" borderId="0" xfId="18" applyFont="1"/>
    <xf numFmtId="9" fontId="62" fillId="0" borderId="0" xfId="18" applyNumberFormat="1" applyFont="1"/>
    <xf numFmtId="9" fontId="80" fillId="12" borderId="0" xfId="42" applyNumberFormat="1" applyFont="1" applyFill="1"/>
    <xf numFmtId="0" fontId="62" fillId="0" borderId="0" xfId="18" applyFont="1"/>
    <xf numFmtId="172" fontId="7" fillId="0" borderId="2" xfId="11" applyNumberFormat="1" applyFont="1" applyBorder="1"/>
    <xf numFmtId="172" fontId="7" fillId="12" borderId="2" xfId="11" applyNumberFormat="1" applyFont="1" applyFill="1" applyBorder="1"/>
    <xf numFmtId="172" fontId="7" fillId="0" borderId="0" xfId="18" applyNumberFormat="1" applyFont="1"/>
    <xf numFmtId="172" fontId="7" fillId="12" borderId="0" xfId="18" applyNumberFormat="1" applyFont="1" applyFill="1"/>
    <xf numFmtId="9" fontId="82" fillId="0" borderId="0" xfId="42" applyFont="1"/>
    <xf numFmtId="176" fontId="82" fillId="0" borderId="0" xfId="42" applyNumberFormat="1" applyFont="1"/>
    <xf numFmtId="176" fontId="83" fillId="12" borderId="0" xfId="42" applyNumberFormat="1" applyFont="1" applyFill="1"/>
    <xf numFmtId="0" fontId="82" fillId="0" borderId="0" xfId="18" applyFont="1"/>
    <xf numFmtId="0" fontId="7" fillId="12" borderId="0" xfId="18" applyFont="1" applyFill="1"/>
    <xf numFmtId="172" fontId="78" fillId="0" borderId="0" xfId="11" quotePrefix="1" applyNumberFormat="1" applyFont="1"/>
    <xf numFmtId="176" fontId="7" fillId="12" borderId="0" xfId="42" applyNumberFormat="1" applyFont="1" applyFill="1"/>
    <xf numFmtId="9" fontId="84" fillId="0" borderId="0" xfId="42" applyFont="1"/>
    <xf numFmtId="9" fontId="83" fillId="12" borderId="0" xfId="42" applyFont="1" applyFill="1"/>
    <xf numFmtId="0" fontId="7" fillId="0" borderId="2" xfId="18" applyFont="1" applyBorder="1"/>
    <xf numFmtId="0" fontId="7" fillId="12" borderId="2" xfId="18" applyFont="1" applyFill="1" applyBorder="1"/>
    <xf numFmtId="172" fontId="2" fillId="0" borderId="0" xfId="18" applyNumberFormat="1" applyFont="1"/>
    <xf numFmtId="172" fontId="2" fillId="12" borderId="0" xfId="18" applyNumberFormat="1" applyFont="1" applyFill="1"/>
    <xf numFmtId="9" fontId="83" fillId="8" borderId="0" xfId="42" applyFont="1" applyFill="1"/>
    <xf numFmtId="0" fontId="84" fillId="0" borderId="0" xfId="18" applyFont="1"/>
    <xf numFmtId="172" fontId="85" fillId="0" borderId="0" xfId="11" applyNumberFormat="1" applyFont="1" applyAlignment="1">
      <alignment horizontal="center"/>
    </xf>
    <xf numFmtId="0" fontId="86" fillId="0" borderId="0" xfId="18" applyFont="1" applyAlignment="1">
      <alignment horizontal="center"/>
    </xf>
    <xf numFmtId="0" fontId="85" fillId="0" borderId="0" xfId="18" applyFont="1" applyAlignment="1">
      <alignment horizontal="center"/>
    </xf>
    <xf numFmtId="172" fontId="78" fillId="0" borderId="0" xfId="11" applyNumberFormat="1" applyFont="1"/>
    <xf numFmtId="43" fontId="87" fillId="0" borderId="0" xfId="11" applyNumberFormat="1" applyFont="1"/>
    <xf numFmtId="172" fontId="79" fillId="12" borderId="14" xfId="11" applyNumberFormat="1" applyFont="1" applyFill="1" applyBorder="1"/>
    <xf numFmtId="172" fontId="7" fillId="12" borderId="4" xfId="11" applyNumberFormat="1" applyFont="1" applyFill="1" applyBorder="1"/>
    <xf numFmtId="172" fontId="7" fillId="12" borderId="5" xfId="11" applyNumberFormat="1" applyFont="1" applyFill="1" applyBorder="1"/>
    <xf numFmtId="172" fontId="78" fillId="12" borderId="14" xfId="11" applyNumberFormat="1" applyFont="1" applyFill="1" applyBorder="1"/>
    <xf numFmtId="0" fontId="7" fillId="12" borderId="4" xfId="18" applyFont="1" applyFill="1" applyBorder="1"/>
    <xf numFmtId="176" fontId="7" fillId="0" borderId="0" xfId="18" applyNumberFormat="1" applyFont="1"/>
    <xf numFmtId="172" fontId="78" fillId="0" borderId="2" xfId="11" applyNumberFormat="1" applyFont="1" applyBorder="1"/>
    <xf numFmtId="172" fontId="79" fillId="0" borderId="0" xfId="11" applyNumberFormat="1" applyFont="1"/>
    <xf numFmtId="172" fontId="81" fillId="0" borderId="0" xfId="11" applyNumberFormat="1" applyFont="1"/>
    <xf numFmtId="176" fontId="81" fillId="0" borderId="0" xfId="42" applyNumberFormat="1" applyFont="1"/>
    <xf numFmtId="172" fontId="81" fillId="0" borderId="0" xfId="11" applyNumberFormat="1" applyFont="1" applyAlignment="1">
      <alignment horizontal="center"/>
    </xf>
    <xf numFmtId="176" fontId="78" fillId="0" borderId="0" xfId="42" applyNumberFormat="1" applyFont="1"/>
    <xf numFmtId="44" fontId="78" fillId="0" borderId="0" xfId="15" applyFont="1"/>
    <xf numFmtId="9" fontId="78" fillId="0" borderId="0" xfId="42" applyFont="1"/>
    <xf numFmtId="9" fontId="81" fillId="0" borderId="0" xfId="42" applyFont="1" applyAlignment="1">
      <alignment horizontal="center"/>
    </xf>
    <xf numFmtId="172" fontId="79" fillId="12" borderId="4" xfId="11" applyNumberFormat="1" applyFont="1" applyFill="1" applyBorder="1" applyAlignment="1">
      <alignment horizontal="center"/>
    </xf>
    <xf numFmtId="176" fontId="79" fillId="12" borderId="5" xfId="42" applyNumberFormat="1" applyFont="1" applyFill="1" applyBorder="1"/>
    <xf numFmtId="172" fontId="78" fillId="0" borderId="0" xfId="11" applyNumberFormat="1" applyFont="1" applyBorder="1"/>
    <xf numFmtId="172" fontId="78" fillId="0" borderId="2" xfId="11" applyNumberFormat="1" applyFont="1" applyBorder="1" applyAlignment="1">
      <alignment horizontal="center"/>
    </xf>
    <xf numFmtId="44" fontId="79" fillId="13" borderId="5" xfId="15" applyFont="1" applyFill="1" applyBorder="1"/>
    <xf numFmtId="176" fontId="7" fillId="0" borderId="0" xfId="42" applyNumberFormat="1" applyFont="1" applyAlignment="1">
      <alignment horizontal="right"/>
    </xf>
    <xf numFmtId="176" fontId="7" fillId="8" borderId="0" xfId="42" applyNumberFormat="1" applyFont="1" applyFill="1" applyAlignment="1">
      <alignment horizontal="right"/>
    </xf>
    <xf numFmtId="176" fontId="0" fillId="0" borderId="0" xfId="0" applyNumberFormat="1"/>
    <xf numFmtId="2" fontId="7" fillId="0" borderId="0" xfId="18" applyNumberFormat="1" applyFont="1" applyAlignment="1">
      <alignment horizontal="right"/>
    </xf>
    <xf numFmtId="0" fontId="54" fillId="8" borderId="1" xfId="0" applyFont="1" applyFill="1" applyBorder="1"/>
    <xf numFmtId="0" fontId="88" fillId="8" borderId="0" xfId="0" applyFont="1" applyFill="1" applyBorder="1" applyAlignment="1">
      <alignment horizontal="center"/>
    </xf>
    <xf numFmtId="0" fontId="54" fillId="8" borderId="0" xfId="0" applyFont="1" applyFill="1" applyBorder="1" applyAlignment="1">
      <alignment horizontal="center"/>
    </xf>
    <xf numFmtId="0" fontId="54" fillId="8" borderId="16" xfId="0" applyFont="1" applyFill="1" applyBorder="1" applyAlignment="1">
      <alignment horizontal="center"/>
    </xf>
    <xf numFmtId="0" fontId="7" fillId="8" borderId="1" xfId="0" applyFont="1" applyFill="1" applyBorder="1"/>
    <xf numFmtId="0" fontId="7" fillId="8" borderId="0" xfId="0" applyFont="1" applyFill="1" applyBorder="1"/>
    <xf numFmtId="0" fontId="7" fillId="8" borderId="16" xfId="0" applyFont="1" applyFill="1" applyBorder="1"/>
    <xf numFmtId="5" fontId="7" fillId="8" borderId="0" xfId="14" applyNumberFormat="1" applyFont="1" applyFill="1" applyBorder="1"/>
    <xf numFmtId="5" fontId="7" fillId="8" borderId="16" xfId="14" applyNumberFormat="1" applyFont="1" applyFill="1" applyBorder="1"/>
    <xf numFmtId="184" fontId="7" fillId="8" borderId="0" xfId="9" applyNumberFormat="1" applyFont="1" applyFill="1" applyBorder="1"/>
    <xf numFmtId="43" fontId="7" fillId="8" borderId="16" xfId="9" applyFont="1" applyFill="1" applyBorder="1"/>
    <xf numFmtId="37" fontId="7" fillId="8" borderId="0" xfId="14" applyNumberFormat="1" applyFont="1" applyFill="1" applyBorder="1"/>
    <xf numFmtId="37" fontId="7" fillId="8" borderId="16" xfId="14" applyNumberFormat="1" applyFont="1" applyFill="1" applyBorder="1"/>
    <xf numFmtId="43" fontId="7" fillId="8" borderId="0" xfId="9" applyFont="1" applyFill="1" applyBorder="1"/>
    <xf numFmtId="188" fontId="7" fillId="8" borderId="1" xfId="0" applyNumberFormat="1" applyFont="1" applyFill="1" applyBorder="1"/>
    <xf numFmtId="188" fontId="7" fillId="8" borderId="0" xfId="14" applyNumberFormat="1" applyFont="1" applyFill="1" applyBorder="1"/>
    <xf numFmtId="188" fontId="7" fillId="8" borderId="0" xfId="9" applyNumberFormat="1" applyFont="1" applyFill="1" applyBorder="1"/>
    <xf numFmtId="188" fontId="7" fillId="8" borderId="16" xfId="9" applyNumberFormat="1" applyFont="1" applyFill="1" applyBorder="1"/>
    <xf numFmtId="188" fontId="7" fillId="8" borderId="0" xfId="14" applyNumberFormat="1" applyFont="1" applyFill="1" applyBorder="1" applyAlignment="1">
      <alignment horizontal="right"/>
    </xf>
    <xf numFmtId="188" fontId="7" fillId="8" borderId="0" xfId="9" applyNumberFormat="1" applyFont="1" applyFill="1" applyBorder="1" applyAlignment="1">
      <alignment horizontal="right"/>
    </xf>
    <xf numFmtId="188" fontId="7" fillId="8" borderId="16" xfId="9" applyNumberFormat="1" applyFont="1" applyFill="1" applyBorder="1" applyAlignment="1">
      <alignment horizontal="right"/>
    </xf>
    <xf numFmtId="188" fontId="7" fillId="8" borderId="1" xfId="0" applyNumberFormat="1" applyFont="1" applyFill="1" applyBorder="1" applyAlignment="1">
      <alignment horizontal="left" indent="1"/>
    </xf>
    <xf numFmtId="0" fontId="7" fillId="8" borderId="15" xfId="0" applyFont="1" applyFill="1" applyBorder="1"/>
    <xf numFmtId="0" fontId="54" fillId="8" borderId="6" xfId="0" applyFont="1" applyFill="1" applyBorder="1"/>
    <xf numFmtId="0" fontId="54" fillId="8" borderId="10" xfId="0" applyFont="1" applyFill="1" applyBorder="1" applyAlignment="1">
      <alignment horizontal="center"/>
    </xf>
    <xf numFmtId="0" fontId="2" fillId="8" borderId="0" xfId="0" applyFont="1" applyFill="1"/>
    <xf numFmtId="176" fontId="7" fillId="8" borderId="0" xfId="40" applyNumberFormat="1" applyFont="1" applyFill="1"/>
    <xf numFmtId="37" fontId="2" fillId="8" borderId="2" xfId="31" applyFont="1" applyFill="1" applyBorder="1" applyAlignment="1" applyProtection="1">
      <alignment horizontal="left"/>
    </xf>
    <xf numFmtId="0" fontId="7" fillId="8" borderId="2" xfId="0" applyFont="1" applyFill="1" applyBorder="1"/>
    <xf numFmtId="37" fontId="62" fillId="8" borderId="0" xfId="31" applyFont="1" applyFill="1" applyAlignment="1" applyProtection="1">
      <alignment horizontal="left"/>
    </xf>
    <xf numFmtId="39" fontId="7" fillId="8" borderId="0" xfId="0" applyNumberFormat="1" applyFont="1" applyFill="1"/>
    <xf numFmtId="188" fontId="7" fillId="8" borderId="0" xfId="0" applyNumberFormat="1" applyFont="1" applyFill="1"/>
    <xf numFmtId="2" fontId="7" fillId="8" borderId="0" xfId="40" applyNumberFormat="1" applyFont="1" applyFill="1"/>
    <xf numFmtId="229" fontId="7" fillId="8" borderId="0" xfId="0" applyNumberFormat="1" applyFont="1" applyFill="1" applyAlignment="1">
      <alignment horizontal="centerContinuous"/>
    </xf>
    <xf numFmtId="7" fontId="7" fillId="8" borderId="0" xfId="0" applyNumberFormat="1" applyFont="1" applyFill="1"/>
    <xf numFmtId="7" fontId="2" fillId="8" borderId="0" xfId="9" applyNumberFormat="1" applyFont="1" applyFill="1" applyBorder="1" applyAlignment="1">
      <alignment horizontal="right"/>
    </xf>
    <xf numFmtId="2" fontId="2" fillId="8" borderId="0" xfId="40" applyNumberFormat="1" applyFont="1" applyFill="1" applyBorder="1" applyAlignment="1">
      <alignment horizontal="right"/>
    </xf>
    <xf numFmtId="2" fontId="7" fillId="8" borderId="0" xfId="40" applyNumberFormat="1" applyFont="1" applyFill="1" applyAlignment="1"/>
    <xf numFmtId="0" fontId="7" fillId="8" borderId="2" xfId="0" applyFont="1" applyFill="1" applyBorder="1" applyAlignment="1">
      <alignment horizontal="centerContinuous"/>
    </xf>
    <xf numFmtId="182" fontId="7" fillId="8" borderId="0" xfId="0" applyNumberFormat="1" applyFont="1" applyFill="1"/>
    <xf numFmtId="190" fontId="7" fillId="8" borderId="0" xfId="0" applyNumberFormat="1" applyFont="1" applyFill="1"/>
    <xf numFmtId="0" fontId="7" fillId="8" borderId="14" xfId="0" applyFont="1" applyFill="1" applyBorder="1"/>
    <xf numFmtId="0" fontId="7" fillId="8" borderId="10" xfId="0" applyFont="1" applyFill="1" applyBorder="1"/>
    <xf numFmtId="182" fontId="2" fillId="8" borderId="4" xfId="0" applyNumberFormat="1" applyFont="1" applyFill="1" applyBorder="1" applyAlignment="1">
      <alignment horizontal="centerContinuous"/>
    </xf>
    <xf numFmtId="0" fontId="2" fillId="8" borderId="4" xfId="0" applyFont="1" applyFill="1" applyBorder="1" applyAlignment="1">
      <alignment horizontal="centerContinuous"/>
    </xf>
    <xf numFmtId="190" fontId="2" fillId="8" borderId="4" xfId="0" applyNumberFormat="1" applyFont="1" applyFill="1" applyBorder="1" applyAlignment="1">
      <alignment horizontal="centerContinuous"/>
    </xf>
    <xf numFmtId="186" fontId="2" fillId="8" borderId="4" xfId="0" applyNumberFormat="1" applyFont="1" applyFill="1" applyBorder="1" applyAlignment="1">
      <alignment horizontal="centerContinuous"/>
    </xf>
    <xf numFmtId="0" fontId="89" fillId="8" borderId="4" xfId="0" applyFont="1" applyFill="1" applyBorder="1" applyAlignment="1">
      <alignment horizontal="centerContinuous"/>
    </xf>
    <xf numFmtId="182" fontId="2" fillId="8" borderId="10" xfId="0" applyNumberFormat="1" applyFont="1" applyFill="1" applyBorder="1" applyAlignment="1">
      <alignment horizontal="center"/>
    </xf>
    <xf numFmtId="182" fontId="2" fillId="8" borderId="6" xfId="0" applyNumberFormat="1" applyFont="1" applyFill="1" applyBorder="1" applyAlignment="1">
      <alignment horizontal="center"/>
    </xf>
    <xf numFmtId="182" fontId="2" fillId="8" borderId="25" xfId="0" applyNumberFormat="1" applyFont="1" applyFill="1" applyBorder="1" applyAlignment="1">
      <alignment horizontal="center"/>
    </xf>
    <xf numFmtId="190" fontId="51" fillId="8" borderId="10" xfId="0" applyNumberFormat="1" applyFont="1" applyFill="1" applyBorder="1" applyAlignment="1">
      <alignment horizontal="center"/>
    </xf>
    <xf numFmtId="190" fontId="51" fillId="8" borderId="0" xfId="0" applyNumberFormat="1" applyFont="1" applyFill="1" applyBorder="1" applyAlignment="1">
      <alignment horizontal="center"/>
    </xf>
    <xf numFmtId="0" fontId="54" fillId="8" borderId="1" xfId="0" applyFont="1" applyFill="1" applyBorder="1" applyAlignment="1">
      <alignment horizontal="center"/>
    </xf>
    <xf numFmtId="177" fontId="7" fillId="8" borderId="0" xfId="14" applyNumberFormat="1" applyFont="1" applyFill="1" applyBorder="1"/>
    <xf numFmtId="5" fontId="7" fillId="8" borderId="1" xfId="14" applyNumberFormat="1" applyFont="1" applyFill="1" applyBorder="1"/>
    <xf numFmtId="43" fontId="7" fillId="8" borderId="1" xfId="9" applyFont="1" applyFill="1" applyBorder="1"/>
    <xf numFmtId="37" fontId="7" fillId="8" borderId="1" xfId="14" applyNumberFormat="1" applyFont="1" applyFill="1" applyBorder="1"/>
    <xf numFmtId="188" fontId="7" fillId="8" borderId="0" xfId="0" applyNumberFormat="1" applyFont="1" applyFill="1" applyBorder="1"/>
    <xf numFmtId="188" fontId="7" fillId="8" borderId="16" xfId="14" applyNumberFormat="1" applyFont="1" applyFill="1" applyBorder="1"/>
    <xf numFmtId="188" fontId="7" fillId="8" borderId="1" xfId="9" applyNumberFormat="1" applyFont="1" applyFill="1" applyBorder="1"/>
    <xf numFmtId="188" fontId="7" fillId="8" borderId="0" xfId="0" applyNumberFormat="1" applyFont="1" applyFill="1" applyBorder="1" applyAlignment="1">
      <alignment horizontal="right"/>
    </xf>
    <xf numFmtId="188" fontId="7" fillId="8" borderId="1" xfId="9" applyNumberFormat="1" applyFont="1" applyFill="1" applyBorder="1" applyAlignment="1">
      <alignment horizontal="right"/>
    </xf>
    <xf numFmtId="188" fontId="7" fillId="8" borderId="1" xfId="14" applyNumberFormat="1" applyFont="1" applyFill="1" applyBorder="1"/>
    <xf numFmtId="188" fontId="22" fillId="8" borderId="16" xfId="9" applyNumberFormat="1" applyFont="1" applyFill="1" applyBorder="1"/>
    <xf numFmtId="188" fontId="22" fillId="8" borderId="1" xfId="9" applyNumberFormat="1" applyFont="1" applyFill="1" applyBorder="1"/>
    <xf numFmtId="177" fontId="7" fillId="8" borderId="0" xfId="0" applyNumberFormat="1" applyFont="1" applyFill="1" applyBorder="1"/>
    <xf numFmtId="188" fontId="22" fillId="8" borderId="0" xfId="14" applyNumberFormat="1" applyFont="1" applyFill="1" applyBorder="1" applyAlignment="1">
      <alignment horizontal="right"/>
    </xf>
    <xf numFmtId="5" fontId="22" fillId="8" borderId="16" xfId="14" applyNumberFormat="1" applyFont="1" applyFill="1" applyBorder="1"/>
    <xf numFmtId="5" fontId="22" fillId="8" borderId="1" xfId="14" applyNumberFormat="1" applyFont="1" applyFill="1" applyBorder="1"/>
    <xf numFmtId="0" fontId="2" fillId="8" borderId="0" xfId="0" applyFont="1" applyFill="1" applyBorder="1"/>
    <xf numFmtId="7" fontId="2" fillId="8" borderId="0" xfId="0" applyNumberFormat="1" applyFont="1" applyFill="1" applyBorder="1"/>
    <xf numFmtId="37" fontId="2" fillId="8" borderId="15" xfId="0" applyNumberFormat="1" applyFont="1" applyFill="1" applyBorder="1"/>
    <xf numFmtId="0" fontId="2" fillId="8" borderId="2" xfId="0" applyFont="1" applyFill="1" applyBorder="1"/>
    <xf numFmtId="7" fontId="2" fillId="8" borderId="2" xfId="9" applyNumberFormat="1" applyFont="1" applyFill="1" applyBorder="1" applyAlignment="1">
      <alignment horizontal="right"/>
    </xf>
    <xf numFmtId="44" fontId="2" fillId="8" borderId="2" xfId="14" applyFont="1" applyFill="1" applyBorder="1"/>
    <xf numFmtId="7" fontId="2" fillId="8" borderId="17" xfId="9" applyNumberFormat="1" applyFont="1" applyFill="1" applyBorder="1" applyAlignment="1">
      <alignment horizontal="right"/>
    </xf>
    <xf numFmtId="7" fontId="2" fillId="8" borderId="15" xfId="9" applyNumberFormat="1" applyFont="1" applyFill="1" applyBorder="1" applyAlignment="1">
      <alignment horizontal="right"/>
    </xf>
    <xf numFmtId="164" fontId="7" fillId="8" borderId="1" xfId="0" applyNumberFormat="1" applyFont="1" applyFill="1" applyBorder="1"/>
    <xf numFmtId="164" fontId="7" fillId="8" borderId="0" xfId="0" applyNumberFormat="1" applyFont="1" applyFill="1" applyBorder="1"/>
    <xf numFmtId="164" fontId="7" fillId="8" borderId="0" xfId="14" applyNumberFormat="1" applyFont="1" applyFill="1" applyBorder="1"/>
    <xf numFmtId="164" fontId="7" fillId="8" borderId="0" xfId="9" applyNumberFormat="1" applyFont="1" applyFill="1" applyBorder="1"/>
    <xf numFmtId="164" fontId="7" fillId="8" borderId="16" xfId="9" applyNumberFormat="1" applyFont="1" applyFill="1" applyBorder="1"/>
    <xf numFmtId="164" fontId="7" fillId="8" borderId="1" xfId="9" applyNumberFormat="1" applyFont="1" applyFill="1" applyBorder="1"/>
    <xf numFmtId="164" fontId="7" fillId="8" borderId="0" xfId="0" applyNumberFormat="1" applyFont="1" applyFill="1"/>
    <xf numFmtId="43" fontId="38" fillId="8" borderId="1" xfId="9" applyFont="1" applyFill="1" applyBorder="1"/>
    <xf numFmtId="43" fontId="38" fillId="8" borderId="0" xfId="9" applyFont="1" applyFill="1" applyBorder="1"/>
    <xf numFmtId="43" fontId="38" fillId="8" borderId="16" xfId="9" applyFont="1" applyFill="1" applyBorder="1"/>
    <xf numFmtId="43" fontId="51" fillId="8" borderId="0" xfId="9" applyFont="1" applyFill="1" applyBorder="1"/>
    <xf numFmtId="43" fontId="7" fillId="8" borderId="0" xfId="9" applyFont="1" applyFill="1" applyBorder="1" applyAlignment="1">
      <alignment horizontal="right"/>
    </xf>
    <xf numFmtId="43" fontId="38" fillId="8" borderId="1" xfId="9" applyFont="1" applyFill="1" applyBorder="1" applyAlignment="1">
      <alignment horizontal="right"/>
    </xf>
    <xf numFmtId="43" fontId="38" fillId="8" borderId="0" xfId="9" applyFont="1" applyFill="1" applyBorder="1" applyAlignment="1">
      <alignment horizontal="right"/>
    </xf>
    <xf numFmtId="43" fontId="38" fillId="8" borderId="16" xfId="9" applyFont="1" applyFill="1" applyBorder="1" applyAlignment="1">
      <alignment horizontal="right"/>
    </xf>
    <xf numFmtId="184" fontId="51" fillId="8" borderId="0" xfId="9" applyNumberFormat="1" applyFont="1" applyFill="1" applyBorder="1" applyAlignment="1">
      <alignment horizontal="right"/>
    </xf>
    <xf numFmtId="43" fontId="22" fillId="8" borderId="0" xfId="9" applyFont="1" applyFill="1" applyBorder="1" applyAlignment="1">
      <alignment horizontal="right"/>
    </xf>
    <xf numFmtId="43" fontId="22" fillId="8" borderId="0" xfId="9" applyFont="1" applyFill="1" applyBorder="1"/>
    <xf numFmtId="37" fontId="38" fillId="8" borderId="0" xfId="0" applyNumberFormat="1" applyFont="1" applyFill="1" applyBorder="1"/>
    <xf numFmtId="37" fontId="7" fillId="8" borderId="0" xfId="0" applyNumberFormat="1" applyFont="1" applyFill="1" applyBorder="1"/>
    <xf numFmtId="37" fontId="7" fillId="8" borderId="1" xfId="0" applyNumberFormat="1" applyFont="1" applyFill="1" applyBorder="1"/>
    <xf numFmtId="37" fontId="51" fillId="8" borderId="0" xfId="0" applyNumberFormat="1" applyFont="1" applyFill="1" applyBorder="1"/>
    <xf numFmtId="37" fontId="7" fillId="8" borderId="1" xfId="9" applyNumberFormat="1" applyFont="1" applyFill="1" applyBorder="1" applyAlignment="1">
      <alignment horizontal="right"/>
    </xf>
    <xf numFmtId="37" fontId="7" fillId="8" borderId="0" xfId="9" applyNumberFormat="1" applyFont="1" applyFill="1" applyBorder="1" applyAlignment="1">
      <alignment horizontal="right"/>
    </xf>
    <xf numFmtId="37" fontId="38" fillId="8" borderId="0" xfId="9" applyNumberFormat="1" applyFont="1" applyFill="1" applyBorder="1" applyAlignment="1">
      <alignment horizontal="right"/>
    </xf>
    <xf numFmtId="37" fontId="7" fillId="8" borderId="16" xfId="9" applyNumberFormat="1" applyFont="1" applyFill="1" applyBorder="1" applyAlignment="1">
      <alignment horizontal="right"/>
    </xf>
    <xf numFmtId="37" fontId="7" fillId="8" borderId="0" xfId="14" applyNumberFormat="1" applyFont="1" applyFill="1" applyBorder="1" applyAlignment="1">
      <alignment horizontal="right"/>
    </xf>
    <xf numFmtId="37" fontId="7" fillId="8" borderId="16" xfId="14" applyNumberFormat="1" applyFont="1" applyFill="1" applyBorder="1" applyAlignment="1">
      <alignment horizontal="right"/>
    </xf>
    <xf numFmtId="37" fontId="7" fillId="8" borderId="1" xfId="14" applyNumberFormat="1" applyFont="1" applyFill="1" applyBorder="1" applyAlignment="1">
      <alignment horizontal="right"/>
    </xf>
    <xf numFmtId="176" fontId="7" fillId="8" borderId="1" xfId="40" applyNumberFormat="1" applyFont="1" applyFill="1" applyBorder="1" applyAlignment="1">
      <alignment horizontal="right"/>
    </xf>
    <xf numFmtId="176" fontId="7" fillId="8" borderId="0" xfId="40" applyNumberFormat="1" applyFont="1" applyFill="1" applyBorder="1" applyAlignment="1">
      <alignment horizontal="right"/>
    </xf>
    <xf numFmtId="9" fontId="7" fillId="8" borderId="0" xfId="40" applyFont="1" applyFill="1" applyBorder="1" applyAlignment="1">
      <alignment horizontal="right"/>
    </xf>
    <xf numFmtId="191" fontId="7" fillId="8" borderId="0" xfId="40" applyNumberFormat="1" applyFont="1" applyFill="1" applyBorder="1" applyAlignment="1">
      <alignment horizontal="right"/>
    </xf>
    <xf numFmtId="191" fontId="7" fillId="8" borderId="0" xfId="40" applyNumberFormat="1" applyFont="1" applyFill="1" applyBorder="1"/>
    <xf numFmtId="191" fontId="7" fillId="8" borderId="16" xfId="40" applyNumberFormat="1" applyFont="1" applyFill="1" applyBorder="1" applyAlignment="1">
      <alignment horizontal="right"/>
    </xf>
    <xf numFmtId="191" fontId="7" fillId="8" borderId="1" xfId="40" applyNumberFormat="1" applyFont="1" applyFill="1" applyBorder="1" applyAlignment="1">
      <alignment horizontal="right"/>
    </xf>
    <xf numFmtId="191" fontId="22" fillId="8" borderId="16" xfId="40" applyNumberFormat="1" applyFont="1" applyFill="1" applyBorder="1" applyAlignment="1">
      <alignment horizontal="right"/>
    </xf>
    <xf numFmtId="191" fontId="7" fillId="8" borderId="0" xfId="0" applyNumberFormat="1" applyFont="1" applyFill="1" applyBorder="1"/>
    <xf numFmtId="176" fontId="7" fillId="8" borderId="0" xfId="40" applyNumberFormat="1" applyFont="1" applyFill="1" applyBorder="1"/>
    <xf numFmtId="191" fontId="7" fillId="8" borderId="2" xfId="40" applyNumberFormat="1" applyFont="1" applyFill="1" applyBorder="1" applyAlignment="1">
      <alignment horizontal="right"/>
    </xf>
    <xf numFmtId="176" fontId="7" fillId="8" borderId="2" xfId="40" applyNumberFormat="1" applyFont="1" applyFill="1" applyBorder="1"/>
    <xf numFmtId="191" fontId="7" fillId="8" borderId="17" xfId="40" applyNumberFormat="1" applyFont="1" applyFill="1" applyBorder="1" applyAlignment="1">
      <alignment horizontal="right"/>
    </xf>
    <xf numFmtId="191" fontId="7" fillId="8" borderId="15" xfId="40" applyNumberFormat="1" applyFont="1" applyFill="1" applyBorder="1" applyAlignment="1">
      <alignment horizontal="right"/>
    </xf>
    <xf numFmtId="186" fontId="54" fillId="8" borderId="10" xfId="0" applyNumberFormat="1" applyFont="1" applyFill="1" applyBorder="1" applyAlignment="1">
      <alignment horizontal="center"/>
    </xf>
    <xf numFmtId="43" fontId="7" fillId="8" borderId="0" xfId="0" applyNumberFormat="1" applyFont="1" applyFill="1" applyBorder="1"/>
    <xf numFmtId="198" fontId="7" fillId="8" borderId="0" xfId="0" applyNumberFormat="1" applyFont="1" applyFill="1" applyBorder="1"/>
    <xf numFmtId="172" fontId="7" fillId="8" borderId="0" xfId="9" applyNumberFormat="1" applyFont="1" applyFill="1" applyBorder="1"/>
    <xf numFmtId="191" fontId="7" fillId="8" borderId="16" xfId="40" applyNumberFormat="1" applyFont="1" applyFill="1" applyBorder="1"/>
    <xf numFmtId="191" fontId="7" fillId="8" borderId="2" xfId="40" applyNumberFormat="1" applyFont="1" applyFill="1" applyBorder="1"/>
    <xf numFmtId="197" fontId="7" fillId="8" borderId="0" xfId="14" applyNumberFormat="1" applyFont="1" applyFill="1" applyBorder="1"/>
    <xf numFmtId="0" fontId="7" fillId="8" borderId="0" xfId="35" applyFont="1" applyFill="1"/>
    <xf numFmtId="37" fontId="7" fillId="8" borderId="0" xfId="0" applyNumberFormat="1" applyFont="1" applyFill="1"/>
    <xf numFmtId="172" fontId="7" fillId="8" borderId="0" xfId="0" applyNumberFormat="1" applyFont="1" applyFill="1"/>
    <xf numFmtId="0" fontId="22" fillId="8" borderId="0" xfId="0" applyFont="1" applyFill="1"/>
    <xf numFmtId="184" fontId="22" fillId="8" borderId="0" xfId="0" applyNumberFormat="1" applyFont="1" applyFill="1"/>
    <xf numFmtId="0" fontId="7" fillId="8" borderId="0" xfId="0" applyFont="1" applyFill="1" applyProtection="1"/>
    <xf numFmtId="0" fontId="7" fillId="8" borderId="0" xfId="0" applyFont="1" applyFill="1" applyAlignment="1">
      <alignment horizontal="right"/>
    </xf>
    <xf numFmtId="2" fontId="7" fillId="8" borderId="0" xfId="0" applyNumberFormat="1" applyFont="1" applyFill="1"/>
    <xf numFmtId="184" fontId="7" fillId="8" borderId="2" xfId="0" applyNumberFormat="1" applyFont="1" applyFill="1" applyBorder="1"/>
    <xf numFmtId="189" fontId="7" fillId="8" borderId="0" xfId="14" applyNumberFormat="1" applyFont="1" applyFill="1" applyBorder="1" applyAlignment="1">
      <alignment horizontal="right"/>
    </xf>
    <xf numFmtId="189" fontId="7" fillId="8" borderId="0" xfId="0" applyNumberFormat="1" applyFont="1" applyFill="1"/>
    <xf numFmtId="184" fontId="7" fillId="8" borderId="0" xfId="0" applyNumberFormat="1" applyFont="1" applyFill="1"/>
    <xf numFmtId="43" fontId="7" fillId="8" borderId="0" xfId="0" applyNumberFormat="1" applyFont="1" applyFill="1"/>
    <xf numFmtId="186" fontId="54" fillId="8" borderId="0" xfId="0" applyNumberFormat="1" applyFont="1" applyFill="1" applyBorder="1" applyAlignment="1">
      <alignment horizontal="center"/>
    </xf>
    <xf numFmtId="185" fontId="63" fillId="8" borderId="0" xfId="0" applyNumberFormat="1" applyFont="1" applyFill="1" applyBorder="1" applyAlignment="1">
      <alignment horizontal="center"/>
    </xf>
    <xf numFmtId="186" fontId="54" fillId="8" borderId="0" xfId="0" applyNumberFormat="1" applyFont="1" applyFill="1" applyAlignment="1">
      <alignment horizontal="center"/>
    </xf>
    <xf numFmtId="189" fontId="38" fillId="8" borderId="0" xfId="14" applyNumberFormat="1" applyFont="1" applyFill="1" applyBorder="1" applyAlignment="1">
      <alignment horizontal="right"/>
    </xf>
    <xf numFmtId="189" fontId="61" fillId="8" borderId="0" xfId="14" applyNumberFormat="1" applyFont="1" applyFill="1" applyBorder="1" applyAlignment="1">
      <alignment horizontal="right"/>
    </xf>
    <xf numFmtId="188" fontId="22" fillId="8" borderId="0" xfId="0" applyNumberFormat="1" applyFont="1" applyFill="1"/>
    <xf numFmtId="188" fontId="38" fillId="8" borderId="0" xfId="14" applyNumberFormat="1" applyFont="1" applyFill="1" applyBorder="1" applyAlignment="1">
      <alignment horizontal="right"/>
    </xf>
    <xf numFmtId="188" fontId="22" fillId="8" borderId="0" xfId="14" applyNumberFormat="1" applyFont="1" applyFill="1"/>
    <xf numFmtId="188" fontId="22" fillId="8" borderId="0" xfId="9" applyNumberFormat="1" applyFont="1" applyFill="1" applyBorder="1" applyAlignment="1">
      <alignment horizontal="right"/>
    </xf>
    <xf numFmtId="188" fontId="38" fillId="8" borderId="0" xfId="9" applyNumberFormat="1" applyFont="1" applyFill="1" applyBorder="1" applyAlignment="1">
      <alignment horizontal="right"/>
    </xf>
    <xf numFmtId="188" fontId="51" fillId="8" borderId="0" xfId="9" applyNumberFormat="1" applyFont="1" applyFill="1" applyBorder="1" applyAlignment="1">
      <alignment horizontal="right"/>
    </xf>
    <xf numFmtId="188" fontId="38" fillId="8" borderId="2" xfId="9" applyNumberFormat="1" applyFont="1" applyFill="1" applyBorder="1" applyAlignment="1">
      <alignment horizontal="right"/>
    </xf>
    <xf numFmtId="189" fontId="7" fillId="8" borderId="0" xfId="0" applyNumberFormat="1" applyFont="1" applyFill="1" applyBorder="1" applyAlignment="1">
      <alignment horizontal="right"/>
    </xf>
    <xf numFmtId="188" fontId="7" fillId="8" borderId="0" xfId="0" applyNumberFormat="1" applyFont="1" applyFill="1" applyAlignment="1">
      <alignment horizontal="right"/>
    </xf>
    <xf numFmtId="189" fontId="38" fillId="8" borderId="0" xfId="9" applyNumberFormat="1" applyFont="1" applyFill="1" applyBorder="1" applyAlignment="1">
      <alignment horizontal="right"/>
    </xf>
    <xf numFmtId="193" fontId="22" fillId="8" borderId="0" xfId="0" applyNumberFormat="1" applyFont="1" applyFill="1" applyAlignment="1">
      <alignment horizontal="right" vertical="center"/>
    </xf>
    <xf numFmtId="188" fontId="38" fillId="8" borderId="0" xfId="0" applyNumberFormat="1" applyFont="1" applyFill="1" applyBorder="1" applyAlignment="1">
      <alignment horizontal="right"/>
    </xf>
    <xf numFmtId="188" fontId="38" fillId="8" borderId="0" xfId="0" applyNumberFormat="1" applyFont="1" applyFill="1" applyAlignment="1">
      <alignment horizontal="right"/>
    </xf>
    <xf numFmtId="189" fontId="38" fillId="8" borderId="0" xfId="0" applyNumberFormat="1" applyFont="1" applyFill="1" applyBorder="1" applyAlignment="1">
      <alignment horizontal="right"/>
    </xf>
    <xf numFmtId="189" fontId="7" fillId="8" borderId="0" xfId="0" applyNumberFormat="1" applyFont="1" applyFill="1" applyAlignment="1">
      <alignment horizontal="right"/>
    </xf>
    <xf numFmtId="0" fontId="7" fillId="8" borderId="4" xfId="0" applyFont="1" applyFill="1" applyBorder="1"/>
    <xf numFmtId="189" fontId="7" fillId="8" borderId="4" xfId="0" applyNumberFormat="1" applyFont="1" applyFill="1" applyBorder="1" applyAlignment="1">
      <alignment horizontal="right"/>
    </xf>
    <xf numFmtId="189" fontId="22" fillId="8" borderId="0" xfId="14" applyNumberFormat="1" applyFont="1" applyFill="1" applyBorder="1" applyAlignment="1">
      <alignment horizontal="right"/>
    </xf>
    <xf numFmtId="202" fontId="22" fillId="8" borderId="0" xfId="36" applyNumberFormat="1" applyFont="1" applyFill="1" applyBorder="1" applyAlignment="1">
      <alignment horizontal="right"/>
    </xf>
    <xf numFmtId="188" fontId="64" fillId="8" borderId="0" xfId="0" applyNumberFormat="1" applyFont="1" applyFill="1" applyAlignment="1">
      <alignment horizontal="right"/>
    </xf>
    <xf numFmtId="189" fontId="7" fillId="8" borderId="0" xfId="9" applyNumberFormat="1" applyFont="1" applyFill="1" applyBorder="1" applyAlignment="1">
      <alignment horizontal="right"/>
    </xf>
    <xf numFmtId="188" fontId="22" fillId="8" borderId="0" xfId="0" applyNumberFormat="1" applyFont="1" applyFill="1" applyBorder="1" applyAlignment="1">
      <alignment horizontal="right"/>
    </xf>
    <xf numFmtId="189" fontId="39" fillId="8" borderId="0" xfId="9" applyNumberFormat="1" applyFont="1" applyFill="1"/>
    <xf numFmtId="0" fontId="7" fillId="8" borderId="0" xfId="0" applyFont="1" applyFill="1" applyBorder="1" applyAlignment="1">
      <alignment horizontal="right"/>
    </xf>
    <xf numFmtId="7" fontId="7" fillId="8" borderId="0" xfId="0" applyNumberFormat="1" applyFont="1" applyFill="1" applyBorder="1" applyAlignment="1">
      <alignment horizontal="right"/>
    </xf>
    <xf numFmtId="7" fontId="22" fillId="8" borderId="0" xfId="0" applyNumberFormat="1" applyFont="1" applyFill="1" applyBorder="1" applyAlignment="1">
      <alignment horizontal="right"/>
    </xf>
    <xf numFmtId="178" fontId="7" fillId="8" borderId="0" xfId="0" applyNumberFormat="1" applyFont="1" applyFill="1"/>
    <xf numFmtId="184" fontId="7" fillId="8" borderId="0" xfId="9" applyNumberFormat="1" applyFont="1" applyFill="1" applyBorder="1" applyAlignment="1">
      <alignment horizontal="right"/>
    </xf>
    <xf numFmtId="194" fontId="7" fillId="8" borderId="0" xfId="9" applyNumberFormat="1" applyFont="1" applyFill="1" applyBorder="1" applyAlignment="1">
      <alignment horizontal="right"/>
    </xf>
    <xf numFmtId="0" fontId="7" fillId="8" borderId="0" xfId="0" applyFont="1" applyFill="1" applyBorder="1" applyAlignment="1">
      <alignment horizontal="center"/>
    </xf>
    <xf numFmtId="0" fontId="77" fillId="9" borderId="0" xfId="0" applyFont="1" applyFill="1"/>
    <xf numFmtId="37" fontId="2" fillId="8" borderId="0" xfId="0" applyNumberFormat="1" applyFont="1" applyFill="1" applyBorder="1"/>
    <xf numFmtId="0" fontId="2" fillId="8" borderId="0" xfId="0" applyFont="1" applyFill="1" applyBorder="1" applyAlignment="1">
      <alignment horizontal="centerContinuous"/>
    </xf>
    <xf numFmtId="0" fontId="2" fillId="8" borderId="11" xfId="0" applyFont="1" applyFill="1" applyBorder="1" applyAlignment="1">
      <alignment horizontal="centerContinuous"/>
    </xf>
    <xf numFmtId="0" fontId="2" fillId="8" borderId="13" xfId="0" applyFont="1" applyFill="1" applyBorder="1" applyAlignment="1">
      <alignment horizontal="centerContinuous"/>
    </xf>
    <xf numFmtId="0" fontId="65" fillId="8" borderId="8" xfId="0" applyFont="1" applyFill="1" applyBorder="1" applyAlignment="1">
      <alignment horizontal="centerContinuous"/>
    </xf>
    <xf numFmtId="0" fontId="65" fillId="8" borderId="12" xfId="0" applyFont="1" applyFill="1" applyBorder="1" applyAlignment="1">
      <alignment horizontal="centerContinuous"/>
    </xf>
    <xf numFmtId="0" fontId="2" fillId="8" borderId="4" xfId="0" applyFont="1" applyFill="1" applyBorder="1" applyAlignment="1">
      <alignment horizontal="center"/>
    </xf>
    <xf numFmtId="0" fontId="7" fillId="8" borderId="5" xfId="0" applyFont="1" applyFill="1" applyBorder="1"/>
    <xf numFmtId="186" fontId="2" fillId="8" borderId="2" xfId="0" applyNumberFormat="1" applyFont="1" applyFill="1" applyBorder="1" applyAlignment="1">
      <alignment horizontal="center"/>
    </xf>
    <xf numFmtId="0" fontId="2" fillId="8" borderId="14" xfId="0" applyFont="1" applyFill="1" applyBorder="1" applyAlignment="1">
      <alignment horizontal="center"/>
    </xf>
    <xf numFmtId="0" fontId="51" fillId="8" borderId="4" xfId="0" applyFont="1" applyFill="1" applyBorder="1" applyAlignment="1">
      <alignment horizontal="center"/>
    </xf>
    <xf numFmtId="0" fontId="2" fillId="8" borderId="0" xfId="0" applyFont="1" applyFill="1" applyAlignment="1">
      <alignment horizontal="center"/>
    </xf>
    <xf numFmtId="0" fontId="7" fillId="8" borderId="6" xfId="0" applyFont="1" applyFill="1" applyBorder="1"/>
    <xf numFmtId="0" fontId="7" fillId="8" borderId="25" xfId="0" applyFont="1" applyFill="1" applyBorder="1"/>
    <xf numFmtId="5" fontId="7" fillId="8" borderId="0" xfId="34" applyNumberFormat="1" applyFont="1" applyFill="1" applyAlignment="1" applyProtection="1">
      <alignment horizontal="right"/>
    </xf>
    <xf numFmtId="165" fontId="7" fillId="8" borderId="1" xfId="0" applyNumberFormat="1" applyFont="1" applyFill="1" applyBorder="1"/>
    <xf numFmtId="165" fontId="7" fillId="8" borderId="0" xfId="0" applyNumberFormat="1" applyFont="1" applyFill="1" applyBorder="1"/>
    <xf numFmtId="0" fontId="7" fillId="8" borderId="0" xfId="0" applyFont="1" applyFill="1" applyAlignment="1">
      <alignment horizontal="left" indent="1"/>
    </xf>
    <xf numFmtId="191" fontId="7" fillId="8" borderId="0" xfId="40" applyNumberFormat="1" applyFont="1" applyFill="1"/>
    <xf numFmtId="191" fontId="7" fillId="8" borderId="0" xfId="40" applyNumberFormat="1" applyFont="1" applyFill="1" applyAlignment="1">
      <alignment horizontal="right"/>
    </xf>
    <xf numFmtId="43" fontId="7" fillId="8" borderId="0" xfId="9" applyFont="1" applyFill="1"/>
    <xf numFmtId="184" fontId="7" fillId="8" borderId="0" xfId="9" applyNumberFormat="1" applyFont="1" applyFill="1"/>
    <xf numFmtId="173" fontId="7" fillId="8" borderId="0" xfId="37" applyNumberFormat="1" applyFont="1" applyFill="1" applyAlignment="1" applyProtection="1">
      <alignment horizontal="left"/>
    </xf>
    <xf numFmtId="43" fontId="7" fillId="8" borderId="0" xfId="0" applyNumberFormat="1" applyFont="1" applyFill="1" applyAlignment="1">
      <alignment horizontal="right"/>
    </xf>
    <xf numFmtId="173" fontId="7" fillId="8" borderId="0" xfId="37" applyNumberFormat="1" applyFont="1" applyFill="1" applyAlignment="1" applyProtection="1">
      <alignment horizontal="left" indent="1"/>
    </xf>
    <xf numFmtId="173" fontId="7" fillId="8" borderId="0" xfId="37" applyFont="1" applyFill="1"/>
    <xf numFmtId="166" fontId="7" fillId="8" borderId="0" xfId="14" applyNumberFormat="1" applyFont="1" applyFill="1"/>
    <xf numFmtId="179" fontId="7" fillId="8" borderId="0" xfId="0" quotePrefix="1" applyNumberFormat="1" applyFont="1" applyFill="1" applyAlignment="1" applyProtection="1">
      <alignment horizontal="right"/>
    </xf>
    <xf numFmtId="9" fontId="7" fillId="8" borderId="0" xfId="40" applyNumberFormat="1" applyFont="1" applyFill="1"/>
    <xf numFmtId="9" fontId="2" fillId="8" borderId="0" xfId="40" applyNumberFormat="1" applyFont="1" applyFill="1"/>
    <xf numFmtId="9" fontId="7" fillId="8" borderId="0" xfId="40" applyNumberFormat="1" applyFont="1" applyFill="1" applyAlignment="1">
      <alignment horizontal="right"/>
    </xf>
    <xf numFmtId="9" fontId="22" fillId="8" borderId="0" xfId="40" applyNumberFormat="1" applyFont="1" applyFill="1"/>
    <xf numFmtId="181" fontId="7" fillId="8" borderId="0" xfId="14" applyNumberFormat="1" applyFont="1" applyFill="1"/>
    <xf numFmtId="9" fontId="7" fillId="8" borderId="0" xfId="40" applyFont="1" applyFill="1"/>
    <xf numFmtId="0" fontId="7" fillId="8" borderId="17" xfId="0" applyFont="1" applyFill="1" applyBorder="1"/>
    <xf numFmtId="37" fontId="38" fillId="8" borderId="0" xfId="0" applyNumberFormat="1" applyFont="1" applyFill="1"/>
    <xf numFmtId="0" fontId="7" fillId="8" borderId="0" xfId="0" quotePrefix="1" applyFont="1" applyFill="1"/>
    <xf numFmtId="37" fontId="22" fillId="8" borderId="0" xfId="0" applyNumberFormat="1" applyFont="1" applyFill="1"/>
    <xf numFmtId="37" fontId="51" fillId="8" borderId="0" xfId="0" applyNumberFormat="1" applyFont="1" applyFill="1"/>
    <xf numFmtId="172" fontId="22" fillId="8" borderId="0" xfId="0" applyNumberFormat="1" applyFont="1" applyFill="1"/>
    <xf numFmtId="172" fontId="38" fillId="8" borderId="0" xfId="0" applyNumberFormat="1" applyFont="1" applyFill="1"/>
    <xf numFmtId="165" fontId="76" fillId="8" borderId="0" xfId="0" applyNumberFormat="1" applyFont="1" applyFill="1" applyBorder="1"/>
    <xf numFmtId="0" fontId="42" fillId="8" borderId="0" xfId="0" applyFont="1" applyFill="1" applyBorder="1"/>
    <xf numFmtId="37" fontId="64" fillId="8" borderId="0" xfId="0" applyNumberFormat="1" applyFont="1" applyFill="1"/>
    <xf numFmtId="7" fontId="7" fillId="8" borderId="2" xfId="0" applyNumberFormat="1" applyFont="1" applyFill="1" applyBorder="1"/>
    <xf numFmtId="0" fontId="62" fillId="8" borderId="0" xfId="22" applyFont="1" applyFill="1" applyBorder="1"/>
    <xf numFmtId="171" fontId="7" fillId="8" borderId="0" xfId="0" applyNumberFormat="1" applyFont="1" applyFill="1"/>
    <xf numFmtId="7" fontId="7" fillId="8" borderId="0" xfId="9" applyNumberFormat="1" applyFont="1" applyFill="1"/>
    <xf numFmtId="182" fontId="2" fillId="8" borderId="2" xfId="0" applyNumberFormat="1" applyFont="1" applyFill="1" applyBorder="1" applyAlignment="1">
      <alignment horizontal="center"/>
    </xf>
    <xf numFmtId="190" fontId="2" fillId="8" borderId="2" xfId="0" applyNumberFormat="1" applyFont="1" applyFill="1" applyBorder="1" applyAlignment="1">
      <alignment horizontal="center"/>
    </xf>
    <xf numFmtId="205" fontId="62" fillId="8" borderId="0" xfId="0" applyNumberFormat="1" applyFont="1" applyFill="1" applyBorder="1" applyAlignment="1" applyProtection="1">
      <alignment horizontal="right"/>
    </xf>
    <xf numFmtId="5" fontId="62" fillId="8" borderId="0" xfId="0" applyNumberFormat="1" applyFont="1" applyFill="1" applyAlignment="1" applyProtection="1">
      <alignment horizontal="right"/>
    </xf>
    <xf numFmtId="37" fontId="38" fillId="8" borderId="0" xfId="14" applyNumberFormat="1" applyFont="1" applyFill="1"/>
    <xf numFmtId="37" fontId="7" fillId="8" borderId="0" xfId="14" applyNumberFormat="1" applyFont="1" applyFill="1"/>
    <xf numFmtId="5" fontId="7" fillId="8" borderId="0" xfId="14" applyNumberFormat="1" applyFont="1" applyFill="1"/>
    <xf numFmtId="0" fontId="38" fillId="8" borderId="0" xfId="0" applyFont="1" applyFill="1"/>
    <xf numFmtId="191" fontId="7" fillId="8" borderId="0" xfId="0" applyNumberFormat="1" applyFont="1" applyFill="1" applyAlignment="1">
      <alignment horizontal="right"/>
    </xf>
    <xf numFmtId="191" fontId="38" fillId="8" borderId="0" xfId="0" applyNumberFormat="1" applyFont="1" applyFill="1" applyAlignment="1">
      <alignment horizontal="right"/>
    </xf>
    <xf numFmtId="37" fontId="62" fillId="8" borderId="0" xfId="0" applyNumberFormat="1" applyFont="1" applyFill="1" applyAlignment="1" applyProtection="1">
      <alignment horizontal="right"/>
    </xf>
    <xf numFmtId="176" fontId="7" fillId="8" borderId="0" xfId="0" applyNumberFormat="1" applyFont="1" applyFill="1"/>
    <xf numFmtId="37" fontId="22" fillId="8" borderId="0" xfId="14" applyNumberFormat="1" applyFont="1" applyFill="1"/>
    <xf numFmtId="165" fontId="7" fillId="8" borderId="0" xfId="14" applyNumberFormat="1" applyFont="1" applyFill="1"/>
    <xf numFmtId="37" fontId="64" fillId="8" borderId="0" xfId="14" applyNumberFormat="1" applyFont="1" applyFill="1"/>
    <xf numFmtId="176" fontId="64" fillId="8" borderId="0" xfId="40" applyNumberFormat="1" applyFont="1" applyFill="1"/>
    <xf numFmtId="191" fontId="2" fillId="8" borderId="0" xfId="0" applyNumberFormat="1" applyFont="1" applyFill="1"/>
    <xf numFmtId="226" fontId="7" fillId="8" borderId="0" xfId="14" applyNumberFormat="1" applyFont="1" applyFill="1"/>
    <xf numFmtId="37" fontId="38" fillId="8" borderId="0" xfId="0" applyNumberFormat="1" applyFont="1" applyFill="1" applyAlignment="1" applyProtection="1">
      <alignment horizontal="right"/>
    </xf>
    <xf numFmtId="37" fontId="51" fillId="8" borderId="0" xfId="14" applyNumberFormat="1" applyFont="1" applyFill="1"/>
    <xf numFmtId="0" fontId="7" fillId="8" borderId="0" xfId="9" applyNumberFormat="1" applyFont="1" applyFill="1"/>
    <xf numFmtId="0" fontId="22" fillId="8" borderId="0" xfId="9" applyNumberFormat="1" applyFont="1" applyFill="1"/>
    <xf numFmtId="37" fontId="22" fillId="8" borderId="0" xfId="9" applyNumberFormat="1" applyFont="1" applyFill="1"/>
    <xf numFmtId="7" fontId="2" fillId="8" borderId="0" xfId="0" applyNumberFormat="1" applyFont="1" applyFill="1"/>
    <xf numFmtId="37" fontId="2" fillId="8" borderId="0" xfId="0" applyNumberFormat="1" applyFont="1" applyFill="1"/>
    <xf numFmtId="0" fontId="2" fillId="8" borderId="1" xfId="0" applyFont="1" applyFill="1" applyBorder="1"/>
    <xf numFmtId="7" fontId="7" fillId="8" borderId="0" xfId="14" applyNumberFormat="1" applyFont="1" applyFill="1"/>
    <xf numFmtId="7" fontId="22" fillId="8" borderId="0" xfId="14" applyNumberFormat="1" applyFont="1" applyFill="1"/>
    <xf numFmtId="191" fontId="22" fillId="8" borderId="0" xfId="0" applyNumberFormat="1" applyFont="1" applyFill="1" applyAlignment="1">
      <alignment horizontal="right"/>
    </xf>
    <xf numFmtId="7" fontId="2" fillId="8" borderId="0" xfId="14" applyNumberFormat="1" applyFont="1" applyFill="1"/>
    <xf numFmtId="191" fontId="2" fillId="8" borderId="0" xfId="0" applyNumberFormat="1" applyFont="1" applyFill="1" applyAlignment="1">
      <alignment horizontal="right"/>
    </xf>
    <xf numFmtId="44" fontId="7" fillId="8" borderId="0" xfId="14" applyFont="1" applyFill="1" applyAlignment="1">
      <alignment horizontal="right"/>
    </xf>
    <xf numFmtId="176" fontId="7" fillId="8" borderId="0" xfId="40" applyNumberFormat="1" applyFont="1" applyFill="1" applyAlignment="1">
      <alignment horizontal="right"/>
    </xf>
    <xf numFmtId="44" fontId="7" fillId="8" borderId="0" xfId="14" applyFont="1" applyFill="1"/>
    <xf numFmtId="43" fontId="38" fillId="8" borderId="0" xfId="9" applyFont="1" applyFill="1"/>
    <xf numFmtId="240" fontId="7" fillId="8" borderId="0" xfId="9" applyNumberFormat="1" applyFont="1" applyFill="1"/>
    <xf numFmtId="165" fontId="7" fillId="8" borderId="15" xfId="0" applyNumberFormat="1" applyFont="1" applyFill="1" applyBorder="1"/>
    <xf numFmtId="165" fontId="7" fillId="8" borderId="2" xfId="0" applyNumberFormat="1" applyFont="1" applyFill="1" applyBorder="1"/>
    <xf numFmtId="10" fontId="7" fillId="8" borderId="0" xfId="40" applyNumberFormat="1" applyFont="1" applyFill="1"/>
    <xf numFmtId="0" fontId="7" fillId="8" borderId="0" xfId="0" applyFont="1" applyFill="1" applyBorder="1" applyAlignment="1">
      <alignment horizontal="centerContinuous"/>
    </xf>
    <xf numFmtId="0" fontId="77" fillId="9" borderId="0" xfId="0" applyFont="1" applyFill="1" applyAlignment="1">
      <alignment horizontal="center" wrapText="1"/>
    </xf>
    <xf numFmtId="0" fontId="77" fillId="9" borderId="0" xfId="0" applyFont="1" applyFill="1" applyAlignment="1">
      <alignment wrapText="1"/>
    </xf>
    <xf numFmtId="5" fontId="7" fillId="8" borderId="0" xfId="0" applyNumberFormat="1" applyFont="1" applyFill="1" applyBorder="1" applyAlignment="1">
      <alignment horizontal="center"/>
    </xf>
    <xf numFmtId="7" fontId="7" fillId="8" borderId="0" xfId="0" applyNumberFormat="1" applyFont="1" applyFill="1" applyAlignment="1">
      <alignment horizontal="center"/>
    </xf>
    <xf numFmtId="0" fontId="7" fillId="8" borderId="0" xfId="0" applyFont="1" applyFill="1" applyAlignment="1">
      <alignment horizontal="left"/>
    </xf>
    <xf numFmtId="0" fontId="7" fillId="8" borderId="0" xfId="0" applyFont="1" applyFill="1" applyBorder="1" applyAlignment="1">
      <alignment horizontal="left"/>
    </xf>
    <xf numFmtId="7" fontId="7" fillId="8" borderId="0" xfId="0" applyNumberFormat="1" applyFont="1" applyFill="1" applyBorder="1"/>
    <xf numFmtId="182" fontId="7" fillId="8" borderId="0" xfId="0" applyNumberFormat="1" applyFont="1" applyFill="1" applyBorder="1"/>
    <xf numFmtId="164" fontId="7" fillId="8" borderId="10" xfId="9" applyNumberFormat="1" applyFont="1" applyFill="1" applyBorder="1"/>
    <xf numFmtId="172" fontId="7" fillId="8" borderId="0" xfId="0" applyNumberFormat="1" applyFont="1" applyFill="1" applyBorder="1"/>
    <xf numFmtId="184" fontId="22" fillId="8" borderId="0" xfId="0" applyNumberFormat="1" applyFont="1" applyFill="1" applyBorder="1"/>
    <xf numFmtId="190" fontId="51" fillId="8" borderId="1" xfId="0" applyNumberFormat="1" applyFont="1" applyFill="1" applyBorder="1" applyAlignment="1">
      <alignment horizontal="center"/>
    </xf>
    <xf numFmtId="7" fontId="2" fillId="8" borderId="1" xfId="9" applyNumberFormat="1" applyFont="1" applyFill="1" applyBorder="1" applyAlignment="1">
      <alignment horizontal="right"/>
    </xf>
    <xf numFmtId="172" fontId="7" fillId="8" borderId="1" xfId="9" applyNumberFormat="1" applyFont="1" applyFill="1" applyBorder="1"/>
    <xf numFmtId="191" fontId="7" fillId="8" borderId="1" xfId="40" applyNumberFormat="1" applyFont="1" applyFill="1" applyBorder="1"/>
    <xf numFmtId="170" fontId="7" fillId="8" borderId="0" xfId="0" applyNumberFormat="1" applyFont="1" applyFill="1" applyAlignment="1">
      <alignment horizontal="center"/>
    </xf>
    <xf numFmtId="165" fontId="7" fillId="8" borderId="0" xfId="0" applyNumberFormat="1" applyFont="1" applyFill="1" applyAlignment="1">
      <alignment horizontal="center"/>
    </xf>
    <xf numFmtId="176" fontId="7" fillId="8" borderId="0" xfId="40" applyNumberFormat="1" applyFont="1" applyFill="1" applyAlignment="1">
      <alignment horizontal="centerContinuous"/>
    </xf>
    <xf numFmtId="224" fontId="7" fillId="8" borderId="0" xfId="0" applyNumberFormat="1" applyFont="1" applyFill="1"/>
    <xf numFmtId="0" fontId="77" fillId="9" borderId="0" xfId="0" applyFont="1" applyFill="1" applyAlignment="1">
      <alignment horizontal="center" vertical="center" wrapText="1"/>
    </xf>
    <xf numFmtId="0" fontId="2" fillId="8" borderId="2" xfId="0" applyFont="1" applyFill="1" applyBorder="1" applyAlignment="1">
      <alignment horizontal="centerContinuous"/>
    </xf>
    <xf numFmtId="176" fontId="2" fillId="8" borderId="0" xfId="40" applyNumberFormat="1" applyFont="1" applyFill="1" applyBorder="1" applyAlignment="1">
      <alignment horizontal="right"/>
    </xf>
    <xf numFmtId="5" fontId="7" fillId="8" borderId="0" xfId="0" applyNumberFormat="1" applyFont="1" applyFill="1"/>
    <xf numFmtId="176" fontId="7" fillId="8" borderId="0" xfId="40" applyNumberFormat="1" applyFont="1" applyFill="1" applyAlignment="1">
      <alignment horizontal="center"/>
    </xf>
    <xf numFmtId="176" fontId="7" fillId="8" borderId="0" xfId="40" applyNumberFormat="1" applyFont="1" applyFill="1" applyBorder="1" applyAlignment="1">
      <alignment horizontal="centerContinuous"/>
    </xf>
    <xf numFmtId="0" fontId="62" fillId="8" borderId="0" xfId="0" applyFont="1" applyFill="1"/>
    <xf numFmtId="0" fontId="91" fillId="8" borderId="0" xfId="0" applyFont="1" applyFill="1" applyAlignment="1">
      <alignment horizontal="center"/>
    </xf>
    <xf numFmtId="191" fontId="7" fillId="8" borderId="0" xfId="0" applyNumberFormat="1" applyFont="1" applyFill="1"/>
    <xf numFmtId="2" fontId="7" fillId="8" borderId="0" xfId="40" applyNumberFormat="1" applyFont="1" applyFill="1" applyBorder="1" applyAlignment="1">
      <alignment horizontal="right"/>
    </xf>
    <xf numFmtId="44" fontId="7" fillId="0" borderId="0" xfId="18" applyNumberFormat="1" applyFont="1"/>
    <xf numFmtId="164" fontId="7" fillId="8" borderId="25" xfId="9" applyNumberFormat="1" applyFont="1" applyFill="1" applyBorder="1"/>
    <xf numFmtId="176" fontId="7" fillId="8" borderId="16" xfId="40" applyNumberFormat="1" applyFont="1" applyFill="1" applyBorder="1" applyAlignment="1">
      <alignment horizontal="right"/>
    </xf>
    <xf numFmtId="0" fontId="0" fillId="0" borderId="0" xfId="0" applyAlignment="1">
      <alignment horizontal="center"/>
    </xf>
    <xf numFmtId="1" fontId="7" fillId="8" borderId="0" xfId="0" applyNumberFormat="1" applyFont="1" applyFill="1"/>
    <xf numFmtId="197" fontId="7" fillId="8" borderId="16" xfId="14" applyNumberFormat="1" applyFont="1" applyFill="1" applyBorder="1"/>
    <xf numFmtId="170" fontId="7" fillId="8" borderId="2" xfId="0" applyNumberFormat="1" applyFont="1" applyFill="1" applyBorder="1"/>
    <xf numFmtId="170" fontId="7" fillId="8" borderId="17" xfId="0" applyNumberFormat="1" applyFont="1" applyFill="1" applyBorder="1"/>
    <xf numFmtId="228" fontId="7" fillId="0" borderId="0" xfId="0" applyNumberFormat="1" applyFont="1"/>
    <xf numFmtId="228" fontId="0" fillId="0" borderId="0" xfId="0" applyNumberFormat="1"/>
    <xf numFmtId="228" fontId="10" fillId="0" borderId="0" xfId="0" applyNumberFormat="1" applyFont="1"/>
    <xf numFmtId="5" fontId="7" fillId="8" borderId="0" xfId="0" applyNumberFormat="1" applyFont="1" applyFill="1" applyBorder="1"/>
    <xf numFmtId="172" fontId="7" fillId="8" borderId="16" xfId="9" applyNumberFormat="1" applyFont="1" applyFill="1" applyBorder="1"/>
    <xf numFmtId="170" fontId="7" fillId="8" borderId="0" xfId="0" applyNumberFormat="1" applyFont="1" applyFill="1" applyBorder="1"/>
    <xf numFmtId="37" fontId="7" fillId="8" borderId="2" xfId="0" applyNumberFormat="1" applyFont="1" applyFill="1" applyBorder="1" applyAlignment="1">
      <alignment horizontal="right"/>
    </xf>
    <xf numFmtId="174" fontId="62" fillId="8" borderId="0" xfId="0" applyNumberFormat="1" applyFont="1" applyFill="1" applyAlignment="1">
      <alignment horizontal="right"/>
    </xf>
    <xf numFmtId="195" fontId="62" fillId="8" borderId="0" xfId="0" applyNumberFormat="1" applyFont="1" applyFill="1" applyAlignment="1">
      <alignment horizontal="left"/>
    </xf>
    <xf numFmtId="191" fontId="2" fillId="8" borderId="0" xfId="9" applyNumberFormat="1" applyFont="1" applyFill="1"/>
    <xf numFmtId="0" fontId="7" fillId="11" borderId="6" xfId="0" applyFont="1" applyFill="1" applyBorder="1"/>
    <xf numFmtId="0" fontId="0" fillId="11" borderId="10" xfId="0" applyFill="1" applyBorder="1" applyAlignment="1">
      <alignment horizontal="center"/>
    </xf>
    <xf numFmtId="234" fontId="0" fillId="11" borderId="10" xfId="0" applyNumberFormat="1" applyFill="1" applyBorder="1" applyAlignment="1">
      <alignment horizontal="center"/>
    </xf>
    <xf numFmtId="234" fontId="0" fillId="11" borderId="25" xfId="0" applyNumberFormat="1" applyFill="1" applyBorder="1" applyAlignment="1">
      <alignment horizontal="center"/>
    </xf>
    <xf numFmtId="0" fontId="7" fillId="11" borderId="1" xfId="0" applyFont="1" applyFill="1" applyBorder="1"/>
    <xf numFmtId="0" fontId="0" fillId="11" borderId="0" xfId="0" applyFill="1" applyBorder="1" applyAlignment="1">
      <alignment horizontal="center"/>
    </xf>
    <xf numFmtId="234" fontId="0" fillId="11" borderId="0" xfId="0" applyNumberFormat="1" applyFill="1" applyBorder="1" applyAlignment="1">
      <alignment horizontal="center"/>
    </xf>
    <xf numFmtId="234" fontId="0" fillId="11" borderId="16" xfId="0" applyNumberFormat="1" applyFill="1" applyBorder="1" applyAlignment="1">
      <alignment horizontal="center"/>
    </xf>
    <xf numFmtId="0" fontId="7" fillId="11" borderId="15" xfId="0" applyFont="1" applyFill="1" applyBorder="1"/>
    <xf numFmtId="0" fontId="0" fillId="11" borderId="2" xfId="0" applyFill="1" applyBorder="1" applyAlignment="1">
      <alignment horizontal="center"/>
    </xf>
    <xf numFmtId="234" fontId="0" fillId="11" borderId="2" xfId="0" applyNumberFormat="1" applyFill="1" applyBorder="1" applyAlignment="1">
      <alignment horizontal="center"/>
    </xf>
    <xf numFmtId="234" fontId="0" fillId="11" borderId="17" xfId="0" applyNumberFormat="1" applyFill="1" applyBorder="1" applyAlignment="1">
      <alignment horizontal="center"/>
    </xf>
    <xf numFmtId="0" fontId="77" fillId="8" borderId="0" xfId="0" applyFont="1" applyFill="1" applyBorder="1"/>
    <xf numFmtId="0" fontId="77" fillId="8" borderId="0" xfId="0" applyFont="1" applyFill="1" applyBorder="1" applyAlignment="1">
      <alignment horizontal="center"/>
    </xf>
    <xf numFmtId="188" fontId="7" fillId="8" borderId="0" xfId="0" applyNumberFormat="1" applyFont="1" applyFill="1" applyBorder="1" applyAlignment="1">
      <alignment horizontal="center"/>
    </xf>
    <xf numFmtId="176" fontId="7" fillId="8" borderId="0" xfId="40" applyNumberFormat="1" applyFont="1" applyFill="1" applyBorder="1" applyAlignment="1">
      <alignment horizontal="center"/>
    </xf>
    <xf numFmtId="164" fontId="2" fillId="8" borderId="0" xfId="0" applyNumberFormat="1" applyFont="1" applyFill="1" applyBorder="1" applyAlignment="1">
      <alignment horizontal="center"/>
    </xf>
    <xf numFmtId="190" fontId="51" fillId="8" borderId="25" xfId="0" applyNumberFormat="1" applyFont="1" applyFill="1" applyBorder="1" applyAlignment="1">
      <alignment horizontal="center"/>
    </xf>
    <xf numFmtId="185" fontId="51" fillId="8" borderId="2" xfId="0" applyNumberFormat="1" applyFont="1" applyFill="1" applyBorder="1" applyAlignment="1">
      <alignment horizontal="right"/>
    </xf>
    <xf numFmtId="9" fontId="0" fillId="0" borderId="0" xfId="40" applyFont="1"/>
    <xf numFmtId="176" fontId="16" fillId="0" borderId="0" xfId="40" applyNumberFormat="1" applyFont="1"/>
    <xf numFmtId="194" fontId="7" fillId="0" borderId="0" xfId="9" applyNumberFormat="1" applyFont="1" applyFill="1" applyBorder="1" applyAlignment="1">
      <alignment horizontal="right"/>
    </xf>
    <xf numFmtId="0" fontId="2" fillId="8" borderId="10" xfId="0" applyFont="1" applyFill="1" applyBorder="1" applyAlignment="1">
      <alignment horizontal="centerContinuous"/>
    </xf>
    <xf numFmtId="0" fontId="2" fillId="8" borderId="16" xfId="0" applyFont="1" applyFill="1" applyBorder="1"/>
    <xf numFmtId="164" fontId="7" fillId="8" borderId="16" xfId="0" applyNumberFormat="1" applyFont="1" applyFill="1" applyBorder="1"/>
    <xf numFmtId="198" fontId="7" fillId="8" borderId="0" xfId="0" applyNumberFormat="1" applyFont="1" applyFill="1"/>
    <xf numFmtId="186" fontId="54" fillId="8" borderId="6" xfId="0" applyNumberFormat="1" applyFont="1" applyFill="1" applyBorder="1" applyAlignment="1">
      <alignment horizontal="center"/>
    </xf>
    <xf numFmtId="198" fontId="7" fillId="8" borderId="1" xfId="0" applyNumberFormat="1" applyFont="1" applyFill="1" applyBorder="1"/>
    <xf numFmtId="191" fontId="7" fillId="8" borderId="15" xfId="40" applyNumberFormat="1" applyFont="1" applyFill="1" applyBorder="1"/>
    <xf numFmtId="190" fontId="7" fillId="8" borderId="10" xfId="0" applyNumberFormat="1" applyFont="1" applyFill="1" applyBorder="1"/>
    <xf numFmtId="174" fontId="62" fillId="8" borderId="0" xfId="0" applyNumberFormat="1" applyFont="1" applyFill="1" applyAlignment="1">
      <alignment horizontal="left"/>
    </xf>
    <xf numFmtId="0" fontId="77" fillId="9" borderId="0" xfId="0" applyFont="1" applyFill="1" applyAlignment="1">
      <alignment horizontal="center"/>
    </xf>
    <xf numFmtId="0" fontId="7" fillId="8" borderId="0" xfId="0" applyFont="1" applyFill="1" applyAlignment="1">
      <alignment horizontal="center"/>
    </xf>
    <xf numFmtId="0" fontId="0" fillId="8" borderId="0" xfId="0" applyFill="1" applyAlignment="1">
      <alignment horizontal="center"/>
    </xf>
    <xf numFmtId="203" fontId="2" fillId="8" borderId="0" xfId="0" applyNumberFormat="1" applyFont="1" applyFill="1"/>
    <xf numFmtId="182" fontId="2" fillId="8" borderId="2" xfId="0" applyNumberFormat="1" applyFont="1" applyFill="1" applyBorder="1" applyAlignment="1">
      <alignment horizontal="centerContinuous"/>
    </xf>
    <xf numFmtId="37" fontId="7" fillId="8" borderId="0" xfId="31" applyFont="1" applyFill="1" applyAlignment="1" applyProtection="1">
      <alignment horizontal="left"/>
    </xf>
    <xf numFmtId="196" fontId="62" fillId="8" borderId="0" xfId="0" applyNumberFormat="1" applyFont="1" applyFill="1" applyAlignment="1">
      <alignment horizontal="left"/>
    </xf>
    <xf numFmtId="37" fontId="22" fillId="8" borderId="0" xfId="0" applyNumberFormat="1" applyFont="1" applyFill="1" applyBorder="1"/>
    <xf numFmtId="37" fontId="7" fillId="8" borderId="2" xfId="0" applyNumberFormat="1" applyFont="1" applyFill="1" applyBorder="1"/>
    <xf numFmtId="37" fontId="51" fillId="8" borderId="2" xfId="0" applyNumberFormat="1" applyFont="1" applyFill="1" applyBorder="1"/>
    <xf numFmtId="165" fontId="62" fillId="8" borderId="0" xfId="0" applyNumberFormat="1" applyFont="1" applyFill="1"/>
    <xf numFmtId="5" fontId="38" fillId="8" borderId="0" xfId="0" applyNumberFormat="1" applyFont="1" applyFill="1"/>
    <xf numFmtId="206" fontId="68" fillId="8" borderId="0" xfId="0" applyNumberFormat="1" applyFont="1" applyFill="1"/>
    <xf numFmtId="206" fontId="71" fillId="8" borderId="0" xfId="0" applyNumberFormat="1" applyFont="1" applyFill="1"/>
    <xf numFmtId="206" fontId="38" fillId="8" borderId="0" xfId="0" applyNumberFormat="1" applyFont="1" applyFill="1"/>
    <xf numFmtId="206" fontId="38" fillId="8" borderId="2" xfId="0" applyNumberFormat="1" applyFont="1" applyFill="1" applyBorder="1"/>
    <xf numFmtId="206" fontId="62" fillId="8" borderId="0" xfId="0" applyNumberFormat="1" applyFont="1" applyFill="1"/>
    <xf numFmtId="37" fontId="38" fillId="8" borderId="2" xfId="0" applyNumberFormat="1" applyFont="1" applyFill="1" applyBorder="1"/>
    <xf numFmtId="5" fontId="51" fillId="8" borderId="0" xfId="0" applyNumberFormat="1" applyFont="1" applyFill="1"/>
    <xf numFmtId="184" fontId="38" fillId="8" borderId="0" xfId="0" applyNumberFormat="1" applyFont="1" applyFill="1"/>
    <xf numFmtId="39" fontId="2" fillId="8" borderId="0" xfId="0" applyNumberFormat="1" applyFont="1" applyFill="1"/>
    <xf numFmtId="229" fontId="7" fillId="8" borderId="0" xfId="0" applyNumberFormat="1" applyFont="1" applyFill="1"/>
    <xf numFmtId="203" fontId="7" fillId="8" borderId="0" xfId="0" applyNumberFormat="1" applyFont="1" applyFill="1"/>
    <xf numFmtId="0" fontId="51" fillId="8" borderId="2" xfId="0" applyFont="1" applyFill="1" applyBorder="1" applyAlignment="1">
      <alignment horizontal="centerContinuous"/>
    </xf>
    <xf numFmtId="0" fontId="51" fillId="8" borderId="0" xfId="0" applyFont="1" applyFill="1" applyBorder="1" applyAlignment="1">
      <alignment horizontal="centerContinuous"/>
    </xf>
    <xf numFmtId="205" fontId="67" fillId="8" borderId="0" xfId="0" applyNumberFormat="1" applyFont="1" applyFill="1" applyBorder="1" applyAlignment="1" applyProtection="1">
      <alignment horizontal="right"/>
    </xf>
    <xf numFmtId="5" fontId="67" fillId="8" borderId="0" xfId="0" applyNumberFormat="1" applyFont="1" applyFill="1" applyAlignment="1" applyProtection="1">
      <alignment horizontal="right"/>
    </xf>
    <xf numFmtId="37" fontId="2" fillId="8" borderId="0" xfId="0" applyNumberFormat="1" applyFont="1" applyFill="1" applyAlignment="1">
      <alignment horizontal="centerContinuous"/>
    </xf>
    <xf numFmtId="0" fontId="7" fillId="8" borderId="0" xfId="0" applyFont="1" applyFill="1" applyAlignment="1">
      <alignment horizontal="centerContinuous"/>
    </xf>
    <xf numFmtId="37" fontId="7" fillId="8" borderId="0" xfId="0" applyNumberFormat="1" applyFont="1" applyFill="1" applyBorder="1" applyAlignment="1">
      <alignment horizontal="centerContinuous"/>
    </xf>
    <xf numFmtId="37" fontId="7" fillId="8" borderId="0" xfId="0" applyNumberFormat="1" applyFont="1" applyFill="1" applyAlignment="1">
      <alignment horizontal="centerContinuous"/>
    </xf>
    <xf numFmtId="37" fontId="7" fillId="8" borderId="0" xfId="0" applyNumberFormat="1" applyFont="1" applyFill="1" applyAlignment="1"/>
    <xf numFmtId="37" fontId="2" fillId="8" borderId="0" xfId="0" applyNumberFormat="1" applyFont="1" applyFill="1" applyAlignment="1"/>
    <xf numFmtId="37" fontId="2" fillId="8" borderId="0" xfId="0" applyNumberFormat="1" applyFont="1" applyFill="1" applyAlignment="1">
      <alignment horizontal="center"/>
    </xf>
    <xf numFmtId="5" fontId="38" fillId="8" borderId="0" xfId="0" applyNumberFormat="1" applyFont="1" applyFill="1" applyAlignment="1">
      <alignment horizontal="right"/>
    </xf>
    <xf numFmtId="195" fontId="68" fillId="8" borderId="0" xfId="0" applyNumberFormat="1" applyFont="1" applyFill="1" applyAlignment="1">
      <alignment horizontal="left"/>
    </xf>
    <xf numFmtId="5" fontId="7" fillId="8" borderId="0" xfId="0" applyNumberFormat="1" applyFont="1" applyFill="1" applyAlignment="1">
      <alignment horizontal="right"/>
    </xf>
    <xf numFmtId="164" fontId="51" fillId="8" borderId="0" xfId="0" applyNumberFormat="1" applyFont="1" applyFill="1" applyBorder="1" applyAlignment="1">
      <alignment horizontal="right"/>
    </xf>
    <xf numFmtId="9" fontId="7" fillId="8" borderId="0" xfId="0" applyNumberFormat="1" applyFont="1" applyFill="1"/>
    <xf numFmtId="195" fontId="7" fillId="8" borderId="0" xfId="0" applyNumberFormat="1" applyFont="1" applyFill="1"/>
    <xf numFmtId="37" fontId="38" fillId="8" borderId="0" xfId="0" applyNumberFormat="1" applyFont="1" applyFill="1" applyAlignment="1">
      <alignment horizontal="right"/>
    </xf>
    <xf numFmtId="37" fontId="7" fillId="8" borderId="0" xfId="0" applyNumberFormat="1" applyFont="1" applyFill="1" applyAlignment="1">
      <alignment horizontal="right"/>
    </xf>
    <xf numFmtId="37" fontId="38" fillId="8" borderId="2" xfId="0" applyNumberFormat="1" applyFont="1" applyFill="1" applyBorder="1" applyAlignment="1">
      <alignment horizontal="right"/>
    </xf>
    <xf numFmtId="174" fontId="68" fillId="8" borderId="0" xfId="0" applyNumberFormat="1" applyFont="1" applyFill="1" applyAlignment="1">
      <alignment horizontal="right"/>
    </xf>
    <xf numFmtId="5" fontId="69" fillId="8" borderId="0" xfId="0" applyNumberFormat="1" applyFont="1" applyFill="1" applyAlignment="1">
      <alignment horizontal="right"/>
    </xf>
    <xf numFmtId="195" fontId="70" fillId="8" borderId="0" xfId="0" applyNumberFormat="1" applyFont="1" applyFill="1" applyAlignment="1">
      <alignment horizontal="left"/>
    </xf>
    <xf numFmtId="37" fontId="64" fillId="8" borderId="0" xfId="0" applyNumberFormat="1" applyFont="1" applyFill="1" applyAlignment="1">
      <alignment horizontal="right"/>
    </xf>
    <xf numFmtId="239" fontId="62" fillId="8" borderId="0" xfId="0" applyNumberFormat="1" applyFont="1" applyFill="1" applyAlignment="1">
      <alignment horizontal="right"/>
    </xf>
    <xf numFmtId="0" fontId="7" fillId="8" borderId="0" xfId="0" applyFont="1" applyFill="1" applyAlignment="1"/>
    <xf numFmtId="165" fontId="7" fillId="8" borderId="0" xfId="0" applyNumberFormat="1" applyFont="1" applyFill="1"/>
    <xf numFmtId="172" fontId="22" fillId="8" borderId="0" xfId="9" applyNumberFormat="1" applyFont="1" applyFill="1" applyBorder="1"/>
    <xf numFmtId="225" fontId="7" fillId="8" borderId="0" xfId="0" applyNumberFormat="1" applyFont="1" applyFill="1"/>
    <xf numFmtId="0" fontId="77" fillId="8" borderId="0" xfId="0" applyFont="1" applyFill="1" applyAlignment="1">
      <alignment horizontal="center" vertical="center" wrapText="1"/>
    </xf>
    <xf numFmtId="0" fontId="2" fillId="8" borderId="18" xfId="0" applyFont="1" applyFill="1" applyBorder="1" applyAlignment="1">
      <alignment horizontal="center"/>
    </xf>
    <xf numFmtId="0" fontId="2" fillId="8" borderId="19" xfId="0" applyFont="1" applyFill="1" applyBorder="1" applyAlignment="1">
      <alignment horizontal="center"/>
    </xf>
    <xf numFmtId="174" fontId="7" fillId="8" borderId="0" xfId="0" applyNumberFormat="1" applyFont="1" applyFill="1"/>
    <xf numFmtId="165" fontId="71" fillId="8" borderId="0" xfId="0" applyNumberFormat="1" applyFont="1" applyFill="1" applyAlignment="1">
      <alignment horizontal="left"/>
    </xf>
    <xf numFmtId="184" fontId="7" fillId="8" borderId="21" xfId="0" applyNumberFormat="1" applyFont="1" applyFill="1" applyBorder="1"/>
    <xf numFmtId="184" fontId="7" fillId="8" borderId="22" xfId="0" applyNumberFormat="1" applyFont="1" applyFill="1" applyBorder="1"/>
    <xf numFmtId="184" fontId="7" fillId="8" borderId="23" xfId="0" applyNumberFormat="1" applyFont="1" applyFill="1" applyBorder="1"/>
    <xf numFmtId="184" fontId="7" fillId="8" borderId="24" xfId="0" applyNumberFormat="1" applyFont="1" applyFill="1" applyBorder="1"/>
    <xf numFmtId="5" fontId="7" fillId="8" borderId="0" xfId="0" applyNumberFormat="1" applyFont="1" applyFill="1" applyAlignment="1">
      <alignment horizontal="left"/>
    </xf>
    <xf numFmtId="2" fontId="7" fillId="8" borderId="0" xfId="40" applyNumberFormat="1" applyFont="1" applyFill="1" applyAlignment="1">
      <alignment horizontal="center"/>
    </xf>
    <xf numFmtId="220" fontId="7" fillId="8" borderId="0" xfId="0" applyNumberFormat="1" applyFont="1" applyFill="1"/>
    <xf numFmtId="0" fontId="2" fillId="8" borderId="0" xfId="0" applyFont="1" applyFill="1" applyAlignment="1"/>
    <xf numFmtId="165" fontId="68" fillId="8" borderId="0" xfId="0" applyNumberFormat="1" applyFont="1" applyFill="1"/>
    <xf numFmtId="196" fontId="68" fillId="8" borderId="0" xfId="0" applyNumberFormat="1" applyFont="1" applyFill="1" applyAlignment="1">
      <alignment horizontal="left"/>
    </xf>
    <xf numFmtId="172" fontId="38" fillId="8" borderId="0" xfId="9" applyNumberFormat="1" applyFont="1" applyFill="1" applyBorder="1"/>
    <xf numFmtId="168" fontId="62" fillId="8" borderId="0" xfId="0" applyNumberFormat="1" applyFont="1" applyFill="1" applyBorder="1" applyAlignment="1">
      <alignment horizontal="right"/>
    </xf>
    <xf numFmtId="168" fontId="62" fillId="8" borderId="0" xfId="0" applyNumberFormat="1" applyFont="1" applyFill="1" applyBorder="1" applyAlignment="1">
      <alignment horizontal="left"/>
    </xf>
    <xf numFmtId="37" fontId="2" fillId="8" borderId="0" xfId="31" applyFont="1" applyFill="1" applyAlignment="1" applyProtection="1">
      <alignment horizontal="centerContinuous"/>
    </xf>
    <xf numFmtId="196" fontId="62" fillId="8" borderId="0" xfId="0" applyNumberFormat="1" applyFont="1" applyFill="1" applyAlignment="1">
      <alignment horizontal="centerContinuous"/>
    </xf>
    <xf numFmtId="164" fontId="68" fillId="8" borderId="0" xfId="0" applyNumberFormat="1" applyFont="1" applyFill="1"/>
    <xf numFmtId="164" fontId="62" fillId="8" borderId="0" xfId="0" applyNumberFormat="1" applyFont="1" applyFill="1"/>
    <xf numFmtId="0" fontId="62" fillId="8" borderId="0" xfId="0" applyFont="1" applyFill="1" applyBorder="1" applyAlignment="1">
      <alignment horizontal="centerContinuous"/>
    </xf>
    <xf numFmtId="195" fontId="62" fillId="8" borderId="0" xfId="0" applyNumberFormat="1" applyFont="1" applyFill="1" applyAlignment="1">
      <alignment horizontal="centerContinuous"/>
    </xf>
    <xf numFmtId="0" fontId="62" fillId="8" borderId="0" xfId="0" applyFont="1" applyFill="1" applyBorder="1"/>
    <xf numFmtId="196" fontId="62" fillId="8" borderId="0" xfId="0" applyNumberFormat="1" applyFont="1" applyFill="1" applyBorder="1" applyAlignment="1">
      <alignment horizontal="left"/>
    </xf>
    <xf numFmtId="0" fontId="62" fillId="8" borderId="0" xfId="0" applyFont="1" applyFill="1" applyAlignment="1">
      <alignment horizontal="centerContinuous"/>
    </xf>
    <xf numFmtId="164" fontId="62" fillId="8" borderId="0" xfId="0" applyNumberFormat="1" applyFont="1" applyFill="1" applyAlignment="1">
      <alignment horizontal="right"/>
    </xf>
    <xf numFmtId="168" fontId="62" fillId="8" borderId="0" xfId="0" applyNumberFormat="1" applyFont="1" applyFill="1" applyAlignment="1">
      <alignment horizontal="right"/>
    </xf>
    <xf numFmtId="39" fontId="51" fillId="8" borderId="0" xfId="0" applyNumberFormat="1" applyFont="1" applyFill="1" applyBorder="1"/>
    <xf numFmtId="39" fontId="7" fillId="8" borderId="0" xfId="0" applyNumberFormat="1" applyFont="1" applyFill="1" applyBorder="1"/>
    <xf numFmtId="243" fontId="62" fillId="8" borderId="0" xfId="0" applyNumberFormat="1" applyFont="1" applyFill="1" applyAlignment="1">
      <alignment horizontal="right"/>
    </xf>
    <xf numFmtId="9" fontId="62" fillId="8" borderId="0" xfId="40" applyFont="1" applyFill="1" applyAlignment="1">
      <alignment horizontal="right"/>
    </xf>
    <xf numFmtId="39" fontId="7" fillId="8" borderId="2" xfId="0" applyNumberFormat="1" applyFont="1" applyFill="1" applyBorder="1"/>
    <xf numFmtId="7" fontId="50" fillId="8" borderId="0" xfId="0" applyNumberFormat="1" applyFont="1" applyFill="1"/>
    <xf numFmtId="0" fontId="50" fillId="8" borderId="0" xfId="0" applyFont="1" applyFill="1"/>
    <xf numFmtId="39" fontId="50" fillId="8" borderId="0" xfId="0" applyNumberFormat="1" applyFont="1" applyFill="1"/>
    <xf numFmtId="0" fontId="2" fillId="8" borderId="0" xfId="0" applyFont="1" applyFill="1" applyBorder="1" applyAlignment="1"/>
    <xf numFmtId="7" fontId="22" fillId="8" borderId="0" xfId="0" applyNumberFormat="1" applyFont="1" applyFill="1"/>
    <xf numFmtId="169" fontId="62" fillId="8" borderId="0" xfId="0" applyNumberFormat="1" applyFont="1" applyFill="1" applyAlignment="1">
      <alignment horizontal="right"/>
    </xf>
    <xf numFmtId="39" fontId="22" fillId="8" borderId="0" xfId="0" applyNumberFormat="1" applyFont="1" applyFill="1"/>
    <xf numFmtId="39" fontId="22" fillId="8" borderId="2" xfId="0" applyNumberFormat="1" applyFont="1" applyFill="1" applyBorder="1"/>
    <xf numFmtId="164" fontId="62" fillId="8" borderId="0" xfId="0" applyNumberFormat="1" applyFont="1" applyFill="1" applyAlignment="1">
      <alignment horizontal="centerContinuous"/>
    </xf>
    <xf numFmtId="37" fontId="7" fillId="8" borderId="0" xfId="31" applyNumberFormat="1" applyFont="1" applyFill="1" applyAlignment="1" applyProtection="1">
      <alignment horizontal="left"/>
    </xf>
    <xf numFmtId="37" fontId="68" fillId="8" borderId="0" xfId="0" applyNumberFormat="1" applyFont="1" applyFill="1" applyBorder="1" applyAlignment="1">
      <alignment horizontal="right"/>
    </xf>
    <xf numFmtId="37" fontId="62" fillId="8" borderId="0" xfId="0" applyNumberFormat="1" applyFont="1" applyFill="1" applyBorder="1" applyAlignment="1">
      <alignment horizontal="right"/>
    </xf>
    <xf numFmtId="168" fontId="68" fillId="8" borderId="0" xfId="0" applyNumberFormat="1" applyFont="1" applyFill="1" applyBorder="1" applyAlignment="1">
      <alignment horizontal="right"/>
    </xf>
    <xf numFmtId="0" fontId="38" fillId="8" borderId="0" xfId="0" applyFont="1" applyFill="1" applyAlignment="1">
      <alignment horizontal="right"/>
    </xf>
    <xf numFmtId="164" fontId="64" fillId="8" borderId="0" xfId="0" applyNumberFormat="1" applyFont="1" applyFill="1" applyBorder="1" applyAlignment="1">
      <alignment horizontal="center"/>
    </xf>
    <xf numFmtId="37" fontId="38" fillId="8" borderId="0" xfId="9" applyNumberFormat="1" applyFont="1" applyFill="1"/>
    <xf numFmtId="168" fontId="38" fillId="8" borderId="0" xfId="0" applyNumberFormat="1" applyFont="1" applyFill="1" applyBorder="1"/>
    <xf numFmtId="168" fontId="38" fillId="8" borderId="0" xfId="0" applyNumberFormat="1" applyFont="1" applyFill="1" applyBorder="1" applyAlignment="1">
      <alignment horizontal="right"/>
    </xf>
    <xf numFmtId="168" fontId="38" fillId="8" borderId="0" xfId="0" applyNumberFormat="1" applyFont="1" applyFill="1"/>
    <xf numFmtId="168" fontId="38" fillId="8" borderId="0" xfId="0" applyNumberFormat="1" applyFont="1" applyFill="1" applyAlignment="1">
      <alignment horizontal="right"/>
    </xf>
    <xf numFmtId="169" fontId="68" fillId="8" borderId="0" xfId="0" applyNumberFormat="1" applyFont="1" applyFill="1" applyAlignment="1">
      <alignment horizontal="right"/>
    </xf>
    <xf numFmtId="168" fontId="7" fillId="8" borderId="0" xfId="0" applyNumberFormat="1" applyFont="1" applyFill="1"/>
    <xf numFmtId="168" fontId="7" fillId="8" borderId="0" xfId="0" applyNumberFormat="1" applyFont="1" applyFill="1" applyAlignment="1">
      <alignment horizontal="right"/>
    </xf>
    <xf numFmtId="37" fontId="38" fillId="8" borderId="0" xfId="0" applyNumberFormat="1" applyFont="1" applyFill="1" applyBorder="1" applyAlignment="1">
      <alignment horizontal="right"/>
    </xf>
    <xf numFmtId="9" fontId="7" fillId="8" borderId="0" xfId="40" applyFont="1" applyFill="1" applyAlignment="1">
      <alignment horizontal="right"/>
    </xf>
    <xf numFmtId="0" fontId="38" fillId="8" borderId="0" xfId="0" applyFont="1" applyFill="1" applyBorder="1"/>
    <xf numFmtId="168" fontId="72" fillId="8" borderId="0" xfId="0" applyNumberFormat="1" applyFont="1" applyFill="1" applyBorder="1" applyAlignment="1">
      <alignment horizontal="center"/>
    </xf>
    <xf numFmtId="37" fontId="22" fillId="8" borderId="0" xfId="0" applyNumberFormat="1" applyFont="1" applyFill="1" applyBorder="1" applyAlignment="1">
      <alignment horizontal="right"/>
    </xf>
    <xf numFmtId="37" fontId="22" fillId="8" borderId="0" xfId="0" applyNumberFormat="1" applyFont="1" applyFill="1" applyBorder="1" applyAlignment="1">
      <alignment horizontal="center"/>
    </xf>
    <xf numFmtId="181" fontId="22" fillId="8" borderId="0" xfId="0" applyNumberFormat="1" applyFont="1" applyFill="1" applyBorder="1" applyAlignment="1">
      <alignment horizontal="center"/>
    </xf>
    <xf numFmtId="164" fontId="7" fillId="8" borderId="0" xfId="0" applyNumberFormat="1" applyFont="1" applyFill="1" applyAlignment="1">
      <alignment horizontal="right"/>
    </xf>
    <xf numFmtId="37" fontId="64" fillId="8" borderId="0" xfId="0" applyNumberFormat="1" applyFont="1" applyFill="1" applyBorder="1" applyAlignment="1">
      <alignment horizontal="center"/>
    </xf>
    <xf numFmtId="181" fontId="64" fillId="8" borderId="0" xfId="0" applyNumberFormat="1" applyFont="1" applyFill="1" applyBorder="1" applyAlignment="1">
      <alignment horizontal="center"/>
    </xf>
    <xf numFmtId="37" fontId="38" fillId="8" borderId="0" xfId="0" applyNumberFormat="1" applyFont="1" applyFill="1" applyBorder="1" applyAlignment="1">
      <alignment horizontal="centerContinuous"/>
    </xf>
    <xf numFmtId="0" fontId="38" fillId="8" borderId="0" xfId="0" applyFont="1" applyFill="1" applyBorder="1" applyAlignment="1">
      <alignment horizontal="centerContinuous"/>
    </xf>
    <xf numFmtId="0" fontId="38" fillId="8" borderId="0" xfId="0" applyFont="1" applyFill="1" applyAlignment="1">
      <alignment horizontal="centerContinuous"/>
    </xf>
    <xf numFmtId="37" fontId="38" fillId="8" borderId="0" xfId="0" applyNumberFormat="1" applyFont="1" applyFill="1" applyAlignment="1">
      <alignment horizontal="centerContinuous"/>
    </xf>
    <xf numFmtId="0" fontId="2" fillId="8" borderId="18" xfId="0" applyFont="1" applyFill="1" applyBorder="1" applyAlignment="1">
      <alignment horizontal="centerContinuous"/>
    </xf>
    <xf numFmtId="0" fontId="2" fillId="8" borderId="19" xfId="0" applyFont="1" applyFill="1" applyBorder="1" applyAlignment="1">
      <alignment horizontal="centerContinuous"/>
    </xf>
    <xf numFmtId="0" fontId="2" fillId="8" borderId="0" xfId="0" applyFont="1" applyFill="1" applyBorder="1" applyAlignment="1">
      <alignment horizontal="center"/>
    </xf>
    <xf numFmtId="0" fontId="2" fillId="8" borderId="21" xfId="0" applyFont="1" applyFill="1" applyBorder="1" applyAlignment="1">
      <alignment horizontal="center"/>
    </xf>
    <xf numFmtId="0" fontId="2" fillId="8" borderId="22" xfId="0" applyFont="1" applyFill="1" applyBorder="1" applyAlignment="1">
      <alignment horizontal="center"/>
    </xf>
    <xf numFmtId="37" fontId="7" fillId="8" borderId="0" xfId="0" applyNumberFormat="1" applyFont="1" applyFill="1" applyBorder="1" applyAlignment="1">
      <alignment horizontal="right"/>
    </xf>
    <xf numFmtId="39" fontId="38" fillId="8" borderId="0" xfId="36" applyNumberFormat="1" applyFont="1" applyFill="1" applyBorder="1" applyAlignment="1">
      <alignment horizontal="right"/>
    </xf>
    <xf numFmtId="0" fontId="38" fillId="8" borderId="0" xfId="0" applyFont="1" applyFill="1" applyBorder="1" applyAlignment="1">
      <alignment horizontal="right"/>
    </xf>
    <xf numFmtId="39" fontId="51" fillId="8" borderId="0" xfId="36" applyNumberFormat="1" applyFont="1" applyFill="1" applyBorder="1" applyAlignment="1">
      <alignment horizontal="right"/>
    </xf>
    <xf numFmtId="39" fontId="51" fillId="8" borderId="0" xfId="0" applyNumberFormat="1" applyFont="1" applyFill="1" applyBorder="1" applyAlignment="1">
      <alignment horizontal="right"/>
    </xf>
    <xf numFmtId="37" fontId="38" fillId="8" borderId="0" xfId="9" applyNumberFormat="1" applyFont="1" applyFill="1" applyBorder="1"/>
    <xf numFmtId="37" fontId="7" fillId="8" borderId="23" xfId="9" applyNumberFormat="1" applyFont="1" applyFill="1" applyBorder="1"/>
    <xf numFmtId="173" fontId="7" fillId="8" borderId="0" xfId="30" applyFont="1" applyFill="1"/>
    <xf numFmtId="173" fontId="2" fillId="8" borderId="14" xfId="30" applyFont="1" applyFill="1" applyBorder="1" applyAlignment="1">
      <alignment horizontal="centerContinuous"/>
    </xf>
    <xf numFmtId="173" fontId="2" fillId="8" borderId="4" xfId="30" applyFont="1" applyFill="1" applyBorder="1" applyAlignment="1">
      <alignment horizontal="centerContinuous"/>
    </xf>
    <xf numFmtId="173" fontId="2" fillId="8" borderId="5" xfId="30" applyFont="1" applyFill="1" applyBorder="1" applyAlignment="1">
      <alignment horizontal="centerContinuous"/>
    </xf>
    <xf numFmtId="173" fontId="7" fillId="8" borderId="0" xfId="26" applyFont="1" applyFill="1"/>
    <xf numFmtId="37" fontId="2" fillId="8" borderId="4" xfId="30" applyNumberFormat="1" applyFont="1" applyFill="1" applyBorder="1" applyAlignment="1">
      <alignment horizontal="centerContinuous"/>
    </xf>
    <xf numFmtId="173" fontId="2" fillId="8" borderId="4" xfId="26" applyFont="1" applyFill="1" applyBorder="1" applyAlignment="1">
      <alignment horizontal="centerContinuous"/>
    </xf>
    <xf numFmtId="173" fontId="2" fillId="8" borderId="5" xfId="26" applyFont="1" applyFill="1" applyBorder="1" applyAlignment="1">
      <alignment horizontal="centerContinuous"/>
    </xf>
    <xf numFmtId="173" fontId="2" fillId="8" borderId="0" xfId="30" applyFont="1" applyFill="1"/>
    <xf numFmtId="173" fontId="2" fillId="8" borderId="2" xfId="30" applyFont="1" applyFill="1" applyBorder="1"/>
    <xf numFmtId="173" fontId="2" fillId="8" borderId="2" xfId="30" applyFont="1" applyFill="1" applyBorder="1" applyAlignment="1" applyProtection="1">
      <alignment horizontal="center"/>
    </xf>
    <xf numFmtId="173" fontId="2" fillId="8" borderId="0" xfId="30" applyFont="1" applyFill="1" applyAlignment="1" applyProtection="1">
      <alignment horizontal="center"/>
    </xf>
    <xf numFmtId="37" fontId="2" fillId="8" borderId="10" xfId="30" applyNumberFormat="1" applyFont="1" applyFill="1" applyBorder="1" applyAlignment="1" applyProtection="1">
      <alignment horizontal="centerContinuous"/>
    </xf>
    <xf numFmtId="173" fontId="42" fillId="8" borderId="0" xfId="30" applyFont="1" applyFill="1" applyBorder="1" applyAlignment="1">
      <alignment horizontal="centerContinuous"/>
    </xf>
    <xf numFmtId="173" fontId="2" fillId="8" borderId="2" xfId="30" applyFont="1" applyFill="1" applyBorder="1" applyAlignment="1" applyProtection="1">
      <alignment horizontal="centerContinuous" wrapText="1"/>
    </xf>
    <xf numFmtId="173" fontId="2" fillId="8" borderId="2" xfId="30" applyFont="1" applyFill="1" applyBorder="1" applyAlignment="1">
      <alignment horizontal="centerContinuous" wrapText="1"/>
    </xf>
    <xf numFmtId="37" fontId="2" fillId="8" borderId="2" xfId="32" applyFont="1" applyFill="1" applyBorder="1" applyAlignment="1">
      <alignment horizontal="center"/>
    </xf>
    <xf numFmtId="173" fontId="2" fillId="8" borderId="2" xfId="26" applyFont="1" applyFill="1" applyBorder="1"/>
    <xf numFmtId="173" fontId="2" fillId="8" borderId="0" xfId="26" applyFont="1" applyFill="1"/>
    <xf numFmtId="37" fontId="7" fillId="8" borderId="0" xfId="32" applyFont="1" applyFill="1"/>
    <xf numFmtId="173" fontId="2" fillId="8" borderId="0" xfId="30" applyFont="1" applyFill="1" applyAlignment="1">
      <alignment horizontal="center"/>
    </xf>
    <xf numFmtId="173" fontId="2" fillId="8" borderId="2" xfId="30" applyFont="1" applyFill="1" applyBorder="1" applyAlignment="1" applyProtection="1">
      <alignment horizontal="centerContinuous"/>
    </xf>
    <xf numFmtId="173" fontId="2" fillId="8" borderId="2" xfId="30" applyFont="1" applyFill="1" applyBorder="1" applyAlignment="1">
      <alignment horizontal="centerContinuous"/>
    </xf>
    <xf numFmtId="173" fontId="2" fillId="8" borderId="0" xfId="30" applyFont="1" applyFill="1" applyBorder="1" applyAlignment="1"/>
    <xf numFmtId="37" fontId="2" fillId="8" borderId="0" xfId="30" applyNumberFormat="1" applyFont="1" applyFill="1" applyBorder="1" applyAlignment="1" applyProtection="1">
      <alignment horizontal="centerContinuous"/>
    </xf>
    <xf numFmtId="173" fontId="2" fillId="8" borderId="0" xfId="30" applyFont="1" applyFill="1" applyBorder="1" applyAlignment="1" applyProtection="1">
      <alignment horizontal="center"/>
    </xf>
    <xf numFmtId="173" fontId="2" fillId="8" borderId="0" xfId="26" applyFont="1" applyFill="1" applyAlignment="1">
      <alignment horizontal="center"/>
    </xf>
    <xf numFmtId="173" fontId="2" fillId="8" borderId="0" xfId="26" applyFont="1" applyFill="1" applyBorder="1" applyAlignment="1">
      <alignment horizontal="center"/>
    </xf>
    <xf numFmtId="173" fontId="2" fillId="8" borderId="0" xfId="30" applyFont="1" applyFill="1" applyAlignment="1" applyProtection="1">
      <alignment horizontal="left"/>
    </xf>
    <xf numFmtId="37" fontId="2" fillId="8" borderId="0" xfId="32" applyFont="1" applyFill="1" applyAlignment="1">
      <alignment horizontal="center"/>
    </xf>
    <xf numFmtId="173" fontId="54" fillId="8" borderId="0" xfId="30" applyFont="1" applyFill="1"/>
    <xf numFmtId="173" fontId="2" fillId="8" borderId="4" xfId="30" applyFont="1" applyFill="1" applyBorder="1" applyAlignment="1" applyProtection="1">
      <alignment horizontal="center"/>
    </xf>
    <xf numFmtId="37" fontId="2" fillId="8" borderId="2" xfId="30" applyNumberFormat="1" applyFont="1" applyFill="1" applyBorder="1" applyAlignment="1" applyProtection="1">
      <alignment horizontal="centerContinuous"/>
    </xf>
    <xf numFmtId="173" fontId="2" fillId="8" borderId="2" xfId="26" applyFont="1" applyFill="1" applyBorder="1" applyAlignment="1">
      <alignment horizontal="center"/>
    </xf>
    <xf numFmtId="173" fontId="54" fillId="8" borderId="0" xfId="26" applyFont="1" applyFill="1"/>
    <xf numFmtId="173" fontId="42" fillId="8" borderId="2" xfId="30" applyFont="1" applyFill="1" applyBorder="1" applyAlignment="1">
      <alignment horizontal="centerContinuous"/>
    </xf>
    <xf numFmtId="173" fontId="61" fillId="8" borderId="2" xfId="26" applyFont="1" applyFill="1" applyBorder="1"/>
    <xf numFmtId="173" fontId="7" fillId="8" borderId="2" xfId="26" applyFont="1" applyFill="1" applyBorder="1"/>
    <xf numFmtId="0" fontId="54" fillId="8" borderId="0" xfId="0" applyFont="1" applyFill="1" applyAlignment="1">
      <alignment horizontal="left"/>
    </xf>
    <xf numFmtId="172" fontId="22" fillId="8" borderId="0" xfId="9" applyNumberFormat="1" applyFont="1" applyFill="1"/>
    <xf numFmtId="1" fontId="22" fillId="8" borderId="0" xfId="0" applyNumberFormat="1" applyFont="1" applyFill="1"/>
    <xf numFmtId="172" fontId="7" fillId="8" borderId="0" xfId="9" applyNumberFormat="1" applyFont="1" applyFill="1" applyAlignment="1">
      <alignment horizontal="right"/>
    </xf>
    <xf numFmtId="0" fontId="66" fillId="8" borderId="0" xfId="0" applyFont="1" applyFill="1"/>
    <xf numFmtId="171" fontId="7" fillId="8" borderId="0" xfId="0" applyNumberFormat="1" applyFont="1" applyFill="1" applyBorder="1"/>
    <xf numFmtId="3" fontId="7" fillId="8" borderId="0" xfId="0" applyNumberFormat="1" applyFont="1" applyFill="1" applyBorder="1"/>
    <xf numFmtId="166" fontId="7" fillId="8" borderId="0" xfId="0" applyNumberFormat="1" applyFont="1" applyFill="1" applyAlignment="1">
      <alignment horizontal="right"/>
    </xf>
    <xf numFmtId="175" fontId="7" fillId="8" borderId="0" xfId="0" applyNumberFormat="1" applyFont="1" applyFill="1" applyAlignment="1">
      <alignment horizontal="right"/>
    </xf>
    <xf numFmtId="172" fontId="7" fillId="8" borderId="0" xfId="9" applyNumberFormat="1" applyFont="1" applyFill="1"/>
    <xf numFmtId="170" fontId="7" fillId="8" borderId="0" xfId="0" applyNumberFormat="1" applyFont="1" applyFill="1" applyAlignment="1">
      <alignment horizontal="right"/>
    </xf>
    <xf numFmtId="175" fontId="7" fillId="8" borderId="0" xfId="0" applyNumberFormat="1" applyFont="1" applyFill="1" applyBorder="1"/>
    <xf numFmtId="165" fontId="7" fillId="8" borderId="0" xfId="0" applyNumberFormat="1" applyFont="1" applyFill="1" applyAlignment="1">
      <alignment horizontal="right"/>
    </xf>
    <xf numFmtId="174" fontId="7" fillId="8" borderId="2" xfId="0" applyNumberFormat="1" applyFont="1" applyFill="1" applyBorder="1"/>
    <xf numFmtId="171" fontId="7" fillId="8" borderId="2" xfId="0" applyNumberFormat="1" applyFont="1" applyFill="1" applyBorder="1"/>
    <xf numFmtId="165" fontId="7" fillId="8" borderId="2" xfId="0" applyNumberFormat="1" applyFont="1" applyFill="1" applyBorder="1" applyAlignment="1">
      <alignment horizontal="right"/>
    </xf>
    <xf numFmtId="175" fontId="7" fillId="8" borderId="2" xfId="0" applyNumberFormat="1" applyFont="1" applyFill="1" applyBorder="1" applyAlignment="1">
      <alignment horizontal="right"/>
    </xf>
    <xf numFmtId="164" fontId="7" fillId="8" borderId="2" xfId="0" applyNumberFormat="1" applyFont="1" applyFill="1" applyBorder="1" applyAlignment="1">
      <alignment horizontal="right"/>
    </xf>
    <xf numFmtId="166" fontId="7" fillId="8" borderId="0" xfId="0" applyNumberFormat="1" applyFont="1" applyFill="1"/>
    <xf numFmtId="175" fontId="7" fillId="8" borderId="0" xfId="0" applyNumberFormat="1" applyFont="1" applyFill="1"/>
    <xf numFmtId="3" fontId="7" fillId="8" borderId="0" xfId="0" applyNumberFormat="1" applyFont="1" applyFill="1"/>
    <xf numFmtId="3" fontId="7" fillId="8" borderId="2" xfId="0" applyNumberFormat="1" applyFont="1" applyFill="1" applyBorder="1"/>
    <xf numFmtId="175" fontId="7" fillId="8" borderId="2" xfId="0" applyNumberFormat="1" applyFont="1" applyFill="1" applyBorder="1"/>
    <xf numFmtId="172" fontId="66" fillId="8" borderId="0" xfId="0" applyNumberFormat="1" applyFont="1" applyFill="1"/>
    <xf numFmtId="3" fontId="7" fillId="8" borderId="0" xfId="0" applyNumberFormat="1" applyFont="1" applyFill="1" applyAlignment="1">
      <alignment horizontal="right"/>
    </xf>
    <xf numFmtId="3" fontId="7" fillId="8" borderId="2" xfId="0" applyNumberFormat="1" applyFont="1" applyFill="1" applyBorder="1" applyAlignment="1">
      <alignment horizontal="right"/>
    </xf>
    <xf numFmtId="172" fontId="51" fillId="8" borderId="0" xfId="9" applyNumberFormat="1" applyFont="1" applyFill="1"/>
    <xf numFmtId="167" fontId="7" fillId="8" borderId="0" xfId="0" applyNumberFormat="1" applyFont="1" applyFill="1"/>
    <xf numFmtId="184" fontId="51" fillId="8" borderId="0" xfId="0" applyNumberFormat="1" applyFont="1" applyFill="1"/>
    <xf numFmtId="167" fontId="7" fillId="8" borderId="2" xfId="0" applyNumberFormat="1" applyFont="1" applyFill="1" applyBorder="1"/>
    <xf numFmtId="206" fontId="7" fillId="8" borderId="2" xfId="0" applyNumberFormat="1" applyFont="1" applyFill="1" applyBorder="1" applyAlignment="1">
      <alignment horizontal="right"/>
    </xf>
    <xf numFmtId="37" fontId="62" fillId="8" borderId="0" xfId="32" applyFont="1" applyFill="1"/>
    <xf numFmtId="166" fontId="7" fillId="8" borderId="0" xfId="0" applyNumberFormat="1" applyFont="1" applyFill="1" applyBorder="1" applyAlignment="1">
      <alignment horizontal="right"/>
    </xf>
    <xf numFmtId="37" fontId="2" fillId="10" borderId="14" xfId="0" applyNumberFormat="1" applyFont="1" applyFill="1" applyBorder="1"/>
    <xf numFmtId="0" fontId="2" fillId="10" borderId="4" xfId="0" applyFont="1" applyFill="1" applyBorder="1"/>
    <xf numFmtId="7" fontId="2" fillId="10" borderId="4" xfId="9" applyNumberFormat="1" applyFont="1" applyFill="1" applyBorder="1" applyAlignment="1">
      <alignment horizontal="right"/>
    </xf>
    <xf numFmtId="212" fontId="2" fillId="10" borderId="4" xfId="9" applyNumberFormat="1" applyFont="1" applyFill="1" applyBorder="1" applyAlignment="1">
      <alignment horizontal="right"/>
    </xf>
    <xf numFmtId="7" fontId="2" fillId="10" borderId="14" xfId="9" applyNumberFormat="1" applyFont="1" applyFill="1" applyBorder="1" applyAlignment="1">
      <alignment horizontal="right"/>
    </xf>
    <xf numFmtId="7" fontId="2" fillId="10" borderId="5" xfId="9" applyNumberFormat="1" applyFont="1" applyFill="1" applyBorder="1" applyAlignment="1">
      <alignment horizontal="right"/>
    </xf>
    <xf numFmtId="206" fontId="81" fillId="8" borderId="0" xfId="0" applyNumberFormat="1" applyFont="1" applyFill="1"/>
    <xf numFmtId="176" fontId="7" fillId="8" borderId="0" xfId="40" applyNumberFormat="1" applyFont="1" applyFill="1" applyAlignment="1">
      <alignment horizontal="left"/>
    </xf>
    <xf numFmtId="9" fontId="7" fillId="8" borderId="0" xfId="40" applyFont="1" applyFill="1" applyAlignment="1">
      <alignment horizontal="left"/>
    </xf>
    <xf numFmtId="176" fontId="62" fillId="8" borderId="0" xfId="40" applyNumberFormat="1" applyFont="1" applyFill="1" applyAlignment="1">
      <alignment horizontal="left"/>
    </xf>
    <xf numFmtId="5" fontId="92" fillId="8" borderId="0" xfId="0" applyNumberFormat="1" applyFont="1" applyFill="1"/>
    <xf numFmtId="184" fontId="7" fillId="8" borderId="0" xfId="0" applyNumberFormat="1" applyFont="1" applyFill="1" applyAlignment="1">
      <alignment horizontal="left"/>
    </xf>
    <xf numFmtId="0" fontId="93" fillId="8" borderId="0" xfId="0" applyFont="1" applyFill="1"/>
    <xf numFmtId="37" fontId="93" fillId="8" borderId="0" xfId="0" applyNumberFormat="1" applyFont="1" applyFill="1" applyBorder="1"/>
    <xf numFmtId="0" fontId="93" fillId="8" borderId="0" xfId="0" applyFont="1" applyFill="1" applyBorder="1"/>
    <xf numFmtId="182" fontId="2" fillId="8" borderId="0" xfId="0" applyNumberFormat="1" applyFont="1" applyFill="1" applyBorder="1" applyAlignment="1">
      <alignment horizontal="centerContinuous"/>
    </xf>
    <xf numFmtId="185" fontId="51" fillId="8" borderId="0" xfId="0" applyNumberFormat="1" applyFont="1" applyFill="1" applyBorder="1" applyAlignment="1">
      <alignment horizontal="centerContinuous"/>
    </xf>
    <xf numFmtId="1" fontId="7" fillId="8" borderId="0" xfId="31" applyNumberFormat="1" applyFont="1" applyFill="1" applyAlignment="1" applyProtection="1">
      <alignment horizontal="left"/>
    </xf>
    <xf numFmtId="1" fontId="62" fillId="8" borderId="0" xfId="0" applyNumberFormat="1" applyFont="1" applyFill="1"/>
    <xf numFmtId="1" fontId="62" fillId="8" borderId="0" xfId="0" applyNumberFormat="1" applyFont="1" applyFill="1" applyAlignment="1">
      <alignment horizontal="left"/>
    </xf>
    <xf numFmtId="0" fontId="7" fillId="8" borderId="2" xfId="0" applyFont="1" applyFill="1" applyBorder="1" applyAlignment="1">
      <alignment horizontal="left"/>
    </xf>
    <xf numFmtId="206" fontId="71" fillId="8" borderId="0" xfId="0" applyNumberFormat="1" applyFont="1" applyFill="1" applyAlignment="1">
      <alignment horizontal="left"/>
    </xf>
    <xf numFmtId="206" fontId="62" fillId="8" borderId="0" xfId="0" applyNumberFormat="1" applyFont="1" applyFill="1" applyAlignment="1">
      <alignment horizontal="left"/>
    </xf>
    <xf numFmtId="0" fontId="93" fillId="8" borderId="0" xfId="0" applyFont="1" applyFill="1" applyAlignment="1">
      <alignment horizontal="left"/>
    </xf>
    <xf numFmtId="0" fontId="13" fillId="8" borderId="0" xfId="0" applyFont="1" applyFill="1"/>
    <xf numFmtId="0" fontId="10" fillId="8" borderId="0" xfId="0" applyFont="1" applyFill="1" applyBorder="1"/>
    <xf numFmtId="0" fontId="10" fillId="8" borderId="0" xfId="0" applyFont="1" applyFill="1" applyBorder="1" applyAlignment="1">
      <alignment horizontal="left"/>
    </xf>
    <xf numFmtId="37" fontId="13" fillId="8" borderId="2" xfId="31" applyFont="1" applyFill="1" applyBorder="1" applyAlignment="1" applyProtection="1">
      <alignment horizontal="left"/>
    </xf>
    <xf numFmtId="37" fontId="32" fillId="8" borderId="2" xfId="31" applyFont="1" applyFill="1" applyBorder="1" applyAlignment="1" applyProtection="1">
      <alignment horizontal="left"/>
    </xf>
    <xf numFmtId="37" fontId="13" fillId="8" borderId="0" xfId="31" applyFont="1" applyFill="1" applyBorder="1" applyAlignment="1" applyProtection="1">
      <alignment horizontal="left"/>
    </xf>
    <xf numFmtId="173" fontId="32" fillId="8" borderId="0" xfId="34" applyFont="1" applyFill="1"/>
    <xf numFmtId="186" fontId="32" fillId="8" borderId="0" xfId="34" applyNumberFormat="1" applyFont="1" applyFill="1" applyBorder="1" applyAlignment="1">
      <alignment horizontal="center" wrapText="1"/>
    </xf>
    <xf numFmtId="0" fontId="34" fillId="8" borderId="0" xfId="0" applyFont="1" applyFill="1" applyAlignment="1">
      <alignment horizontal="left"/>
    </xf>
    <xf numFmtId="186" fontId="32" fillId="8" borderId="20" xfId="34" applyNumberFormat="1" applyFont="1" applyFill="1" applyBorder="1" applyAlignment="1">
      <alignment horizontal="center"/>
    </xf>
    <xf numFmtId="173" fontId="33" fillId="8" borderId="0" xfId="34" applyFont="1" applyFill="1" applyBorder="1" applyAlignment="1" applyProtection="1">
      <alignment horizontal="left"/>
    </xf>
    <xf numFmtId="186" fontId="32" fillId="8" borderId="7" xfId="34" applyNumberFormat="1" applyFont="1" applyFill="1" applyBorder="1" applyAlignment="1">
      <alignment horizontal="centerContinuous"/>
    </xf>
    <xf numFmtId="173" fontId="33" fillId="8" borderId="0" xfId="34" applyFont="1" applyFill="1" applyAlignment="1">
      <alignment horizontal="left"/>
    </xf>
    <xf numFmtId="186" fontId="32" fillId="8" borderId="26" xfId="34" applyNumberFormat="1" applyFont="1" applyFill="1" applyBorder="1" applyAlignment="1">
      <alignment horizontal="centerContinuous"/>
    </xf>
    <xf numFmtId="186" fontId="33" fillId="8" borderId="0" xfId="34" applyNumberFormat="1" applyFont="1" applyFill="1" applyBorder="1" applyAlignment="1">
      <alignment horizontal="left"/>
    </xf>
    <xf numFmtId="37" fontId="10" fillId="8" borderId="0" xfId="0" applyNumberFormat="1" applyFont="1" applyFill="1" applyBorder="1"/>
    <xf numFmtId="37" fontId="10" fillId="8" borderId="0" xfId="0" applyNumberFormat="1" applyFont="1" applyFill="1" applyBorder="1" applyAlignment="1">
      <alignment horizontal="left"/>
    </xf>
    <xf numFmtId="37" fontId="10" fillId="8" borderId="0" xfId="34" applyNumberFormat="1" applyFont="1" applyFill="1" applyAlignment="1">
      <alignment horizontal="right"/>
    </xf>
    <xf numFmtId="173" fontId="10" fillId="8" borderId="0" xfId="34" applyFont="1" applyFill="1" applyAlignment="1" applyProtection="1">
      <alignment horizontal="left"/>
    </xf>
    <xf numFmtId="37" fontId="23" fillId="8" borderId="0" xfId="0" applyNumberFormat="1" applyFont="1" applyFill="1" applyAlignment="1">
      <alignment horizontal="right"/>
    </xf>
    <xf numFmtId="169" fontId="35" fillId="8" borderId="0" xfId="9" applyNumberFormat="1" applyFont="1" applyFill="1" applyBorder="1" applyAlignment="1" applyProtection="1">
      <alignment horizontal="left"/>
    </xf>
    <xf numFmtId="204" fontId="24" fillId="8" borderId="0" xfId="9" applyNumberFormat="1" applyFont="1" applyFill="1" applyBorder="1" applyAlignment="1" applyProtection="1">
      <alignment horizontal="right"/>
    </xf>
    <xf numFmtId="173" fontId="10" fillId="8" borderId="0" xfId="34" applyFont="1" applyFill="1" applyBorder="1" applyAlignment="1" applyProtection="1">
      <alignment horizontal="left"/>
    </xf>
    <xf numFmtId="37" fontId="23" fillId="8" borderId="0" xfId="0" applyNumberFormat="1" applyFont="1" applyFill="1" applyBorder="1"/>
    <xf numFmtId="204" fontId="16" fillId="8" borderId="0" xfId="9" applyNumberFormat="1" applyFont="1" applyFill="1" applyBorder="1" applyAlignment="1" applyProtection="1">
      <alignment horizontal="right"/>
    </xf>
    <xf numFmtId="37" fontId="23" fillId="8" borderId="0" xfId="0" applyNumberFormat="1" applyFont="1" applyFill="1"/>
    <xf numFmtId="204" fontId="10" fillId="8" borderId="0" xfId="0" applyNumberFormat="1" applyFont="1" applyFill="1" applyBorder="1" applyAlignment="1">
      <alignment horizontal="right"/>
    </xf>
    <xf numFmtId="37" fontId="33" fillId="8" borderId="0" xfId="34" applyNumberFormat="1" applyFont="1" applyFill="1" applyAlignment="1">
      <alignment horizontal="left"/>
    </xf>
    <xf numFmtId="37" fontId="33" fillId="8" borderId="0" xfId="34" applyNumberFormat="1" applyFont="1" applyFill="1" applyAlignment="1">
      <alignment horizontal="center"/>
    </xf>
    <xf numFmtId="37" fontId="10" fillId="8" borderId="0" xfId="34" applyNumberFormat="1" applyFont="1" applyFill="1" applyAlignment="1">
      <alignment horizontal="left"/>
    </xf>
    <xf numFmtId="37" fontId="16" fillId="8" borderId="0" xfId="9" applyNumberFormat="1" applyFont="1" applyFill="1" applyBorder="1" applyAlignment="1" applyProtection="1">
      <alignment horizontal="left"/>
    </xf>
    <xf numFmtId="37" fontId="32" fillId="8" borderId="0" xfId="34" applyNumberFormat="1" applyFont="1" applyFill="1" applyBorder="1" applyAlignment="1">
      <alignment horizontal="centerContinuous"/>
    </xf>
    <xf numFmtId="37" fontId="32" fillId="8" borderId="0" xfId="34" applyNumberFormat="1" applyFont="1" applyFill="1" applyAlignment="1">
      <alignment horizontal="center"/>
    </xf>
    <xf numFmtId="37" fontId="32" fillId="8" borderId="0" xfId="34" applyNumberFormat="1" applyFont="1" applyFill="1" applyAlignment="1">
      <alignment horizontal="left"/>
    </xf>
    <xf numFmtId="185" fontId="33" fillId="8" borderId="0" xfId="34" applyNumberFormat="1" applyFont="1" applyFill="1" applyBorder="1" applyAlignment="1">
      <alignment horizontal="left"/>
    </xf>
    <xf numFmtId="37" fontId="14" fillId="8" borderId="0" xfId="0" applyNumberFormat="1" applyFont="1" applyFill="1"/>
    <xf numFmtId="204" fontId="14" fillId="8" borderId="0" xfId="9" applyNumberFormat="1" applyFont="1" applyFill="1" applyBorder="1" applyAlignment="1" applyProtection="1">
      <alignment horizontal="right"/>
    </xf>
    <xf numFmtId="204" fontId="12" fillId="8" borderId="0" xfId="9" applyNumberFormat="1" applyFont="1" applyFill="1" applyBorder="1" applyAlignment="1" applyProtection="1">
      <alignment horizontal="right"/>
    </xf>
    <xf numFmtId="204" fontId="10" fillId="8" borderId="0" xfId="9" applyNumberFormat="1" applyFont="1" applyFill="1" applyBorder="1" applyAlignment="1" applyProtection="1">
      <alignment horizontal="right"/>
    </xf>
    <xf numFmtId="186" fontId="32" fillId="8" borderId="4" xfId="34" applyNumberFormat="1" applyFont="1" applyFill="1" applyBorder="1" applyAlignment="1">
      <alignment horizontal="centerContinuous"/>
    </xf>
    <xf numFmtId="173" fontId="33" fillId="8" borderId="4" xfId="34" applyFont="1" applyFill="1" applyBorder="1" applyAlignment="1">
      <alignment horizontal="left"/>
    </xf>
    <xf numFmtId="0" fontId="0" fillId="8" borderId="5" xfId="0" applyFill="1" applyBorder="1"/>
    <xf numFmtId="164" fontId="25" fillId="8" borderId="0" xfId="9" applyNumberFormat="1" applyFont="1" applyFill="1" applyProtection="1"/>
    <xf numFmtId="164" fontId="19" fillId="8" borderId="0" xfId="9" applyNumberFormat="1" applyFont="1" applyFill="1" applyProtection="1"/>
    <xf numFmtId="164" fontId="10" fillId="8" borderId="0" xfId="0" applyNumberFormat="1" applyFont="1" applyFill="1" applyBorder="1"/>
    <xf numFmtId="164" fontId="12" fillId="8" borderId="0" xfId="9" applyNumberFormat="1" applyFont="1" applyFill="1" applyProtection="1"/>
    <xf numFmtId="164" fontId="25" fillId="8" borderId="0" xfId="28" applyNumberFormat="1" applyFont="1" applyFill="1" applyAlignment="1" applyProtection="1">
      <alignment horizontal="right"/>
    </xf>
    <xf numFmtId="204" fontId="0" fillId="8" borderId="0" xfId="0" applyNumberFormat="1" applyFill="1"/>
    <xf numFmtId="37" fontId="2" fillId="10" borderId="3" xfId="0" applyNumberFormat="1" applyFont="1" applyFill="1" applyBorder="1" applyAlignment="1"/>
    <xf numFmtId="0" fontId="7" fillId="8" borderId="2" xfId="0" applyFont="1" applyFill="1" applyBorder="1" applyAlignment="1">
      <alignment horizontal="right"/>
    </xf>
    <xf numFmtId="206" fontId="71" fillId="8" borderId="0" xfId="0" applyNumberFormat="1" applyFont="1" applyFill="1" applyAlignment="1">
      <alignment horizontal="right"/>
    </xf>
    <xf numFmtId="1" fontId="62" fillId="8" borderId="0" xfId="0" applyNumberFormat="1" applyFont="1" applyFill="1" applyAlignment="1">
      <alignment horizontal="right"/>
    </xf>
    <xf numFmtId="184" fontId="7" fillId="8" borderId="0" xfId="0" applyNumberFormat="1" applyFont="1" applyFill="1" applyAlignment="1">
      <alignment horizontal="right"/>
    </xf>
    <xf numFmtId="206" fontId="62" fillId="8" borderId="0" xfId="0" applyNumberFormat="1" applyFont="1" applyFill="1" applyAlignment="1">
      <alignment horizontal="right"/>
    </xf>
    <xf numFmtId="0" fontId="93" fillId="8" borderId="0" xfId="0" applyFont="1" applyFill="1" applyAlignment="1">
      <alignment horizontal="right"/>
    </xf>
    <xf numFmtId="0" fontId="7" fillId="9" borderId="0" xfId="0" applyFont="1" applyFill="1"/>
    <xf numFmtId="0" fontId="7" fillId="9" borderId="0" xfId="0" applyFont="1" applyFill="1" applyAlignment="1">
      <alignment horizontal="center"/>
    </xf>
    <xf numFmtId="178" fontId="7" fillId="8" borderId="31" xfId="10" applyNumberFormat="1" applyFont="1" applyFill="1" applyBorder="1"/>
    <xf numFmtId="0" fontId="7" fillId="8" borderId="32" xfId="0" applyFont="1" applyFill="1" applyBorder="1"/>
    <xf numFmtId="176" fontId="7" fillId="8" borderId="33" xfId="41" applyNumberFormat="1" applyFont="1" applyFill="1" applyBorder="1"/>
    <xf numFmtId="0" fontId="7" fillId="8" borderId="34" xfId="0" applyFont="1" applyFill="1" applyBorder="1" applyAlignment="1">
      <alignment horizontal="centerContinuous"/>
    </xf>
    <xf numFmtId="178" fontId="2" fillId="8" borderId="33" xfId="0" applyNumberFormat="1" applyFont="1" applyFill="1" applyBorder="1" applyAlignment="1">
      <alignment horizontal="right"/>
    </xf>
    <xf numFmtId="0" fontId="2" fillId="8" borderId="34" xfId="0" applyFont="1" applyFill="1" applyBorder="1" applyAlignment="1">
      <alignment horizontal="right"/>
    </xf>
    <xf numFmtId="43" fontId="7" fillId="8" borderId="33" xfId="0" applyNumberFormat="1" applyFont="1" applyFill="1" applyBorder="1" applyAlignment="1">
      <alignment horizontal="right"/>
    </xf>
    <xf numFmtId="43" fontId="7" fillId="8" borderId="34" xfId="0" applyNumberFormat="1" applyFont="1" applyFill="1" applyBorder="1" applyAlignment="1">
      <alignment horizontal="right"/>
    </xf>
    <xf numFmtId="176" fontId="7" fillId="8" borderId="33" xfId="41" applyNumberFormat="1" applyFont="1" applyFill="1" applyBorder="1" applyAlignment="1">
      <alignment horizontal="right"/>
    </xf>
    <xf numFmtId="0" fontId="7" fillId="8" borderId="34" xfId="0" applyFont="1" applyFill="1" applyBorder="1" applyAlignment="1">
      <alignment horizontal="right"/>
    </xf>
    <xf numFmtId="0" fontId="7" fillId="8" borderId="33" xfId="0" applyFont="1" applyFill="1" applyBorder="1" applyAlignment="1">
      <alignment horizontal="right"/>
    </xf>
    <xf numFmtId="165" fontId="7" fillId="8" borderId="37" xfId="0" applyNumberFormat="1" applyFont="1" applyFill="1" applyBorder="1"/>
    <xf numFmtId="165" fontId="7" fillId="8" borderId="38" xfId="0" applyNumberFormat="1" applyFont="1" applyFill="1" applyBorder="1"/>
    <xf numFmtId="185" fontId="77" fillId="9" borderId="31" xfId="0" applyNumberFormat="1" applyFont="1" applyFill="1" applyBorder="1" applyAlignment="1">
      <alignment horizontal="centerContinuous"/>
    </xf>
    <xf numFmtId="0" fontId="77" fillId="9" borderId="32" xfId="0" applyFont="1" applyFill="1" applyBorder="1" applyAlignment="1">
      <alignment horizontal="centerContinuous"/>
    </xf>
    <xf numFmtId="0" fontId="7" fillId="8" borderId="33" xfId="0" applyFont="1" applyFill="1" applyBorder="1"/>
    <xf numFmtId="0" fontId="7" fillId="8" borderId="34" xfId="0" applyFont="1" applyFill="1" applyBorder="1"/>
    <xf numFmtId="5" fontId="2" fillId="8" borderId="0" xfId="0" applyNumberFormat="1" applyFont="1" applyFill="1"/>
    <xf numFmtId="234" fontId="7" fillId="8" borderId="0" xfId="0" applyNumberFormat="1" applyFont="1" applyFill="1" applyBorder="1" applyAlignment="1">
      <alignment horizontal="center"/>
    </xf>
    <xf numFmtId="39" fontId="7" fillId="8" borderId="0" xfId="14" applyNumberFormat="1" applyFont="1" applyFill="1" applyBorder="1" applyAlignment="1">
      <alignment horizontal="right"/>
    </xf>
    <xf numFmtId="43" fontId="7" fillId="8" borderId="2" xfId="0" applyNumberFormat="1" applyFont="1" applyFill="1" applyBorder="1"/>
    <xf numFmtId="185" fontId="54" fillId="8" borderId="0" xfId="0" applyNumberFormat="1" applyFont="1" applyFill="1" applyAlignment="1">
      <alignment horizontal="center"/>
    </xf>
    <xf numFmtId="0" fontId="54" fillId="8" borderId="0" xfId="0" applyFont="1" applyFill="1"/>
    <xf numFmtId="188" fontId="38" fillId="8" borderId="0" xfId="14" applyNumberFormat="1" applyFont="1" applyFill="1"/>
    <xf numFmtId="37" fontId="38" fillId="8" borderId="0" xfId="14" applyNumberFormat="1" applyFont="1" applyFill="1" applyBorder="1"/>
    <xf numFmtId="188" fontId="38" fillId="8" borderId="0" xfId="14" applyNumberFormat="1" applyFont="1" applyFill="1" applyBorder="1"/>
    <xf numFmtId="188" fontId="38" fillId="8" borderId="2" xfId="14" applyNumberFormat="1" applyFont="1" applyFill="1" applyBorder="1"/>
    <xf numFmtId="5" fontId="38" fillId="8" borderId="0" xfId="14" applyNumberFormat="1" applyFont="1" applyFill="1"/>
    <xf numFmtId="5" fontId="7" fillId="8" borderId="4" xfId="14" applyNumberFormat="1" applyFont="1" applyFill="1" applyBorder="1"/>
    <xf numFmtId="164" fontId="7" fillId="8" borderId="0" xfId="0" applyNumberFormat="1" applyFont="1" applyFill="1" applyAlignment="1" applyProtection="1">
      <alignment horizontal="left"/>
    </xf>
    <xf numFmtId="187" fontId="22" fillId="8" borderId="0" xfId="14" applyNumberFormat="1" applyFont="1" applyFill="1"/>
    <xf numFmtId="177" fontId="22" fillId="8" borderId="0" xfId="0" applyNumberFormat="1" applyFont="1" applyFill="1"/>
    <xf numFmtId="43" fontId="22" fillId="8" borderId="0" xfId="9" applyFont="1" applyFill="1"/>
    <xf numFmtId="43" fontId="7" fillId="8" borderId="0" xfId="14" applyNumberFormat="1" applyFont="1" applyFill="1" applyBorder="1"/>
    <xf numFmtId="0" fontId="39" fillId="8" borderId="0" xfId="0" applyFont="1" applyFill="1"/>
    <xf numFmtId="0" fontId="62" fillId="8" borderId="0" xfId="0" applyFont="1" applyFill="1" applyAlignment="1">
      <alignment horizontal="left"/>
    </xf>
    <xf numFmtId="173" fontId="7" fillId="8" borderId="0" xfId="0" applyNumberFormat="1" applyFont="1" applyFill="1" applyAlignment="1" applyProtection="1">
      <alignment horizontal="left"/>
    </xf>
    <xf numFmtId="173" fontId="62" fillId="8" borderId="0" xfId="0" applyNumberFormat="1" applyFont="1" applyFill="1" applyAlignment="1" applyProtection="1">
      <alignment horizontal="left"/>
    </xf>
    <xf numFmtId="9" fontId="62" fillId="8" borderId="0" xfId="40" applyFont="1" applyFill="1"/>
    <xf numFmtId="176" fontId="62" fillId="8" borderId="0" xfId="40" applyNumberFormat="1" applyFont="1" applyFill="1"/>
    <xf numFmtId="37" fontId="7" fillId="8" borderId="0" xfId="14" applyNumberFormat="1" applyFont="1" applyFill="1" applyAlignment="1">
      <alignment horizontal="right"/>
    </xf>
    <xf numFmtId="192" fontId="7" fillId="8" borderId="0" xfId="0" applyNumberFormat="1" applyFont="1" applyFill="1" applyAlignment="1">
      <alignment horizontal="right"/>
    </xf>
    <xf numFmtId="192" fontId="7" fillId="8" borderId="0" xfId="0" applyNumberFormat="1" applyFont="1" applyFill="1"/>
    <xf numFmtId="38" fontId="7" fillId="8" borderId="0" xfId="0" applyNumberFormat="1" applyFont="1" applyFill="1"/>
    <xf numFmtId="43" fontId="7" fillId="8" borderId="0" xfId="9" applyFont="1" applyFill="1" applyAlignment="1">
      <alignment horizontal="right"/>
    </xf>
    <xf numFmtId="38" fontId="7" fillId="8" borderId="0" xfId="0" quotePrefix="1" applyNumberFormat="1" applyFont="1" applyFill="1" applyBorder="1"/>
    <xf numFmtId="43" fontId="64" fillId="8" borderId="0" xfId="9" applyFont="1" applyFill="1"/>
    <xf numFmtId="0" fontId="22" fillId="8" borderId="0" xfId="0" applyFont="1" applyFill="1" applyAlignment="1">
      <alignment horizontal="right"/>
    </xf>
    <xf numFmtId="9" fontId="7" fillId="8" borderId="0" xfId="0" applyNumberFormat="1" applyFont="1" applyFill="1" applyAlignment="1">
      <alignment horizontal="right"/>
    </xf>
    <xf numFmtId="244" fontId="7" fillId="8" borderId="0" xfId="0" applyNumberFormat="1" applyFont="1" applyFill="1" applyAlignment="1">
      <alignment horizontal="left"/>
    </xf>
    <xf numFmtId="190" fontId="63" fillId="8" borderId="10" xfId="0" applyNumberFormat="1" applyFont="1" applyFill="1" applyBorder="1" applyAlignment="1">
      <alignment horizontal="center"/>
    </xf>
    <xf numFmtId="190" fontId="63" fillId="8" borderId="25" xfId="0" applyNumberFormat="1" applyFont="1" applyFill="1" applyBorder="1" applyAlignment="1">
      <alignment horizontal="center"/>
    </xf>
    <xf numFmtId="196" fontId="62" fillId="8" borderId="0" xfId="0" applyNumberFormat="1" applyFont="1" applyFill="1" applyAlignment="1">
      <alignment horizontal="center"/>
    </xf>
    <xf numFmtId="0" fontId="38" fillId="8" borderId="2" xfId="0" applyFont="1" applyFill="1" applyBorder="1"/>
    <xf numFmtId="165" fontId="2" fillId="8" borderId="2" xfId="0" applyNumberFormat="1" applyFont="1" applyFill="1" applyBorder="1" applyAlignment="1">
      <alignment horizontal="centerContinuous"/>
    </xf>
    <xf numFmtId="190" fontId="2" fillId="8" borderId="2" xfId="0" applyNumberFormat="1" applyFont="1" applyFill="1" applyBorder="1" applyAlignment="1">
      <alignment horizontal="centerContinuous"/>
    </xf>
    <xf numFmtId="0" fontId="54" fillId="8" borderId="0" xfId="0" applyFont="1" applyFill="1" applyAlignment="1">
      <alignment horizontal="centerContinuous"/>
    </xf>
    <xf numFmtId="165" fontId="7" fillId="8" borderId="0" xfId="0" applyNumberFormat="1" applyFont="1" applyFill="1" applyAlignment="1">
      <alignment horizontal="centerContinuous"/>
    </xf>
    <xf numFmtId="172" fontId="38" fillId="8" borderId="0" xfId="9" applyNumberFormat="1" applyFont="1" applyFill="1"/>
    <xf numFmtId="43" fontId="62" fillId="8" borderId="0" xfId="9" applyFont="1" applyFill="1" applyAlignment="1">
      <alignment horizontal="right"/>
    </xf>
    <xf numFmtId="195" fontId="7" fillId="8" borderId="0" xfId="9" applyNumberFormat="1" applyFont="1" applyFill="1" applyAlignment="1">
      <alignment horizontal="left"/>
    </xf>
    <xf numFmtId="165" fontId="62" fillId="8" borderId="0" xfId="9" applyNumberFormat="1" applyFont="1" applyFill="1" applyAlignment="1">
      <alignment horizontal="right"/>
    </xf>
    <xf numFmtId="195" fontId="7" fillId="8" borderId="0" xfId="9" applyNumberFormat="1" applyFont="1" applyFill="1" applyAlignment="1">
      <alignment horizontal="center"/>
    </xf>
    <xf numFmtId="0" fontId="2" fillId="8" borderId="0" xfId="0" applyFont="1" applyFill="1" applyAlignment="1">
      <alignment horizontal="centerContinuous"/>
    </xf>
    <xf numFmtId="165" fontId="2" fillId="8" borderId="0" xfId="0" applyNumberFormat="1" applyFont="1" applyFill="1" applyAlignment="1">
      <alignment horizontal="centerContinuous"/>
    </xf>
    <xf numFmtId="165" fontId="2" fillId="8" borderId="0" xfId="0" applyNumberFormat="1" applyFont="1" applyFill="1"/>
    <xf numFmtId="172" fontId="2" fillId="8" borderId="0" xfId="0" applyNumberFormat="1" applyFont="1" applyFill="1"/>
    <xf numFmtId="172" fontId="38" fillId="8" borderId="0" xfId="9" applyNumberFormat="1" applyFont="1" applyFill="1" applyAlignment="1">
      <alignment horizontal="right"/>
    </xf>
    <xf numFmtId="0" fontId="2" fillId="10" borderId="5" xfId="0" applyFont="1" applyFill="1" applyBorder="1"/>
    <xf numFmtId="44" fontId="7" fillId="8" borderId="0" xfId="14" applyFont="1" applyFill="1" applyBorder="1"/>
    <xf numFmtId="0" fontId="22" fillId="8" borderId="2" xfId="0" applyFont="1" applyFill="1" applyBorder="1"/>
    <xf numFmtId="0" fontId="63" fillId="8" borderId="0" xfId="0" applyFont="1" applyFill="1" applyAlignment="1">
      <alignment horizontal="centerContinuous"/>
    </xf>
    <xf numFmtId="170" fontId="7" fillId="8" borderId="0" xfId="0" applyNumberFormat="1" applyFont="1" applyFill="1"/>
    <xf numFmtId="179" fontId="7" fillId="8" borderId="0" xfId="40" applyNumberFormat="1" applyFont="1" applyFill="1"/>
    <xf numFmtId="179" fontId="7" fillId="8" borderId="0" xfId="0" applyNumberFormat="1" applyFont="1" applyFill="1"/>
    <xf numFmtId="164" fontId="62" fillId="8" borderId="0" xfId="29" applyFont="1" applyFill="1" applyBorder="1" applyAlignment="1">
      <alignment horizontal="left"/>
    </xf>
    <xf numFmtId="37" fontId="7" fillId="8" borderId="0" xfId="38" applyFont="1" applyFill="1"/>
    <xf numFmtId="37" fontId="7" fillId="8" borderId="2" xfId="38" applyFont="1" applyFill="1" applyBorder="1"/>
    <xf numFmtId="37" fontId="7" fillId="8" borderId="2" xfId="38" applyFont="1" applyFill="1" applyBorder="1" applyAlignment="1">
      <alignment horizontal="center"/>
    </xf>
    <xf numFmtId="37" fontId="2" fillId="8" borderId="2" xfId="38" applyFont="1" applyFill="1" applyBorder="1" applyAlignment="1">
      <alignment horizontal="center"/>
    </xf>
    <xf numFmtId="37" fontId="2" fillId="8" borderId="0" xfId="38" applyFont="1" applyFill="1" applyAlignment="1">
      <alignment horizontal="center"/>
    </xf>
    <xf numFmtId="37" fontId="2" fillId="8" borderId="0" xfId="38" applyFont="1" applyFill="1" applyAlignment="1">
      <alignment horizontal="centerContinuous"/>
    </xf>
    <xf numFmtId="37" fontId="2" fillId="8" borderId="0" xfId="38" applyFont="1" applyFill="1"/>
    <xf numFmtId="37" fontId="2" fillId="8" borderId="2" xfId="38" applyFont="1" applyFill="1" applyBorder="1"/>
    <xf numFmtId="37" fontId="2" fillId="8" borderId="2" xfId="38" applyFont="1" applyFill="1" applyBorder="1" applyAlignment="1" applyProtection="1">
      <alignment horizontal="center"/>
    </xf>
    <xf numFmtId="37" fontId="2" fillId="8" borderId="2" xfId="38" applyFont="1" applyFill="1" applyBorder="1" applyAlignment="1">
      <alignment horizontal="centerContinuous"/>
    </xf>
    <xf numFmtId="37" fontId="2" fillId="8" borderId="0" xfId="38" applyFont="1" applyFill="1" applyAlignment="1" applyProtection="1">
      <alignment horizontal="center"/>
    </xf>
    <xf numFmtId="37" fontId="2" fillId="8" borderId="0" xfId="38" applyFont="1" applyFill="1" applyBorder="1" applyAlignment="1">
      <alignment horizontal="centerContinuous"/>
    </xf>
    <xf numFmtId="178" fontId="7" fillId="8" borderId="0" xfId="9" applyNumberFormat="1" applyFont="1" applyFill="1" applyBorder="1"/>
    <xf numFmtId="178" fontId="7" fillId="8" borderId="0" xfId="9" applyNumberFormat="1" applyFont="1" applyFill="1"/>
    <xf numFmtId="182" fontId="54" fillId="8" borderId="0" xfId="0" applyNumberFormat="1" applyFont="1" applyFill="1"/>
    <xf numFmtId="166" fontId="7" fillId="8" borderId="0" xfId="0" applyNumberFormat="1" applyFont="1" applyFill="1" applyBorder="1"/>
    <xf numFmtId="43" fontId="7" fillId="8" borderId="2" xfId="9" applyFont="1" applyFill="1" applyBorder="1"/>
    <xf numFmtId="43" fontId="7" fillId="8" borderId="14" xfId="9" applyFont="1" applyFill="1" applyBorder="1"/>
    <xf numFmtId="37" fontId="7" fillId="8" borderId="0" xfId="9" applyNumberFormat="1" applyFont="1" applyFill="1"/>
    <xf numFmtId="0" fontId="63" fillId="8" borderId="0" xfId="0" applyFont="1" applyFill="1"/>
    <xf numFmtId="190" fontId="63" fillId="8" borderId="0" xfId="0" applyNumberFormat="1" applyFont="1" applyFill="1" applyBorder="1" applyAlignment="1">
      <alignment horizontal="center"/>
    </xf>
    <xf numFmtId="37" fontId="2" fillId="8" borderId="0" xfId="0" applyNumberFormat="1" applyFont="1" applyFill="1" applyAlignment="1">
      <alignment horizontal="right"/>
    </xf>
    <xf numFmtId="37" fontId="51" fillId="8" borderId="39" xfId="0" applyNumberFormat="1" applyFont="1" applyFill="1" applyBorder="1"/>
    <xf numFmtId="37" fontId="95" fillId="8" borderId="0" xfId="0" applyNumberFormat="1" applyFont="1" applyFill="1"/>
    <xf numFmtId="9" fontId="38" fillId="8" borderId="0" xfId="40" applyFont="1" applyFill="1"/>
    <xf numFmtId="9" fontId="68" fillId="8" borderId="0" xfId="40" applyFont="1" applyFill="1" applyAlignment="1">
      <alignment horizontal="left"/>
    </xf>
    <xf numFmtId="9" fontId="62" fillId="8" borderId="0" xfId="40" applyFont="1" applyFill="1" applyBorder="1" applyAlignment="1">
      <alignment horizontal="left"/>
    </xf>
    <xf numFmtId="9" fontId="2" fillId="8" borderId="0" xfId="40" applyFont="1" applyFill="1" applyAlignment="1"/>
    <xf numFmtId="164" fontId="2" fillId="10" borderId="3" xfId="0" applyNumberFormat="1" applyFont="1" applyFill="1" applyBorder="1" applyAlignment="1"/>
    <xf numFmtId="185" fontId="51" fillId="8" borderId="2" xfId="0" applyNumberFormat="1" applyFont="1" applyFill="1" applyBorder="1" applyAlignment="1">
      <alignment horizontal="center"/>
    </xf>
    <xf numFmtId="176" fontId="64" fillId="8" borderId="0" xfId="40" applyNumberFormat="1" applyFont="1" applyFill="1" applyAlignment="1">
      <alignment horizontal="right"/>
    </xf>
    <xf numFmtId="7" fontId="7" fillId="8" borderId="0" xfId="15" applyNumberFormat="1" applyFont="1" applyFill="1"/>
    <xf numFmtId="5" fontId="2" fillId="8" borderId="0" xfId="0" applyNumberFormat="1" applyFont="1" applyFill="1" applyAlignment="1"/>
    <xf numFmtId="171" fontId="7" fillId="8" borderId="0" xfId="9" applyNumberFormat="1" applyFont="1" applyFill="1"/>
    <xf numFmtId="236" fontId="7" fillId="8" borderId="0" xfId="0" applyNumberFormat="1" applyFont="1" applyFill="1"/>
    <xf numFmtId="206" fontId="2" fillId="8" borderId="0" xfId="9" applyNumberFormat="1" applyFont="1" applyFill="1"/>
    <xf numFmtId="43" fontId="7" fillId="0" borderId="0" xfId="10" applyFont="1" applyFill="1" applyAlignment="1">
      <alignment horizontal="right"/>
    </xf>
    <xf numFmtId="206" fontId="81" fillId="8" borderId="0" xfId="0" applyNumberFormat="1" applyFont="1" applyFill="1" applyAlignment="1">
      <alignment horizontal="right"/>
    </xf>
    <xf numFmtId="5" fontId="97" fillId="8" borderId="0" xfId="0" applyNumberFormat="1" applyFont="1" applyFill="1"/>
    <xf numFmtId="37" fontId="97" fillId="8" borderId="0" xfId="0" applyNumberFormat="1" applyFont="1" applyFill="1"/>
    <xf numFmtId="37" fontId="97" fillId="8" borderId="2" xfId="0" applyNumberFormat="1" applyFont="1" applyFill="1" applyBorder="1"/>
    <xf numFmtId="174" fontId="97" fillId="8" borderId="0" xfId="0" applyNumberFormat="1" applyFont="1" applyFill="1"/>
    <xf numFmtId="174" fontId="97" fillId="8" borderId="2" xfId="0" applyNumberFormat="1" applyFont="1" applyFill="1" applyBorder="1"/>
    <xf numFmtId="174" fontId="89" fillId="8" borderId="0" xfId="0" applyNumberFormat="1" applyFont="1" applyFill="1"/>
    <xf numFmtId="174" fontId="7" fillId="8" borderId="0" xfId="0" applyNumberFormat="1" applyFont="1" applyFill="1" applyBorder="1"/>
    <xf numFmtId="0" fontId="99" fillId="8" borderId="0" xfId="0" applyFont="1" applyFill="1"/>
    <xf numFmtId="5" fontId="97" fillId="0" borderId="0" xfId="0" applyNumberFormat="1" applyFont="1" applyFill="1"/>
    <xf numFmtId="37" fontId="99" fillId="8" borderId="0" xfId="0" applyNumberFormat="1" applyFont="1" applyFill="1"/>
    <xf numFmtId="37" fontId="99" fillId="8" borderId="2" xfId="0" applyNumberFormat="1" applyFont="1" applyFill="1" applyBorder="1"/>
    <xf numFmtId="37" fontId="97" fillId="8" borderId="0" xfId="0" applyNumberFormat="1" applyFont="1" applyFill="1" applyAlignment="1">
      <alignment horizontal="right"/>
    </xf>
    <xf numFmtId="37" fontId="97" fillId="8" borderId="2" xfId="0" applyNumberFormat="1" applyFont="1" applyFill="1" applyBorder="1" applyAlignment="1">
      <alignment horizontal="right"/>
    </xf>
    <xf numFmtId="37" fontId="97" fillId="8" borderId="0" xfId="9" applyNumberFormat="1" applyFont="1" applyFill="1"/>
    <xf numFmtId="39" fontId="7" fillId="8" borderId="22" xfId="36" applyNumberFormat="1" applyFont="1" applyFill="1" applyBorder="1" applyAlignment="1">
      <alignment horizontal="right"/>
    </xf>
    <xf numFmtId="39" fontId="2" fillId="8" borderId="27" xfId="0" applyNumberFormat="1" applyFont="1" applyFill="1" applyBorder="1" applyAlignment="1">
      <alignment horizontal="right"/>
    </xf>
    <xf numFmtId="39" fontId="7" fillId="8" borderId="24" xfId="0" applyNumberFormat="1" applyFont="1" applyFill="1" applyBorder="1" applyAlignment="1">
      <alignment horizontal="right"/>
    </xf>
    <xf numFmtId="37" fontId="97" fillId="8" borderId="21" xfId="0" applyNumberFormat="1" applyFont="1" applyFill="1" applyBorder="1" applyAlignment="1">
      <alignment horizontal="right"/>
    </xf>
    <xf numFmtId="37" fontId="97" fillId="8" borderId="28" xfId="0" applyNumberFormat="1" applyFont="1" applyFill="1" applyBorder="1" applyAlignment="1">
      <alignment horizontal="right"/>
    </xf>
    <xf numFmtId="39" fontId="89" fillId="8" borderId="27" xfId="0" applyNumberFormat="1" applyFont="1" applyFill="1" applyBorder="1" applyAlignment="1">
      <alignment horizontal="right"/>
    </xf>
    <xf numFmtId="39" fontId="97" fillId="8" borderId="22" xfId="36" applyNumberFormat="1" applyFont="1" applyFill="1" applyBorder="1" applyAlignment="1">
      <alignment horizontal="right"/>
    </xf>
    <xf numFmtId="164" fontId="2" fillId="8" borderId="2" xfId="0" applyNumberFormat="1" applyFont="1" applyFill="1" applyBorder="1" applyAlignment="1">
      <alignment horizontal="right"/>
    </xf>
    <xf numFmtId="191" fontId="99" fillId="8" borderId="0" xfId="40" applyNumberFormat="1" applyFont="1" applyFill="1"/>
    <xf numFmtId="179" fontId="94" fillId="8" borderId="0" xfId="0" applyNumberFormat="1" applyFont="1" applyFill="1"/>
    <xf numFmtId="241" fontId="94" fillId="8" borderId="0" xfId="0" applyNumberFormat="1" applyFont="1" applyFill="1"/>
    <xf numFmtId="193" fontId="94" fillId="10" borderId="0" xfId="0" applyNumberFormat="1" applyFont="1" applyFill="1" applyAlignment="1">
      <alignment vertical="center"/>
    </xf>
    <xf numFmtId="193" fontId="2" fillId="10" borderId="0" xfId="0" applyNumberFormat="1" applyFont="1" applyFill="1" applyAlignment="1">
      <alignment vertical="center"/>
    </xf>
    <xf numFmtId="176" fontId="2" fillId="8" borderId="0" xfId="40" applyNumberFormat="1" applyFont="1" applyFill="1"/>
    <xf numFmtId="240" fontId="2" fillId="8" borderId="0" xfId="9" applyNumberFormat="1" applyFont="1" applyFill="1"/>
    <xf numFmtId="37" fontId="100" fillId="8" borderId="0" xfId="0" applyNumberFormat="1" applyFont="1" applyFill="1"/>
    <xf numFmtId="37" fontId="101" fillId="8" borderId="0" xfId="0" applyNumberFormat="1" applyFont="1" applyFill="1" applyBorder="1"/>
    <xf numFmtId="0" fontId="101" fillId="8" borderId="0" xfId="0" applyFont="1" applyFill="1" applyBorder="1"/>
    <xf numFmtId="37" fontId="96" fillId="8" borderId="0" xfId="0" applyNumberFormat="1" applyFont="1" applyFill="1"/>
    <xf numFmtId="37" fontId="96" fillId="8" borderId="0" xfId="0" applyNumberFormat="1" applyFont="1" applyFill="1" applyBorder="1"/>
    <xf numFmtId="0" fontId="96" fillId="8" borderId="0" xfId="0" applyFont="1" applyFill="1" applyBorder="1"/>
    <xf numFmtId="204" fontId="96" fillId="8" borderId="0" xfId="9" applyNumberFormat="1" applyFont="1" applyFill="1" applyBorder="1" applyAlignment="1" applyProtection="1">
      <alignment horizontal="right"/>
    </xf>
    <xf numFmtId="204" fontId="100" fillId="8" borderId="0" xfId="9" applyNumberFormat="1" applyFont="1" applyFill="1" applyBorder="1" applyAlignment="1" applyProtection="1">
      <alignment horizontal="right"/>
    </xf>
    <xf numFmtId="204" fontId="101" fillId="8" borderId="0" xfId="0" applyNumberFormat="1" applyFont="1" applyFill="1" applyBorder="1" applyAlignment="1">
      <alignment horizontal="right"/>
    </xf>
    <xf numFmtId="164" fontId="100" fillId="8" borderId="0" xfId="9" applyNumberFormat="1" applyFont="1" applyFill="1" applyProtection="1"/>
    <xf numFmtId="164" fontId="96" fillId="8" borderId="0" xfId="9" applyNumberFormat="1" applyFont="1" applyFill="1" applyProtection="1"/>
    <xf numFmtId="0" fontId="96" fillId="8" borderId="0" xfId="0" applyFont="1" applyFill="1"/>
    <xf numFmtId="164" fontId="96" fillId="8" borderId="0" xfId="0" applyNumberFormat="1" applyFont="1" applyFill="1" applyBorder="1"/>
    <xf numFmtId="188" fontId="99" fillId="8" borderId="0" xfId="9" applyNumberFormat="1" applyFont="1" applyFill="1" applyBorder="1" applyAlignment="1">
      <alignment horizontal="right"/>
    </xf>
    <xf numFmtId="188" fontId="99" fillId="8" borderId="2" xfId="9" applyNumberFormat="1" applyFont="1" applyFill="1" applyBorder="1" applyAlignment="1">
      <alignment horizontal="right"/>
    </xf>
    <xf numFmtId="188" fontId="97" fillId="8" borderId="0" xfId="9" applyNumberFormat="1" applyFont="1" applyFill="1" applyBorder="1" applyAlignment="1">
      <alignment horizontal="right"/>
    </xf>
    <xf numFmtId="188" fontId="97" fillId="8" borderId="2" xfId="9" applyNumberFormat="1" applyFont="1" applyFill="1" applyBorder="1" applyAlignment="1">
      <alignment horizontal="right"/>
    </xf>
    <xf numFmtId="189" fontId="97" fillId="8" borderId="0" xfId="9" applyNumberFormat="1" applyFont="1" applyFill="1" applyBorder="1" applyAlignment="1">
      <alignment horizontal="right"/>
    </xf>
    <xf numFmtId="188" fontId="97" fillId="8" borderId="0" xfId="0" applyNumberFormat="1" applyFont="1" applyFill="1" applyAlignment="1">
      <alignment horizontal="right"/>
    </xf>
    <xf numFmtId="184" fontId="97" fillId="8" borderId="0" xfId="9" applyNumberFormat="1" applyFont="1" applyFill="1" applyBorder="1" applyAlignment="1">
      <alignment horizontal="right"/>
    </xf>
    <xf numFmtId="188" fontId="97" fillId="8" borderId="0" xfId="14" applyNumberFormat="1" applyFont="1" applyFill="1" applyBorder="1" applyAlignment="1">
      <alignment horizontal="right"/>
    </xf>
    <xf numFmtId="188" fontId="97" fillId="8" borderId="0" xfId="0" applyNumberFormat="1" applyFont="1" applyFill="1" applyBorder="1" applyAlignment="1">
      <alignment horizontal="right"/>
    </xf>
    <xf numFmtId="189" fontId="97" fillId="8" borderId="0" xfId="14" applyNumberFormat="1" applyFont="1" applyFill="1" applyBorder="1" applyAlignment="1">
      <alignment horizontal="right"/>
    </xf>
    <xf numFmtId="7" fontId="102" fillId="8" borderId="0" xfId="0" applyNumberFormat="1" applyFont="1" applyFill="1" applyBorder="1" applyAlignment="1">
      <alignment horizontal="right"/>
    </xf>
    <xf numFmtId="189" fontId="102" fillId="8" borderId="0" xfId="14" applyNumberFormat="1" applyFont="1" applyFill="1" applyBorder="1" applyAlignment="1">
      <alignment horizontal="right"/>
    </xf>
    <xf numFmtId="188" fontId="78" fillId="8" borderId="0" xfId="14" applyNumberFormat="1" applyFont="1" applyFill="1" applyBorder="1" applyAlignment="1">
      <alignment horizontal="right"/>
    </xf>
    <xf numFmtId="188" fontId="78" fillId="8" borderId="0" xfId="9" applyNumberFormat="1" applyFont="1" applyFill="1" applyBorder="1" applyAlignment="1">
      <alignment horizontal="right"/>
    </xf>
    <xf numFmtId="193" fontId="102" fillId="8" borderId="0" xfId="0" applyNumberFormat="1" applyFont="1" applyFill="1" applyAlignment="1">
      <alignment horizontal="right" vertical="center"/>
    </xf>
    <xf numFmtId="188" fontId="2" fillId="8" borderId="0" xfId="9" applyNumberFormat="1" applyFont="1" applyFill="1" applyBorder="1" applyAlignment="1">
      <alignment horizontal="right"/>
    </xf>
    <xf numFmtId="188" fontId="99" fillId="8" borderId="0" xfId="14" applyNumberFormat="1" applyFont="1" applyFill="1" applyBorder="1" applyAlignment="1">
      <alignment horizontal="right"/>
    </xf>
    <xf numFmtId="202" fontId="7" fillId="8" borderId="0" xfId="36" applyNumberFormat="1" applyFont="1" applyFill="1" applyBorder="1" applyAlignment="1">
      <alignment horizontal="right"/>
    </xf>
    <xf numFmtId="188" fontId="99" fillId="8" borderId="0" xfId="14" applyNumberFormat="1" applyFont="1" applyFill="1"/>
    <xf numFmtId="37" fontId="99" fillId="8" borderId="0" xfId="14" applyNumberFormat="1" applyFont="1" applyFill="1"/>
    <xf numFmtId="188" fontId="99" fillId="8" borderId="0" xfId="14" applyNumberFormat="1" applyFont="1" applyFill="1" applyBorder="1"/>
    <xf numFmtId="188" fontId="99" fillId="8" borderId="2" xfId="14" applyNumberFormat="1" applyFont="1" applyFill="1" applyBorder="1"/>
    <xf numFmtId="5" fontId="99" fillId="8" borderId="0" xfId="14" applyNumberFormat="1" applyFont="1" applyFill="1"/>
    <xf numFmtId="188" fontId="94" fillId="8" borderId="0" xfId="14" applyNumberFormat="1" applyFont="1" applyFill="1"/>
    <xf numFmtId="37" fontId="99" fillId="8" borderId="0" xfId="14" applyNumberFormat="1" applyFont="1" applyFill="1" applyBorder="1"/>
    <xf numFmtId="188" fontId="97" fillId="8" borderId="0" xfId="14" applyNumberFormat="1" applyFont="1" applyFill="1"/>
    <xf numFmtId="37" fontId="97" fillId="8" borderId="0" xfId="14" applyNumberFormat="1" applyFont="1" applyFill="1"/>
    <xf numFmtId="188" fontId="97" fillId="8" borderId="0" xfId="14" applyNumberFormat="1" applyFont="1" applyFill="1" applyBorder="1"/>
    <xf numFmtId="188" fontId="97" fillId="8" borderId="2" xfId="14" applyNumberFormat="1" applyFont="1" applyFill="1" applyBorder="1"/>
    <xf numFmtId="5" fontId="97" fillId="8" borderId="0" xfId="14" applyNumberFormat="1" applyFont="1" applyFill="1"/>
    <xf numFmtId="188" fontId="89" fillId="8" borderId="0" xfId="14" applyNumberFormat="1" applyFont="1" applyFill="1"/>
    <xf numFmtId="172" fontId="94" fillId="8" borderId="0" xfId="9" applyNumberFormat="1" applyFont="1" applyFill="1" applyAlignment="1">
      <alignment horizontal="right"/>
    </xf>
    <xf numFmtId="172" fontId="94" fillId="8" borderId="0" xfId="9" applyNumberFormat="1" applyFont="1" applyFill="1"/>
    <xf numFmtId="43" fontId="94" fillId="8" borderId="0" xfId="9" applyFont="1" applyFill="1"/>
    <xf numFmtId="184" fontId="94" fillId="8" borderId="0" xfId="0" applyNumberFormat="1" applyFont="1" applyFill="1"/>
    <xf numFmtId="1" fontId="7" fillId="8" borderId="0" xfId="0" applyNumberFormat="1" applyFont="1" applyFill="1" applyAlignment="1">
      <alignment horizontal="right"/>
    </xf>
    <xf numFmtId="9" fontId="99" fillId="8" borderId="0" xfId="0" applyNumberFormat="1" applyFont="1" applyFill="1" applyAlignment="1">
      <alignment horizontal="right"/>
    </xf>
    <xf numFmtId="172" fontId="97" fillId="8" borderId="0" xfId="0" applyNumberFormat="1" applyFont="1" applyFill="1"/>
    <xf numFmtId="0" fontId="97" fillId="8" borderId="0" xfId="0" applyFont="1" applyFill="1"/>
    <xf numFmtId="172" fontId="97" fillId="8" borderId="0" xfId="9" applyNumberFormat="1" applyFont="1" applyFill="1"/>
    <xf numFmtId="0" fontId="97" fillId="8" borderId="0" xfId="0" applyFont="1" applyFill="1" applyAlignment="1">
      <alignment horizontal="centerContinuous"/>
    </xf>
    <xf numFmtId="0" fontId="89" fillId="8" borderId="0" xfId="0" applyFont="1" applyFill="1" applyAlignment="1">
      <alignment horizontal="centerContinuous"/>
    </xf>
    <xf numFmtId="0" fontId="2" fillId="10" borderId="0" xfId="18" applyFont="1" applyFill="1" applyAlignment="1">
      <alignment horizontal="center"/>
    </xf>
    <xf numFmtId="0" fontId="2" fillId="12" borderId="0" xfId="18" applyFont="1" applyFill="1" applyAlignment="1">
      <alignment horizontal="center"/>
    </xf>
    <xf numFmtId="10" fontId="19" fillId="0" borderId="0" xfId="40" applyNumberFormat="1" applyFont="1"/>
    <xf numFmtId="37" fontId="2" fillId="8" borderId="0" xfId="0" applyNumberFormat="1" applyFont="1" applyFill="1" applyAlignment="1">
      <alignment horizontal="center"/>
    </xf>
    <xf numFmtId="0" fontId="7" fillId="8" borderId="0" xfId="0" applyFont="1" applyFill="1" applyAlignment="1">
      <alignment horizontal="center"/>
    </xf>
    <xf numFmtId="190" fontId="7" fillId="8" borderId="0" xfId="0" applyNumberFormat="1" applyFont="1" applyFill="1" applyBorder="1"/>
    <xf numFmtId="174" fontId="7" fillId="0" borderId="0" xfId="0" applyNumberFormat="1" applyFont="1" applyFill="1"/>
    <xf numFmtId="172" fontId="22" fillId="0" borderId="0" xfId="9" applyNumberFormat="1" applyFont="1" applyFill="1"/>
    <xf numFmtId="37" fontId="7" fillId="0" borderId="0" xfId="0" applyNumberFormat="1" applyFont="1" applyFill="1"/>
    <xf numFmtId="3" fontId="7" fillId="0" borderId="0" xfId="0" applyNumberFormat="1" applyFont="1" applyFill="1"/>
    <xf numFmtId="184" fontId="7" fillId="0" borderId="0" xfId="0" applyNumberFormat="1" applyFont="1" applyFill="1"/>
    <xf numFmtId="175" fontId="7" fillId="0" borderId="0" xfId="0" applyNumberFormat="1" applyFont="1" applyFill="1"/>
    <xf numFmtId="172" fontId="7" fillId="0" borderId="0" xfId="9" applyNumberFormat="1" applyFont="1" applyFill="1"/>
    <xf numFmtId="174" fontId="7" fillId="0" borderId="0" xfId="0" applyNumberFormat="1" applyFont="1" applyFill="1" applyBorder="1"/>
    <xf numFmtId="174" fontId="7" fillId="0" borderId="2" xfId="0" applyNumberFormat="1" applyFont="1" applyFill="1" applyBorder="1"/>
    <xf numFmtId="0" fontId="7" fillId="0" borderId="0" xfId="0" applyFont="1" applyFill="1" applyAlignment="1">
      <alignment horizontal="left" indent="1"/>
    </xf>
    <xf numFmtId="172" fontId="7" fillId="0" borderId="0" xfId="9" applyNumberFormat="1" applyFont="1" applyFill="1" applyAlignment="1">
      <alignment horizontal="right"/>
    </xf>
    <xf numFmtId="1" fontId="7" fillId="0" borderId="0" xfId="0" applyNumberFormat="1" applyFont="1" applyFill="1"/>
    <xf numFmtId="37" fontId="7" fillId="0" borderId="2" xfId="0" applyNumberFormat="1" applyFont="1" applyFill="1" applyBorder="1"/>
    <xf numFmtId="171" fontId="7" fillId="0" borderId="0" xfId="0" applyNumberFormat="1" applyFont="1" applyFill="1"/>
    <xf numFmtId="171" fontId="7" fillId="0" borderId="2" xfId="0" applyNumberFormat="1" applyFont="1" applyFill="1" applyBorder="1"/>
    <xf numFmtId="172" fontId="7" fillId="0" borderId="0" xfId="0" applyNumberFormat="1" applyFont="1" applyFill="1"/>
    <xf numFmtId="37" fontId="7" fillId="0" borderId="0" xfId="0" applyNumberFormat="1" applyFont="1" applyFill="1" applyBorder="1"/>
    <xf numFmtId="7" fontId="7" fillId="0" borderId="0" xfId="0" applyNumberFormat="1" applyFont="1" applyFill="1"/>
    <xf numFmtId="166" fontId="7" fillId="0" borderId="0" xfId="0" applyNumberFormat="1" applyFont="1" applyFill="1"/>
    <xf numFmtId="165" fontId="7" fillId="0" borderId="0" xfId="0" applyNumberFormat="1" applyFont="1" applyFill="1"/>
    <xf numFmtId="165" fontId="7" fillId="0" borderId="2" xfId="0" applyNumberFormat="1" applyFont="1" applyFill="1" applyBorder="1"/>
    <xf numFmtId="166" fontId="7" fillId="0" borderId="0" xfId="0" applyNumberFormat="1" applyFont="1" applyFill="1" applyAlignment="1">
      <alignment horizontal="right"/>
    </xf>
    <xf numFmtId="175" fontId="7" fillId="0" borderId="2" xfId="0" applyNumberFormat="1" applyFont="1" applyFill="1" applyBorder="1"/>
    <xf numFmtId="175" fontId="7" fillId="0" borderId="0" xfId="0" applyNumberFormat="1" applyFont="1" applyFill="1" applyAlignment="1">
      <alignment horizontal="right"/>
    </xf>
    <xf numFmtId="167" fontId="7" fillId="0" borderId="0" xfId="0" applyNumberFormat="1" applyFont="1" applyFill="1"/>
    <xf numFmtId="167" fontId="7" fillId="0" borderId="2" xfId="0" applyNumberFormat="1" applyFont="1" applyFill="1" applyBorder="1"/>
    <xf numFmtId="3" fontId="7" fillId="0" borderId="2" xfId="0" applyNumberFormat="1" applyFont="1" applyFill="1" applyBorder="1"/>
    <xf numFmtId="5" fontId="7" fillId="0" borderId="0" xfId="0" applyNumberFormat="1" applyFont="1" applyFill="1"/>
    <xf numFmtId="170" fontId="7" fillId="0" borderId="0" xfId="0" applyNumberFormat="1" applyFont="1" applyFill="1" applyAlignment="1">
      <alignment horizontal="right"/>
    </xf>
    <xf numFmtId="164" fontId="7" fillId="0" borderId="0" xfId="0" applyNumberFormat="1" applyFont="1" applyFill="1" applyAlignment="1">
      <alignment horizontal="right"/>
    </xf>
    <xf numFmtId="164" fontId="7" fillId="0" borderId="2" xfId="0" applyNumberFormat="1" applyFont="1" applyFill="1" applyBorder="1" applyAlignment="1">
      <alignment horizontal="right"/>
    </xf>
    <xf numFmtId="184" fontId="51" fillId="0" borderId="0" xfId="0" applyNumberFormat="1" applyFont="1" applyFill="1"/>
    <xf numFmtId="0" fontId="7" fillId="0" borderId="2" xfId="0" applyFont="1" applyFill="1" applyBorder="1"/>
    <xf numFmtId="7" fontId="2" fillId="0" borderId="0" xfId="0" applyNumberFormat="1" applyFont="1" applyFill="1"/>
    <xf numFmtId="229" fontId="7" fillId="0" borderId="0" xfId="0" applyNumberFormat="1" applyFont="1" applyFill="1"/>
    <xf numFmtId="39" fontId="2" fillId="0" borderId="0" xfId="0" applyNumberFormat="1" applyFont="1" applyFill="1"/>
    <xf numFmtId="203" fontId="2" fillId="0" borderId="0" xfId="0" applyNumberFormat="1" applyFont="1" applyFill="1"/>
    <xf numFmtId="203" fontId="7" fillId="0" borderId="0" xfId="0" applyNumberFormat="1" applyFont="1" applyFill="1"/>
    <xf numFmtId="39" fontId="7" fillId="0" borderId="0" xfId="0" applyNumberFormat="1" applyFont="1" applyFill="1"/>
    <xf numFmtId="37" fontId="2" fillId="0" borderId="0" xfId="0" applyNumberFormat="1" applyFont="1" applyFill="1" applyAlignment="1"/>
    <xf numFmtId="5" fontId="7" fillId="0" borderId="0" xfId="0" applyNumberFormat="1" applyFont="1" applyFill="1" applyAlignment="1">
      <alignment horizontal="right"/>
    </xf>
    <xf numFmtId="174" fontId="62" fillId="0" borderId="0" xfId="0" applyNumberFormat="1" applyFont="1" applyFill="1" applyAlignment="1">
      <alignment horizontal="right"/>
    </xf>
    <xf numFmtId="195" fontId="62" fillId="0" borderId="0" xfId="0" applyNumberFormat="1" applyFont="1" applyFill="1" applyAlignment="1">
      <alignment horizontal="left"/>
    </xf>
    <xf numFmtId="37" fontId="7" fillId="0" borderId="0" xfId="0" applyNumberFormat="1" applyFont="1" applyFill="1" applyAlignment="1">
      <alignment horizontal="right"/>
    </xf>
    <xf numFmtId="37" fontId="7" fillId="0" borderId="2" xfId="0" applyNumberFormat="1" applyFont="1" applyFill="1" applyBorder="1" applyAlignment="1">
      <alignment horizontal="right"/>
    </xf>
    <xf numFmtId="176" fontId="64" fillId="0" borderId="0" xfId="40" applyNumberFormat="1" applyFont="1" applyFill="1" applyAlignment="1">
      <alignment horizontal="right"/>
    </xf>
    <xf numFmtId="239" fontId="62" fillId="0" borderId="0" xfId="0" applyNumberFormat="1" applyFont="1" applyFill="1" applyAlignment="1">
      <alignment horizontal="right"/>
    </xf>
    <xf numFmtId="0" fontId="7" fillId="0" borderId="0" xfId="0" applyFont="1" applyFill="1" applyAlignment="1"/>
    <xf numFmtId="5" fontId="99" fillId="0" borderId="0" xfId="0" applyNumberFormat="1" applyFont="1" applyFill="1"/>
    <xf numFmtId="165" fontId="98" fillId="0" borderId="0" xfId="0" applyNumberFormat="1" applyFont="1" applyFill="1"/>
    <xf numFmtId="196" fontId="62" fillId="0" borderId="0" xfId="0" applyNumberFormat="1" applyFont="1" applyFill="1" applyAlignment="1">
      <alignment horizontal="left"/>
    </xf>
    <xf numFmtId="37" fontId="99" fillId="0" borderId="0" xfId="0" applyNumberFormat="1" applyFont="1" applyFill="1"/>
    <xf numFmtId="165" fontId="62" fillId="0" borderId="0" xfId="0" applyNumberFormat="1" applyFont="1" applyFill="1"/>
    <xf numFmtId="0" fontId="7" fillId="0" borderId="33" xfId="0" applyFont="1" applyFill="1" applyBorder="1" applyAlignment="1">
      <alignment horizontal="right"/>
    </xf>
    <xf numFmtId="0" fontId="7" fillId="0" borderId="34" xfId="0" applyFont="1" applyFill="1" applyBorder="1" applyAlignment="1">
      <alignment horizontal="right"/>
    </xf>
    <xf numFmtId="195" fontId="90" fillId="0" borderId="14" xfId="0" applyNumberFormat="1" applyFont="1" applyFill="1" applyBorder="1"/>
    <xf numFmtId="0" fontId="76" fillId="0" borderId="4" xfId="0" applyFont="1" applyFill="1" applyBorder="1" applyAlignment="1">
      <alignment horizontal="center"/>
    </xf>
    <xf numFmtId="6" fontId="76" fillId="0" borderId="4" xfId="0" applyNumberFormat="1" applyFont="1" applyFill="1" applyBorder="1" applyAlignment="1">
      <alignment horizontal="center" wrapText="1"/>
    </xf>
    <xf numFmtId="0" fontId="76" fillId="0" borderId="4" xfId="0" applyFont="1" applyFill="1" applyBorder="1" applyAlignment="1">
      <alignment horizontal="center" wrapText="1"/>
    </xf>
    <xf numFmtId="0" fontId="76" fillId="0" borderId="4" xfId="0" applyFont="1" applyFill="1" applyBorder="1"/>
    <xf numFmtId="0" fontId="76" fillId="0" borderId="5" xfId="0" applyFont="1" applyFill="1" applyBorder="1"/>
    <xf numFmtId="0" fontId="7" fillId="0" borderId="0" xfId="0" applyFont="1" applyFill="1" applyAlignment="1">
      <alignment horizontal="centerContinuous"/>
    </xf>
    <xf numFmtId="5" fontId="7" fillId="0" borderId="0" xfId="0" applyNumberFormat="1" applyFont="1" applyFill="1" applyAlignment="1"/>
    <xf numFmtId="0" fontId="7" fillId="0" borderId="0" xfId="0" applyFont="1" applyFill="1" applyAlignment="1">
      <alignment horizontal="center"/>
    </xf>
    <xf numFmtId="37" fontId="2" fillId="0" borderId="33" xfId="0" applyNumberFormat="1" applyFont="1" applyFill="1" applyBorder="1" applyAlignment="1">
      <alignment horizontal="right"/>
    </xf>
    <xf numFmtId="0" fontId="7" fillId="0" borderId="0" xfId="0" applyFont="1" applyFill="1" applyAlignment="1">
      <alignment horizontal="left"/>
    </xf>
    <xf numFmtId="5" fontId="7" fillId="0" borderId="0" xfId="0" applyNumberFormat="1" applyFont="1" applyFill="1" applyAlignment="1">
      <alignment horizontal="center"/>
    </xf>
    <xf numFmtId="0" fontId="91" fillId="0" borderId="0" xfId="0" applyFont="1" applyFill="1" applyAlignment="1">
      <alignment horizontal="center"/>
    </xf>
    <xf numFmtId="165" fontId="7" fillId="0" borderId="0" xfId="0" applyNumberFormat="1" applyFont="1" applyFill="1" applyAlignment="1">
      <alignment horizontal="center"/>
    </xf>
    <xf numFmtId="7" fontId="7" fillId="0" borderId="0" xfId="0" applyNumberFormat="1" applyFont="1" applyFill="1" applyAlignment="1">
      <alignment horizontal="center"/>
    </xf>
    <xf numFmtId="176" fontId="7" fillId="0" borderId="0" xfId="40" applyNumberFormat="1" applyFont="1" applyFill="1"/>
    <xf numFmtId="7" fontId="7" fillId="0" borderId="0" xfId="0" applyNumberFormat="1" applyFont="1" applyFill="1" applyAlignment="1"/>
    <xf numFmtId="5" fontId="38" fillId="0" borderId="0" xfId="0" applyNumberFormat="1" applyFont="1" applyFill="1"/>
    <xf numFmtId="7" fontId="38" fillId="0" borderId="0" xfId="0" applyNumberFormat="1" applyFont="1" applyFill="1"/>
    <xf numFmtId="176" fontId="38" fillId="0" borderId="0" xfId="40" applyNumberFormat="1" applyFont="1" applyFill="1"/>
    <xf numFmtId="0" fontId="2" fillId="0" borderId="33" xfId="0" applyFont="1" applyFill="1" applyBorder="1" applyAlignment="1">
      <alignment horizontal="right"/>
    </xf>
    <xf numFmtId="0" fontId="2" fillId="0" borderId="18" xfId="0" applyFont="1" applyFill="1" applyBorder="1" applyAlignment="1">
      <alignment horizontal="center"/>
    </xf>
    <xf numFmtId="0" fontId="2" fillId="0" borderId="19" xfId="0" applyFont="1" applyFill="1" applyBorder="1" applyAlignment="1">
      <alignment horizontal="center"/>
    </xf>
    <xf numFmtId="170" fontId="7" fillId="0" borderId="0" xfId="0" applyNumberFormat="1" applyFont="1" applyFill="1" applyAlignment="1">
      <alignment horizontal="center"/>
    </xf>
    <xf numFmtId="0" fontId="2" fillId="0" borderId="0" xfId="0" applyFont="1" applyFill="1" applyAlignment="1"/>
    <xf numFmtId="0" fontId="38" fillId="0" borderId="0" xfId="0" applyFont="1" applyFill="1"/>
    <xf numFmtId="168" fontId="62" fillId="0" borderId="0" xfId="0" applyNumberFormat="1" applyFont="1" applyFill="1" applyBorder="1" applyAlignment="1">
      <alignment horizontal="right"/>
    </xf>
    <xf numFmtId="168" fontId="62" fillId="0" borderId="0" xfId="0" applyNumberFormat="1" applyFont="1" applyFill="1" applyBorder="1" applyAlignment="1">
      <alignment horizontal="left"/>
    </xf>
    <xf numFmtId="37" fontId="38" fillId="0" borderId="0" xfId="0" applyNumberFormat="1" applyFont="1" applyFill="1"/>
    <xf numFmtId="37" fontId="38" fillId="0" borderId="2" xfId="0" applyNumberFormat="1" applyFont="1" applyFill="1" applyBorder="1"/>
    <xf numFmtId="164" fontId="62" fillId="0" borderId="0" xfId="0" applyNumberFormat="1" applyFont="1" applyFill="1"/>
    <xf numFmtId="0" fontId="62" fillId="0" borderId="0" xfId="0" applyFont="1" applyFill="1"/>
    <xf numFmtId="195" fontId="62" fillId="0" borderId="0" xfId="0" applyNumberFormat="1" applyFont="1" applyFill="1" applyAlignment="1">
      <alignment horizontal="centerContinuous"/>
    </xf>
    <xf numFmtId="196" fontId="62" fillId="0" borderId="0" xfId="0" applyNumberFormat="1" applyFont="1" applyFill="1" applyBorder="1" applyAlignment="1">
      <alignment horizontal="left"/>
    </xf>
    <xf numFmtId="165" fontId="68" fillId="0" borderId="0" xfId="0" applyNumberFormat="1" applyFont="1" applyFill="1"/>
    <xf numFmtId="196" fontId="68" fillId="0" borderId="0" xfId="0" applyNumberFormat="1" applyFont="1" applyFill="1" applyAlignment="1">
      <alignment horizontal="left"/>
    </xf>
    <xf numFmtId="37" fontId="99" fillId="0" borderId="2" xfId="0" applyNumberFormat="1" applyFont="1" applyFill="1" applyBorder="1"/>
    <xf numFmtId="7" fontId="7" fillId="0" borderId="0" xfId="0" applyNumberFormat="1" applyFont="1" applyFill="1" applyBorder="1"/>
    <xf numFmtId="164" fontId="62" fillId="0" borderId="0" xfId="0" applyNumberFormat="1" applyFont="1" applyFill="1" applyAlignment="1">
      <alignment horizontal="right"/>
    </xf>
    <xf numFmtId="39" fontId="7" fillId="0" borderId="0" xfId="0" applyNumberFormat="1" applyFont="1" applyFill="1" applyBorder="1"/>
    <xf numFmtId="39" fontId="51" fillId="0" borderId="0" xfId="0" applyNumberFormat="1" applyFont="1" applyFill="1" applyBorder="1"/>
    <xf numFmtId="168" fontId="62" fillId="0" borderId="0" xfId="0" applyNumberFormat="1" applyFont="1" applyFill="1" applyAlignment="1">
      <alignment horizontal="right"/>
    </xf>
    <xf numFmtId="0" fontId="2" fillId="0" borderId="0" xfId="0" applyFont="1" applyFill="1" applyBorder="1" applyAlignment="1"/>
    <xf numFmtId="0" fontId="7" fillId="0" borderId="0" xfId="0" applyFont="1" applyFill="1" applyBorder="1" applyAlignment="1">
      <alignment horizontal="centerContinuous"/>
    </xf>
    <xf numFmtId="39" fontId="7" fillId="0" borderId="2" xfId="0" applyNumberFormat="1" applyFont="1" applyFill="1" applyBorder="1"/>
    <xf numFmtId="164" fontId="64" fillId="0" borderId="0" xfId="0" applyNumberFormat="1" applyFont="1" applyFill="1" applyBorder="1" applyAlignment="1">
      <alignment horizontal="center"/>
    </xf>
    <xf numFmtId="37" fontId="94" fillId="0" borderId="0" xfId="9" applyNumberFormat="1" applyFont="1" applyFill="1"/>
    <xf numFmtId="168" fontId="7" fillId="0" borderId="0" xfId="0" applyNumberFormat="1" applyFont="1" applyFill="1"/>
    <xf numFmtId="168" fontId="7" fillId="0" borderId="0" xfId="0" applyNumberFormat="1" applyFont="1" applyFill="1" applyAlignment="1">
      <alignment horizontal="right"/>
    </xf>
    <xf numFmtId="168" fontId="72" fillId="0" borderId="0" xfId="0" applyNumberFormat="1" applyFont="1" applyFill="1" applyBorder="1" applyAlignment="1">
      <alignment horizontal="center"/>
    </xf>
    <xf numFmtId="37" fontId="22" fillId="0" borderId="0" xfId="0" applyNumberFormat="1" applyFont="1" applyFill="1" applyBorder="1" applyAlignment="1">
      <alignment horizontal="center"/>
    </xf>
    <xf numFmtId="234" fontId="7" fillId="0" borderId="0" xfId="0" applyNumberFormat="1" applyFont="1" applyFill="1" applyBorder="1" applyAlignment="1">
      <alignment horizontal="center"/>
    </xf>
    <xf numFmtId="181" fontId="64" fillId="0" borderId="0" xfId="0" applyNumberFormat="1" applyFont="1" applyFill="1" applyBorder="1" applyAlignment="1">
      <alignment horizontal="center"/>
    </xf>
    <xf numFmtId="37" fontId="64" fillId="0" borderId="0" xfId="0" applyNumberFormat="1" applyFont="1" applyFill="1" applyBorder="1" applyAlignment="1">
      <alignment horizontal="center"/>
    </xf>
    <xf numFmtId="37" fontId="2" fillId="0" borderId="0" xfId="0" applyNumberFormat="1" applyFont="1" applyFill="1" applyBorder="1" applyAlignment="1">
      <alignment horizontal="right"/>
    </xf>
    <xf numFmtId="37" fontId="2" fillId="0" borderId="2" xfId="0" applyNumberFormat="1" applyFont="1" applyFill="1" applyBorder="1" applyAlignment="1">
      <alignment horizontal="right"/>
    </xf>
    <xf numFmtId="37" fontId="2" fillId="0" borderId="0" xfId="9" applyNumberFormat="1" applyFont="1" applyFill="1"/>
    <xf numFmtId="39" fontId="1" fillId="0" borderId="0" xfId="0" applyNumberFormat="1" applyFont="1" applyFill="1" applyBorder="1"/>
    <xf numFmtId="0" fontId="2" fillId="0" borderId="21" xfId="0" applyFont="1" applyFill="1" applyBorder="1" applyAlignment="1">
      <alignment horizontal="center"/>
    </xf>
    <xf numFmtId="0" fontId="2" fillId="0" borderId="22" xfId="0" applyFont="1" applyFill="1" applyBorder="1" applyAlignment="1">
      <alignment horizontal="center"/>
    </xf>
    <xf numFmtId="164" fontId="2" fillId="0" borderId="0" xfId="0" applyNumberFormat="1" applyFont="1" applyFill="1" applyBorder="1" applyAlignment="1">
      <alignment horizontal="right"/>
    </xf>
    <xf numFmtId="37" fontId="94" fillId="0" borderId="21" xfId="0" applyNumberFormat="1" applyFont="1" applyFill="1" applyBorder="1" applyAlignment="1">
      <alignment horizontal="right"/>
    </xf>
    <xf numFmtId="37" fontId="94" fillId="0" borderId="22" xfId="0" applyNumberFormat="1" applyFont="1" applyFill="1" applyBorder="1" applyAlignment="1">
      <alignment horizontal="right"/>
    </xf>
    <xf numFmtId="164" fontId="2" fillId="0" borderId="2" xfId="0" applyNumberFormat="1" applyFont="1" applyFill="1" applyBorder="1" applyAlignment="1">
      <alignment horizontal="right"/>
    </xf>
    <xf numFmtId="37" fontId="2" fillId="0" borderId="0" xfId="0" applyNumberFormat="1" applyFont="1" applyFill="1" applyAlignment="1">
      <alignment horizontal="right"/>
    </xf>
    <xf numFmtId="37" fontId="7" fillId="0" borderId="29" xfId="9" applyNumberFormat="1" applyFont="1" applyFill="1" applyBorder="1"/>
    <xf numFmtId="39" fontId="94" fillId="0" borderId="30" xfId="0" applyNumberFormat="1" applyFont="1" applyFill="1" applyBorder="1" applyAlignment="1">
      <alignment horizontal="right"/>
    </xf>
    <xf numFmtId="2" fontId="7" fillId="0" borderId="0" xfId="0" applyNumberFormat="1" applyFont="1" applyFill="1"/>
    <xf numFmtId="185" fontId="51" fillId="0" borderId="2" xfId="0" applyNumberFormat="1" applyFont="1" applyFill="1" applyBorder="1" applyAlignment="1">
      <alignment horizontal="right"/>
    </xf>
    <xf numFmtId="5" fontId="7" fillId="0" borderId="0" xfId="34" applyNumberFormat="1" applyFont="1" applyFill="1" applyAlignment="1" applyProtection="1">
      <alignment horizontal="right"/>
    </xf>
    <xf numFmtId="191" fontId="7" fillId="0" borderId="0" xfId="40" applyNumberFormat="1" applyFont="1" applyFill="1"/>
    <xf numFmtId="43" fontId="7" fillId="0" borderId="0" xfId="9" applyFont="1" applyFill="1"/>
    <xf numFmtId="43" fontId="7" fillId="0" borderId="0" xfId="0" applyNumberFormat="1" applyFont="1" applyFill="1" applyAlignment="1">
      <alignment horizontal="right"/>
    </xf>
    <xf numFmtId="43" fontId="7" fillId="0" borderId="0" xfId="0" applyNumberFormat="1" applyFont="1" applyFill="1"/>
    <xf numFmtId="166" fontId="7" fillId="0" borderId="0" xfId="14" applyNumberFormat="1" applyFont="1" applyFill="1"/>
    <xf numFmtId="191" fontId="7" fillId="0" borderId="0" xfId="0" applyNumberFormat="1" applyFont="1" applyFill="1"/>
    <xf numFmtId="241" fontId="94" fillId="0" borderId="0" xfId="0" applyNumberFormat="1" applyFont="1" applyFill="1"/>
    <xf numFmtId="9" fontId="7" fillId="0" borderId="0" xfId="40" applyNumberFormat="1" applyFont="1" applyFill="1"/>
    <xf numFmtId="9" fontId="22" fillId="0" borderId="0" xfId="40" applyNumberFormat="1" applyFont="1" applyFill="1"/>
    <xf numFmtId="181" fontId="7" fillId="0" borderId="0" xfId="14" applyNumberFormat="1" applyFont="1" applyFill="1"/>
    <xf numFmtId="9" fontId="7" fillId="0" borderId="0" xfId="40" applyFont="1" applyFill="1"/>
    <xf numFmtId="0" fontId="2" fillId="0" borderId="2" xfId="0" applyFont="1" applyFill="1" applyBorder="1"/>
    <xf numFmtId="37" fontId="2" fillId="0" borderId="0" xfId="0" applyNumberFormat="1" applyFont="1" applyFill="1"/>
    <xf numFmtId="193" fontId="2" fillId="0" borderId="0" xfId="0" applyNumberFormat="1" applyFont="1" applyFill="1" applyAlignment="1">
      <alignment vertical="center"/>
    </xf>
    <xf numFmtId="37" fontId="64" fillId="0" borderId="0" xfId="0" applyNumberFormat="1" applyFont="1" applyFill="1"/>
    <xf numFmtId="7" fontId="7" fillId="0" borderId="2" xfId="0" applyNumberFormat="1" applyFont="1" applyFill="1" applyBorder="1"/>
    <xf numFmtId="7" fontId="7" fillId="0" borderId="0" xfId="9" applyNumberFormat="1" applyFont="1" applyFill="1"/>
    <xf numFmtId="190" fontId="2" fillId="0" borderId="2" xfId="0" applyNumberFormat="1" applyFont="1" applyFill="1" applyBorder="1" applyAlignment="1">
      <alignment horizontal="center"/>
    </xf>
    <xf numFmtId="5" fontId="7" fillId="0" borderId="0" xfId="14" applyNumberFormat="1" applyFont="1" applyFill="1"/>
    <xf numFmtId="191" fontId="7" fillId="0" borderId="0" xfId="0" applyNumberFormat="1" applyFont="1" applyFill="1" applyAlignment="1">
      <alignment horizontal="right"/>
    </xf>
    <xf numFmtId="37" fontId="7" fillId="0" borderId="0" xfId="14" applyNumberFormat="1" applyFont="1" applyFill="1"/>
    <xf numFmtId="37" fontId="62" fillId="0" borderId="0" xfId="0" applyNumberFormat="1" applyFont="1" applyFill="1" applyAlignment="1" applyProtection="1">
      <alignment horizontal="right"/>
    </xf>
    <xf numFmtId="176" fontId="7" fillId="0" borderId="0" xfId="0" applyNumberFormat="1" applyFont="1" applyFill="1"/>
    <xf numFmtId="176" fontId="2" fillId="0" borderId="0" xfId="40" applyNumberFormat="1" applyFont="1" applyFill="1"/>
    <xf numFmtId="0" fontId="7" fillId="0" borderId="0" xfId="9" applyNumberFormat="1" applyFont="1" applyFill="1"/>
    <xf numFmtId="37" fontId="51" fillId="0" borderId="0" xfId="14" applyNumberFormat="1" applyFont="1" applyFill="1"/>
    <xf numFmtId="0" fontId="2" fillId="0" borderId="0" xfId="0" applyFont="1" applyFill="1"/>
    <xf numFmtId="7" fontId="7" fillId="0" borderId="0" xfId="14" applyNumberFormat="1" applyFont="1" applyFill="1"/>
    <xf numFmtId="7" fontId="7" fillId="0" borderId="0" xfId="15" applyNumberFormat="1" applyFont="1" applyFill="1"/>
    <xf numFmtId="0" fontId="10" fillId="0" borderId="0" xfId="0" applyFont="1" applyFill="1" applyBorder="1"/>
    <xf numFmtId="173" fontId="10" fillId="0" borderId="0" xfId="34" applyFont="1" applyFill="1" applyAlignment="1" applyProtection="1">
      <alignment horizontal="left"/>
    </xf>
    <xf numFmtId="37" fontId="100" fillId="0" borderId="0" xfId="0" applyNumberFormat="1" applyFont="1" applyFill="1"/>
    <xf numFmtId="169" fontId="35" fillId="0" borderId="0" xfId="9" applyNumberFormat="1" applyFont="1" applyFill="1" applyBorder="1" applyAlignment="1" applyProtection="1">
      <alignment horizontal="left"/>
    </xf>
    <xf numFmtId="173" fontId="10" fillId="0" borderId="0" xfId="34" applyFont="1" applyFill="1" applyBorder="1" applyAlignment="1" applyProtection="1">
      <alignment horizontal="left"/>
    </xf>
    <xf numFmtId="5" fontId="0" fillId="0" borderId="0" xfId="0" applyNumberFormat="1" applyFill="1"/>
    <xf numFmtId="185" fontId="33" fillId="0" borderId="0" xfId="34" applyNumberFormat="1" applyFont="1" applyFill="1" applyBorder="1" applyAlignment="1">
      <alignment horizontal="left"/>
    </xf>
    <xf numFmtId="164" fontId="96" fillId="0" borderId="0" xfId="0" applyNumberFormat="1" applyFont="1" applyFill="1" applyBorder="1"/>
    <xf numFmtId="0" fontId="10" fillId="0" borderId="0" xfId="0" applyFont="1" applyFill="1" applyBorder="1" applyAlignment="1">
      <alignment horizontal="left"/>
    </xf>
    <xf numFmtId="164" fontId="100" fillId="0" borderId="0" xfId="9" applyNumberFormat="1" applyFont="1" applyFill="1" applyProtection="1"/>
    <xf numFmtId="204" fontId="0" fillId="0" borderId="0" xfId="0" applyNumberFormat="1" applyFill="1"/>
    <xf numFmtId="185" fontId="63" fillId="0" borderId="0" xfId="0" applyNumberFormat="1" applyFont="1" applyFill="1" applyBorder="1" applyAlignment="1">
      <alignment horizontal="center"/>
    </xf>
    <xf numFmtId="189" fontId="61" fillId="0" borderId="0" xfId="14" applyNumberFormat="1" applyFont="1" applyFill="1" applyBorder="1" applyAlignment="1">
      <alignment horizontal="right"/>
    </xf>
    <xf numFmtId="188" fontId="22" fillId="0" borderId="0" xfId="14" applyNumberFormat="1" applyFont="1" applyFill="1"/>
    <xf numFmtId="188" fontId="2" fillId="0" borderId="0" xfId="9" applyNumberFormat="1" applyFont="1" applyFill="1" applyBorder="1" applyAlignment="1">
      <alignment horizontal="right"/>
    </xf>
    <xf numFmtId="188" fontId="99" fillId="0" borderId="0" xfId="9" applyNumberFormat="1" applyFont="1" applyFill="1" applyBorder="1" applyAlignment="1">
      <alignment horizontal="right"/>
    </xf>
    <xf numFmtId="188" fontId="7" fillId="0" borderId="0" xfId="9" applyNumberFormat="1" applyFont="1" applyFill="1" applyBorder="1" applyAlignment="1">
      <alignment horizontal="right"/>
    </xf>
    <xf numFmtId="188" fontId="99" fillId="0" borderId="2" xfId="9" applyNumberFormat="1" applyFont="1" applyFill="1" applyBorder="1" applyAlignment="1">
      <alignment horizontal="right"/>
    </xf>
    <xf numFmtId="189" fontId="7" fillId="0" borderId="0" xfId="0" applyNumberFormat="1" applyFont="1" applyFill="1" applyBorder="1" applyAlignment="1">
      <alignment horizontal="right"/>
    </xf>
    <xf numFmtId="188" fontId="7" fillId="0" borderId="0" xfId="0" applyNumberFormat="1" applyFont="1" applyFill="1" applyAlignment="1">
      <alignment horizontal="right"/>
    </xf>
    <xf numFmtId="188" fontId="38" fillId="0" borderId="0" xfId="0" applyNumberFormat="1" applyFont="1" applyFill="1" applyAlignment="1">
      <alignment horizontal="right"/>
    </xf>
    <xf numFmtId="188" fontId="22" fillId="0" borderId="0" xfId="9" applyNumberFormat="1" applyFont="1" applyFill="1" applyBorder="1" applyAlignment="1">
      <alignment horizontal="right"/>
    </xf>
    <xf numFmtId="188" fontId="78" fillId="0" borderId="0" xfId="9" applyNumberFormat="1" applyFont="1" applyFill="1" applyBorder="1" applyAlignment="1">
      <alignment horizontal="right"/>
    </xf>
    <xf numFmtId="188" fontId="7" fillId="0" borderId="0" xfId="0" applyNumberFormat="1" applyFont="1" applyFill="1" applyBorder="1" applyAlignment="1">
      <alignment horizontal="right"/>
    </xf>
    <xf numFmtId="188" fontId="78" fillId="0" borderId="0" xfId="14" applyNumberFormat="1" applyFont="1" applyFill="1" applyBorder="1" applyAlignment="1">
      <alignment horizontal="right"/>
    </xf>
    <xf numFmtId="188" fontId="99" fillId="0" borderId="0" xfId="14" applyNumberFormat="1" applyFont="1" applyFill="1" applyBorder="1" applyAlignment="1">
      <alignment horizontal="right"/>
    </xf>
    <xf numFmtId="189" fontId="7" fillId="0" borderId="0" xfId="0" applyNumberFormat="1" applyFont="1" applyFill="1" applyAlignment="1">
      <alignment horizontal="right"/>
    </xf>
    <xf numFmtId="189" fontId="7" fillId="0" borderId="4" xfId="0" applyNumberFormat="1" applyFont="1" applyFill="1" applyBorder="1" applyAlignment="1">
      <alignment horizontal="right"/>
    </xf>
    <xf numFmtId="189" fontId="102" fillId="0" borderId="0" xfId="14" applyNumberFormat="1" applyFont="1" applyFill="1" applyBorder="1" applyAlignment="1">
      <alignment horizontal="right"/>
    </xf>
    <xf numFmtId="188" fontId="22" fillId="0" borderId="0" xfId="14" applyNumberFormat="1" applyFont="1" applyFill="1" applyBorder="1" applyAlignment="1">
      <alignment horizontal="right"/>
    </xf>
    <xf numFmtId="189" fontId="7" fillId="0" borderId="0" xfId="9" applyNumberFormat="1" applyFont="1" applyFill="1" applyBorder="1" applyAlignment="1">
      <alignment horizontal="right"/>
    </xf>
    <xf numFmtId="188" fontId="22" fillId="0" borderId="0" xfId="0" applyNumberFormat="1" applyFont="1" applyFill="1" applyBorder="1" applyAlignment="1">
      <alignment horizontal="right"/>
    </xf>
    <xf numFmtId="189" fontId="39" fillId="0" borderId="0" xfId="9" applyNumberFormat="1" applyFont="1" applyFill="1"/>
    <xf numFmtId="184" fontId="7" fillId="0" borderId="0" xfId="9" applyNumberFormat="1" applyFont="1" applyFill="1" applyBorder="1" applyAlignment="1">
      <alignment horizontal="right"/>
    </xf>
    <xf numFmtId="43" fontId="7" fillId="0" borderId="2" xfId="0" applyNumberFormat="1" applyFont="1" applyFill="1" applyBorder="1"/>
    <xf numFmtId="185" fontId="54" fillId="0" borderId="0" xfId="0" applyNumberFormat="1" applyFont="1" applyFill="1" applyAlignment="1">
      <alignment horizontal="center"/>
    </xf>
    <xf numFmtId="188" fontId="99" fillId="0" borderId="0" xfId="14" applyNumberFormat="1" applyFont="1" applyFill="1" applyBorder="1"/>
    <xf numFmtId="188" fontId="99" fillId="0" borderId="2" xfId="14" applyNumberFormat="1" applyFont="1" applyFill="1" applyBorder="1"/>
    <xf numFmtId="0" fontId="22" fillId="0" borderId="0" xfId="0" applyFont="1" applyFill="1"/>
    <xf numFmtId="5" fontId="99" fillId="0" borderId="0" xfId="14" applyNumberFormat="1" applyFont="1" applyFill="1"/>
    <xf numFmtId="188" fontId="99" fillId="0" borderId="0" xfId="14" applyNumberFormat="1" applyFont="1" applyFill="1"/>
    <xf numFmtId="188" fontId="94" fillId="0" borderId="0" xfId="14" applyNumberFormat="1" applyFont="1" applyFill="1"/>
    <xf numFmtId="5" fontId="7" fillId="0" borderId="4" xfId="14" applyNumberFormat="1" applyFont="1" applyFill="1" applyBorder="1"/>
    <xf numFmtId="188" fontId="22" fillId="0" borderId="0" xfId="0" applyNumberFormat="1" applyFont="1" applyFill="1"/>
    <xf numFmtId="37" fontId="99" fillId="0" borderId="0" xfId="14" applyNumberFormat="1" applyFont="1" applyFill="1"/>
    <xf numFmtId="177" fontId="22" fillId="0" borderId="0" xfId="0" applyNumberFormat="1" applyFont="1" applyFill="1"/>
    <xf numFmtId="37" fontId="99" fillId="0" borderId="0" xfId="14" applyNumberFormat="1" applyFont="1" applyFill="1" applyBorder="1"/>
    <xf numFmtId="43" fontId="7" fillId="0" borderId="0" xfId="14" applyNumberFormat="1" applyFont="1" applyFill="1" applyBorder="1"/>
    <xf numFmtId="0" fontId="62" fillId="0" borderId="0" xfId="0" applyFont="1" applyFill="1" applyBorder="1"/>
    <xf numFmtId="9" fontId="62" fillId="0" borderId="0" xfId="40" applyFont="1" applyFill="1"/>
    <xf numFmtId="192" fontId="7" fillId="0" borderId="0" xfId="0" applyNumberFormat="1" applyFont="1" applyFill="1" applyAlignment="1">
      <alignment horizontal="right"/>
    </xf>
    <xf numFmtId="192" fontId="7" fillId="0" borderId="0" xfId="0" applyNumberFormat="1" applyFont="1" applyFill="1"/>
    <xf numFmtId="172" fontId="94" fillId="0" borderId="0" xfId="9" applyNumberFormat="1" applyFont="1" applyFill="1" applyAlignment="1">
      <alignment horizontal="right"/>
    </xf>
    <xf numFmtId="172" fontId="94" fillId="0" borderId="0" xfId="9" applyNumberFormat="1" applyFont="1" applyFill="1"/>
    <xf numFmtId="43" fontId="94" fillId="0" borderId="0" xfId="9" applyFont="1" applyFill="1"/>
    <xf numFmtId="184" fontId="94" fillId="0" borderId="0" xfId="0" applyNumberFormat="1" applyFont="1" applyFill="1"/>
    <xf numFmtId="0" fontId="22" fillId="0" borderId="0" xfId="0" applyFont="1" applyFill="1" applyAlignment="1">
      <alignment horizontal="right"/>
    </xf>
    <xf numFmtId="182" fontId="2" fillId="0" borderId="2" xfId="0" applyNumberFormat="1" applyFont="1" applyFill="1" applyBorder="1" applyAlignment="1">
      <alignment horizontal="centerContinuous"/>
    </xf>
    <xf numFmtId="172" fontId="97" fillId="0" borderId="0" xfId="9" applyNumberFormat="1" applyFont="1" applyFill="1"/>
    <xf numFmtId="0" fontId="97" fillId="0" borderId="0" xfId="0" applyFont="1" applyFill="1"/>
    <xf numFmtId="172" fontId="97" fillId="0" borderId="0" xfId="0" applyNumberFormat="1" applyFont="1" applyFill="1"/>
    <xf numFmtId="179" fontId="7" fillId="0" borderId="0" xfId="40" applyNumberFormat="1" applyFont="1" applyFill="1"/>
    <xf numFmtId="190" fontId="2" fillId="0" borderId="2" xfId="0" applyNumberFormat="1" applyFont="1" applyFill="1" applyBorder="1" applyAlignment="1">
      <alignment horizontal="centerContinuous"/>
    </xf>
    <xf numFmtId="165" fontId="2" fillId="0" borderId="2" xfId="0" applyNumberFormat="1" applyFont="1" applyFill="1" applyBorder="1" applyAlignment="1">
      <alignment horizontal="centerContinuous"/>
    </xf>
    <xf numFmtId="0" fontId="2" fillId="0" borderId="2" xfId="0" applyFont="1" applyFill="1" applyBorder="1" applyAlignment="1">
      <alignment horizontal="centerContinuous"/>
    </xf>
    <xf numFmtId="165" fontId="7" fillId="0" borderId="0" xfId="0" applyNumberFormat="1" applyFont="1" applyFill="1" applyAlignment="1">
      <alignment horizontal="centerContinuous"/>
    </xf>
    <xf numFmtId="165" fontId="62" fillId="0" borderId="0" xfId="9" applyNumberFormat="1" applyFont="1" applyFill="1" applyAlignment="1">
      <alignment horizontal="right"/>
    </xf>
    <xf numFmtId="195" fontId="7" fillId="0" borderId="0" xfId="9" applyNumberFormat="1" applyFont="1" applyFill="1" applyAlignment="1">
      <alignment horizontal="left"/>
    </xf>
    <xf numFmtId="0" fontId="99" fillId="0" borderId="0" xfId="0" applyFont="1" applyFill="1"/>
    <xf numFmtId="195" fontId="7" fillId="0" borderId="0" xfId="9" applyNumberFormat="1" applyFont="1" applyFill="1" applyAlignment="1">
      <alignment horizontal="center"/>
    </xf>
    <xf numFmtId="0" fontId="97" fillId="0" borderId="0" xfId="0" applyFont="1" applyFill="1" applyAlignment="1">
      <alignment horizontal="centerContinuous"/>
    </xf>
    <xf numFmtId="0" fontId="89" fillId="0" borderId="0" xfId="0" applyFont="1" applyFill="1" applyAlignment="1">
      <alignment horizontal="centerContinuous"/>
    </xf>
    <xf numFmtId="165" fontId="2" fillId="0" borderId="0" xfId="0" applyNumberFormat="1" applyFont="1" applyFill="1" applyAlignment="1">
      <alignment horizontal="centerContinuous"/>
    </xf>
    <xf numFmtId="0" fontId="2" fillId="0" borderId="0" xfId="0" applyFont="1" applyFill="1" applyAlignment="1">
      <alignment horizontal="centerContinuous"/>
    </xf>
    <xf numFmtId="172" fontId="38" fillId="0" borderId="0" xfId="9" applyNumberFormat="1" applyFont="1" applyFill="1"/>
    <xf numFmtId="172" fontId="2" fillId="0" borderId="0" xfId="0" applyNumberFormat="1" applyFont="1" applyFill="1"/>
    <xf numFmtId="165" fontId="2" fillId="0" borderId="0" xfId="0" applyNumberFormat="1" applyFont="1" applyFill="1"/>
    <xf numFmtId="190" fontId="63" fillId="0" borderId="0" xfId="0" applyNumberFormat="1" applyFont="1" applyFill="1" applyBorder="1" applyAlignment="1">
      <alignment horizontal="center"/>
    </xf>
    <xf numFmtId="0" fontId="63" fillId="0" borderId="0" xfId="0" applyFont="1" applyFill="1"/>
    <xf numFmtId="37" fontId="7" fillId="0" borderId="0" xfId="9" applyNumberFormat="1" applyFont="1" applyFill="1"/>
    <xf numFmtId="166" fontId="7" fillId="0" borderId="0" xfId="0" applyNumberFormat="1" applyFont="1" applyFill="1" applyBorder="1"/>
    <xf numFmtId="0" fontId="7" fillId="0" borderId="0" xfId="0" applyFont="1" applyFill="1" applyBorder="1"/>
    <xf numFmtId="43" fontId="7" fillId="0" borderId="0" xfId="9" applyFont="1" applyFill="1" applyBorder="1"/>
    <xf numFmtId="43" fontId="7" fillId="0" borderId="2" xfId="9" applyFont="1" applyFill="1" applyBorder="1"/>
    <xf numFmtId="43" fontId="7" fillId="0" borderId="14" xfId="9" applyFont="1" applyFill="1" applyBorder="1"/>
    <xf numFmtId="0" fontId="7" fillId="0" borderId="5" xfId="0" applyFont="1" applyFill="1" applyBorder="1"/>
    <xf numFmtId="37" fontId="7" fillId="0" borderId="0" xfId="0" applyNumberFormat="1" applyFont="1" applyFill="1" applyBorder="1" applyAlignment="1">
      <alignment horizontal="right"/>
    </xf>
    <xf numFmtId="3" fontId="1" fillId="0" borderId="0" xfId="0" applyNumberFormat="1" applyFont="1" applyFill="1"/>
    <xf numFmtId="3" fontId="1" fillId="0" borderId="0" xfId="0" applyNumberFormat="1" applyFont="1" applyFill="1" applyBorder="1"/>
    <xf numFmtId="3" fontId="1" fillId="0" borderId="2" xfId="0" applyNumberFormat="1" applyFont="1" applyFill="1" applyBorder="1"/>
    <xf numFmtId="172" fontId="1" fillId="0" borderId="0" xfId="9" applyNumberFormat="1" applyFont="1" applyFill="1"/>
    <xf numFmtId="0" fontId="103" fillId="8" borderId="0" xfId="0" applyFont="1" applyFill="1"/>
    <xf numFmtId="172" fontId="103" fillId="8" borderId="0" xfId="9" applyNumberFormat="1" applyFont="1" applyFill="1"/>
    <xf numFmtId="165" fontId="104" fillId="0" borderId="0" xfId="9" applyNumberFormat="1" applyFont="1" applyFill="1" applyAlignment="1">
      <alignment horizontal="right"/>
    </xf>
    <xf numFmtId="165" fontId="98" fillId="0" borderId="0" xfId="9" applyNumberFormat="1" applyFont="1" applyFill="1" applyAlignment="1">
      <alignment horizontal="right"/>
    </xf>
    <xf numFmtId="193" fontId="102" fillId="0" borderId="0" xfId="0" applyNumberFormat="1" applyFont="1" applyFill="1" applyAlignment="1">
      <alignment horizontal="right" vertical="center"/>
    </xf>
    <xf numFmtId="202" fontId="7" fillId="0" borderId="0" xfId="36" applyNumberFormat="1" applyFont="1" applyFill="1" applyBorder="1" applyAlignment="1">
      <alignment horizontal="right"/>
    </xf>
    <xf numFmtId="7" fontId="102" fillId="0" borderId="0" xfId="0" applyNumberFormat="1" applyFont="1" applyFill="1" applyBorder="1" applyAlignment="1">
      <alignment horizontal="right"/>
    </xf>
    <xf numFmtId="204" fontId="100" fillId="0" borderId="0" xfId="9" applyNumberFormat="1" applyFont="1" applyFill="1" applyBorder="1" applyAlignment="1" applyProtection="1">
      <alignment horizontal="right"/>
    </xf>
    <xf numFmtId="43" fontId="7" fillId="8" borderId="1" xfId="0" applyNumberFormat="1" applyFont="1" applyFill="1" applyBorder="1"/>
    <xf numFmtId="186" fontId="54" fillId="0" borderId="25" xfId="0" applyNumberFormat="1" applyFont="1" applyFill="1" applyBorder="1" applyAlignment="1">
      <alignment horizontal="center"/>
    </xf>
    <xf numFmtId="43" fontId="7" fillId="0" borderId="16" xfId="0" applyNumberFormat="1" applyFont="1" applyFill="1" applyBorder="1"/>
    <xf numFmtId="191" fontId="7" fillId="0" borderId="16" xfId="40" applyNumberFormat="1" applyFont="1" applyFill="1" applyBorder="1"/>
    <xf numFmtId="191" fontId="7" fillId="0" borderId="16" xfId="40" applyNumberFormat="1" applyFont="1" applyFill="1" applyBorder="1" applyAlignment="1">
      <alignment horizontal="right"/>
    </xf>
    <xf numFmtId="191" fontId="7" fillId="0" borderId="17" xfId="40" applyNumberFormat="1" applyFont="1" applyFill="1" applyBorder="1"/>
    <xf numFmtId="43" fontId="51" fillId="8" borderId="16" xfId="9" applyFont="1" applyFill="1" applyBorder="1"/>
    <xf numFmtId="43" fontId="22" fillId="8" borderId="16" xfId="9" applyFont="1" applyFill="1" applyBorder="1" applyAlignment="1">
      <alignment horizontal="right"/>
    </xf>
    <xf numFmtId="5" fontId="7" fillId="8" borderId="2" xfId="14" applyNumberFormat="1" applyFont="1" applyFill="1" applyBorder="1"/>
    <xf numFmtId="188" fontId="7" fillId="0" borderId="0" xfId="0" applyNumberFormat="1" applyFont="1" applyFill="1"/>
    <xf numFmtId="182" fontId="7" fillId="0" borderId="0" xfId="0" applyNumberFormat="1" applyFont="1" applyFill="1"/>
    <xf numFmtId="190" fontId="51" fillId="0" borderId="25" xfId="0" applyNumberFormat="1" applyFont="1" applyFill="1" applyBorder="1" applyAlignment="1">
      <alignment horizontal="center"/>
    </xf>
    <xf numFmtId="0" fontId="54" fillId="0" borderId="16" xfId="0" applyFont="1" applyFill="1" applyBorder="1" applyAlignment="1">
      <alignment horizontal="center"/>
    </xf>
    <xf numFmtId="0" fontId="7" fillId="0" borderId="16" xfId="0" applyFont="1" applyFill="1" applyBorder="1"/>
    <xf numFmtId="5" fontId="7" fillId="0" borderId="16" xfId="14" applyNumberFormat="1" applyFont="1" applyFill="1" applyBorder="1"/>
    <xf numFmtId="184" fontId="7" fillId="0" borderId="16" xfId="9" applyNumberFormat="1" applyFont="1" applyFill="1" applyBorder="1"/>
    <xf numFmtId="37" fontId="7" fillId="0" borderId="16" xfId="14" applyNumberFormat="1" applyFont="1" applyFill="1" applyBorder="1"/>
    <xf numFmtId="43" fontId="7" fillId="0" borderId="16" xfId="9" applyFont="1" applyFill="1" applyBorder="1"/>
    <xf numFmtId="188" fontId="7" fillId="0" borderId="16" xfId="9" applyNumberFormat="1" applyFont="1" applyFill="1" applyBorder="1"/>
    <xf numFmtId="188" fontId="7" fillId="0" borderId="16" xfId="9" applyNumberFormat="1" applyFont="1" applyFill="1" applyBorder="1" applyAlignment="1">
      <alignment horizontal="right"/>
    </xf>
    <xf numFmtId="5" fontId="7" fillId="0" borderId="17" xfId="14" applyNumberFormat="1" applyFont="1" applyFill="1" applyBorder="1"/>
    <xf numFmtId="7" fontId="2" fillId="0" borderId="17" xfId="9" applyNumberFormat="1" applyFont="1" applyFill="1" applyBorder="1" applyAlignment="1">
      <alignment horizontal="right"/>
    </xf>
    <xf numFmtId="164" fontId="7" fillId="0" borderId="25" xfId="9" applyNumberFormat="1" applyFont="1" applyFill="1" applyBorder="1"/>
    <xf numFmtId="43" fontId="38" fillId="0" borderId="16" xfId="9" applyFont="1" applyFill="1" applyBorder="1"/>
    <xf numFmtId="43" fontId="38" fillId="0" borderId="16" xfId="9" applyFont="1" applyFill="1" applyBorder="1" applyAlignment="1">
      <alignment horizontal="right"/>
    </xf>
    <xf numFmtId="43" fontId="22" fillId="0" borderId="0" xfId="9" applyFont="1" applyFill="1" applyBorder="1" applyAlignment="1">
      <alignment horizontal="right"/>
    </xf>
    <xf numFmtId="37" fontId="7" fillId="0" borderId="16" xfId="9" applyNumberFormat="1" applyFont="1" applyFill="1" applyBorder="1" applyAlignment="1">
      <alignment horizontal="right"/>
    </xf>
    <xf numFmtId="37" fontId="7" fillId="0" borderId="16" xfId="14" applyNumberFormat="1" applyFont="1" applyFill="1" applyBorder="1" applyAlignment="1">
      <alignment horizontal="right"/>
    </xf>
    <xf numFmtId="176" fontId="7" fillId="0" borderId="16" xfId="40" applyNumberFormat="1" applyFont="1" applyFill="1" applyBorder="1" applyAlignment="1">
      <alignment horizontal="right"/>
    </xf>
    <xf numFmtId="191" fontId="7" fillId="0" borderId="17" xfId="40" applyNumberFormat="1" applyFont="1" applyFill="1" applyBorder="1" applyAlignment="1">
      <alignment horizontal="right"/>
    </xf>
    <xf numFmtId="190" fontId="63" fillId="0" borderId="25" xfId="0" applyNumberFormat="1" applyFont="1" applyFill="1" applyBorder="1" applyAlignment="1">
      <alignment horizontal="center"/>
    </xf>
    <xf numFmtId="172" fontId="7" fillId="0" borderId="16" xfId="9" applyNumberFormat="1" applyFont="1" applyFill="1" applyBorder="1"/>
    <xf numFmtId="197" fontId="7" fillId="0" borderId="16" xfId="14" applyNumberFormat="1" applyFont="1" applyFill="1" applyBorder="1"/>
    <xf numFmtId="170" fontId="7" fillId="0" borderId="17" xfId="0" applyNumberFormat="1" applyFont="1" applyFill="1" applyBorder="1"/>
    <xf numFmtId="170" fontId="7" fillId="0" borderId="0" xfId="0" applyNumberFormat="1" applyFont="1" applyFill="1" applyBorder="1"/>
    <xf numFmtId="184" fontId="22" fillId="0" borderId="0" xfId="0" applyNumberFormat="1" applyFont="1" applyFill="1"/>
    <xf numFmtId="37" fontId="99" fillId="8" borderId="0" xfId="0" applyNumberFormat="1" applyFont="1" applyFill="1" applyBorder="1"/>
    <xf numFmtId="5" fontId="1" fillId="0" borderId="0" xfId="0" applyNumberFormat="1" applyFont="1" applyFill="1"/>
    <xf numFmtId="37" fontId="1" fillId="0" borderId="0" xfId="0" applyNumberFormat="1" applyFont="1" applyFill="1"/>
    <xf numFmtId="37" fontId="1" fillId="0" borderId="0" xfId="0" applyNumberFormat="1" applyFont="1" applyFill="1" applyBorder="1"/>
    <xf numFmtId="37" fontId="1" fillId="0" borderId="2" xfId="0" applyNumberFormat="1" applyFont="1" applyFill="1" applyBorder="1"/>
    <xf numFmtId="5" fontId="99" fillId="8" borderId="0" xfId="0" applyNumberFormat="1" applyFont="1" applyFill="1"/>
    <xf numFmtId="174" fontId="7" fillId="0" borderId="10" xfId="0" applyNumberFormat="1" applyFont="1" applyFill="1" applyBorder="1"/>
    <xf numFmtId="164" fontId="104" fillId="0" borderId="0" xfId="0" applyNumberFormat="1" applyFont="1" applyFill="1"/>
    <xf numFmtId="39" fontId="1" fillId="0" borderId="2" xfId="0" applyNumberFormat="1" applyFont="1" applyFill="1" applyBorder="1"/>
    <xf numFmtId="39" fontId="1" fillId="8" borderId="0" xfId="0" applyNumberFormat="1" applyFont="1" applyFill="1" applyBorder="1"/>
    <xf numFmtId="39" fontId="1" fillId="8" borderId="2" xfId="0" applyNumberFormat="1" applyFont="1" applyFill="1" applyBorder="1"/>
    <xf numFmtId="37" fontId="99" fillId="0" borderId="0" xfId="0" applyNumberFormat="1" applyFont="1" applyFill="1" applyAlignment="1">
      <alignment horizontal="right"/>
    </xf>
    <xf numFmtId="193" fontId="94" fillId="0" borderId="0" xfId="0" applyNumberFormat="1" applyFont="1" applyFill="1" applyAlignment="1">
      <alignment vertical="center"/>
    </xf>
    <xf numFmtId="179" fontId="94" fillId="0" borderId="0" xfId="0" applyNumberFormat="1" applyFont="1" applyFill="1"/>
    <xf numFmtId="191" fontId="99" fillId="0" borderId="0" xfId="40" applyNumberFormat="1" applyFont="1" applyFill="1"/>
    <xf numFmtId="7" fontId="2" fillId="8" borderId="16" xfId="9" applyNumberFormat="1" applyFont="1" applyFill="1" applyBorder="1" applyAlignment="1">
      <alignment horizontal="right"/>
    </xf>
    <xf numFmtId="176" fontId="7" fillId="0" borderId="0" xfId="40" applyNumberFormat="1" applyFont="1" applyFill="1" applyAlignment="1">
      <alignment horizontal="centerContinuous"/>
    </xf>
    <xf numFmtId="176" fontId="7" fillId="0" borderId="0" xfId="40" applyNumberFormat="1" applyFont="1" applyFill="1" applyBorder="1"/>
    <xf numFmtId="190" fontId="89" fillId="0" borderId="4" xfId="0" applyNumberFormat="1" applyFont="1" applyFill="1" applyBorder="1" applyAlignment="1">
      <alignment horizontal="centerContinuous"/>
    </xf>
    <xf numFmtId="0" fontId="89" fillId="0" borderId="4" xfId="0" applyFont="1" applyFill="1" applyBorder="1" applyAlignment="1">
      <alignment horizontal="centerContinuous"/>
    </xf>
    <xf numFmtId="0" fontId="2" fillId="0" borderId="10" xfId="0" applyFont="1" applyFill="1" applyBorder="1" applyAlignment="1">
      <alignment horizontal="centerContinuous"/>
    </xf>
    <xf numFmtId="0" fontId="88" fillId="0" borderId="0" xfId="0" applyFont="1" applyFill="1" applyBorder="1" applyAlignment="1">
      <alignment horizontal="center"/>
    </xf>
    <xf numFmtId="0" fontId="88" fillId="0" borderId="10" xfId="0" applyFont="1" applyFill="1" applyBorder="1" applyAlignment="1">
      <alignment horizontal="center"/>
    </xf>
    <xf numFmtId="5" fontId="7" fillId="0" borderId="0" xfId="14" applyNumberFormat="1" applyFont="1" applyFill="1" applyBorder="1"/>
    <xf numFmtId="37" fontId="7" fillId="0" borderId="0" xfId="14" applyNumberFormat="1" applyFont="1" applyFill="1" applyBorder="1"/>
    <xf numFmtId="188" fontId="7" fillId="0" borderId="0" xfId="14" applyNumberFormat="1" applyFont="1" applyFill="1" applyBorder="1"/>
    <xf numFmtId="188" fontId="7" fillId="0" borderId="0" xfId="14" applyNumberFormat="1" applyFont="1" applyFill="1" applyBorder="1" applyAlignment="1">
      <alignment horizontal="right"/>
    </xf>
    <xf numFmtId="7" fontId="2" fillId="0" borderId="2" xfId="9" applyNumberFormat="1" applyFont="1" applyFill="1" applyBorder="1" applyAlignment="1">
      <alignment horizontal="right"/>
    </xf>
    <xf numFmtId="7" fontId="2" fillId="0" borderId="0" xfId="9" applyNumberFormat="1" applyFont="1" applyFill="1" applyBorder="1" applyAlignment="1">
      <alignment horizontal="right"/>
    </xf>
    <xf numFmtId="164" fontId="7" fillId="0" borderId="0" xfId="9" applyNumberFormat="1" applyFont="1" applyFill="1" applyBorder="1"/>
    <xf numFmtId="43" fontId="7" fillId="0" borderId="0" xfId="9" applyFont="1" applyFill="1" applyBorder="1" applyAlignment="1">
      <alignment horizontal="right"/>
    </xf>
    <xf numFmtId="37" fontId="38" fillId="0" borderId="0" xfId="0" applyNumberFormat="1" applyFont="1" applyFill="1" applyBorder="1"/>
    <xf numFmtId="37" fontId="7" fillId="0" borderId="0" xfId="14" applyNumberFormat="1" applyFont="1" applyFill="1" applyBorder="1" applyAlignment="1">
      <alignment horizontal="right"/>
    </xf>
    <xf numFmtId="39" fontId="7" fillId="0" borderId="0" xfId="14" applyNumberFormat="1" applyFont="1" applyFill="1" applyBorder="1" applyAlignment="1">
      <alignment horizontal="right"/>
    </xf>
    <xf numFmtId="191" fontId="7" fillId="0" borderId="0" xfId="0" applyNumberFormat="1" applyFont="1" applyFill="1" applyBorder="1"/>
    <xf numFmtId="191" fontId="7" fillId="0" borderId="0" xfId="40" applyNumberFormat="1" applyFont="1" applyFill="1" applyBorder="1" applyAlignment="1">
      <alignment horizontal="right"/>
    </xf>
    <xf numFmtId="191" fontId="7" fillId="0" borderId="2" xfId="40" applyNumberFormat="1" applyFont="1" applyFill="1" applyBorder="1" applyAlignment="1">
      <alignment horizontal="right"/>
    </xf>
    <xf numFmtId="0" fontId="54" fillId="0" borderId="10" xfId="0" applyFont="1" applyFill="1" applyBorder="1"/>
    <xf numFmtId="0" fontId="54" fillId="0" borderId="10" xfId="0" applyFont="1" applyFill="1" applyBorder="1" applyAlignment="1">
      <alignment horizontal="center"/>
    </xf>
    <xf numFmtId="172" fontId="7" fillId="0" borderId="0" xfId="9" applyNumberFormat="1" applyFont="1" applyFill="1" applyBorder="1"/>
    <xf numFmtId="191" fontId="7" fillId="0" borderId="0" xfId="40" applyNumberFormat="1" applyFont="1" applyFill="1" applyBorder="1"/>
    <xf numFmtId="197" fontId="7" fillId="0" borderId="0" xfId="14" applyNumberFormat="1" applyFont="1" applyFill="1" applyBorder="1"/>
    <xf numFmtId="182" fontId="7" fillId="0" borderId="0" xfId="0" applyNumberFormat="1" applyFont="1" applyFill="1" applyAlignment="1" applyProtection="1">
      <alignment horizontal="right"/>
    </xf>
    <xf numFmtId="176" fontId="0" fillId="0" borderId="0" xfId="40" applyNumberFormat="1" applyFont="1" applyFill="1"/>
    <xf numFmtId="0" fontId="13" fillId="0" borderId="10" xfId="0" applyFont="1" applyFill="1" applyBorder="1" applyAlignment="1">
      <alignment horizontal="center"/>
    </xf>
    <xf numFmtId="228" fontId="56" fillId="0" borderId="0" xfId="0" applyNumberFormat="1" applyFont="1" applyFill="1"/>
    <xf numFmtId="164" fontId="56" fillId="0" borderId="0" xfId="0" applyNumberFormat="1" applyFont="1" applyFill="1"/>
    <xf numFmtId="44" fontId="12" fillId="0" borderId="4" xfId="0" applyNumberFormat="1" applyFont="1" applyFill="1" applyBorder="1"/>
    <xf numFmtId="176" fontId="56" fillId="0" borderId="0" xfId="40" applyNumberFormat="1" applyFont="1" applyFill="1"/>
    <xf numFmtId="228" fontId="12" fillId="0" borderId="0" xfId="0" applyNumberFormat="1" applyFont="1" applyFill="1"/>
    <xf numFmtId="176" fontId="19" fillId="0" borderId="0" xfId="40" applyNumberFormat="1" applyFont="1" applyFill="1"/>
    <xf numFmtId="176" fontId="12" fillId="0" borderId="0" xfId="40" applyNumberFormat="1" applyFont="1" applyFill="1" applyBorder="1"/>
    <xf numFmtId="190" fontId="105" fillId="8" borderId="0" xfId="0" applyNumberFormat="1" applyFont="1" applyFill="1" applyBorder="1" applyAlignment="1">
      <alignment horizontal="left"/>
    </xf>
    <xf numFmtId="190" fontId="105" fillId="0" borderId="0" xfId="0" applyNumberFormat="1" applyFont="1" applyFill="1" applyBorder="1" applyAlignment="1">
      <alignment horizontal="left"/>
    </xf>
    <xf numFmtId="0" fontId="94" fillId="8" borderId="0" xfId="0" applyFont="1" applyFill="1" applyBorder="1" applyAlignment="1">
      <alignment horizontal="centerContinuous"/>
    </xf>
    <xf numFmtId="37" fontId="1" fillId="8" borderId="2" xfId="0" applyNumberFormat="1" applyFont="1" applyFill="1" applyBorder="1"/>
    <xf numFmtId="0" fontId="1" fillId="8" borderId="0" xfId="0" applyFont="1" applyFill="1"/>
    <xf numFmtId="37" fontId="99" fillId="0" borderId="0" xfId="0" applyNumberFormat="1" applyFont="1" applyFill="1" applyBorder="1"/>
    <xf numFmtId="164" fontId="104" fillId="8" borderId="0" xfId="0" applyNumberFormat="1" applyFont="1" applyFill="1"/>
    <xf numFmtId="37" fontId="99" fillId="0" borderId="0" xfId="0" applyNumberFormat="1" applyFont="1" applyFill="1" applyBorder="1" applyAlignment="1">
      <alignment horizontal="right"/>
    </xf>
    <xf numFmtId="37" fontId="99" fillId="0" borderId="2" xfId="0" applyNumberFormat="1" applyFont="1" applyFill="1" applyBorder="1" applyAlignment="1">
      <alignment horizontal="right"/>
    </xf>
    <xf numFmtId="176" fontId="104" fillId="8" borderId="0" xfId="40" applyNumberFormat="1" applyFont="1" applyFill="1" applyAlignment="1">
      <alignment horizontal="left"/>
    </xf>
    <xf numFmtId="174" fontId="99" fillId="0" borderId="0" xfId="0" applyNumberFormat="1" applyFont="1" applyFill="1"/>
    <xf numFmtId="0" fontId="1" fillId="0" borderId="0" xfId="0" applyFont="1" applyFill="1"/>
    <xf numFmtId="174" fontId="99" fillId="0" borderId="0" xfId="0" applyNumberFormat="1" applyFont="1" applyFill="1" applyBorder="1"/>
    <xf numFmtId="174" fontId="99" fillId="0" borderId="2" xfId="0" applyNumberFormat="1" applyFont="1" applyFill="1" applyBorder="1"/>
    <xf numFmtId="179" fontId="99" fillId="8" borderId="0" xfId="0" applyNumberFormat="1" applyFont="1" applyFill="1"/>
    <xf numFmtId="191" fontId="1" fillId="8" borderId="0" xfId="0" applyNumberFormat="1" applyFont="1" applyFill="1"/>
    <xf numFmtId="241" fontId="99" fillId="8" borderId="0" xfId="0" applyNumberFormat="1" applyFont="1" applyFill="1"/>
    <xf numFmtId="193" fontId="99" fillId="10" borderId="0" xfId="0" applyNumberFormat="1" applyFont="1" applyFill="1" applyAlignment="1">
      <alignment vertical="center"/>
    </xf>
    <xf numFmtId="176" fontId="99" fillId="0" borderId="0" xfId="0" applyNumberFormat="1" applyFont="1" applyFill="1"/>
    <xf numFmtId="176" fontId="99" fillId="8" borderId="0" xfId="0" applyNumberFormat="1" applyFont="1" applyFill="1"/>
    <xf numFmtId="176" fontId="99" fillId="8" borderId="0" xfId="40" applyNumberFormat="1" applyFont="1" applyFill="1"/>
    <xf numFmtId="0" fontId="7" fillId="0" borderId="4" xfId="0" applyFont="1" applyFill="1" applyBorder="1"/>
    <xf numFmtId="212" fontId="7" fillId="8" borderId="34" xfId="0" applyNumberFormat="1" applyFont="1" applyFill="1" applyBorder="1" applyAlignment="1">
      <alignment horizontal="right"/>
    </xf>
    <xf numFmtId="212" fontId="7" fillId="8" borderId="36" xfId="0" applyNumberFormat="1" applyFont="1" applyFill="1" applyBorder="1" applyAlignment="1">
      <alignment horizontal="right"/>
    </xf>
    <xf numFmtId="212" fontId="7" fillId="11" borderId="34" xfId="0" applyNumberFormat="1" applyFont="1" applyFill="1" applyBorder="1" applyAlignment="1">
      <alignment horizontal="right"/>
    </xf>
    <xf numFmtId="212" fontId="7" fillId="8" borderId="33" xfId="0" applyNumberFormat="1" applyFont="1" applyFill="1" applyBorder="1" applyAlignment="1">
      <alignment horizontal="right"/>
    </xf>
    <xf numFmtId="212" fontId="7" fillId="8" borderId="35" xfId="0" applyNumberFormat="1" applyFont="1" applyFill="1" applyBorder="1" applyAlignment="1">
      <alignment horizontal="right"/>
    </xf>
    <xf numFmtId="212" fontId="7" fillId="11" borderId="33" xfId="0" applyNumberFormat="1" applyFont="1" applyFill="1" applyBorder="1" applyAlignment="1">
      <alignment horizontal="right"/>
    </xf>
    <xf numFmtId="41" fontId="7" fillId="8" borderId="33" xfId="0" applyNumberFormat="1" applyFont="1" applyFill="1" applyBorder="1" applyAlignment="1">
      <alignment horizontal="right"/>
    </xf>
    <xf numFmtId="41" fontId="7" fillId="8" borderId="35" xfId="0" applyNumberFormat="1" applyFont="1" applyFill="1" applyBorder="1" applyAlignment="1">
      <alignment horizontal="right"/>
    </xf>
    <xf numFmtId="41" fontId="7" fillId="11" borderId="33" xfId="0" applyNumberFormat="1" applyFont="1" applyFill="1" applyBorder="1" applyAlignment="1">
      <alignment horizontal="right"/>
    </xf>
    <xf numFmtId="165" fontId="1" fillId="8" borderId="0" xfId="0" applyNumberFormat="1" applyFont="1" applyFill="1" applyBorder="1" applyAlignment="1">
      <alignment horizontal="center"/>
    </xf>
    <xf numFmtId="176" fontId="1" fillId="0" borderId="0" xfId="0" applyNumberFormat="1" applyFont="1" applyFill="1"/>
    <xf numFmtId="176" fontId="1" fillId="8" borderId="0" xfId="40" applyNumberFormat="1" applyFont="1" applyFill="1"/>
    <xf numFmtId="37" fontId="1" fillId="8" borderId="0" xfId="14" applyNumberFormat="1" applyFont="1" applyFill="1"/>
    <xf numFmtId="0" fontId="1" fillId="0" borderId="0" xfId="48"/>
    <xf numFmtId="0" fontId="1" fillId="0" borderId="0" xfId="48" applyFont="1"/>
    <xf numFmtId="206" fontId="98" fillId="8" borderId="0" xfId="0" applyNumberFormat="1" applyFont="1" applyFill="1" applyAlignment="1">
      <alignment horizontal="right"/>
    </xf>
    <xf numFmtId="206" fontId="98" fillId="8" borderId="0" xfId="0" applyNumberFormat="1" applyFont="1" applyFill="1" applyAlignment="1">
      <alignment horizontal="left"/>
    </xf>
    <xf numFmtId="206" fontId="98" fillId="8" borderId="0" xfId="0" applyNumberFormat="1" applyFont="1" applyFill="1"/>
    <xf numFmtId="176" fontId="98" fillId="8" borderId="0" xfId="40" applyNumberFormat="1" applyFont="1" applyFill="1" applyAlignment="1">
      <alignment horizontal="left"/>
    </xf>
    <xf numFmtId="37" fontId="97" fillId="8" borderId="0" xfId="0" applyNumberFormat="1" applyFont="1" applyFill="1" applyBorder="1"/>
    <xf numFmtId="0" fontId="7" fillId="8" borderId="0" xfId="0" applyFont="1" applyFill="1" applyAlignment="1">
      <alignment horizontal="center"/>
    </xf>
    <xf numFmtId="37" fontId="97" fillId="0" borderId="0" xfId="0" applyNumberFormat="1" applyFont="1" applyFill="1"/>
    <xf numFmtId="0" fontId="1" fillId="8" borderId="0" xfId="0" applyFont="1" applyFill="1" applyAlignment="1">
      <alignment horizontal="centerContinuous"/>
    </xf>
    <xf numFmtId="191" fontId="7" fillId="0" borderId="0" xfId="0" applyNumberFormat="1" applyFont="1" applyFill="1" applyBorder="1" applyAlignment="1">
      <alignment horizontal="right"/>
    </xf>
    <xf numFmtId="191" fontId="7" fillId="8" borderId="0" xfId="0" applyNumberFormat="1" applyFont="1" applyFill="1" applyBorder="1" applyAlignment="1">
      <alignment horizontal="right"/>
    </xf>
    <xf numFmtId="7" fontId="1" fillId="8" borderId="0" xfId="0" applyNumberFormat="1" applyFont="1" applyFill="1" applyBorder="1" applyAlignment="1">
      <alignment horizontal="right"/>
    </xf>
    <xf numFmtId="174" fontId="97" fillId="8" borderId="10" xfId="0" applyNumberFormat="1" applyFont="1" applyFill="1" applyBorder="1"/>
    <xf numFmtId="171" fontId="7" fillId="8" borderId="10" xfId="0" applyNumberFormat="1" applyFont="1" applyFill="1" applyBorder="1"/>
    <xf numFmtId="5" fontId="7" fillId="8" borderId="2" xfId="0" applyNumberFormat="1" applyFont="1" applyFill="1" applyBorder="1"/>
    <xf numFmtId="206" fontId="97" fillId="8" borderId="2" xfId="0" applyNumberFormat="1" applyFont="1" applyFill="1" applyBorder="1"/>
    <xf numFmtId="202" fontId="97" fillId="8" borderId="0" xfId="36" applyNumberFormat="1" applyFont="1" applyFill="1" applyBorder="1" applyAlignment="1">
      <alignment horizontal="right"/>
    </xf>
    <xf numFmtId="193" fontId="97" fillId="8" borderId="0" xfId="0" applyNumberFormat="1" applyFont="1" applyFill="1" applyAlignment="1">
      <alignment horizontal="right" vertical="center"/>
    </xf>
    <xf numFmtId="188" fontId="97" fillId="0" borderId="0" xfId="9" applyNumberFormat="1" applyFont="1" applyFill="1" applyBorder="1" applyAlignment="1">
      <alignment horizontal="right"/>
    </xf>
    <xf numFmtId="188" fontId="97" fillId="0" borderId="2" xfId="9" applyNumberFormat="1" applyFont="1" applyFill="1" applyBorder="1" applyAlignment="1">
      <alignment horizontal="right"/>
    </xf>
    <xf numFmtId="189" fontId="97" fillId="0" borderId="0" xfId="9" applyNumberFormat="1" applyFont="1" applyFill="1" applyBorder="1" applyAlignment="1">
      <alignment horizontal="right"/>
    </xf>
    <xf numFmtId="188" fontId="97" fillId="0" borderId="0" xfId="0" applyNumberFormat="1" applyFont="1" applyFill="1" applyAlignment="1">
      <alignment horizontal="right"/>
    </xf>
    <xf numFmtId="188" fontId="97" fillId="0" borderId="0" xfId="14" applyNumberFormat="1" applyFont="1" applyFill="1" applyBorder="1" applyAlignment="1">
      <alignment horizontal="right"/>
    </xf>
    <xf numFmtId="188" fontId="97" fillId="0" borderId="0" xfId="0" applyNumberFormat="1" applyFont="1" applyFill="1" applyBorder="1" applyAlignment="1">
      <alignment horizontal="right"/>
    </xf>
    <xf numFmtId="189" fontId="97" fillId="0" borderId="0" xfId="14" applyNumberFormat="1" applyFont="1" applyFill="1" applyBorder="1" applyAlignment="1">
      <alignment horizontal="right"/>
    </xf>
    <xf numFmtId="0" fontId="1" fillId="8" borderId="1" xfId="0" applyFont="1" applyFill="1" applyBorder="1"/>
    <xf numFmtId="206" fontId="7" fillId="8" borderId="0" xfId="9" applyNumberFormat="1" applyFont="1" applyFill="1" applyBorder="1"/>
    <xf numFmtId="206" fontId="7" fillId="8" borderId="1" xfId="9" applyNumberFormat="1" applyFont="1" applyFill="1" applyBorder="1"/>
    <xf numFmtId="188" fontId="1" fillId="8" borderId="1" xfId="0" applyNumberFormat="1" applyFont="1" applyFill="1" applyBorder="1"/>
    <xf numFmtId="0" fontId="13" fillId="2" borderId="0" xfId="33" applyFont="1" applyFill="1" applyBorder="1" applyAlignment="1">
      <alignment horizontal="centerContinuous"/>
    </xf>
    <xf numFmtId="214" fontId="10" fillId="0" borderId="0" xfId="33" applyNumberFormat="1" applyFont="1" applyFill="1" applyBorder="1" applyAlignment="1">
      <alignment horizontal="right"/>
    </xf>
    <xf numFmtId="214" fontId="12" fillId="0" borderId="0" xfId="33" applyNumberFormat="1" applyFont="1" applyFill="1" applyBorder="1" applyAlignment="1">
      <alignment horizontal="right"/>
    </xf>
    <xf numFmtId="176" fontId="37" fillId="0" borderId="0" xfId="33" applyNumberFormat="1" applyFont="1" applyFill="1" applyBorder="1" applyAlignment="1">
      <alignment horizontal="right"/>
    </xf>
    <xf numFmtId="176" fontId="27" fillId="0" borderId="0" xfId="33" applyNumberFormat="1" applyFont="1" applyFill="1" applyBorder="1" applyAlignment="1">
      <alignment horizontal="right"/>
    </xf>
    <xf numFmtId="1" fontId="7" fillId="8" borderId="0" xfId="9" applyNumberFormat="1" applyFont="1" applyFill="1" applyBorder="1"/>
    <xf numFmtId="0" fontId="106" fillId="8" borderId="0" xfId="0" applyFont="1" applyFill="1"/>
    <xf numFmtId="206" fontId="7" fillId="0" borderId="0" xfId="9" applyNumberFormat="1" applyFont="1" applyFill="1" applyBorder="1"/>
    <xf numFmtId="188" fontId="7" fillId="0" borderId="0" xfId="9" applyNumberFormat="1" applyFont="1" applyFill="1" applyBorder="1"/>
    <xf numFmtId="184" fontId="7" fillId="0" borderId="0" xfId="9" applyNumberFormat="1" applyFont="1" applyFill="1" applyBorder="1"/>
    <xf numFmtId="37" fontId="97" fillId="8" borderId="0" xfId="14" applyNumberFormat="1" applyFont="1" applyFill="1" applyBorder="1"/>
    <xf numFmtId="185" fontId="94" fillId="8" borderId="2" xfId="0" applyNumberFormat="1" applyFont="1" applyFill="1" applyBorder="1" applyAlignment="1">
      <alignment horizontal="center"/>
    </xf>
    <xf numFmtId="174" fontId="62" fillId="9" borderId="0" xfId="0" applyNumberFormat="1" applyFont="1" applyFill="1" applyAlignment="1">
      <alignment horizontal="left"/>
    </xf>
    <xf numFmtId="0" fontId="7" fillId="0" borderId="0" xfId="0" applyFont="1" applyFill="1" applyAlignment="1">
      <alignment horizontal="center"/>
    </xf>
    <xf numFmtId="37" fontId="2" fillId="8" borderId="0" xfId="0" applyNumberFormat="1" applyFont="1" applyFill="1" applyAlignment="1">
      <alignment horizontal="center"/>
    </xf>
    <xf numFmtId="182" fontId="2" fillId="8" borderId="2" xfId="0" applyNumberFormat="1" applyFont="1" applyFill="1" applyBorder="1" applyAlignment="1">
      <alignment horizontal="center"/>
    </xf>
    <xf numFmtId="37" fontId="2" fillId="8" borderId="0" xfId="0" applyNumberFormat="1" applyFont="1" applyFill="1" applyBorder="1" applyAlignment="1">
      <alignment horizontal="center"/>
    </xf>
    <xf numFmtId="37" fontId="2" fillId="0" borderId="0" xfId="0" applyNumberFormat="1" applyFont="1" applyFill="1" applyAlignment="1">
      <alignment horizontal="center"/>
    </xf>
    <xf numFmtId="185" fontId="94" fillId="0" borderId="2" xfId="0" applyNumberFormat="1" applyFont="1" applyFill="1" applyBorder="1" applyAlignment="1">
      <alignment horizontal="center"/>
    </xf>
    <xf numFmtId="0" fontId="7" fillId="8" borderId="0" xfId="0" applyFont="1" applyFill="1" applyAlignment="1">
      <alignment horizontal="center"/>
    </xf>
    <xf numFmtId="0" fontId="0" fillId="8" borderId="0" xfId="0" applyFill="1" applyAlignment="1">
      <alignment horizontal="center"/>
    </xf>
    <xf numFmtId="0" fontId="2" fillId="10" borderId="0" xfId="18" applyFont="1" applyFill="1" applyAlignment="1">
      <alignment horizontal="center"/>
    </xf>
    <xf numFmtId="240" fontId="7" fillId="8" borderId="0" xfId="9" applyNumberFormat="1" applyFont="1" applyFill="1" applyBorder="1"/>
    <xf numFmtId="240" fontId="7" fillId="0" borderId="0" xfId="9" applyNumberFormat="1" applyFont="1" applyFill="1" applyBorder="1"/>
    <xf numFmtId="0" fontId="1" fillId="6" borderId="0" xfId="49" applyFont="1" applyFill="1" applyAlignment="1">
      <alignment vertical="top"/>
    </xf>
    <xf numFmtId="0" fontId="1" fillId="6" borderId="0" xfId="48" applyFill="1" applyAlignment="1">
      <alignment vertical="top"/>
    </xf>
    <xf numFmtId="0" fontId="1" fillId="6" borderId="0" xfId="48" applyFill="1"/>
    <xf numFmtId="0" fontId="21" fillId="6" borderId="0" xfId="49" applyFont="1" applyFill="1" applyAlignment="1">
      <alignment horizontal="left" vertical="top"/>
    </xf>
    <xf numFmtId="0" fontId="1" fillId="6" borderId="0" xfId="48" applyFont="1" applyFill="1" applyAlignment="1">
      <alignment vertical="top"/>
    </xf>
    <xf numFmtId="0" fontId="62" fillId="6" borderId="0" xfId="49" applyFont="1" applyFill="1" applyAlignment="1">
      <alignment vertical="top"/>
    </xf>
    <xf numFmtId="0" fontId="0" fillId="6" borderId="0" xfId="0" applyFill="1" applyAlignment="1">
      <alignment vertical="top"/>
    </xf>
    <xf numFmtId="0" fontId="103" fillId="6" borderId="0" xfId="0" applyFont="1" applyFill="1" applyAlignment="1">
      <alignment vertical="top"/>
    </xf>
    <xf numFmtId="0" fontId="107" fillId="6" borderId="0" xfId="0" applyFont="1" applyFill="1" applyAlignment="1">
      <alignment vertical="top"/>
    </xf>
    <xf numFmtId="0" fontId="107" fillId="6" borderId="0" xfId="0" applyFont="1" applyFill="1" applyAlignment="1">
      <alignment vertical="top"/>
    </xf>
    <xf numFmtId="0" fontId="103" fillId="6" borderId="0" xfId="0" applyFont="1" applyFill="1" applyAlignment="1">
      <alignment vertical="top"/>
    </xf>
    <xf numFmtId="0" fontId="0" fillId="6" borderId="0" xfId="0" applyFill="1" applyAlignment="1">
      <alignment vertical="top"/>
    </xf>
    <xf numFmtId="0" fontId="0" fillId="6" borderId="44" xfId="0" applyFill="1" applyBorder="1" applyAlignment="1">
      <alignment vertical="top"/>
    </xf>
    <xf numFmtId="0" fontId="103" fillId="6" borderId="40" xfId="0" applyFont="1" applyFill="1" applyBorder="1" applyAlignment="1">
      <alignment vertical="top"/>
    </xf>
    <xf numFmtId="0" fontId="103" fillId="6" borderId="41" xfId="0" applyFont="1" applyFill="1" applyBorder="1" applyAlignment="1">
      <alignment vertical="top"/>
    </xf>
    <xf numFmtId="0" fontId="103" fillId="6" borderId="42" xfId="0" applyFont="1" applyFill="1" applyBorder="1" applyAlignment="1">
      <alignment vertical="top"/>
    </xf>
    <xf numFmtId="0" fontId="103" fillId="6" borderId="43" xfId="0" applyFont="1" applyFill="1" applyBorder="1" applyAlignment="1">
      <alignment vertical="top"/>
    </xf>
    <xf numFmtId="9" fontId="103" fillId="6" borderId="40" xfId="0" applyNumberFormat="1" applyFont="1" applyFill="1" applyBorder="1" applyAlignment="1">
      <alignment vertical="top"/>
    </xf>
    <xf numFmtId="3" fontId="103" fillId="6" borderId="40" xfId="0" applyNumberFormat="1" applyFont="1" applyFill="1" applyBorder="1" applyAlignment="1">
      <alignment vertical="top"/>
    </xf>
    <xf numFmtId="0" fontId="0" fillId="6" borderId="45" xfId="0" applyFill="1" applyBorder="1" applyAlignment="1">
      <alignment vertical="top"/>
    </xf>
    <xf numFmtId="2" fontId="1" fillId="0" borderId="0" xfId="48" applyNumberFormat="1" applyAlignment="1">
      <alignment horizontal="left"/>
    </xf>
    <xf numFmtId="0" fontId="1" fillId="0" borderId="0" xfId="48" applyNumberFormat="1" applyAlignment="1">
      <alignment horizontal="left"/>
    </xf>
    <xf numFmtId="1" fontId="1" fillId="0" borderId="0" xfId="48" applyNumberFormat="1" applyAlignment="1">
      <alignment horizontal="left"/>
    </xf>
    <xf numFmtId="259" fontId="1" fillId="0" borderId="0" xfId="48" applyNumberFormat="1" applyAlignment="1">
      <alignment horizontal="left"/>
    </xf>
    <xf numFmtId="49" fontId="1" fillId="0" borderId="0" xfId="48" applyNumberFormat="1"/>
  </cellXfs>
  <cellStyles count="50">
    <cellStyle name=" 1" xfId="1"/>
    <cellStyle name="******************************************" xfId="2"/>
    <cellStyle name="_FY Guidancev2 " xfId="3"/>
    <cellStyle name="_SUMMARY " xfId="5"/>
    <cellStyle name="0_Capex &amp; Depreciation " xfId="6"/>
    <cellStyle name="0_Valuing BP " xfId="7"/>
    <cellStyle name="c_HardInc " xfId="8"/>
    <cellStyle name="Comma" xfId="9" builtinId="3"/>
    <cellStyle name="Comma 2" xfId="10"/>
    <cellStyle name="Comma 3" xfId="11"/>
    <cellStyle name="Comma_Lease Module TPG example 30062004 capex" xfId="12"/>
    <cellStyle name="Comma_TPG lease ex Leon" xfId="13"/>
    <cellStyle name="Currency" xfId="14" builtinId="4"/>
    <cellStyle name="Currency 2" xfId="15"/>
    <cellStyle name="Currency 6" xfId="16"/>
    <cellStyle name="Hyperlink 2" xfId="17"/>
    <cellStyle name="Normal" xfId="0" builtinId="0"/>
    <cellStyle name="Normal 2" xfId="18"/>
    <cellStyle name="Normal 2 2" xfId="19"/>
    <cellStyle name="Normal 5" xfId="20"/>
    <cellStyle name="Normal 6" xfId="21"/>
    <cellStyle name="Normal 7" xfId="48"/>
    <cellStyle name="Normal_ABSANUAL" xfId="22"/>
    <cellStyle name="Normal_Analysis V5" xfId="23"/>
    <cellStyle name="Normal_AXP_interactive_final" xfId="24"/>
    <cellStyle name="Normal_DisclaimerSheet Samples" xfId="49"/>
    <cellStyle name="Normal_GM Demo" xfId="25"/>
    <cellStyle name="Normal_GPSDIFF" xfId="26"/>
    <cellStyle name="Normal_hd roic" xfId="27"/>
    <cellStyle name="Normal_M_working2" xfId="28"/>
    <cellStyle name="Normal_MONTHSAL" xfId="29"/>
    <cellStyle name="Normal_NEWSPACE" xfId="30"/>
    <cellStyle name="Normal_qtrP&amp;L" xfId="31"/>
    <cellStyle name="Normal_qtrSales" xfId="32"/>
    <cellStyle name="Normal_RSH" xfId="33"/>
    <cellStyle name="Normal_SALES_ROSTMONTH" xfId="34"/>
    <cellStyle name="Normal_Sheet1_1" xfId="35"/>
    <cellStyle name="Normal_SKS_working2" xfId="36"/>
    <cellStyle name="Normal_STORESUM" xfId="37"/>
    <cellStyle name="Normal_turn" xfId="38"/>
    <cellStyle name="p " xfId="39"/>
    <cellStyle name="Percent" xfId="40" builtinId="5"/>
    <cellStyle name="Percent 2" xfId="41"/>
    <cellStyle name="Percent 3" xfId="42"/>
    <cellStyle name="Percent 6" xfId="43"/>
    <cellStyle name="RRSInstruction" xfId="44"/>
    <cellStyle name="RRSInstruction 2" xfId="4"/>
    <cellStyle name="s_HardInc " xfId="45"/>
    <cellStyle name="s_Valuation " xfId="46"/>
    <cellStyle name="ssp " xfId="47"/>
  </cellStyles>
  <dxfs count="16">
    <dxf>
      <font>
        <b val="0"/>
        <i/>
        <condense val="0"/>
        <extend val="0"/>
        <color indexed="10"/>
      </font>
    </dxf>
    <dxf>
      <font>
        <b val="0"/>
        <i/>
        <condense val="0"/>
        <extend val="0"/>
        <color indexed="17"/>
      </font>
    </dxf>
    <dxf>
      <font>
        <b val="0"/>
        <i/>
        <condense val="0"/>
        <extend val="0"/>
        <color indexed="10"/>
      </font>
    </dxf>
    <dxf>
      <font>
        <b val="0"/>
        <i/>
        <condense val="0"/>
        <extend val="0"/>
        <color indexed="17"/>
      </font>
    </dxf>
    <dxf>
      <font>
        <b val="0"/>
        <i/>
        <condense val="0"/>
        <extend val="0"/>
        <color indexed="10"/>
      </font>
    </dxf>
    <dxf>
      <font>
        <b val="0"/>
        <i/>
        <condense val="0"/>
        <extend val="0"/>
        <color indexed="17"/>
      </font>
    </dxf>
    <dxf>
      <font>
        <b val="0"/>
        <i/>
        <condense val="0"/>
        <extend val="0"/>
        <color indexed="10"/>
      </font>
    </dxf>
    <dxf>
      <font>
        <b val="0"/>
        <i/>
        <condense val="0"/>
        <extend val="0"/>
        <color indexed="17"/>
      </font>
    </dxf>
    <dxf>
      <font>
        <b val="0"/>
        <i/>
        <condense val="0"/>
        <extend val="0"/>
        <color indexed="10"/>
      </font>
    </dxf>
    <dxf>
      <font>
        <b val="0"/>
        <i/>
        <condense val="0"/>
        <extend val="0"/>
        <color indexed="17"/>
      </font>
    </dxf>
    <dxf>
      <font>
        <b val="0"/>
        <i/>
        <condense val="0"/>
        <extend val="0"/>
        <color indexed="10"/>
      </font>
    </dxf>
    <dxf>
      <font>
        <b val="0"/>
        <i/>
        <condense val="0"/>
        <extend val="0"/>
        <color indexed="17"/>
      </font>
    </dxf>
    <dxf>
      <font>
        <b val="0"/>
        <i/>
        <condense val="0"/>
        <extend val="0"/>
        <color indexed="10"/>
      </font>
    </dxf>
    <dxf>
      <font>
        <b val="0"/>
        <i/>
        <condense val="0"/>
        <extend val="0"/>
        <color indexed="17"/>
      </font>
    </dxf>
    <dxf>
      <font>
        <b val="0"/>
        <i/>
        <condense val="0"/>
        <extend val="0"/>
        <color indexed="10"/>
      </font>
    </dxf>
    <dxf>
      <font>
        <b val="0"/>
        <i/>
        <condense val="0"/>
        <extend val="0"/>
        <color indexed="17"/>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B4DD8B"/>
      <rgbColor rgb="0000FFFF"/>
      <rgbColor rgb="00800000"/>
      <rgbColor rgb="00008000"/>
      <rgbColor rgb="00000080"/>
      <rgbColor rgb="00808000"/>
      <rgbColor rgb="00800080"/>
      <rgbColor rgb="00008080"/>
      <rgbColor rgb="00C0C0C0"/>
      <rgbColor rgb="00808080"/>
      <rgbColor rgb="000083C3"/>
      <rgbColor rgb="00F6C54C"/>
      <rgbColor rgb="0032C464"/>
      <rgbColor rgb="009DDEED"/>
      <rgbColor rgb="00F37B53"/>
      <rgbColor rgb="00B9F391"/>
      <rgbColor rgb="00FF9B9D"/>
      <rgbColor rgb="00993366"/>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externalLinks/externalLink1.xml" Type="http://schemas.openxmlformats.org/officeDocument/2006/relationships/externalLink"/>
<Relationship Id="rId22" Target="externalLinks/externalLink2.xml" Type="http://schemas.openxmlformats.org/officeDocument/2006/relationships/externalLink"/>
<Relationship Id="rId23" Target="externalLinks/externalLink3.xml" Type="http://schemas.openxmlformats.org/officeDocument/2006/relationships/externalLink"/>
<Relationship Id="rId24" Target="externalLinks/externalLink4.xml" Type="http://schemas.openxmlformats.org/officeDocument/2006/relationships/externalLink"/>
<Relationship Id="rId25" Target="externalLinks/externalLink5.xml" Type="http://schemas.openxmlformats.org/officeDocument/2006/relationships/externalLink"/>
<Relationship Id="rId26" Target="externalLinks/externalLink6.xml" Type="http://schemas.openxmlformats.org/officeDocument/2006/relationships/externalLink"/>
<Relationship Id="rId27" Target="externalLinks/externalLink7.xml" Type="http://schemas.openxmlformats.org/officeDocument/2006/relationships/externalLink"/>
<Relationship Id="rId28" Target="externalLinks/externalLink8.xml" Type="http://schemas.openxmlformats.org/officeDocument/2006/relationships/externalLink"/>
<Relationship Id="rId29" Target="externalLinks/externalLink9.xml" Type="http://schemas.openxmlformats.org/officeDocument/2006/relationships/externalLink"/>
<Relationship Id="rId3" Target="worksheets/sheet3.xml" Type="http://schemas.openxmlformats.org/officeDocument/2006/relationships/worksheet"/>
<Relationship Id="rId30" Target="externalLinks/externalLink10.xml" Type="http://schemas.openxmlformats.org/officeDocument/2006/relationships/externalLink"/>
<Relationship Id="rId31" Target="externalLinks/externalLink11.xml" Type="http://schemas.openxmlformats.org/officeDocument/2006/relationships/externalLink"/>
<Relationship Id="rId32" Target="externalLinks/externalLink12.xml" Type="http://schemas.openxmlformats.org/officeDocument/2006/relationships/externalLink"/>
<Relationship Id="rId33" Target="externalLinks/externalLink13.xml" Type="http://schemas.openxmlformats.org/officeDocument/2006/relationships/externalLink"/>
<Relationship Id="rId34" Target="externalLinks/externalLink14.xml" Type="http://schemas.openxmlformats.org/officeDocument/2006/relationships/externalLink"/>
<Relationship Id="rId35" Target="externalLinks/externalLink15.xml" Type="http://schemas.openxmlformats.org/officeDocument/2006/relationships/externalLink"/>
<Relationship Id="rId36" Target="externalLinks/externalLink16.xml" Type="http://schemas.openxmlformats.org/officeDocument/2006/relationships/externalLink"/>
<Relationship Id="rId37" Target="theme/theme1.xml" Type="http://schemas.openxmlformats.org/officeDocument/2006/relationships/theme"/>
<Relationship Id="rId38" Target="styles.xml" Type="http://schemas.openxmlformats.org/officeDocument/2006/relationships/styles"/>
<Relationship Id="rId39" Target="sharedStrings.xml" Type="http://schemas.openxmlformats.org/officeDocument/2006/relationships/sharedStrings"/>
<Relationship Id="rId4" Target="worksheets/sheet4.xml" Type="http://schemas.openxmlformats.org/officeDocument/2006/relationships/worksheet"/>
<Relationship Id="rId40" Target="calcChain.xml" Type="http://schemas.openxmlformats.org/officeDocument/2006/relationships/calcChain"/>
<Relationship Id="rId41" Target="../customXml/item1.xml" Type="http://schemas.openxmlformats.org/officeDocument/2006/relationships/customXml"/>
<Relationship Id="rId42" Target="../customXml/item2.xml" Type="http://schemas.openxmlformats.org/officeDocument/2006/relationships/customXml"/>
<Relationship Id="rId43" Target="vbaProject.bin" Type="http://schemas.microsoft.com/office/2006/relationships/vbaProjec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174</xdr:row>
      <xdr:rowOff>0</xdr:rowOff>
    </xdr:from>
    <xdr:to>
      <xdr:col>7</xdr:col>
      <xdr:colOff>390525</xdr:colOff>
      <xdr:row>197</xdr:row>
      <xdr:rowOff>104775</xdr:rowOff>
    </xdr:to>
    <xdr:pic>
      <xdr:nvPicPr>
        <xdr:cNvPr id="45218817" name="Picture 1" descr="C:\Users\edouardd\AppData\Local\Temp\MercuryPriceRatingHistoryChart\M.N_2018_04_08_18_41_02.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680335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
<Relationship Id="rId1" Target="TEMP/data/excel/P.XLS" TargetMode="External" Type="http://schemas.microsoft.com/office/2006/relationships/xlExternalLinkPath/xlStartup"/>
</Relationships>

</file>

<file path=xl/externalLinks/_rels/externalLink2.xml.rels><?xml version="1.0" encoding="UTF-8" standalone="yes"?>
<Relationships xmlns="http://schemas.openxmlformats.org/package/2006/relationships">
<Relationship Id="rId1" Target="file://///Sony/c/business/&#38750;&#37444;/&#38750;&#37444;&#20250;~1/&#21516;&#21644;&#37489;&#26989;/5714work.wk4" TargetMode="External" Type="http://schemas.openxmlformats.org/officeDocument/2006/relationships/externalLinkPath"/>
</Relationships>

</file>

<file path=xl/externalLinks/_rels/externalLink3.xml.rels><?xml version="1.0" encoding="UTF-8" standalone="yes"?>
<Relationships xmlns="http://schemas.openxmlformats.org/package/2006/relationships">
<Relationship Id="rId1" Target="file://///msad/root/na/ny/users/johndasc/Docs/ID/Charts/Chart_Gallery/From%20Vlad/B11_BarSingle_AverageLine.xls" TargetMode="External" Type="http://schemas.openxmlformats.org/officeDocument/2006/relationships/externalLinkPath"/>
</Relationships>

</file>

<file path=xl/externalLinks/_rels/externalLink4.xml.rels><?xml version="1.0" encoding="UTF-8" standalone="yes"?>
<Relationships xmlns="http://schemas.openxmlformats.org/package/2006/relationships">
<Relationship Id="rId1" Target="file://///MSAD/ROOT/NA/NY/LIB/ER/RETAIL/Greenberger/Sector%20Notes/Rent%20Expense/2013/RentExp2013_Softlines.xls" TargetMode="External" Type="http://schemas.openxmlformats.org/officeDocument/2006/relationships/externalLinkPath"/>
</Relationships>

</file>

<file path=xl/externalLinks/_rels/externalLink5.xml.rels><?xml version="1.0" encoding="UTF-8" standalone="yes"?>
<Relationships xmlns="http://schemas.openxmlformats.org/package/2006/relationships">
<Relationship Id="rId1" Target="RETAIL/Softlines/Apparel/Earnings/At%20a%20Glance.xls" TargetMode="External" Type="http://schemas.microsoft.com/office/2006/relationships/xlExternalLinkPath/xlAlternateStartup"/>
</Relationships>

</file>

<file path=xl/externalLinks/_rels/externalLink6.xml.rels><?xml version="1.0" encoding="UTF-8" standalone="yes"?>
<Relationships xmlns="http://schemas.openxmlformats.org/package/2006/relationships">
<Relationship Id="rId1" Target="RETAIL/Apparel/Earnings/Bull%20Bear%20Base%20Charts_2.xls" TargetMode="External" Type="http://schemas.microsoft.com/office/2006/relationships/xlExternalLinkPath/xlAlternateStartup"/>
</Relationships>

</file>

<file path=xl/externalLinks/_rels/externalLink7.xml.rels><?xml version="1.0" encoding="UTF-8" standalone="yes"?>
<Relationships xmlns="http://schemas.openxmlformats.org/package/2006/relationships">
<Relationship Id="rId1" Target="RETAIL/Softlines/Apparel/Analyses/GPS/2009_10%20Note/GPS_analyst%20meeting%20charts_SMU_2009_10_15.xls" TargetMode="External" Type="http://schemas.microsoft.com/office/2006/relationships/xlExternalLinkPath/xlAlternateStartup"/>
</Relationships>

</file>

<file path=xl/externalLinks/_rels/externalLink8.xml.rels><?xml version="1.0" encoding="UTF-8" standalone="yes"?>
<Relationships xmlns="http://schemas.openxmlformats.org/package/2006/relationships">
<Relationship Id="rId1" Target="RETAIL/Softlines/Apparel/Valuation/Softlines%20Playbook.xls" TargetMode="External" Type="http://schemas.microsoft.com/office/2006/relationships/xlExternalLinkPath/xlAlternateStartup"/>
</Relationships>

</file>

<file path=xl/externalLinks/_rels/externalLink9.xml.rels><?xml version="1.0" encoding="UTF-8" standalone="yes"?>
<Relationships xmlns="http://schemas.openxmlformats.org/package/2006/relationships">
<Relationship Id="rId1" Target="file://///msad/root/na/ny/users/johndasc/Docs/ID/Charts/Sandbox/BtoB.xls" TargetMode="External" Type="http://schemas.openxmlformats.org/officeDocument/2006/relationships/externalLinkPath"/>
</Relationships>

</file>

<file path=xl/externalLinks/_rels/externalLink10.xml.rels><?xml version="1.0" encoding="UTF-8" standalone="yes"?>
<Relationships xmlns="http://schemas.openxmlformats.org/package/2006/relationships">
<Relationship Id="rId1" Target="RETAIL/Softlines/Apparel/ANALYSES/Industry/INDUSTRY%20STATS/Summary_Industry_2011.xls" TargetMode="External" Type="http://schemas.microsoft.com/office/2006/relationships/xlExternalLinkPath/xlAlternateStartup"/>
</Relationships>

</file>

<file path=xl/externalLinks/_rels/externalLink11.xml.rels><?xml version="1.0" encoding="UTF-8" standalone="yes"?>
<Relationships xmlns="http://schemas.openxmlformats.org/package/2006/relationships">
<Relationship Id="rId1" Target="RETAIL/Softlines/Apparel/Analyses/GPS/2010_01%20Note/GPS_Rosk%20Reward%20View%20Analyses_021010.xls" TargetMode="External" Type="http://schemas.microsoft.com/office/2006/relationships/xlExternalLinkPath/xlAlternateStartup"/>
</Relationships>

</file>

<file path=xl/externalLinks/_rels/externalLink12.xml.rels><?xml version="1.0" encoding="UTF-8" standalone="yes"?>
<Relationships xmlns="http://schemas.openxmlformats.org/package/2006/relationships">
<Relationship Id="rId1" Target="RETAIL/Softlines/Apparel/MODELS/WORKING%20MODELS/M_working2.xls" TargetMode="External" Type="http://schemas.microsoft.com/office/2006/relationships/xlExternalLinkPath/xlAlternateStartup"/>
</Relationships>

</file>

<file path=xl/externalLinks/_rels/externalLink13.xml.rels><?xml version="1.0" encoding="UTF-8" standalone="yes"?>
<Relationships xmlns="http://schemas.openxmlformats.org/package/2006/relationships">
<Relationship Id="rId1" Target="RETAIL/Greenberger/Companies/JWN/Model/JWN_Model2.xls" TargetMode="External" Type="http://schemas.microsoft.com/office/2006/relationships/xlExternalLinkPath/xlAlternateStartup"/>
</Relationships>

</file>

<file path=xl/externalLinks/_rels/externalLink14.xml.rels><?xml version="1.0" encoding="UTF-8" standalone="yes"?>
<Relationships xmlns="http://schemas.openxmlformats.org/package/2006/relationships">
<Relationship Id="rId1" Target="c1" TargetMode="External" Type="http://schemas.microsoft.com/office/2006/relationships/xlExternalLinkPath/xlPathMissing"/>
</Relationships>

</file>

<file path=xl/externalLinks/_rels/externalLink15.xml.rels><?xml version="1.0" encoding="UTF-8" standalone="yes"?>
<Relationships xmlns="http://schemas.openxmlformats.org/package/2006/relationships">
<Relationship Id="rId1" Target="TEMPLATE/Excel/LINKTAB.XLS" TargetMode="External" Type="http://schemas.microsoft.com/office/2006/relationships/xlExternalLinkPath/xlStartup"/>
</Relationships>

</file>

<file path=xl/externalLinks/_rels/externalLink16.xml.rels><?xml version="1.0" encoding="UTF-8" standalone="yes"?>
<Relationships xmlns="http://schemas.openxmlformats.org/package/2006/relationships">
<Relationship Id="rId1" Target="I" TargetMode="External" Type="http://schemas.microsoft.com/office/2006/relationships/xlExternalLinkPath/xlPathMissing"/>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P"/>
      <sheetName val="BS"/>
      <sheetName val="TOSCO"/>
      <sheetName val="Segment ROCE"/>
      <sheetName val="ROGIC"/>
      <sheetName val="E&amp;P"/>
      <sheetName val="NEPS"/>
      <sheetName val="RefineryMaint"/>
      <sheetName val="Hamaca"/>
      <sheetName val="Bohai"/>
      <sheetName val="Bayu Undan"/>
      <sheetName val="R&amp;M"/>
      <sheetName val="GPM"/>
      <sheetName val="Variance"/>
      <sheetName val="ARCO - Alaska"/>
      <sheetName val="Capex"/>
      <sheetName val="Reserves"/>
      <sheetName val="WACC"/>
      <sheetName val="Valuation"/>
      <sheetName val="NAV"/>
      <sheetName val="Chemical JV"/>
      <sheetName val="Chems"/>
      <sheetName val="EKOFISK"/>
      <sheetName val="PUDS"/>
      <sheetName val="GE Data"/>
      <sheetName val="IndexInformation"/>
      <sheetName val="MainCode"/>
      <sheetName val="NY UPLOAD"/>
      <sheetName val="NY UPLOAD Shadow"/>
      <sheetName val="Distribution"/>
      <sheetName val="A-Link Source"/>
      <sheetName val="Q-Link Source"/>
      <sheetName val="Income Statement"/>
      <sheetName val="Revenue&amp;EBIT"/>
      <sheetName val="Fin. Summary"/>
      <sheetName val="COP"/>
      <sheetName val="XOM"/>
      <sheetName val="New Source Charts"/>
      <sheetName val="Modelware"/>
      <sheetName val="R&amp;MIS"/>
      <sheetName val="E&amp;P Growth &amp; Returns"/>
      <sheetName val="Global Product Sum"/>
      <sheetName val="Scenario"/>
      <sheetName val="Quarter"/>
      <sheetName val="Annual"/>
      <sheetName val="AN"/>
      <sheetName val="COC"/>
      <sheetName val="Inputs"/>
      <sheetName val="ｾｸﾞﾒﾝﾄ"/>
      <sheetName val="単独"/>
      <sheetName val="Factset Profile"/>
      <sheetName val="cas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単独"/>
      <sheetName val="連結"/>
      <sheetName val="期中"/>
      <sheetName val="valu"/>
      <sheetName val="増減分析"/>
      <sheetName val="新素材"/>
      <sheetName val="子会社"/>
      <sheetName val="環境"/>
      <sheetName val="製錬拠点"/>
      <sheetName val="ﾃｨｻﾊﾟ"/>
      <sheetName val="ﾚｲﾃﾞﾌﾟﾗﾀ"/>
      <sheetName val="小坂"/>
      <sheetName val="中計"/>
      <sheetName val="cash"/>
      <sheetName val="ｾｸﾞﾒﾝﾄ"/>
      <sheetName val="含み益"/>
      <sheetName val="capx"/>
      <sheetName val="dep"/>
      <sheetName val="人"/>
      <sheetName val="exp"/>
      <sheetName val="Valuation Matrix"/>
      <sheetName val="HANDOUT"/>
      <sheetName val="Interm-Euro"/>
      <sheetName val="SCATTER DATA"/>
      <sheetName val="10 Yr DCF"/>
      <sheetName val="Annual-Euro"/>
      <sheetName val="Residual Income Model"/>
      <sheetName val="P"/>
      <sheetName val="Risk-Reward_View_Chart"/>
      <sheetName val="Sheet1"/>
      <sheetName val="variables"/>
      <sheetName val="Operating Leases tagged"/>
      <sheetName val="EARNMOD"/>
      <sheetName val="WACC"/>
      <sheetName val="Fixed Line Mkt"/>
      <sheetName val="Cash Flow"/>
      <sheetName val="upside_downside"/>
      <sheetName val="Income Statement"/>
      <sheetName val="Balance Sheet"/>
      <sheetName val="Valsum"/>
      <sheetName val="Model"/>
      <sheetName val="Intrinsic Value"/>
      <sheetName val="Rev by Geo"/>
      <sheetName val="exh 11"/>
      <sheetName val="exh 14"/>
      <sheetName val="exh 12"/>
      <sheetName val="exh 10"/>
      <sheetName val="exh 1 and 5"/>
      <sheetName val="exh 15"/>
      <sheetName val="exh 3"/>
      <sheetName val="exh 9"/>
      <sheetName val="Good 12-00 (2)"/>
      <sheetName val="Good 11-36"/>
      <sheetName val="Good 11-50"/>
      <sheetName val="Sheet3 (5)"/>
      <sheetName val="DCF"/>
      <sheetName val="OP"/>
      <sheetName val="Inputs"/>
      <sheetName val="MWA RR"/>
      <sheetName val="Summary"/>
      <sheetName val="IS"/>
      <sheetName val="IS Quarterly"/>
      <sheetName val="Sheet1 (2)"/>
      <sheetName val="1Q11 Preview"/>
      <sheetName val="2Q11 Preview"/>
      <sheetName val="Total_Production"/>
      <sheetName val="RFS"/>
      <sheetName val="Corn_Uses"/>
      <sheetName val="US_Production"/>
      <sheetName val="Report template"/>
      <sheetName val="Model (WIP)"/>
      <sheetName val="Exclusion List"/>
      <sheetName val="fin"/>
      <sheetName val="sales bkd"/>
      <sheetName val="Presentation"/>
      <sheetName val="Valuation"/>
    </sheetNames>
    <sheetDataSet>
      <sheetData sheetId="0" refreshError="1">
        <row r="14">
          <cell r="AR14">
            <v>28</v>
          </cell>
        </row>
        <row r="15">
          <cell r="AR15">
            <v>5</v>
          </cell>
        </row>
        <row r="16">
          <cell r="AR16">
            <v>14</v>
          </cell>
        </row>
        <row r="17">
          <cell r="AR17">
            <v>6</v>
          </cell>
        </row>
        <row r="18">
          <cell r="AR18">
            <v>-5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164">
          <cell r="E164">
            <v>1247</v>
          </cell>
          <cell r="F164">
            <v>1807</v>
          </cell>
          <cell r="G164">
            <v>2812</v>
          </cell>
          <cell r="H164">
            <v>2828</v>
          </cell>
          <cell r="I164">
            <v>6670</v>
          </cell>
        </row>
        <row r="165">
          <cell r="E165" t="e">
            <v>#VALUE!</v>
          </cell>
          <cell r="F165" t="e">
            <v>#VALUE!</v>
          </cell>
          <cell r="G165" t="e">
            <v>#VALUE!</v>
          </cell>
          <cell r="H165" t="e">
            <v>#VALUE!</v>
          </cell>
          <cell r="I165" t="e">
            <v>#VALUE!</v>
          </cell>
        </row>
        <row r="167">
          <cell r="E167">
            <v>2721</v>
          </cell>
          <cell r="F167">
            <v>1584</v>
          </cell>
          <cell r="G167">
            <v>1802</v>
          </cell>
          <cell r="H167">
            <v>1616</v>
          </cell>
          <cell r="I167">
            <v>795</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Cash Flow"/>
      <sheetName val="upside_downside"/>
      <sheetName val="Income Statement"/>
      <sheetName val="Balance Sheet"/>
      <sheetName val="RI"/>
      <sheetName val="BULLBEAR"/>
      <sheetName val="Sheet2"/>
      <sheetName val="DCF"/>
      <sheetName val="MWA RR"/>
      <sheetName val="REVENUE BY GEOGRAPHY"/>
      <sheetName val="NonQtr"/>
      <sheetName val="Data 20d"/>
      <sheetName val="Data"/>
      <sheetName val="Risk-Reward_View_Chart"/>
      <sheetName val="Valsum"/>
      <sheetName val="Good 12-00 (2)"/>
      <sheetName val="Good 11-36"/>
      <sheetName val="Good 11-50"/>
      <sheetName val="Sheet3 (5)"/>
      <sheetName val="Inputs"/>
      <sheetName val="Interims"/>
      <sheetName val="Financial Statements"/>
      <sheetName val="FX"/>
      <sheetName val="CPB"/>
      <sheetName val="Total_Food_Promo"/>
      <sheetName val="CPB_2yr"/>
      <sheetName val="Summary"/>
      <sheetName val="Floater Demand"/>
      <sheetName val="B11_BarSingle_AverageLine"/>
      <sheetName val="Quero_Sales"/>
      <sheetName val="L2005"/>
      <sheetName val="C2000"/>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WP Detail "/>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 val="Sheet4"/>
      <sheetName val="ForeignStake"/>
      <sheetName val="Model"/>
      <sheetName val="rev change analysis"/>
      <sheetName val="rev contribution analysis"/>
      <sheetName val="WPZ"/>
      <sheetName val="TPP"/>
      <sheetName val="EPE"/>
      <sheetName val="WMZ"/>
      <sheetName val="HEP"/>
      <sheetName val="MGG"/>
      <sheetName val="ETE"/>
      <sheetName val="BGH"/>
      <sheetName val="SEP"/>
      <sheetName val="TCLP"/>
      <sheetName val="SXL"/>
      <sheetName val="WES"/>
      <sheetName val="HTC"/>
      <sheetName val="MS Tele Rep"/>
      <sheetName val="China Handset"/>
      <sheetName val="Smartphone"/>
      <sheetName val="IDC"/>
      <sheetName val="CW"/>
      <sheetName val="R2000"/>
      <sheetName val="__FDS_DOWNL_SCRATCH_SHEET__"/>
      <sheetName val="FIH"/>
      <sheetName val="MIC"/>
      <sheetName val="Valuation"/>
      <sheetName val="Sales by App"/>
      <sheetName val="Net Income &amp; EPS"/>
      <sheetName val="IDC_2"/>
      <sheetName val="Sales by Region Comp"/>
      <sheetName val="What's Changed"/>
      <sheetName val="Outsourcing"/>
      <sheetName val="Nokia vs HTC"/>
      <sheetName val="2012 Outlook"/>
      <sheetName val="Basket_June09_2010"/>
      <sheetName val="C1070"/>
      <sheetName val="Basket_Jan09"/>
      <sheetName val="Basket_2010"/>
      <sheetName val="Inflation v Price 6mth lag"/>
      <sheetName val="Basket_2011"/>
      <sheetName val="Basket_June09"/>
      <sheetName val="Basket_June09_Futures"/>
      <sheetName val="Commodities Exposure"/>
      <sheetName val=" Capital"/>
      <sheetName val="New Business"/>
      <sheetName val="Charts"/>
      <sheetName val="Pension"/>
      <sheetName val="Walk"/>
      <sheetName val="Commodity Index"/>
      <sheetName val="Prices_Quarterly"/>
      <sheetName val="Inflation_Monthly"/>
      <sheetName val="Inflation_Quarterly"/>
      <sheetName val="Prices_Monthly"/>
      <sheetName val="Exposure"/>
      <sheetName val="Chart 6"/>
      <sheetName val="Front page benchmarks_9x3"/>
      <sheetName val="Front page benchmarks_6x5"/>
      <sheetName val="Benchmarks_All_gray2"/>
      <sheetName val="Sector yardstick_OLD"/>
      <sheetName val="Front page benchmarks_6x3"/>
      <sheetName val="Benchmarks_All_gray1"/>
      <sheetName val="P&amp;L"/>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Graphic"/>
      <sheetName val="RentExp Lvg"/>
      <sheetName val="Exec Summary"/>
      <sheetName val="Fig2-5.MasterTable"/>
      <sheetName val="Fig6.EBIT Rank"/>
      <sheetName val="Fig7. 53rd week"/>
      <sheetName val="Fig8-10 bps EPS Sensitivity"/>
      <sheetName val="Fig11.RankingTable"/>
      <sheetName val="Fig12.Opportunities"/>
      <sheetName val="Fig13.Leverage Rank"/>
      <sheetName val="Fig14.Bps Lvg. Dlvg."/>
      <sheetName val="Fig15&amp;18.StoreOpeningHist-NEW"/>
      <sheetName val="Fig16&amp;17.Store Closings"/>
      <sheetName val="Fig19&amp;20.ScatterPlot"/>
      <sheetName val="Escalating Rent"/>
      <sheetName val="Est Act compare"/>
      <sheetName val="Company specific"/>
      <sheetName val="CapEx"/>
      <sheetName val="Productivity"/>
      <sheetName val="Saturation"/>
      <sheetName val="MasterProductivity"/>
      <sheetName val="Sheet2"/>
      <sheetName val="Peak OpMargin-2006A"/>
      <sheetName val="Leaders-2005A"/>
      <sheetName val="Table-2005A"/>
      <sheetName val="Charts"/>
      <sheetName val="OpMargin-2005A"/>
      <sheetName val="OpMargin Formatted-2005"/>
      <sheetName val="MerchMargin"/>
      <sheetName val="GrossMargin"/>
      <sheetName val="To put in next yr's report"/>
      <sheetName val="Rent Exp breakout"/>
      <sheetName val="#REF"/>
    </sheetNames>
    <sheetDataSet>
      <sheetData sheetId="0">
        <row r="2">
          <cell r="A2">
            <v>0.5</v>
          </cell>
          <cell r="B2">
            <v>0.24</v>
          </cell>
        </row>
        <row r="3">
          <cell r="A3">
            <v>1</v>
          </cell>
          <cell r="B3">
            <v>0.12</v>
          </cell>
        </row>
        <row r="4">
          <cell r="A4">
            <v>1.5</v>
          </cell>
          <cell r="B4">
            <v>0.08</v>
          </cell>
        </row>
        <row r="5">
          <cell r="A5">
            <v>2</v>
          </cell>
          <cell r="B5">
            <v>0.06</v>
          </cell>
        </row>
        <row r="38">
          <cell r="D38" t="str">
            <v>Adjusted Rent Expense included in this report:</v>
          </cell>
        </row>
        <row r="39">
          <cell r="E39" t="str">
            <v>Minimum Rent</v>
          </cell>
        </row>
        <row r="40">
          <cell r="E40" t="str">
            <v>Common Area Mainternance</v>
          </cell>
        </row>
        <row r="41">
          <cell r="E41" t="str">
            <v>Real Estate Taxes</v>
          </cell>
        </row>
        <row r="42">
          <cell r="E42" t="str">
            <v>Real Estate Insurance Expenses</v>
          </cell>
        </row>
        <row r="44">
          <cell r="D44" t="str">
            <v>Additional Rent expenses which retailers may include:</v>
          </cell>
        </row>
        <row r="46">
          <cell r="E46" t="str">
            <v>Telephone, Utility, Store maintenance, repoairs</v>
          </cell>
        </row>
        <row r="47">
          <cell r="E47" t="str">
            <v>Store level depreciation</v>
          </cell>
        </row>
        <row r="49">
          <cell r="D49" t="str">
            <v>specify math, this implies a total rent expense number of XXX</v>
          </cell>
        </row>
        <row r="50">
          <cell r="D50" t="str">
            <v>we want to make sure we're publishing as accurate as possible a number</v>
          </cell>
        </row>
        <row r="51">
          <cell r="D51" t="str">
            <v>sign off on adjustment and total number</v>
          </cell>
        </row>
        <row r="56">
          <cell r="Q56" t="str">
            <v>How to Use this Report</v>
          </cell>
        </row>
        <row r="57">
          <cell r="Q57" t="str">
            <v>Our Rent Expense Deep Dive is a tool to help investors better analyze margins across the sector.  Rent can absorb as much as 14% of a retailer's total sales or as little as 1%.  This report explains why and discusses the rent margin outlook based on lease cost trend, industry dynamics and company specific trends.</v>
          </cell>
        </row>
        <row r="60">
          <cell r="T60" t="str">
            <v>Metric</v>
          </cell>
          <cell r="U60" t="str">
            <v>Year</v>
          </cell>
          <cell r="V60" t="str">
            <v>Specialty Retail</v>
          </cell>
          <cell r="W60" t="str">
            <v>Hardlines</v>
          </cell>
          <cell r="X60" t="str">
            <v>Department Stores</v>
          </cell>
        </row>
        <row r="61">
          <cell r="T61" t="str">
            <v>Rent as a % of total sales</v>
          </cell>
          <cell r="U61">
            <v>2012</v>
          </cell>
          <cell r="V61">
            <v>8.3333926213616141E-2</v>
          </cell>
          <cell r="W61" t="e">
            <v>#DIV/0!</v>
          </cell>
          <cell r="X61">
            <v>2.3230793383249557E-2</v>
          </cell>
        </row>
        <row r="62">
          <cell r="U62" t="str">
            <v>2013e</v>
          </cell>
          <cell r="V62">
            <v>9.1957846004409524E-2</v>
          </cell>
          <cell r="W62" t="e">
            <v>#DIV/0!</v>
          </cell>
          <cell r="X62">
            <v>2.3930164527756571E-2</v>
          </cell>
        </row>
        <row r="63">
          <cell r="T63" t="str">
            <v>Rent cost per square foot</v>
          </cell>
          <cell r="U63">
            <v>2012</v>
          </cell>
          <cell r="V63">
            <v>50123.147309263957</v>
          </cell>
          <cell r="W63" t="e">
            <v>#DIV/0!</v>
          </cell>
          <cell r="X63">
            <v>10.155037298108724</v>
          </cell>
        </row>
        <row r="64">
          <cell r="U64" t="str">
            <v>2013e</v>
          </cell>
          <cell r="V64">
            <v>68432.50208464812</v>
          </cell>
          <cell r="W64" t="e">
            <v>#DIV/0!</v>
          </cell>
          <cell r="X64">
            <v>10.773881404789575</v>
          </cell>
          <cell r="AC64">
            <v>1</v>
          </cell>
          <cell r="AD64">
            <v>1</v>
          </cell>
        </row>
        <row r="67">
          <cell r="Z67" t="str">
            <v>Sector</v>
          </cell>
          <cell r="AA67" t="str">
            <v>Rent Margin Rank</v>
          </cell>
          <cell r="AB67" t="str">
            <v>Company</v>
          </cell>
          <cell r="AC67" t="str">
            <v>2012
Rent Margin</v>
          </cell>
          <cell r="AD67" t="str">
            <v>2012
Op Margin</v>
          </cell>
        </row>
        <row r="68">
          <cell r="AA68" t="str">
            <v>Highest</v>
          </cell>
          <cell r="AB68" t="str">
            <v>PLCE</v>
          </cell>
          <cell r="AC68">
            <v>0.14313360258106445</v>
          </cell>
          <cell r="AD68">
            <v>6.3735779110753052E-2</v>
          </cell>
        </row>
        <row r="69">
          <cell r="Z69" t="str">
            <v>Softlines</v>
          </cell>
          <cell r="AB69" t="str">
            <v>EXPR</v>
          </cell>
          <cell r="AC69">
            <v>0.13382112027127621</v>
          </cell>
          <cell r="AD69">
            <v>0.11711122873613471</v>
          </cell>
        </row>
        <row r="70">
          <cell r="AA70" t="str">
            <v>Lowest</v>
          </cell>
          <cell r="AB70" t="str">
            <v>COH</v>
          </cell>
          <cell r="AC70">
            <v>3.4982012079537157E-5</v>
          </cell>
          <cell r="AD70">
            <v>0.3256643670824953</v>
          </cell>
        </row>
        <row r="71">
          <cell r="AB71" t="str">
            <v>LULU</v>
          </cell>
          <cell r="AC71">
            <v>6.0150705144203197E-2</v>
          </cell>
          <cell r="AD71" t="e">
            <v>#N/A</v>
          </cell>
        </row>
        <row r="72">
          <cell r="AA72" t="str">
            <v>Highest</v>
          </cell>
          <cell r="AB72" t="str">
            <v>DKS</v>
          </cell>
          <cell r="AC72" t="e">
            <v>#VALUE!</v>
          </cell>
          <cell r="AD72" t="e">
            <v>#VALUE!</v>
          </cell>
        </row>
        <row r="73">
          <cell r="Z73" t="str">
            <v>Hardlines</v>
          </cell>
          <cell r="AB73" t="str">
            <v>WSM</v>
          </cell>
          <cell r="AC73" t="e">
            <v>#VALUE!</v>
          </cell>
          <cell r="AD73" t="e">
            <v>#VALUE!</v>
          </cell>
        </row>
        <row r="74">
          <cell r="AA74" t="str">
            <v>Lowest</v>
          </cell>
          <cell r="AB74" t="str">
            <v>AZO</v>
          </cell>
          <cell r="AC74" t="e">
            <v>#VALUE!</v>
          </cell>
          <cell r="AD74" t="e">
            <v>#VALUE!</v>
          </cell>
        </row>
        <row r="75">
          <cell r="AB75" t="str">
            <v>LOW</v>
          </cell>
          <cell r="AC75" t="e">
            <v>#VALUE!</v>
          </cell>
          <cell r="AD75" t="e">
            <v>#VALUE!</v>
          </cell>
        </row>
        <row r="76">
          <cell r="AA76" t="str">
            <v>Highest</v>
          </cell>
          <cell r="AB76" t="str">
            <v>SKS</v>
          </cell>
          <cell r="AC76" t="e">
            <v>#VALUE!</v>
          </cell>
          <cell r="AD76" t="e">
            <v>#VALUE!</v>
          </cell>
        </row>
        <row r="77">
          <cell r="Z77" t="str">
            <v>Department</v>
          </cell>
          <cell r="AB77" t="str">
            <v>JCP</v>
          </cell>
          <cell r="AC77" t="e">
            <v>#VALUE!</v>
          </cell>
          <cell r="AD77" t="e">
            <v>#VALUE!</v>
          </cell>
        </row>
        <row r="78">
          <cell r="Z78" t="str">
            <v>Stores</v>
          </cell>
          <cell r="AA78" t="str">
            <v>Lowest</v>
          </cell>
          <cell r="AB78" t="str">
            <v>JWN</v>
          </cell>
          <cell r="AC78" t="e">
            <v>#VALUE!</v>
          </cell>
          <cell r="AD78" t="e">
            <v>#VALUE!</v>
          </cell>
        </row>
        <row r="79">
          <cell r="AB79" t="str">
            <v>M</v>
          </cell>
          <cell r="AC79" t="e">
            <v>#VALUE!</v>
          </cell>
          <cell r="AD79" t="e">
            <v>#VALUE!</v>
          </cell>
        </row>
      </sheetData>
      <sheetData sheetId="1">
        <row r="2">
          <cell r="A2">
            <v>0.5</v>
          </cell>
          <cell r="B2">
            <v>0.24</v>
          </cell>
        </row>
        <row r="3">
          <cell r="A3">
            <v>1</v>
          </cell>
          <cell r="B3">
            <v>0.12</v>
          </cell>
        </row>
        <row r="4">
          <cell r="A4">
            <v>1.5</v>
          </cell>
          <cell r="B4">
            <v>0.08</v>
          </cell>
        </row>
        <row r="5">
          <cell r="A5">
            <v>2</v>
          </cell>
          <cell r="B5">
            <v>0.06</v>
          </cell>
        </row>
        <row r="38">
          <cell r="D38" t="str">
            <v>Adjusted Rent Expense included in this report:</v>
          </cell>
        </row>
        <row r="39">
          <cell r="E39" t="str">
            <v>Minimum Rent</v>
          </cell>
        </row>
        <row r="40">
          <cell r="E40" t="str">
            <v>Common Area Mainternance</v>
          </cell>
        </row>
        <row r="41">
          <cell r="E41" t="str">
            <v>Real Estate Taxes</v>
          </cell>
        </row>
        <row r="42">
          <cell r="E42" t="str">
            <v>Real Estate Insurance Expenses</v>
          </cell>
        </row>
        <row r="43">
          <cell r="E43" t="str">
            <v>Contingent Rent</v>
          </cell>
        </row>
        <row r="44">
          <cell r="D44" t="str">
            <v>Additional Rent expenses which retailers may include:</v>
          </cell>
        </row>
        <row r="46">
          <cell r="E46" t="str">
            <v>Telephone, Utility, Store maintenance, repoairs</v>
          </cell>
        </row>
        <row r="47">
          <cell r="E47" t="str">
            <v>Store level depreciation</v>
          </cell>
        </row>
      </sheetData>
      <sheetData sheetId="2"/>
      <sheetData sheetId="3">
        <row r="1">
          <cell r="A1">
            <v>1</v>
          </cell>
          <cell r="B1">
            <v>2</v>
          </cell>
          <cell r="C1">
            <v>3</v>
          </cell>
          <cell r="D1">
            <v>4</v>
          </cell>
          <cell r="E1">
            <v>5</v>
          </cell>
          <cell r="F1">
            <v>6</v>
          </cell>
          <cell r="G1">
            <v>7</v>
          </cell>
          <cell r="H1">
            <v>8</v>
          </cell>
          <cell r="I1">
            <v>9</v>
          </cell>
          <cell r="J1">
            <v>10</v>
          </cell>
          <cell r="K1">
            <v>11</v>
          </cell>
          <cell r="L1">
            <v>12</v>
          </cell>
          <cell r="M1">
            <v>13</v>
          </cell>
          <cell r="N1">
            <v>14</v>
          </cell>
          <cell r="O1">
            <v>15</v>
          </cell>
          <cell r="P1">
            <v>16</v>
          </cell>
          <cell r="Q1">
            <v>17</v>
          </cell>
          <cell r="R1">
            <v>18</v>
          </cell>
          <cell r="S1">
            <v>19</v>
          </cell>
          <cell r="T1">
            <v>20</v>
          </cell>
          <cell r="U1">
            <v>21</v>
          </cell>
          <cell r="V1">
            <v>22</v>
          </cell>
          <cell r="W1">
            <v>23</v>
          </cell>
          <cell r="X1">
            <v>24</v>
          </cell>
          <cell r="Y1">
            <v>25</v>
          </cell>
          <cell r="Z1">
            <v>26</v>
          </cell>
          <cell r="AA1">
            <v>27</v>
          </cell>
          <cell r="AB1">
            <v>28</v>
          </cell>
          <cell r="AC1">
            <v>29</v>
          </cell>
          <cell r="AD1">
            <v>30</v>
          </cell>
          <cell r="AE1">
            <v>31</v>
          </cell>
          <cell r="AF1">
            <v>32</v>
          </cell>
          <cell r="AG1">
            <v>33</v>
          </cell>
          <cell r="AH1">
            <v>34</v>
          </cell>
          <cell r="AI1">
            <v>35</v>
          </cell>
          <cell r="AJ1">
            <v>36</v>
          </cell>
          <cell r="AK1">
            <v>37</v>
          </cell>
          <cell r="AL1">
            <v>38</v>
          </cell>
          <cell r="AM1">
            <v>39</v>
          </cell>
          <cell r="AN1">
            <v>40</v>
          </cell>
          <cell r="AO1">
            <v>41</v>
          </cell>
          <cell r="AP1">
            <v>42</v>
          </cell>
          <cell r="AQ1">
            <v>43</v>
          </cell>
          <cell r="AR1">
            <v>44</v>
          </cell>
          <cell r="AS1">
            <v>45</v>
          </cell>
          <cell r="AT1">
            <v>46</v>
          </cell>
          <cell r="AU1">
            <v>47</v>
          </cell>
          <cell r="AV1">
            <v>48</v>
          </cell>
          <cell r="AW1">
            <v>49</v>
          </cell>
          <cell r="AX1">
            <v>50</v>
          </cell>
          <cell r="AY1">
            <v>51</v>
          </cell>
          <cell r="AZ1">
            <v>52</v>
          </cell>
          <cell r="BA1">
            <v>53</v>
          </cell>
          <cell r="BB1">
            <v>54</v>
          </cell>
        </row>
        <row r="2">
          <cell r="A2" t="str">
            <v>Rent Expense Analysis</v>
          </cell>
        </row>
        <row r="3">
          <cell r="C3" t="str">
            <v>VLOOKUP LABELS:</v>
          </cell>
          <cell r="F3" t="str">
            <v>1.  Sales</v>
          </cell>
          <cell r="H3" t="str">
            <v>Comparable-Store Sales</v>
          </cell>
          <cell r="J3" t="str">
            <v xml:space="preserve">     % Operating Margin</v>
          </cell>
          <cell r="L3" t="str">
            <v>Rent Expense</v>
          </cell>
          <cell r="AC3" t="str">
            <v>Avg. # Open</v>
          </cell>
          <cell r="AE3" t="str">
            <v>Avg. Gross Sq. Ft. (MM)</v>
          </cell>
          <cell r="AG3" t="str">
            <v>Avg. Store Size (Gross Sq. Ft.)</v>
          </cell>
          <cell r="AH3" t="str">
            <v>New Space Productivity</v>
          </cell>
          <cell r="AO3" t="str">
            <v>Sales Per Avg. Gross Sq. Ft.</v>
          </cell>
          <cell r="AW3">
            <v>0</v>
          </cell>
          <cell r="BB3" t="str">
            <v xml:space="preserve">   % Chg. from LY (Avg. Sq. Ft.)</v>
          </cell>
        </row>
        <row r="4">
          <cell r="H4" t="str">
            <v>Comparable-Store Sales ex eComm</v>
          </cell>
          <cell r="L4" t="str">
            <v xml:space="preserve">     Rent Expense</v>
          </cell>
          <cell r="AC4" t="str">
            <v>Children's Place Avg #</v>
          </cell>
          <cell r="AO4" t="str">
            <v>Net Sales Per Avg Gross Sq Ft</v>
          </cell>
          <cell r="BB4" t="str">
            <v xml:space="preserve">   % Chg. from LY (Avg. Sq. Ft.)</v>
          </cell>
        </row>
        <row r="5">
          <cell r="H5" t="str">
            <v>N.A. Comparable-Store Sales</v>
          </cell>
          <cell r="AS5" t="str">
            <v>occupancy's role in determining potential operating margin</v>
          </cell>
        </row>
        <row r="6">
          <cell r="L6" t="str">
            <v>Rent Expense</v>
          </cell>
          <cell r="Y6" t="str">
            <v>Rent</v>
          </cell>
          <cell r="AA6" t="str">
            <v>Rent</v>
          </cell>
          <cell r="AC6" t="str">
            <v>Average</v>
          </cell>
          <cell r="AL6" t="str">
            <v>Adjusted Rent</v>
          </cell>
          <cell r="AO6" t="str">
            <v>Sales</v>
          </cell>
          <cell r="AP6" t="str">
            <v>Total Sales</v>
          </cell>
          <cell r="AQ6" t="str">
            <v>Key CAM adj.</v>
          </cell>
          <cell r="AR6" t="str">
            <v>Bps</v>
          </cell>
          <cell r="AS6" t="str">
            <v xml:space="preserve">% Change in </v>
          </cell>
        </row>
        <row r="7">
          <cell r="F7" t="str">
            <v>Store Sales</v>
          </cell>
          <cell r="G7" t="str">
            <v>Total Sales</v>
          </cell>
          <cell r="H7" t="str">
            <v>Comp.</v>
          </cell>
          <cell r="J7" t="str">
            <v>Operating</v>
          </cell>
          <cell r="L7" t="str">
            <v>per 10-K</v>
          </cell>
          <cell r="U7" t="str">
            <v>% Store</v>
          </cell>
          <cell r="W7" t="str">
            <v>% Total</v>
          </cell>
          <cell r="Y7" t="str">
            <v>Levg. or</v>
          </cell>
          <cell r="AA7" t="str">
            <v>Levg. or</v>
          </cell>
          <cell r="AC7" t="str">
            <v>Store</v>
          </cell>
          <cell r="AE7" t="str">
            <v>Sq.Ft.</v>
          </cell>
          <cell r="AG7" t="str">
            <v>Sq. Ft. /</v>
          </cell>
          <cell r="AH7" t="str">
            <v>New Sq. Ft.</v>
          </cell>
          <cell r="AI7" t="str">
            <v>Adj. New SF</v>
          </cell>
          <cell r="AK7" t="str">
            <v>per Avg</v>
          </cell>
          <cell r="AM7" t="str">
            <v>per Avg</v>
          </cell>
          <cell r="AO7" t="str">
            <v>per Avg</v>
          </cell>
          <cell r="AP7" t="str">
            <v>per Avg</v>
          </cell>
          <cell r="AQ7" t="str">
            <v>Assumptions &amp;</v>
          </cell>
          <cell r="AR7" t="str">
            <v>Lvg</v>
          </cell>
          <cell r="AS7" t="str">
            <v>avg store</v>
          </cell>
          <cell r="AY7" t="str">
            <v>Non-Square Footage Related</v>
          </cell>
          <cell r="BB7" t="str">
            <v>Avg</v>
          </cell>
        </row>
        <row r="8">
          <cell r="F8" t="str">
            <v>($ MM)</v>
          </cell>
          <cell r="G8" t="str">
            <v>($ MM)</v>
          </cell>
          <cell r="H8" t="str">
            <v>Sales %</v>
          </cell>
          <cell r="J8" t="str">
            <v>Margin</v>
          </cell>
          <cell r="L8" t="str">
            <v>$ MM</v>
          </cell>
          <cell r="N8" t="str">
            <v>% Sales</v>
          </cell>
          <cell r="P8" t="str">
            <v>% Sales</v>
          </cell>
          <cell r="R8" t="str">
            <v>Adj.</v>
          </cell>
          <cell r="S8" t="str">
            <v>$ MM</v>
          </cell>
          <cell r="U8" t="str">
            <v>Sales</v>
          </cell>
          <cell r="W8" t="str">
            <v>Sales</v>
          </cell>
          <cell r="Y8" t="str">
            <v>(Delevg)</v>
          </cell>
          <cell r="AA8" t="str">
            <v>(De-levg)</v>
          </cell>
          <cell r="AC8" t="str">
            <v>Count</v>
          </cell>
          <cell r="AE8" t="str">
            <v>(MM)</v>
          </cell>
          <cell r="AG8" t="str">
            <v>Store</v>
          </cell>
          <cell r="AH8" t="str">
            <v>Productivity</v>
          </cell>
          <cell r="AI8" t="str">
            <v>Productivity</v>
          </cell>
          <cell r="AK8" t="str">
            <v>Store</v>
          </cell>
          <cell r="AM8" t="str">
            <v>Sq. Ft.</v>
          </cell>
          <cell r="AO8" t="str">
            <v>Sq. Ft.</v>
          </cell>
          <cell r="AP8" t="str">
            <v>Sq. Ft.</v>
          </cell>
          <cell r="AQ8" t="str">
            <v>Other</v>
          </cell>
          <cell r="AR8" t="str">
            <v>(De-Lvg)</v>
          </cell>
          <cell r="AS8" t="str">
            <v>count</v>
          </cell>
          <cell r="AY8" t="str">
            <v>Revenue</v>
          </cell>
          <cell r="BB8" t="str">
            <v>Sq. Ft. Growth</v>
          </cell>
        </row>
        <row r="10">
          <cell r="C10">
            <v>1998</v>
          </cell>
          <cell r="D10">
            <v>6</v>
          </cell>
          <cell r="E10">
            <v>6</v>
          </cell>
          <cell r="F10">
            <v>789.07640000000004</v>
          </cell>
          <cell r="H10" t="e">
            <v>#N/A</v>
          </cell>
          <cell r="J10">
            <v>0.20735487717032219</v>
          </cell>
          <cell r="L10">
            <v>50.97</v>
          </cell>
          <cell r="N10">
            <v>6.4594505677777206E-2</v>
          </cell>
          <cell r="P10" t="str">
            <v>-</v>
          </cell>
          <cell r="R10">
            <v>0.53310517309464267</v>
          </cell>
          <cell r="S10">
            <v>78.14237067263393</v>
          </cell>
          <cell r="U10">
            <v>9.9030170808091497E-2</v>
          </cell>
          <cell r="AC10">
            <v>176</v>
          </cell>
          <cell r="AE10">
            <v>1.6562140000000003</v>
          </cell>
          <cell r="AG10">
            <v>9136.0408163265311</v>
          </cell>
          <cell r="AH10">
            <v>0.84822648084814234</v>
          </cell>
          <cell r="AK10">
            <v>0.44399074245814735</v>
          </cell>
          <cell r="AM10">
            <v>47.181324800197267</v>
          </cell>
          <cell r="AO10">
            <v>486.15698212912093</v>
          </cell>
          <cell r="AS10" t="str">
            <v>Total rent expense as reported in footnote 5 includes Buildings, equipment and</v>
          </cell>
          <cell r="AY10">
            <v>16.1036</v>
          </cell>
        </row>
        <row r="11">
          <cell r="A11" t="str">
            <v>ANF1999</v>
          </cell>
          <cell r="C11">
            <v>1999</v>
          </cell>
          <cell r="D11">
            <v>7</v>
          </cell>
          <cell r="E11">
            <v>7</v>
          </cell>
          <cell r="F11">
            <v>1000.9631179999999</v>
          </cell>
          <cell r="H11" t="e">
            <v>#N/A</v>
          </cell>
          <cell r="I11">
            <v>1030.8579999999999</v>
          </cell>
          <cell r="J11">
            <v>0.2348179865704102</v>
          </cell>
          <cell r="L11">
            <v>61.905999999999999</v>
          </cell>
          <cell r="N11">
            <v>6.1846434585614778E-2</v>
          </cell>
          <cell r="P11" t="str">
            <v>-</v>
          </cell>
          <cell r="R11">
            <v>0.53310517309464267</v>
          </cell>
          <cell r="S11">
            <v>94.908408845596938</v>
          </cell>
          <cell r="U11">
            <v>9.4817088800665431E-2</v>
          </cell>
          <cell r="AC11">
            <v>223</v>
          </cell>
          <cell r="AE11">
            <v>1.982332</v>
          </cell>
          <cell r="AG11">
            <v>8696</v>
          </cell>
          <cell r="AH11">
            <v>0.85586633526187383</v>
          </cell>
          <cell r="AK11">
            <v>0.42559824594438089</v>
          </cell>
          <cell r="AM11">
            <v>47.877151176289814</v>
          </cell>
          <cell r="AO11">
            <v>520.02288214083205</v>
          </cell>
          <cell r="AS11" t="str">
            <v>other rent expense of $1.1mm in 2002 and $1.6mm in 2001. Amounts reported</v>
          </cell>
          <cell r="AY11">
            <v>29.894881999999999</v>
          </cell>
          <cell r="BA11">
            <v>0.19690571387513911</v>
          </cell>
        </row>
        <row r="12">
          <cell r="C12">
            <v>2000</v>
          </cell>
          <cell r="D12">
            <v>8</v>
          </cell>
          <cell r="E12">
            <v>8</v>
          </cell>
          <cell r="F12">
            <v>1190.5750480000002</v>
          </cell>
          <cell r="H12" t="e">
            <v>#N/A</v>
          </cell>
          <cell r="J12">
            <v>0.20495408870688844</v>
          </cell>
          <cell r="L12">
            <v>75.572000000000003</v>
          </cell>
          <cell r="N12">
            <v>6.3475208998332699E-2</v>
          </cell>
          <cell r="P12" t="str">
            <v>-</v>
          </cell>
          <cell r="R12">
            <v>0.53310517309464267</v>
          </cell>
          <cell r="S12">
            <v>115.85982414110833</v>
          </cell>
          <cell r="U12">
            <v>9.7314171278607475E-2</v>
          </cell>
          <cell r="AC12">
            <v>302</v>
          </cell>
          <cell r="AE12">
            <v>2.5114999999999998</v>
          </cell>
          <cell r="AG12">
            <v>8048.0225988700568</v>
          </cell>
          <cell r="AH12">
            <v>0.97185652557478674</v>
          </cell>
          <cell r="AK12">
            <v>0.38364180179174945</v>
          </cell>
          <cell r="AM12">
            <v>46.131723727297768</v>
          </cell>
          <cell r="AO12">
            <v>492.77483575552463</v>
          </cell>
          <cell r="AS12" t="str">
            <v>in footnote 5 exclude CAM, RE Taxes, and Insurance passed thru from landlords.</v>
          </cell>
          <cell r="AY12">
            <v>47.028952000000004</v>
          </cell>
          <cell r="BA12">
            <v>0.26694216710419849</v>
          </cell>
        </row>
        <row r="13">
          <cell r="C13">
            <v>2001</v>
          </cell>
          <cell r="D13">
            <v>9</v>
          </cell>
          <cell r="E13">
            <v>9</v>
          </cell>
          <cell r="F13">
            <v>1307.679678</v>
          </cell>
          <cell r="H13" t="e">
            <v>#N/A</v>
          </cell>
          <cell r="J13">
            <v>0.1988917487817369</v>
          </cell>
          <cell r="L13">
            <v>90.070999999999998</v>
          </cell>
          <cell r="N13">
            <v>6.8878488757856182E-2</v>
          </cell>
          <cell r="P13" t="str">
            <v>-</v>
          </cell>
          <cell r="R13">
            <v>0.53310517309464267</v>
          </cell>
          <cell r="S13">
            <v>138.08831604580755</v>
          </cell>
          <cell r="U13">
            <v>0.1055979674296105</v>
          </cell>
          <cell r="AC13">
            <v>422.5</v>
          </cell>
          <cell r="AE13">
            <v>3.2610000000000001</v>
          </cell>
          <cell r="AG13">
            <v>7480.6517311608959</v>
          </cell>
          <cell r="AH13">
            <v>0.63117470345429261</v>
          </cell>
          <cell r="AK13">
            <v>0.32683625099599417</v>
          </cell>
          <cell r="AM13">
            <v>42.34538977179011</v>
          </cell>
          <cell r="AO13">
            <v>418.53817847286109</v>
          </cell>
          <cell r="AY13">
            <v>57.173321999999999</v>
          </cell>
          <cell r="BA13">
            <v>0.29842723472028676</v>
          </cell>
        </row>
        <row r="14">
          <cell r="C14">
            <v>2002</v>
          </cell>
          <cell r="D14">
            <v>10</v>
          </cell>
          <cell r="E14">
            <v>10</v>
          </cell>
          <cell r="F14">
            <v>1521.3477919999998</v>
          </cell>
          <cell r="H14" t="e">
            <v>#N/A</v>
          </cell>
          <cell r="J14">
            <v>0.19536558511101615</v>
          </cell>
          <cell r="L14">
            <v>112.072</v>
          </cell>
          <cell r="N14">
            <v>7.3666258688072569E-2</v>
          </cell>
          <cell r="P14" t="str">
            <v>-</v>
          </cell>
          <cell r="R14">
            <v>0.53310517309464267</v>
          </cell>
          <cell r="S14">
            <v>171.81816295906279</v>
          </cell>
          <cell r="U14">
            <v>0.11293812227721221</v>
          </cell>
          <cell r="AC14">
            <v>544</v>
          </cell>
          <cell r="AE14">
            <v>4.0152570000000001</v>
          </cell>
          <cell r="AG14">
            <v>7299.0184254606365</v>
          </cell>
          <cell r="AH14">
            <v>0.92260407106700881</v>
          </cell>
          <cell r="AK14">
            <v>0.31584221132180662</v>
          </cell>
          <cell r="AM14">
            <v>42.791323932456322</v>
          </cell>
          <cell r="AO14">
            <v>397.42337788091766</v>
          </cell>
          <cell r="AY14">
            <v>74.409208000000007</v>
          </cell>
          <cell r="BA14">
            <v>0.23129622815087392</v>
          </cell>
        </row>
        <row r="15">
          <cell r="C15">
            <v>2003</v>
          </cell>
          <cell r="D15">
            <v>11</v>
          </cell>
          <cell r="E15">
            <v>11</v>
          </cell>
          <cell r="F15">
            <v>1707.8090000000002</v>
          </cell>
          <cell r="G15">
            <v>1707.8090000000002</v>
          </cell>
          <cell r="H15" t="e">
            <v>#N/A</v>
          </cell>
          <cell r="J15">
            <v>0.19334773385079967</v>
          </cell>
          <cell r="L15">
            <v>128.41399999999999</v>
          </cell>
          <cell r="N15">
            <v>7.5192249250355267E-2</v>
          </cell>
          <cell r="P15">
            <v>7.5192249250355267E-2</v>
          </cell>
          <cell r="R15">
            <v>0.53310517309464267</v>
          </cell>
          <cell r="S15">
            <v>196.87216769777541</v>
          </cell>
          <cell r="U15">
            <v>0.11527762630234141</v>
          </cell>
          <cell r="Y15">
            <v>-23.395040251291967</v>
          </cell>
          <cell r="AA15">
            <v>0</v>
          </cell>
          <cell r="AC15">
            <v>648.5</v>
          </cell>
          <cell r="AE15">
            <v>4.6866640000000004</v>
          </cell>
          <cell r="AG15">
            <v>7165.4485714285729</v>
          </cell>
          <cell r="AH15">
            <v>1.2712047329358787</v>
          </cell>
          <cell r="AK15">
            <v>0.30358082914074852</v>
          </cell>
          <cell r="AM15">
            <v>42.006887563899483</v>
          </cell>
          <cell r="AO15">
            <v>364.39757575964484</v>
          </cell>
          <cell r="AP15">
            <v>364.39757575964484</v>
          </cell>
          <cell r="AY15">
            <v>0</v>
          </cell>
          <cell r="BA15">
            <v>0.16721395417528706</v>
          </cell>
        </row>
        <row r="16">
          <cell r="C16">
            <v>2004</v>
          </cell>
          <cell r="D16">
            <v>12</v>
          </cell>
          <cell r="E16">
            <v>12</v>
          </cell>
          <cell r="F16">
            <v>1894.954</v>
          </cell>
          <cell r="G16">
            <v>2021.2539999999999</v>
          </cell>
          <cell r="H16" t="e">
            <v>#N/A</v>
          </cell>
          <cell r="J16">
            <v>0.18604539558115901</v>
          </cell>
          <cell r="L16">
            <v>150.04499999999999</v>
          </cell>
          <cell r="N16">
            <v>7.9181341605126035E-2</v>
          </cell>
          <cell r="P16">
            <v>7.4233619327407629E-2</v>
          </cell>
          <cell r="R16">
            <v>0.53310517309464267</v>
          </cell>
          <cell r="S16">
            <v>230.03476569698563</v>
          </cell>
          <cell r="U16">
            <v>0.12139332442739277</v>
          </cell>
          <cell r="Y16">
            <v>-61.15698125051361</v>
          </cell>
          <cell r="AA16">
            <v>0</v>
          </cell>
          <cell r="AC16">
            <v>744</v>
          </cell>
          <cell r="AE16">
            <v>5.3030889999999999</v>
          </cell>
          <cell r="AG16">
            <v>7094.3705583756337</v>
          </cell>
          <cell r="AH16">
            <v>0.68108916594296776</v>
          </cell>
          <cell r="AK16">
            <v>0.30918651303358285</v>
          </cell>
          <cell r="AM16">
            <v>43.377504261570124</v>
          </cell>
          <cell r="AO16">
            <v>381.1465355380609</v>
          </cell>
          <cell r="AP16">
            <v>381.1465355380609</v>
          </cell>
          <cell r="AT16" t="str">
            <v>Adjusted Rent Expense Increase Assumption</v>
          </cell>
          <cell r="AY16">
            <v>126.29999999999998</v>
          </cell>
          <cell r="BA16">
            <v>0.13152745748361716</v>
          </cell>
        </row>
        <row r="17">
          <cell r="A17" t="str">
            <v>ANF</v>
          </cell>
          <cell r="B17" t="str">
            <v>ANF</v>
          </cell>
          <cell r="C17" t="str">
            <v>2005 (ex. direct)</v>
          </cell>
          <cell r="D17">
            <v>13</v>
          </cell>
          <cell r="E17">
            <v>13</v>
          </cell>
          <cell r="F17">
            <v>2644.6110000000003</v>
          </cell>
          <cell r="G17">
            <v>2784.7110000000002</v>
          </cell>
          <cell r="H17" t="e">
            <v>#N/A</v>
          </cell>
          <cell r="J17">
            <v>0.19775983935137259</v>
          </cell>
          <cell r="L17">
            <v>189.428</v>
          </cell>
          <cell r="N17">
            <v>7.1627925619306573E-2</v>
          </cell>
          <cell r="P17">
            <v>6.8024294082940737E-2</v>
          </cell>
          <cell r="R17">
            <v>0.53310517309464267</v>
          </cell>
          <cell r="S17">
            <v>290.41304672897195</v>
          </cell>
          <cell r="U17">
            <v>0.10981314330499718</v>
          </cell>
          <cell r="Y17">
            <v>115.80181122395588</v>
          </cell>
          <cell r="AA17">
            <v>0</v>
          </cell>
          <cell r="AC17">
            <v>819.5</v>
          </cell>
          <cell r="AE17">
            <v>5.8078639999999995</v>
          </cell>
          <cell r="AG17">
            <v>7080.3337250293771</v>
          </cell>
          <cell r="AH17">
            <v>1.4246660438870515</v>
          </cell>
          <cell r="AI17">
            <v>1.4246660438870515</v>
          </cell>
          <cell r="AK17">
            <v>0.35437833646000239</v>
          </cell>
          <cell r="AM17">
            <v>50.003417216548456</v>
          </cell>
          <cell r="AO17">
            <v>479.47248764778249</v>
          </cell>
          <cell r="AP17">
            <v>479.47248764778249</v>
          </cell>
          <cell r="AT17" t="str">
            <v>10-K #: Excludes CAM, RE Taxes, Insurance</v>
          </cell>
          <cell r="AY17">
            <v>140.1</v>
          </cell>
          <cell r="BA17">
            <v>9.5185089294183012E-2</v>
          </cell>
          <cell r="BB17">
            <v>9.5185089294183012E-2</v>
          </cell>
        </row>
        <row r="18">
          <cell r="A18" t="str">
            <v>ANF2006</v>
          </cell>
          <cell r="B18" t="str">
            <v>ANF</v>
          </cell>
          <cell r="C18" t="str">
            <v>2006 (ex. direct)</v>
          </cell>
          <cell r="D18">
            <v>15</v>
          </cell>
          <cell r="E18">
            <v>14</v>
          </cell>
          <cell r="F18">
            <v>3119.2579999999998</v>
          </cell>
          <cell r="G18">
            <v>3318.1579999999999</v>
          </cell>
          <cell r="H18" t="e">
            <v>#N/A</v>
          </cell>
          <cell r="J18">
            <v>0.19532071709665416</v>
          </cell>
          <cell r="L18">
            <v>222.52799999999999</v>
          </cell>
          <cell r="N18">
            <v>7.1340043048699397E-2</v>
          </cell>
          <cell r="P18">
            <v>6.7063714265565413E-2</v>
          </cell>
          <cell r="R18">
            <v>0.51063609055222092</v>
          </cell>
          <cell r="S18">
            <v>336.15882795840463</v>
          </cell>
          <cell r="U18">
            <v>0.10776884373091442</v>
          </cell>
          <cell r="W18">
            <v>0.10130886713604495</v>
          </cell>
          <cell r="Y18">
            <v>20.442995740827669</v>
          </cell>
          <cell r="AA18">
            <v>-1013.0886713604496</v>
          </cell>
          <cell r="AC18">
            <v>897.5</v>
          </cell>
          <cell r="AE18">
            <v>6.3593639999999994</v>
          </cell>
          <cell r="AG18">
            <v>7090.4279661016953</v>
          </cell>
          <cell r="AH18">
            <v>1.6794579509618821</v>
          </cell>
          <cell r="AI18" t="e">
            <v>#N/A</v>
          </cell>
          <cell r="AK18">
            <v>0.37455022613749822</v>
          </cell>
          <cell r="AM18">
            <v>52.860447673447325</v>
          </cell>
          <cell r="AO18">
            <v>521.77513348819161</v>
          </cell>
          <cell r="AP18">
            <v>521.77513348819161</v>
          </cell>
          <cell r="AR18" t="str">
            <v>DE-LVG</v>
          </cell>
          <cell r="AY18">
            <v>198.89999999999998</v>
          </cell>
          <cell r="BA18">
            <v>9.4957457681515978E-2</v>
          </cell>
          <cell r="BB18">
            <v>9.4957457681515978E-2</v>
          </cell>
        </row>
        <row r="19">
          <cell r="A19" t="str">
            <v>ANF2007</v>
          </cell>
          <cell r="B19" t="str">
            <v>ANF</v>
          </cell>
          <cell r="C19" t="str">
            <v>2007 (ex. direct)</v>
          </cell>
          <cell r="D19">
            <v>17</v>
          </cell>
          <cell r="E19">
            <v>15</v>
          </cell>
          <cell r="F19">
            <v>3451.7469999999998</v>
          </cell>
          <cell r="G19">
            <v>3749.8469999999998</v>
          </cell>
          <cell r="H19" t="e">
            <v>#N/A</v>
          </cell>
          <cell r="J19">
            <v>0.19434472926495394</v>
          </cell>
          <cell r="L19">
            <v>243.10399999999998</v>
          </cell>
          <cell r="N19">
            <v>7.0429263790190877E-2</v>
          </cell>
          <cell r="P19">
            <v>6.4830378412772574E-2</v>
          </cell>
          <cell r="R19">
            <v>0.53310517309464256</v>
          </cell>
          <cell r="S19">
            <v>372.70399999999995</v>
          </cell>
          <cell r="U19">
            <v>0.10797546865398883</v>
          </cell>
          <cell r="W19">
            <v>9.939178851830488E-2</v>
          </cell>
          <cell r="Y19">
            <v>-2.0662492307441105</v>
          </cell>
          <cell r="AA19">
            <v>19.1707861774007</v>
          </cell>
          <cell r="AC19">
            <v>989.5</v>
          </cell>
          <cell r="AE19">
            <v>7.0153639999999999</v>
          </cell>
          <cell r="AG19">
            <v>7089.2405797101446</v>
          </cell>
          <cell r="AH19">
            <v>1.1302638883302507</v>
          </cell>
          <cell r="AI19" t="e">
            <v>#N/A</v>
          </cell>
          <cell r="AK19">
            <v>0.37665891864578066</v>
          </cell>
          <cell r="AM19">
            <v>53.126822784961689</v>
          </cell>
          <cell r="AO19">
            <v>534.51923521003323</v>
          </cell>
          <cell r="AP19">
            <v>534.51923521003323</v>
          </cell>
          <cell r="AR19">
            <v>-253.44001459675886</v>
          </cell>
          <cell r="AY19">
            <v>298.10000000000002</v>
          </cell>
          <cell r="BA19">
            <v>0.10315496958500892</v>
          </cell>
          <cell r="BB19">
            <v>0.10315496958500892</v>
          </cell>
        </row>
        <row r="20">
          <cell r="A20" t="str">
            <v>ANF2008</v>
          </cell>
          <cell r="B20" t="str">
            <v>ANF</v>
          </cell>
          <cell r="C20">
            <v>2008</v>
          </cell>
          <cell r="D20">
            <v>19</v>
          </cell>
          <cell r="E20">
            <v>16</v>
          </cell>
          <cell r="F20">
            <v>3169.0569999999998</v>
          </cell>
          <cell r="G20">
            <v>3484.0569999999998</v>
          </cell>
          <cell r="H20" t="e">
            <v>#N/A</v>
          </cell>
          <cell r="J20">
            <v>0.14164033481656585</v>
          </cell>
          <cell r="L20">
            <v>281.39699999999999</v>
          </cell>
          <cell r="N20">
            <v>8.879518418255021E-2</v>
          </cell>
          <cell r="P20">
            <v>8.0767048300300487E-2</v>
          </cell>
          <cell r="R20">
            <v>0.50142680980962839</v>
          </cell>
          <cell r="S20">
            <v>422.49699999999996</v>
          </cell>
          <cell r="U20">
            <v>0.13331947011366471</v>
          </cell>
          <cell r="W20">
            <v>0.12126581166726032</v>
          </cell>
          <cell r="Y20">
            <v>-253.44001459675886</v>
          </cell>
          <cell r="AA20">
            <v>-218.74023148955439</v>
          </cell>
          <cell r="AC20">
            <v>1080</v>
          </cell>
          <cell r="AE20">
            <v>7.6798640000000002</v>
          </cell>
          <cell r="AG20">
            <v>7130.9902222222227</v>
          </cell>
          <cell r="AH20">
            <v>0.67967544627973664</v>
          </cell>
          <cell r="AI20" t="e">
            <v>#N/A</v>
          </cell>
          <cell r="AK20">
            <v>0.39120092592592587</v>
          </cell>
          <cell r="AM20">
            <v>55.013604407578043</v>
          </cell>
          <cell r="AO20">
            <v>460.97704334347594</v>
          </cell>
          <cell r="AP20">
            <v>453.66128879365567</v>
          </cell>
          <cell r="AQ20" t="str">
            <v>2012 10-K: We estimate total CAM, insurance, and taxes expenses were $168.6M in 2012.  Store sales exclude direct/internet sales ($701M in '12, $553M in '11) and rent expense excludes equipment and other rent.</v>
          </cell>
          <cell r="AR20">
            <v>-405.93606321085775</v>
          </cell>
          <cell r="AS20">
            <v>9.146033350176852E-2</v>
          </cell>
          <cell r="AU20">
            <v>-659.37607780761664</v>
          </cell>
          <cell r="AY20">
            <v>315</v>
          </cell>
          <cell r="BA20">
            <v>9.4720673082679729E-2</v>
          </cell>
          <cell r="BB20">
            <v>9.4720673082679729E-2</v>
          </cell>
        </row>
        <row r="21">
          <cell r="A21" t="str">
            <v>ANF2009</v>
          </cell>
          <cell r="B21" t="str">
            <v>ANF</v>
          </cell>
          <cell r="C21">
            <v>2009</v>
          </cell>
          <cell r="D21">
            <v>20</v>
          </cell>
          <cell r="E21">
            <v>17</v>
          </cell>
          <cell r="F21">
            <v>2638.5250000000001</v>
          </cell>
          <cell r="G21">
            <v>2928.625</v>
          </cell>
          <cell r="H21" t="e">
            <v>#N/A</v>
          </cell>
          <cell r="J21">
            <v>4.6976652866106104E-2</v>
          </cell>
          <cell r="L21">
            <v>307.274</v>
          </cell>
          <cell r="N21">
            <v>0.11645673245468585</v>
          </cell>
          <cell r="P21">
            <v>0.10492090998335396</v>
          </cell>
          <cell r="R21">
            <v>0.49337073751765526</v>
          </cell>
          <cell r="S21">
            <v>458.87400000000002</v>
          </cell>
          <cell r="U21">
            <v>0.17391307643475049</v>
          </cell>
          <cell r="W21">
            <v>0.15668581672286483</v>
          </cell>
          <cell r="Y21">
            <v>-405.93606321085775</v>
          </cell>
          <cell r="AA21">
            <v>-354.20005055604514</v>
          </cell>
          <cell r="AC21">
            <v>1111</v>
          </cell>
          <cell r="AE21">
            <v>7.9347739999999991</v>
          </cell>
          <cell r="AG21">
            <v>7153.3126709206917</v>
          </cell>
          <cell r="AH21">
            <v>1.8675758596353069</v>
          </cell>
          <cell r="AI21">
            <v>0</v>
          </cell>
          <cell r="AK21">
            <v>0.41302790279027907</v>
          </cell>
          <cell r="AM21">
            <v>57.830758632823077</v>
          </cell>
          <cell r="AO21">
            <v>374.73828959601241</v>
          </cell>
          <cell r="AP21">
            <v>369.08738673590454</v>
          </cell>
          <cell r="AR21">
            <v>94.346680915818055</v>
          </cell>
          <cell r="AS21">
            <v>2.8703703703703676E-2</v>
          </cell>
          <cell r="AU21">
            <v>-311.58938229503968</v>
          </cell>
          <cell r="AY21">
            <v>290.10000000000002</v>
          </cell>
          <cell r="BA21">
            <v>3.3191994024894145E-2</v>
          </cell>
          <cell r="BB21">
            <v>3.3191994024894145E-2</v>
          </cell>
          <cell r="BC21">
            <v>0</v>
          </cell>
        </row>
        <row r="22">
          <cell r="A22" t="str">
            <v>ANF2010</v>
          </cell>
          <cell r="B22" t="str">
            <v>ANF</v>
          </cell>
          <cell r="C22">
            <v>2010</v>
          </cell>
          <cell r="D22">
            <v>21</v>
          </cell>
          <cell r="E22">
            <v>18</v>
          </cell>
          <cell r="F22">
            <v>3063.7759999999998</v>
          </cell>
          <cell r="G22">
            <v>3468.7759999999998</v>
          </cell>
          <cell r="H22" t="e">
            <v>#N/A</v>
          </cell>
          <cell r="J22">
            <v>6.9685099297273664E-2</v>
          </cell>
          <cell r="L22">
            <v>342.72499999999997</v>
          </cell>
          <cell r="N22">
            <v>0.11186359577201466</v>
          </cell>
          <cell r="P22">
            <v>9.8802863027188839E-2</v>
          </cell>
          <cell r="R22">
            <v>0.47034794660442047</v>
          </cell>
          <cell r="S22">
            <v>503.92499999999995</v>
          </cell>
          <cell r="U22">
            <v>0.16447840834316868</v>
          </cell>
          <cell r="W22">
            <v>0.14527458677066493</v>
          </cell>
          <cell r="Y22">
            <v>94.346680915818055</v>
          </cell>
          <cell r="AA22">
            <v>114.11229952199898</v>
          </cell>
          <cell r="AC22">
            <v>1083</v>
          </cell>
          <cell r="AE22">
            <v>7.802009</v>
          </cell>
          <cell r="AG22">
            <v>7256.1590271281575</v>
          </cell>
          <cell r="AH22">
            <v>-4.2915766957321955</v>
          </cell>
          <cell r="AI22">
            <v>0</v>
          </cell>
          <cell r="AK22">
            <v>0.4653047091412742</v>
          </cell>
          <cell r="AM22">
            <v>64.5891333885926</v>
          </cell>
          <cell r="AO22">
            <v>444.61407311885955</v>
          </cell>
          <cell r="AP22">
            <v>444.60035870248288</v>
          </cell>
          <cell r="AR22">
            <v>95.104394462600382</v>
          </cell>
          <cell r="AS22">
            <v>-2.5202520252025185E-2</v>
          </cell>
          <cell r="AY22">
            <v>405</v>
          </cell>
          <cell r="BA22">
            <v>-1.6732045550383545E-2</v>
          </cell>
          <cell r="BB22">
            <v>-1.6732045550383545E-2</v>
          </cell>
        </row>
        <row r="23">
          <cell r="A23" t="str">
            <v>ANF2011</v>
          </cell>
          <cell r="B23" t="str">
            <v>ANF</v>
          </cell>
          <cell r="C23">
            <v>2011</v>
          </cell>
          <cell r="D23">
            <v>22</v>
          </cell>
          <cell r="E23">
            <v>19</v>
          </cell>
          <cell r="F23">
            <v>3605.558</v>
          </cell>
          <cell r="G23">
            <v>4158.058</v>
          </cell>
          <cell r="H23" t="e">
            <v>#N/A</v>
          </cell>
          <cell r="J23">
            <v>8.0926682154658577E-2</v>
          </cell>
          <cell r="L23">
            <v>404.94600000000003</v>
          </cell>
          <cell r="N23">
            <v>0.11231160336347384</v>
          </cell>
          <cell r="P23">
            <v>9.7388251919525895E-2</v>
          </cell>
          <cell r="R23">
            <v>0.37980372691667541</v>
          </cell>
          <cell r="S23">
            <v>558.74600000000009</v>
          </cell>
          <cell r="U23">
            <v>0.15496796889690864</v>
          </cell>
          <cell r="W23">
            <v>0.13437667295646191</v>
          </cell>
          <cell r="Y23">
            <v>95.104394462600382</v>
          </cell>
          <cell r="AA23">
            <v>108.97913814203019</v>
          </cell>
          <cell r="AC23">
            <v>1055</v>
          </cell>
          <cell r="AE23">
            <v>7.7496840000000002</v>
          </cell>
          <cell r="AG23">
            <v>7437.5926993275698</v>
          </cell>
          <cell r="AH23">
            <v>-27.465011119416488</v>
          </cell>
          <cell r="AI23">
            <v>0</v>
          </cell>
          <cell r="AK23">
            <v>0.52961706161137445</v>
          </cell>
          <cell r="AM23">
            <v>72.099197851164007</v>
          </cell>
          <cell r="AO23">
            <v>536.54549011288714</v>
          </cell>
          <cell r="AP23">
            <v>536.54549011288714</v>
          </cell>
          <cell r="AR23">
            <v>-10.586818404850762</v>
          </cell>
          <cell r="AS23">
            <v>-2.5854108956602007E-2</v>
          </cell>
          <cell r="AY23">
            <v>552.5</v>
          </cell>
          <cell r="BA23">
            <v>-6.7066059523899213E-3</v>
          </cell>
          <cell r="BB23">
            <v>-6.7066059523899213E-3</v>
          </cell>
        </row>
        <row r="24">
          <cell r="A24" t="str">
            <v>ANF2012</v>
          </cell>
          <cell r="B24" t="str">
            <v>ANF</v>
          </cell>
          <cell r="C24">
            <v>2012</v>
          </cell>
          <cell r="D24">
            <v>23</v>
          </cell>
          <cell r="E24">
            <v>20</v>
          </cell>
          <cell r="F24">
            <v>3810.1760000000004</v>
          </cell>
          <cell r="G24">
            <v>4510.8050000000003</v>
          </cell>
          <cell r="H24" t="e">
            <v>#N/A</v>
          </cell>
          <cell r="J24">
            <v>8.334698573757908E-2</v>
          </cell>
          <cell r="L24">
            <v>430.88899999999995</v>
          </cell>
          <cell r="N24">
            <v>0.11308900166291529</v>
          </cell>
          <cell r="P24">
            <v>9.5523747978465023E-2</v>
          </cell>
          <cell r="R24">
            <v>0.37968014964410779</v>
          </cell>
          <cell r="S24">
            <v>594.48899999999992</v>
          </cell>
          <cell r="U24">
            <v>0.15602665073739372</v>
          </cell>
          <cell r="W24">
            <v>0.13179221890549467</v>
          </cell>
          <cell r="Y24">
            <v>-10.586818404850762</v>
          </cell>
          <cell r="AA24">
            <v>25.844540509672441</v>
          </cell>
          <cell r="AC24">
            <v>1041</v>
          </cell>
          <cell r="AE24">
            <v>7.8502670000000006</v>
          </cell>
          <cell r="AG24">
            <v>7644.5725264169068</v>
          </cell>
          <cell r="AH24" t="e">
            <v>#REF!</v>
          </cell>
          <cell r="AI24">
            <v>0</v>
          </cell>
          <cell r="AK24">
            <v>0.57107492795389037</v>
          </cell>
          <cell r="AM24">
            <v>75.728507068613069</v>
          </cell>
          <cell r="AO24">
            <v>574.6052968644251</v>
          </cell>
          <cell r="AP24">
            <v>574.6052968644251</v>
          </cell>
          <cell r="AR24">
            <v>-347.41200936014042</v>
          </cell>
          <cell r="AS24">
            <v>-1.3270142180094813E-2</v>
          </cell>
          <cell r="AY24">
            <v>700.62900000000002</v>
          </cell>
          <cell r="BA24">
            <v>1.2978980820379293E-2</v>
          </cell>
          <cell r="BB24">
            <v>1.2978980820379293E-2</v>
          </cell>
        </row>
        <row r="25">
          <cell r="A25" t="str">
            <v>ANF2013</v>
          </cell>
          <cell r="B25" t="str">
            <v>ANF</v>
          </cell>
          <cell r="C25" t="str">
            <v>2013e</v>
          </cell>
          <cell r="D25">
            <v>24</v>
          </cell>
          <cell r="E25">
            <v>21</v>
          </cell>
          <cell r="F25">
            <v>3339.9809999999998</v>
          </cell>
          <cell r="G25">
            <v>4116.8969999999999</v>
          </cell>
          <cell r="H25" t="e">
            <v>#N/A</v>
          </cell>
          <cell r="J25">
            <v>9.2901826788002642E-2</v>
          </cell>
          <cell r="L25">
            <v>473.56100000000004</v>
          </cell>
          <cell r="N25">
            <v>0.14178553710335479</v>
          </cell>
          <cell r="P25">
            <v>0.11502862471419617</v>
          </cell>
          <cell r="R25">
            <v>0.34546763774888567</v>
          </cell>
          <cell r="S25">
            <v>637.16100000000006</v>
          </cell>
          <cell r="U25">
            <v>0.19076785167340776</v>
          </cell>
          <cell r="W25">
            <v>0.15476729196771261</v>
          </cell>
          <cell r="Y25">
            <v>-347.41200936014042</v>
          </cell>
          <cell r="AA25">
            <v>-229.75073062217939</v>
          </cell>
          <cell r="AC25">
            <v>1023.5</v>
          </cell>
          <cell r="AE25">
            <v>7.8469999999999995</v>
          </cell>
          <cell r="AG25">
            <v>7689.8608349900596</v>
          </cell>
          <cell r="AH25" t="e">
            <v>#REF!</v>
          </cell>
          <cell r="AI25">
            <v>0</v>
          </cell>
          <cell r="AK25">
            <v>0.6225315095261359</v>
          </cell>
          <cell r="AM25">
            <v>81.198037466547731</v>
          </cell>
          <cell r="AO25">
            <v>524.64597935516758</v>
          </cell>
          <cell r="AP25">
            <v>524.64597935516758</v>
          </cell>
          <cell r="AY25">
            <v>776.91600000000005</v>
          </cell>
          <cell r="BA25">
            <v>-4.161641890653156E-4</v>
          </cell>
          <cell r="BB25">
            <v>-4.161641890653156E-4</v>
          </cell>
        </row>
        <row r="26">
          <cell r="A26" t="str">
            <v>CHECK</v>
          </cell>
          <cell r="C26" t="str">
            <v>2007 = Trough rent</v>
          </cell>
          <cell r="F26">
            <v>3451.7469999999998</v>
          </cell>
          <cell r="G26">
            <v>3749.8469999999998</v>
          </cell>
          <cell r="H26" t="e">
            <v>#N/A</v>
          </cell>
          <cell r="J26">
            <v>0.19434472926495394</v>
          </cell>
          <cell r="L26">
            <v>243.10399999999998</v>
          </cell>
          <cell r="N26">
            <v>7.0429263790190877E-2</v>
          </cell>
          <cell r="P26">
            <v>6.4830378412772574E-2</v>
          </cell>
          <cell r="Q26">
            <v>0</v>
          </cell>
          <cell r="S26">
            <v>372.70399999999995</v>
          </cell>
          <cell r="U26">
            <v>0.10797546865398883</v>
          </cell>
          <cell r="W26">
            <v>9.939178851830488E-2</v>
          </cell>
          <cell r="Z26">
            <v>0</v>
          </cell>
          <cell r="AB26">
            <v>0</v>
          </cell>
          <cell r="AC26">
            <v>989.5</v>
          </cell>
          <cell r="AD26">
            <v>0</v>
          </cell>
          <cell r="AE26">
            <v>7.0153639999999999</v>
          </cell>
          <cell r="AF26">
            <v>0</v>
          </cell>
          <cell r="AG26">
            <v>7089.2405797101446</v>
          </cell>
          <cell r="AH26">
            <v>0.85586633526187383</v>
          </cell>
          <cell r="AI26">
            <v>0.85586633526187383</v>
          </cell>
          <cell r="AJ26">
            <v>0</v>
          </cell>
          <cell r="AK26">
            <v>0.37665891864578066</v>
          </cell>
          <cell r="AL26">
            <v>0</v>
          </cell>
          <cell r="AM26">
            <v>53.126822784961689</v>
          </cell>
          <cell r="AN26">
            <v>0</v>
          </cell>
          <cell r="AO26">
            <v>534.51923521003323</v>
          </cell>
          <cell r="AP26">
            <v>534.51923521003323</v>
          </cell>
          <cell r="AR26">
            <v>-0.14736807639884783</v>
          </cell>
        </row>
        <row r="28">
          <cell r="AI28">
            <v>0</v>
          </cell>
        </row>
        <row r="29">
          <cell r="C29">
            <v>1998</v>
          </cell>
          <cell r="D29">
            <v>5</v>
          </cell>
          <cell r="E29">
            <v>6</v>
          </cell>
          <cell r="F29">
            <v>587.6</v>
          </cell>
          <cell r="H29">
            <v>0.32100000000000001</v>
          </cell>
          <cell r="J29">
            <v>0.14815010211027912</v>
          </cell>
          <cell r="L29">
            <v>59.658999999999999</v>
          </cell>
          <cell r="N29">
            <v>0.10152995234853641</v>
          </cell>
          <cell r="P29" t="str">
            <v>-</v>
          </cell>
          <cell r="S29">
            <v>59.658999999999999</v>
          </cell>
          <cell r="U29">
            <v>0.10152995234853641</v>
          </cell>
          <cell r="AC29">
            <v>0.13070866141732274</v>
          </cell>
          <cell r="AE29">
            <v>1.509147</v>
          </cell>
          <cell r="AG29">
            <v>4209.6709844559582</v>
          </cell>
          <cell r="AH29" t="e">
            <v>#N/A</v>
          </cell>
          <cell r="AI29">
            <v>0</v>
          </cell>
          <cell r="AK29">
            <v>456.42728915662684</v>
          </cell>
          <cell r="AM29">
            <v>39.531602951866184</v>
          </cell>
          <cell r="AO29">
            <v>388</v>
          </cell>
          <cell r="AS29" t="str">
            <v>Annual store rent expense as reported in footnote 11 of the financial statements</v>
          </cell>
        </row>
        <row r="30">
          <cell r="A30" t="str">
            <v>AEO1999</v>
          </cell>
          <cell r="C30">
            <v>1999</v>
          </cell>
          <cell r="D30">
            <v>6</v>
          </cell>
          <cell r="E30">
            <v>7</v>
          </cell>
          <cell r="F30">
            <v>832.10400000000004</v>
          </cell>
          <cell r="H30">
            <v>0.20899565631219172</v>
          </cell>
          <cell r="J30">
            <v>0.17968186668974073</v>
          </cell>
          <cell r="L30">
            <v>77.173000000000002</v>
          </cell>
          <cell r="N30">
            <v>9.2744416563314197E-2</v>
          </cell>
          <cell r="P30" t="str">
            <v>-</v>
          </cell>
          <cell r="S30">
            <v>77.173000000000002</v>
          </cell>
          <cell r="U30">
            <v>9.2744416563314197E-2</v>
          </cell>
          <cell r="AC30">
            <v>0.18662952646239561</v>
          </cell>
          <cell r="AE30">
            <v>1.8321565</v>
          </cell>
          <cell r="AG30">
            <v>4376.3519313304714</v>
          </cell>
          <cell r="AH30" t="e">
            <v>#N/A</v>
          </cell>
          <cell r="AI30">
            <v>0</v>
          </cell>
          <cell r="AK30">
            <v>413.50905970149239</v>
          </cell>
          <cell r="AM30">
            <v>42.121401747066912</v>
          </cell>
          <cell r="AO30">
            <v>454.16644265923793</v>
          </cell>
          <cell r="AS30" t="str">
            <v>includes CAM, RE taxes, and other expenses in addition to minimum rent and</v>
          </cell>
          <cell r="BA30">
            <v>0.21403448438091188</v>
          </cell>
        </row>
        <row r="31">
          <cell r="C31">
            <v>2000</v>
          </cell>
          <cell r="D31">
            <v>7</v>
          </cell>
          <cell r="E31">
            <v>8</v>
          </cell>
          <cell r="F31">
            <v>1093.4769999999999</v>
          </cell>
          <cell r="H31">
            <v>5.7999999999999996E-2</v>
          </cell>
          <cell r="J31">
            <v>0.13402293783957037</v>
          </cell>
          <cell r="L31">
            <v>103.58</v>
          </cell>
          <cell r="N31">
            <v>9.4725357735004956E-2</v>
          </cell>
          <cell r="P31" t="str">
            <v>-</v>
          </cell>
          <cell r="S31">
            <v>103.58</v>
          </cell>
          <cell r="U31">
            <v>9.4725357735004956E-2</v>
          </cell>
          <cell r="AC31">
            <v>0.19718309859154926</v>
          </cell>
          <cell r="AE31">
            <v>2.3181215000000002</v>
          </cell>
          <cell r="AG31">
            <v>4687.4783393501802</v>
          </cell>
          <cell r="AH31" t="e">
            <v>#N/A</v>
          </cell>
          <cell r="AI31">
            <v>0</v>
          </cell>
          <cell r="AK31">
            <v>525.29857142857156</v>
          </cell>
          <cell r="AM31">
            <v>44.682731254595581</v>
          </cell>
          <cell r="AO31">
            <v>448</v>
          </cell>
          <cell r="AS31" t="str">
            <v>percentage rent.  This could be the reason for a slightly elevated rent % vs. sector.</v>
          </cell>
          <cell r="BA31">
            <v>0.26524207948393075</v>
          </cell>
        </row>
        <row r="32">
          <cell r="C32">
            <v>2001</v>
          </cell>
          <cell r="D32">
            <v>8</v>
          </cell>
          <cell r="E32">
            <v>9</v>
          </cell>
          <cell r="F32">
            <v>1371.8990000000001</v>
          </cell>
          <cell r="H32">
            <v>2.3E-2</v>
          </cell>
          <cell r="J32">
            <v>0.12134493865802087</v>
          </cell>
          <cell r="L32">
            <v>138.46700000000001</v>
          </cell>
          <cell r="N32">
            <v>0.10093089943210105</v>
          </cell>
          <cell r="P32" t="str">
            <v>-</v>
          </cell>
          <cell r="S32">
            <v>138.46700000000001</v>
          </cell>
          <cell r="U32">
            <v>0.10093089943210105</v>
          </cell>
          <cell r="AC32">
            <v>0.20784313725490189</v>
          </cell>
          <cell r="AE32">
            <v>2.9657784999999999</v>
          </cell>
          <cell r="AG32">
            <v>4918.4277286135693</v>
          </cell>
          <cell r="AH32" t="e">
            <v>#N/A</v>
          </cell>
          <cell r="AI32">
            <v>0</v>
          </cell>
          <cell r="AK32">
            <v>666.20915094339648</v>
          </cell>
          <cell r="AM32">
            <v>46.688247284819155</v>
          </cell>
          <cell r="AO32">
            <v>417</v>
          </cell>
          <cell r="AS32" t="str">
            <v>DL: In 2003 10-K: looks like they changed their reporting method to show rent expense</v>
          </cell>
          <cell r="BA32">
            <v>0.27938872056533692</v>
          </cell>
        </row>
        <row r="33">
          <cell r="C33">
            <v>2002</v>
          </cell>
          <cell r="D33">
            <v>9</v>
          </cell>
          <cell r="E33">
            <v>10</v>
          </cell>
          <cell r="F33">
            <v>1463.1410000000001</v>
          </cell>
          <cell r="G33">
            <v>1463.1410000000001</v>
          </cell>
          <cell r="H33">
            <v>-4.3418294478692096E-2</v>
          </cell>
          <cell r="J33">
            <v>9.6426113409439032E-2</v>
          </cell>
          <cell r="L33">
            <v>108.114</v>
          </cell>
          <cell r="N33">
            <v>7.3891716519460526E-2</v>
          </cell>
          <cell r="P33">
            <v>7.3891716519460526E-2</v>
          </cell>
          <cell r="S33">
            <v>140.54820000000001</v>
          </cell>
          <cell r="U33">
            <v>9.6059231475298684E-2</v>
          </cell>
          <cell r="AC33">
            <v>0.16152597402597402</v>
          </cell>
          <cell r="AE33">
            <v>3.5760679999999998</v>
          </cell>
          <cell r="AG33">
            <v>5069.6440903054445</v>
          </cell>
          <cell r="AH33" t="e">
            <v>#N/A</v>
          </cell>
          <cell r="AI33">
            <v>0</v>
          </cell>
          <cell r="AK33">
            <v>870.12754974874383</v>
          </cell>
          <cell r="AM33">
            <v>39.302440557618034</v>
          </cell>
          <cell r="AO33">
            <v>396.32663584696934</v>
          </cell>
          <cell r="AS33" t="str">
            <v>excluding CAM, RE taxes and other expenses. From 2003 onwards, I have</v>
          </cell>
          <cell r="BA33">
            <v>0.20577716778242205</v>
          </cell>
        </row>
        <row r="34">
          <cell r="C34">
            <v>2003</v>
          </cell>
          <cell r="D34">
            <v>10</v>
          </cell>
          <cell r="E34">
            <v>11</v>
          </cell>
          <cell r="F34">
            <v>1435.4359999999999</v>
          </cell>
          <cell r="G34">
            <v>1435.4359999999999</v>
          </cell>
          <cell r="H34">
            <v>-6.6115349058494643E-2</v>
          </cell>
          <cell r="J34">
            <v>9.2843568086630079E-2</v>
          </cell>
          <cell r="L34">
            <v>122.119</v>
          </cell>
          <cell r="N34">
            <v>8.5074500012539744E-2</v>
          </cell>
          <cell r="P34">
            <v>8.5074500012539744E-2</v>
          </cell>
          <cell r="S34">
            <v>158.75470000000001</v>
          </cell>
          <cell r="U34">
            <v>0.11059685001630168</v>
          </cell>
          <cell r="W34">
            <v>0.11059685001630168</v>
          </cell>
          <cell r="Y34">
            <v>-145.37618541002993</v>
          </cell>
          <cell r="AA34">
            <v>-1105.9685001630169</v>
          </cell>
          <cell r="AC34">
            <v>8.8749126484975571E-2</v>
          </cell>
          <cell r="AE34">
            <v>4.0284694999999999</v>
          </cell>
          <cell r="AG34">
            <v>5266.4559006211184</v>
          </cell>
          <cell r="AH34" t="e">
            <v>#N/A</v>
          </cell>
          <cell r="AI34">
            <v>0</v>
          </cell>
          <cell r="AK34">
            <v>1788.8029582677161</v>
          </cell>
          <cell r="AM34">
            <v>39.408192118619745</v>
          </cell>
          <cell r="AO34">
            <v>343</v>
          </cell>
          <cell r="AP34">
            <v>356.3229161844219</v>
          </cell>
          <cell r="AS34" t="str">
            <v>multiplied the reported rent expense by 1.3 to a/c for the CAM chgs etc.</v>
          </cell>
          <cell r="BA34">
            <v>0.12650808094253252</v>
          </cell>
        </row>
        <row r="35">
          <cell r="C35">
            <v>2004</v>
          </cell>
          <cell r="D35">
            <v>11</v>
          </cell>
          <cell r="E35">
            <v>12</v>
          </cell>
          <cell r="F35">
            <v>1825.6469999999999</v>
          </cell>
          <cell r="G35">
            <v>1889.6469999999999</v>
          </cell>
          <cell r="H35">
            <v>0.214</v>
          </cell>
          <cell r="J35">
            <v>0.19102403782293731</v>
          </cell>
          <cell r="L35">
            <v>142.56</v>
          </cell>
          <cell r="N35">
            <v>7.8087384910664553E-2</v>
          </cell>
          <cell r="P35">
            <v>7.5442662042169789E-2</v>
          </cell>
          <cell r="S35">
            <v>185.328</v>
          </cell>
          <cell r="U35">
            <v>0.10151360038386392</v>
          </cell>
          <cell r="W35">
            <v>9.8075460654820715E-2</v>
          </cell>
          <cell r="Y35">
            <v>90.832496324377558</v>
          </cell>
          <cell r="AA35">
            <v>125.21389361480963</v>
          </cell>
          <cell r="AC35">
            <v>5.9691912708600858E-2</v>
          </cell>
          <cell r="AE35">
            <v>4.3897960000000005</v>
          </cell>
          <cell r="AG35">
            <v>5366.5425531914889</v>
          </cell>
          <cell r="AH35" t="e">
            <v>#N/A</v>
          </cell>
          <cell r="AI35">
            <v>0</v>
          </cell>
          <cell r="AK35">
            <v>3104.7421935483826</v>
          </cell>
          <cell r="AM35">
            <v>42.21790716470651</v>
          </cell>
          <cell r="AO35">
            <v>412</v>
          </cell>
          <cell r="AP35">
            <v>430.46351128845163</v>
          </cell>
          <cell r="AT35" t="str">
            <v>Adjusted Rent Expense Increase Assumption</v>
          </cell>
          <cell r="AY35">
            <v>64</v>
          </cell>
          <cell r="BA35">
            <v>8.969324454361649E-2</v>
          </cell>
        </row>
        <row r="36">
          <cell r="A36" t="str">
            <v>AEO</v>
          </cell>
          <cell r="B36" t="str">
            <v>AEO</v>
          </cell>
          <cell r="C36" t="str">
            <v>2005 (ex. Internet/cat.)</v>
          </cell>
          <cell r="D36">
            <v>12</v>
          </cell>
          <cell r="E36">
            <v>13</v>
          </cell>
          <cell r="F36">
            <v>2216.962</v>
          </cell>
          <cell r="G36">
            <v>2321.962</v>
          </cell>
          <cell r="H36">
            <v>0.155</v>
          </cell>
          <cell r="J36">
            <v>0.19754371518569211</v>
          </cell>
          <cell r="L36">
            <v>160.876</v>
          </cell>
          <cell r="N36">
            <v>7.2565970909740443E-2</v>
          </cell>
          <cell r="P36">
            <v>6.9284510254689791E-2</v>
          </cell>
          <cell r="R36">
            <v>0.3</v>
          </cell>
          <cell r="S36">
            <v>209.1388</v>
          </cell>
          <cell r="U36">
            <v>9.4335762182662583E-2</v>
          </cell>
          <cell r="W36">
            <v>9.0069863331096719E-2</v>
          </cell>
          <cell r="Y36">
            <v>71.778382012013395</v>
          </cell>
          <cell r="AA36">
            <v>80.055973237239954</v>
          </cell>
          <cell r="AC36">
            <v>3.8764385221078168E-2</v>
          </cell>
          <cell r="AE36">
            <v>4.6562909999999995</v>
          </cell>
          <cell r="AG36">
            <v>5491.9298043728422</v>
          </cell>
          <cell r="AH36" t="e">
            <v>#N/A</v>
          </cell>
          <cell r="AI36" t="e">
            <v>#N/A</v>
          </cell>
          <cell r="AK36">
            <v>5395.1274812499951</v>
          </cell>
          <cell r="AM36">
            <v>44.915319940270059</v>
          </cell>
          <cell r="AO36">
            <v>470.75955406374999</v>
          </cell>
          <cell r="AP36">
            <v>498.67201169342729</v>
          </cell>
          <cell r="AT36" t="str">
            <v>10-K #: Excludes CAM, RE Taxes, Other expenses</v>
          </cell>
          <cell r="AY36">
            <v>105</v>
          </cell>
          <cell r="BA36">
            <v>6.0707832436860176E-2</v>
          </cell>
          <cell r="BB36">
            <v>1.8855495550527568E-2</v>
          </cell>
        </row>
        <row r="37">
          <cell r="A37" t="str">
            <v>AEO2006</v>
          </cell>
          <cell r="B37" t="str">
            <v>AEO</v>
          </cell>
          <cell r="C37" t="str">
            <v>2006 (ex. Internet/cat.)</v>
          </cell>
          <cell r="D37">
            <v>13</v>
          </cell>
          <cell r="E37">
            <v>14</v>
          </cell>
          <cell r="F37">
            <v>2639.0089999999996</v>
          </cell>
          <cell r="G37">
            <v>2794.4089999999997</v>
          </cell>
          <cell r="H37">
            <v>0.12</v>
          </cell>
          <cell r="J37">
            <v>0.20998679863971223</v>
          </cell>
          <cell r="L37">
            <v>177.197</v>
          </cell>
          <cell r="N37">
            <v>6.7145280671646074E-2</v>
          </cell>
          <cell r="P37">
            <v>6.3411261558347407E-2</v>
          </cell>
          <cell r="R37">
            <v>0.29799037229749947</v>
          </cell>
          <cell r="S37">
            <v>230</v>
          </cell>
          <cell r="U37">
            <v>8.7153927857009969E-2</v>
          </cell>
          <cell r="W37">
            <v>8.2307206997973462E-2</v>
          </cell>
          <cell r="Y37">
            <v>71.818343256526134</v>
          </cell>
          <cell r="AA37">
            <v>77.626563331232575</v>
          </cell>
          <cell r="AC37">
            <v>3.790087463556846E-2</v>
          </cell>
          <cell r="AE37">
            <v>4.9727759999999996</v>
          </cell>
          <cell r="AG37">
            <v>5678.4467618002191</v>
          </cell>
          <cell r="AH37" t="e">
            <v>#N/A</v>
          </cell>
          <cell r="AI37">
            <v>2.3856277569008619</v>
          </cell>
          <cell r="AK37">
            <v>6068.4615384615472</v>
          </cell>
          <cell r="AM37">
            <v>46.251831974736049</v>
          </cell>
          <cell r="AO37">
            <v>522.181289368178</v>
          </cell>
          <cell r="AP37">
            <v>561.94145885517457</v>
          </cell>
          <cell r="AR37" t="str">
            <v>DE-LVG</v>
          </cell>
          <cell r="AY37">
            <v>155.4</v>
          </cell>
          <cell r="BA37">
            <v>6.7969334390827418E-2</v>
          </cell>
          <cell r="BB37">
            <v>2.9498222777882166E-2</v>
          </cell>
        </row>
        <row r="38">
          <cell r="A38" t="str">
            <v>AEO2007</v>
          </cell>
          <cell r="B38" t="str">
            <v>AEO</v>
          </cell>
          <cell r="C38" t="str">
            <v>2007 (ex. Internet/cat.)</v>
          </cell>
          <cell r="D38">
            <v>14</v>
          </cell>
          <cell r="E38">
            <v>15</v>
          </cell>
          <cell r="F38">
            <v>2811.9189999999999</v>
          </cell>
          <cell r="G38">
            <v>3055.4189999999999</v>
          </cell>
          <cell r="H38">
            <v>1.5272651879374904E-2</v>
          </cell>
          <cell r="J38">
            <v>0.1959649396694855</v>
          </cell>
          <cell r="L38">
            <v>184.67699999999999</v>
          </cell>
          <cell r="N38">
            <v>6.5676500638887539E-2</v>
          </cell>
          <cell r="P38">
            <v>6.0442446682435369E-2</v>
          </cell>
          <cell r="R38">
            <v>0.39582622633029563</v>
          </cell>
          <cell r="S38">
            <v>257.77699999999999</v>
          </cell>
          <cell r="U38">
            <v>9.1672982045357634E-2</v>
          </cell>
          <cell r="W38">
            <v>8.4367152262913858E-2</v>
          </cell>
          <cell r="Y38">
            <v>-45.190541883476655</v>
          </cell>
          <cell r="AA38">
            <v>-20.599452649403965</v>
          </cell>
          <cell r="AC38">
            <v>6.6292134831460681E-2</v>
          </cell>
          <cell r="AE38">
            <v>5.4414984999999998</v>
          </cell>
          <cell r="AG38">
            <v>5785.1388044579535</v>
          </cell>
          <cell r="AH38" t="e">
            <v>#N/A</v>
          </cell>
          <cell r="AI38">
            <v>0.53309329301153885</v>
          </cell>
          <cell r="AK38">
            <v>3888.5005084745758</v>
          </cell>
          <cell r="AM38">
            <v>47.37242875285181</v>
          </cell>
          <cell r="AO38">
            <v>512.18022935278179</v>
          </cell>
          <cell r="AP38">
            <v>561.50323297893033</v>
          </cell>
          <cell r="AR38">
            <v>-174.10406646652956</v>
          </cell>
          <cell r="AY38">
            <v>243.5</v>
          </cell>
          <cell r="BA38">
            <v>9.4257714403383597E-2</v>
          </cell>
          <cell r="BB38">
            <v>9.4257714403383597E-2</v>
          </cell>
        </row>
        <row r="39">
          <cell r="A39" t="str">
            <v>AEO2008</v>
          </cell>
          <cell r="B39" t="str">
            <v>AEO</v>
          </cell>
          <cell r="C39">
            <v>2008</v>
          </cell>
          <cell r="D39">
            <v>15</v>
          </cell>
          <cell r="E39">
            <v>16</v>
          </cell>
          <cell r="F39">
            <v>2681.866</v>
          </cell>
          <cell r="G39">
            <v>2988.866</v>
          </cell>
          <cell r="H39">
            <v>-0.1</v>
          </cell>
          <cell r="J39">
            <v>0.10333015933133168</v>
          </cell>
          <cell r="L39">
            <v>209.58699999999999</v>
          </cell>
          <cell r="N39">
            <v>7.8149691297029755E-2</v>
          </cell>
          <cell r="P39">
            <v>7.0122581607874018E-2</v>
          </cell>
          <cell r="R39">
            <v>0.39582622633029563</v>
          </cell>
          <cell r="S39">
            <v>292.54703129788766</v>
          </cell>
          <cell r="U39">
            <v>0.10908338869201059</v>
          </cell>
          <cell r="W39">
            <v>9.787893846625699E-2</v>
          </cell>
          <cell r="Y39">
            <v>-174.10406646652956</v>
          </cell>
          <cell r="AA39">
            <v>-135.11786203343132</v>
          </cell>
          <cell r="AC39">
            <v>9.852476290832457E-2</v>
          </cell>
          <cell r="AE39">
            <v>6.0190494999999995</v>
          </cell>
          <cell r="AG39">
            <v>5763.3579234972676</v>
          </cell>
          <cell r="AH39" t="e">
            <v>#N/A</v>
          </cell>
          <cell r="AI39">
            <v>0.50640924370481832</v>
          </cell>
          <cell r="AK39">
            <v>2969.2741465421959</v>
          </cell>
          <cell r="AM39">
            <v>48.603526403610353</v>
          </cell>
          <cell r="AO39">
            <v>446.36015452815957</v>
          </cell>
          <cell r="AP39">
            <v>496.56777203776113</v>
          </cell>
          <cell r="AQ39" t="str">
            <v>Stores Sales exclude AEO's Internet sales ($467M in '12, $385M in '11) and rent for offices, distribution facilities, equipment and other.</v>
          </cell>
          <cell r="AR39">
            <v>-187.57313860181841</v>
          </cell>
          <cell r="AS39">
            <v>0.48622099980354005</v>
          </cell>
          <cell r="AU39">
            <v>-361.67720506834797</v>
          </cell>
          <cell r="AY39">
            <v>307</v>
          </cell>
          <cell r="BA39">
            <v>0.10613822644626292</v>
          </cell>
          <cell r="BB39">
            <v>0.10613822644626292</v>
          </cell>
        </row>
        <row r="40">
          <cell r="A40" t="str">
            <v>AEO2009</v>
          </cell>
          <cell r="B40" t="str">
            <v>AEO</v>
          </cell>
          <cell r="C40">
            <v>2009</v>
          </cell>
          <cell r="D40">
            <v>16</v>
          </cell>
          <cell r="E40">
            <v>17</v>
          </cell>
          <cell r="F40">
            <v>2606.2689999999998</v>
          </cell>
          <cell r="G40">
            <v>2940.2689999999998</v>
          </cell>
          <cell r="H40">
            <v>-0.04</v>
          </cell>
          <cell r="J40">
            <v>0.10556585128775628</v>
          </cell>
          <cell r="L40">
            <v>226.65799999999999</v>
          </cell>
          <cell r="N40">
            <v>8.6966464321219336E-2</v>
          </cell>
          <cell r="P40">
            <v>7.7087504578662702E-2</v>
          </cell>
          <cell r="R40">
            <v>0.47</v>
          </cell>
          <cell r="S40">
            <v>333.18725999999998</v>
          </cell>
          <cell r="U40">
            <v>0.12784070255219243</v>
          </cell>
          <cell r="W40">
            <v>0.11331863173063417</v>
          </cell>
          <cell r="Y40">
            <v>-187.57313860181841</v>
          </cell>
          <cell r="AA40">
            <v>-154.39693264377178</v>
          </cell>
          <cell r="AC40">
            <v>5.5635491606714549E-2</v>
          </cell>
          <cell r="AE40">
            <v>6.2717609999999997</v>
          </cell>
          <cell r="AG40">
            <v>5634.9546690843154</v>
          </cell>
          <cell r="AH40" t="e">
            <v>#N/A</v>
          </cell>
          <cell r="AI40">
            <v>0</v>
          </cell>
          <cell r="AK40">
            <v>5988.7537681034564</v>
          </cell>
          <cell r="AM40">
            <v>53.12499312394079</v>
          </cell>
          <cell r="AO40">
            <v>420.28003990648716</v>
          </cell>
          <cell r="AP40">
            <v>468.81075347099483</v>
          </cell>
          <cell r="AR40">
            <v>-57.836346538058251</v>
          </cell>
          <cell r="AS40">
            <v>-0.43531463599174225</v>
          </cell>
          <cell r="AU40">
            <v>-245.40948513987667</v>
          </cell>
          <cell r="AY40">
            <v>334</v>
          </cell>
          <cell r="BA40">
            <v>4.198528355681419E-2</v>
          </cell>
          <cell r="BB40">
            <v>4.198528355681419E-2</v>
          </cell>
          <cell r="BC40">
            <v>0</v>
          </cell>
        </row>
        <row r="41">
          <cell r="A41" t="str">
            <v>AEO2010</v>
          </cell>
          <cell r="B41" t="str">
            <v>AEO</v>
          </cell>
          <cell r="C41">
            <v>2010</v>
          </cell>
          <cell r="D41">
            <v>17</v>
          </cell>
          <cell r="E41">
            <v>18</v>
          </cell>
          <cell r="F41">
            <v>2611.2939999999999</v>
          </cell>
          <cell r="G41">
            <v>2945.2939999999999</v>
          </cell>
          <cell r="H41">
            <v>-0.01</v>
          </cell>
          <cell r="J41">
            <v>0.11528614800423999</v>
          </cell>
          <cell r="L41">
            <v>237.369</v>
          </cell>
          <cell r="N41">
            <v>9.0900909663944388E-2</v>
          </cell>
          <cell r="P41">
            <v>8.0592633536753888E-2</v>
          </cell>
          <cell r="R41">
            <v>0.47</v>
          </cell>
          <cell r="S41">
            <v>348.93243000000001</v>
          </cell>
          <cell r="U41">
            <v>0.13362433720599826</v>
          </cell>
          <cell r="W41">
            <v>0.11847117129902822</v>
          </cell>
          <cell r="Y41">
            <v>-57.836346538058251</v>
          </cell>
          <cell r="AA41">
            <v>-51.525395683940516</v>
          </cell>
          <cell r="AC41">
            <v>-9.5411176737846271E-3</v>
          </cell>
          <cell r="AE41">
            <v>6.2518899999999995</v>
          </cell>
          <cell r="AG41">
            <v>5838.8347260909941</v>
          </cell>
          <cell r="AH41" t="e">
            <v>#N/A</v>
          </cell>
          <cell r="AI41">
            <v>0</v>
          </cell>
          <cell r="AK41">
            <v>-36571.441830000062</v>
          </cell>
          <cell r="AM41">
            <v>55.812311157106095</v>
          </cell>
          <cell r="AO41">
            <v>410.30148671654734</v>
          </cell>
          <cell r="AP41">
            <v>471.1045779756202</v>
          </cell>
          <cell r="AR41">
            <v>-27.581494561143284</v>
          </cell>
          <cell r="AS41">
            <v>-1.171493365084836</v>
          </cell>
          <cell r="AY41">
            <v>334</v>
          </cell>
          <cell r="BA41">
            <v>-3.1683286400742139E-3</v>
          </cell>
          <cell r="BB41">
            <v>-3.1683286400742139E-3</v>
          </cell>
          <cell r="BC41">
            <v>0</v>
          </cell>
        </row>
        <row r="42">
          <cell r="A42" t="str">
            <v>AEO2011</v>
          </cell>
          <cell r="B42" t="str">
            <v>AEO</v>
          </cell>
          <cell r="C42">
            <v>2011</v>
          </cell>
          <cell r="D42">
            <v>18</v>
          </cell>
          <cell r="E42">
            <v>19</v>
          </cell>
          <cell r="F42">
            <v>2734.6588929999998</v>
          </cell>
          <cell r="G42">
            <v>3120.0650000000001</v>
          </cell>
          <cell r="H42">
            <v>0.04</v>
          </cell>
          <cell r="J42">
            <v>9.4244510931663306E-2</v>
          </cell>
          <cell r="L42">
            <v>253.714</v>
          </cell>
          <cell r="N42">
            <v>9.2777201810960927E-2</v>
          </cell>
          <cell r="P42">
            <v>8.1316895641597206E-2</v>
          </cell>
          <cell r="R42">
            <v>0.47</v>
          </cell>
          <cell r="S42">
            <v>372.95958000000002</v>
          </cell>
          <cell r="U42">
            <v>0.13638248666211258</v>
          </cell>
          <cell r="W42">
            <v>0.1195358365931479</v>
          </cell>
          <cell r="Y42">
            <v>-27.581494561143284</v>
          </cell>
          <cell r="AA42">
            <v>-10.646652941196793</v>
          </cell>
          <cell r="AC42">
            <v>-1.5596330275229331E-2</v>
          </cell>
          <cell r="AE42">
            <v>6.2893545</v>
          </cell>
          <cell r="AG42">
            <v>5884.269410664172</v>
          </cell>
          <cell r="AH42" t="e">
            <v>#N/A</v>
          </cell>
          <cell r="AI42">
            <v>0</v>
          </cell>
          <cell r="AK42">
            <v>-23913.290717647102</v>
          </cell>
          <cell r="AM42">
            <v>59.300136444845016</v>
          </cell>
          <cell r="AO42">
            <v>433.12264623453956</v>
          </cell>
          <cell r="AP42">
            <v>496.08668107355055</v>
          </cell>
          <cell r="AR42">
            <v>99.271998070785955</v>
          </cell>
          <cell r="AS42">
            <v>0.6346439493228484</v>
          </cell>
          <cell r="AT42">
            <v>5</v>
          </cell>
          <cell r="AY42">
            <v>385.40610700000002</v>
          </cell>
          <cell r="BA42">
            <v>5.9925078656215547E-3</v>
          </cell>
          <cell r="BB42">
            <v>5.9925078656215547E-3</v>
          </cell>
        </row>
        <row r="43">
          <cell r="A43" t="str">
            <v>AEO2012</v>
          </cell>
          <cell r="B43" t="str">
            <v>AEO</v>
          </cell>
          <cell r="C43">
            <v>2012</v>
          </cell>
          <cell r="D43">
            <v>19</v>
          </cell>
          <cell r="E43">
            <v>20</v>
          </cell>
          <cell r="F43">
            <v>3008.8019999999997</v>
          </cell>
          <cell r="G43">
            <v>3475.8019999999997</v>
          </cell>
          <cell r="H43">
            <v>0.09</v>
          </cell>
          <cell r="J43">
            <v>0.12576205434026455</v>
          </cell>
          <cell r="L43">
            <v>260.60199999999998</v>
          </cell>
          <cell r="N43">
            <v>8.6613210174680821E-2</v>
          </cell>
          <cell r="P43">
            <v>7.4976077463560928E-2</v>
          </cell>
          <cell r="R43">
            <v>0.46</v>
          </cell>
          <cell r="S43">
            <v>380.47891999999996</v>
          </cell>
          <cell r="U43">
            <v>0.12645528685503399</v>
          </cell>
          <cell r="W43">
            <v>0.10946507309679895</v>
          </cell>
          <cell r="Y43">
            <v>99.271998070785955</v>
          </cell>
          <cell r="AA43">
            <v>100.70763496348944</v>
          </cell>
          <cell r="AC43">
            <v>-1.5377446411929174E-2</v>
          </cell>
          <cell r="AE43">
            <v>6.2467810000000004</v>
          </cell>
          <cell r="AG43">
            <v>5941.8371647509575</v>
          </cell>
          <cell r="AH43" t="e">
            <v>#N/A</v>
          </cell>
          <cell r="AI43">
            <v>0</v>
          </cell>
          <cell r="AK43">
            <v>-24742.659464242417</v>
          </cell>
          <cell r="AM43">
            <v>60.907997254906157</v>
          </cell>
          <cell r="AO43">
            <v>477.65316270123833</v>
          </cell>
          <cell r="AP43">
            <v>556.41489592799871</v>
          </cell>
          <cell r="AR43">
            <v>-156.57302652551496</v>
          </cell>
          <cell r="AY43">
            <v>467</v>
          </cell>
          <cell r="BA43">
            <v>-6.7691366419240229E-3</v>
          </cell>
          <cell r="BB43">
            <v>-6.7691366419240229E-3</v>
          </cell>
        </row>
        <row r="44">
          <cell r="A44" t="str">
            <v>AEO2013</v>
          </cell>
          <cell r="B44" t="str">
            <v>AEO</v>
          </cell>
          <cell r="C44" t="str">
            <v>2013e</v>
          </cell>
          <cell r="D44">
            <v>20</v>
          </cell>
          <cell r="E44">
            <v>21</v>
          </cell>
          <cell r="F44">
            <v>2764.3481929447998</v>
          </cell>
          <cell r="G44">
            <v>3305.8019999999997</v>
          </cell>
          <cell r="H44">
            <v>1.0172445337443065E-2</v>
          </cell>
          <cell r="J44">
            <v>0.13310413788954226</v>
          </cell>
          <cell r="L44">
            <v>267.24400000000003</v>
          </cell>
          <cell r="N44">
            <v>9.6675230957541144E-2</v>
          </cell>
          <cell r="P44">
            <v>8.0840897307219259E-2</v>
          </cell>
          <cell r="R44">
            <v>0.47</v>
          </cell>
          <cell r="S44">
            <v>392.84868000000006</v>
          </cell>
          <cell r="U44">
            <v>0.14211258950758549</v>
          </cell>
          <cell r="W44">
            <v>0.11883611904161233</v>
          </cell>
          <cell r="Y44">
            <v>-156.57302652551496</v>
          </cell>
          <cell r="AA44">
            <v>-93.710459448133747</v>
          </cell>
          <cell r="AC44">
            <v>-7.0989115002366709E-3</v>
          </cell>
          <cell r="AE44">
            <v>6.2332780000000003</v>
          </cell>
          <cell r="AG44">
            <v>5942.3889943074</v>
          </cell>
          <cell r="AH44" t="e">
            <v>#N/A</v>
          </cell>
          <cell r="AI44">
            <v>0</v>
          </cell>
          <cell r="AK44">
            <v>-55339.284055999691</v>
          </cell>
          <cell r="AM44">
            <v>63.024411874458359</v>
          </cell>
          <cell r="AO44">
            <v>474.14190217873693</v>
          </cell>
          <cell r="AP44">
            <v>530.34727474051363</v>
          </cell>
          <cell r="AY44">
            <v>541.45380705520006</v>
          </cell>
          <cell r="BA44">
            <v>-2.1615933070168181E-3</v>
          </cell>
          <cell r="BB44">
            <v>1.7064949131400553E-2</v>
          </cell>
        </row>
        <row r="45">
          <cell r="A45" t="str">
            <v>CHECK</v>
          </cell>
          <cell r="C45" t="str">
            <v>2006 = Trough rent</v>
          </cell>
          <cell r="F45">
            <v>2639.0089999999996</v>
          </cell>
          <cell r="G45">
            <v>2794.4089999999997</v>
          </cell>
          <cell r="H45">
            <v>0.12</v>
          </cell>
          <cell r="J45">
            <v>0.20998679863971223</v>
          </cell>
          <cell r="L45">
            <v>177.197</v>
          </cell>
          <cell r="N45">
            <v>6.7145280671646074E-2</v>
          </cell>
          <cell r="P45">
            <v>6.3411261558347407E-2</v>
          </cell>
          <cell r="S45">
            <v>230</v>
          </cell>
          <cell r="U45">
            <v>8.7153927857009969E-2</v>
          </cell>
          <cell r="W45">
            <v>8.2307206997973462E-2</v>
          </cell>
          <cell r="Z45">
            <v>0</v>
          </cell>
          <cell r="AB45">
            <v>0</v>
          </cell>
          <cell r="AC45">
            <v>3.790087463556846E-2</v>
          </cell>
          <cell r="AE45">
            <v>4.9727759999999996</v>
          </cell>
          <cell r="AG45">
            <v>5678.4467618002191</v>
          </cell>
          <cell r="AH45" t="e">
            <v>#N/A</v>
          </cell>
          <cell r="AI45" t="e">
            <v>#N/A</v>
          </cell>
          <cell r="AK45">
            <v>6068.4615384615472</v>
          </cell>
          <cell r="AM45">
            <v>46.251831974736049</v>
          </cell>
          <cell r="AO45">
            <v>522.181289368178</v>
          </cell>
          <cell r="AP45">
            <v>561.94145885517457</v>
          </cell>
          <cell r="AR45">
            <v>-0.10442094735195595</v>
          </cell>
        </row>
        <row r="47">
          <cell r="AI47">
            <v>0</v>
          </cell>
        </row>
        <row r="48">
          <cell r="C48">
            <v>1998</v>
          </cell>
          <cell r="D48">
            <v>11</v>
          </cell>
          <cell r="E48">
            <v>11</v>
          </cell>
          <cell r="F48">
            <v>911.93899999999996</v>
          </cell>
          <cell r="H48">
            <v>7.9000000000000001E-2</v>
          </cell>
          <cell r="J48">
            <v>0.10043105953358712</v>
          </cell>
          <cell r="L48">
            <v>68.772000000000006</v>
          </cell>
          <cell r="N48">
            <v>7.541293880402089E-2</v>
          </cell>
          <cell r="P48" t="str">
            <v>-</v>
          </cell>
          <cell r="S48">
            <v>91.466760000000008</v>
          </cell>
          <cell r="U48">
            <v>0.10029920860934778</v>
          </cell>
          <cell r="AC48">
            <v>344.5</v>
          </cell>
          <cell r="AE48">
            <v>2.0290000000000004</v>
          </cell>
          <cell r="AG48">
            <v>5558.9041095890416</v>
          </cell>
          <cell r="AH48">
            <v>0.96377696628168574</v>
          </cell>
          <cell r="AI48">
            <v>0</v>
          </cell>
          <cell r="AK48">
            <v>0.26550583454281568</v>
          </cell>
          <cell r="AM48">
            <v>45.079724001971414</v>
          </cell>
          <cell r="AO48">
            <v>474</v>
          </cell>
          <cell r="AS48" t="str">
            <v>Total rent expense reported in footnote 5 includes only minimum and percentage</v>
          </cell>
        </row>
        <row r="49">
          <cell r="A49" t="str">
            <v>ANN1999</v>
          </cell>
          <cell r="C49">
            <v>1999</v>
          </cell>
          <cell r="D49">
            <v>12</v>
          </cell>
          <cell r="E49">
            <v>12</v>
          </cell>
          <cell r="F49">
            <v>1084.519</v>
          </cell>
          <cell r="H49">
            <v>8.4000000000000005E-2</v>
          </cell>
          <cell r="J49">
            <v>0.11371677213585009</v>
          </cell>
          <cell r="L49">
            <v>76.494</v>
          </cell>
          <cell r="N49">
            <v>7.0532650880251985E-2</v>
          </cell>
          <cell r="P49" t="str">
            <v>-</v>
          </cell>
          <cell r="S49">
            <v>101.73702</v>
          </cell>
          <cell r="U49">
            <v>9.3808425670735135E-2</v>
          </cell>
          <cell r="AC49">
            <v>385</v>
          </cell>
          <cell r="AE49">
            <v>2.2800000000000002</v>
          </cell>
          <cell r="AG49">
            <v>5629.6296296296305</v>
          </cell>
          <cell r="AH49">
            <v>0.85353119923150744</v>
          </cell>
          <cell r="AI49">
            <v>0</v>
          </cell>
          <cell r="AK49">
            <v>0.26425199999999999</v>
          </cell>
          <cell r="AM49">
            <v>44.621499999999997</v>
          </cell>
          <cell r="AO49">
            <v>502</v>
          </cell>
          <cell r="AS49" t="str">
            <v>rent, and does not include CAM, RE Taxes, Insurance or other landlord passthrus.</v>
          </cell>
          <cell r="BA49">
            <v>0.12370625924100542</v>
          </cell>
        </row>
        <row r="50">
          <cell r="C50">
            <v>2000</v>
          </cell>
          <cell r="D50">
            <v>13</v>
          </cell>
          <cell r="E50">
            <v>13</v>
          </cell>
          <cell r="F50">
            <v>1232.7759999999998</v>
          </cell>
          <cell r="H50">
            <v>-5.0000000000000001E-3</v>
          </cell>
          <cell r="J50">
            <v>7.9690065348449302E-2</v>
          </cell>
          <cell r="L50">
            <v>95.016000000000005</v>
          </cell>
          <cell r="N50">
            <v>7.7074829490515723E-2</v>
          </cell>
          <cell r="P50" t="str">
            <v>-</v>
          </cell>
          <cell r="S50">
            <v>126.37128000000001</v>
          </cell>
          <cell r="U50">
            <v>0.10250952322238592</v>
          </cell>
          <cell r="AC50">
            <v>441.5</v>
          </cell>
          <cell r="AE50">
            <v>2.6950000000000003</v>
          </cell>
          <cell r="AG50">
            <v>5638.0753138075324</v>
          </cell>
          <cell r="AH50">
            <v>0.91681414954200546</v>
          </cell>
          <cell r="AI50">
            <v>0</v>
          </cell>
          <cell r="AK50">
            <v>0.28623166477916195</v>
          </cell>
          <cell r="AM50">
            <v>46.891012987012985</v>
          </cell>
          <cell r="AO50">
            <v>496</v>
          </cell>
          <cell r="AS50" t="str">
            <v>Rent expense does include administrative facilities.</v>
          </cell>
          <cell r="BA50">
            <v>0.18201754385964919</v>
          </cell>
        </row>
        <row r="51">
          <cell r="C51">
            <v>2001</v>
          </cell>
          <cell r="D51">
            <v>14</v>
          </cell>
          <cell r="E51">
            <v>14</v>
          </cell>
          <cell r="F51">
            <v>1299.5719999999999</v>
          </cell>
          <cell r="H51">
            <v>-6.0999999999999999E-2</v>
          </cell>
          <cell r="J51">
            <v>4.6277543683612705E-2</v>
          </cell>
          <cell r="L51">
            <v>109.864</v>
          </cell>
          <cell r="N51">
            <v>8.4538601939715546E-2</v>
          </cell>
          <cell r="P51" t="str">
            <v>-</v>
          </cell>
          <cell r="S51">
            <v>146.11912000000001</v>
          </cell>
          <cell r="U51">
            <v>0.11243634057982169</v>
          </cell>
          <cell r="AC51">
            <v>508</v>
          </cell>
          <cell r="AE51">
            <v>3.0559999999999996</v>
          </cell>
          <cell r="AG51">
            <v>5680.2973977695165</v>
          </cell>
          <cell r="AH51">
            <v>0.73845030244873944</v>
          </cell>
          <cell r="AI51">
            <v>0</v>
          </cell>
          <cell r="AK51">
            <v>0.28763606299212602</v>
          </cell>
          <cell r="AM51">
            <v>47.813848167539277</v>
          </cell>
          <cell r="AO51">
            <v>452</v>
          </cell>
          <cell r="BA51">
            <v>0.13395176252319074</v>
          </cell>
        </row>
        <row r="52">
          <cell r="C52">
            <v>2002</v>
          </cell>
          <cell r="D52">
            <v>15</v>
          </cell>
          <cell r="E52">
            <v>15</v>
          </cell>
          <cell r="F52">
            <v>1380.9659999999999</v>
          </cell>
          <cell r="H52">
            <v>-3.9E-2</v>
          </cell>
          <cell r="J52">
            <v>9.7609209785034512E-2</v>
          </cell>
          <cell r="L52">
            <v>111.712</v>
          </cell>
          <cell r="N52">
            <v>8.0894098768543185E-2</v>
          </cell>
          <cell r="P52" t="str">
            <v>-</v>
          </cell>
          <cell r="S52">
            <v>148.57696000000001</v>
          </cell>
          <cell r="U52">
            <v>0.10758915136216245</v>
          </cell>
          <cell r="AC52">
            <v>561</v>
          </cell>
          <cell r="AE52">
            <v>3.3045999999999998</v>
          </cell>
          <cell r="AG52">
            <v>5658.5616438356165</v>
          </cell>
          <cell r="AH52">
            <v>0.95879612943616999</v>
          </cell>
          <cell r="AI52">
            <v>0</v>
          </cell>
          <cell r="AK52">
            <v>0.2648430659536542</v>
          </cell>
          <cell r="AM52">
            <v>44.960648792592153</v>
          </cell>
          <cell r="AO52">
            <v>434</v>
          </cell>
          <cell r="AS52" t="str">
            <v>2004 onwards includes CAM and taxes</v>
          </cell>
          <cell r="BA52">
            <v>8.1348167539267102E-2</v>
          </cell>
        </row>
        <row r="53">
          <cell r="C53">
            <v>2003</v>
          </cell>
          <cell r="D53">
            <v>16</v>
          </cell>
          <cell r="E53">
            <v>16</v>
          </cell>
          <cell r="F53">
            <v>1587.7080000000001</v>
          </cell>
          <cell r="G53">
            <v>1587.7080000000001</v>
          </cell>
          <cell r="H53">
            <v>5600</v>
          </cell>
          <cell r="J53">
            <v>0.10788318758864981</v>
          </cell>
          <cell r="L53">
            <v>120.444</v>
          </cell>
          <cell r="N53">
            <v>7.586029672962534E-2</v>
          </cell>
          <cell r="P53">
            <v>7.586029672962534E-2</v>
          </cell>
          <cell r="R53">
            <v>0.33</v>
          </cell>
          <cell r="S53">
            <v>160.19052000000002</v>
          </cell>
          <cell r="U53">
            <v>0.10089419465040173</v>
          </cell>
          <cell r="Y53">
            <v>66.949567117607216</v>
          </cell>
          <cell r="AA53">
            <v>0</v>
          </cell>
          <cell r="AC53">
            <v>616</v>
          </cell>
          <cell r="AE53">
            <v>3.6619999999999999</v>
          </cell>
          <cell r="AG53">
            <v>5651.2345679012342</v>
          </cell>
          <cell r="AH53">
            <v>1.015205608048825</v>
          </cell>
          <cell r="AI53">
            <v>0</v>
          </cell>
          <cell r="AK53">
            <v>0.26004954545454551</v>
          </cell>
          <cell r="AM53">
            <v>43.743997815401428</v>
          </cell>
          <cell r="AO53">
            <v>455.81144317170504</v>
          </cell>
          <cell r="AP53">
            <v>433.56308028399786</v>
          </cell>
          <cell r="BA53">
            <v>0.10815227258972349</v>
          </cell>
        </row>
        <row r="54">
          <cell r="C54">
            <v>2004</v>
          </cell>
          <cell r="D54">
            <v>17</v>
          </cell>
          <cell r="E54">
            <v>17</v>
          </cell>
          <cell r="F54">
            <v>1853.5829999999999</v>
          </cell>
          <cell r="G54">
            <v>1853.5829999999999</v>
          </cell>
          <cell r="H54">
            <v>5700</v>
          </cell>
          <cell r="J54">
            <v>5.6624386391113724E-2</v>
          </cell>
          <cell r="L54">
            <v>195.80799999999999</v>
          </cell>
          <cell r="N54">
            <v>0.10563756788878621</v>
          </cell>
          <cell r="P54">
            <v>0.10563756788878621</v>
          </cell>
          <cell r="R54">
            <v>0</v>
          </cell>
          <cell r="S54">
            <v>195.80799999999999</v>
          </cell>
          <cell r="U54">
            <v>0.10563756788878621</v>
          </cell>
          <cell r="W54">
            <v>0.10563756788878621</v>
          </cell>
          <cell r="Y54">
            <v>-47.433732383844877</v>
          </cell>
          <cell r="AA54">
            <v>-1056.375678887862</v>
          </cell>
          <cell r="AC54">
            <v>693</v>
          </cell>
          <cell r="AE54">
            <v>4.202</v>
          </cell>
          <cell r="AG54">
            <v>5693.7669376693766</v>
          </cell>
          <cell r="AH54">
            <v>1.020409468489371</v>
          </cell>
          <cell r="AI54">
            <v>0</v>
          </cell>
          <cell r="AK54">
            <v>0.28255122655122655</v>
          </cell>
          <cell r="AM54">
            <v>46.598762494050447</v>
          </cell>
          <cell r="AO54">
            <v>471.40971515768052</v>
          </cell>
          <cell r="AP54">
            <v>441.11922893860066</v>
          </cell>
          <cell r="AT54" t="str">
            <v>Adjusted Rent Expense Increase Assumption</v>
          </cell>
          <cell r="BA54">
            <v>0.14746040415073725</v>
          </cell>
        </row>
        <row r="55">
          <cell r="A55" t="str">
            <v>ANN</v>
          </cell>
          <cell r="B55" t="str">
            <v>ANN</v>
          </cell>
          <cell r="C55" t="str">
            <v>2005 (total revs.)</v>
          </cell>
          <cell r="D55">
            <v>18</v>
          </cell>
          <cell r="E55">
            <v>18</v>
          </cell>
          <cell r="F55">
            <v>2073.1460000000002</v>
          </cell>
          <cell r="G55">
            <v>2073.1460000000002</v>
          </cell>
          <cell r="H55">
            <v>6200</v>
          </cell>
          <cell r="J55">
            <v>6.3201530427669003E-2</v>
          </cell>
          <cell r="L55">
            <v>243.13099999999997</v>
          </cell>
          <cell r="N55">
            <v>0.11727635197906947</v>
          </cell>
          <cell r="P55">
            <v>0.11727635197906947</v>
          </cell>
          <cell r="R55">
            <v>0</v>
          </cell>
          <cell r="S55">
            <v>243.13099999999997</v>
          </cell>
          <cell r="U55">
            <v>0.11727635197906947</v>
          </cell>
          <cell r="W55">
            <v>0.11727635197906947</v>
          </cell>
          <cell r="Y55">
            <v>-116.38784090283252</v>
          </cell>
          <cell r="AA55">
            <v>-116.38784090283252</v>
          </cell>
          <cell r="AC55">
            <v>781</v>
          </cell>
          <cell r="AE55">
            <v>4.8010000000000002</v>
          </cell>
          <cell r="AG55">
            <v>5826.4563106796122</v>
          </cell>
          <cell r="AH55">
            <v>0.81093297004613996</v>
          </cell>
          <cell r="AI55">
            <v>0.81093297004613996</v>
          </cell>
          <cell r="AK55">
            <v>0.31130729833546733</v>
          </cell>
          <cell r="AM55">
            <v>50.641741303895017</v>
          </cell>
          <cell r="AO55">
            <v>460.54559591247363</v>
          </cell>
          <cell r="AP55">
            <v>431.81545511351806</v>
          </cell>
          <cell r="AS55" t="str">
            <v>Note: 2005 CAM and RE taxes = $63.3mm (10-K)</v>
          </cell>
          <cell r="BA55">
            <v>0.14255116611137564</v>
          </cell>
          <cell r="BB55">
            <v>0.14255116611137564</v>
          </cell>
        </row>
        <row r="56">
          <cell r="A56" t="str">
            <v>ANN2006</v>
          </cell>
          <cell r="B56" t="str">
            <v>ANN</v>
          </cell>
          <cell r="C56" t="str">
            <v>2006 (total revs.)</v>
          </cell>
          <cell r="D56">
            <v>19</v>
          </cell>
          <cell r="E56">
            <v>19</v>
          </cell>
          <cell r="F56">
            <v>2342.9070000000002</v>
          </cell>
          <cell r="G56">
            <v>2342.9070000000002</v>
          </cell>
          <cell r="H56">
            <v>2.7999999999999997E-2</v>
          </cell>
          <cell r="J56">
            <v>9.5538149828397034E-2</v>
          </cell>
          <cell r="L56">
            <v>267.69100000000003</v>
          </cell>
          <cell r="N56">
            <v>0.1142559222367768</v>
          </cell>
          <cell r="P56">
            <v>0.1142559222367768</v>
          </cell>
          <cell r="R56">
            <v>0</v>
          </cell>
          <cell r="S56">
            <v>267.69100000000003</v>
          </cell>
          <cell r="U56">
            <v>0.1142559222367768</v>
          </cell>
          <cell r="W56">
            <v>0.1142559222367768</v>
          </cell>
          <cell r="Y56">
            <v>30.204297422926629</v>
          </cell>
          <cell r="AA56">
            <v>30.204297422926629</v>
          </cell>
          <cell r="AC56">
            <v>846.5</v>
          </cell>
          <cell r="AE56">
            <v>4.9399999999999995</v>
          </cell>
          <cell r="AG56">
            <v>5844.6490218642111</v>
          </cell>
          <cell r="AH56" t="e">
            <v>#N/A</v>
          </cell>
          <cell r="AI56">
            <v>1.0483471391538435</v>
          </cell>
          <cell r="AK56">
            <v>0.31623272297696403</v>
          </cell>
          <cell r="AM56">
            <v>54.188461538461553</v>
          </cell>
          <cell r="AO56">
            <v>474.2726720647774</v>
          </cell>
          <cell r="AP56">
            <v>474.2726720647774</v>
          </cell>
          <cell r="AR56" t="str">
            <v>DE-LVG</v>
          </cell>
          <cell r="AT56" t="str">
            <v>10-K #: Excludes CAM, RE Taxes, Insurance, Other</v>
          </cell>
          <cell r="BA56">
            <v>2.8952301603832442E-2</v>
          </cell>
          <cell r="BB56">
            <v>9.741197378651556E-2</v>
          </cell>
        </row>
        <row r="57">
          <cell r="A57" t="str">
            <v>ANN2007</v>
          </cell>
          <cell r="B57" t="str">
            <v>ANN</v>
          </cell>
          <cell r="C57" t="str">
            <v>2007 (total revs.)</v>
          </cell>
          <cell r="D57">
            <v>20</v>
          </cell>
          <cell r="E57">
            <v>20</v>
          </cell>
          <cell r="F57">
            <v>2276.5099999999998</v>
          </cell>
          <cell r="G57">
            <v>2396.5099999999998</v>
          </cell>
          <cell r="H57">
            <v>-3.3000000000000002E-2</v>
          </cell>
          <cell r="J57">
            <v>7.7922061664670611E-2</v>
          </cell>
          <cell r="L57">
            <v>285.76400000000001</v>
          </cell>
          <cell r="N57">
            <v>0.12552723247426983</v>
          </cell>
          <cell r="P57">
            <v>0.11924173068336875</v>
          </cell>
          <cell r="R57">
            <v>0</v>
          </cell>
          <cell r="S57">
            <v>285.76400000000001</v>
          </cell>
          <cell r="U57">
            <v>0.12552723247426983</v>
          </cell>
          <cell r="W57">
            <v>0.11924173068336875</v>
          </cell>
          <cell r="Y57">
            <v>-112.71310237493032</v>
          </cell>
          <cell r="AA57">
            <v>-49.858084465919525</v>
          </cell>
          <cell r="AC57">
            <v>899</v>
          </cell>
          <cell r="AE57">
            <v>5.2445000000000004</v>
          </cell>
          <cell r="AG57">
            <v>5823.4660925726594</v>
          </cell>
          <cell r="AH57" t="e">
            <v>#N/A</v>
          </cell>
          <cell r="AI57">
            <v>7.560747309384043E-2</v>
          </cell>
          <cell r="AK57">
            <v>0.31786874304783092</v>
          </cell>
          <cell r="AM57">
            <v>54.488321098293447</v>
          </cell>
          <cell r="AO57">
            <v>456.95681189817896</v>
          </cell>
          <cell r="AP57">
            <v>456.95681189817896</v>
          </cell>
          <cell r="AR57">
            <v>-130.22080706083517</v>
          </cell>
          <cell r="AY57">
            <v>120</v>
          </cell>
          <cell r="BA57">
            <v>6.1639676113360409E-2</v>
          </cell>
          <cell r="BB57">
            <v>6.1639676113360409E-2</v>
          </cell>
        </row>
        <row r="58">
          <cell r="A58" t="str">
            <v>ANN2008</v>
          </cell>
          <cell r="B58" t="str">
            <v>ANN</v>
          </cell>
          <cell r="C58">
            <v>2008</v>
          </cell>
          <cell r="D58">
            <v>21</v>
          </cell>
          <cell r="E58">
            <v>21</v>
          </cell>
          <cell r="F58">
            <v>2062.623</v>
          </cell>
          <cell r="G58">
            <v>2194.5590000000002</v>
          </cell>
          <cell r="H58">
            <v>-0.14800000000000002</v>
          </cell>
          <cell r="J58">
            <v>6.7530651944193378E-4</v>
          </cell>
          <cell r="L58">
            <v>285.77499999999998</v>
          </cell>
          <cell r="N58">
            <v>0.13854931318035335</v>
          </cell>
          <cell r="P58">
            <v>0.130219784476061</v>
          </cell>
          <cell r="R58">
            <v>0</v>
          </cell>
          <cell r="S58">
            <v>285.77499999999998</v>
          </cell>
          <cell r="U58">
            <v>0.13854931318035335</v>
          </cell>
          <cell r="W58">
            <v>0.130219784476061</v>
          </cell>
          <cell r="Y58">
            <v>-130.22080706083517</v>
          </cell>
          <cell r="AA58">
            <v>-109.78053792692246</v>
          </cell>
          <cell r="AC58">
            <v>932</v>
          </cell>
          <cell r="AE58">
            <v>5.4510000000000005</v>
          </cell>
          <cell r="AG58">
            <v>5873.7967914438505</v>
          </cell>
          <cell r="AH58" t="e">
            <v>#N/A</v>
          </cell>
          <cell r="AI58">
            <v>1.3726138259954728</v>
          </cell>
          <cell r="AK58">
            <v>0.30662553648068669</v>
          </cell>
          <cell r="AM58">
            <v>52.42616033755273</v>
          </cell>
          <cell r="AO58">
            <v>402.59750504494588</v>
          </cell>
          <cell r="AP58">
            <v>402.59750504494588</v>
          </cell>
          <cell r="AQ58" t="str">
            <v>Store sales exclude internet sales ($317M in '12, $248M in '11). ANN reports CAM charges and RE taxes in addition to rent expense.  No adjusment needed.  Comparable Store Sales estimate indicated (excl. Internet sales growth).</v>
          </cell>
          <cell r="AR58">
            <v>-258.89694663466219</v>
          </cell>
          <cell r="AS58">
            <v>3.6707452725250223E-2</v>
          </cell>
          <cell r="AU58">
            <v>-389.11775369549736</v>
          </cell>
          <cell r="AY58">
            <v>131.93600000000001</v>
          </cell>
          <cell r="BA58">
            <v>3.9374582896367638E-2</v>
          </cell>
          <cell r="BB58">
            <v>3.9374582896367638E-2</v>
          </cell>
        </row>
        <row r="59">
          <cell r="A59" t="str">
            <v>ANN2009</v>
          </cell>
          <cell r="B59" t="str">
            <v>ANN</v>
          </cell>
          <cell r="C59">
            <v>2009</v>
          </cell>
          <cell r="D59">
            <v>22</v>
          </cell>
          <cell r="E59">
            <v>22</v>
          </cell>
          <cell r="F59">
            <v>1706.9490000000001</v>
          </cell>
          <cell r="G59">
            <v>1828.5230000000001</v>
          </cell>
          <cell r="H59">
            <v>-0.17800000000000002</v>
          </cell>
          <cell r="J59">
            <v>1.4740312262957637E-2</v>
          </cell>
          <cell r="L59">
            <v>280.68899999999996</v>
          </cell>
          <cell r="N59">
            <v>0.16443900784381957</v>
          </cell>
          <cell r="P59">
            <v>0.15350586238182398</v>
          </cell>
          <cell r="R59">
            <v>0</v>
          </cell>
          <cell r="S59">
            <v>280.68899999999996</v>
          </cell>
          <cell r="U59">
            <v>0.16443900784381957</v>
          </cell>
          <cell r="W59">
            <v>0.15350586238182398</v>
          </cell>
          <cell r="Y59">
            <v>-258.89694663466219</v>
          </cell>
          <cell r="AA59">
            <v>-232.8607790576298</v>
          </cell>
          <cell r="AC59">
            <v>921</v>
          </cell>
          <cell r="AE59">
            <v>5.42</v>
          </cell>
          <cell r="AG59">
            <v>5896.3616317530323</v>
          </cell>
          <cell r="AH59" t="e">
            <v>#N/A</v>
          </cell>
          <cell r="AI59">
            <v>0</v>
          </cell>
          <cell r="AK59">
            <v>0.30476547231270357</v>
          </cell>
          <cell r="AM59">
            <v>51.787638376383761</v>
          </cell>
          <cell r="AO59">
            <v>337.36586715867156</v>
          </cell>
          <cell r="AP59">
            <v>337.36586715867162</v>
          </cell>
          <cell r="AR59">
            <v>170.57719203398409</v>
          </cell>
          <cell r="AS59">
            <v>-1.1802575107296098E-2</v>
          </cell>
          <cell r="AU59">
            <v>-88.319754600678095</v>
          </cell>
          <cell r="AY59">
            <v>121.574</v>
          </cell>
          <cell r="BA59">
            <v>-5.6870299027702576E-3</v>
          </cell>
          <cell r="BB59">
            <v>-5.6870299027702576E-3</v>
          </cell>
          <cell r="BC59">
            <v>0</v>
          </cell>
        </row>
        <row r="60">
          <cell r="A60" t="str">
            <v>ANN2010</v>
          </cell>
          <cell r="B60" t="str">
            <v>ANN</v>
          </cell>
          <cell r="C60">
            <v>2010</v>
          </cell>
          <cell r="D60">
            <v>23</v>
          </cell>
          <cell r="E60">
            <v>23</v>
          </cell>
          <cell r="F60">
            <v>1790.7090000000003</v>
          </cell>
          <cell r="G60">
            <v>1980.1950000000002</v>
          </cell>
          <cell r="H60">
            <v>0.107</v>
          </cell>
          <cell r="J60">
            <v>6.3334166584604085E-2</v>
          </cell>
          <cell r="L60">
            <v>263.91699999999997</v>
          </cell>
          <cell r="N60">
            <v>0.14738128864042116</v>
          </cell>
          <cell r="P60">
            <v>0.13327828824938956</v>
          </cell>
          <cell r="R60">
            <v>0</v>
          </cell>
          <cell r="S60">
            <v>263.91699999999997</v>
          </cell>
          <cell r="U60">
            <v>0.14738128864042116</v>
          </cell>
          <cell r="W60">
            <v>0.13327828824938956</v>
          </cell>
          <cell r="Y60">
            <v>170.57719203398409</v>
          </cell>
          <cell r="AA60">
            <v>202.27574132434424</v>
          </cell>
          <cell r="AC60">
            <v>901.5</v>
          </cell>
          <cell r="AE60">
            <v>5.3159999999999998</v>
          </cell>
          <cell r="AG60">
            <v>5897.3214285714275</v>
          </cell>
          <cell r="AH60" t="e">
            <v>#N/A</v>
          </cell>
          <cell r="AI60">
            <v>0</v>
          </cell>
          <cell r="AK60">
            <v>0.29275318912922904</v>
          </cell>
          <cell r="AM60">
            <v>49.645786305492848</v>
          </cell>
          <cell r="AO60">
            <v>372.49717832957117</v>
          </cell>
          <cell r="AP60">
            <v>372.49717832957117</v>
          </cell>
          <cell r="AR60">
            <v>80.418964011902688</v>
          </cell>
          <cell r="AS60">
            <v>-2.1172638436482094E-2</v>
          </cell>
          <cell r="AY60">
            <v>189.48599999999999</v>
          </cell>
          <cell r="BA60">
            <v>-1.9188191881918781E-2</v>
          </cell>
          <cell r="BB60">
            <v>-1.9188191881918781E-2</v>
          </cell>
        </row>
        <row r="61">
          <cell r="A61" t="str">
            <v>ANN2011</v>
          </cell>
          <cell r="B61" t="str">
            <v>ANN</v>
          </cell>
          <cell r="C61">
            <v>2011</v>
          </cell>
          <cell r="D61">
            <v>24</v>
          </cell>
          <cell r="E61">
            <v>24</v>
          </cell>
          <cell r="F61">
            <v>1964.1610000000001</v>
          </cell>
          <cell r="G61">
            <v>2212.4929999999999</v>
          </cell>
          <cell r="H61">
            <v>6.7813075156264932E-2</v>
          </cell>
          <cell r="J61">
            <v>6.8237052049430189E-2</v>
          </cell>
          <cell r="L61">
            <v>273.685</v>
          </cell>
          <cell r="N61">
            <v>0.13933939223923089</v>
          </cell>
          <cell r="P61">
            <v>0.12369982639493098</v>
          </cell>
          <cell r="R61">
            <v>0</v>
          </cell>
          <cell r="S61">
            <v>273.685</v>
          </cell>
          <cell r="U61">
            <v>0.13933939223923089</v>
          </cell>
          <cell r="W61">
            <v>0.12369982639493098</v>
          </cell>
          <cell r="Y61">
            <v>80.418964011902688</v>
          </cell>
          <cell r="AA61">
            <v>95.78461854458584</v>
          </cell>
          <cell r="AC61">
            <v>924.5</v>
          </cell>
          <cell r="AE61">
            <v>5.4339999999999993</v>
          </cell>
          <cell r="AG61">
            <v>5859.3913955928647</v>
          </cell>
          <cell r="AH61" t="e">
            <v>#N/A</v>
          </cell>
          <cell r="AI61">
            <v>0</v>
          </cell>
          <cell r="AK61">
            <v>0.29603569497025417</v>
          </cell>
          <cell r="AM61">
            <v>50.365292602134716</v>
          </cell>
          <cell r="AO61">
            <v>407.15734265734272</v>
          </cell>
          <cell r="AP61">
            <v>407.15734265734272</v>
          </cell>
          <cell r="AR61">
            <v>-37.938117539046409</v>
          </cell>
          <cell r="AS61">
            <v>2.5513033832501364E-2</v>
          </cell>
          <cell r="AY61">
            <v>248.33199999999999</v>
          </cell>
          <cell r="BA61">
            <v>2.2197140707298724E-2</v>
          </cell>
          <cell r="BB61">
            <v>2.2197140707298724E-2</v>
          </cell>
        </row>
        <row r="62">
          <cell r="A62" t="str">
            <v>ANN2012</v>
          </cell>
          <cell r="B62" t="str">
            <v>ANN</v>
          </cell>
          <cell r="C62">
            <v>2012</v>
          </cell>
          <cell r="D62">
            <v>25</v>
          </cell>
          <cell r="E62">
            <v>25</v>
          </cell>
          <cell r="F62">
            <v>2058.6278499999999</v>
          </cell>
          <cell r="G62">
            <v>2375.509</v>
          </cell>
          <cell r="H62">
            <v>3.3418816991071507E-2</v>
          </cell>
          <cell r="J62">
            <v>7.0212741774499945E-2</v>
          </cell>
          <cell r="L62">
            <v>294.65800000000002</v>
          </cell>
          <cell r="N62">
            <v>0.14313320399313553</v>
          </cell>
          <cell r="P62">
            <v>0.12403994259756541</v>
          </cell>
          <cell r="R62">
            <v>0</v>
          </cell>
          <cell r="S62">
            <v>294.65800000000002</v>
          </cell>
          <cell r="U62">
            <v>0.14313320399313553</v>
          </cell>
          <cell r="W62">
            <v>0.12403994259756541</v>
          </cell>
          <cell r="Y62">
            <v>-37.938117539046409</v>
          </cell>
          <cell r="AA62">
            <v>-3.4011620263443842</v>
          </cell>
          <cell r="AC62">
            <v>968.5</v>
          </cell>
          <cell r="AE62">
            <v>5.7029499999999995</v>
          </cell>
          <cell r="AG62">
            <v>5916.5650406504064</v>
          </cell>
          <cell r="AH62" t="e">
            <v>#N/A</v>
          </cell>
          <cell r="AI62">
            <v>0</v>
          </cell>
          <cell r="AK62">
            <v>0.30424161073825506</v>
          </cell>
          <cell r="AM62">
            <v>51.667645692141797</v>
          </cell>
          <cell r="AO62">
            <v>416.54038699269682</v>
          </cell>
          <cell r="AP62">
            <v>416.54038699269682</v>
          </cell>
          <cell r="AR62">
            <v>-22.007890094161709</v>
          </cell>
          <cell r="AY62">
            <v>316.88114999999999</v>
          </cell>
          <cell r="BA62">
            <v>4.9493927125506154E-2</v>
          </cell>
          <cell r="BB62">
            <v>4.9493927125506154E-2</v>
          </cell>
        </row>
        <row r="63">
          <cell r="A63" t="str">
            <v>ANN2013</v>
          </cell>
          <cell r="B63" t="str">
            <v>ANN</v>
          </cell>
          <cell r="C63" t="str">
            <v>2013e</v>
          </cell>
          <cell r="D63">
            <v>26</v>
          </cell>
          <cell r="E63">
            <v>26</v>
          </cell>
          <cell r="F63">
            <v>2097.3895625</v>
          </cell>
          <cell r="G63">
            <v>2493.491</v>
          </cell>
          <cell r="H63">
            <v>3.4566767130834258E-2</v>
          </cell>
          <cell r="J63">
            <v>7.37778062988559E-2</v>
          </cell>
          <cell r="L63">
            <v>304.822</v>
          </cell>
          <cell r="N63">
            <v>0.1453339930025517</v>
          </cell>
          <cell r="P63">
            <v>0.12224708250400744</v>
          </cell>
          <cell r="R63">
            <v>0</v>
          </cell>
          <cell r="S63">
            <v>304.822</v>
          </cell>
          <cell r="U63">
            <v>0.1453339930025517</v>
          </cell>
          <cell r="W63">
            <v>0.12224708250400744</v>
          </cell>
          <cell r="Y63">
            <v>-22.007890094161709</v>
          </cell>
          <cell r="AA63">
            <v>17.928600935579741</v>
          </cell>
          <cell r="AC63">
            <v>1001.5</v>
          </cell>
          <cell r="AE63">
            <v>5.9311499999999997</v>
          </cell>
          <cell r="AG63">
            <v>5927.7723258096175</v>
          </cell>
          <cell r="AH63" t="e">
            <v>#N/A</v>
          </cell>
          <cell r="AI63">
            <v>0</v>
          </cell>
          <cell r="AK63">
            <v>0.3043654518222666</v>
          </cell>
          <cell r="AM63">
            <v>51.393406000522667</v>
          </cell>
          <cell r="AO63">
            <v>429.26025509687719</v>
          </cell>
          <cell r="AP63">
            <v>420.40599209259591</v>
          </cell>
          <cell r="AY63">
            <v>396.10143749999997</v>
          </cell>
          <cell r="BA63">
            <v>4.0014378523395733E-2</v>
          </cell>
          <cell r="BB63">
            <v>4.0014378523395733E-2</v>
          </cell>
        </row>
        <row r="64">
          <cell r="C64" t="str">
            <v>2004 = Trough rent</v>
          </cell>
          <cell r="F64">
            <v>1853.5829999999999</v>
          </cell>
          <cell r="G64">
            <v>1853.5829999999999</v>
          </cell>
          <cell r="H64">
            <v>5700</v>
          </cell>
          <cell r="J64">
            <v>5.6624386391113724E-2</v>
          </cell>
          <cell r="L64">
            <v>195.80799999999999</v>
          </cell>
          <cell r="N64">
            <v>0.10563756788878621</v>
          </cell>
          <cell r="P64">
            <v>0.10563756788878621</v>
          </cell>
          <cell r="S64">
            <v>195.80799999999999</v>
          </cell>
          <cell r="U64">
            <v>0.10563756788878621</v>
          </cell>
          <cell r="W64">
            <v>0.10563756788878621</v>
          </cell>
          <cell r="Z64">
            <v>0</v>
          </cell>
          <cell r="AB64">
            <v>0</v>
          </cell>
          <cell r="AC64">
            <v>693</v>
          </cell>
          <cell r="AE64">
            <v>4.202</v>
          </cell>
          <cell r="AG64">
            <v>5693.7669376693766</v>
          </cell>
          <cell r="AH64">
            <v>0.85353119923150744</v>
          </cell>
          <cell r="AI64">
            <v>0.85353119923150744</v>
          </cell>
          <cell r="AK64">
            <v>0.28255122655122655</v>
          </cell>
          <cell r="AM64">
            <v>46.598762494050447</v>
          </cell>
          <cell r="AO64">
            <v>471.40971515768052</v>
          </cell>
          <cell r="AP64">
            <v>441.11922893860066</v>
          </cell>
          <cell r="AR64">
            <v>-4.188407412815609E-2</v>
          </cell>
        </row>
        <row r="66">
          <cell r="AI66">
            <v>0</v>
          </cell>
        </row>
        <row r="67">
          <cell r="C67">
            <v>1998</v>
          </cell>
          <cell r="F67">
            <v>146.75649300000001</v>
          </cell>
          <cell r="J67">
            <v>0.19545105919095518</v>
          </cell>
          <cell r="L67">
            <v>15.509575</v>
          </cell>
          <cell r="N67">
            <v>0.10568237686083164</v>
          </cell>
          <cell r="P67" t="e">
            <v>#DIV/0!</v>
          </cell>
          <cell r="S67" t="str">
            <v xml:space="preserve">NA </v>
          </cell>
          <cell r="U67">
            <v>0.10568237686083164</v>
          </cell>
          <cell r="AI67">
            <v>0</v>
          </cell>
        </row>
        <row r="68">
          <cell r="C68">
            <v>1999</v>
          </cell>
          <cell r="F68">
            <v>201.34088500000001</v>
          </cell>
          <cell r="J68">
            <v>0.22267133672328898</v>
          </cell>
          <cell r="L68">
            <v>19.205735000000001</v>
          </cell>
          <cell r="N68">
            <v>9.5389145627327504E-2</v>
          </cell>
          <cell r="P68" t="e">
            <v>#DIV/0!</v>
          </cell>
          <cell r="S68" t="str">
            <v xml:space="preserve">NA </v>
          </cell>
          <cell r="U68">
            <v>9.5389145627327504E-2</v>
          </cell>
          <cell r="AI68">
            <v>0</v>
          </cell>
        </row>
        <row r="69">
          <cell r="C69">
            <v>2000</v>
          </cell>
          <cell r="F69">
            <v>241.80135899999999</v>
          </cell>
          <cell r="J69">
            <v>0.18882137465571475</v>
          </cell>
          <cell r="L69">
            <v>26.1</v>
          </cell>
          <cell r="N69">
            <v>0.10793983999072562</v>
          </cell>
          <cell r="P69" t="e">
            <v>#DIV/0!</v>
          </cell>
          <cell r="S69" t="str">
            <v xml:space="preserve">NA </v>
          </cell>
          <cell r="U69">
            <v>0.10793983999072562</v>
          </cell>
          <cell r="AI69">
            <v>0</v>
          </cell>
        </row>
        <row r="70">
          <cell r="A70" t="str">
            <v>BEBE</v>
          </cell>
          <cell r="C70">
            <v>2001</v>
          </cell>
          <cell r="F70">
            <v>290.835688</v>
          </cell>
          <cell r="J70">
            <v>0.14687364296227631</v>
          </cell>
          <cell r="L70">
            <v>34.5</v>
          </cell>
          <cell r="N70">
            <v>0.11862368142385607</v>
          </cell>
          <cell r="P70" t="e">
            <v>#DIV/0!</v>
          </cell>
          <cell r="S70" t="str">
            <v xml:space="preserve">NA </v>
          </cell>
          <cell r="U70">
            <v>0.11862368142385607</v>
          </cell>
          <cell r="AC70">
            <v>0</v>
          </cell>
          <cell r="AE70" t="e">
            <v>#REF!</v>
          </cell>
          <cell r="AG70" t="e">
            <v>#REF!</v>
          </cell>
          <cell r="AI70">
            <v>0</v>
          </cell>
          <cell r="AK70" t="e">
            <v>#DIV/0!</v>
          </cell>
          <cell r="AM70" t="e">
            <v>#REF!</v>
          </cell>
          <cell r="AO70" t="e">
            <v>#REF!</v>
          </cell>
          <cell r="AS70" t="str">
            <v>Rent expense includes minimum rent, percentage rent, and other lease-required</v>
          </cell>
        </row>
        <row r="71">
          <cell r="C71">
            <v>2002</v>
          </cell>
          <cell r="F71">
            <v>316.42399999999998</v>
          </cell>
          <cell r="J71">
            <v>0.128147675271155</v>
          </cell>
          <cell r="L71">
            <v>40.200000000000003</v>
          </cell>
          <cell r="N71">
            <v>0.12704472479963594</v>
          </cell>
          <cell r="P71" t="e">
            <v>#DIV/0!</v>
          </cell>
          <cell r="S71" t="str">
            <v xml:space="preserve">NA </v>
          </cell>
          <cell r="U71">
            <v>0.12704472479963594</v>
          </cell>
          <cell r="AC71">
            <v>0</v>
          </cell>
          <cell r="AE71" t="e">
            <v>#REF!</v>
          </cell>
          <cell r="AG71" t="e">
            <v>#REF!</v>
          </cell>
          <cell r="AI71">
            <v>0</v>
          </cell>
          <cell r="AK71" t="e">
            <v>#DIV/0!</v>
          </cell>
          <cell r="AM71" t="e">
            <v>#REF!</v>
          </cell>
          <cell r="AO71" t="e">
            <v>#REF!</v>
          </cell>
          <cell r="AS71" t="str">
            <v>expenses according to footnote 4. (including CAM, taxes and insurance).</v>
          </cell>
        </row>
        <row r="72">
          <cell r="C72">
            <v>2003</v>
          </cell>
          <cell r="F72">
            <v>323.54900000000004</v>
          </cell>
          <cell r="J72">
            <v>8.8518276984320896E-2</v>
          </cell>
          <cell r="L72">
            <v>44.5</v>
          </cell>
          <cell r="N72">
            <v>0.13753712729756543</v>
          </cell>
          <cell r="P72" t="e">
            <v>#DIV/0!</v>
          </cell>
          <cell r="S72" t="str">
            <v xml:space="preserve">NA </v>
          </cell>
          <cell r="U72">
            <v>0.13753712729756543</v>
          </cell>
          <cell r="AC72">
            <v>9</v>
          </cell>
          <cell r="AE72" t="e">
            <v>#REF!</v>
          </cell>
          <cell r="AG72" t="e">
            <v>#REF!</v>
          </cell>
          <cell r="AI72">
            <v>0</v>
          </cell>
          <cell r="AK72">
            <v>4.9444444444444446</v>
          </cell>
          <cell r="AM72" t="e">
            <v>#REF!</v>
          </cell>
          <cell r="AO72" t="e">
            <v>#REF!</v>
          </cell>
          <cell r="AS72" t="str">
            <v>Percentage rent &amp; other lease-required exp's was $12.7m in 2002 &amp; $11.3m in 2001.</v>
          </cell>
        </row>
        <row r="73">
          <cell r="C73" t="str">
            <v>2004E</v>
          </cell>
          <cell r="F73">
            <v>367.72328660896363</v>
          </cell>
          <cell r="J73">
            <v>0.12271124666820926</v>
          </cell>
          <cell r="L73">
            <v>50</v>
          </cell>
          <cell r="N73">
            <v>0.13597180766299938</v>
          </cell>
          <cell r="P73" t="e">
            <v>#DIV/0!</v>
          </cell>
          <cell r="S73" t="str">
            <v xml:space="preserve">NA </v>
          </cell>
          <cell r="U73">
            <v>0.13597180766299938</v>
          </cell>
          <cell r="AC73">
            <v>26</v>
          </cell>
          <cell r="AE73" t="e">
            <v>#REF!</v>
          </cell>
          <cell r="AG73" t="e">
            <v>#REF!</v>
          </cell>
          <cell r="AI73">
            <v>0</v>
          </cell>
          <cell r="AK73">
            <v>1.9230769230769231</v>
          </cell>
          <cell r="AM73" t="e">
            <v>#REF!</v>
          </cell>
          <cell r="AO73" t="e">
            <v>#REF!</v>
          </cell>
        </row>
        <row r="74">
          <cell r="A74" t="str">
            <v/>
          </cell>
          <cell r="C74" t="str">
            <v>1999 =Trough rent</v>
          </cell>
          <cell r="F74">
            <v>201.34088500000001</v>
          </cell>
          <cell r="J74">
            <v>0.22267133672328898</v>
          </cell>
          <cell r="L74">
            <v>19.205735000000001</v>
          </cell>
          <cell r="N74">
            <v>9.5389145627327504E-2</v>
          </cell>
          <cell r="P74" t="e">
            <v>#DIV/0!</v>
          </cell>
          <cell r="S74" t="str">
            <v xml:space="preserve">NA </v>
          </cell>
          <cell r="U74">
            <v>9.5389145627327504E-2</v>
          </cell>
          <cell r="AC74">
            <v>0</v>
          </cell>
          <cell r="AE74" t="e">
            <v>#REF!</v>
          </cell>
          <cell r="AG74" t="e">
            <v>#REF!</v>
          </cell>
          <cell r="AI74">
            <v>0</v>
          </cell>
          <cell r="AK74" t="e">
            <v>#DIV/0!</v>
          </cell>
          <cell r="AM74" t="e">
            <v>#REF!</v>
          </cell>
          <cell r="AO74" t="e">
            <v>#REF!</v>
          </cell>
        </row>
        <row r="75">
          <cell r="AI75">
            <v>0</v>
          </cell>
        </row>
        <row r="76">
          <cell r="AI76">
            <v>0</v>
          </cell>
        </row>
        <row r="77">
          <cell r="C77">
            <v>1998</v>
          </cell>
          <cell r="F77">
            <v>134.09100000000001</v>
          </cell>
          <cell r="J77">
            <v>9.7433832248249294E-2</v>
          </cell>
          <cell r="L77">
            <v>17.049569999999999</v>
          </cell>
          <cell r="N77">
            <v>0.12714924939033939</v>
          </cell>
          <cell r="P77" t="e">
            <v>#DIV/0!</v>
          </cell>
          <cell r="S77" t="str">
            <v xml:space="preserve">NA </v>
          </cell>
          <cell r="U77">
            <v>0.12714924939033939</v>
          </cell>
          <cell r="AI77">
            <v>0</v>
          </cell>
        </row>
        <row r="78">
          <cell r="C78">
            <v>1999</v>
          </cell>
          <cell r="F78">
            <v>177.45951200000002</v>
          </cell>
          <cell r="J78">
            <v>0.13164326181625025</v>
          </cell>
          <cell r="L78">
            <v>22.837050999999999</v>
          </cell>
          <cell r="N78">
            <v>0.1286887963492202</v>
          </cell>
          <cell r="P78" t="e">
            <v>#DIV/0!</v>
          </cell>
          <cell r="S78" t="str">
            <v xml:space="preserve">NA </v>
          </cell>
          <cell r="U78">
            <v>0.1286887963492202</v>
          </cell>
          <cell r="AI78">
            <v>0</v>
          </cell>
        </row>
        <row r="79">
          <cell r="C79">
            <v>2000</v>
          </cell>
          <cell r="F79">
            <v>245.25988899999999</v>
          </cell>
          <cell r="J79">
            <v>0.13207785884629511</v>
          </cell>
          <cell r="L79">
            <v>32.266022</v>
          </cell>
          <cell r="N79">
            <v>0.13155849548639403</v>
          </cell>
          <cell r="P79" t="e">
            <v>#DIV/0!</v>
          </cell>
          <cell r="S79" t="str">
            <v xml:space="preserve">NA </v>
          </cell>
          <cell r="U79">
            <v>0.13155849548639403</v>
          </cell>
          <cell r="AI79">
            <v>0</v>
          </cell>
        </row>
        <row r="80">
          <cell r="A80" t="str">
            <v>CHIC</v>
          </cell>
          <cell r="C80">
            <v>2001</v>
          </cell>
          <cell r="F80">
            <v>324.82500000000005</v>
          </cell>
          <cell r="J80">
            <v>0.10698376048641588</v>
          </cell>
          <cell r="L80">
            <v>44.219476</v>
          </cell>
          <cell r="N80">
            <v>0.136133228661587</v>
          </cell>
          <cell r="P80" t="e">
            <v>#DIV/0!</v>
          </cell>
          <cell r="S80" t="str">
            <v xml:space="preserve">NA </v>
          </cell>
          <cell r="U80">
            <v>0.136133228661587</v>
          </cell>
          <cell r="AC80" t="e">
            <v>#REF!</v>
          </cell>
          <cell r="AE80">
            <v>-5.1656013997703476E-2</v>
          </cell>
          <cell r="AG80">
            <v>0.32991321774084859</v>
          </cell>
          <cell r="AI80">
            <v>0</v>
          </cell>
          <cell r="AK80" t="e">
            <v>#REF!</v>
          </cell>
          <cell r="AM80">
            <v>-856.0373241722815</v>
          </cell>
          <cell r="AO80">
            <v>-3.7935119081088153E-2</v>
          </cell>
          <cell r="AS80" t="str">
            <v>Rent expense reported in footnote 5 includes minimum rent, contingent rent, CAM,</v>
          </cell>
        </row>
        <row r="81">
          <cell r="C81">
            <v>2002</v>
          </cell>
          <cell r="F81">
            <v>409.38200000000001</v>
          </cell>
          <cell r="J81">
            <v>9.0038155072768328E-2</v>
          </cell>
          <cell r="L81">
            <v>62.035066</v>
          </cell>
          <cell r="N81">
            <v>0.15153344797768342</v>
          </cell>
          <cell r="P81" t="e">
            <v>#DIV/0!</v>
          </cell>
          <cell r="S81" t="str">
            <v xml:space="preserve">NA </v>
          </cell>
          <cell r="U81">
            <v>0.15153344797768342</v>
          </cell>
          <cell r="AC81">
            <v>197</v>
          </cell>
          <cell r="AE81">
            <v>-6.9835444948717074E-2</v>
          </cell>
          <cell r="AG81">
            <v>0.3063181749420234</v>
          </cell>
          <cell r="AI81">
            <v>0</v>
          </cell>
          <cell r="AK81">
            <v>0.31489881218274113</v>
          </cell>
          <cell r="AM81">
            <v>-888.30344025952434</v>
          </cell>
          <cell r="AO81">
            <v>-2.1562482513544312E-2</v>
          </cell>
          <cell r="AS81" t="str">
            <v>insurance, taxes, and all landlord pass thru's. Contingent rent was $1.6 and $1.7 in</v>
          </cell>
        </row>
        <row r="82">
          <cell r="C82">
            <v>2003</v>
          </cell>
          <cell r="F82">
            <v>456.62188200000003</v>
          </cell>
          <cell r="J82">
            <v>5.0577639641019384E-2</v>
          </cell>
          <cell r="L82">
            <v>80.031515999999996</v>
          </cell>
          <cell r="N82">
            <v>0.17526868324720363</v>
          </cell>
          <cell r="P82" t="e">
            <v>#DIV/0!</v>
          </cell>
          <cell r="S82" t="str">
            <v xml:space="preserve">NA </v>
          </cell>
          <cell r="U82">
            <v>0.17526868324720363</v>
          </cell>
          <cell r="AC82">
            <v>256</v>
          </cell>
          <cell r="AE82">
            <v>-0.12872313778023292</v>
          </cell>
          <cell r="AG82">
            <v>0.24965989912776765</v>
          </cell>
          <cell r="AI82">
            <v>0</v>
          </cell>
          <cell r="AK82">
            <v>0.31262310937499999</v>
          </cell>
          <cell r="AM82">
            <v>-621.73372542111736</v>
          </cell>
          <cell r="AO82">
            <v>8.5679571738574989E-3</v>
          </cell>
          <cell r="AS82" t="str">
            <v>2002 and 2001, respectively.</v>
          </cell>
        </row>
        <row r="83">
          <cell r="C83" t="str">
            <v>2004E</v>
          </cell>
          <cell r="F83">
            <v>547.93451428260357</v>
          </cell>
          <cell r="J83">
            <v>5.6460602021314046E-2</v>
          </cell>
          <cell r="L83">
            <v>93.528853499999997</v>
          </cell>
          <cell r="N83">
            <v>0.17069348811226995</v>
          </cell>
          <cell r="P83" t="e">
            <v>#DIV/0!</v>
          </cell>
          <cell r="S83" t="str">
            <v xml:space="preserve">NA </v>
          </cell>
          <cell r="U83">
            <v>0.17069348811226995</v>
          </cell>
          <cell r="AI83">
            <v>0</v>
          </cell>
        </row>
        <row r="84">
          <cell r="A84" t="str">
            <v>CHECK</v>
          </cell>
          <cell r="C84" t="str">
            <v>1997 = Trough rent</v>
          </cell>
          <cell r="F84">
            <v>81.543000000000006</v>
          </cell>
          <cell r="J84">
            <v>0.14272224470524755</v>
          </cell>
          <cell r="L84">
            <v>8.7663349999999998</v>
          </cell>
          <cell r="N84">
            <v>0.10750567185411376</v>
          </cell>
          <cell r="P84" t="e">
            <v>#DIV/0!</v>
          </cell>
          <cell r="S84" t="str">
            <v xml:space="preserve">NA </v>
          </cell>
          <cell r="U84">
            <v>0.10750567185411376</v>
          </cell>
          <cell r="AC84" t="e">
            <v>#REF!</v>
          </cell>
          <cell r="AE84">
            <v>3.2499700207880622E-2</v>
          </cell>
          <cell r="AG84">
            <v>0.15891633081877976</v>
          </cell>
          <cell r="AI84">
            <v>0</v>
          </cell>
          <cell r="AK84" t="e">
            <v>#REF!</v>
          </cell>
          <cell r="AM84">
            <v>269.73587275966054</v>
          </cell>
          <cell r="AO84">
            <v>-1.0681181008358798E-2</v>
          </cell>
        </row>
        <row r="85">
          <cell r="AI85">
            <v>0</v>
          </cell>
          <cell r="AS85">
            <v>2002</v>
          </cell>
          <cell r="AT85">
            <v>2001</v>
          </cell>
          <cell r="AU85">
            <v>2000</v>
          </cell>
        </row>
        <row r="86">
          <cell r="AI86">
            <v>0</v>
          </cell>
        </row>
        <row r="87">
          <cell r="C87">
            <v>1998</v>
          </cell>
          <cell r="D87">
            <v>4</v>
          </cell>
          <cell r="E87">
            <v>4</v>
          </cell>
          <cell r="F87">
            <v>152.506</v>
          </cell>
          <cell r="H87">
            <v>5.5E-2</v>
          </cell>
          <cell r="J87">
            <v>6.4554837186733632E-2</v>
          </cell>
          <cell r="L87" t="str">
            <v>N/A</v>
          </cell>
          <cell r="N87" t="str">
            <v>N/A</v>
          </cell>
          <cell r="P87" t="str">
            <v>N/A</v>
          </cell>
          <cell r="S87" t="str">
            <v>N/A</v>
          </cell>
          <cell r="U87" t="str">
            <v>N/A</v>
          </cell>
          <cell r="AC87">
            <v>124</v>
          </cell>
          <cell r="AE87">
            <v>0</v>
          </cell>
          <cell r="AG87">
            <v>3275.8992248062013</v>
          </cell>
          <cell r="AH87">
            <v>0</v>
          </cell>
          <cell r="AI87">
            <v>0</v>
          </cell>
          <cell r="AK87" t="str">
            <v>N/A</v>
          </cell>
          <cell r="AM87" t="str">
            <v>N/A</v>
          </cell>
          <cell r="AO87">
            <v>0</v>
          </cell>
          <cell r="AS87" t="str">
            <v xml:space="preserve">Total rent expense reported in footnote 14 includes only minimum rentals, </v>
          </cell>
        </row>
        <row r="88">
          <cell r="C88">
            <v>1999</v>
          </cell>
          <cell r="D88">
            <v>5</v>
          </cell>
          <cell r="E88">
            <v>5</v>
          </cell>
          <cell r="F88">
            <v>125.495</v>
          </cell>
          <cell r="H88">
            <v>0</v>
          </cell>
          <cell r="J88">
            <v>9.6258815092234759E-2</v>
          </cell>
          <cell r="L88" t="str">
            <v>N/A</v>
          </cell>
          <cell r="N88" t="str">
            <v>N/A</v>
          </cell>
          <cell r="P88" t="str">
            <v>N/A</v>
          </cell>
          <cell r="S88" t="str">
            <v>N/A</v>
          </cell>
          <cell r="U88" t="str">
            <v>N/A</v>
          </cell>
          <cell r="AC88">
            <v>134.5</v>
          </cell>
          <cell r="AE88">
            <v>0.48460049999999999</v>
          </cell>
          <cell r="AG88">
            <v>3619.9337748344374</v>
          </cell>
          <cell r="AH88" t="str">
            <v>NM</v>
          </cell>
          <cell r="AI88">
            <v>0</v>
          </cell>
          <cell r="AK88" t="str">
            <v>N/A</v>
          </cell>
          <cell r="AM88" t="str">
            <v>N/A</v>
          </cell>
          <cell r="AO88">
            <v>258.9658904602864</v>
          </cell>
          <cell r="AS88" t="str">
            <v xml:space="preserve">percentage rent, and office space rentals, and does not include CAM, </v>
          </cell>
        </row>
        <row r="89">
          <cell r="C89">
            <v>2000</v>
          </cell>
          <cell r="D89">
            <v>6</v>
          </cell>
          <cell r="E89">
            <v>6</v>
          </cell>
          <cell r="F89">
            <v>272.31900000000002</v>
          </cell>
          <cell r="H89">
            <v>0.12300000000000001</v>
          </cell>
          <cell r="J89">
            <v>7.8554930063638631E-2</v>
          </cell>
          <cell r="L89">
            <v>16.364000000000001</v>
          </cell>
          <cell r="N89">
            <v>6.0091289994455031E-2</v>
          </cell>
          <cell r="P89" t="str">
            <v>-</v>
          </cell>
          <cell r="S89">
            <v>24.873280000000001</v>
          </cell>
          <cell r="U89">
            <v>9.1338760791571647E-2</v>
          </cell>
          <cell r="AC89">
            <v>187.5</v>
          </cell>
          <cell r="AE89">
            <v>0.66086</v>
          </cell>
          <cell r="AG89">
            <v>3460.3125</v>
          </cell>
          <cell r="AH89">
            <v>2.8784651988181285</v>
          </cell>
          <cell r="AI89">
            <v>0</v>
          </cell>
          <cell r="AK89">
            <v>0.13265749333333335</v>
          </cell>
          <cell r="AM89">
            <v>37.637744756832006</v>
          </cell>
          <cell r="AO89">
            <v>412.06760887328636</v>
          </cell>
          <cell r="AS89" t="str">
            <v>RE Taxes, Insurance or other landlord passthrus.</v>
          </cell>
          <cell r="BA89">
            <v>0.36372125080349704</v>
          </cell>
        </row>
        <row r="90">
          <cell r="C90">
            <v>2001</v>
          </cell>
          <cell r="D90">
            <v>7</v>
          </cell>
          <cell r="E90">
            <v>7</v>
          </cell>
          <cell r="F90">
            <v>404.43799999999999</v>
          </cell>
          <cell r="H90">
            <v>0.155</v>
          </cell>
          <cell r="J90">
            <v>0.10647367458052906</v>
          </cell>
          <cell r="L90">
            <v>23.229000000000003</v>
          </cell>
          <cell r="N90">
            <v>5.7435255836494108E-2</v>
          </cell>
          <cell r="P90" t="str">
            <v>-</v>
          </cell>
          <cell r="S90">
            <v>35.308080000000004</v>
          </cell>
          <cell r="T90">
            <v>12.079080000000001</v>
          </cell>
          <cell r="U90">
            <v>8.7301588871471048E-2</v>
          </cell>
          <cell r="AC90">
            <v>251</v>
          </cell>
          <cell r="AE90">
            <v>0.86890350000000005</v>
          </cell>
          <cell r="AG90">
            <v>3462.9388489208632</v>
          </cell>
          <cell r="AH90">
            <v>1.0487771558750851</v>
          </cell>
          <cell r="AI90">
            <v>0</v>
          </cell>
          <cell r="AK90">
            <v>0.14066964143426297</v>
          </cell>
          <cell r="AM90">
            <v>40.635214382264543</v>
          </cell>
          <cell r="AO90">
            <v>465.45790182684266</v>
          </cell>
          <cell r="BA90">
            <v>0.31480722089398672</v>
          </cell>
        </row>
        <row r="91">
          <cell r="C91">
            <v>2002</v>
          </cell>
          <cell r="D91">
            <v>8</v>
          </cell>
          <cell r="E91">
            <v>8</v>
          </cell>
          <cell r="F91">
            <v>550.904</v>
          </cell>
          <cell r="H91">
            <v>6.6000000000000003E-2</v>
          </cell>
          <cell r="J91">
            <v>9.4566385431944497E-2</v>
          </cell>
          <cell r="L91">
            <v>35.752000000000002</v>
          </cell>
          <cell r="N91">
            <v>6.4896969344931249E-2</v>
          </cell>
          <cell r="P91" t="str">
            <v>-</v>
          </cell>
          <cell r="S91">
            <v>54.343040000000002</v>
          </cell>
          <cell r="T91">
            <v>18.59104</v>
          </cell>
          <cell r="U91">
            <v>9.8643393404295496E-2</v>
          </cell>
          <cell r="AC91">
            <v>322.5</v>
          </cell>
          <cell r="AE91">
            <v>1.1311515000000001</v>
          </cell>
          <cell r="AG91">
            <v>3541.1607629427795</v>
          </cell>
          <cell r="AH91">
            <v>0.98122062626915352</v>
          </cell>
          <cell r="AI91">
            <v>0</v>
          </cell>
          <cell r="AK91">
            <v>0.1685055503875969</v>
          </cell>
          <cell r="AM91">
            <v>48.04222953335605</v>
          </cell>
          <cell r="AO91">
            <v>487.02936786098059</v>
          </cell>
          <cell r="BA91">
            <v>0.30181487357341763</v>
          </cell>
        </row>
        <row r="92">
          <cell r="C92">
            <v>2003</v>
          </cell>
          <cell r="D92">
            <v>9</v>
          </cell>
          <cell r="E92">
            <v>9</v>
          </cell>
          <cell r="F92">
            <v>734.86799999999994</v>
          </cell>
          <cell r="G92">
            <v>734.86799999999994</v>
          </cell>
          <cell r="H92">
            <v>6.6000000000000003E-2</v>
          </cell>
          <cell r="J92">
            <v>0.12001611173707384</v>
          </cell>
          <cell r="L92">
            <v>46.836999999999996</v>
          </cell>
          <cell r="N92">
            <v>6.3735255855473363E-2</v>
          </cell>
          <cell r="P92">
            <v>6.3735255855473363E-2</v>
          </cell>
          <cell r="S92">
            <v>71.192239999999998</v>
          </cell>
          <cell r="T92">
            <v>24.355240000000002</v>
          </cell>
          <cell r="U92">
            <v>9.6877588900319514E-2</v>
          </cell>
          <cell r="W92">
            <v>9.6877588900319514E-2</v>
          </cell>
          <cell r="Y92">
            <v>17.658045039759816</v>
          </cell>
          <cell r="AA92">
            <v>-968.77588900319518</v>
          </cell>
          <cell r="AC92">
            <v>413</v>
          </cell>
          <cell r="AE92">
            <v>1.4556374999999999</v>
          </cell>
          <cell r="AG92">
            <v>3511.2614379084966</v>
          </cell>
          <cell r="AH92">
            <v>0.93400242034051428</v>
          </cell>
          <cell r="AI92">
            <v>0</v>
          </cell>
          <cell r="AK92">
            <v>0.17237830508474575</v>
          </cell>
          <cell r="AM92">
            <v>48.907945831293851</v>
          </cell>
          <cell r="AO92">
            <v>504.84272354896052</v>
          </cell>
          <cell r="BA92">
            <v>0.28686343076060083</v>
          </cell>
        </row>
        <row r="93">
          <cell r="A93" t="str">
            <v>ARO2004</v>
          </cell>
          <cell r="C93">
            <v>2004</v>
          </cell>
          <cell r="D93">
            <v>10</v>
          </cell>
          <cell r="E93">
            <v>10</v>
          </cell>
          <cell r="F93">
            <v>964.21199999999999</v>
          </cell>
          <cell r="G93">
            <v>964.21199999999999</v>
          </cell>
          <cell r="H93">
            <v>8.6999999999999994E-2</v>
          </cell>
          <cell r="J93">
            <v>0.14097522121691083</v>
          </cell>
          <cell r="L93">
            <v>59.344000000000001</v>
          </cell>
          <cell r="N93">
            <v>6.1546630823926689E-2</v>
          </cell>
          <cell r="P93">
            <v>6.1546630823926689E-2</v>
          </cell>
          <cell r="R93">
            <v>61.86699999999999</v>
          </cell>
          <cell r="S93">
            <v>90.202880000000007</v>
          </cell>
          <cell r="T93">
            <v>30.858880000000006</v>
          </cell>
          <cell r="U93">
            <v>9.3550878852368569E-2</v>
          </cell>
          <cell r="W93">
            <v>9.3550878852368569E-2</v>
          </cell>
          <cell r="Y93">
            <v>33.267100479509452</v>
          </cell>
          <cell r="AA93">
            <v>33.267100479509452</v>
          </cell>
          <cell r="AC93">
            <v>510</v>
          </cell>
          <cell r="AE93">
            <v>1.7950375000000001</v>
          </cell>
          <cell r="AG93">
            <v>3526.5704099821751</v>
          </cell>
          <cell r="AH93">
            <v>0.96537287843213526</v>
          </cell>
          <cell r="AI93">
            <v>0</v>
          </cell>
          <cell r="AK93">
            <v>0.17686839215686276</v>
          </cell>
          <cell r="AM93">
            <v>50.251251018432768</v>
          </cell>
          <cell r="AO93">
            <v>537.15423772483859</v>
          </cell>
          <cell r="AT93" t="str">
            <v>Adjusted Rent Expense Increase Assumption</v>
          </cell>
          <cell r="BA93">
            <v>0.2331624460073336</v>
          </cell>
        </row>
        <row r="94">
          <cell r="A94" t="str">
            <v>ARO</v>
          </cell>
          <cell r="B94" t="str">
            <v>ARO</v>
          </cell>
          <cell r="C94" t="str">
            <v>2005  (total revs.)</v>
          </cell>
          <cell r="D94">
            <v>11</v>
          </cell>
          <cell r="E94">
            <v>11</v>
          </cell>
          <cell r="F94">
            <v>1204.347</v>
          </cell>
          <cell r="G94">
            <v>1204.347</v>
          </cell>
          <cell r="H94">
            <v>3.5000000000000003E-2</v>
          </cell>
          <cell r="J94">
            <v>0.11245180998499606</v>
          </cell>
          <cell r="L94">
            <v>73.263999999999996</v>
          </cell>
          <cell r="N94">
            <v>6.0832965914308749E-2</v>
          </cell>
          <cell r="P94">
            <v>6.0832965914308749E-2</v>
          </cell>
          <cell r="R94">
            <v>0.52</v>
          </cell>
          <cell r="S94">
            <v>111.36127999999999</v>
          </cell>
          <cell r="T94">
            <v>38.097279999999998</v>
          </cell>
          <cell r="U94">
            <v>9.2466108189749291E-2</v>
          </cell>
          <cell r="W94">
            <v>9.2466108189749291E-2</v>
          </cell>
          <cell r="Y94">
            <v>10.847706626192776</v>
          </cell>
          <cell r="AA94">
            <v>10.847706626192776</v>
          </cell>
          <cell r="AC94">
            <v>616</v>
          </cell>
          <cell r="AE94">
            <v>2.1759405000000003</v>
          </cell>
          <cell r="AG94">
            <v>3537.220566318927</v>
          </cell>
          <cell r="AH94">
            <v>1.0087189025971417</v>
          </cell>
          <cell r="AI94">
            <v>1.0087189025971417</v>
          </cell>
          <cell r="AK94">
            <v>0.18078129870129869</v>
          </cell>
          <cell r="AM94">
            <v>51.178458234496752</v>
          </cell>
          <cell r="AO94">
            <v>553.48342475357197</v>
          </cell>
          <cell r="AP94">
            <v>553.48342475357197</v>
          </cell>
          <cell r="AQ94" t="str">
            <v>2008's adj. rent exp = $115.9mm + $52.8mm maint/insur/taxes (60% of $88mm min rent).  Excludes office &amp; DC rent.  We estimate achieves lvg. at +MSD comp.</v>
          </cell>
          <cell r="AT94" t="str">
            <v>10-K #: Excludes CAM, RE Taxes, Insurance, Other</v>
          </cell>
          <cell r="BA94">
            <v>0.21219779531068306</v>
          </cell>
          <cell r="BB94">
            <v>0.21219779531068306</v>
          </cell>
        </row>
        <row r="95">
          <cell r="A95" t="str">
            <v>ARO2006</v>
          </cell>
          <cell r="C95" t="str">
            <v>2006  (total revs.)</v>
          </cell>
          <cell r="D95">
            <v>12</v>
          </cell>
          <cell r="E95">
            <v>12</v>
          </cell>
          <cell r="F95">
            <v>1413.2080000000001</v>
          </cell>
          <cell r="G95">
            <v>1413.2080000000001</v>
          </cell>
          <cell r="H95">
            <v>0.02</v>
          </cell>
          <cell r="J95">
            <v>0.11723751917622893</v>
          </cell>
          <cell r="L95">
            <v>85.691000000000003</v>
          </cell>
          <cell r="N95">
            <v>6.0635801665430707E-2</v>
          </cell>
          <cell r="P95">
            <v>6.0635801665430707E-2</v>
          </cell>
          <cell r="R95">
            <v>0.51580679417908559</v>
          </cell>
          <cell r="S95">
            <v>129.89100000000002</v>
          </cell>
          <cell r="T95">
            <v>44.200000000000017</v>
          </cell>
          <cell r="U95">
            <v>9.1912160134955373E-2</v>
          </cell>
          <cell r="W95">
            <v>9.1912160134955373E-2</v>
          </cell>
          <cell r="Y95">
            <v>5.5394805479391795</v>
          </cell>
          <cell r="AA95">
            <v>5.5394805479391795</v>
          </cell>
          <cell r="AC95">
            <v>706.5</v>
          </cell>
          <cell r="AE95">
            <v>2.4997375000000002</v>
          </cell>
          <cell r="AG95">
            <v>3539.0835579514824</v>
          </cell>
          <cell r="AH95">
            <v>0.91160282341959664</v>
          </cell>
          <cell r="AI95">
            <v>1.0310116232081274</v>
          </cell>
          <cell r="AK95">
            <v>0.18385138004246288</v>
          </cell>
          <cell r="AM95">
            <v>51.961855994879464</v>
          </cell>
          <cell r="AO95">
            <v>565.34256096890169</v>
          </cell>
          <cell r="AP95">
            <v>565.34256096890169</v>
          </cell>
          <cell r="AR95" t="str">
            <v>LVG</v>
          </cell>
          <cell r="BA95">
            <v>0.14880783734665526</v>
          </cell>
          <cell r="BB95">
            <v>0.14880783734665526</v>
          </cell>
        </row>
        <row r="96">
          <cell r="A96" t="str">
            <v>ARO2007</v>
          </cell>
          <cell r="B96" t="str">
            <v>ARO</v>
          </cell>
          <cell r="C96" t="str">
            <v>2007  (ex. Internet)</v>
          </cell>
          <cell r="D96">
            <v>13</v>
          </cell>
          <cell r="E96">
            <v>13</v>
          </cell>
          <cell r="F96">
            <v>1540.383</v>
          </cell>
          <cell r="G96">
            <v>1583.183</v>
          </cell>
          <cell r="H96">
            <v>3.3000000000000002E-2</v>
          </cell>
          <cell r="J96">
            <v>0.12613702901054391</v>
          </cell>
          <cell r="L96">
            <v>96.923000000000002</v>
          </cell>
          <cell r="N96">
            <v>6.2921364361980106E-2</v>
          </cell>
          <cell r="P96">
            <v>6.1220339025873829E-2</v>
          </cell>
          <cell r="R96">
            <v>0.51587342529636926</v>
          </cell>
          <cell r="S96">
            <v>146.923</v>
          </cell>
          <cell r="U96">
            <v>9.5380824119715685E-2</v>
          </cell>
          <cell r="W96">
            <v>9.2802285016956351E-2</v>
          </cell>
          <cell r="Y96">
            <v>-34.686639847603118</v>
          </cell>
          <cell r="AA96">
            <v>-8.9012488200097835</v>
          </cell>
          <cell r="AC96">
            <v>785</v>
          </cell>
          <cell r="AE96">
            <v>2.7806069999999998</v>
          </cell>
          <cell r="AG96">
            <v>3544.9444444444448</v>
          </cell>
          <cell r="AH96">
            <v>0.65637150143669543</v>
          </cell>
          <cell r="AI96">
            <v>0.50721338211588152</v>
          </cell>
          <cell r="AK96">
            <v>0.18716305732484076</v>
          </cell>
          <cell r="AM96">
            <v>52.838462968697129</v>
          </cell>
          <cell r="AO96">
            <v>569.36596937287436</v>
          </cell>
          <cell r="AP96">
            <v>569.36596937287436</v>
          </cell>
          <cell r="AQ96" t="str">
            <v>2011's adj. rent exp = $154.5M + $55M maint/insur/taxes (40% of minimum rent expense). Excludes office, DC &amp; equip.  Store sales exclude internet sales ($217M in '12, $182M in '11) We estimate leverage at +LSD comp.</v>
          </cell>
          <cell r="AR96">
            <v>15.76314497107864</v>
          </cell>
          <cell r="AY96">
            <v>42.8</v>
          </cell>
          <cell r="BA96">
            <v>0.1123595977577645</v>
          </cell>
          <cell r="BB96">
            <v>0.1123595977577645</v>
          </cell>
        </row>
        <row r="97">
          <cell r="A97" t="str">
            <v>ARO2008</v>
          </cell>
          <cell r="B97" t="str">
            <v>ARO</v>
          </cell>
          <cell r="C97">
            <v>2008</v>
          </cell>
          <cell r="D97">
            <v>14</v>
          </cell>
          <cell r="E97">
            <v>14</v>
          </cell>
          <cell r="F97">
            <v>1798.421</v>
          </cell>
          <cell r="G97">
            <v>1885.521</v>
          </cell>
          <cell r="H97">
            <v>0.08</v>
          </cell>
          <cell r="J97">
            <v>0.13168190648632386</v>
          </cell>
          <cell r="L97">
            <v>106.833</v>
          </cell>
          <cell r="N97">
            <v>5.9403776979917382E-2</v>
          </cell>
          <cell r="P97">
            <v>5.6659671252667035E-2</v>
          </cell>
          <cell r="R97">
            <v>0.57910009079591496</v>
          </cell>
          <cell r="S97">
            <v>168.7</v>
          </cell>
          <cell r="U97">
            <v>9.3804509622607821E-2</v>
          </cell>
          <cell r="W97">
            <v>8.9471292019553214E-2</v>
          </cell>
          <cell r="Y97">
            <v>15.76314497107864</v>
          </cell>
          <cell r="AA97">
            <v>33.30992997403137</v>
          </cell>
          <cell r="AC97">
            <v>871</v>
          </cell>
          <cell r="AE97">
            <v>3.1099139999999998</v>
          </cell>
          <cell r="AG97">
            <v>3593.6695842450767</v>
          </cell>
          <cell r="AH97">
            <v>0.73896443311753368</v>
          </cell>
          <cell r="AI97">
            <v>0.73896443311753368</v>
          </cell>
          <cell r="AK97">
            <v>0.19368541905855338</v>
          </cell>
          <cell r="AM97">
            <v>54.245873037003598</v>
          </cell>
          <cell r="AO97">
            <v>606.29361455011303</v>
          </cell>
          <cell r="AP97">
            <v>606.29361455011303</v>
          </cell>
          <cell r="AR97">
            <v>215.9110286759082</v>
          </cell>
          <cell r="AS97">
            <v>0.10955414012738851</v>
          </cell>
          <cell r="AU97">
            <v>231.67417364698684</v>
          </cell>
          <cell r="AY97">
            <v>87.1</v>
          </cell>
          <cell r="BA97">
            <v>0.11842989678153004</v>
          </cell>
          <cell r="BB97">
            <v>0.11842989678153004</v>
          </cell>
        </row>
        <row r="98">
          <cell r="A98" t="str">
            <v>ARO2009</v>
          </cell>
          <cell r="B98" t="str">
            <v>ARO</v>
          </cell>
          <cell r="C98">
            <v>2009</v>
          </cell>
          <cell r="D98">
            <v>15</v>
          </cell>
          <cell r="E98">
            <v>15</v>
          </cell>
          <cell r="F98">
            <v>2101.105</v>
          </cell>
          <cell r="G98">
            <v>2230.105</v>
          </cell>
          <cell r="H98">
            <v>0.1</v>
          </cell>
          <cell r="J98">
            <v>0.17281024884478535</v>
          </cell>
          <cell r="L98">
            <v>121.69799999999999</v>
          </cell>
          <cell r="N98">
            <v>5.7920951118578076E-2</v>
          </cell>
          <cell r="P98">
            <v>5.4570524706235801E-2</v>
          </cell>
          <cell r="R98">
            <v>0.24675795822445723</v>
          </cell>
          <cell r="S98">
            <v>151.72794999999999</v>
          </cell>
          <cell r="U98">
            <v>7.2213406755017001E-2</v>
          </cell>
          <cell r="W98">
            <v>6.8036235961983854E-2</v>
          </cell>
          <cell r="Y98">
            <v>215.9110286759082</v>
          </cell>
          <cell r="AA98">
            <v>214.35056057569361</v>
          </cell>
          <cell r="AC98">
            <v>933</v>
          </cell>
          <cell r="AE98">
            <v>3.3564949999999998</v>
          </cell>
          <cell r="AG98">
            <v>3601.2352941176473</v>
          </cell>
          <cell r="AH98">
            <v>0.86147748172747662</v>
          </cell>
          <cell r="AI98">
            <v>0</v>
          </cell>
          <cell r="AK98">
            <v>0.16262374062165058</v>
          </cell>
          <cell r="AM98">
            <v>45.204283039301416</v>
          </cell>
          <cell r="AO98">
            <v>664.41481366723326</v>
          </cell>
          <cell r="AP98">
            <v>664.41481366723326</v>
          </cell>
          <cell r="AR98">
            <v>-58.853141250732186</v>
          </cell>
          <cell r="AS98">
            <v>7.1182548794489042E-2</v>
          </cell>
          <cell r="AU98">
            <v>157.05788742517601</v>
          </cell>
          <cell r="AY98">
            <v>129</v>
          </cell>
          <cell r="BA98">
            <v>7.9288687725769913E-2</v>
          </cell>
          <cell r="BB98">
            <v>7.9288687725769913E-2</v>
          </cell>
          <cell r="BC98">
            <v>0</v>
          </cell>
        </row>
        <row r="99">
          <cell r="A99" t="str">
            <v>ARO2010</v>
          </cell>
          <cell r="B99" t="str">
            <v>ARO</v>
          </cell>
          <cell r="C99">
            <v>2010</v>
          </cell>
          <cell r="D99">
            <v>16</v>
          </cell>
          <cell r="E99">
            <v>16</v>
          </cell>
          <cell r="F99">
            <v>2240.134</v>
          </cell>
          <cell r="G99">
            <v>2400.4340000000002</v>
          </cell>
          <cell r="H99">
            <v>1.3962820974102438E-2</v>
          </cell>
          <cell r="J99">
            <v>0.16275973428138421</v>
          </cell>
          <cell r="L99">
            <v>137.268</v>
          </cell>
          <cell r="N99">
            <v>6.127669148363446E-2</v>
          </cell>
          <cell r="P99">
            <v>5.718465910747806E-2</v>
          </cell>
          <cell r="R99">
            <v>0.27452574525745277</v>
          </cell>
          <cell r="S99">
            <v>174.95160000000001</v>
          </cell>
          <cell r="U99">
            <v>7.8098720880090219E-2</v>
          </cell>
          <cell r="W99">
            <v>7.2883320266251855E-2</v>
          </cell>
          <cell r="Y99">
            <v>-58.853141250732186</v>
          </cell>
          <cell r="AA99">
            <v>-48.470843042680009</v>
          </cell>
          <cell r="AC99">
            <v>982</v>
          </cell>
          <cell r="AE99">
            <v>3.5657044999999998</v>
          </cell>
          <cell r="AG99">
            <v>3659.1235177865615</v>
          </cell>
          <cell r="AH99">
            <v>0.83758791837809288</v>
          </cell>
          <cell r="AI99">
            <v>0</v>
          </cell>
          <cell r="AK99">
            <v>0.17815845213849288</v>
          </cell>
          <cell r="AM99">
            <v>49.065086576860203</v>
          </cell>
          <cell r="AO99">
            <v>673.20048534588329</v>
          </cell>
          <cell r="AP99">
            <v>673.20048534588329</v>
          </cell>
          <cell r="AR99">
            <v>-154.82800003588912</v>
          </cell>
          <cell r="AS99">
            <v>5.2518756698821001E-2</v>
          </cell>
          <cell r="AY99">
            <v>160.30000000000001</v>
          </cell>
          <cell r="BA99">
            <v>6.2329751720172411E-2</v>
          </cell>
          <cell r="BB99">
            <v>6.2329751720172411E-2</v>
          </cell>
        </row>
        <row r="100">
          <cell r="A100" t="str">
            <v>ARO2011</v>
          </cell>
          <cell r="B100" t="str">
            <v>ARO</v>
          </cell>
          <cell r="C100">
            <v>2011</v>
          </cell>
          <cell r="D100">
            <v>17</v>
          </cell>
          <cell r="E100">
            <v>17</v>
          </cell>
          <cell r="F100">
            <v>2160.0600000000004</v>
          </cell>
          <cell r="G100">
            <v>2342.2600000000002</v>
          </cell>
          <cell r="H100">
            <v>-0.08</v>
          </cell>
          <cell r="J100">
            <v>5.1068199089768077E-2</v>
          </cell>
          <cell r="L100">
            <v>149.184</v>
          </cell>
          <cell r="N100">
            <v>6.9064748201438833E-2</v>
          </cell>
          <cell r="P100">
            <v>6.3692331338109337E-2</v>
          </cell>
          <cell r="R100">
            <v>0.35498243779493777</v>
          </cell>
          <cell r="S100">
            <v>202.14169999999999</v>
          </cell>
          <cell r="U100">
            <v>9.3581520883679131E-2</v>
          </cell>
          <cell r="W100">
            <v>8.6301990385354299E-2</v>
          </cell>
          <cell r="Y100">
            <v>-154.82800003588912</v>
          </cell>
          <cell r="AA100">
            <v>-134.18670119102444</v>
          </cell>
          <cell r="AC100">
            <v>1034.5</v>
          </cell>
          <cell r="AE100">
            <v>3.8059085000000001</v>
          </cell>
          <cell r="AG100">
            <v>3697.9981078524124</v>
          </cell>
          <cell r="AH100">
            <v>0.65693993340941381</v>
          </cell>
          <cell r="AI100">
            <v>0</v>
          </cell>
          <cell r="AK100">
            <v>0.1954003866602223</v>
          </cell>
          <cell r="AM100">
            <v>53.112601104309256</v>
          </cell>
          <cell r="AO100">
            <v>615.42730204890631</v>
          </cell>
          <cell r="AP100">
            <v>615.42730204890631</v>
          </cell>
          <cell r="AR100">
            <v>-25.441774223151359</v>
          </cell>
          <cell r="AS100">
            <v>5.3462321792260736E-2</v>
          </cell>
          <cell r="AY100">
            <v>182.2</v>
          </cell>
          <cell r="BA100">
            <v>6.736508872229896E-2</v>
          </cell>
          <cell r="BB100">
            <v>6.736508872229896E-2</v>
          </cell>
        </row>
        <row r="101">
          <cell r="A101" t="str">
            <v>ARO2012</v>
          </cell>
          <cell r="B101" t="str">
            <v>ARO</v>
          </cell>
          <cell r="C101">
            <v>2012</v>
          </cell>
          <cell r="D101">
            <v>18</v>
          </cell>
          <cell r="E101">
            <v>18</v>
          </cell>
          <cell r="F101">
            <v>2169.1779999999999</v>
          </cell>
          <cell r="G101">
            <v>2386.1779999999999</v>
          </cell>
          <cell r="H101">
            <v>-0.02</v>
          </cell>
          <cell r="J101">
            <v>3.8601898098130097E-2</v>
          </cell>
          <cell r="L101">
            <v>154.52500000000001</v>
          </cell>
          <cell r="N101">
            <v>7.1236661998231601E-2</v>
          </cell>
          <cell r="P101">
            <v>6.4758370917844352E-2</v>
          </cell>
          <cell r="R101">
            <v>0.34938521274874623</v>
          </cell>
          <cell r="S101">
            <v>208.51375000000002</v>
          </cell>
          <cell r="U101">
            <v>9.6125698305994267E-2</v>
          </cell>
          <cell r="W101">
            <v>8.7383988118237624E-2</v>
          </cell>
          <cell r="Y101">
            <v>-25.441774223151359</v>
          </cell>
          <cell r="AA101">
            <v>-10.819977328833247</v>
          </cell>
          <cell r="AC101">
            <v>1070.5</v>
          </cell>
          <cell r="AE101">
            <v>3.9611524999999999</v>
          </cell>
          <cell r="AG101">
            <v>3702.5101476014756</v>
          </cell>
          <cell r="AH101" t="e">
            <v>#REF!</v>
          </cell>
          <cell r="AI101">
            <v>0</v>
          </cell>
          <cell r="AK101">
            <v>0.19478164409154602</v>
          </cell>
          <cell r="AM101">
            <v>52.639667369534507</v>
          </cell>
          <cell r="AO101">
            <v>602.39488381222384</v>
          </cell>
          <cell r="AP101">
            <v>602.39488381222384</v>
          </cell>
          <cell r="AR101">
            <v>-175.18225380370191</v>
          </cell>
          <cell r="AY101">
            <v>217</v>
          </cell>
          <cell r="BA101">
            <v>4.0790260722242788E-2</v>
          </cell>
          <cell r="BB101">
            <v>4.0790260722242788E-2</v>
          </cell>
        </row>
        <row r="102">
          <cell r="A102" t="str">
            <v>ARO2013</v>
          </cell>
          <cell r="B102" t="str">
            <v>ARO</v>
          </cell>
          <cell r="C102" t="str">
            <v>2013e</v>
          </cell>
          <cell r="D102">
            <v>19</v>
          </cell>
          <cell r="E102">
            <v>19</v>
          </cell>
          <cell r="F102">
            <v>1873.3020000000001</v>
          </cell>
          <cell r="G102">
            <v>2090.902</v>
          </cell>
          <cell r="H102">
            <v>-0.15</v>
          </cell>
          <cell r="J102">
            <v>-6.4042217186649569E-2</v>
          </cell>
          <cell r="L102">
            <v>155.37900000000002</v>
          </cell>
          <cell r="N102">
            <v>8.2943914008526132E-2</v>
          </cell>
          <cell r="P102">
            <v>7.4311947666605135E-2</v>
          </cell>
          <cell r="R102">
            <v>0.37012974423515344</v>
          </cell>
          <cell r="S102">
            <v>212.88938952951392</v>
          </cell>
          <cell r="U102">
            <v>0.11364392368636446</v>
          </cell>
          <cell r="W102">
            <v>0.1018170098500618</v>
          </cell>
          <cell r="Y102">
            <v>-175.18225380370191</v>
          </cell>
          <cell r="AA102">
            <v>-144.33021731824175</v>
          </cell>
          <cell r="AC102">
            <v>1092</v>
          </cell>
          <cell r="AE102">
            <v>4.0512949999999996</v>
          </cell>
          <cell r="AG102">
            <v>3717.3354545454545</v>
          </cell>
          <cell r="AH102" t="e">
            <v>#REF!</v>
          </cell>
          <cell r="AI102">
            <v>0</v>
          </cell>
          <cell r="AK102">
            <v>0.19495365341530579</v>
          </cell>
          <cell r="AM102">
            <v>52.548478827020482</v>
          </cell>
          <cell r="AO102">
            <v>516.10707193625751</v>
          </cell>
          <cell r="AP102">
            <v>516.10707193625751</v>
          </cell>
          <cell r="AY102">
            <v>217.6</v>
          </cell>
          <cell r="BA102">
            <v>2.2756634590564095E-2</v>
          </cell>
          <cell r="BB102">
            <v>2.2756634590564095E-2</v>
          </cell>
        </row>
        <row r="103">
          <cell r="C103" t="str">
            <v>2009 = Trough rent</v>
          </cell>
          <cell r="F103">
            <v>2101.105</v>
          </cell>
          <cell r="G103">
            <v>2230.105</v>
          </cell>
          <cell r="H103">
            <v>0.1</v>
          </cell>
          <cell r="J103">
            <v>0.17281024884478535</v>
          </cell>
          <cell r="L103">
            <v>121.69799999999999</v>
          </cell>
          <cell r="N103">
            <v>5.7920951118578076E-2</v>
          </cell>
          <cell r="P103">
            <v>5.4570524706235801E-2</v>
          </cell>
          <cell r="S103">
            <v>151.72794999999999</v>
          </cell>
          <cell r="U103">
            <v>7.2213406755017001E-2</v>
          </cell>
          <cell r="W103">
            <v>6.8036235961983854E-2</v>
          </cell>
          <cell r="Z103">
            <v>0</v>
          </cell>
          <cell r="AB103">
            <v>0</v>
          </cell>
          <cell r="AC103">
            <v>933</v>
          </cell>
          <cell r="AE103">
            <v>3.3564949999999998</v>
          </cell>
          <cell r="AG103">
            <v>3601.2352941176473</v>
          </cell>
          <cell r="AH103" t="str">
            <v>NM</v>
          </cell>
          <cell r="AI103" t="str">
            <v>NM</v>
          </cell>
          <cell r="AK103">
            <v>0.16262374062165058</v>
          </cell>
          <cell r="AM103">
            <v>45.204283039301416</v>
          </cell>
          <cell r="AO103">
            <v>664.41481366723326</v>
          </cell>
          <cell r="AP103">
            <v>664.41481366723326</v>
          </cell>
          <cell r="AR103">
            <v>0</v>
          </cell>
        </row>
        <row r="105">
          <cell r="C105">
            <v>1998</v>
          </cell>
          <cell r="D105">
            <v>5</v>
          </cell>
          <cell r="E105">
            <v>5</v>
          </cell>
          <cell r="F105">
            <v>513.91499999999996</v>
          </cell>
          <cell r="H105">
            <v>0</v>
          </cell>
          <cell r="J105">
            <v>4.8671472908944045E-2</v>
          </cell>
          <cell r="L105">
            <v>27.751000000000001</v>
          </cell>
          <cell r="N105">
            <v>5.3999202202698895E-2</v>
          </cell>
          <cell r="P105" t="str">
            <v>-</v>
          </cell>
          <cell r="S105">
            <v>36.076300000000003</v>
          </cell>
          <cell r="U105">
            <v>7.0198962863508574E-2</v>
          </cell>
          <cell r="AC105">
            <v>0</v>
          </cell>
          <cell r="AE105">
            <v>0</v>
          </cell>
          <cell r="AG105" t="e">
            <v>#DIV/0!</v>
          </cell>
          <cell r="AI105">
            <v>0</v>
          </cell>
          <cell r="AK105" t="e">
            <v>#DIV/0!</v>
          </cell>
          <cell r="AM105" t="e">
            <v>#DIV/0!</v>
          </cell>
          <cell r="AO105" t="e">
            <v>#N/A</v>
          </cell>
          <cell r="AR105" t="e">
            <v>#DIV/0!</v>
          </cell>
          <cell r="AY105">
            <v>0</v>
          </cell>
          <cell r="AZ105" t="str">
            <v>Indirect Sales</v>
          </cell>
        </row>
        <row r="106">
          <cell r="C106">
            <v>1999</v>
          </cell>
          <cell r="D106">
            <v>6</v>
          </cell>
          <cell r="E106">
            <v>6</v>
          </cell>
          <cell r="F106">
            <v>500.94400000000002</v>
          </cell>
          <cell r="H106">
            <v>0</v>
          </cell>
          <cell r="J106">
            <v>3.8876600977354805E-2</v>
          </cell>
          <cell r="L106">
            <v>28.353999999999999</v>
          </cell>
          <cell r="N106">
            <v>5.6601137053243475E-2</v>
          </cell>
          <cell r="P106" t="str">
            <v>-</v>
          </cell>
          <cell r="S106">
            <v>36.860199999999999</v>
          </cell>
          <cell r="U106">
            <v>7.3581478169216522E-2</v>
          </cell>
          <cell r="AC106">
            <v>116.5</v>
          </cell>
          <cell r="AE106">
            <v>0.18604100000000001</v>
          </cell>
          <cell r="AG106">
            <v>1596.9184549356225</v>
          </cell>
          <cell r="AH106" t="e">
            <v>#N/A</v>
          </cell>
          <cell r="AI106">
            <v>0</v>
          </cell>
          <cell r="AK106">
            <v>0.31639656652360515</v>
          </cell>
          <cell r="AM106">
            <v>198.12944458479581</v>
          </cell>
          <cell r="AO106" t="e">
            <v>#N/A</v>
          </cell>
          <cell r="AR106">
            <v>2692.6537698679322</v>
          </cell>
          <cell r="AY106">
            <v>0</v>
          </cell>
        </row>
        <row r="107">
          <cell r="C107">
            <v>2000</v>
          </cell>
          <cell r="D107">
            <v>7</v>
          </cell>
          <cell r="E107">
            <v>7</v>
          </cell>
          <cell r="F107">
            <v>352.01800000000003</v>
          </cell>
          <cell r="H107">
            <v>0</v>
          </cell>
          <cell r="J107">
            <v>0.10204985079738675</v>
          </cell>
          <cell r="L107">
            <v>28.364000000000001</v>
          </cell>
          <cell r="N107">
            <v>8.057542512030634E-2</v>
          </cell>
          <cell r="P107" t="str">
            <v>-</v>
          </cell>
          <cell r="S107">
            <v>36.873200000000004</v>
          </cell>
          <cell r="U107">
            <v>0.10474805265639825</v>
          </cell>
          <cell r="AC107">
            <v>236</v>
          </cell>
          <cell r="AE107">
            <v>0.4098965</v>
          </cell>
          <cell r="AG107">
            <v>1736.8495762711866</v>
          </cell>
          <cell r="AH107" t="e">
            <v>#N/A</v>
          </cell>
          <cell r="AI107">
            <v>0</v>
          </cell>
          <cell r="AK107">
            <v>0.15624237288135595</v>
          </cell>
          <cell r="AM107">
            <v>89.957342890217419</v>
          </cell>
          <cell r="AO107" t="e">
            <v>#N/A</v>
          </cell>
          <cell r="AR107">
            <v>858.79728175283276</v>
          </cell>
          <cell r="AY107">
            <v>196.89999999999998</v>
          </cell>
          <cell r="BA107">
            <v>1.2032589590466616</v>
          </cell>
        </row>
        <row r="108">
          <cell r="C108">
            <v>2001</v>
          </cell>
          <cell r="D108">
            <v>8</v>
          </cell>
          <cell r="E108">
            <v>8</v>
          </cell>
          <cell r="F108">
            <v>391.76099999999997</v>
          </cell>
          <cell r="H108">
            <v>3.2000000000000001E-2</v>
          </cell>
          <cell r="J108">
            <v>0.16934142226944285</v>
          </cell>
          <cell r="L108">
            <v>31.831</v>
          </cell>
          <cell r="N108">
            <v>8.1251068891492528E-2</v>
          </cell>
          <cell r="P108" t="str">
            <v>-</v>
          </cell>
          <cell r="S108">
            <v>41.380299999999998</v>
          </cell>
          <cell r="U108">
            <v>0.10562638955894027</v>
          </cell>
          <cell r="AC108">
            <v>252</v>
          </cell>
          <cell r="AE108">
            <v>0.48057099999999997</v>
          </cell>
          <cell r="AG108">
            <v>1907.0277777777776</v>
          </cell>
          <cell r="AH108" t="e">
            <v>#N/A</v>
          </cell>
          <cell r="AI108">
            <v>0</v>
          </cell>
          <cell r="AK108">
            <v>0.16420753968253968</v>
          </cell>
          <cell r="AM108">
            <v>86.106527443395464</v>
          </cell>
          <cell r="AO108" t="e">
            <v>#N/A</v>
          </cell>
          <cell r="AY108">
            <v>208.73000000000002</v>
          </cell>
          <cell r="BA108">
            <v>0.17242035489446716</v>
          </cell>
        </row>
        <row r="109">
          <cell r="C109">
            <v>2002</v>
          </cell>
          <cell r="D109">
            <v>9</v>
          </cell>
          <cell r="E109">
            <v>9</v>
          </cell>
          <cell r="F109">
            <v>447.048</v>
          </cell>
          <cell r="H109">
            <v>3.9E-2</v>
          </cell>
          <cell r="J109">
            <v>0.16371630365733811</v>
          </cell>
          <cell r="L109">
            <v>40.256999999999998</v>
          </cell>
          <cell r="N109">
            <v>9.0050732807215331E-2</v>
          </cell>
          <cell r="P109" t="str">
            <v>-</v>
          </cell>
          <cell r="S109">
            <v>52.334099999999999</v>
          </cell>
          <cell r="U109">
            <v>0.11706595264937993</v>
          </cell>
          <cell r="AC109">
            <v>280</v>
          </cell>
          <cell r="AE109">
            <v>0.55570699999999995</v>
          </cell>
          <cell r="AG109">
            <v>1984.667857142857</v>
          </cell>
          <cell r="AH109" t="e">
            <v>#N/A</v>
          </cell>
          <cell r="AI109">
            <v>0</v>
          </cell>
          <cell r="AK109">
            <v>0.1869075</v>
          </cell>
          <cell r="AM109">
            <v>94.175707702080416</v>
          </cell>
          <cell r="AO109" t="e">
            <v>#N/A</v>
          </cell>
          <cell r="AY109">
            <v>272.35500000000002</v>
          </cell>
          <cell r="BA109">
            <v>0.15634734513734694</v>
          </cell>
        </row>
        <row r="110">
          <cell r="C110">
            <v>2003</v>
          </cell>
          <cell r="D110">
            <v>10</v>
          </cell>
          <cell r="E110">
            <v>10</v>
          </cell>
          <cell r="F110">
            <v>559.18000000000006</v>
          </cell>
          <cell r="G110">
            <v>953.226</v>
          </cell>
          <cell r="H110">
            <v>0.152</v>
          </cell>
          <cell r="J110">
            <v>0.22916810913676303</v>
          </cell>
          <cell r="L110">
            <v>51.982999999999997</v>
          </cell>
          <cell r="N110">
            <v>9.2962909975320987E-2</v>
          </cell>
          <cell r="P110">
            <v>5.4533762192806319E-2</v>
          </cell>
          <cell r="S110">
            <v>67.5779</v>
          </cell>
          <cell r="U110">
            <v>0.12085178296791729</v>
          </cell>
          <cell r="Y110">
            <v>-37.858303185373671</v>
          </cell>
          <cell r="AA110">
            <v>0</v>
          </cell>
          <cell r="AC110">
            <v>310</v>
          </cell>
          <cell r="AE110">
            <v>0.64821649999999997</v>
          </cell>
          <cell r="AG110">
            <v>2091.0209677419357</v>
          </cell>
          <cell r="AH110" t="e">
            <v>#N/A</v>
          </cell>
          <cell r="AI110">
            <v>0</v>
          </cell>
          <cell r="AK110">
            <v>0.21799322580645161</v>
          </cell>
          <cell r="AM110">
            <v>104.25205159078796</v>
          </cell>
          <cell r="AO110" t="e">
            <v>#N/A</v>
          </cell>
          <cell r="AY110">
            <v>394.04599999999999</v>
          </cell>
          <cell r="BA110">
            <v>0.16647171980918007</v>
          </cell>
        </row>
        <row r="111">
          <cell r="C111">
            <v>2004</v>
          </cell>
          <cell r="D111">
            <v>11</v>
          </cell>
          <cell r="E111">
            <v>11</v>
          </cell>
          <cell r="F111">
            <v>1002.7059999999998</v>
          </cell>
          <cell r="G111">
            <v>1321.1059999999998</v>
          </cell>
          <cell r="H111">
            <v>0.16899999999999998</v>
          </cell>
          <cell r="J111">
            <v>0.30679143081630073</v>
          </cell>
          <cell r="L111">
            <v>62.906999999999996</v>
          </cell>
          <cell r="N111">
            <v>6.2737233047373817E-2</v>
          </cell>
          <cell r="P111">
            <v>4.7616920973790146E-2</v>
          </cell>
          <cell r="S111">
            <v>81.7791</v>
          </cell>
          <cell r="U111">
            <v>8.1558402961585966E-2</v>
          </cell>
          <cell r="W111">
            <v>6.1901997265927197E-2</v>
          </cell>
          <cell r="Y111">
            <v>392.9338000633133</v>
          </cell>
          <cell r="AA111">
            <v>-619.01997265927196</v>
          </cell>
          <cell r="AC111">
            <v>337.5</v>
          </cell>
          <cell r="AE111">
            <v>0.74035650000000008</v>
          </cell>
          <cell r="AG111">
            <v>2193.6488888888889</v>
          </cell>
          <cell r="AH111" t="e">
            <v>#N/A</v>
          </cell>
          <cell r="AI111">
            <v>0</v>
          </cell>
          <cell r="AK111">
            <v>0.24230844444444444</v>
          </cell>
          <cell r="AM111">
            <v>110.45908288777095</v>
          </cell>
          <cell r="AO111" t="e">
            <v>#N/A</v>
          </cell>
          <cell r="AT111" t="str">
            <v>Adjusted Rent Expense Increase Assumption</v>
          </cell>
          <cell r="AY111">
            <v>318.39999999999998</v>
          </cell>
          <cell r="BA111">
            <v>0.14214386705676274</v>
          </cell>
        </row>
        <row r="112">
          <cell r="A112" t="str">
            <v>COH</v>
          </cell>
          <cell r="B112" t="str">
            <v>COH</v>
          </cell>
          <cell r="C112" t="str">
            <v>2005 (direct revs. only)</v>
          </cell>
          <cell r="D112">
            <v>12</v>
          </cell>
          <cell r="E112">
            <v>12</v>
          </cell>
          <cell r="F112">
            <v>1307.5070000000003</v>
          </cell>
          <cell r="G112">
            <v>1710.4230000000002</v>
          </cell>
          <cell r="H112">
            <v>0.182</v>
          </cell>
          <cell r="J112">
            <v>0.33474935732272076</v>
          </cell>
          <cell r="L112">
            <v>85.384</v>
          </cell>
          <cell r="N112">
            <v>6.5302900864010652E-2</v>
          </cell>
          <cell r="P112">
            <v>4.9919815156835468E-2</v>
          </cell>
          <cell r="R112">
            <v>0.3</v>
          </cell>
          <cell r="S112">
            <v>110.9992</v>
          </cell>
          <cell r="U112">
            <v>8.4893771123213849E-2</v>
          </cell>
          <cell r="W112">
            <v>6.4895759703886113E-2</v>
          </cell>
          <cell r="Y112">
            <v>-33.353681616278827</v>
          </cell>
          <cell r="AA112">
            <v>-29.937624379589163</v>
          </cell>
          <cell r="AC112">
            <v>364</v>
          </cell>
          <cell r="AE112">
            <v>0.84354949999999995</v>
          </cell>
          <cell r="AG112">
            <v>2317.4436813186812</v>
          </cell>
          <cell r="AH112" t="e">
            <v>#N/A</v>
          </cell>
          <cell r="AI112" t="e">
            <v>#N/A</v>
          </cell>
          <cell r="AK112">
            <v>0.30494285714285713</v>
          </cell>
          <cell r="AM112">
            <v>131.58587611041202</v>
          </cell>
          <cell r="AO112">
            <v>1550.409312079493</v>
          </cell>
          <cell r="AQ112" t="str">
            <v>Comps=NA stores. Rev.=store rev. only (COH's "direct") &amp; excl. indirect (wholesale) rev. $626mm in '08.  Base rent in 10-K incl. an est. $13mm for NYC office space.</v>
          </cell>
          <cell r="AY112">
            <v>402.916</v>
          </cell>
          <cell r="BA112">
            <v>0.13938285136957651</v>
          </cell>
          <cell r="BB112">
            <v>0.13938285136957651</v>
          </cell>
        </row>
        <row r="113">
          <cell r="A113" t="str">
            <v>COH2006</v>
          </cell>
          <cell r="B113" t="str">
            <v>COH</v>
          </cell>
          <cell r="C113" t="str">
            <v>2006 (store revs. only)</v>
          </cell>
          <cell r="D113">
            <v>13</v>
          </cell>
          <cell r="E113">
            <v>13</v>
          </cell>
          <cell r="F113">
            <v>1610.6969999999999</v>
          </cell>
          <cell r="G113">
            <v>2035.0909999999999</v>
          </cell>
          <cell r="H113">
            <v>0.20699999999999999</v>
          </cell>
          <cell r="J113">
            <v>0.35121132175416231</v>
          </cell>
          <cell r="L113">
            <v>93.756</v>
          </cell>
          <cell r="N113">
            <v>5.820834086113031E-2</v>
          </cell>
          <cell r="P113">
            <v>4.6069684353181262E-2</v>
          </cell>
          <cell r="S113">
            <v>121.8828</v>
          </cell>
          <cell r="U113">
            <v>7.5670843119469408E-2</v>
          </cell>
          <cell r="W113">
            <v>5.9890589659135643E-2</v>
          </cell>
          <cell r="Y113">
            <v>92.229280037444411</v>
          </cell>
          <cell r="AA113">
            <v>50.051700447504707</v>
          </cell>
          <cell r="AC113">
            <v>400</v>
          </cell>
          <cell r="AE113">
            <v>0.97177550000000001</v>
          </cell>
          <cell r="AG113">
            <v>2429.4387499999998</v>
          </cell>
          <cell r="AH113" t="e">
            <v>#N/A</v>
          </cell>
          <cell r="AI113">
            <v>0.55347622265715346</v>
          </cell>
          <cell r="AK113">
            <v>0.30470700000000001</v>
          </cell>
          <cell r="AM113">
            <v>125.42279569715433</v>
          </cell>
          <cell r="AO113">
            <v>1657.4723277135511</v>
          </cell>
          <cell r="AP113">
            <v>2094.1987115336824</v>
          </cell>
          <cell r="AR113" t="str">
            <v>LVG</v>
          </cell>
          <cell r="AY113">
            <v>424.39400000000001</v>
          </cell>
          <cell r="BA113">
            <v>0.15200767708356189</v>
          </cell>
          <cell r="BB113">
            <v>0.15200767708356189</v>
          </cell>
        </row>
        <row r="114">
          <cell r="A114" t="str">
            <v>COH2007</v>
          </cell>
          <cell r="B114" t="str">
            <v>COH</v>
          </cell>
          <cell r="C114" t="str">
            <v>2007 (store revs. only)</v>
          </cell>
          <cell r="D114">
            <v>14</v>
          </cell>
          <cell r="E114">
            <v>14</v>
          </cell>
          <cell r="F114">
            <v>2101.62</v>
          </cell>
          <cell r="G114">
            <v>2612.4559999999997</v>
          </cell>
          <cell r="H114">
            <v>0.223</v>
          </cell>
          <cell r="J114">
            <v>0.38025405978129384</v>
          </cell>
          <cell r="L114">
            <v>107.458</v>
          </cell>
          <cell r="N114">
            <v>5.1131032251310896E-2</v>
          </cell>
          <cell r="P114">
            <v>4.1132941569159448E-2</v>
          </cell>
          <cell r="R114">
            <v>0.3</v>
          </cell>
          <cell r="S114">
            <v>139.69540000000001</v>
          </cell>
          <cell r="U114">
            <v>6.6470341926704174E-2</v>
          </cell>
          <cell r="W114">
            <v>5.3472824039907281E-2</v>
          </cell>
          <cell r="Y114">
            <v>92.005011927652347</v>
          </cell>
          <cell r="AA114">
            <v>64.177656192283621</v>
          </cell>
          <cell r="AC114">
            <v>455.5</v>
          </cell>
          <cell r="AE114">
            <v>1.1313430000000002</v>
          </cell>
          <cell r="AG114">
            <v>2483.7387486278822</v>
          </cell>
          <cell r="AH114" t="e">
            <v>#N/A</v>
          </cell>
          <cell r="AI114">
            <v>0.4981008696295634</v>
          </cell>
          <cell r="AK114">
            <v>0.30668583973655328</v>
          </cell>
          <cell r="AM114">
            <v>123.47749533077058</v>
          </cell>
          <cell r="AO114">
            <v>1857.5188956841555</v>
          </cell>
          <cell r="AP114">
            <v>2309.1635339591962</v>
          </cell>
          <cell r="AR114">
            <v>-0.69859499724281293</v>
          </cell>
          <cell r="AY114">
            <v>510.83600000000001</v>
          </cell>
          <cell r="BA114">
            <v>0.16420201991097749</v>
          </cell>
          <cell r="BB114">
            <v>0.16420201991097749</v>
          </cell>
        </row>
        <row r="115">
          <cell r="A115" t="str">
            <v>COH2008</v>
          </cell>
          <cell r="B115" t="str">
            <v>COH</v>
          </cell>
          <cell r="C115">
            <v>2008</v>
          </cell>
          <cell r="D115">
            <v>15</v>
          </cell>
          <cell r="E115">
            <v>15</v>
          </cell>
          <cell r="F115">
            <v>2557.857</v>
          </cell>
          <cell r="G115">
            <v>3180.7570000000001</v>
          </cell>
          <cell r="H115">
            <v>9.8000000000000004E-2</v>
          </cell>
          <cell r="J115">
            <v>0.37073847514915476</v>
          </cell>
          <cell r="L115">
            <v>132.96899999999999</v>
          </cell>
          <cell r="N115">
            <v>5.1984532364397228E-2</v>
          </cell>
          <cell r="P115">
            <v>4.1804199440573418E-2</v>
          </cell>
          <cell r="R115">
            <v>0.28000000000000003</v>
          </cell>
          <cell r="S115">
            <v>170.20032</v>
          </cell>
          <cell r="U115">
            <v>6.6540201426428455E-2</v>
          </cell>
          <cell r="W115">
            <v>5.3509375283933985E-2</v>
          </cell>
          <cell r="Y115">
            <v>-0.69859499724281293</v>
          </cell>
          <cell r="AA115">
            <v>-0.36551244026704344</v>
          </cell>
          <cell r="AC115">
            <v>518.5</v>
          </cell>
          <cell r="AE115">
            <v>1.3462895000000001</v>
          </cell>
          <cell r="AG115">
            <v>2596.5081967213118</v>
          </cell>
          <cell r="AH115" t="e">
            <v>#N/A</v>
          </cell>
          <cell r="AI115">
            <v>0.62680552477958651</v>
          </cell>
          <cell r="AK115">
            <v>0.32825519768563166</v>
          </cell>
          <cell r="AM115">
            <v>126.42178372482292</v>
          </cell>
          <cell r="AO115">
            <v>1899.9628237463041</v>
          </cell>
          <cell r="AP115">
            <v>2362.609973560664</v>
          </cell>
          <cell r="AQ115" t="str">
            <v>Store sales exclude indirect sales (mainly wholesale and license revenue).</v>
          </cell>
          <cell r="AR115">
            <v>-44.643821817905852</v>
          </cell>
          <cell r="AS115">
            <v>0.13830954994511524</v>
          </cell>
          <cell r="AU115">
            <v>-45.342416815148667</v>
          </cell>
          <cell r="AY115">
            <v>622.9</v>
          </cell>
          <cell r="BA115">
            <v>0.18999233654161451</v>
          </cell>
          <cell r="BB115">
            <v>0.18999233654161451</v>
          </cell>
        </row>
        <row r="116">
          <cell r="A116" t="str">
            <v>COH2009</v>
          </cell>
          <cell r="B116" t="str">
            <v>COH</v>
          </cell>
          <cell r="C116">
            <v>2009</v>
          </cell>
          <cell r="D116">
            <v>16</v>
          </cell>
          <cell r="E116">
            <v>16</v>
          </cell>
          <cell r="F116">
            <v>2726.8909999999996</v>
          </cell>
          <cell r="G116">
            <v>3230.4679999999998</v>
          </cell>
          <cell r="H116">
            <v>-6.8000000000000005E-2</v>
          </cell>
          <cell r="J116">
            <v>0.30964956161150636</v>
          </cell>
          <cell r="L116">
            <v>151.267</v>
          </cell>
          <cell r="N116">
            <v>5.5472330943921122E-2</v>
          </cell>
          <cell r="P116">
            <v>4.6825103978742399E-2</v>
          </cell>
          <cell r="R116">
            <v>0.28000000000000003</v>
          </cell>
          <cell r="S116">
            <v>193.62175999999999</v>
          </cell>
          <cell r="U116">
            <v>7.1004583608219041E-2</v>
          </cell>
          <cell r="W116">
            <v>5.9936133092790271E-2</v>
          </cell>
          <cell r="Y116">
            <v>-44.643821817905852</v>
          </cell>
          <cell r="AA116">
            <v>-64.267578088562857</v>
          </cell>
          <cell r="AC116">
            <v>586</v>
          </cell>
          <cell r="AE116">
            <v>1.5862339999999999</v>
          </cell>
          <cell r="AG116">
            <v>2706.8839590443686</v>
          </cell>
          <cell r="AH116" t="e">
            <v>#N/A</v>
          </cell>
          <cell r="AI116">
            <v>0</v>
          </cell>
          <cell r="AK116">
            <v>0.33041255972696243</v>
          </cell>
          <cell r="AM116">
            <v>122.06380647495894</v>
          </cell>
          <cell r="AO116">
            <v>1719.0975606373336</v>
          </cell>
          <cell r="AP116">
            <v>2036.5645926137001</v>
          </cell>
          <cell r="AR116">
            <v>-25.577163670650329</v>
          </cell>
          <cell r="AS116">
            <v>0.13018322082931544</v>
          </cell>
          <cell r="AU116">
            <v>-70.220985488556181</v>
          </cell>
          <cell r="AY116">
            <v>503.577</v>
          </cell>
          <cell r="BA116">
            <v>0.17822652557269425</v>
          </cell>
          <cell r="BB116">
            <v>0.17822652557269425</v>
          </cell>
          <cell r="BC116">
            <v>0</v>
          </cell>
        </row>
        <row r="117">
          <cell r="A117" t="str">
            <v>COH2010</v>
          </cell>
          <cell r="B117" t="str">
            <v>COH</v>
          </cell>
          <cell r="C117">
            <v>2010</v>
          </cell>
          <cell r="D117">
            <v>17</v>
          </cell>
          <cell r="E117">
            <v>17</v>
          </cell>
          <cell r="F117">
            <v>3155.86</v>
          </cell>
          <cell r="G117">
            <v>3607.636</v>
          </cell>
          <cell r="H117">
            <v>3.5557111151952245E-2</v>
          </cell>
          <cell r="J117">
            <v>0.31881570091882877</v>
          </cell>
          <cell r="L117">
            <v>181.369</v>
          </cell>
          <cell r="N117">
            <v>5.7470546855690682E-2</v>
          </cell>
          <cell r="P117">
            <v>5.0273641797564945E-2</v>
          </cell>
          <cell r="R117">
            <v>0.28000000000000003</v>
          </cell>
          <cell r="S117">
            <v>232.15232</v>
          </cell>
          <cell r="U117">
            <v>7.3562299975284073E-2</v>
          </cell>
          <cell r="W117">
            <v>6.4350261500883132E-2</v>
          </cell>
          <cell r="Y117">
            <v>-25.577163670650329</v>
          </cell>
          <cell r="AA117">
            <v>-44.141284080928614</v>
          </cell>
          <cell r="AC117">
            <v>644.5</v>
          </cell>
          <cell r="AE117">
            <v>1.7772825000000001</v>
          </cell>
          <cell r="AG117">
            <v>2757.6144297905353</v>
          </cell>
          <cell r="AH117" t="e">
            <v>#N/A</v>
          </cell>
          <cell r="AI117">
            <v>0</v>
          </cell>
          <cell r="AK117">
            <v>0.36020530643910009</v>
          </cell>
          <cell r="AM117">
            <v>130.62207049245126</v>
          </cell>
          <cell r="AO117">
            <v>1775.6659394328135</v>
          </cell>
          <cell r="AP117">
            <v>2029.8607565201366</v>
          </cell>
          <cell r="AR117">
            <v>9.5475379630437232</v>
          </cell>
          <cell r="AS117">
            <v>9.9829351535836164E-2</v>
          </cell>
          <cell r="AY117">
            <v>451.77600000000001</v>
          </cell>
          <cell r="BA117">
            <v>0.12044156158549124</v>
          </cell>
          <cell r="BB117">
            <v>0.12044156158549124</v>
          </cell>
        </row>
        <row r="118">
          <cell r="A118" t="str">
            <v>COH2011</v>
          </cell>
          <cell r="B118" t="str">
            <v>COH</v>
          </cell>
          <cell r="C118">
            <v>2011</v>
          </cell>
          <cell r="D118">
            <v>18</v>
          </cell>
          <cell r="E118">
            <v>18</v>
          </cell>
          <cell r="F118">
            <v>3621.8859999999995</v>
          </cell>
          <cell r="G118">
            <v>4158.5069999999996</v>
          </cell>
          <cell r="H118">
            <v>0.10576010987645663</v>
          </cell>
          <cell r="J118">
            <v>0.31997108577669814</v>
          </cell>
          <cell r="L118">
            <v>206.90500000000003</v>
          </cell>
          <cell r="N118">
            <v>5.7126314853642564E-2</v>
          </cell>
          <cell r="P118">
            <v>4.9754635497788038E-2</v>
          </cell>
          <cell r="R118">
            <v>0.27100000000000002</v>
          </cell>
          <cell r="S118">
            <v>262.97625500000004</v>
          </cell>
          <cell r="U118">
            <v>7.2607546178979701E-2</v>
          </cell>
          <cell r="W118">
            <v>6.3238141717688601E-2</v>
          </cell>
          <cell r="Y118">
            <v>9.5475379630437232</v>
          </cell>
          <cell r="AA118">
            <v>11.121197831945317</v>
          </cell>
          <cell r="AC118">
            <v>694</v>
          </cell>
          <cell r="AE118">
            <v>1.9337755000000001</v>
          </cell>
          <cell r="AG118">
            <v>2786.4200288184443</v>
          </cell>
          <cell r="AH118" t="e">
            <v>#N/A</v>
          </cell>
          <cell r="AI118">
            <v>0</v>
          </cell>
          <cell r="AK118">
            <v>0.37892832132564847</v>
          </cell>
          <cell r="AM118">
            <v>135.99109875991294</v>
          </cell>
          <cell r="AO118">
            <v>1872.9609512583024</v>
          </cell>
          <cell r="AP118">
            <v>2150.4600715026122</v>
          </cell>
          <cell r="AR118">
            <v>725.6810371864641</v>
          </cell>
          <cell r="AS118">
            <v>7.6803723816912361E-2</v>
          </cell>
          <cell r="AY118">
            <v>536.62099999999998</v>
          </cell>
          <cell r="BA118">
            <v>8.8051843193189594E-2</v>
          </cell>
          <cell r="BB118">
            <v>8.8051843193189594E-2</v>
          </cell>
        </row>
        <row r="119">
          <cell r="A119" t="str">
            <v>COH2012</v>
          </cell>
          <cell r="B119" t="str">
            <v>COH</v>
          </cell>
          <cell r="C119">
            <v>2012</v>
          </cell>
          <cell r="D119">
            <v>19</v>
          </cell>
          <cell r="E119">
            <v>19</v>
          </cell>
          <cell r="F119">
            <v>4224.5239999999994</v>
          </cell>
          <cell r="G119">
            <v>4763.1799999999994</v>
          </cell>
          <cell r="H119">
            <v>6.4820016572281286E-2</v>
          </cell>
          <cell r="J119">
            <v>0.3256643670824953</v>
          </cell>
          <cell r="L119">
            <v>0.13109804901416977</v>
          </cell>
          <cell r="N119">
            <v>3.1032620246486892E-5</v>
          </cell>
          <cell r="P119">
            <v>2.7523219574773532E-5</v>
          </cell>
          <cell r="R119">
            <v>0.27100000000000002</v>
          </cell>
          <cell r="S119">
            <v>0.16662562029700978</v>
          </cell>
          <cell r="U119">
            <v>3.9442460333284837E-5</v>
          </cell>
          <cell r="W119">
            <v>3.4982012079537157E-5</v>
          </cell>
          <cell r="Y119">
            <v>725.6810371864641</v>
          </cell>
          <cell r="AA119">
            <v>632.03159705609062</v>
          </cell>
          <cell r="AC119">
            <v>777.5</v>
          </cell>
          <cell r="AE119">
            <v>2.1739660000000001</v>
          </cell>
          <cell r="AG119">
            <v>2796.0977491961416</v>
          </cell>
          <cell r="AH119" t="e">
            <v>#N/A</v>
          </cell>
          <cell r="AI119">
            <v>0</v>
          </cell>
          <cell r="AK119">
            <v>2.1430947948168459E-4</v>
          </cell>
          <cell r="AM119">
            <v>7.6645918242056119E-2</v>
          </cell>
          <cell r="AO119">
            <v>1943.2337028269992</v>
          </cell>
          <cell r="AP119">
            <v>2191.0094270103577</v>
          </cell>
          <cell r="AR119">
            <v>-806.30672258206778</v>
          </cell>
          <cell r="AY119">
            <v>538.65600000000006</v>
          </cell>
          <cell r="BA119">
            <v>0.12420805827770587</v>
          </cell>
          <cell r="BB119">
            <v>0.12420805827770587</v>
          </cell>
        </row>
        <row r="120">
          <cell r="A120" t="str">
            <v>COH2013</v>
          </cell>
          <cell r="B120" t="str">
            <v>COH</v>
          </cell>
          <cell r="C120" t="str">
            <v>2013e</v>
          </cell>
          <cell r="D120">
            <v>20</v>
          </cell>
          <cell r="E120">
            <v>20</v>
          </cell>
          <cell r="F120">
            <v>4537.5911671521744</v>
          </cell>
          <cell r="G120">
            <v>5087.0202871521742</v>
          </cell>
          <cell r="H120">
            <v>1.4505265607205975E-3</v>
          </cell>
          <cell r="J120">
            <v>0.31002087609690615</v>
          </cell>
          <cell r="L120">
            <v>288</v>
          </cell>
          <cell r="N120">
            <v>6.3469799149126718E-2</v>
          </cell>
          <cell r="P120">
            <v>5.6614674945837246E-2</v>
          </cell>
          <cell r="R120">
            <v>0.27100000000000002</v>
          </cell>
          <cell r="S120">
            <v>366.048</v>
          </cell>
          <cell r="U120">
            <v>8.0670114718540062E-2</v>
          </cell>
          <cell r="W120">
            <v>7.1957251856159143E-2</v>
          </cell>
          <cell r="Y120">
            <v>-806.30672258206778</v>
          </cell>
          <cell r="AA120">
            <v>-719.22269844079608</v>
          </cell>
          <cell r="AC120">
            <v>872</v>
          </cell>
          <cell r="AE120">
            <v>2.4370785000000006</v>
          </cell>
          <cell r="AG120">
            <v>2794.8147935779825</v>
          </cell>
          <cell r="AK120">
            <v>0.41977981651376145</v>
          </cell>
          <cell r="AM120">
            <v>150.19951142320608</v>
          </cell>
          <cell r="AO120">
            <v>1847.3543834775876</v>
          </cell>
          <cell r="AP120">
            <v>2087.3436317919891</v>
          </cell>
          <cell r="AY120">
            <v>549.42912000000001</v>
          </cell>
          <cell r="BA120">
            <v>0.12102880173838981</v>
          </cell>
          <cell r="BB120">
            <v>0.12102880173838981</v>
          </cell>
        </row>
        <row r="121">
          <cell r="C121" t="str">
            <v>2007 = Trough rent</v>
          </cell>
          <cell r="F121">
            <v>4224.5239999999994</v>
          </cell>
          <cell r="G121">
            <v>4763.1799999999994</v>
          </cell>
          <cell r="H121">
            <v>6.4820016572281286E-2</v>
          </cell>
          <cell r="J121">
            <v>0.3256643670824953</v>
          </cell>
          <cell r="L121">
            <v>0.13109804901416977</v>
          </cell>
          <cell r="N121">
            <v>3.1032620246486892E-5</v>
          </cell>
          <cell r="P121">
            <v>2.7523219574773532E-5</v>
          </cell>
          <cell r="S121">
            <v>0.16662562029700978</v>
          </cell>
          <cell r="U121">
            <v>3.9442460333284837E-5</v>
          </cell>
          <cell r="W121">
            <v>3.4982012079537157E-5</v>
          </cell>
          <cell r="Z121">
            <v>0</v>
          </cell>
          <cell r="AB121">
            <v>0</v>
          </cell>
          <cell r="AC121">
            <v>777.5</v>
          </cell>
          <cell r="AE121">
            <v>2.1739660000000001</v>
          </cell>
          <cell r="AG121">
            <v>2796.0977491961416</v>
          </cell>
          <cell r="AH121" t="e">
            <v>#N/A</v>
          </cell>
          <cell r="AI121" t="e">
            <v>#N/A</v>
          </cell>
          <cell r="AK121">
            <v>2.1430947948168459E-4</v>
          </cell>
          <cell r="AM121">
            <v>7.6645918242056119E-2</v>
          </cell>
          <cell r="AO121">
            <v>1943.2337028269992</v>
          </cell>
          <cell r="AP121">
            <v>2191.0094270103577</v>
          </cell>
          <cell r="AR121">
            <v>-1.6014805470988935E-2</v>
          </cell>
        </row>
        <row r="123">
          <cell r="C123">
            <v>1998</v>
          </cell>
          <cell r="D123">
            <v>6</v>
          </cell>
          <cell r="E123">
            <v>6</v>
          </cell>
          <cell r="F123">
            <v>0</v>
          </cell>
          <cell r="H123">
            <v>0.30299999999999999</v>
          </cell>
          <cell r="J123">
            <v>0.14178268821601719</v>
          </cell>
          <cell r="L123">
            <v>0.31544196646943429</v>
          </cell>
          <cell r="N123" t="e">
            <v>#DIV/0!</v>
          </cell>
          <cell r="P123" t="str">
            <v>-</v>
          </cell>
          <cell r="S123">
            <v>0.31544196646943429</v>
          </cell>
          <cell r="U123" t="e">
            <v>#DIV/0!</v>
          </cell>
          <cell r="AC123">
            <v>151.5</v>
          </cell>
          <cell r="AE123">
            <v>-2.7308889301098649E-3</v>
          </cell>
          <cell r="AG123">
            <v>1588.7345679012344</v>
          </cell>
          <cell r="AH123" t="e">
            <v>#N/A</v>
          </cell>
          <cell r="AI123">
            <v>0</v>
          </cell>
          <cell r="AK123">
            <v>2.0821251912173881E-3</v>
          </cell>
          <cell r="AM123">
            <v>-115.50889638588997</v>
          </cell>
          <cell r="AO123">
            <v>459.20000000000005</v>
          </cell>
        </row>
        <row r="124">
          <cell r="C124">
            <v>1999</v>
          </cell>
          <cell r="D124">
            <v>7</v>
          </cell>
          <cell r="E124">
            <v>7</v>
          </cell>
          <cell r="F124">
            <v>0</v>
          </cell>
          <cell r="H124">
            <v>0.23300000000000001</v>
          </cell>
          <cell r="J124">
            <v>0.16003687068321282</v>
          </cell>
          <cell r="L124">
            <v>0.30383896092471052</v>
          </cell>
          <cell r="N124" t="e">
            <v>#DIV/0!</v>
          </cell>
          <cell r="P124" t="str">
            <v>-</v>
          </cell>
          <cell r="S124">
            <v>0.30383896092471052</v>
          </cell>
          <cell r="U124" t="e">
            <v>#DIV/0!</v>
          </cell>
          <cell r="AC124">
            <v>181</v>
          </cell>
          <cell r="AE124">
            <v>9.5211267605633809E-2</v>
          </cell>
          <cell r="AG124">
            <v>1739.9999999999998</v>
          </cell>
          <cell r="AH124" t="e">
            <v>#N/A</v>
          </cell>
          <cell r="AI124">
            <v>0</v>
          </cell>
          <cell r="AK124">
            <v>1.6786682924017156E-3</v>
          </cell>
          <cell r="AM124">
            <v>3.1912080215465157</v>
          </cell>
          <cell r="AO124">
            <v>540</v>
          </cell>
          <cell r="BA124">
            <v>-35.864569758171534</v>
          </cell>
        </row>
        <row r="125">
          <cell r="C125">
            <v>2000</v>
          </cell>
          <cell r="D125">
            <v>8</v>
          </cell>
          <cell r="E125">
            <v>8</v>
          </cell>
          <cell r="F125">
            <v>0</v>
          </cell>
          <cell r="H125">
            <v>0.34299999999999997</v>
          </cell>
          <cell r="J125">
            <v>0.1748475335296881</v>
          </cell>
          <cell r="L125">
            <v>0.30160083935187787</v>
          </cell>
          <cell r="N125" t="e">
            <v>#DIV/0!</v>
          </cell>
          <cell r="P125" t="str">
            <v>-</v>
          </cell>
          <cell r="S125">
            <v>0.30160083935187787</v>
          </cell>
          <cell r="U125" t="e">
            <v>#DIV/0!</v>
          </cell>
          <cell r="AC125">
            <v>225</v>
          </cell>
          <cell r="AE125">
            <v>0.10459770114942524</v>
          </cell>
          <cell r="AG125">
            <v>1921.9999999999998</v>
          </cell>
          <cell r="AH125" t="e">
            <v>#N/A</v>
          </cell>
          <cell r="AI125">
            <v>0</v>
          </cell>
          <cell r="AK125">
            <v>1.3404481748972349E-3</v>
          </cell>
          <cell r="AM125">
            <v>2.883436596001471</v>
          </cell>
          <cell r="AO125">
            <v>647.20000000000005</v>
          </cell>
          <cell r="BA125">
            <v>9.8585322723253155E-2</v>
          </cell>
        </row>
        <row r="126">
          <cell r="C126">
            <v>2001</v>
          </cell>
          <cell r="D126">
            <v>9</v>
          </cell>
          <cell r="E126">
            <v>9</v>
          </cell>
          <cell r="F126">
            <v>0</v>
          </cell>
          <cell r="H126">
            <v>0.17100000000000001</v>
          </cell>
          <cell r="J126">
            <v>0.17862603717985992</v>
          </cell>
          <cell r="L126">
            <v>0.30597249287687273</v>
          </cell>
          <cell r="N126" t="e">
            <v>#DIV/0!</v>
          </cell>
          <cell r="P126" t="str">
            <v>-</v>
          </cell>
          <cell r="S126">
            <v>0.30597249287687273</v>
          </cell>
          <cell r="U126" t="e">
            <v>#DIV/0!</v>
          </cell>
          <cell r="AC126">
            <v>280.5</v>
          </cell>
          <cell r="AE126">
            <v>0.11879372705950053</v>
          </cell>
          <cell r="AG126">
            <v>2150.32154340836</v>
          </cell>
          <cell r="AH126" t="e">
            <v>#N/A</v>
          </cell>
          <cell r="AI126">
            <v>0</v>
          </cell>
          <cell r="AK126">
            <v>1.0908110262990115E-3</v>
          </cell>
          <cell r="AM126">
            <v>2.5756620357876261</v>
          </cell>
          <cell r="AO126">
            <v>652</v>
          </cell>
          <cell r="AS126">
            <v>28014</v>
          </cell>
          <cell r="AT126">
            <v>20421</v>
          </cell>
          <cell r="AU126">
            <v>13764</v>
          </cell>
          <cell r="AV126" t="str">
            <v>Minimum rent</v>
          </cell>
          <cell r="BA126">
            <v>0.13572024771170899</v>
          </cell>
        </row>
        <row r="127">
          <cell r="C127">
            <v>2002</v>
          </cell>
          <cell r="D127">
            <v>10</v>
          </cell>
          <cell r="E127">
            <v>10</v>
          </cell>
          <cell r="F127">
            <v>0</v>
          </cell>
          <cell r="H127">
            <v>0.13548378119937243</v>
          </cell>
          <cell r="J127">
            <v>0.20107628927438123</v>
          </cell>
          <cell r="L127">
            <v>0.29619395499950396</v>
          </cell>
          <cell r="N127" t="e">
            <v>#DIV/0!</v>
          </cell>
          <cell r="P127" t="str">
            <v>-</v>
          </cell>
          <cell r="S127">
            <v>0.29619395499950396</v>
          </cell>
          <cell r="U127" t="e">
            <v>#DIV/0!</v>
          </cell>
          <cell r="AC127">
            <v>344.5</v>
          </cell>
          <cell r="AE127">
            <v>6.4194234287691998E-2</v>
          </cell>
          <cell r="AG127">
            <v>2288.3597883597877</v>
          </cell>
          <cell r="AH127" t="e">
            <v>#N/A</v>
          </cell>
          <cell r="AI127">
            <v>0</v>
          </cell>
          <cell r="AK127">
            <v>8.5977925979536705E-4</v>
          </cell>
          <cell r="AM127">
            <v>4.6140273855761746</v>
          </cell>
          <cell r="AO127">
            <v>679.2</v>
          </cell>
          <cell r="AS127">
            <v>3970</v>
          </cell>
          <cell r="AT127">
            <v>3431</v>
          </cell>
          <cell r="AU127">
            <v>2437</v>
          </cell>
          <cell r="AV127" t="str">
            <v>CAM</v>
          </cell>
          <cell r="BA127">
            <v>-0.45961595888359608</v>
          </cell>
        </row>
        <row r="128">
          <cell r="C128">
            <v>2003</v>
          </cell>
          <cell r="D128">
            <v>11</v>
          </cell>
          <cell r="E128">
            <v>11</v>
          </cell>
          <cell r="F128">
            <v>768.49907299999995</v>
          </cell>
          <cell r="G128">
            <v>768.49907299999995</v>
          </cell>
          <cell r="H128">
            <v>0.161</v>
          </cell>
          <cell r="J128">
            <v>0.20920595567198558</v>
          </cell>
          <cell r="L128">
            <v>0.29903143292405765</v>
          </cell>
          <cell r="N128">
            <v>3.8911098715672449E-4</v>
          </cell>
          <cell r="P128">
            <v>3.8911098715672449E-4</v>
          </cell>
          <cell r="S128">
            <v>0.29903143292405765</v>
          </cell>
          <cell r="U128">
            <v>3.8911098715672449E-4</v>
          </cell>
          <cell r="W128">
            <v>3.8911098715672449E-4</v>
          </cell>
          <cell r="Y128" t="e">
            <v>#DIV/0!</v>
          </cell>
          <cell r="AA128">
            <v>-3.8911098715672447</v>
          </cell>
          <cell r="AC128">
            <v>463</v>
          </cell>
          <cell r="AE128">
            <v>-3.2066157546092322E-3</v>
          </cell>
          <cell r="AG128">
            <v>2281.0218978102189</v>
          </cell>
          <cell r="AH128" t="e">
            <v>#N/A</v>
          </cell>
          <cell r="AI128">
            <v>0</v>
          </cell>
          <cell r="AK128">
            <v>6.4585622661783506E-4</v>
          </cell>
          <cell r="AM128">
            <v>-93.254526207022437</v>
          </cell>
          <cell r="AO128">
            <v>705.1721342789599</v>
          </cell>
          <cell r="AP128">
            <v>-239660.48064703392</v>
          </cell>
          <cell r="AS128">
            <v>5014</v>
          </cell>
          <cell r="AT128">
            <v>3406</v>
          </cell>
          <cell r="AU128">
            <v>2473</v>
          </cell>
          <cell r="AV128" t="str">
            <v>other rental charges (insurance &amp; taxes)</v>
          </cell>
          <cell r="BA128">
            <v>-1.0499517719961968</v>
          </cell>
        </row>
        <row r="129">
          <cell r="C129">
            <v>2004</v>
          </cell>
          <cell r="D129">
            <v>12</v>
          </cell>
          <cell r="E129">
            <v>12</v>
          </cell>
          <cell r="F129">
            <v>1066.8820000000001</v>
          </cell>
          <cell r="G129">
            <v>1066.8820000000001</v>
          </cell>
          <cell r="H129">
            <v>0.129</v>
          </cell>
          <cell r="J129">
            <v>0.21030910634915587</v>
          </cell>
          <cell r="L129">
            <v>0.30033030831900809</v>
          </cell>
          <cell r="N129">
            <v>2.8150283566412036E-4</v>
          </cell>
          <cell r="P129">
            <v>2.8150283566412036E-4</v>
          </cell>
          <cell r="S129">
            <v>0.30033030831900809</v>
          </cell>
          <cell r="U129">
            <v>2.8150283566412036E-4</v>
          </cell>
          <cell r="W129">
            <v>2.8150283566412036E-4</v>
          </cell>
          <cell r="Y129">
            <v>1.0760815149260414</v>
          </cell>
          <cell r="AA129">
            <v>1.0760815149260414</v>
          </cell>
          <cell r="AC129">
            <v>602.5</v>
          </cell>
          <cell r="AE129">
            <v>2.343378995433798E-2</v>
          </cell>
          <cell r="AG129">
            <v>2334.4748858447488</v>
          </cell>
          <cell r="AH129" t="e">
            <v>#N/A</v>
          </cell>
          <cell r="AI129">
            <v>0</v>
          </cell>
          <cell r="AK129">
            <v>4.9847354077843661E-4</v>
          </cell>
          <cell r="AM129">
            <v>12.816121886567137</v>
          </cell>
          <cell r="AO129">
            <v>747.78841490794787</v>
          </cell>
          <cell r="AP129">
            <v>45527.505455962433</v>
          </cell>
          <cell r="AS129">
            <v>5206</v>
          </cell>
          <cell r="AT129">
            <v>3560</v>
          </cell>
          <cell r="AU129">
            <v>2511</v>
          </cell>
          <cell r="AV129" t="str">
            <v>contingent rent or percentage rent</v>
          </cell>
          <cell r="BA129">
            <v>-8.3079507329975346</v>
          </cell>
        </row>
        <row r="130">
          <cell r="B130" t="str">
            <v>CHS</v>
          </cell>
          <cell r="C130" t="str">
            <v>2005  (ex. direct)</v>
          </cell>
          <cell r="D130">
            <v>13</v>
          </cell>
          <cell r="E130">
            <v>13</v>
          </cell>
          <cell r="F130">
            <v>1368.4259999999999</v>
          </cell>
          <cell r="G130">
            <v>1404.575</v>
          </cell>
          <cell r="H130">
            <v>0.14300000000000002</v>
          </cell>
          <cell r="J130">
            <v>0.21238737696456225</v>
          </cell>
          <cell r="L130">
            <v>0.30089457665130021</v>
          </cell>
          <cell r="N130">
            <v>2.1988370335794571E-4</v>
          </cell>
          <cell r="P130">
            <v>2.1422464208127029E-4</v>
          </cell>
          <cell r="R130" t="str">
            <v>0%</v>
          </cell>
          <cell r="S130">
            <v>0.30089457665130021</v>
          </cell>
          <cell r="U130">
            <v>2.1988370335794571E-4</v>
          </cell>
          <cell r="W130">
            <v>2.1422464208127029E-4</v>
          </cell>
          <cell r="Y130">
            <v>0.61619132306174651</v>
          </cell>
          <cell r="AA130">
            <v>0.67278193582850065</v>
          </cell>
          <cell r="AC130">
            <v>710</v>
          </cell>
          <cell r="AE130">
            <v>4.5640839947831857E-2</v>
          </cell>
          <cell r="AG130">
            <v>2441.0222804718219</v>
          </cell>
          <cell r="AH130" t="e">
            <v>#N/A</v>
          </cell>
          <cell r="AI130" t="e">
            <v>#N/A</v>
          </cell>
          <cell r="AK130">
            <v>4.2379517838211299E-4</v>
          </cell>
          <cell r="AM130">
            <v>6.5926608054371281</v>
          </cell>
          <cell r="AO130">
            <v>805.84527051895486</v>
          </cell>
          <cell r="AP130">
            <v>30774.52127536324</v>
          </cell>
          <cell r="AQ130" t="str">
            <v>Sales exclude CHS direct sales ($71mm in 2008).</v>
          </cell>
          <cell r="AY130">
            <v>36.149000000000001</v>
          </cell>
          <cell r="BA130">
            <v>0.9476508083739561</v>
          </cell>
          <cell r="BB130">
            <v>0.22002694207453977</v>
          </cell>
        </row>
        <row r="131">
          <cell r="A131" t="str">
            <v>CHS2006</v>
          </cell>
          <cell r="B131" t="str">
            <v>CHS</v>
          </cell>
          <cell r="C131" t="str">
            <v>2006 (ex. direct)</v>
          </cell>
          <cell r="D131">
            <v>14</v>
          </cell>
          <cell r="E131">
            <v>14</v>
          </cell>
          <cell r="F131">
            <v>1587.97</v>
          </cell>
          <cell r="G131">
            <v>1640.9270000000001</v>
          </cell>
          <cell r="H131">
            <v>2.1000000000000001E-2</v>
          </cell>
          <cell r="J131">
            <v>0.16070184718759586</v>
          </cell>
          <cell r="L131">
            <v>0.35966560364964434</v>
          </cell>
          <cell r="N131">
            <v>2.2649395369537482E-4</v>
          </cell>
          <cell r="P131">
            <v>2.1918440226143169E-4</v>
          </cell>
          <cell r="S131">
            <v>0.35966560364964434</v>
          </cell>
          <cell r="U131">
            <v>2.2649395369537482E-4</v>
          </cell>
          <cell r="W131">
            <v>2.1918440226143169E-4</v>
          </cell>
          <cell r="Y131">
            <v>-6.6102503374291105E-2</v>
          </cell>
          <cell r="AA131">
            <v>-4.9597601801614044E-2</v>
          </cell>
          <cell r="AC131">
            <v>841.5</v>
          </cell>
          <cell r="AE131">
            <v>8.7614531660344275E-2</v>
          </cell>
          <cell r="AG131">
            <v>2654.891304347826</v>
          </cell>
          <cell r="AH131" t="e">
            <v>#N/A</v>
          </cell>
          <cell r="AI131">
            <v>0.52110871532719394</v>
          </cell>
          <cell r="AK131">
            <v>4.2741010534717096E-4</v>
          </cell>
          <cell r="AM131">
            <v>4.1050907518853368</v>
          </cell>
          <cell r="AO131">
            <v>737.7328687572591</v>
          </cell>
          <cell r="AP131">
            <v>18728.936500641135</v>
          </cell>
          <cell r="AR131" t="str">
            <v>DE-LVG</v>
          </cell>
          <cell r="AY131">
            <v>52.957000000000008</v>
          </cell>
          <cell r="BA131">
            <v>0.91965204322464178</v>
          </cell>
          <cell r="BB131">
            <v>0.26757453073242554</v>
          </cell>
        </row>
        <row r="132">
          <cell r="A132" t="str">
            <v>CHS2007</v>
          </cell>
          <cell r="B132" t="str">
            <v>CHS</v>
          </cell>
          <cell r="C132" t="str">
            <v>2007 (ex. direct)</v>
          </cell>
          <cell r="D132">
            <v>15</v>
          </cell>
          <cell r="E132">
            <v>15</v>
          </cell>
          <cell r="F132">
            <v>1642.2329999999999</v>
          </cell>
          <cell r="G132">
            <v>1714.327</v>
          </cell>
          <cell r="H132">
            <v>-8.1000000000000003E-2</v>
          </cell>
          <cell r="J132">
            <v>7.0848793724884382E-2</v>
          </cell>
          <cell r="L132">
            <v>0.41252573167196227</v>
          </cell>
          <cell r="N132">
            <v>2.5119805269530103E-4</v>
          </cell>
          <cell r="P132">
            <v>2.4063421486796992E-4</v>
          </cell>
          <cell r="R132">
            <v>0</v>
          </cell>
          <cell r="S132">
            <v>0.41252573167196227</v>
          </cell>
          <cell r="U132">
            <v>2.5119805269530103E-4</v>
          </cell>
          <cell r="W132">
            <v>2.4063421486796992E-4</v>
          </cell>
          <cell r="Y132">
            <v>-0.24704098999926216</v>
          </cell>
          <cell r="AA132">
            <v>-0.21449812606538229</v>
          </cell>
          <cell r="AC132">
            <v>979</v>
          </cell>
          <cell r="AE132">
            <v>8.9529308981329825E-2</v>
          </cell>
          <cell r="AG132">
            <v>2892.5818882466283</v>
          </cell>
          <cell r="AH132" t="e">
            <v>#N/A</v>
          </cell>
          <cell r="AI132">
            <v>0.43492320044160998</v>
          </cell>
          <cell r="AK132">
            <v>4.2137459823489507E-4</v>
          </cell>
          <cell r="AM132">
            <v>4.6077171416344695</v>
          </cell>
          <cell r="AO132">
            <v>603.20771349862252</v>
          </cell>
          <cell r="AP132">
            <v>19148.221063087851</v>
          </cell>
          <cell r="AR132">
            <v>-0.33306943340191802</v>
          </cell>
          <cell r="AT132">
            <v>-6.6102503374291105E-2</v>
          </cell>
          <cell r="AY132">
            <v>72.094000000000008</v>
          </cell>
          <cell r="BA132">
            <v>2.185456321798962E-2</v>
          </cell>
          <cell r="BB132">
            <v>0.26480836236933802</v>
          </cell>
        </row>
        <row r="133">
          <cell r="A133" t="str">
            <v>CHS2008</v>
          </cell>
          <cell r="B133" t="str">
            <v>CHS</v>
          </cell>
          <cell r="C133">
            <v>2008</v>
          </cell>
          <cell r="D133">
            <v>16</v>
          </cell>
          <cell r="E133">
            <v>16</v>
          </cell>
          <cell r="F133">
            <v>1511.8130000000001</v>
          </cell>
          <cell r="G133">
            <v>1582.404</v>
          </cell>
          <cell r="H133">
            <v>-0.151</v>
          </cell>
          <cell r="J133">
            <v>-1.0066329458216793E-2</v>
          </cell>
          <cell r="L133">
            <v>0.4301183515714066</v>
          </cell>
          <cell r="N133">
            <v>2.8450499603549284E-4</v>
          </cell>
          <cell r="P133">
            <v>2.7181323579276003E-4</v>
          </cell>
          <cell r="R133">
            <v>0</v>
          </cell>
          <cell r="S133">
            <v>0.4301183515714066</v>
          </cell>
          <cell r="U133">
            <v>2.8450499603549284E-4</v>
          </cell>
          <cell r="W133">
            <v>2.7181323579276003E-4</v>
          </cell>
          <cell r="Y133">
            <v>-0.33306943340191802</v>
          </cell>
          <cell r="AA133">
            <v>-0.31179020924790107</v>
          </cell>
          <cell r="AC133">
            <v>1057</v>
          </cell>
          <cell r="AE133">
            <v>4.2474414908270086E-2</v>
          </cell>
          <cell r="AG133">
            <v>3015.4426115241631</v>
          </cell>
          <cell r="AH133" t="e">
            <v>#N/A</v>
          </cell>
          <cell r="AI133">
            <v>0.48593140201773805</v>
          </cell>
          <cell r="AK133">
            <v>4.069237006352002E-4</v>
          </cell>
          <cell r="AM133">
            <v>10.126527993388777</v>
          </cell>
          <cell r="AO133">
            <v>484.00347920530538</v>
          </cell>
          <cell r="AP133">
            <v>37255.463163352346</v>
          </cell>
          <cell r="AQ133" t="str">
            <v>CHS reports CAM charges and RE taxes within its rent expense.  No adjustment needed.  Store sales exclude internet ($241M(e) in '12, $186M(e) in '11).  Comparable Store Sales estimate indicated (excl. internet sales growth).</v>
          </cell>
          <cell r="AR133">
            <v>-997.88382249192</v>
          </cell>
          <cell r="AS133">
            <v>7.9673135852911026E-2</v>
          </cell>
          <cell r="AU133">
            <v>-998.21689192532187</v>
          </cell>
          <cell r="AY133">
            <v>70.591000000000008</v>
          </cell>
          <cell r="BA133">
            <v>-0.52558089198334401</v>
          </cell>
          <cell r="BB133">
            <v>0.14731244260789689</v>
          </cell>
        </row>
        <row r="134">
          <cell r="A134" t="str">
            <v>CHS2009</v>
          </cell>
          <cell r="B134" t="str">
            <v>CHS</v>
          </cell>
          <cell r="C134">
            <v>2009</v>
          </cell>
          <cell r="D134">
            <v>17</v>
          </cell>
          <cell r="E134">
            <v>17</v>
          </cell>
          <cell r="F134">
            <v>1614.8230000000001</v>
          </cell>
          <cell r="G134">
            <v>1713.1510000000001</v>
          </cell>
          <cell r="H134">
            <v>6.0999999999999999E-2</v>
          </cell>
          <cell r="J134">
            <v>7.1902009805323686E-2</v>
          </cell>
          <cell r="L134">
            <v>161.6</v>
          </cell>
          <cell r="N134">
            <v>0.10007288724522749</v>
          </cell>
          <cell r="P134">
            <v>9.4329104673201603E-2</v>
          </cell>
          <cell r="R134">
            <v>0</v>
          </cell>
          <cell r="S134">
            <v>161.6</v>
          </cell>
          <cell r="U134">
            <v>0.10007288724522749</v>
          </cell>
          <cell r="W134">
            <v>9.4329104673201603E-2</v>
          </cell>
          <cell r="Y134">
            <v>-997.88382249192</v>
          </cell>
          <cell r="AA134">
            <v>-940.57291437408844</v>
          </cell>
          <cell r="AC134">
            <v>1078</v>
          </cell>
          <cell r="AE134">
            <v>5.2421453538613605E-3</v>
          </cell>
          <cell r="AG134">
            <v>3031.25</v>
          </cell>
          <cell r="AH134" t="e">
            <v>#N/A</v>
          </cell>
          <cell r="AI134">
            <v>0</v>
          </cell>
          <cell r="AK134">
            <v>0.14990723562152133</v>
          </cell>
          <cell r="AM134">
            <v>30827.07347688586</v>
          </cell>
          <cell r="AO134">
            <v>495.46863065572603</v>
          </cell>
          <cell r="AP134">
            <v>326803.41431930999</v>
          </cell>
          <cell r="AR134">
            <v>27.079025904109962</v>
          </cell>
          <cell r="AS134">
            <v>1.9867549668874274E-2</v>
          </cell>
          <cell r="AU134">
            <v>-970.80479658781007</v>
          </cell>
          <cell r="AY134">
            <v>98.328000000000003</v>
          </cell>
          <cell r="BA134">
            <v>-0.8765811049973834</v>
          </cell>
          <cell r="BB134">
            <v>4.3420034003689434E-2</v>
          </cell>
          <cell r="BC134">
            <v>-0.92000113900107283</v>
          </cell>
        </row>
        <row r="135">
          <cell r="A135" t="str">
            <v>CHS2010</v>
          </cell>
          <cell r="B135" t="str">
            <v>CHS</v>
          </cell>
          <cell r="C135">
            <v>2010</v>
          </cell>
          <cell r="D135">
            <v>18</v>
          </cell>
          <cell r="E135">
            <v>18</v>
          </cell>
          <cell r="F135">
            <v>1767.5758960999999</v>
          </cell>
          <cell r="G135">
            <v>1904.9839999999999</v>
          </cell>
          <cell r="H135">
            <v>6.6000000000000003E-2</v>
          </cell>
          <cell r="J135">
            <v>9.3522045329514469E-2</v>
          </cell>
          <cell r="L135">
            <v>172.1</v>
          </cell>
          <cell r="N135">
            <v>9.7364984654816494E-2</v>
          </cell>
          <cell r="P135">
            <v>9.034196612674962E-2</v>
          </cell>
          <cell r="R135">
            <v>0</v>
          </cell>
          <cell r="S135">
            <v>172.1</v>
          </cell>
          <cell r="U135">
            <v>9.7364984654816494E-2</v>
          </cell>
          <cell r="W135">
            <v>9.034196612674962E-2</v>
          </cell>
          <cell r="Y135">
            <v>27.079025904109962</v>
          </cell>
          <cell r="AA135">
            <v>39.871385464519818</v>
          </cell>
          <cell r="AC135">
            <v>1115.5</v>
          </cell>
          <cell r="AE135">
            <v>-2.2399168808835412E-3</v>
          </cell>
          <cell r="AG135">
            <v>3024.4602519548216</v>
          </cell>
          <cell r="AH135" t="e">
            <v>#N/A</v>
          </cell>
          <cell r="AI135">
            <v>0</v>
          </cell>
          <cell r="AK135">
            <v>0.15428059166293143</v>
          </cell>
          <cell r="AM135">
            <v>-76833.208173383056</v>
          </cell>
          <cell r="AO135">
            <v>523.3459902667006</v>
          </cell>
          <cell r="AP135">
            <v>-850470.8439219289</v>
          </cell>
          <cell r="AR135">
            <v>37.754877760230734</v>
          </cell>
          <cell r="AS135">
            <v>3.4786641929499096E-2</v>
          </cell>
          <cell r="AY135">
            <v>137.40810390000001</v>
          </cell>
          <cell r="AZ135">
            <v>0</v>
          </cell>
          <cell r="BA135">
            <v>-1.4272901130514475</v>
          </cell>
          <cell r="BB135">
            <v>3.6287850502417118E-2</v>
          </cell>
          <cell r="BC135">
            <v>-1.4635779635538646</v>
          </cell>
        </row>
        <row r="136">
          <cell r="A136" t="str">
            <v>CHS2011</v>
          </cell>
          <cell r="B136" t="str">
            <v>CHS</v>
          </cell>
          <cell r="C136">
            <v>2011</v>
          </cell>
          <cell r="D136">
            <v>19</v>
          </cell>
          <cell r="E136">
            <v>19</v>
          </cell>
          <cell r="F136">
            <v>1971.3750597350001</v>
          </cell>
          <cell r="G136">
            <v>2196.36</v>
          </cell>
          <cell r="H136">
            <v>5.4762866757291556E-2</v>
          </cell>
          <cell r="J136">
            <v>0.10358456719299215</v>
          </cell>
          <cell r="L136">
            <v>184.5</v>
          </cell>
          <cell r="N136">
            <v>9.3589496878793421E-2</v>
          </cell>
          <cell r="P136">
            <v>8.4002622520898212E-2</v>
          </cell>
          <cell r="R136">
            <v>0</v>
          </cell>
          <cell r="S136">
            <v>184.5</v>
          </cell>
          <cell r="U136">
            <v>9.3589496878793421E-2</v>
          </cell>
          <cell r="W136">
            <v>8.4002622520898212E-2</v>
          </cell>
          <cell r="Y136">
            <v>37.754877760230734</v>
          </cell>
          <cell r="AA136">
            <v>63.393436058514077</v>
          </cell>
          <cell r="AC136">
            <v>1203.5</v>
          </cell>
          <cell r="AE136">
            <v>-4.1427290911320025E-3</v>
          </cell>
          <cell r="AG136">
            <v>3011.9307324840761</v>
          </cell>
          <cell r="AH136" t="e">
            <v>#N/A</v>
          </cell>
          <cell r="AI136">
            <v>0</v>
          </cell>
          <cell r="AK136">
            <v>0.15330286663896966</v>
          </cell>
          <cell r="AM136">
            <v>-44535.859319148789</v>
          </cell>
          <cell r="AO136">
            <v>593.84218122210302</v>
          </cell>
          <cell r="AP136">
            <v>-530172.24918268644</v>
          </cell>
          <cell r="AR136">
            <v>6.333935132962071</v>
          </cell>
          <cell r="AS136">
            <v>7.8888390856118429E-2</v>
          </cell>
          <cell r="AY136">
            <v>185.50094026500003</v>
          </cell>
          <cell r="AZ136">
            <v>39.484000000000002</v>
          </cell>
          <cell r="BA136">
            <v>0.84950125894756057</v>
          </cell>
          <cell r="BB136">
            <v>7.5387454632495521E-2</v>
          </cell>
          <cell r="BC136">
            <v>0.77411380431506505</v>
          </cell>
        </row>
        <row r="137">
          <cell r="A137" t="str">
            <v>CHS2012</v>
          </cell>
          <cell r="B137" t="str">
            <v>CHS</v>
          </cell>
          <cell r="C137">
            <v>2012</v>
          </cell>
          <cell r="D137">
            <v>20</v>
          </cell>
          <cell r="E137">
            <v>20</v>
          </cell>
          <cell r="F137">
            <v>2216.0997776554996</v>
          </cell>
          <cell r="G137">
            <v>2581.0569999999998</v>
          </cell>
          <cell r="H137">
            <v>7.1889918811679734E-2</v>
          </cell>
          <cell r="J137">
            <v>0.11212155024920044</v>
          </cell>
          <cell r="L137">
            <v>206</v>
          </cell>
          <cell r="N137">
            <v>9.2956103365497214E-2</v>
          </cell>
          <cell r="P137">
            <v>7.9812262960484798E-2</v>
          </cell>
          <cell r="R137">
            <v>0</v>
          </cell>
          <cell r="S137">
            <v>206</v>
          </cell>
          <cell r="U137">
            <v>9.2956103365497214E-2</v>
          </cell>
          <cell r="W137">
            <v>7.9812262960484798E-2</v>
          </cell>
          <cell r="Y137">
            <v>6.333935132962071</v>
          </cell>
          <cell r="AA137">
            <v>41.903595604134146</v>
          </cell>
          <cell r="AC137">
            <v>1306.5</v>
          </cell>
          <cell r="AE137">
            <v>5.1716363003673216E-4</v>
          </cell>
          <cell r="AG137">
            <v>3013.4883935151065</v>
          </cell>
          <cell r="AH137" t="e">
            <v>#N/A</v>
          </cell>
          <cell r="AI137">
            <v>0</v>
          </cell>
          <cell r="AK137">
            <v>0.15767317259854574</v>
          </cell>
          <cell r="AM137">
            <v>398326.54122519906</v>
          </cell>
          <cell r="AO137">
            <v>624.2786762617161</v>
          </cell>
          <cell r="AP137">
            <v>4990793.7258014008</v>
          </cell>
          <cell r="AR137">
            <v>-127.60770501113558</v>
          </cell>
          <cell r="AY137">
            <v>241.15122234450004</v>
          </cell>
          <cell r="AZ137">
            <v>123.806</v>
          </cell>
          <cell r="BA137">
            <v>-1.1248364589284348</v>
          </cell>
          <cell r="BB137">
            <v>8.3719491178496641E-2</v>
          </cell>
          <cell r="BC137">
            <v>-1.2085559501069314</v>
          </cell>
        </row>
        <row r="138">
          <cell r="A138" t="str">
            <v>CHS2013</v>
          </cell>
          <cell r="B138" t="str">
            <v>CHS</v>
          </cell>
          <cell r="C138" t="str">
            <v>2013e</v>
          </cell>
          <cell r="D138">
            <v>21</v>
          </cell>
          <cell r="E138">
            <v>21</v>
          </cell>
          <cell r="F138">
            <v>2175.6224109521495</v>
          </cell>
          <cell r="G138">
            <v>2586.0369999999998</v>
          </cell>
          <cell r="H138">
            <v>2.4045743690091128E-2</v>
          </cell>
          <cell r="J138">
            <v>0.11227175359758408</v>
          </cell>
          <cell r="L138">
            <v>230</v>
          </cell>
          <cell r="N138">
            <v>0.10571687386661077</v>
          </cell>
          <cell r="P138">
            <v>8.8939176044271609E-2</v>
          </cell>
          <cell r="R138">
            <v>0</v>
          </cell>
          <cell r="S138">
            <v>230</v>
          </cell>
          <cell r="U138">
            <v>0.10571687386661077</v>
          </cell>
          <cell r="W138">
            <v>8.8939176044271609E-2</v>
          </cell>
          <cell r="Y138">
            <v>-127.60770501113558</v>
          </cell>
          <cell r="AA138">
            <v>-91.269130837868119</v>
          </cell>
          <cell r="AC138">
            <v>1414.5</v>
          </cell>
          <cell r="AE138">
            <v>-2.6855614305135056E-2</v>
          </cell>
          <cell r="AG138">
            <v>2932.5593115058637</v>
          </cell>
          <cell r="AH138" t="e">
            <v>#N/A</v>
          </cell>
          <cell r="AI138">
            <v>0</v>
          </cell>
          <cell r="AK138">
            <v>0.16260162601626016</v>
          </cell>
          <cell r="AM138">
            <v>-8564.317218244445</v>
          </cell>
          <cell r="AO138">
            <v>606.00806495073687</v>
          </cell>
          <cell r="AP138">
            <v>-96294.092200509607</v>
          </cell>
          <cell r="AY138">
            <v>313.49658904785008</v>
          </cell>
          <cell r="AZ138">
            <v>96.918000000000006</v>
          </cell>
          <cell r="BA138">
            <v>-52.928659993409831</v>
          </cell>
          <cell r="BB138">
            <v>8.263035321208223E-2</v>
          </cell>
          <cell r="BC138">
            <v>-53.011290346621912</v>
          </cell>
        </row>
        <row r="139">
          <cell r="C139" t="str">
            <v>2005 = Trough rent</v>
          </cell>
          <cell r="F139">
            <v>1368.4259999999999</v>
          </cell>
          <cell r="G139">
            <v>1404.575</v>
          </cell>
          <cell r="H139">
            <v>0.14300000000000002</v>
          </cell>
          <cell r="J139">
            <v>0.21238737696456225</v>
          </cell>
          <cell r="L139">
            <v>0.30089457665130021</v>
          </cell>
          <cell r="N139">
            <v>2.1988370335794571E-4</v>
          </cell>
          <cell r="P139">
            <v>2.1422464208127029E-4</v>
          </cell>
          <cell r="S139">
            <v>0.30089457665130021</v>
          </cell>
          <cell r="U139">
            <v>2.1988370335794571E-4</v>
          </cell>
          <cell r="W139">
            <v>2.1422464208127029E-4</v>
          </cell>
          <cell r="Z139">
            <v>0</v>
          </cell>
          <cell r="AB139">
            <v>0</v>
          </cell>
          <cell r="AC139">
            <v>710</v>
          </cell>
          <cell r="AE139">
            <v>4.5640839947831857E-2</v>
          </cell>
          <cell r="AG139">
            <v>2441.0222804718219</v>
          </cell>
          <cell r="AH139" t="e">
            <v>#N/A</v>
          </cell>
          <cell r="AI139" t="e">
            <v>#N/A</v>
          </cell>
          <cell r="AK139">
            <v>4.2379517838211299E-4</v>
          </cell>
          <cell r="AM139">
            <v>6.5926608054371281</v>
          </cell>
          <cell r="AO139">
            <v>805.84527051895486</v>
          </cell>
          <cell r="AP139">
            <v>30774.52127536324</v>
          </cell>
          <cell r="AR139">
            <v>-0.14048536715923857</v>
          </cell>
          <cell r="AS139">
            <v>42204</v>
          </cell>
          <cell r="AT139">
            <v>30818</v>
          </cell>
          <cell r="AU139">
            <v>21185</v>
          </cell>
          <cell r="AV139" t="str">
            <v>total rent expense</v>
          </cell>
        </row>
        <row r="142">
          <cell r="AS142" t="str">
            <v>occupancy's role in determining potential operating margin</v>
          </cell>
        </row>
        <row r="143">
          <cell r="L143" t="str">
            <v>Rent Expense</v>
          </cell>
          <cell r="Y143" t="str">
            <v>Rent</v>
          </cell>
          <cell r="AA143" t="str">
            <v>Rent</v>
          </cell>
          <cell r="AC143" t="str">
            <v>Average</v>
          </cell>
          <cell r="AL143" t="str">
            <v>Adjusted Rent</v>
          </cell>
          <cell r="AO143" t="str">
            <v>Sales</v>
          </cell>
          <cell r="AP143" t="str">
            <v>Total Sales</v>
          </cell>
          <cell r="AQ143" t="str">
            <v>Key CAM adj.</v>
          </cell>
          <cell r="AR143" t="str">
            <v>Bps</v>
          </cell>
        </row>
        <row r="144">
          <cell r="F144" t="str">
            <v>Store Sales</v>
          </cell>
          <cell r="G144" t="str">
            <v>Total Sales</v>
          </cell>
          <cell r="H144" t="str">
            <v>Comp.</v>
          </cell>
          <cell r="J144" t="str">
            <v>Operating</v>
          </cell>
          <cell r="L144" t="str">
            <v>per 10-K</v>
          </cell>
          <cell r="U144" t="str">
            <v>% Store</v>
          </cell>
          <cell r="W144" t="str">
            <v>% Total</v>
          </cell>
          <cell r="Y144" t="str">
            <v>Levg. or</v>
          </cell>
          <cell r="AA144" t="str">
            <v>Levg. or</v>
          </cell>
          <cell r="AC144" t="str">
            <v>Store</v>
          </cell>
          <cell r="AE144" t="str">
            <v>Sq. Ft.</v>
          </cell>
          <cell r="AG144" t="str">
            <v>Sq. Ft. /</v>
          </cell>
          <cell r="AH144" t="str">
            <v>New Sq. Ft.</v>
          </cell>
          <cell r="AI144" t="str">
            <v>Adj. New SF</v>
          </cell>
          <cell r="AK144" t="str">
            <v>per Avg</v>
          </cell>
          <cell r="AM144" t="str">
            <v>per Avg</v>
          </cell>
          <cell r="AO144" t="str">
            <v>per Avg</v>
          </cell>
          <cell r="AP144" t="str">
            <v>per Avg</v>
          </cell>
          <cell r="AQ144" t="str">
            <v>Assumptions &amp;</v>
          </cell>
          <cell r="AR144" t="str">
            <v>Lvg</v>
          </cell>
        </row>
        <row r="145">
          <cell r="F145" t="str">
            <v>($ MM)</v>
          </cell>
          <cell r="G145" t="str">
            <v>($ MM)</v>
          </cell>
          <cell r="H145" t="str">
            <v>Sales %</v>
          </cell>
          <cell r="J145" t="str">
            <v>Margin</v>
          </cell>
          <cell r="L145" t="str">
            <v>$ MM</v>
          </cell>
          <cell r="N145" t="str">
            <v>% Sales</v>
          </cell>
          <cell r="P145" t="str">
            <v>% Sales</v>
          </cell>
          <cell r="R145" t="str">
            <v>Adj.</v>
          </cell>
          <cell r="S145" t="str">
            <v>$ MM</v>
          </cell>
          <cell r="U145" t="str">
            <v>Sales</v>
          </cell>
          <cell r="W145" t="str">
            <v>Sales</v>
          </cell>
          <cell r="Y145" t="str">
            <v>(Delevg)</v>
          </cell>
          <cell r="AA145" t="str">
            <v>(De-levg)</v>
          </cell>
          <cell r="AC145" t="str">
            <v>Count</v>
          </cell>
          <cell r="AE145" t="str">
            <v>(MM)</v>
          </cell>
          <cell r="AG145" t="str">
            <v>Store</v>
          </cell>
          <cell r="AH145" t="str">
            <v>Productivity</v>
          </cell>
          <cell r="AI145" t="str">
            <v>Productivity</v>
          </cell>
          <cell r="AK145" t="str">
            <v>Store</v>
          </cell>
          <cell r="AM145" t="str">
            <v>Sq. Ft.</v>
          </cell>
          <cell r="AO145" t="str">
            <v>Sq. Ft.</v>
          </cell>
          <cell r="AP145" t="str">
            <v>Sq. Ft.</v>
          </cell>
          <cell r="AQ145" t="str">
            <v>Other</v>
          </cell>
          <cell r="AR145" t="str">
            <v>(De-Lvg)</v>
          </cell>
          <cell r="AS145" t="str">
            <v>Notes on Rent:</v>
          </cell>
        </row>
        <row r="147">
          <cell r="A147" t="str">
            <v>EXPR2008</v>
          </cell>
          <cell r="B147" t="str">
            <v>EXPR</v>
          </cell>
          <cell r="C147">
            <v>2008</v>
          </cell>
          <cell r="D147">
            <v>5</v>
          </cell>
          <cell r="E147">
            <v>6</v>
          </cell>
          <cell r="F147">
            <v>1704.376</v>
          </cell>
          <cell r="G147">
            <v>1737.01</v>
          </cell>
          <cell r="H147">
            <v>-0.03</v>
          </cell>
          <cell r="J147">
            <v>2.2532973327729464E-3</v>
          </cell>
          <cell r="L147">
            <v>149.24799999999999</v>
          </cell>
          <cell r="N147">
            <v>8.7567532046919222E-2</v>
          </cell>
          <cell r="P147">
            <v>8.5922360838452283E-2</v>
          </cell>
          <cell r="R147">
            <v>0.5</v>
          </cell>
          <cell r="S147">
            <v>223.87199999999999</v>
          </cell>
          <cell r="U147">
            <v>0.13135129807037882</v>
          </cell>
          <cell r="W147">
            <v>0.12888354125767842</v>
          </cell>
          <cell r="AC147">
            <v>584</v>
          </cell>
          <cell r="AE147">
            <v>5.0869999999999997</v>
          </cell>
          <cell r="AG147">
            <v>8660.9294320137706</v>
          </cell>
          <cell r="AH147" t="e">
            <v>#N/A</v>
          </cell>
          <cell r="AI147">
            <v>0</v>
          </cell>
          <cell r="AK147">
            <v>0.38334246575342462</v>
          </cell>
          <cell r="AM147">
            <v>44.008649498722235</v>
          </cell>
          <cell r="AO147">
            <v>335.04540986829176</v>
          </cell>
          <cell r="AP147">
            <v>341.46058580695893</v>
          </cell>
          <cell r="AQ147" t="str">
            <v>Store sales exclude Internet and Other ($295M in '12, $227M in '11).  We estimate leverage at 2-3% comp.  Comparable Store Sales estimate indicated (excludes internet sales growth).</v>
          </cell>
          <cell r="AR147">
            <v>-88.671300046062328</v>
          </cell>
          <cell r="AU147">
            <v>-88.671300046062328</v>
          </cell>
          <cell r="AY147">
            <v>27.795000000000002</v>
          </cell>
          <cell r="AZ147">
            <v>4.8390000000000004</v>
          </cell>
          <cell r="BB147">
            <v>-6.8229691363678069E-2</v>
          </cell>
        </row>
        <row r="148">
          <cell r="A148" t="str">
            <v>EXPR2009</v>
          </cell>
          <cell r="B148" t="str">
            <v>EXPR</v>
          </cell>
          <cell r="C148">
            <v>2009</v>
          </cell>
          <cell r="D148">
            <v>6</v>
          </cell>
          <cell r="E148">
            <v>7</v>
          </cell>
          <cell r="F148">
            <v>1616.6420000000003</v>
          </cell>
          <cell r="G148">
            <v>1721.0660000000003</v>
          </cell>
          <cell r="H148">
            <v>-0.06</v>
          </cell>
          <cell r="J148">
            <v>7.3696767003706018E-2</v>
          </cell>
          <cell r="L148">
            <v>151.12200000000001</v>
          </cell>
          <cell r="N148">
            <v>9.347895204999003E-2</v>
          </cell>
          <cell r="P148">
            <v>8.7807207858385444E-2</v>
          </cell>
          <cell r="R148">
            <v>0.5</v>
          </cell>
          <cell r="S148">
            <v>226.68300000000002</v>
          </cell>
          <cell r="U148">
            <v>0.14021842807498505</v>
          </cell>
          <cell r="W148">
            <v>0.13171081178757815</v>
          </cell>
          <cell r="Y148">
            <v>-88.671300046062328</v>
          </cell>
          <cell r="AA148">
            <v>-28.27270529899728</v>
          </cell>
          <cell r="AC148">
            <v>577</v>
          </cell>
          <cell r="AE148">
            <v>5.0132534999999994</v>
          </cell>
          <cell r="AG148">
            <v>8716.4171029668414</v>
          </cell>
          <cell r="AH148" t="e">
            <v>#N/A</v>
          </cell>
          <cell r="AI148">
            <v>0</v>
          </cell>
          <cell r="AK148">
            <v>0.39286481802426348</v>
          </cell>
          <cell r="AM148">
            <v>45.216743976740865</v>
          </cell>
          <cell r="AO148">
            <v>322.4736191776459</v>
          </cell>
          <cell r="AP148">
            <v>343.30320619134869</v>
          </cell>
          <cell r="AR148">
            <v>-43.415306569644926</v>
          </cell>
          <cell r="AS148">
            <v>-1.1986301369863006E-2</v>
          </cell>
          <cell r="AU148">
            <v>-132.08660661570724</v>
          </cell>
          <cell r="AY148">
            <v>92.224000000000004</v>
          </cell>
          <cell r="AZ148">
            <v>12.2</v>
          </cell>
          <cell r="BA148">
            <v>-1.4497051307253872E-2</v>
          </cell>
          <cell r="BB148">
            <v>-1.4497051307253872E-2</v>
          </cell>
          <cell r="BC148">
            <v>0</v>
          </cell>
        </row>
        <row r="149">
          <cell r="A149" t="str">
            <v>EXPR2010</v>
          </cell>
          <cell r="B149" t="str">
            <v>EXPR</v>
          </cell>
          <cell r="C149">
            <v>2010</v>
          </cell>
          <cell r="D149">
            <v>7</v>
          </cell>
          <cell r="E149">
            <v>8</v>
          </cell>
          <cell r="F149">
            <v>1740.8140000000001</v>
          </cell>
          <cell r="G149">
            <v>1905.8140000000001</v>
          </cell>
          <cell r="H149">
            <v>7.0000000000000007E-2</v>
          </cell>
          <cell r="J149">
            <v>0.11318733097773451</v>
          </cell>
          <cell r="L149">
            <v>163.65200000000002</v>
          </cell>
          <cell r="N149">
            <v>9.4008894689495845E-2</v>
          </cell>
          <cell r="P149">
            <v>8.5869869777428443E-2</v>
          </cell>
          <cell r="R149">
            <v>0.5377263950333635</v>
          </cell>
          <cell r="S149">
            <v>251.65200000000002</v>
          </cell>
          <cell r="U149">
            <v>0.14455995873194954</v>
          </cell>
          <cell r="W149">
            <v>0.13204436529482941</v>
          </cell>
          <cell r="Y149">
            <v>-43.415306569644926</v>
          </cell>
          <cell r="AA149">
            <v>-3.3355350725125521</v>
          </cell>
          <cell r="AC149">
            <v>582</v>
          </cell>
          <cell r="AE149">
            <v>5.0612534999999994</v>
          </cell>
          <cell r="AG149">
            <v>8676.8189509306267</v>
          </cell>
          <cell r="AH149" t="e">
            <v>#N/A</v>
          </cell>
          <cell r="AI149">
            <v>0</v>
          </cell>
          <cell r="AK149">
            <v>0.4323917525773196</v>
          </cell>
          <cell r="AM149">
            <v>49.721279520972431</v>
          </cell>
          <cell r="AO149">
            <v>343.94918175902478</v>
          </cell>
          <cell r="AP149">
            <v>376.54980134861853</v>
          </cell>
          <cell r="AR149">
            <v>12.849196407395958</v>
          </cell>
          <cell r="AS149">
            <v>8.6655112651645716E-3</v>
          </cell>
          <cell r="AY149">
            <v>147.5</v>
          </cell>
          <cell r="AZ149">
            <v>17.5</v>
          </cell>
          <cell r="BA149">
            <v>9.5746205532993844E-3</v>
          </cell>
          <cell r="BB149">
            <v>9.5746205532993844E-3</v>
          </cell>
          <cell r="BC149">
            <v>0</v>
          </cell>
        </row>
        <row r="150">
          <cell r="A150" t="str">
            <v>EXPR2011</v>
          </cell>
          <cell r="B150" t="str">
            <v>EXPR</v>
          </cell>
          <cell r="C150">
            <v>2011</v>
          </cell>
          <cell r="D150">
            <v>8</v>
          </cell>
          <cell r="E150">
            <v>9</v>
          </cell>
          <cell r="F150">
            <v>1846.3230000000001</v>
          </cell>
          <cell r="G150">
            <v>2073.355</v>
          </cell>
          <cell r="H150">
            <v>3.4999999999999996E-2</v>
          </cell>
          <cell r="J150">
            <v>0.13116760033858166</v>
          </cell>
          <cell r="L150">
            <v>171.43200000000002</v>
          </cell>
          <cell r="N150">
            <v>9.2850492573617951E-2</v>
          </cell>
          <cell r="P150">
            <v>8.2683380318372884E-2</v>
          </cell>
          <cell r="R150">
            <v>0.54307247188389574</v>
          </cell>
          <cell r="S150">
            <v>264.53200000000004</v>
          </cell>
          <cell r="U150">
            <v>0.14327503909120995</v>
          </cell>
          <cell r="W150">
            <v>0.12758644805158789</v>
          </cell>
          <cell r="Y150">
            <v>12.849196407395958</v>
          </cell>
          <cell r="AA150">
            <v>44.579172432415163</v>
          </cell>
          <cell r="AC150">
            <v>600</v>
          </cell>
          <cell r="AE150">
            <v>5.1974999999999998</v>
          </cell>
          <cell r="AG150">
            <v>8648.6042692939245</v>
          </cell>
          <cell r="AH150" t="e">
            <v>#N/A</v>
          </cell>
          <cell r="AI150">
            <v>0</v>
          </cell>
          <cell r="AK150">
            <v>0.4408866666666667</v>
          </cell>
          <cell r="AM150">
            <v>50.896007696007707</v>
          </cell>
          <cell r="AO150">
            <v>355.23290043290046</v>
          </cell>
          <cell r="AP150">
            <v>398.91390091390093</v>
          </cell>
          <cell r="AR150">
            <v>-118.22919894172695</v>
          </cell>
          <cell r="AS150">
            <v>3.0927835051546282E-2</v>
          </cell>
          <cell r="AY150">
            <v>205.489</v>
          </cell>
          <cell r="AZ150">
            <v>21.542999999999999</v>
          </cell>
          <cell r="BA150">
            <v>2.6919517072203636E-2</v>
          </cell>
          <cell r="BB150">
            <v>2.6919517072203636E-2</v>
          </cell>
          <cell r="BC150">
            <v>0</v>
          </cell>
        </row>
        <row r="151">
          <cell r="A151" t="str">
            <v>EXPR2012</v>
          </cell>
          <cell r="B151" t="str">
            <v>EXPR</v>
          </cell>
          <cell r="C151">
            <v>2012</v>
          </cell>
          <cell r="D151">
            <v>9</v>
          </cell>
          <cell r="E151">
            <v>10</v>
          </cell>
          <cell r="F151">
            <v>1853.38996</v>
          </cell>
          <cell r="G151">
            <v>2148.069</v>
          </cell>
          <cell r="H151">
            <v>-3.5691284786031452E-2</v>
          </cell>
          <cell r="J151">
            <v>0.11711122873613471</v>
          </cell>
          <cell r="L151">
            <v>188.75700000000001</v>
          </cell>
          <cell r="N151">
            <v>0.10184419041527559</v>
          </cell>
          <cell r="P151">
            <v>8.7872875591985172E-2</v>
          </cell>
          <cell r="R151">
            <v>0.52289451517029817</v>
          </cell>
          <cell r="S151">
            <v>287.45699999999999</v>
          </cell>
          <cell r="U151">
            <v>0.15509795898538264</v>
          </cell>
          <cell r="W151">
            <v>0.13382112027127621</v>
          </cell>
          <cell r="Y151">
            <v>-118.22919894172695</v>
          </cell>
          <cell r="AA151">
            <v>-62.346722196883199</v>
          </cell>
          <cell r="AC151">
            <v>617</v>
          </cell>
          <cell r="AE151">
            <v>5.3366000000000007</v>
          </cell>
          <cell r="AG151">
            <v>8649.92</v>
          </cell>
          <cell r="AH151" t="e">
            <v>#N/A</v>
          </cell>
          <cell r="AI151">
            <v>0</v>
          </cell>
          <cell r="AK151">
            <v>0.46589465153970827</v>
          </cell>
          <cell r="AM151">
            <v>53.865195068020832</v>
          </cell>
          <cell r="AO151">
            <v>347.29789753775805</v>
          </cell>
          <cell r="AP151">
            <v>402.51639620732294</v>
          </cell>
          <cell r="AR151">
            <v>-217.36752031957073</v>
          </cell>
          <cell r="AS151">
            <v>2.8333333333333321E-2</v>
          </cell>
          <cell r="AY151">
            <v>271.38663999999994</v>
          </cell>
          <cell r="AZ151">
            <v>23.292400000000001</v>
          </cell>
          <cell r="BA151">
            <v>2.6762866762866988E-2</v>
          </cell>
        </row>
        <row r="152">
          <cell r="A152" t="str">
            <v>EXPR2013</v>
          </cell>
          <cell r="B152" t="str">
            <v>EXPR</v>
          </cell>
          <cell r="C152" t="str">
            <v>2013e</v>
          </cell>
          <cell r="D152">
            <v>10</v>
          </cell>
          <cell r="E152">
            <v>11</v>
          </cell>
          <cell r="F152">
            <v>1809.6134646735793</v>
          </cell>
          <cell r="G152">
            <v>2186.5955326735793</v>
          </cell>
          <cell r="H152">
            <v>-2.4816328423849843E-2</v>
          </cell>
          <cell r="J152">
            <v>0.10555055677883954</v>
          </cell>
          <cell r="L152">
            <v>210.81996863447199</v>
          </cell>
          <cell r="N152">
            <v>0.11650000000000001</v>
          </cell>
          <cell r="P152">
            <v>9.641470746841764E-2</v>
          </cell>
          <cell r="R152">
            <v>0.51789451517029816</v>
          </cell>
          <cell r="S152">
            <v>320.0024740786393</v>
          </cell>
          <cell r="U152">
            <v>0.17683471101733972</v>
          </cell>
          <cell r="W152">
            <v>0.1463473556480599</v>
          </cell>
          <cell r="Y152">
            <v>-217.36752031957073</v>
          </cell>
          <cell r="AA152">
            <v>-125.26235376783684</v>
          </cell>
          <cell r="AC152">
            <v>628.5</v>
          </cell>
          <cell r="AE152">
            <v>5.4376999999999995</v>
          </cell>
          <cell r="AG152">
            <v>8653.7974683544289</v>
          </cell>
          <cell r="AH152" t="e">
            <v>#N/A</v>
          </cell>
          <cell r="AI152">
            <v>2.1105301925004265</v>
          </cell>
          <cell r="AK152">
            <v>0.50915270338685648</v>
          </cell>
          <cell r="AM152">
            <v>58.848865159651936</v>
          </cell>
          <cell r="AO152">
            <v>332.79023570141408</v>
          </cell>
          <cell r="AP152">
            <v>402.11772121918818</v>
          </cell>
          <cell r="AY152">
            <v>353.68966799999998</v>
          </cell>
          <cell r="AZ152">
            <v>23.292400000000001</v>
          </cell>
          <cell r="BA152">
            <v>1.8944646404077226E-2</v>
          </cell>
        </row>
        <row r="153">
          <cell r="C153" t="str">
            <v>2008 = Trough rent</v>
          </cell>
          <cell r="F153">
            <v>1846.3230000000001</v>
          </cell>
          <cell r="G153">
            <v>2073.355</v>
          </cell>
          <cell r="H153">
            <v>3.4999999999999996E-2</v>
          </cell>
          <cell r="J153">
            <v>0.13116760033858166</v>
          </cell>
          <cell r="L153">
            <v>171.43200000000002</v>
          </cell>
          <cell r="N153">
            <v>9.2850492573617951E-2</v>
          </cell>
          <cell r="P153">
            <v>8.2683380318372884E-2</v>
          </cell>
          <cell r="S153">
            <v>264.53200000000004</v>
          </cell>
          <cell r="U153">
            <v>0.14327503909120995</v>
          </cell>
          <cell r="W153">
            <v>0.12758644805158789</v>
          </cell>
          <cell r="Z153">
            <v>0</v>
          </cell>
          <cell r="AB153">
            <v>0</v>
          </cell>
          <cell r="AC153">
            <v>600</v>
          </cell>
          <cell r="AE153">
            <v>5.1974999999999998</v>
          </cell>
          <cell r="AG153">
            <v>8648.6042692939245</v>
          </cell>
          <cell r="AH153" t="e">
            <v>#N/A</v>
          </cell>
          <cell r="AI153" t="e">
            <v>#N/A</v>
          </cell>
          <cell r="AK153">
            <v>0.4408866666666667</v>
          </cell>
          <cell r="AM153">
            <v>50.896007696007707</v>
          </cell>
          <cell r="AO153">
            <v>355.23290043290046</v>
          </cell>
          <cell r="AP153">
            <v>398.91390091390093</v>
          </cell>
          <cell r="AR153">
            <v>-5.747083333487564E-2</v>
          </cell>
          <cell r="AS153">
            <v>42204</v>
          </cell>
          <cell r="AT153">
            <v>30818</v>
          </cell>
          <cell r="AU153">
            <v>21185</v>
          </cell>
          <cell r="AV153" t="str">
            <v>total rent expense</v>
          </cell>
        </row>
        <row r="155">
          <cell r="A155" t="str">
            <v>GES2008</v>
          </cell>
          <cell r="B155" t="str">
            <v>GES</v>
          </cell>
          <cell r="C155" t="str">
            <v>2008 (Retail est.)</v>
          </cell>
          <cell r="D155">
            <v>1</v>
          </cell>
          <cell r="E155">
            <v>1</v>
          </cell>
          <cell r="F155">
            <v>1059.172</v>
          </cell>
          <cell r="H155">
            <v>0.01</v>
          </cell>
          <cell r="J155">
            <v>0.16769880433172976</v>
          </cell>
          <cell r="L155">
            <v>79.7</v>
          </cell>
          <cell r="N155">
            <v>7.5247457447893254E-2</v>
          </cell>
          <cell r="P155" t="e">
            <v>#DIV/0!</v>
          </cell>
          <cell r="R155">
            <v>0.46</v>
          </cell>
          <cell r="S155">
            <v>116.36199999999999</v>
          </cell>
          <cell r="U155">
            <v>0.10986128787392416</v>
          </cell>
          <cell r="AC155">
            <v>486</v>
          </cell>
          <cell r="AE155">
            <v>1.9570000000000001</v>
          </cell>
          <cell r="AG155">
            <v>4026.7489711934159</v>
          </cell>
          <cell r="AH155" t="str">
            <v>New Space Productivity</v>
          </cell>
          <cell r="AI155">
            <v>0.43492320044160998</v>
          </cell>
          <cell r="AK155">
            <v>0.23942798353909464</v>
          </cell>
          <cell r="AM155">
            <v>59.459376596831881</v>
          </cell>
          <cell r="AO155">
            <v>541.222278998467</v>
          </cell>
          <cell r="AQ155" t="str">
            <v>We estimated the Retail segments in North America, Europe and Asia for this analysis</v>
          </cell>
          <cell r="AR155">
            <v>-102.48126410714487</v>
          </cell>
          <cell r="AY155">
            <v>77</v>
          </cell>
          <cell r="BB155" t="str">
            <v xml:space="preserve">   % Chg. from LY (Avg. Sq. Ft.)</v>
          </cell>
        </row>
        <row r="156">
          <cell r="A156" t="str">
            <v>GES2009</v>
          </cell>
          <cell r="B156" t="str">
            <v>GES</v>
          </cell>
          <cell r="C156" t="str">
            <v>2009 (Retail est.)</v>
          </cell>
          <cell r="D156">
            <v>2</v>
          </cell>
          <cell r="E156">
            <v>2</v>
          </cell>
          <cell r="F156">
            <v>1097.0414000000001</v>
          </cell>
          <cell r="H156">
            <v>-4.4999999999999998E-2</v>
          </cell>
          <cell r="J156">
            <v>0.17060220835099074</v>
          </cell>
          <cell r="L156">
            <v>90.25</v>
          </cell>
          <cell r="N156">
            <v>8.22667221127662E-2</v>
          </cell>
          <cell r="P156" t="e">
            <v>#DIV/0!</v>
          </cell>
          <cell r="R156">
            <v>0.46</v>
          </cell>
          <cell r="S156">
            <v>131.76499999999999</v>
          </cell>
          <cell r="U156">
            <v>0.12010941428463864</v>
          </cell>
          <cell r="Y156">
            <v>-102.48126410714487</v>
          </cell>
          <cell r="AA156">
            <v>0</v>
          </cell>
          <cell r="AC156">
            <v>544</v>
          </cell>
          <cell r="AE156" t="e">
            <v>#REF!</v>
          </cell>
          <cell r="AG156" t="e">
            <v>#REF!</v>
          </cell>
          <cell r="AH156">
            <v>0</v>
          </cell>
          <cell r="AI156">
            <v>0.78798285070589347</v>
          </cell>
          <cell r="AK156">
            <v>0.24221507352941174</v>
          </cell>
          <cell r="AM156" t="e">
            <v>#REF!</v>
          </cell>
          <cell r="AO156" t="e">
            <v>#REF!</v>
          </cell>
          <cell r="AR156">
            <v>-62.844299757922329</v>
          </cell>
          <cell r="AS156">
            <v>0.11934156378600824</v>
          </cell>
          <cell r="AY156">
            <v>187</v>
          </cell>
          <cell r="BA156" t="e">
            <v>#REF!</v>
          </cell>
          <cell r="BB156">
            <v>0</v>
          </cell>
          <cell r="BC156" t="e">
            <v>#REF!</v>
          </cell>
        </row>
        <row r="157">
          <cell r="A157" t="str">
            <v>GES2010</v>
          </cell>
          <cell r="B157" t="str">
            <v>GES</v>
          </cell>
          <cell r="C157" t="str">
            <v>2010 (Retail est.)</v>
          </cell>
          <cell r="D157">
            <v>3</v>
          </cell>
          <cell r="E157">
            <v>3</v>
          </cell>
          <cell r="F157">
            <v>1257.9251856000001</v>
          </cell>
          <cell r="H157">
            <v>2.9362094153340568E-2</v>
          </cell>
          <cell r="J157">
            <v>0.16501949508180375</v>
          </cell>
          <cell r="L157">
            <v>108.9</v>
          </cell>
          <cell r="N157">
            <v>8.6571126205774576E-2</v>
          </cell>
          <cell r="P157" t="e">
            <v>#DIV/0!</v>
          </cell>
          <cell r="R157">
            <v>0.46</v>
          </cell>
          <cell r="S157">
            <v>158.994</v>
          </cell>
          <cell r="U157">
            <v>0.12639384426043088</v>
          </cell>
          <cell r="Y157">
            <v>-62.844299757922329</v>
          </cell>
          <cell r="AA157">
            <v>0</v>
          </cell>
          <cell r="AC157">
            <v>649</v>
          </cell>
          <cell r="AE157">
            <v>2.3588819485573187</v>
          </cell>
          <cell r="AG157">
            <v>3634.6409068679795</v>
          </cell>
          <cell r="AH157">
            <v>0.96214405267680603</v>
          </cell>
          <cell r="AI157">
            <v>0</v>
          </cell>
          <cell r="AK157">
            <v>0.24498305084745764</v>
          </cell>
          <cell r="AM157">
            <v>67.402270850069456</v>
          </cell>
          <cell r="AO157">
            <v>533.27178427447006</v>
          </cell>
          <cell r="AR157">
            <v>20.175879807164677</v>
          </cell>
          <cell r="AS157">
            <v>0.19301470588235303</v>
          </cell>
          <cell r="AY157">
            <v>246</v>
          </cell>
          <cell r="BA157" t="e">
            <v>#REF!</v>
          </cell>
          <cell r="BB157">
            <v>0.1793647733844359</v>
          </cell>
        </row>
        <row r="158">
          <cell r="A158" t="str">
            <v>GES2011</v>
          </cell>
          <cell r="B158" t="str">
            <v>GES</v>
          </cell>
          <cell r="C158" t="str">
            <v>2011e (Retail est.)</v>
          </cell>
          <cell r="D158">
            <v>4</v>
          </cell>
          <cell r="E158">
            <v>4</v>
          </cell>
          <cell r="F158">
            <v>1387.4478457788143</v>
          </cell>
          <cell r="H158">
            <v>5.2110137308240311E-3</v>
          </cell>
          <cell r="J158">
            <v>0.17670686903107405</v>
          </cell>
          <cell r="L158">
            <v>118.19559509679691</v>
          </cell>
          <cell r="N158">
            <v>8.5189216629941375E-2</v>
          </cell>
          <cell r="P158" t="e">
            <v>#DIV/0!</v>
          </cell>
          <cell r="R158">
            <v>0.46</v>
          </cell>
          <cell r="S158">
            <v>172.56556884132348</v>
          </cell>
          <cell r="U158">
            <v>0.12437625627971441</v>
          </cell>
          <cell r="Y158">
            <v>20.175879807164677</v>
          </cell>
          <cell r="AA158">
            <v>0</v>
          </cell>
          <cell r="AC158">
            <v>734</v>
          </cell>
          <cell r="AE158">
            <v>2.6352000982941619</v>
          </cell>
          <cell r="AG158">
            <v>3590.1908696105747</v>
          </cell>
          <cell r="AH158">
            <v>0.74590303296455585</v>
          </cell>
          <cell r="AI158">
            <v>0</v>
          </cell>
          <cell r="AK158">
            <v>0.2351029548246914</v>
          </cell>
          <cell r="AM158">
            <v>65.484806619819864</v>
          </cell>
          <cell r="AO158">
            <v>526.50568990072054</v>
          </cell>
          <cell r="AS158">
            <v>0.13097072419106315</v>
          </cell>
          <cell r="AY158">
            <v>301</v>
          </cell>
          <cell r="BA158">
            <v>0.1171394566420918</v>
          </cell>
        </row>
        <row r="159">
          <cell r="C159" t="str">
            <v>2008 = Trough rent</v>
          </cell>
          <cell r="F159">
            <v>1059.172</v>
          </cell>
          <cell r="H159">
            <v>0.01</v>
          </cell>
          <cell r="I159">
            <v>0</v>
          </cell>
          <cell r="J159">
            <v>0.16769880433172976</v>
          </cell>
          <cell r="K159">
            <v>0</v>
          </cell>
          <cell r="L159">
            <v>79.7</v>
          </cell>
          <cell r="M159">
            <v>0</v>
          </cell>
          <cell r="N159">
            <v>7.5247457447893254E-2</v>
          </cell>
          <cell r="O159">
            <v>0</v>
          </cell>
          <cell r="P159" t="e">
            <v>#DIV/0!</v>
          </cell>
          <cell r="Q159">
            <v>0</v>
          </cell>
          <cell r="S159">
            <v>116.36199999999999</v>
          </cell>
          <cell r="U159">
            <v>0.10986128787392416</v>
          </cell>
          <cell r="Z159">
            <v>0</v>
          </cell>
          <cell r="AB159">
            <v>0</v>
          </cell>
          <cell r="AC159">
            <v>486</v>
          </cell>
          <cell r="AD159">
            <v>0</v>
          </cell>
          <cell r="AE159">
            <v>1.9570000000000001</v>
          </cell>
          <cell r="AF159">
            <v>0</v>
          </cell>
          <cell r="AG159">
            <v>4026.7489711934159</v>
          </cell>
          <cell r="AH159" t="e">
            <v>#N/A</v>
          </cell>
          <cell r="AI159" t="e">
            <v>#N/A</v>
          </cell>
          <cell r="AJ159">
            <v>0</v>
          </cell>
          <cell r="AK159">
            <v>0.23942798353909464</v>
          </cell>
          <cell r="AL159">
            <v>0</v>
          </cell>
          <cell r="AM159">
            <v>59.459376596831881</v>
          </cell>
          <cell r="AN159">
            <v>0</v>
          </cell>
          <cell r="AO159">
            <v>541.222278998467</v>
          </cell>
          <cell r="AR159">
            <v>2.90340401926098E-3</v>
          </cell>
          <cell r="AT159" t="str">
            <v>Adjusted Rent Expense Increase Assumption</v>
          </cell>
        </row>
        <row r="161">
          <cell r="C161">
            <v>1999</v>
          </cell>
          <cell r="D161">
            <v>3</v>
          </cell>
          <cell r="E161">
            <v>2</v>
          </cell>
          <cell r="F161">
            <v>469.63400000000001</v>
          </cell>
          <cell r="H161" t="e">
            <v>#REF!</v>
          </cell>
          <cell r="J161">
            <v>5.3551637413813344E-2</v>
          </cell>
          <cell r="L161">
            <v>39.473999999999997</v>
          </cell>
          <cell r="N161">
            <v>8.4052687837763013E-2</v>
          </cell>
          <cell r="P161" t="e">
            <v>#DIV/0!</v>
          </cell>
          <cell r="S161">
            <v>57.892512208355939</v>
          </cell>
          <cell r="U161">
            <v>0.12327155233299961</v>
          </cell>
          <cell r="AC161">
            <v>116.5</v>
          </cell>
          <cell r="AE161" t="e">
            <v>#REF!</v>
          </cell>
          <cell r="AG161">
            <v>5430.8943089430895</v>
          </cell>
          <cell r="AH161" t="e">
            <v>#REF!</v>
          </cell>
          <cell r="AK161">
            <v>0.49693143526485783</v>
          </cell>
          <cell r="AM161" t="e">
            <v>#REF!</v>
          </cell>
          <cell r="AO161">
            <v>610.32195121951224</v>
          </cell>
          <cell r="AY161">
            <v>278.55700000000002</v>
          </cell>
          <cell r="AZ161">
            <v>2.5049999999999999</v>
          </cell>
          <cell r="BA161" t="str">
            <v>Internet/Catalog/Other</v>
          </cell>
        </row>
        <row r="162">
          <cell r="C162">
            <v>2000</v>
          </cell>
          <cell r="D162">
            <v>4</v>
          </cell>
          <cell r="E162">
            <v>3</v>
          </cell>
          <cell r="F162">
            <v>502.89800000000002</v>
          </cell>
          <cell r="H162">
            <v>6.9999999999999993E-3</v>
          </cell>
          <cell r="J162">
            <v>7.288477254154184E-2</v>
          </cell>
          <cell r="L162">
            <v>45.137999999999998</v>
          </cell>
          <cell r="N162">
            <v>8.9755775525056758E-2</v>
          </cell>
          <cell r="P162" t="e">
            <v>#DIV/0!</v>
          </cell>
          <cell r="S162">
            <v>66.19932654559382</v>
          </cell>
          <cell r="U162">
            <v>0.13163569261678076</v>
          </cell>
          <cell r="Y162">
            <v>-83.641402837811569</v>
          </cell>
          <cell r="AA162">
            <v>0</v>
          </cell>
          <cell r="AC162">
            <v>134.5</v>
          </cell>
          <cell r="AE162">
            <v>0.88123250000000009</v>
          </cell>
          <cell r="AG162">
            <v>7496.3356164383558</v>
          </cell>
          <cell r="AH162" t="e">
            <v>#DIV/0!</v>
          </cell>
          <cell r="AK162">
            <v>0.49218830145422915</v>
          </cell>
          <cell r="AM162">
            <v>75.121294942701056</v>
          </cell>
          <cell r="AO162">
            <v>567</v>
          </cell>
          <cell r="AY162">
            <v>284.76</v>
          </cell>
          <cell r="AZ162">
            <v>38.317</v>
          </cell>
        </row>
        <row r="163">
          <cell r="C163">
            <v>2001</v>
          </cell>
          <cell r="D163">
            <v>5</v>
          </cell>
          <cell r="E163">
            <v>4</v>
          </cell>
          <cell r="F163">
            <v>483.08300000000008</v>
          </cell>
          <cell r="H163">
            <v>-0.14499999999999999</v>
          </cell>
          <cell r="J163">
            <v>2.5710209013548715E-2</v>
          </cell>
          <cell r="L163">
            <v>38.326000000000001</v>
          </cell>
          <cell r="N163">
            <v>7.9336263126626255E-2</v>
          </cell>
          <cell r="P163" t="e">
            <v>#DIV/0!</v>
          </cell>
          <cell r="S163">
            <v>56.208857042545723</v>
          </cell>
          <cell r="U163">
            <v>0.11635445056552542</v>
          </cell>
          <cell r="Y163">
            <v>152.81242051255347</v>
          </cell>
          <cell r="AA163">
            <v>0</v>
          </cell>
          <cell r="AC163">
            <v>161.5</v>
          </cell>
          <cell r="AE163">
            <v>1.2045345000000001</v>
          </cell>
          <cell r="AG163">
            <v>7427.1412429378543</v>
          </cell>
          <cell r="AH163">
            <v>0.28783217304471503</v>
          </cell>
          <cell r="AK163">
            <v>0.34804245846777537</v>
          </cell>
          <cell r="AM163">
            <v>46.664381171768611</v>
          </cell>
          <cell r="AO163">
            <v>412</v>
          </cell>
          <cell r="AY163">
            <v>258.197</v>
          </cell>
          <cell r="AZ163">
            <v>36.659999999999997</v>
          </cell>
        </row>
        <row r="164">
          <cell r="C164">
            <v>2002</v>
          </cell>
          <cell r="D164">
            <v>6</v>
          </cell>
          <cell r="E164">
            <v>5</v>
          </cell>
          <cell r="F164">
            <v>484.29200000000003</v>
          </cell>
          <cell r="H164">
            <v>-0.11199999999999999</v>
          </cell>
          <cell r="J164">
            <v>-7.3352560832126842E-3</v>
          </cell>
          <cell r="L164">
            <v>41.656999999999996</v>
          </cell>
          <cell r="N164">
            <v>8.6016287694201013E-2</v>
          </cell>
          <cell r="P164" t="e">
            <v>#DIV/0!</v>
          </cell>
          <cell r="S164">
            <v>61.094096900833037</v>
          </cell>
          <cell r="U164">
            <v>0.12615136508724703</v>
          </cell>
          <cell r="Y164">
            <v>-97.969145217216138</v>
          </cell>
          <cell r="AA164">
            <v>0</v>
          </cell>
          <cell r="AC164">
            <v>185.5</v>
          </cell>
          <cell r="AE164">
            <v>1.3755295000000001</v>
          </cell>
          <cell r="AG164">
            <v>7404.4072164948457</v>
          </cell>
          <cell r="AH164">
            <v>0.80658746168346129</v>
          </cell>
          <cell r="AK164">
            <v>0.32934823127133711</v>
          </cell>
          <cell r="AM164">
            <v>44.414966673439601</v>
          </cell>
          <cell r="AO164">
            <v>349</v>
          </cell>
          <cell r="AY164">
            <v>247.98699999999999</v>
          </cell>
          <cell r="AZ164">
            <v>36.064999999999998</v>
          </cell>
        </row>
        <row r="165">
          <cell r="C165">
            <v>2003</v>
          </cell>
          <cell r="D165">
            <v>7</v>
          </cell>
          <cell r="E165">
            <v>6</v>
          </cell>
          <cell r="F165">
            <v>487.09200000000004</v>
          </cell>
          <cell r="H165">
            <v>-2.5000000000000001E-2</v>
          </cell>
          <cell r="J165">
            <v>-4.4603711782481688E-2</v>
          </cell>
          <cell r="L165">
            <v>42.997</v>
          </cell>
          <cell r="N165">
            <v>8.8272851945833633E-2</v>
          </cell>
          <cell r="P165" t="e">
            <v>#DIV/0!</v>
          </cell>
          <cell r="S165">
            <v>63.059338993329291</v>
          </cell>
          <cell r="U165">
            <v>0.12946083900644906</v>
          </cell>
          <cell r="Y165">
            <v>-33.09473919202027</v>
          </cell>
          <cell r="AA165">
            <v>0</v>
          </cell>
          <cell r="AC165">
            <v>195</v>
          </cell>
          <cell r="AE165">
            <v>1.4415900000000001</v>
          </cell>
          <cell r="AG165">
            <v>7381.25</v>
          </cell>
          <cell r="AH165">
            <v>0.64094350180489401</v>
          </cell>
          <cell r="AK165">
            <v>0.32338122560681687</v>
          </cell>
          <cell r="AM165">
            <v>43.742908173148599</v>
          </cell>
          <cell r="AO165">
            <v>338</v>
          </cell>
          <cell r="AY165">
            <v>173.536</v>
          </cell>
          <cell r="AZ165">
            <v>29.337</v>
          </cell>
        </row>
        <row r="166">
          <cell r="C166">
            <v>2004</v>
          </cell>
          <cell r="D166">
            <v>8</v>
          </cell>
          <cell r="E166">
            <v>7</v>
          </cell>
          <cell r="F166">
            <v>579.79300000000001</v>
          </cell>
          <cell r="H166">
            <v>0.16300000000000001</v>
          </cell>
          <cell r="J166">
            <v>4.6805833258726504E-2</v>
          </cell>
          <cell r="L166">
            <v>46.582999999999998</v>
          </cell>
          <cell r="N166">
            <v>8.0344191806386064E-2</v>
          </cell>
          <cell r="P166" t="e">
            <v>#DIV/0!</v>
          </cell>
          <cell r="S166">
            <v>68.318561488621498</v>
          </cell>
          <cell r="U166">
            <v>0.11783267733246434</v>
          </cell>
          <cell r="Y166">
            <v>116.28161673984714</v>
          </cell>
          <cell r="AA166">
            <v>0</v>
          </cell>
          <cell r="AC166">
            <v>196.5</v>
          </cell>
          <cell r="AE166">
            <v>1.4517545000000001</v>
          </cell>
          <cell r="AG166">
            <v>7394.8426395939086</v>
          </cell>
          <cell r="AH166">
            <v>3.7886887830029083</v>
          </cell>
          <cell r="AK166">
            <v>0.34767715770290841</v>
          </cell>
          <cell r="AM166">
            <v>47.05930754037373</v>
          </cell>
          <cell r="AO166">
            <v>400</v>
          </cell>
          <cell r="AY166">
            <v>198.50200000000001</v>
          </cell>
          <cell r="AZ166">
            <v>25.920999999999999</v>
          </cell>
        </row>
        <row r="167">
          <cell r="A167" t="str">
            <v>JCG</v>
          </cell>
          <cell r="B167" t="str">
            <v>JCG</v>
          </cell>
          <cell r="C167" t="str">
            <v>2005 (ex. Internet/cat.)</v>
          </cell>
          <cell r="D167">
            <v>9</v>
          </cell>
          <cell r="E167">
            <v>8</v>
          </cell>
          <cell r="F167">
            <v>670.44699999999989</v>
          </cell>
          <cell r="H167">
            <v>0.13400000000000001</v>
          </cell>
          <cell r="J167">
            <v>8.3401175843590095E-2</v>
          </cell>
          <cell r="L167">
            <v>49.143999999999998</v>
          </cell>
          <cell r="N167">
            <v>7.3300350363265113E-2</v>
          </cell>
          <cell r="P167" t="e">
            <v>#DIV/0!</v>
          </cell>
          <cell r="R167">
            <v>0.46659857648973868</v>
          </cell>
          <cell r="S167">
            <v>72.074520443011721</v>
          </cell>
          <cell r="U167">
            <v>0.10750218949896373</v>
          </cell>
          <cell r="Y167">
            <v>103.30487833500615</v>
          </cell>
          <cell r="AA167">
            <v>0</v>
          </cell>
          <cell r="AC167">
            <v>200</v>
          </cell>
          <cell r="AE167">
            <v>1.467584</v>
          </cell>
          <cell r="AG167">
            <v>7282.6798029556649</v>
          </cell>
          <cell r="AH167">
            <v>2.1058142610667754</v>
          </cell>
          <cell r="AI167">
            <v>2.1058142610667754</v>
          </cell>
          <cell r="AK167">
            <v>0.36037260221505862</v>
          </cell>
          <cell r="AM167">
            <v>49.111001784573638</v>
          </cell>
          <cell r="AO167">
            <v>459</v>
          </cell>
          <cell r="AQ167" t="str">
            <v>Sales excl. Internet/Catlog/other ($454mm in '08); CAM constitute ~addt'l 50% of min. lease obligations (2008 10-K) imlpying gross up rate of ~47% in 2008A.</v>
          </cell>
          <cell r="AY167">
            <v>253.68200000000002</v>
          </cell>
          <cell r="AZ167">
            <v>29.059000000000001</v>
          </cell>
          <cell r="BA167">
            <v>1.0903703071008186E-2</v>
          </cell>
          <cell r="BB167">
            <v>1.0903703071008186E-2</v>
          </cell>
        </row>
        <row r="168">
          <cell r="A168" t="str">
            <v>JCG2006</v>
          </cell>
          <cell r="B168" t="str">
            <v>JCG</v>
          </cell>
          <cell r="C168" t="str">
            <v>2006  (ex. Internet/cat.)</v>
          </cell>
          <cell r="D168">
            <v>10</v>
          </cell>
          <cell r="E168">
            <v>9</v>
          </cell>
          <cell r="F168">
            <v>808.47800000000007</v>
          </cell>
          <cell r="H168">
            <v>0.13</v>
          </cell>
          <cell r="J168">
            <v>0.10903210742808156</v>
          </cell>
          <cell r="L168">
            <v>54.694000000000003</v>
          </cell>
          <cell r="N168">
            <v>6.7650573052080568E-2</v>
          </cell>
          <cell r="P168" t="e">
            <v>#DIV/0!</v>
          </cell>
          <cell r="R168">
            <v>0.46279299374702876</v>
          </cell>
          <cell r="S168">
            <v>80.006</v>
          </cell>
          <cell r="U168">
            <v>9.8958784283555021E-2</v>
          </cell>
          <cell r="Y168">
            <v>85.434052154087084</v>
          </cell>
          <cell r="AA168">
            <v>0</v>
          </cell>
          <cell r="AC168">
            <v>215</v>
          </cell>
          <cell r="AE168">
            <v>1.5111439999999998</v>
          </cell>
          <cell r="AG168">
            <v>6801.3392070484579</v>
          </cell>
          <cell r="AH168">
            <v>2.5572791593313657</v>
          </cell>
          <cell r="AI168">
            <v>2.5564485413890532</v>
          </cell>
          <cell r="AK168">
            <v>0.37212093023255816</v>
          </cell>
          <cell r="AM168">
            <v>52.943994748349603</v>
          </cell>
          <cell r="AO168">
            <v>535.03107579423283</v>
          </cell>
          <cell r="AR168" t="str">
            <v>DE-LVG</v>
          </cell>
          <cell r="AY168">
            <v>308.58</v>
          </cell>
          <cell r="AZ168">
            <v>35.042999999999999</v>
          </cell>
          <cell r="BA168">
            <v>2.9681435611181195E-2</v>
          </cell>
          <cell r="BB168">
            <v>2.9681435611181195E-2</v>
          </cell>
        </row>
        <row r="169">
          <cell r="A169" t="str">
            <v>JCG2007</v>
          </cell>
          <cell r="B169" t="str">
            <v>JCG</v>
          </cell>
          <cell r="C169" t="str">
            <v>2007  (ex. Internet/cat.)</v>
          </cell>
          <cell r="D169">
            <v>11</v>
          </cell>
          <cell r="E169">
            <v>10</v>
          </cell>
          <cell r="F169">
            <v>914.81</v>
          </cell>
          <cell r="H169">
            <v>0.06</v>
          </cell>
          <cell r="J169">
            <v>0.12922691017305474</v>
          </cell>
          <cell r="L169">
            <v>62.661999999999999</v>
          </cell>
          <cell r="N169">
            <v>6.8497283588941971E-2</v>
          </cell>
          <cell r="P169" t="e">
            <v>#DIV/0!</v>
          </cell>
          <cell r="R169">
            <v>0.46659857648973868</v>
          </cell>
          <cell r="S169">
            <v>91.9</v>
          </cell>
          <cell r="U169">
            <v>0.10045801860495623</v>
          </cell>
          <cell r="Y169">
            <v>-14.992343214012132</v>
          </cell>
          <cell r="AA169">
            <v>0</v>
          </cell>
          <cell r="AC169">
            <v>243.5</v>
          </cell>
          <cell r="AE169">
            <v>1.6159599999999998</v>
          </cell>
          <cell r="AG169">
            <v>6492.3692307692309</v>
          </cell>
          <cell r="AH169">
            <v>1.0305037149500145</v>
          </cell>
          <cell r="AI169">
            <v>1.031129201248854</v>
          </cell>
          <cell r="AK169">
            <v>0.37741273100616018</v>
          </cell>
          <cell r="AM169">
            <v>56.870219559890103</v>
          </cell>
          <cell r="AO169">
            <v>566.10930963637713</v>
          </cell>
          <cell r="AQ169" t="str">
            <v>Sales excl. Internet/Catlog/other ($467mm in '09, $454mm in '08); CAM constitute ~addt'l 50% of min. lease obligations (2009 10-K) imlpying gross up rate of ~47% in 2009A.</v>
          </cell>
          <cell r="AR169">
            <v>-128.07473952334462</v>
          </cell>
          <cell r="AY169">
            <v>377.44299999999998</v>
          </cell>
          <cell r="AZ169">
            <v>42.468999999999994</v>
          </cell>
          <cell r="BA169">
            <v>6.9362019767805094E-2</v>
          </cell>
          <cell r="BB169">
            <v>6.9362019767805094E-2</v>
          </cell>
        </row>
        <row r="170">
          <cell r="A170" t="str">
            <v>JCG2008</v>
          </cell>
          <cell r="B170" t="str">
            <v>JCG</v>
          </cell>
          <cell r="C170" t="str">
            <v>2008  (ex. Internet/cat.)</v>
          </cell>
          <cell r="D170">
            <v>12</v>
          </cell>
          <cell r="E170">
            <v>11</v>
          </cell>
          <cell r="F170">
            <v>974.24199999999996</v>
          </cell>
          <cell r="H170">
            <v>-4.0219360864634061E-2</v>
          </cell>
          <cell r="J170">
            <v>6.9177875461056276E-2</v>
          </cell>
          <cell r="L170">
            <v>74.921999999999997</v>
          </cell>
          <cell r="N170">
            <v>7.690286397014294E-2</v>
          </cell>
          <cell r="P170" t="e">
            <v>#DIV/0!</v>
          </cell>
          <cell r="R170">
            <v>0.47283841862203357</v>
          </cell>
          <cell r="S170">
            <v>110.348</v>
          </cell>
          <cell r="U170">
            <v>0.1132654925572907</v>
          </cell>
          <cell r="Y170">
            <v>-128.07473952334462</v>
          </cell>
          <cell r="AA170">
            <v>0</v>
          </cell>
          <cell r="AC170">
            <v>280</v>
          </cell>
          <cell r="AE170">
            <v>1.7760745</v>
          </cell>
          <cell r="AG170">
            <v>6213.7766666666666</v>
          </cell>
          <cell r="AH170">
            <v>1.0620655465784357</v>
          </cell>
          <cell r="AI170">
            <v>1.061591154427054</v>
          </cell>
          <cell r="AK170">
            <v>0.39410000000000001</v>
          </cell>
          <cell r="AM170">
            <v>62.130276629724712</v>
          </cell>
          <cell r="AO170">
            <v>548.56088525565792</v>
          </cell>
          <cell r="AR170">
            <v>-6.0841115974208382</v>
          </cell>
          <cell r="AS170">
            <v>0.14989733059548249</v>
          </cell>
          <cell r="AY170">
            <v>408.959</v>
          </cell>
          <cell r="AZ170">
            <v>44.769999999999996</v>
          </cell>
          <cell r="BA170">
            <v>9.9083207505136439E-2</v>
          </cell>
          <cell r="BB170">
            <v>9.9083207505136439E-2</v>
          </cell>
        </row>
        <row r="171">
          <cell r="A171" t="str">
            <v>JCG2009</v>
          </cell>
          <cell r="B171" t="str">
            <v>JCG</v>
          </cell>
          <cell r="C171" t="str">
            <v>2009  (ex. Internet/cat.)</v>
          </cell>
          <cell r="D171">
            <v>13</v>
          </cell>
          <cell r="E171">
            <v>12</v>
          </cell>
          <cell r="F171">
            <v>1110.9129999999998</v>
          </cell>
          <cell r="H171">
            <v>0.04</v>
          </cell>
          <cell r="J171">
            <v>3.4523527315379471E-2</v>
          </cell>
          <cell r="L171">
            <v>85.771000000000001</v>
          </cell>
          <cell r="N171">
            <v>7.7207666126870439E-2</v>
          </cell>
          <cell r="P171" t="e">
            <v>#DIV/0!</v>
          </cell>
          <cell r="R171">
            <v>0.47490410511711412</v>
          </cell>
          <cell r="S171">
            <v>126.504</v>
          </cell>
          <cell r="U171">
            <v>0.11387390371703278</v>
          </cell>
          <cell r="Y171">
            <v>-6.0841115974208382</v>
          </cell>
          <cell r="AA171">
            <v>0</v>
          </cell>
          <cell r="AC171">
            <v>310.5</v>
          </cell>
          <cell r="AE171">
            <v>1.9111365</v>
          </cell>
          <cell r="AG171">
            <v>6100.1246105918999</v>
          </cell>
          <cell r="AH171">
            <v>1.3183554539213476</v>
          </cell>
          <cell r="AI171">
            <v>0</v>
          </cell>
          <cell r="AK171">
            <v>0.4074202898550725</v>
          </cell>
          <cell r="AM171">
            <v>66.193074121079263</v>
          </cell>
          <cell r="AO171">
            <v>581.29442873389735</v>
          </cell>
          <cell r="AR171">
            <v>39.582260443175585</v>
          </cell>
          <cell r="AS171">
            <v>0.10892857142857149</v>
          </cell>
          <cell r="AY171">
            <v>428.20500000000004</v>
          </cell>
          <cell r="AZ171">
            <v>38.925000000000004</v>
          </cell>
          <cell r="BA171">
            <v>7.6045233462898043E-2</v>
          </cell>
          <cell r="BB171">
            <v>7.6045233462898043E-2</v>
          </cell>
          <cell r="BC171">
            <v>0</v>
          </cell>
        </row>
        <row r="172">
          <cell r="A172" t="str">
            <v>JCG2010</v>
          </cell>
          <cell r="B172" t="str">
            <v>JCG</v>
          </cell>
          <cell r="C172" t="str">
            <v>2010E  (ex. Internet/cat.)</v>
          </cell>
          <cell r="D172">
            <v>14</v>
          </cell>
          <cell r="E172">
            <v>13</v>
          </cell>
          <cell r="F172">
            <v>1254.8847180750513</v>
          </cell>
          <cell r="H172">
            <v>6.0537742549816559E-2</v>
          </cell>
          <cell r="J172">
            <v>7.4342264470130856E-2</v>
          </cell>
          <cell r="L172">
            <v>93.518964188794527</v>
          </cell>
          <cell r="N172">
            <v>7.4523948568159554E-2</v>
          </cell>
          <cell r="P172" t="e">
            <v>#DIV/0!</v>
          </cell>
          <cell r="R172">
            <v>0.47490410511711412</v>
          </cell>
          <cell r="S172">
            <v>137.93150418835344</v>
          </cell>
          <cell r="U172">
            <v>0.10991567767271522</v>
          </cell>
          <cell r="Y172">
            <v>39.582260443175585</v>
          </cell>
          <cell r="AA172">
            <v>0</v>
          </cell>
          <cell r="AC172">
            <v>328</v>
          </cell>
          <cell r="AE172">
            <v>1.9912364999999999</v>
          </cell>
          <cell r="AG172">
            <v>6042.7850746268659</v>
          </cell>
          <cell r="AH172">
            <v>0.81125378413280969</v>
          </cell>
          <cell r="AI172">
            <v>0</v>
          </cell>
          <cell r="AK172">
            <v>0.42052287862302878</v>
          </cell>
          <cell r="AM172">
            <v>69.26927272996123</v>
          </cell>
          <cell r="AO172">
            <v>611.30028938438932</v>
          </cell>
          <cell r="AR172">
            <v>109.568933891602</v>
          </cell>
          <cell r="AS172">
            <v>5.6360708534621606E-2</v>
          </cell>
          <cell r="AY172">
            <v>467.69704999999999</v>
          </cell>
          <cell r="BA172">
            <v>4.1912233898520501E-2</v>
          </cell>
          <cell r="BB172">
            <v>4.1912233898520501E-2</v>
          </cell>
        </row>
        <row r="173">
          <cell r="C173" t="str">
            <v>2006 = Trough rent</v>
          </cell>
          <cell r="D173">
            <v>12</v>
          </cell>
          <cell r="E173">
            <v>11</v>
          </cell>
          <cell r="F173">
            <v>808.47800000000007</v>
          </cell>
          <cell r="H173">
            <v>0.13</v>
          </cell>
          <cell r="I173">
            <v>0</v>
          </cell>
          <cell r="J173">
            <v>0.10903210742808156</v>
          </cell>
          <cell r="K173">
            <v>0</v>
          </cell>
          <cell r="L173">
            <v>54.694000000000003</v>
          </cell>
          <cell r="M173">
            <v>0</v>
          </cell>
          <cell r="N173">
            <v>6.7650573052080568E-2</v>
          </cell>
          <cell r="O173">
            <v>0</v>
          </cell>
          <cell r="P173" t="e">
            <v>#DIV/0!</v>
          </cell>
          <cell r="Q173">
            <v>0</v>
          </cell>
          <cell r="S173">
            <v>80.006</v>
          </cell>
          <cell r="U173">
            <v>9.8958784283555021E-2</v>
          </cell>
          <cell r="Z173">
            <v>0</v>
          </cell>
          <cell r="AB173">
            <v>0</v>
          </cell>
          <cell r="AC173">
            <v>215</v>
          </cell>
          <cell r="AD173">
            <v>0</v>
          </cell>
          <cell r="AE173">
            <v>1.5111439999999998</v>
          </cell>
          <cell r="AF173">
            <v>0</v>
          </cell>
          <cell r="AG173">
            <v>6801.3392070484579</v>
          </cell>
          <cell r="AH173">
            <v>2.5572791593313657</v>
          </cell>
          <cell r="AI173">
            <v>2.5572791593313657</v>
          </cell>
          <cell r="AJ173">
            <v>0</v>
          </cell>
          <cell r="AK173">
            <v>0.37212093023255816</v>
          </cell>
          <cell r="AL173">
            <v>0</v>
          </cell>
          <cell r="AM173">
            <v>52.943994748349603</v>
          </cell>
          <cell r="AN173">
            <v>0</v>
          </cell>
          <cell r="AO173">
            <v>535.03107579423283</v>
          </cell>
          <cell r="AR173">
            <v>-7.4508580112702089E-2</v>
          </cell>
        </row>
        <row r="175">
          <cell r="J175">
            <v>0.10147888822359201</v>
          </cell>
          <cell r="AI175">
            <v>0</v>
          </cell>
        </row>
        <row r="176">
          <cell r="C176">
            <v>1998</v>
          </cell>
          <cell r="D176">
            <v>10</v>
          </cell>
          <cell r="E176">
            <v>10</v>
          </cell>
          <cell r="F176">
            <v>9054.4619999999995</v>
          </cell>
          <cell r="H176">
            <v>0.17</v>
          </cell>
          <cell r="J176">
            <v>0.14720686883439346</v>
          </cell>
          <cell r="L176">
            <v>547.22900000000004</v>
          </cell>
          <cell r="N176">
            <v>6.0437494795383767E-2</v>
          </cell>
          <cell r="P176" t="str">
            <v>-</v>
          </cell>
          <cell r="S176">
            <v>793.48205000000007</v>
          </cell>
          <cell r="U176">
            <v>8.7634367453306466E-2</v>
          </cell>
          <cell r="AC176">
            <v>2298</v>
          </cell>
          <cell r="AE176">
            <v>17.034850000000002</v>
          </cell>
          <cell r="AG176">
            <v>7606.2449310624497</v>
          </cell>
          <cell r="AH176">
            <v>1.0123668543912279</v>
          </cell>
          <cell r="AI176">
            <v>0</v>
          </cell>
          <cell r="AK176">
            <v>0.34529244995648395</v>
          </cell>
          <cell r="AM176">
            <v>46.579925857873711</v>
          </cell>
          <cell r="AO176">
            <v>531.52578390769497</v>
          </cell>
        </row>
        <row r="177">
          <cell r="A177" t="str">
            <v>GPS1999</v>
          </cell>
          <cell r="C177">
            <v>1999</v>
          </cell>
          <cell r="D177">
            <v>11</v>
          </cell>
          <cell r="E177">
            <v>11</v>
          </cell>
          <cell r="F177">
            <v>11635.398000000001</v>
          </cell>
          <cell r="H177">
            <v>7.0000000000000007E-2</v>
          </cell>
          <cell r="J177">
            <v>0.15613604278942594</v>
          </cell>
          <cell r="L177">
            <v>676.47800000000007</v>
          </cell>
          <cell r="N177">
            <v>5.813965280775097E-2</v>
          </cell>
          <cell r="P177" t="str">
            <v>-</v>
          </cell>
          <cell r="S177">
            <v>980.89310000000012</v>
          </cell>
          <cell r="U177">
            <v>8.4302496571238908E-2</v>
          </cell>
          <cell r="AC177">
            <v>2742</v>
          </cell>
          <cell r="AE177">
            <v>21.367550000000001</v>
          </cell>
          <cell r="AG177">
            <v>7945.0298210735573</v>
          </cell>
          <cell r="AH177">
            <v>0.84549409389814545</v>
          </cell>
          <cell r="AI177">
            <v>0</v>
          </cell>
          <cell r="AK177">
            <v>0.35772906637490887</v>
          </cell>
          <cell r="AM177">
            <v>45.905735566314341</v>
          </cell>
          <cell r="AO177">
            <v>544.53589672189844</v>
          </cell>
        </row>
        <row r="178">
          <cell r="C178">
            <v>2000</v>
          </cell>
          <cell r="D178">
            <v>12</v>
          </cell>
          <cell r="E178">
            <v>12</v>
          </cell>
          <cell r="F178">
            <v>13673.46</v>
          </cell>
          <cell r="H178">
            <v>-0.05</v>
          </cell>
          <cell r="J178">
            <v>0.10566169791698651</v>
          </cell>
          <cell r="L178">
            <v>903.68100000000004</v>
          </cell>
          <cell r="N178">
            <v>6.6090148360400378E-2</v>
          </cell>
          <cell r="P178" t="str">
            <v>-</v>
          </cell>
          <cell r="S178">
            <v>1310.33745</v>
          </cell>
          <cell r="U178">
            <v>9.583071512258054E-2</v>
          </cell>
          <cell r="AC178">
            <v>2933</v>
          </cell>
          <cell r="AE178">
            <v>27.6757685</v>
          </cell>
          <cell r="AG178">
            <v>11015.95400280899</v>
          </cell>
          <cell r="AH178">
            <v>0.76267618195329734</v>
          </cell>
          <cell r="AI178">
            <v>0</v>
          </cell>
          <cell r="AK178">
            <v>0.44675671667234912</v>
          </cell>
          <cell r="AM178">
            <v>47.346018593846814</v>
          </cell>
          <cell r="AO178">
            <v>494.05890933073817</v>
          </cell>
        </row>
        <row r="179">
          <cell r="C179">
            <v>2001</v>
          </cell>
          <cell r="D179">
            <v>13</v>
          </cell>
          <cell r="E179">
            <v>13</v>
          </cell>
          <cell r="F179">
            <v>13847.873</v>
          </cell>
          <cell r="H179">
            <v>-0.129</v>
          </cell>
          <cell r="J179">
            <v>2.4373129360732805E-2</v>
          </cell>
          <cell r="L179">
            <v>950.88400000000001</v>
          </cell>
          <cell r="N179">
            <v>6.8666429855328684E-2</v>
          </cell>
          <cell r="P179" t="str">
            <v>-</v>
          </cell>
          <cell r="S179">
            <v>1378.7818</v>
          </cell>
          <cell r="U179">
            <v>9.9566323290226591E-2</v>
          </cell>
          <cell r="AC179">
            <v>2972.5</v>
          </cell>
          <cell r="AE179">
            <v>33.8534145</v>
          </cell>
          <cell r="AG179">
            <v>11731.802389409106</v>
          </cell>
          <cell r="AH179">
            <v>0.63506306317070149</v>
          </cell>
          <cell r="AI179">
            <v>0</v>
          </cell>
          <cell r="AK179">
            <v>0.46384585365853659</v>
          </cell>
          <cell r="AM179">
            <v>40.727998057625769</v>
          </cell>
          <cell r="AO179">
            <v>409.05395229778077</v>
          </cell>
          <cell r="AS179" t="str">
            <v xml:space="preserve">According to footnote D, rental expense for all operating leases is included in </v>
          </cell>
        </row>
        <row r="180">
          <cell r="C180">
            <v>2002</v>
          </cell>
          <cell r="D180">
            <v>14</v>
          </cell>
          <cell r="E180">
            <v>14</v>
          </cell>
          <cell r="F180">
            <v>14454.708999999999</v>
          </cell>
          <cell r="H180">
            <v>-2.7000000000000003E-2</v>
          </cell>
          <cell r="J180">
            <v>7.0055301701334727E-2</v>
          </cell>
          <cell r="L180">
            <v>938.64700000000005</v>
          </cell>
          <cell r="N180">
            <v>6.4937108038632951E-2</v>
          </cell>
          <cell r="P180" t="str">
            <v>-</v>
          </cell>
          <cell r="S180">
            <v>1361.0381500000001</v>
          </cell>
          <cell r="U180">
            <v>9.4158806656017779E-2</v>
          </cell>
          <cell r="AC180">
            <v>3107</v>
          </cell>
          <cell r="AE180">
            <v>36.792456000000001</v>
          </cell>
          <cell r="AG180">
            <v>11951.081167789542</v>
          </cell>
          <cell r="AH180">
            <v>0.81576020584434494</v>
          </cell>
          <cell r="AI180">
            <v>0</v>
          </cell>
          <cell r="AK180">
            <v>0.43805540714515612</v>
          </cell>
          <cell r="AM180">
            <v>36.992315761687671</v>
          </cell>
          <cell r="AO180">
            <v>392.87154410132331</v>
          </cell>
          <cell r="AS180" t="str">
            <v>amounts shown as rent expense. This does not include CAM, taxes or insurance.</v>
          </cell>
        </row>
        <row r="181">
          <cell r="C181">
            <v>2003</v>
          </cell>
          <cell r="D181">
            <v>15</v>
          </cell>
          <cell r="E181">
            <v>15</v>
          </cell>
          <cell r="F181">
            <v>15853.79</v>
          </cell>
          <cell r="G181">
            <v>15853.79</v>
          </cell>
          <cell r="H181">
            <v>7.2000000000000008E-2</v>
          </cell>
          <cell r="J181">
            <v>0.11858369512905123</v>
          </cell>
          <cell r="L181">
            <v>954.27099999999996</v>
          </cell>
          <cell r="N181">
            <v>6.0191979331125231E-2</v>
          </cell>
          <cell r="P181">
            <v>6.0191979331125231E-2</v>
          </cell>
          <cell r="S181">
            <v>1383.6929499999999</v>
          </cell>
          <cell r="U181">
            <v>8.7278370030131586E-2</v>
          </cell>
          <cell r="W181">
            <v>8.7278370030131586E-2</v>
          </cell>
          <cell r="Y181">
            <v>68.804366258861933</v>
          </cell>
          <cell r="AA181">
            <v>-872.78370030131589</v>
          </cell>
          <cell r="AC181">
            <v>3069.5</v>
          </cell>
          <cell r="AE181">
            <v>36.884861999999998</v>
          </cell>
          <cell r="AG181">
            <v>12084.117802779616</v>
          </cell>
          <cell r="AH181">
            <v>9.870676305541382</v>
          </cell>
          <cell r="AI181">
            <v>0</v>
          </cell>
          <cell r="AK181">
            <v>0.45078773415865775</v>
          </cell>
          <cell r="AM181">
            <v>37.513843755196916</v>
          </cell>
          <cell r="AO181">
            <v>429.81833577146097</v>
          </cell>
          <cell r="AP181">
            <v>429.81833577146097</v>
          </cell>
          <cell r="AS181" t="str">
            <v xml:space="preserve">Per footnote, minimum rent and % rent (or contingent rent) is included. </v>
          </cell>
        </row>
        <row r="182">
          <cell r="C182">
            <v>2004</v>
          </cell>
          <cell r="D182">
            <v>16</v>
          </cell>
          <cell r="E182">
            <v>16</v>
          </cell>
          <cell r="F182">
            <v>16267.401000000002</v>
          </cell>
          <cell r="G182">
            <v>16267.401000000002</v>
          </cell>
          <cell r="H182">
            <v>4.0000000000000001E-3</v>
          </cell>
          <cell r="J182">
            <v>0.12171870601825099</v>
          </cell>
          <cell r="L182">
            <v>966.67</v>
          </cell>
          <cell r="N182">
            <v>5.9423751833498163E-2</v>
          </cell>
          <cell r="P182">
            <v>5.9423751833498163E-2</v>
          </cell>
          <cell r="S182">
            <v>1401.6714999999999</v>
          </cell>
          <cell r="U182">
            <v>8.6164440158572331E-2</v>
          </cell>
          <cell r="W182">
            <v>8.6164440158572331E-2</v>
          </cell>
          <cell r="Y182">
            <v>11.139298715592549</v>
          </cell>
          <cell r="AA182">
            <v>11.139298715592549</v>
          </cell>
          <cell r="AC182">
            <v>3008</v>
          </cell>
          <cell r="AE182">
            <v>36.554566499999993</v>
          </cell>
          <cell r="AG182">
            <v>12221.419171676685</v>
          </cell>
          <cell r="AH182">
            <v>-2.4667400646572251</v>
          </cell>
          <cell r="AI182">
            <v>0</v>
          </cell>
          <cell r="AK182">
            <v>0.46598121675531912</v>
          </cell>
          <cell r="AM182">
            <v>38.344634725732561</v>
          </cell>
          <cell r="AO182">
            <v>445.01693105839473</v>
          </cell>
          <cell r="AP182">
            <v>445.01693105839473</v>
          </cell>
          <cell r="AS182" t="str">
            <v>Also included is rent expense on some HQ facilities and DC's. (2005-10K)</v>
          </cell>
        </row>
        <row r="183">
          <cell r="A183" t="str">
            <v>GPS</v>
          </cell>
          <cell r="B183" t="str">
            <v>GPS</v>
          </cell>
          <cell r="C183" t="str">
            <v>2005 (total revs.)</v>
          </cell>
          <cell r="D183">
            <v>17</v>
          </cell>
          <cell r="E183">
            <v>17</v>
          </cell>
          <cell r="F183">
            <v>16023.38</v>
          </cell>
          <cell r="G183">
            <v>16023.38</v>
          </cell>
          <cell r="H183">
            <v>-5.0999999999999997E-2</v>
          </cell>
          <cell r="J183">
            <v>0.10885774412140264</v>
          </cell>
          <cell r="L183">
            <v>1004.677</v>
          </cell>
          <cell r="N183">
            <v>6.2700691115108051E-2</v>
          </cell>
          <cell r="P183">
            <v>6.2700691115108051E-2</v>
          </cell>
          <cell r="R183">
            <v>0.45</v>
          </cell>
          <cell r="S183">
            <v>1456.7816499999999</v>
          </cell>
          <cell r="U183">
            <v>9.0916002116906675E-2</v>
          </cell>
          <cell r="W183">
            <v>9.0916002116906675E-2</v>
          </cell>
          <cell r="Y183">
            <v>-47.515619583343437</v>
          </cell>
          <cell r="AA183">
            <v>-47.515619583343437</v>
          </cell>
          <cell r="AC183">
            <v>3023.5</v>
          </cell>
          <cell r="AE183">
            <v>37.178078999999997</v>
          </cell>
          <cell r="AG183">
            <v>12369.875204716671</v>
          </cell>
          <cell r="AH183">
            <v>2.1105301925004265</v>
          </cell>
          <cell r="AI183">
            <v>2.1105301925004265</v>
          </cell>
          <cell r="AK183">
            <v>0.48181962956838098</v>
          </cell>
          <cell r="AM183">
            <v>39.183887096479623</v>
          </cell>
          <cell r="AO183">
            <v>414.98593835361964</v>
          </cell>
          <cell r="AP183">
            <v>430.98999278580266</v>
          </cell>
          <cell r="BA183">
            <v>1.7057034447392594E-2</v>
          </cell>
          <cell r="BB183">
            <v>1.7057034447392594E-2</v>
          </cell>
        </row>
        <row r="184">
          <cell r="A184" t="str">
            <v>GPS2006</v>
          </cell>
          <cell r="B184" t="str">
            <v>GPS</v>
          </cell>
          <cell r="C184" t="str">
            <v>2006 (ex. Internet/cat.)</v>
          </cell>
          <cell r="D184">
            <v>18</v>
          </cell>
          <cell r="E184">
            <v>18</v>
          </cell>
          <cell r="F184">
            <v>9094</v>
          </cell>
          <cell r="G184">
            <v>15923</v>
          </cell>
          <cell r="H184">
            <v>-7.0000000000000007E-2</v>
          </cell>
          <cell r="J184">
            <v>7.6932738805501472E-2</v>
          </cell>
          <cell r="L184">
            <v>1046.23</v>
          </cell>
          <cell r="N184">
            <v>0.11504618429733891</v>
          </cell>
          <cell r="P184">
            <v>6.5705583118759028E-2</v>
          </cell>
          <cell r="R184">
            <v>0.45</v>
          </cell>
          <cell r="S184">
            <v>1517.0335</v>
          </cell>
          <cell r="U184">
            <v>0.16681696723114142</v>
          </cell>
          <cell r="W184">
            <v>9.527309552220059E-2</v>
          </cell>
          <cell r="Y184">
            <v>-759.00965114234748</v>
          </cell>
          <cell r="AA184">
            <v>-43.570934052939158</v>
          </cell>
          <cell r="AC184">
            <v>3092</v>
          </cell>
          <cell r="AE184">
            <v>38.332614499999998</v>
          </cell>
          <cell r="AG184">
            <v>12424.145640370489</v>
          </cell>
          <cell r="AH184">
            <v>2.0523924039060359</v>
          </cell>
          <cell r="AI184">
            <v>-11.671668450412358</v>
          </cell>
          <cell r="AK184">
            <v>0.4906317917205692</v>
          </cell>
          <cell r="AM184">
            <v>39.575529083725819</v>
          </cell>
          <cell r="AO184">
            <v>396.34656279445801</v>
          </cell>
          <cell r="AP184">
            <v>415.39039816864044</v>
          </cell>
          <cell r="AQ184" t="str">
            <v>Sales exclude GPS' internet sales ($1,030mm in 2008).  We estimate GPS requires a positive comp to lvg.</v>
          </cell>
          <cell r="AR184" t="str">
            <v>DE-LVG</v>
          </cell>
          <cell r="AY184">
            <v>6829</v>
          </cell>
          <cell r="BA184">
            <v>3.1054199976281671E-2</v>
          </cell>
          <cell r="BB184">
            <v>3.1054199976281671E-2</v>
          </cell>
        </row>
        <row r="185">
          <cell r="A185" t="str">
            <v>GPS2007</v>
          </cell>
          <cell r="B185" t="str">
            <v>GPS</v>
          </cell>
          <cell r="C185" t="str">
            <v>2007 (ex. Internet/cat.)</v>
          </cell>
          <cell r="D185">
            <v>19</v>
          </cell>
          <cell r="E185">
            <v>19</v>
          </cell>
          <cell r="F185">
            <v>14860</v>
          </cell>
          <cell r="G185">
            <v>15763</v>
          </cell>
          <cell r="H185">
            <v>-0.04</v>
          </cell>
          <cell r="J185">
            <v>8.5262957558840322E-2</v>
          </cell>
          <cell r="L185">
            <v>1099</v>
          </cell>
          <cell r="N185">
            <v>7.3956931359353967E-2</v>
          </cell>
          <cell r="P185">
            <v>6.9720230920510051E-2</v>
          </cell>
          <cell r="R185">
            <v>0.45</v>
          </cell>
          <cell r="S185">
            <v>1593.55</v>
          </cell>
          <cell r="U185">
            <v>0.10723755047106326</v>
          </cell>
          <cell r="W185">
            <v>0.10109433483473958</v>
          </cell>
          <cell r="Y185">
            <v>595.79416760078163</v>
          </cell>
          <cell r="AA185">
            <v>-58.212393125389866</v>
          </cell>
          <cell r="AC185">
            <v>3149</v>
          </cell>
          <cell r="AE185">
            <v>39.25</v>
          </cell>
          <cell r="AG185">
            <v>12503.946952952321</v>
          </cell>
          <cell r="AH185">
            <v>1.2515183171112927</v>
          </cell>
          <cell r="AI185">
            <v>28.164697496739052</v>
          </cell>
          <cell r="AK185">
            <v>0.50604953953636078</v>
          </cell>
          <cell r="AM185">
            <v>40.6</v>
          </cell>
          <cell r="AO185">
            <v>378.59872611464971</v>
          </cell>
          <cell r="AP185">
            <v>401.60509554140128</v>
          </cell>
          <cell r="AQ185" t="str">
            <v>Sales exclude Internet sales (2011 $1,560M, 2010 $1,299M).  Excludes rent expense associated with equipment.  We estimate GPS requires a flat to slightly positive comp to leverage.</v>
          </cell>
          <cell r="AR185">
            <v>-49.57065073265057</v>
          </cell>
          <cell r="AY185">
            <v>903</v>
          </cell>
          <cell r="BA185">
            <v>2.3932244433783723E-2</v>
          </cell>
          <cell r="BB185">
            <v>2.3932244433783723E-2</v>
          </cell>
        </row>
        <row r="186">
          <cell r="A186" t="str">
            <v>GPS2008</v>
          </cell>
          <cell r="B186" t="str">
            <v>GPS</v>
          </cell>
          <cell r="C186">
            <v>2008</v>
          </cell>
          <cell r="D186">
            <v>20</v>
          </cell>
          <cell r="E186">
            <v>20</v>
          </cell>
          <cell r="F186">
            <v>14449</v>
          </cell>
          <cell r="G186">
            <v>14526</v>
          </cell>
          <cell r="H186">
            <v>-0.11838208207470713</v>
          </cell>
          <cell r="J186">
            <v>0.10656753407682776</v>
          </cell>
          <cell r="L186">
            <v>1118</v>
          </cell>
          <cell r="N186">
            <v>7.737559692712298E-2</v>
          </cell>
          <cell r="P186">
            <v>7.6965441277708935E-2</v>
          </cell>
          <cell r="R186">
            <v>0.45</v>
          </cell>
          <cell r="S186">
            <v>1621.1</v>
          </cell>
          <cell r="U186">
            <v>0.11219461554432832</v>
          </cell>
          <cell r="W186">
            <v>0.11159988985267795</v>
          </cell>
          <cell r="Y186">
            <v>-49.57065073265057</v>
          </cell>
          <cell r="AA186">
            <v>-105.05555017938373</v>
          </cell>
          <cell r="AC186">
            <v>3158</v>
          </cell>
          <cell r="AE186">
            <v>39.549999999999997</v>
          </cell>
          <cell r="AG186">
            <v>12543.664655446173</v>
          </cell>
          <cell r="AH186">
            <v>5.2211883989800194</v>
          </cell>
          <cell r="AI186">
            <v>11.869715406120086</v>
          </cell>
          <cell r="AK186">
            <v>0.51333122229259021</v>
          </cell>
          <cell r="AM186">
            <v>40.988621997471554</v>
          </cell>
          <cell r="AO186">
            <v>343.18584070796464</v>
          </cell>
          <cell r="AP186">
            <v>367.28192161820482</v>
          </cell>
          <cell r="AQ186" t="str">
            <v>Store sales exclude Internet sales ($1,927M in '12 $1,560M in '11).  Excludes rent expense associated with equipment.  We estimate GPS requires a flat to slightly positive comp to leverage.</v>
          </cell>
          <cell r="AR186">
            <v>-24.806164328308455</v>
          </cell>
          <cell r="AS186">
            <v>2.8580501746586773E-3</v>
          </cell>
          <cell r="AU186">
            <v>-74.376815060959018</v>
          </cell>
          <cell r="AY186">
            <v>77</v>
          </cell>
          <cell r="BA186">
            <v>7.6433121019108263E-3</v>
          </cell>
          <cell r="BB186">
            <v>7.6433121019108263E-3</v>
          </cell>
        </row>
        <row r="187">
          <cell r="A187" t="str">
            <v>GPS2009</v>
          </cell>
          <cell r="B187" t="str">
            <v>GPS</v>
          </cell>
          <cell r="C187">
            <v>2009</v>
          </cell>
          <cell r="D187">
            <v>21</v>
          </cell>
          <cell r="E187">
            <v>21</v>
          </cell>
          <cell r="F187">
            <v>14010</v>
          </cell>
          <cell r="G187">
            <v>14197</v>
          </cell>
          <cell r="H187">
            <v>-3.0030152268958239E-2</v>
          </cell>
          <cell r="J187">
            <v>0.12784391068535605</v>
          </cell>
          <cell r="L187">
            <v>1108</v>
          </cell>
          <cell r="N187">
            <v>7.9086366880799425E-2</v>
          </cell>
          <cell r="P187">
            <v>7.8044657321969427E-2</v>
          </cell>
          <cell r="R187">
            <v>0.45</v>
          </cell>
          <cell r="S187">
            <v>1606.6</v>
          </cell>
          <cell r="U187">
            <v>0.11467523197715916</v>
          </cell>
          <cell r="W187">
            <v>0.11316475311685567</v>
          </cell>
          <cell r="Y187">
            <v>-24.806164328308455</v>
          </cell>
          <cell r="AA187">
            <v>-15.64863264177721</v>
          </cell>
          <cell r="AC187">
            <v>3122</v>
          </cell>
          <cell r="AE187">
            <v>39.15</v>
          </cell>
          <cell r="AG187">
            <v>12536.348949919224</v>
          </cell>
          <cell r="AH187">
            <v>-0.72980716956131053</v>
          </cell>
          <cell r="AI187">
            <v>0</v>
          </cell>
          <cell r="AK187">
            <v>0.51460602178090964</v>
          </cell>
          <cell r="AM187">
            <v>41.037037037037038</v>
          </cell>
          <cell r="AO187">
            <v>338.85057471264366</v>
          </cell>
          <cell r="AP187">
            <v>362.6309067688378</v>
          </cell>
          <cell r="AR187">
            <v>6.3028815693444429</v>
          </cell>
          <cell r="AS187">
            <v>-1.1399620012666256E-2</v>
          </cell>
          <cell r="AU187">
            <v>-18.503282758964012</v>
          </cell>
          <cell r="AY187">
            <v>187</v>
          </cell>
          <cell r="BA187">
            <v>-1.0113780025284402E-2</v>
          </cell>
          <cell r="BB187">
            <v>-1.0113780025284402E-2</v>
          </cell>
          <cell r="BC187">
            <v>0</v>
          </cell>
        </row>
        <row r="188">
          <cell r="A188" t="str">
            <v>GPS2010</v>
          </cell>
          <cell r="B188" t="str">
            <v>GPS</v>
          </cell>
          <cell r="C188">
            <v>2010</v>
          </cell>
          <cell r="D188">
            <v>22</v>
          </cell>
          <cell r="E188">
            <v>22</v>
          </cell>
          <cell r="F188">
            <v>14418</v>
          </cell>
          <cell r="G188">
            <v>14664</v>
          </cell>
          <cell r="H188">
            <v>0.01</v>
          </cell>
          <cell r="J188">
            <v>0.13420621931260229</v>
          </cell>
          <cell r="L188">
            <v>1134</v>
          </cell>
          <cell r="N188">
            <v>7.8651685393258425E-2</v>
          </cell>
          <cell r="P188">
            <v>7.7332242225859243E-2</v>
          </cell>
          <cell r="R188">
            <v>0.45</v>
          </cell>
          <cell r="S188">
            <v>1644.3</v>
          </cell>
          <cell r="U188">
            <v>0.11404494382022472</v>
          </cell>
          <cell r="W188">
            <v>0.1121317512274959</v>
          </cell>
          <cell r="Y188">
            <v>6.3028815693444429</v>
          </cell>
          <cell r="AA188">
            <v>10.330018893597719</v>
          </cell>
          <cell r="AC188">
            <v>3081.5</v>
          </cell>
          <cell r="AE188">
            <v>38.5</v>
          </cell>
          <cell r="AG188">
            <v>12451.108213820078</v>
          </cell>
          <cell r="AH188">
            <v>-0.77663200784565334</v>
          </cell>
          <cell r="AI188">
            <v>0</v>
          </cell>
          <cell r="AK188">
            <v>0.53360376440045432</v>
          </cell>
          <cell r="AM188">
            <v>42.709090909090911</v>
          </cell>
          <cell r="AO188">
            <v>353.53246753246754</v>
          </cell>
          <cell r="AP188">
            <v>380.88311688311688</v>
          </cell>
          <cell r="AR188">
            <v>-75.686159776416488</v>
          </cell>
          <cell r="AS188">
            <v>-1.297245355541321E-2</v>
          </cell>
          <cell r="AY188">
            <v>246</v>
          </cell>
          <cell r="BA188">
            <v>-1.6602809706257937E-2</v>
          </cell>
          <cell r="BB188">
            <v>-1.6602809706257937E-2</v>
          </cell>
        </row>
        <row r="189">
          <cell r="A189" t="str">
            <v>GPS2011</v>
          </cell>
          <cell r="B189" t="str">
            <v>GPS</v>
          </cell>
          <cell r="C189">
            <v>2011</v>
          </cell>
          <cell r="D189">
            <v>23</v>
          </cell>
          <cell r="E189">
            <v>23</v>
          </cell>
          <cell r="F189">
            <v>14248</v>
          </cell>
          <cell r="G189">
            <v>14549</v>
          </cell>
          <cell r="H189">
            <v>-0.05</v>
          </cell>
          <cell r="J189">
            <v>9.8838408138016365E-2</v>
          </cell>
          <cell r="L189">
            <v>1195</v>
          </cell>
          <cell r="N189">
            <v>8.3871420550252665E-2</v>
          </cell>
          <cell r="P189">
            <v>8.2136229294109561E-2</v>
          </cell>
          <cell r="R189">
            <v>0.45</v>
          </cell>
          <cell r="S189">
            <v>1732.75</v>
          </cell>
          <cell r="U189">
            <v>0.12161355979786637</v>
          </cell>
          <cell r="W189">
            <v>0.11909753247645886</v>
          </cell>
          <cell r="Y189">
            <v>-75.686159776416488</v>
          </cell>
          <cell r="AA189">
            <v>-69.657812489629663</v>
          </cell>
          <cell r="AC189">
            <v>3052</v>
          </cell>
          <cell r="AE189">
            <v>37.700000000000003</v>
          </cell>
          <cell r="AG189">
            <v>12252.96442687747</v>
          </cell>
          <cell r="AH189">
            <v>-1.5475876295690207</v>
          </cell>
          <cell r="AI189">
            <v>0</v>
          </cell>
          <cell r="AK189">
            <v>0.56774246395806027</v>
          </cell>
          <cell r="AM189">
            <v>45.96153846153846</v>
          </cell>
          <cell r="AO189">
            <v>350.15915119363393</v>
          </cell>
          <cell r="AP189">
            <v>385.91511936339521</v>
          </cell>
          <cell r="AR189">
            <v>51.547239300110959</v>
          </cell>
          <cell r="AS189">
            <v>-9.5732597760830318E-3</v>
          </cell>
          <cell r="AY189">
            <v>301</v>
          </cell>
          <cell r="BA189">
            <v>-2.0779220779220675E-2</v>
          </cell>
        </row>
        <row r="190">
          <cell r="A190" t="str">
            <v>GPS2012</v>
          </cell>
          <cell r="B190" t="str">
            <v>GPS</v>
          </cell>
          <cell r="C190">
            <v>2012</v>
          </cell>
          <cell r="D190">
            <v>24</v>
          </cell>
          <cell r="E190">
            <v>24</v>
          </cell>
          <cell r="F190">
            <v>15256</v>
          </cell>
          <cell r="G190">
            <v>15651</v>
          </cell>
          <cell r="H190">
            <v>3.7896859694612504E-2</v>
          </cell>
          <cell r="J190">
            <v>0.12408152833684749</v>
          </cell>
          <cell r="L190">
            <v>1227</v>
          </cell>
          <cell r="N190">
            <v>8.0427372836916616E-2</v>
          </cell>
          <cell r="P190">
            <v>7.8397546482652861E-2</v>
          </cell>
          <cell r="R190">
            <v>0.44800000000000001</v>
          </cell>
          <cell r="S190">
            <v>1776.6959999999999</v>
          </cell>
          <cell r="U190">
            <v>0.11645883586785527</v>
          </cell>
          <cell r="W190">
            <v>0.11351964730688134</v>
          </cell>
          <cell r="Y190">
            <v>51.547239300110959</v>
          </cell>
          <cell r="AA190">
            <v>55.778851695775231</v>
          </cell>
          <cell r="AC190">
            <v>3065.5</v>
          </cell>
          <cell r="AE190">
            <v>37.049999999999997</v>
          </cell>
          <cell r="AG190">
            <v>11922.455573505655</v>
          </cell>
          <cell r="AH190" t="e">
            <v>#REF!</v>
          </cell>
          <cell r="AI190">
            <v>0</v>
          </cell>
          <cell r="AK190">
            <v>0.57957788289022993</v>
          </cell>
          <cell r="AM190">
            <v>47.954008097165996</v>
          </cell>
          <cell r="AO190">
            <v>374.73684210526318</v>
          </cell>
          <cell r="AP190">
            <v>422.42914979757086</v>
          </cell>
          <cell r="AR190">
            <v>-35.763130628160418</v>
          </cell>
          <cell r="AS190">
            <v>4.4233289646133933E-3</v>
          </cell>
          <cell r="AY190">
            <v>395</v>
          </cell>
          <cell r="BA190">
            <v>-1.7241379310344973E-2</v>
          </cell>
        </row>
        <row r="191">
          <cell r="A191" t="str">
            <v>GPS2013</v>
          </cell>
          <cell r="B191" t="str">
            <v>GPS</v>
          </cell>
          <cell r="C191" t="str">
            <v>2013e</v>
          </cell>
          <cell r="D191">
            <v>25</v>
          </cell>
          <cell r="E191">
            <v>25</v>
          </cell>
          <cell r="F191">
            <v>15477</v>
          </cell>
          <cell r="G191">
            <v>16148</v>
          </cell>
          <cell r="H191">
            <v>1.1890636611345059E-2</v>
          </cell>
          <cell r="J191">
            <v>0.13308149616051523</v>
          </cell>
          <cell r="L191">
            <v>1283</v>
          </cell>
          <cell r="N191">
            <v>8.2897202300187378E-2</v>
          </cell>
          <cell r="P191">
            <v>7.9452563784988856E-2</v>
          </cell>
          <cell r="R191">
            <v>0.44800000000000001</v>
          </cell>
          <cell r="S191">
            <v>1857.7839999999999</v>
          </cell>
          <cell r="U191">
            <v>0.12003514893067131</v>
          </cell>
          <cell r="W191">
            <v>0.11504731236066386</v>
          </cell>
          <cell r="Y191">
            <v>-35.763130628160418</v>
          </cell>
          <cell r="AA191">
            <v>-15.276650537825176</v>
          </cell>
          <cell r="AC191">
            <v>3129.5</v>
          </cell>
          <cell r="AE191">
            <v>37.049999999999997</v>
          </cell>
          <cell r="AG191">
            <v>11757.269279393173</v>
          </cell>
          <cell r="AH191" t="e">
            <v>#REF!</v>
          </cell>
          <cell r="AI191">
            <v>0</v>
          </cell>
          <cell r="AK191">
            <v>0.59363604409650095</v>
          </cell>
          <cell r="AM191">
            <v>50.142618083670719</v>
          </cell>
          <cell r="AO191">
            <v>374.79082321187587</v>
          </cell>
          <cell r="AP191">
            <v>435.84345479082327</v>
          </cell>
          <cell r="AY191">
            <v>671</v>
          </cell>
          <cell r="BA191">
            <v>0</v>
          </cell>
        </row>
        <row r="192">
          <cell r="C192" t="str">
            <v>2004 = Trough rent</v>
          </cell>
          <cell r="F192">
            <v>16267.401000000002</v>
          </cell>
          <cell r="G192">
            <v>16267.401000000002</v>
          </cell>
          <cell r="H192">
            <v>4.0000000000000001E-3</v>
          </cell>
          <cell r="J192">
            <v>0.12171870601825099</v>
          </cell>
          <cell r="L192">
            <v>966.67</v>
          </cell>
          <cell r="N192">
            <v>5.9423751833498163E-2</v>
          </cell>
          <cell r="P192">
            <v>5.9423751833498163E-2</v>
          </cell>
          <cell r="S192">
            <v>1401.6714999999999</v>
          </cell>
          <cell r="U192">
            <v>8.6164440158572331E-2</v>
          </cell>
          <cell r="W192">
            <v>8.6164440158572331E-2</v>
          </cell>
          <cell r="Z192">
            <v>0</v>
          </cell>
          <cell r="AB192">
            <v>0</v>
          </cell>
          <cell r="AC192">
            <v>3008</v>
          </cell>
          <cell r="AE192">
            <v>36.554566499999993</v>
          </cell>
          <cell r="AG192">
            <v>12221.419171676685</v>
          </cell>
          <cell r="AH192">
            <v>0.84549409389814545</v>
          </cell>
          <cell r="AI192">
            <v>0.84549409389814545</v>
          </cell>
          <cell r="AK192">
            <v>0.46598121675531912</v>
          </cell>
          <cell r="AM192">
            <v>38.344634725732561</v>
          </cell>
          <cell r="AO192">
            <v>445.01693105839473</v>
          </cell>
          <cell r="AP192">
            <v>445.01693105839473</v>
          </cell>
          <cell r="AR192">
            <v>6.1252046671050608E-3</v>
          </cell>
          <cell r="AT192" t="str">
            <v>Adjusted Rent Expense Increase Assumption</v>
          </cell>
        </row>
        <row r="194">
          <cell r="AI194">
            <v>0</v>
          </cell>
        </row>
        <row r="195">
          <cell r="AE195" t="str">
            <v>Average</v>
          </cell>
          <cell r="AI195">
            <v>0</v>
          </cell>
          <cell r="AS195" t="str">
            <v>occupancy's role in determining potential operating margin</v>
          </cell>
        </row>
        <row r="196">
          <cell r="Q196" t="str">
            <v>Rent Expense</v>
          </cell>
          <cell r="AE196" t="str">
            <v>Total</v>
          </cell>
          <cell r="AG196" t="str">
            <v>Sq. Ft.</v>
          </cell>
          <cell r="AI196">
            <v>0</v>
          </cell>
          <cell r="AL196" t="str">
            <v>Adjusted Rent</v>
          </cell>
          <cell r="AO196" t="str">
            <v>Sales</v>
          </cell>
        </row>
        <row r="197">
          <cell r="F197" t="str">
            <v>Sales</v>
          </cell>
          <cell r="H197" t="str">
            <v>Comp.</v>
          </cell>
          <cell r="J197" t="str">
            <v>Operating</v>
          </cell>
          <cell r="L197" t="str">
            <v>per 10-K</v>
          </cell>
          <cell r="S197" t="str">
            <v>w/ adjustment</v>
          </cell>
          <cell r="AC197" t="str">
            <v>Store</v>
          </cell>
          <cell r="AE197" t="str">
            <v>Sq. Ft.</v>
          </cell>
          <cell r="AG197" t="str">
            <v>per</v>
          </cell>
          <cell r="AI197">
            <v>0</v>
          </cell>
          <cell r="AK197" t="str">
            <v>per Avg</v>
          </cell>
          <cell r="AM197" t="str">
            <v>per Avg</v>
          </cell>
          <cell r="AO197" t="str">
            <v>per Avg</v>
          </cell>
        </row>
        <row r="198">
          <cell r="F198" t="str">
            <v>($ MM)</v>
          </cell>
          <cell r="H198" t="str">
            <v>Sales %</v>
          </cell>
          <cell r="J198" t="str">
            <v>Margin</v>
          </cell>
          <cell r="L198" t="str">
            <v>$ MM</v>
          </cell>
          <cell r="N198" t="str">
            <v>% Sales</v>
          </cell>
          <cell r="P198" t="str">
            <v>% Sales</v>
          </cell>
          <cell r="R198" t="str">
            <v>Adj.</v>
          </cell>
          <cell r="S198" t="str">
            <v>$ MM</v>
          </cell>
          <cell r="U198" t="str">
            <v>% Sales</v>
          </cell>
          <cell r="AC198" t="str">
            <v>Count</v>
          </cell>
          <cell r="AE198" t="str">
            <v>(MM)</v>
          </cell>
          <cell r="AG198" t="str">
            <v>Store</v>
          </cell>
          <cell r="AI198">
            <v>0</v>
          </cell>
          <cell r="AK198" t="str">
            <v>Store</v>
          </cell>
          <cell r="AM198" t="str">
            <v>Sq. Ft.</v>
          </cell>
          <cell r="AO198" t="str">
            <v>Sq. Ft.</v>
          </cell>
          <cell r="AS198" t="str">
            <v>Notes on Rent:</v>
          </cell>
        </row>
        <row r="199">
          <cell r="C199">
            <v>1998</v>
          </cell>
          <cell r="D199">
            <v>6</v>
          </cell>
          <cell r="E199">
            <v>6</v>
          </cell>
          <cell r="F199">
            <v>103.37</v>
          </cell>
          <cell r="H199">
            <v>4.0000000000000001E-3</v>
          </cell>
          <cell r="J199">
            <v>8.1638773338492829E-2</v>
          </cell>
          <cell r="L199">
            <v>7.5055139999999998</v>
          </cell>
          <cell r="N199">
            <v>7.2608242236625709E-2</v>
          </cell>
          <cell r="P199" t="str">
            <v>-</v>
          </cell>
          <cell r="S199">
            <v>12.0088224</v>
          </cell>
          <cell r="U199">
            <v>0.11617318757860114</v>
          </cell>
          <cell r="AC199">
            <v>133</v>
          </cell>
          <cell r="AE199">
            <v>0.19071955719557196</v>
          </cell>
          <cell r="AG199">
            <v>1424</v>
          </cell>
          <cell r="AH199">
            <v>0.87458067757331504</v>
          </cell>
          <cell r="AI199">
            <v>0</v>
          </cell>
          <cell r="AK199">
            <v>9.0291897744360902E-2</v>
          </cell>
          <cell r="AM199">
            <v>62.965867667601813</v>
          </cell>
          <cell r="AO199">
            <v>542</v>
          </cell>
        </row>
        <row r="200">
          <cell r="C200">
            <v>1999</v>
          </cell>
          <cell r="D200">
            <v>7</v>
          </cell>
          <cell r="E200">
            <v>7</v>
          </cell>
          <cell r="F200">
            <v>168.94900000000001</v>
          </cell>
          <cell r="H200">
            <v>0.22800000000000001</v>
          </cell>
          <cell r="J200">
            <v>0.11957454616481908</v>
          </cell>
          <cell r="L200">
            <v>10.364345</v>
          </cell>
          <cell r="N200">
            <v>6.1345997904693125E-2</v>
          </cell>
          <cell r="P200" t="str">
            <v>-</v>
          </cell>
          <cell r="S200">
            <v>16.582952000000002</v>
          </cell>
          <cell r="U200">
            <v>9.8153596647509014E-2</v>
          </cell>
          <cell r="AC200">
            <v>185</v>
          </cell>
          <cell r="AE200">
            <v>0.27118619582664527</v>
          </cell>
          <cell r="AG200">
            <v>1482.0707547169811</v>
          </cell>
          <cell r="AH200">
            <v>0.9632613866155374</v>
          </cell>
          <cell r="AI200">
            <v>0</v>
          </cell>
          <cell r="AK200">
            <v>8.9637578378378394E-2</v>
          </cell>
          <cell r="AM200">
            <v>61.149690711398122</v>
          </cell>
          <cell r="AO200">
            <v>623</v>
          </cell>
        </row>
        <row r="201">
          <cell r="A201" t="str">
            <v>HOTT2000</v>
          </cell>
          <cell r="C201">
            <v>2000</v>
          </cell>
          <cell r="D201">
            <v>8</v>
          </cell>
          <cell r="E201">
            <v>8</v>
          </cell>
          <cell r="F201">
            <v>257.18799999999999</v>
          </cell>
          <cell r="H201">
            <v>0.16699999999999998</v>
          </cell>
          <cell r="J201">
            <v>0.13598223867365503</v>
          </cell>
          <cell r="L201">
            <v>16.093</v>
          </cell>
          <cell r="N201">
            <v>6.2572903867987625E-2</v>
          </cell>
          <cell r="P201" t="str">
            <v>-</v>
          </cell>
          <cell r="S201">
            <v>25.748800000000003</v>
          </cell>
          <cell r="U201">
            <v>0.1001166461887802</v>
          </cell>
          <cell r="AC201">
            <v>243</v>
          </cell>
          <cell r="AE201">
            <v>0.38646609865470849</v>
          </cell>
          <cell r="AG201">
            <v>1558.3941605839416</v>
          </cell>
          <cell r="AH201">
            <v>0.80096093047601291</v>
          </cell>
          <cell r="AI201">
            <v>0</v>
          </cell>
          <cell r="AK201">
            <v>0.10596213991769549</v>
          </cell>
          <cell r="AM201">
            <v>66.626283882678919</v>
          </cell>
          <cell r="AO201">
            <v>669</v>
          </cell>
        </row>
        <row r="202">
          <cell r="C202">
            <v>2001</v>
          </cell>
          <cell r="D202">
            <v>9</v>
          </cell>
          <cell r="E202">
            <v>9</v>
          </cell>
          <cell r="F202">
            <v>336.09300000000002</v>
          </cell>
          <cell r="H202">
            <v>3.9E-2</v>
          </cell>
          <cell r="J202">
            <v>0.13136542564111722</v>
          </cell>
          <cell r="L202">
            <v>21.783999999999999</v>
          </cell>
          <cell r="N202">
            <v>6.4815393358385917E-2</v>
          </cell>
          <cell r="P202" t="str">
            <v>-</v>
          </cell>
          <cell r="S202">
            <v>34.854399999999998</v>
          </cell>
          <cell r="U202">
            <v>0.10370462937341747</v>
          </cell>
          <cell r="AC202">
            <v>313</v>
          </cell>
          <cell r="AE202">
            <v>0.50714999999999999</v>
          </cell>
          <cell r="AG202">
            <v>1668.4659090909092</v>
          </cell>
          <cell r="AH202">
            <v>0.83955481404444587</v>
          </cell>
          <cell r="AI202">
            <v>0</v>
          </cell>
          <cell r="AK202">
            <v>0.11135591054313099</v>
          </cell>
          <cell r="AM202">
            <v>68.726017943409246</v>
          </cell>
          <cell r="AO202">
            <v>663.3824213743469</v>
          </cell>
          <cell r="AS202" t="str">
            <v xml:space="preserve">Total rent expense as reported in footnote 5 includes only minimum rent and </v>
          </cell>
        </row>
        <row r="203">
          <cell r="C203">
            <v>2002</v>
          </cell>
          <cell r="D203">
            <v>10</v>
          </cell>
          <cell r="E203">
            <v>10</v>
          </cell>
          <cell r="F203">
            <v>443.25</v>
          </cell>
          <cell r="H203">
            <v>0.05</v>
          </cell>
          <cell r="J203">
            <v>0.12094303440496341</v>
          </cell>
          <cell r="L203">
            <v>30.786999999999999</v>
          </cell>
          <cell r="N203">
            <v>6.9457416807670619E-2</v>
          </cell>
          <cell r="P203" t="str">
            <v>-</v>
          </cell>
          <cell r="S203">
            <v>49.2592</v>
          </cell>
          <cell r="U203">
            <v>0.11113186689227299</v>
          </cell>
          <cell r="AC203">
            <v>398.5</v>
          </cell>
          <cell r="AE203">
            <v>0.6859615</v>
          </cell>
          <cell r="AG203">
            <v>1763.1977528089888</v>
          </cell>
          <cell r="AH203">
            <v>0.74228900100459638</v>
          </cell>
          <cell r="AI203">
            <v>0</v>
          </cell>
          <cell r="AK203">
            <v>0.12361154328732747</v>
          </cell>
          <cell r="AM203">
            <v>71.810444172158356</v>
          </cell>
          <cell r="AO203">
            <v>645.33119343380429</v>
          </cell>
          <cell r="AS203" t="str">
            <v>contingent (percentage) rent. It does not include CAM, RE taxes, or insurance.</v>
          </cell>
        </row>
        <row r="204">
          <cell r="C204">
            <v>2003</v>
          </cell>
          <cell r="D204">
            <v>11</v>
          </cell>
          <cell r="E204">
            <v>11</v>
          </cell>
          <cell r="F204">
            <v>572.03899999999999</v>
          </cell>
          <cell r="H204">
            <v>7.400000000000001E-2</v>
          </cell>
          <cell r="J204">
            <v>0.13252592917615758</v>
          </cell>
          <cell r="L204">
            <v>38.572000000000003</v>
          </cell>
          <cell r="N204">
            <v>6.7428969003861625E-2</v>
          </cell>
          <cell r="P204" t="str">
            <v>-</v>
          </cell>
          <cell r="S204">
            <v>61.71520000000001</v>
          </cell>
          <cell r="U204">
            <v>0.10788635040617862</v>
          </cell>
          <cell r="AC204">
            <v>499.5</v>
          </cell>
          <cell r="AE204">
            <v>0.8916115</v>
          </cell>
          <cell r="AG204">
            <v>1802.5270758122745</v>
          </cell>
          <cell r="AH204">
            <v>0.69733374263571046</v>
          </cell>
          <cell r="AI204">
            <v>0</v>
          </cell>
          <cell r="AK204">
            <v>0.12355395395395398</v>
          </cell>
          <cell r="AM204">
            <v>69.217590845340169</v>
          </cell>
          <cell r="AO204">
            <v>641.57875935875654</v>
          </cell>
          <cell r="AS204" t="str">
            <v>Minimum rent does include HQ/DC rent, and other leases (copiers, vehicles, etc.)</v>
          </cell>
        </row>
        <row r="205">
          <cell r="C205">
            <v>2004</v>
          </cell>
          <cell r="D205">
            <v>12</v>
          </cell>
          <cell r="E205">
            <v>12</v>
          </cell>
          <cell r="F205">
            <v>656.46799999999996</v>
          </cell>
          <cell r="H205">
            <v>-2.8999999999999998E-2</v>
          </cell>
          <cell r="J205">
            <v>9.6534789205262039E-2</v>
          </cell>
          <cell r="L205">
            <v>44.341000000000001</v>
          </cell>
          <cell r="N205">
            <v>6.7544800355843704E-2</v>
          </cell>
          <cell r="P205" t="str">
            <v>-</v>
          </cell>
          <cell r="S205">
            <v>70.945599999999999</v>
          </cell>
          <cell r="U205">
            <v>0.10807168056934992</v>
          </cell>
          <cell r="AC205">
            <v>611</v>
          </cell>
          <cell r="AE205">
            <v>1.1065</v>
          </cell>
          <cell r="AG205">
            <v>1817.9640718562873</v>
          </cell>
          <cell r="AH205">
            <v>0.71346169999899167</v>
          </cell>
          <cell r="AI205">
            <v>0</v>
          </cell>
          <cell r="AK205">
            <v>0.11611391162029459</v>
          </cell>
          <cell r="AM205">
            <v>64.117126073203792</v>
          </cell>
          <cell r="AO205">
            <v>593.28332580207859</v>
          </cell>
          <cell r="AT205" t="str">
            <v>Adjusted Rent Expense Increase Assumption</v>
          </cell>
        </row>
        <row r="206">
          <cell r="A206" t="str">
            <v>HOTT</v>
          </cell>
          <cell r="B206" t="str">
            <v>HOTT</v>
          </cell>
          <cell r="C206" t="str">
            <v>2005 (total revs.)</v>
          </cell>
          <cell r="D206">
            <v>13</v>
          </cell>
          <cell r="E206">
            <v>13</v>
          </cell>
          <cell r="F206">
            <v>725.14200000000005</v>
          </cell>
          <cell r="H206">
            <v>-3.4042722666732861E-2</v>
          </cell>
          <cell r="J206">
            <v>4.6472277153991957E-2</v>
          </cell>
          <cell r="L206">
            <v>50.71</v>
          </cell>
          <cell r="N206">
            <v>6.993113073025696E-2</v>
          </cell>
          <cell r="P206" t="str">
            <v>-</v>
          </cell>
          <cell r="R206">
            <v>0.6</v>
          </cell>
          <cell r="S206">
            <v>81.13600000000001</v>
          </cell>
          <cell r="U206">
            <v>0.11088980916841115</v>
          </cell>
          <cell r="Y206">
            <v>-28.181285990612341</v>
          </cell>
          <cell r="AA206">
            <v>0</v>
          </cell>
          <cell r="AC206">
            <v>725.5</v>
          </cell>
          <cell r="AE206">
            <v>1.33355</v>
          </cell>
          <cell r="AG206">
            <v>1855.3001277139208</v>
          </cell>
          <cell r="AH206">
            <v>0.64503913201248819</v>
          </cell>
          <cell r="AI206">
            <v>0.64503913201248819</v>
          </cell>
          <cell r="AK206">
            <v>0.11183459682977258</v>
          </cell>
          <cell r="AM206">
            <v>60.842113156612058</v>
          </cell>
          <cell r="AO206">
            <v>543.76813767762746</v>
          </cell>
          <cell r="AQ206" t="str">
            <v>We estimate achieves lvg. at +LSD comp.</v>
          </cell>
          <cell r="BB206">
            <v>0.20519656574785361</v>
          </cell>
        </row>
        <row r="207">
          <cell r="A207" t="str">
            <v>HOTT2006</v>
          </cell>
          <cell r="B207" t="str">
            <v>HOTT</v>
          </cell>
          <cell r="C207" t="str">
            <v>2006 (total revs.)</v>
          </cell>
          <cell r="D207">
            <v>14</v>
          </cell>
          <cell r="E207">
            <v>14</v>
          </cell>
          <cell r="F207">
            <v>751.55799999999999</v>
          </cell>
          <cell r="H207">
            <v>-6.6000000000000003E-2</v>
          </cell>
          <cell r="J207">
            <v>2.8699049175180191E-2</v>
          </cell>
          <cell r="L207">
            <v>52.305</v>
          </cell>
          <cell r="N207">
            <v>6.9595427099438764E-2</v>
          </cell>
          <cell r="P207" t="str">
            <v>-</v>
          </cell>
          <cell r="R207">
            <v>0.6</v>
          </cell>
          <cell r="S207">
            <v>83.688000000000002</v>
          </cell>
          <cell r="U207">
            <v>0.11135268335910203</v>
          </cell>
          <cell r="Y207">
            <v>-4.628741906908818</v>
          </cell>
          <cell r="AA207">
            <v>0</v>
          </cell>
          <cell r="AC207">
            <v>804</v>
          </cell>
          <cell r="AE207">
            <v>1.4969999999999999</v>
          </cell>
          <cell r="AG207">
            <v>1868.2424242424242</v>
          </cell>
          <cell r="AH207">
            <v>0.77638635651709942</v>
          </cell>
          <cell r="AI207">
            <v>0.65985622194357585</v>
          </cell>
          <cell r="AK207">
            <v>0.10408955223880598</v>
          </cell>
          <cell r="AM207">
            <v>55.90380761523047</v>
          </cell>
          <cell r="AO207">
            <v>502.04275217100871</v>
          </cell>
          <cell r="AR207" t="str">
            <v>LVG</v>
          </cell>
          <cell r="BB207">
            <v>0.12256758276780011</v>
          </cell>
        </row>
        <row r="208">
          <cell r="A208" t="str">
            <v>HOTT2007</v>
          </cell>
          <cell r="B208" t="str">
            <v>HOTT</v>
          </cell>
          <cell r="C208" t="str">
            <v>2007 (total revs.)</v>
          </cell>
          <cell r="D208">
            <v>15</v>
          </cell>
          <cell r="E208">
            <v>15</v>
          </cell>
          <cell r="F208">
            <v>728.12199999999996</v>
          </cell>
          <cell r="H208">
            <v>-4.3672477963857703E-2</v>
          </cell>
          <cell r="J208">
            <v>3.3369407873955148E-2</v>
          </cell>
          <cell r="L208">
            <v>54.707000000000001</v>
          </cell>
          <cell r="N208">
            <v>7.5134386819791191E-2</v>
          </cell>
          <cell r="P208" t="str">
            <v>-</v>
          </cell>
          <cell r="S208">
            <v>87.531200000000013</v>
          </cell>
          <cell r="U208">
            <v>0.12021501891166593</v>
          </cell>
          <cell r="Y208">
            <v>-88.623355525638971</v>
          </cell>
          <cell r="AA208">
            <v>0</v>
          </cell>
          <cell r="AC208">
            <v>833</v>
          </cell>
          <cell r="AE208">
            <v>1.5644499999999999</v>
          </cell>
          <cell r="AG208">
            <v>1887.7526753864447</v>
          </cell>
          <cell r="AH208">
            <v>-4.2119313612750689E-2</v>
          </cell>
          <cell r="AI208">
            <v>0.25599600043235293</v>
          </cell>
          <cell r="AK208">
            <v>0.1050794717887155</v>
          </cell>
          <cell r="AM208">
            <v>55.950142222506322</v>
          </cell>
          <cell r="AO208">
            <v>465.41723928537186</v>
          </cell>
          <cell r="AR208">
            <v>50.09401586675191</v>
          </cell>
          <cell r="BB208">
            <v>4.5056780227120896E-2</v>
          </cell>
        </row>
        <row r="209">
          <cell r="A209" t="str">
            <v>HOTT2008</v>
          </cell>
          <cell r="B209" t="str">
            <v>HOTT</v>
          </cell>
          <cell r="C209" t="str">
            <v>2008 (total revs.)</v>
          </cell>
          <cell r="D209">
            <v>16</v>
          </cell>
          <cell r="E209">
            <v>16</v>
          </cell>
          <cell r="F209">
            <v>761.07400000000007</v>
          </cell>
          <cell r="H209">
            <v>0.01</v>
          </cell>
          <cell r="J209">
            <v>4.0496719110099784E-2</v>
          </cell>
          <cell r="L209">
            <v>54.8</v>
          </cell>
          <cell r="N209">
            <v>7.2003510828119205E-2</v>
          </cell>
          <cell r="P209" t="str">
            <v>-</v>
          </cell>
          <cell r="S209">
            <v>87.68</v>
          </cell>
          <cell r="U209">
            <v>0.11520561732499074</v>
          </cell>
          <cell r="Y209">
            <v>50.09401586675191</v>
          </cell>
          <cell r="AA209">
            <v>0</v>
          </cell>
          <cell r="AC209">
            <v>840.5</v>
          </cell>
          <cell r="AE209">
            <v>1.5904499999999999</v>
          </cell>
          <cell r="AG209">
            <v>1896.7857142857142</v>
          </cell>
          <cell r="AH209">
            <v>1.1089599247168989</v>
          </cell>
          <cell r="AI209">
            <v>1.1089599247169124</v>
          </cell>
          <cell r="AK209">
            <v>0.10431885782272457</v>
          </cell>
          <cell r="AM209">
            <v>55.129051526297594</v>
          </cell>
          <cell r="AO209">
            <v>478.52746078153979</v>
          </cell>
          <cell r="AR209">
            <v>59.576173249907413</v>
          </cell>
          <cell r="BB209">
            <v>1.6619259164562639E-2</v>
          </cell>
        </row>
        <row r="210">
          <cell r="A210" t="str">
            <v>HOTT2009</v>
          </cell>
          <cell r="B210" t="str">
            <v>HOTT</v>
          </cell>
          <cell r="C210" t="str">
            <v>2009E (total revs.)</v>
          </cell>
          <cell r="D210">
            <v>17</v>
          </cell>
          <cell r="E210">
            <v>17</v>
          </cell>
          <cell r="F210">
            <v>736.71</v>
          </cell>
          <cell r="H210">
            <v>-4.6097709933385057E-2</v>
          </cell>
          <cell r="J210">
            <v>2.6125612520530563E-2</v>
          </cell>
          <cell r="L210">
            <v>50.3025588</v>
          </cell>
          <cell r="N210">
            <v>6.8279999999999993E-2</v>
          </cell>
          <cell r="P210" t="str">
            <v>-</v>
          </cell>
          <cell r="S210">
            <v>80.484094080000006</v>
          </cell>
          <cell r="U210">
            <v>0.109248</v>
          </cell>
          <cell r="Y210">
            <v>59.576173249907413</v>
          </cell>
          <cell r="AA210">
            <v>0</v>
          </cell>
          <cell r="AC210">
            <v>838</v>
          </cell>
          <cell r="AE210">
            <v>1.5897515</v>
          </cell>
          <cell r="AG210">
            <v>1897.3720095693782</v>
          </cell>
          <cell r="AH210">
            <v>12.064675922680625</v>
          </cell>
          <cell r="AI210">
            <v>0</v>
          </cell>
          <cell r="AK210">
            <v>9.6043071694510748E-2</v>
          </cell>
          <cell r="AM210">
            <v>50.626839528064608</v>
          </cell>
          <cell r="AO210">
            <v>463.41204899004651</v>
          </cell>
          <cell r="BA210">
            <v>-8.207009489051087E-2</v>
          </cell>
          <cell r="BB210">
            <v>-4.3918387877639464E-4</v>
          </cell>
          <cell r="BC210">
            <v>-8.1630911011734475E-2</v>
          </cell>
        </row>
        <row r="212">
          <cell r="C212" t="str">
            <v>1999 = Trough rent</v>
          </cell>
          <cell r="F212">
            <v>168.94900000000001</v>
          </cell>
          <cell r="H212">
            <v>0.22800000000000001</v>
          </cell>
          <cell r="I212">
            <v>0</v>
          </cell>
          <cell r="J212">
            <v>0.11957454616481908</v>
          </cell>
          <cell r="K212">
            <v>0</v>
          </cell>
          <cell r="L212">
            <v>10.364345</v>
          </cell>
          <cell r="M212">
            <v>0</v>
          </cell>
          <cell r="N212">
            <v>6.1345997904693125E-2</v>
          </cell>
          <cell r="O212">
            <v>0</v>
          </cell>
          <cell r="P212" t="str">
            <v>-</v>
          </cell>
          <cell r="Q212">
            <v>0</v>
          </cell>
          <cell r="S212">
            <v>16.582952000000002</v>
          </cell>
          <cell r="T212">
            <v>0</v>
          </cell>
          <cell r="U212">
            <v>9.8153596647509014E-2</v>
          </cell>
          <cell r="Z212">
            <v>0</v>
          </cell>
          <cell r="AB212">
            <v>0</v>
          </cell>
          <cell r="AC212">
            <v>185</v>
          </cell>
          <cell r="AD212">
            <v>0</v>
          </cell>
          <cell r="AE212">
            <v>0.27118619582664527</v>
          </cell>
          <cell r="AF212">
            <v>0</v>
          </cell>
          <cell r="AG212">
            <v>1482.0707547169811</v>
          </cell>
          <cell r="AH212">
            <v>0.9632613866155374</v>
          </cell>
          <cell r="AI212">
            <v>0.9632613866155374</v>
          </cell>
          <cell r="AJ212">
            <v>0</v>
          </cell>
          <cell r="AK212">
            <v>8.9637578378378394E-2</v>
          </cell>
          <cell r="AL212">
            <v>0</v>
          </cell>
          <cell r="AM212">
            <v>61.149690711398122</v>
          </cell>
          <cell r="AN212">
            <v>0</v>
          </cell>
          <cell r="AO212">
            <v>623</v>
          </cell>
          <cell r="AR212">
            <v>-9.3448933644288523E-2</v>
          </cell>
        </row>
        <row r="214">
          <cell r="A214" t="str">
            <v>KORS2008</v>
          </cell>
          <cell r="B214" t="str">
            <v>KORS</v>
          </cell>
          <cell r="C214">
            <v>2008</v>
          </cell>
          <cell r="D214">
            <v>5</v>
          </cell>
          <cell r="E214">
            <v>6</v>
          </cell>
          <cell r="F214">
            <v>114.03099999999995</v>
          </cell>
          <cell r="G214">
            <v>397.07399999999996</v>
          </cell>
          <cell r="H214">
            <v>0</v>
          </cell>
          <cell r="J214">
            <v>6.1041518709359033E-2</v>
          </cell>
          <cell r="L214">
            <v>20.265000000000001</v>
          </cell>
          <cell r="N214">
            <v>0.17771483193166779</v>
          </cell>
          <cell r="P214">
            <v>5.1035827075054024E-2</v>
          </cell>
          <cell r="R214">
            <v>0.22500000000000001</v>
          </cell>
          <cell r="S214">
            <v>24.824625000000001</v>
          </cell>
          <cell r="U214">
            <v>0.21770066911629304</v>
          </cell>
          <cell r="W214">
            <v>6.2518888166941178E-2</v>
          </cell>
          <cell r="AC214">
            <v>37</v>
          </cell>
          <cell r="AE214">
            <v>9.3181E-2</v>
          </cell>
          <cell r="AG214">
            <v>2518.4054054054054</v>
          </cell>
          <cell r="AH214" t="e">
            <v>#N/A</v>
          </cell>
          <cell r="AI214">
            <v>0</v>
          </cell>
          <cell r="AK214">
            <v>0.67093581081081088</v>
          </cell>
          <cell r="AM214">
            <v>266.41294899174727</v>
          </cell>
          <cell r="AO214">
            <v>1223.758062265912</v>
          </cell>
          <cell r="AP214">
            <v>1223.758062265912</v>
          </cell>
          <cell r="AQ214" t="str">
            <v>For KORS only sales/sqft calculated with store sales only. store sales excl. Licensing/Wholesale/Other sales ($675M in '11). Note FY12 is currently in 4Q, data represents FY estimates.</v>
          </cell>
          <cell r="AR214">
            <v>1487.6586056199717</v>
          </cell>
          <cell r="AU214">
            <v>1487.6586056199717</v>
          </cell>
          <cell r="AY214">
            <v>20.015999999999998</v>
          </cell>
          <cell r="AZ214">
            <v>263.02699999999999</v>
          </cell>
        </row>
        <row r="215">
          <cell r="A215" t="str">
            <v>KORS2009</v>
          </cell>
          <cell r="B215" t="str">
            <v>KORS</v>
          </cell>
          <cell r="C215">
            <v>2009</v>
          </cell>
          <cell r="D215">
            <v>6</v>
          </cell>
          <cell r="E215">
            <v>7</v>
          </cell>
          <cell r="F215">
            <v>483.45299999999997</v>
          </cell>
          <cell r="G215">
            <v>508.09999999999997</v>
          </cell>
          <cell r="H215">
            <v>0</v>
          </cell>
          <cell r="J215">
            <v>0.11055894508954933</v>
          </cell>
          <cell r="L215">
            <v>27.317</v>
          </cell>
          <cell r="N215">
            <v>5.6503941437947437E-2</v>
          </cell>
          <cell r="P215">
            <v>5.3763038771895297E-2</v>
          </cell>
          <cell r="R215">
            <v>0.22</v>
          </cell>
          <cell r="S215">
            <v>33.326740000000001</v>
          </cell>
          <cell r="U215">
            <v>6.8934808554295873E-2</v>
          </cell>
          <cell r="W215">
            <v>6.559090730171227E-2</v>
          </cell>
          <cell r="Y215">
            <v>1487.6586056199717</v>
          </cell>
          <cell r="AA215">
            <v>-30.720191347710923</v>
          </cell>
          <cell r="AC215">
            <v>90</v>
          </cell>
          <cell r="AE215">
            <v>9.3387871572530881E-2</v>
          </cell>
          <cell r="AG215">
            <v>1037.6430174725654</v>
          </cell>
          <cell r="AH215" t="e">
            <v>#N/A</v>
          </cell>
          <cell r="AI215">
            <v>3.6379999999999999</v>
          </cell>
          <cell r="AK215">
            <v>0.37029711111111113</v>
          </cell>
          <cell r="AM215">
            <v>356.86368517475381</v>
          </cell>
          <cell r="AO215">
            <v>5176.8285523513623</v>
          </cell>
          <cell r="AP215">
            <v>5176.8285523513623</v>
          </cell>
          <cell r="AR215">
            <v>-62.997325311370673</v>
          </cell>
          <cell r="AS215">
            <v>1.4324324324324325</v>
          </cell>
          <cell r="AU215">
            <v>1424.6612803086009</v>
          </cell>
          <cell r="AY215">
            <v>24.646999999999998</v>
          </cell>
          <cell r="AZ215">
            <v>0</v>
          </cell>
          <cell r="BA215">
            <v>2.2201046622261078E-3</v>
          </cell>
        </row>
        <row r="216">
          <cell r="A216" t="str">
            <v>KORS2010</v>
          </cell>
          <cell r="B216" t="str">
            <v>KORS</v>
          </cell>
          <cell r="C216">
            <v>2010</v>
          </cell>
          <cell r="D216">
            <v>7</v>
          </cell>
          <cell r="E216">
            <v>8</v>
          </cell>
          <cell r="F216">
            <v>757.79900000000009</v>
          </cell>
          <cell r="G216">
            <v>803.33860000000004</v>
          </cell>
          <cell r="H216">
            <v>0</v>
          </cell>
          <cell r="J216">
            <v>0.17037099922747398</v>
          </cell>
          <cell r="L216">
            <v>46.923999999999999</v>
          </cell>
          <cell r="N216">
            <v>6.1921432992125873E-2</v>
          </cell>
          <cell r="P216">
            <v>5.8411235312233217E-2</v>
          </cell>
          <cell r="R216">
            <v>0.215</v>
          </cell>
          <cell r="S216">
            <v>57.012660000000004</v>
          </cell>
          <cell r="U216">
            <v>7.523454108543294E-2</v>
          </cell>
          <cell r="W216">
            <v>7.0969650904363371E-2</v>
          </cell>
          <cell r="Y216">
            <v>-62.997325311370673</v>
          </cell>
          <cell r="AA216">
            <v>-53.78743602651101</v>
          </cell>
          <cell r="AC216">
            <v>136</v>
          </cell>
          <cell r="AE216">
            <v>4.1039723788682526E-4</v>
          </cell>
          <cell r="AG216">
            <v>3.017626749167833</v>
          </cell>
          <cell r="AH216" t="e">
            <v>#N/A</v>
          </cell>
          <cell r="AI216">
            <v>4.024</v>
          </cell>
          <cell r="AK216">
            <v>0.41921073529411768</v>
          </cell>
          <cell r="AM216">
            <v>138920.67181924434</v>
          </cell>
          <cell r="AO216">
            <v>1846501.2189214036</v>
          </cell>
          <cell r="AP216">
            <v>1846501.2189214036</v>
          </cell>
          <cell r="AR216">
            <v>42.284862719047105</v>
          </cell>
          <cell r="AS216">
            <v>0.51111111111111107</v>
          </cell>
          <cell r="AY216">
            <v>45.5396</v>
          </cell>
          <cell r="AZ216">
            <v>0</v>
          </cell>
          <cell r="BA216">
            <v>-0.99560545463799244</v>
          </cell>
        </row>
        <row r="217">
          <cell r="A217" t="str">
            <v>KORS2011</v>
          </cell>
          <cell r="B217" t="str">
            <v>KORS</v>
          </cell>
          <cell r="C217">
            <v>2011</v>
          </cell>
          <cell r="D217">
            <v>8</v>
          </cell>
          <cell r="E217">
            <v>9</v>
          </cell>
          <cell r="F217">
            <v>1236.702</v>
          </cell>
          <cell r="G217">
            <v>1301.857</v>
          </cell>
          <cell r="H217">
            <v>0</v>
          </cell>
          <cell r="J217">
            <v>0.20914048163507978</v>
          </cell>
          <cell r="L217">
            <v>72.572999999999993</v>
          </cell>
          <cell r="N217">
            <v>5.8682689928535731E-2</v>
          </cell>
          <cell r="P217">
            <v>5.5745753949934591E-2</v>
          </cell>
          <cell r="R217">
            <v>0.21</v>
          </cell>
          <cell r="S217">
            <v>87.813329999999993</v>
          </cell>
          <cell r="U217">
            <v>7.100605481352823E-2</v>
          </cell>
          <cell r="W217">
            <v>6.7452362279420849E-2</v>
          </cell>
          <cell r="Y217">
            <v>42.284862719047105</v>
          </cell>
          <cell r="AA217">
            <v>35.172886249425218</v>
          </cell>
          <cell r="AC217">
            <v>201.5</v>
          </cell>
          <cell r="AE217">
            <v>4.265324118147954E-4</v>
          </cell>
          <cell r="AG217">
            <v>2.1167861628525824</v>
          </cell>
          <cell r="AH217" t="e">
            <v>#N/A</v>
          </cell>
          <cell r="AI217">
            <v>4.2779999999999996</v>
          </cell>
          <cell r="AK217">
            <v>0.4357981637717121</v>
          </cell>
          <cell r="AM217">
            <v>205877.27349106921</v>
          </cell>
          <cell r="AO217">
            <v>2899432.647423259</v>
          </cell>
          <cell r="AP217">
            <v>2899432.647423259</v>
          </cell>
          <cell r="AR217">
            <v>37.976276349204056</v>
          </cell>
          <cell r="AS217">
            <v>0.48161764705882359</v>
          </cell>
          <cell r="AY217">
            <v>65.155000000000001</v>
          </cell>
          <cell r="AZ217">
            <v>0</v>
          </cell>
          <cell r="BA217">
            <v>3.9315990553571156E-2</v>
          </cell>
        </row>
        <row r="218">
          <cell r="A218" t="str">
            <v>KORS2012</v>
          </cell>
          <cell r="B218" t="str">
            <v>KORS</v>
          </cell>
          <cell r="C218">
            <v>2012</v>
          </cell>
          <cell r="D218">
            <v>9</v>
          </cell>
          <cell r="E218">
            <v>10</v>
          </cell>
          <cell r="F218">
            <v>2094.9360000000001</v>
          </cell>
          <cell r="G218">
            <v>2181.8760000000002</v>
          </cell>
          <cell r="H218">
            <v>0</v>
          </cell>
          <cell r="J218">
            <v>0.27807961145283255</v>
          </cell>
          <cell r="L218">
            <v>116.26536217988766</v>
          </cell>
          <cell r="N218">
            <v>5.5498288339065081E-2</v>
          </cell>
          <cell r="P218">
            <v>5.3286878896824409E-2</v>
          </cell>
          <cell r="R218">
            <v>0.21099999999999999</v>
          </cell>
          <cell r="S218">
            <v>140.79735359984397</v>
          </cell>
          <cell r="U218">
            <v>6.7208427178607824E-2</v>
          </cell>
          <cell r="W218">
            <v>6.4530410344054365E-2</v>
          </cell>
          <cell r="Y218">
            <v>37.976276349204056</v>
          </cell>
          <cell r="AA218">
            <v>29.219519353664847</v>
          </cell>
          <cell r="AC218">
            <v>270.5</v>
          </cell>
          <cell r="AE218">
            <v>3.4961665288653766E-4</v>
          </cell>
          <cell r="AG218">
            <v>1.2924830051258325</v>
          </cell>
          <cell r="AH218" t="e">
            <v>#N/A</v>
          </cell>
          <cell r="AI218">
            <v>4.4009999999999998</v>
          </cell>
          <cell r="AK218">
            <v>0.52050777670921988</v>
          </cell>
          <cell r="AM218">
            <v>402719.24245421297</v>
          </cell>
          <cell r="AO218">
            <v>5992094.4345859783</v>
          </cell>
          <cell r="AP218">
            <v>5992094.4345859783</v>
          </cell>
          <cell r="AR218">
            <v>32.241586930621821</v>
          </cell>
          <cell r="AS218">
            <v>0.3424317617866004</v>
          </cell>
          <cell r="AY218">
            <v>86.94</v>
          </cell>
          <cell r="AZ218">
            <v>0</v>
          </cell>
          <cell r="BA218">
            <v>-0.18032805197851021</v>
          </cell>
        </row>
        <row r="219">
          <cell r="A219" t="str">
            <v>KORS2013</v>
          </cell>
          <cell r="B219" t="str">
            <v>KORS</v>
          </cell>
          <cell r="C219" t="str">
            <v>2013e</v>
          </cell>
          <cell r="D219">
            <v>10</v>
          </cell>
          <cell r="E219">
            <v>11</v>
          </cell>
          <cell r="F219">
            <v>2846.5395983040257</v>
          </cell>
          <cell r="G219">
            <v>2986.8905983040258</v>
          </cell>
          <cell r="H219">
            <v>0</v>
          </cell>
          <cell r="J219">
            <v>0.26883880286089917</v>
          </cell>
          <cell r="L219">
            <v>150.39946648441122</v>
          </cell>
          <cell r="N219">
            <v>5.2835894703175582E-2</v>
          </cell>
          <cell r="P219">
            <v>5.035318888807274E-2</v>
          </cell>
          <cell r="R219">
            <v>0.21099999999999999</v>
          </cell>
          <cell r="S219">
            <v>182.13375391262201</v>
          </cell>
          <cell r="U219">
            <v>6.3984268485545642E-2</v>
          </cell>
          <cell r="W219">
            <v>6.0977711743456099E-2</v>
          </cell>
          <cell r="Y219">
            <v>32.241586930621821</v>
          </cell>
          <cell r="AA219">
            <v>35.526986005982657</v>
          </cell>
          <cell r="AC219">
            <v>354.5</v>
          </cell>
          <cell r="AE219">
            <v>1.6521559532391717E-4</v>
          </cell>
          <cell r="AG219">
            <v>0.46605245507451948</v>
          </cell>
          <cell r="AH219" t="e">
            <v>#N/A</v>
          </cell>
          <cell r="AI219">
            <v>0</v>
          </cell>
          <cell r="AK219">
            <v>0.51377645673518202</v>
          </cell>
          <cell r="AM219">
            <v>1102400.4940667711</v>
          </cell>
          <cell r="AO219">
            <v>17229242.752315108</v>
          </cell>
          <cell r="AP219">
            <v>17229242.752315108</v>
          </cell>
          <cell r="AY219">
            <v>140.351</v>
          </cell>
          <cell r="AZ219">
            <v>0</v>
          </cell>
          <cell r="BA219">
            <v>-0.52743785526276077</v>
          </cell>
        </row>
        <row r="220">
          <cell r="C220" t="str">
            <v>2012e = Trough rent</v>
          </cell>
          <cell r="F220">
            <v>2846.5395983040257</v>
          </cell>
          <cell r="G220">
            <v>2986.8905983040258</v>
          </cell>
          <cell r="H220">
            <v>0</v>
          </cell>
          <cell r="J220">
            <v>0.26883880286089917</v>
          </cell>
          <cell r="L220">
            <v>150.39946648441122</v>
          </cell>
          <cell r="N220">
            <v>5.2835894703175582E-2</v>
          </cell>
          <cell r="P220">
            <v>5.035318888807274E-2</v>
          </cell>
          <cell r="S220">
            <v>182.13375391262201</v>
          </cell>
          <cell r="U220">
            <v>6.3984268485545642E-2</v>
          </cell>
          <cell r="W220">
            <v>6.0977711743456099E-2</v>
          </cell>
          <cell r="Z220">
            <v>0</v>
          </cell>
          <cell r="AB220">
            <v>0</v>
          </cell>
          <cell r="AC220">
            <v>354.5</v>
          </cell>
          <cell r="AE220">
            <v>1.6521559532391717E-4</v>
          </cell>
          <cell r="AG220">
            <v>0.46605245507451948</v>
          </cell>
          <cell r="AH220">
            <v>0.71346169999899167</v>
          </cell>
          <cell r="AI220">
            <v>0.71346169999899167</v>
          </cell>
          <cell r="AK220">
            <v>0.51377645673518202</v>
          </cell>
          <cell r="AM220">
            <v>1102400.4940667711</v>
          </cell>
          <cell r="AO220">
            <v>17229242.752315108</v>
          </cell>
          <cell r="AP220">
            <v>17229242.752315108</v>
          </cell>
          <cell r="AR220">
            <v>-0.15827985777134984</v>
          </cell>
          <cell r="AS220">
            <v>42204</v>
          </cell>
          <cell r="AT220">
            <v>30818</v>
          </cell>
          <cell r="AU220">
            <v>21185</v>
          </cell>
          <cell r="AV220" t="str">
            <v>total rent expense</v>
          </cell>
        </row>
        <row r="223">
          <cell r="AI223">
            <v>0</v>
          </cell>
        </row>
        <row r="224">
          <cell r="C224">
            <v>1998</v>
          </cell>
          <cell r="D224">
            <v>10</v>
          </cell>
          <cell r="E224">
            <v>20</v>
          </cell>
          <cell r="F224">
            <v>5824</v>
          </cell>
          <cell r="H224">
            <v>0.06</v>
          </cell>
          <cell r="J224">
            <v>7.2743971904971033E-2</v>
          </cell>
          <cell r="L224">
            <v>728.88199999999995</v>
          </cell>
          <cell r="N224">
            <v>0.12515144230769229</v>
          </cell>
          <cell r="P224" t="str">
            <v>-</v>
          </cell>
          <cell r="S224">
            <v>1056.8788999999999</v>
          </cell>
          <cell r="U224">
            <v>0.18146959134615384</v>
          </cell>
          <cell r="AC224">
            <v>5511</v>
          </cell>
          <cell r="AE224">
            <v>34.197499999999991</v>
          </cell>
          <cell r="AG224">
            <v>6112.0401337792637</v>
          </cell>
          <cell r="AH224">
            <v>-0.59071831008957132</v>
          </cell>
          <cell r="AI224">
            <v>0</v>
          </cell>
          <cell r="AK224">
            <v>0.19177624750499001</v>
          </cell>
          <cell r="AM224">
            <v>30.905150961327589</v>
          </cell>
          <cell r="AO224">
            <v>236.20384531032977</v>
          </cell>
          <cell r="AY224">
            <v>759</v>
          </cell>
          <cell r="AZ224" t="e">
            <v>#N/A</v>
          </cell>
        </row>
        <row r="225">
          <cell r="C225">
            <v>1999</v>
          </cell>
          <cell r="D225">
            <v>11</v>
          </cell>
          <cell r="E225">
            <v>21</v>
          </cell>
          <cell r="F225">
            <v>6330.0669999999991</v>
          </cell>
          <cell r="H225">
            <v>0.08</v>
          </cell>
          <cell r="J225">
            <v>0.10142919829788487</v>
          </cell>
          <cell r="L225">
            <v>721.11500000000001</v>
          </cell>
          <cell r="N225">
            <v>0.11391901539114832</v>
          </cell>
          <cell r="P225" t="str">
            <v>-</v>
          </cell>
          <cell r="S225">
            <v>1045.6167499999999</v>
          </cell>
          <cell r="U225">
            <v>0.16518257231716504</v>
          </cell>
          <cell r="Y225">
            <v>162.87019028988797</v>
          </cell>
          <cell r="AA225">
            <v>0</v>
          </cell>
          <cell r="AC225">
            <v>5202.5</v>
          </cell>
          <cell r="AE225">
            <v>31.192499999999995</v>
          </cell>
          <cell r="AG225">
            <v>5870.9934302209831</v>
          </cell>
          <cell r="AH225">
            <v>-7.8447952616746072E-2</v>
          </cell>
          <cell r="AI225">
            <v>0</v>
          </cell>
          <cell r="AK225">
            <v>0.20098351753964439</v>
          </cell>
          <cell r="AM225">
            <v>33.521415404343998</v>
          </cell>
          <cell r="AO225">
            <v>202.93554540354251</v>
          </cell>
          <cell r="AY225">
            <v>955.99300000000005</v>
          </cell>
          <cell r="AZ225" t="e">
            <v>#N/A</v>
          </cell>
        </row>
        <row r="226">
          <cell r="C226">
            <v>2000</v>
          </cell>
          <cell r="D226">
            <v>12</v>
          </cell>
          <cell r="E226">
            <v>22</v>
          </cell>
          <cell r="F226">
            <v>6959.6849999999995</v>
          </cell>
          <cell r="H226">
            <v>0.05</v>
          </cell>
          <cell r="J226">
            <v>9.9657008851657555E-2</v>
          </cell>
          <cell r="L226">
            <v>711</v>
          </cell>
          <cell r="N226">
            <v>0.10215979602525115</v>
          </cell>
          <cell r="P226" t="str">
            <v>-</v>
          </cell>
          <cell r="S226">
            <v>1030.95</v>
          </cell>
          <cell r="U226">
            <v>0.14813170423661418</v>
          </cell>
          <cell r="Y226">
            <v>170.50868080550867</v>
          </cell>
          <cell r="AA226">
            <v>0</v>
          </cell>
          <cell r="AC226">
            <v>5076</v>
          </cell>
          <cell r="AE226">
            <v>29.259999999999998</v>
          </cell>
          <cell r="AG226">
            <v>5659.9727042308441</v>
          </cell>
          <cell r="AH226">
            <v>-0.7984096220623913</v>
          </cell>
          <cell r="AI226">
            <v>0</v>
          </cell>
          <cell r="AK226">
            <v>0.20310283687943265</v>
          </cell>
          <cell r="AM226">
            <v>35.234107997265895</v>
          </cell>
          <cell r="AO226">
            <v>237.85663021189336</v>
          </cell>
          <cell r="AY226">
            <v>962.44299999999998</v>
          </cell>
          <cell r="AZ226" t="e">
            <v>#N/A</v>
          </cell>
        </row>
        <row r="227">
          <cell r="C227">
            <v>2001</v>
          </cell>
          <cell r="D227">
            <v>13</v>
          </cell>
          <cell r="E227">
            <v>23</v>
          </cell>
          <cell r="F227">
            <v>6811.4380000000001</v>
          </cell>
          <cell r="G227">
            <v>6811.4380000000001</v>
          </cell>
          <cell r="H227">
            <v>-0.03</v>
          </cell>
          <cell r="J227">
            <v>8.6788245324810775E-2</v>
          </cell>
          <cell r="L227">
            <v>535</v>
          </cell>
          <cell r="N227">
            <v>7.8544354363939015E-2</v>
          </cell>
          <cell r="P227">
            <v>7.8544354363939015E-2</v>
          </cell>
          <cell r="S227">
            <v>775.75</v>
          </cell>
          <cell r="U227">
            <v>0.11388931382771156</v>
          </cell>
          <cell r="Y227">
            <v>342.42390408902617</v>
          </cell>
          <cell r="AA227">
            <v>0</v>
          </cell>
          <cell r="AC227">
            <v>4871.5</v>
          </cell>
          <cell r="AE227">
            <v>27.106249999999996</v>
          </cell>
          <cell r="AG227">
            <v>5457.8456870394448</v>
          </cell>
          <cell r="AH227">
            <v>-0.11818363136128313</v>
          </cell>
          <cell r="AI227">
            <v>0</v>
          </cell>
          <cell r="AK227">
            <v>0.15924253310068767</v>
          </cell>
          <cell r="AM227">
            <v>28.618860963799865</v>
          </cell>
          <cell r="AO227">
            <v>251.28662208900167</v>
          </cell>
          <cell r="AS227" t="str">
            <v>Total rent expense as reported in footnote 7 includes minimum rent and contingent</v>
          </cell>
          <cell r="AY227">
            <v>869.07500000000005</v>
          </cell>
          <cell r="AZ227" t="e">
            <v>#N/A</v>
          </cell>
        </row>
        <row r="228">
          <cell r="C228">
            <v>2002</v>
          </cell>
          <cell r="D228">
            <v>14</v>
          </cell>
          <cell r="E228">
            <v>24</v>
          </cell>
          <cell r="F228">
            <v>7139</v>
          </cell>
          <cell r="G228">
            <v>7139</v>
          </cell>
          <cell r="H228">
            <v>0.03</v>
          </cell>
          <cell r="J228">
            <v>0.10322909618321845</v>
          </cell>
          <cell r="L228">
            <v>536</v>
          </cell>
          <cell r="N228">
            <v>7.5080543493486487E-2</v>
          </cell>
          <cell r="P228">
            <v>7.5080543493486487E-2</v>
          </cell>
          <cell r="S228">
            <v>777.19999999999993</v>
          </cell>
          <cell r="U228">
            <v>0.10886678806555539</v>
          </cell>
          <cell r="Y228">
            <v>50.225257621561717</v>
          </cell>
          <cell r="AA228">
            <v>0</v>
          </cell>
          <cell r="AC228">
            <v>4325</v>
          </cell>
          <cell r="AE228">
            <v>22.776874999999997</v>
          </cell>
          <cell r="AG228">
            <v>5047.3860257680863</v>
          </cell>
          <cell r="AH228">
            <v>-0.11326157930742181</v>
          </cell>
          <cell r="AI228">
            <v>0</v>
          </cell>
          <cell r="AK228">
            <v>0.17969942196531791</v>
          </cell>
          <cell r="AM228">
            <v>34.122328019098319</v>
          </cell>
          <cell r="AO228">
            <v>313.43193480229405</v>
          </cell>
          <cell r="AS228" t="str">
            <v>(percentage) rent. It does not include CAM, RE taxes, or insurance.</v>
          </cell>
          <cell r="AY228">
            <v>939</v>
          </cell>
          <cell r="AZ228" t="e">
            <v>#N/A</v>
          </cell>
        </row>
        <row r="229">
          <cell r="C229">
            <v>2003</v>
          </cell>
          <cell r="D229">
            <v>15</v>
          </cell>
          <cell r="E229">
            <v>25</v>
          </cell>
          <cell r="F229">
            <v>7452.4710000000005</v>
          </cell>
          <cell r="G229">
            <v>7452.4710000000005</v>
          </cell>
          <cell r="H229">
            <v>0.04</v>
          </cell>
          <cell r="J229">
            <v>0.10779854380260956</v>
          </cell>
          <cell r="L229">
            <v>560</v>
          </cell>
          <cell r="N229">
            <v>7.5142862011807893E-2</v>
          </cell>
          <cell r="P229">
            <v>7.5142862011807893E-2</v>
          </cell>
          <cell r="S229">
            <v>812</v>
          </cell>
          <cell r="U229">
            <v>0.10895714991712144</v>
          </cell>
          <cell r="W229">
            <v>0.10895714991712144</v>
          </cell>
          <cell r="Y229">
            <v>-0.90361851566050921</v>
          </cell>
          <cell r="AA229">
            <v>-1089.5714991712143</v>
          </cell>
          <cell r="AC229">
            <v>3973.5</v>
          </cell>
          <cell r="AE229">
            <v>20.209374999999998</v>
          </cell>
          <cell r="AG229">
            <v>5125.9268729225259</v>
          </cell>
          <cell r="AH229">
            <v>-3.4683402898325215E-2</v>
          </cell>
          <cell r="AI229">
            <v>0</v>
          </cell>
          <cell r="AK229">
            <v>0.20435384421794389</v>
          </cell>
          <cell r="AM229">
            <v>40.179372197309419</v>
          </cell>
          <cell r="AO229">
            <v>368.76306169785067</v>
          </cell>
          <cell r="AP229">
            <v>368.76306169785067</v>
          </cell>
          <cell r="AT229" t="str">
            <v>Adjusted Rent Expense Increase Assumption</v>
          </cell>
          <cell r="AY229">
            <v>995.3</v>
          </cell>
          <cell r="AZ229" t="e">
            <v>#N/A</v>
          </cell>
        </row>
        <row r="230">
          <cell r="C230">
            <v>2004</v>
          </cell>
          <cell r="D230">
            <v>16</v>
          </cell>
          <cell r="E230">
            <v>26</v>
          </cell>
          <cell r="F230">
            <v>7771.6320000000005</v>
          </cell>
          <cell r="G230">
            <v>7771.6320000000005</v>
          </cell>
          <cell r="H230">
            <v>0.04</v>
          </cell>
          <cell r="J230">
            <v>0.10913838741742408</v>
          </cell>
          <cell r="L230">
            <v>570</v>
          </cell>
          <cell r="N230">
            <v>7.3343668356916539E-2</v>
          </cell>
          <cell r="P230">
            <v>7.3343668356916539E-2</v>
          </cell>
          <cell r="S230">
            <v>826.5</v>
          </cell>
          <cell r="U230">
            <v>0.10634831911752897</v>
          </cell>
          <cell r="W230">
            <v>0.10634831911752897</v>
          </cell>
          <cell r="Y230">
            <v>26.08830799592468</v>
          </cell>
          <cell r="AA230">
            <v>26.08830799592468</v>
          </cell>
          <cell r="AC230">
            <v>3845</v>
          </cell>
          <cell r="AE230">
            <v>19.899374999999999</v>
          </cell>
          <cell r="AG230">
            <v>5226.5811061127279</v>
          </cell>
          <cell r="AH230">
            <v>-0.18424419002295231</v>
          </cell>
          <cell r="AI230">
            <v>0</v>
          </cell>
          <cell r="AK230">
            <v>0.21495448634590378</v>
          </cell>
          <cell r="AM230">
            <v>41.533967775369831</v>
          </cell>
          <cell r="AO230">
            <v>390.5465372656177</v>
          </cell>
          <cell r="AP230">
            <v>390.5465372656177</v>
          </cell>
          <cell r="AS230" t="str">
            <v>2005-10K</v>
          </cell>
          <cell r="AY230">
            <v>1119.201</v>
          </cell>
          <cell r="AZ230" t="e">
            <v>#N/A</v>
          </cell>
        </row>
        <row r="231">
          <cell r="A231" t="str">
            <v>LTD</v>
          </cell>
          <cell r="B231" t="str">
            <v>LTD</v>
          </cell>
          <cell r="C231" t="str">
            <v>2005 (net retail sales)</v>
          </cell>
          <cell r="D231">
            <v>17</v>
          </cell>
          <cell r="E231">
            <v>27</v>
          </cell>
          <cell r="F231">
            <v>7845.9229999999989</v>
          </cell>
          <cell r="G231">
            <v>7845.9229999999989</v>
          </cell>
          <cell r="H231">
            <v>-0.01</v>
          </cell>
          <cell r="J231">
            <v>0.1016377206317208</v>
          </cell>
          <cell r="L231">
            <v>596</v>
          </cell>
          <cell r="N231">
            <v>7.5963019264909948E-2</v>
          </cell>
          <cell r="P231">
            <v>7.5963019264909948E-2</v>
          </cell>
          <cell r="R231">
            <v>0.45</v>
          </cell>
          <cell r="S231">
            <v>864.19999999999993</v>
          </cell>
          <cell r="U231">
            <v>0.11014637793411942</v>
          </cell>
          <cell r="W231">
            <v>0.11014637793411942</v>
          </cell>
          <cell r="Y231">
            <v>-37.98058816590455</v>
          </cell>
          <cell r="AA231">
            <v>-37.98058816590455</v>
          </cell>
          <cell r="AC231">
            <v>3684.5</v>
          </cell>
          <cell r="AE231">
            <v>19.458125000000003</v>
          </cell>
          <cell r="AG231">
            <v>5338.4401114206139</v>
          </cell>
          <cell r="AH231">
            <v>-0.88207800362780864</v>
          </cell>
          <cell r="AI231" t="str">
            <v>NA</v>
          </cell>
          <cell r="AK231">
            <v>0.23455014248880443</v>
          </cell>
          <cell r="AM231">
            <v>44.413323483120791</v>
          </cell>
          <cell r="AO231">
            <v>403.22091671217026</v>
          </cell>
          <cell r="AP231">
            <v>403.22091671217026</v>
          </cell>
          <cell r="AQ231" t="str">
            <v>LTD's net retail sales excl. Direct/Other ($2,588mm in 08A). Rent exp. is "total store rent" only &amp; excl. equip. ($64mm in '08). Apparel div's incl. in 2006 &amp; 1H07.</v>
          </cell>
          <cell r="AY231">
            <v>1225.5999999999999</v>
          </cell>
          <cell r="AZ231" t="e">
            <v>#N/A</v>
          </cell>
          <cell r="BA231">
            <v>-2.2174063255755327E-2</v>
          </cell>
          <cell r="BB231">
            <v>-2.2174063255755661E-2</v>
          </cell>
        </row>
        <row r="232">
          <cell r="A232" t="str">
            <v>LTD2006</v>
          </cell>
          <cell r="B232" t="str">
            <v>LTD</v>
          </cell>
          <cell r="C232" t="str">
            <v>2006 (net retail sales)</v>
          </cell>
          <cell r="D232">
            <v>18</v>
          </cell>
          <cell r="E232">
            <v>28</v>
          </cell>
          <cell r="F232">
            <v>8520.7049999999999</v>
          </cell>
          <cell r="G232">
            <v>8520.7049999999999</v>
          </cell>
          <cell r="H232">
            <v>7.0000000000000007E-2</v>
          </cell>
          <cell r="J232">
            <v>0.11021733644006292</v>
          </cell>
          <cell r="L232">
            <v>567</v>
          </cell>
          <cell r="N232">
            <v>6.6543789510375026E-2</v>
          </cell>
          <cell r="P232">
            <v>6.6543789510375026E-2</v>
          </cell>
          <cell r="R232">
            <v>0.47500000000000009</v>
          </cell>
          <cell r="S232">
            <v>836.32500000000005</v>
          </cell>
          <cell r="U232">
            <v>9.815208952780316E-2</v>
          </cell>
          <cell r="W232">
            <v>9.815208952780316E-2</v>
          </cell>
          <cell r="Y232">
            <v>119.94288406316264</v>
          </cell>
          <cell r="AA232">
            <v>119.94288406316264</v>
          </cell>
          <cell r="AC232">
            <v>3678</v>
          </cell>
          <cell r="AE232">
            <v>18.814375000000002</v>
          </cell>
          <cell r="AG232">
            <v>4902.7482740308023</v>
          </cell>
          <cell r="AH232">
            <v>-0.4837450928793528</v>
          </cell>
          <cell r="AI232">
            <v>-0.4837450928793528</v>
          </cell>
          <cell r="AK232">
            <v>0.2273858075040783</v>
          </cell>
          <cell r="AM232">
            <v>44.451383583031593</v>
          </cell>
          <cell r="AO232">
            <v>452.88270272065904</v>
          </cell>
          <cell r="AP232">
            <v>452.88270272065904</v>
          </cell>
          <cell r="AR232" t="str">
            <v>LVG</v>
          </cell>
          <cell r="AX232" t="e">
            <v>#N/A</v>
          </cell>
          <cell r="AY232">
            <v>1415.663</v>
          </cell>
          <cell r="AZ232" t="e">
            <v>#N/A</v>
          </cell>
          <cell r="BA232">
            <v>-3.3083865994282591E-2</v>
          </cell>
          <cell r="BB232">
            <v>-3.308386599428248E-2</v>
          </cell>
        </row>
        <row r="233">
          <cell r="A233" t="str">
            <v>LTD2007</v>
          </cell>
          <cell r="B233" t="str">
            <v>LTD</v>
          </cell>
          <cell r="C233" t="str">
            <v>2007 (net retail sales)</v>
          </cell>
          <cell r="D233">
            <v>19</v>
          </cell>
          <cell r="E233">
            <v>29</v>
          </cell>
          <cell r="F233">
            <v>8371.8388199644869</v>
          </cell>
          <cell r="G233">
            <v>8371.8388199644869</v>
          </cell>
          <cell r="H233">
            <v>-0.02</v>
          </cell>
          <cell r="J233">
            <v>8.5367200562184539E-2</v>
          </cell>
          <cell r="L233">
            <v>489</v>
          </cell>
          <cell r="N233">
            <v>5.8410106849390388E-2</v>
          </cell>
          <cell r="P233">
            <v>5.8410106849390388E-2</v>
          </cell>
          <cell r="R233">
            <v>0.47499999999999987</v>
          </cell>
          <cell r="S233">
            <v>721.27499999999998</v>
          </cell>
          <cell r="U233">
            <v>8.6154907602850814E-2</v>
          </cell>
          <cell r="W233">
            <v>8.6154907602850814E-2</v>
          </cell>
          <cell r="Y233">
            <v>119.97181924952346</v>
          </cell>
          <cell r="AA233">
            <v>119.97181924952346</v>
          </cell>
          <cell r="AC233">
            <v>3346</v>
          </cell>
          <cell r="AE233">
            <v>15.675625</v>
          </cell>
          <cell r="AG233">
            <v>4404.4771018455231</v>
          </cell>
          <cell r="AH233">
            <v>-1.5158732680578674E-2</v>
          </cell>
          <cell r="AI233">
            <v>-1.5158732680578674E-2</v>
          </cell>
          <cell r="AK233">
            <v>0.21556335923490735</v>
          </cell>
          <cell r="AM233">
            <v>46.012519437024039</v>
          </cell>
          <cell r="AO233">
            <v>534.06730640497506</v>
          </cell>
          <cell r="AP233">
            <v>534.06730640497506</v>
          </cell>
          <cell r="AQ233" t="str">
            <v>LTD's net retail sales excl. Internet/Other (2011 $2,711M, 2010 $2,682M). Rent expense is "total store rent" only &amp; excludes equipment ($62M in 2010).</v>
          </cell>
          <cell r="AR233">
            <v>47.653217836071406</v>
          </cell>
          <cell r="AX233" t="e">
            <v>#N/A</v>
          </cell>
          <cell r="AY233">
            <v>1396.4</v>
          </cell>
          <cell r="AZ233" t="e">
            <v>#N/A</v>
          </cell>
          <cell r="BA233">
            <v>-0.16682722652227355</v>
          </cell>
          <cell r="BB233">
            <v>-0.16682722652227355</v>
          </cell>
        </row>
        <row r="234">
          <cell r="A234" t="str">
            <v>LTD2008</v>
          </cell>
          <cell r="B234" t="str">
            <v>LTD</v>
          </cell>
          <cell r="C234">
            <v>2008</v>
          </cell>
          <cell r="D234">
            <v>20</v>
          </cell>
          <cell r="E234">
            <v>30</v>
          </cell>
          <cell r="F234">
            <v>7519.8810000000003</v>
          </cell>
          <cell r="G234">
            <v>9042.6810000000005</v>
          </cell>
          <cell r="H234">
            <v>-0.09</v>
          </cell>
          <cell r="J234">
            <v>7.9342509151876559E-2</v>
          </cell>
          <cell r="L234">
            <v>428</v>
          </cell>
          <cell r="N234">
            <v>5.6915794279191384E-2</v>
          </cell>
          <cell r="P234">
            <v>4.733109572260704E-2</v>
          </cell>
          <cell r="R234">
            <v>0.47034794660442047</v>
          </cell>
          <cell r="S234">
            <v>612.04</v>
          </cell>
          <cell r="U234">
            <v>8.1389585819243673E-2</v>
          </cell>
          <cell r="W234">
            <v>6.7683466883328061E-2</v>
          </cell>
          <cell r="Y234">
            <v>47.653217836071406</v>
          </cell>
          <cell r="AA234">
            <v>184.71440719522752</v>
          </cell>
          <cell r="AC234">
            <v>2970</v>
          </cell>
          <cell r="AE234">
            <v>13.254999999999999</v>
          </cell>
          <cell r="AG234">
            <v>4519.7412076974124</v>
          </cell>
          <cell r="AH234">
            <v>0.90004897981150833</v>
          </cell>
          <cell r="AI234">
            <v>7.6186651709888767E-2</v>
          </cell>
          <cell r="AK234">
            <v>0.20607407407407405</v>
          </cell>
          <cell r="AM234">
            <v>46.174273858921161</v>
          </cell>
          <cell r="AO234">
            <v>486.97178423236517</v>
          </cell>
          <cell r="AP234">
            <v>682.20905318747646</v>
          </cell>
          <cell r="AQ234" t="str">
            <v>LTD's store sales excl. Internet/Other ($2,220M in '12, $2,711M in '11). Rent expense is "total store rent" only &amp; excludes equipment ($67M in '12). L Brands sold Mast apparel sourcing division on 11/3/2011, a negative 100bps 2012 rent margin impact. Mast generated $914M in revenue over those 12 months prior to sale.</v>
          </cell>
          <cell r="AR234">
            <v>-111.57675050987679</v>
          </cell>
          <cell r="AS234">
            <v>-0.1123729826658697</v>
          </cell>
          <cell r="AU234">
            <v>-63.923532673805383</v>
          </cell>
          <cell r="AX234" t="e">
            <v>#N/A</v>
          </cell>
          <cell r="AY234">
            <v>1522.8</v>
          </cell>
          <cell r="AZ234" t="e">
            <v>#N/A</v>
          </cell>
          <cell r="BA234">
            <v>-0.15441968023603536</v>
          </cell>
          <cell r="BB234">
            <v>-0.15441968023603536</v>
          </cell>
        </row>
        <row r="235">
          <cell r="A235" t="str">
            <v>LTD2009</v>
          </cell>
          <cell r="B235" t="str">
            <v>LTD</v>
          </cell>
          <cell r="C235">
            <v>2009</v>
          </cell>
          <cell r="D235">
            <v>21</v>
          </cell>
          <cell r="E235">
            <v>31</v>
          </cell>
          <cell r="F235">
            <v>7244.9470000000001</v>
          </cell>
          <cell r="G235">
            <v>8632.4470000000001</v>
          </cell>
          <cell r="H235">
            <v>-0.04</v>
          </cell>
          <cell r="J235">
            <v>9.9424870327071535E-2</v>
          </cell>
          <cell r="L235">
            <v>447</v>
          </cell>
          <cell r="N235">
            <v>6.1698173913487565E-2</v>
          </cell>
          <cell r="P235">
            <v>5.1781377864237102E-2</v>
          </cell>
          <cell r="R235">
            <v>0.5</v>
          </cell>
          <cell r="S235">
            <v>670.5</v>
          </cell>
          <cell r="U235">
            <v>9.2547260870231352E-2</v>
          </cell>
          <cell r="W235">
            <v>7.767206679635566E-2</v>
          </cell>
          <cell r="Y235">
            <v>-111.57675050987679</v>
          </cell>
          <cell r="AA235">
            <v>-99.885999130275991</v>
          </cell>
          <cell r="AC235">
            <v>2992.5</v>
          </cell>
          <cell r="AE235">
            <v>13.645</v>
          </cell>
          <cell r="AG235">
            <v>4600.3029283069664</v>
          </cell>
          <cell r="AH235">
            <v>0.55268004935408455</v>
          </cell>
          <cell r="AI235">
            <v>0</v>
          </cell>
          <cell r="AK235">
            <v>0.22406015037593985</v>
          </cell>
          <cell r="AM235">
            <v>49.138878710150237</v>
          </cell>
          <cell r="AO235">
            <v>461.82359838768787</v>
          </cell>
          <cell r="AP235">
            <v>632.64543788933679</v>
          </cell>
          <cell r="AR235">
            <v>72.973770023941753</v>
          </cell>
          <cell r="AS235">
            <v>7.575757575757569E-3</v>
          </cell>
          <cell r="AU235">
            <v>-38.602980485935035</v>
          </cell>
          <cell r="AX235" t="e">
            <v>#N/A</v>
          </cell>
          <cell r="AY235">
            <v>1387.5</v>
          </cell>
          <cell r="AZ235" t="e">
            <v>#N/A</v>
          </cell>
          <cell r="BA235">
            <v>2.9422859298378068E-2</v>
          </cell>
          <cell r="BB235">
            <v>2.9422859298378068E-2</v>
          </cell>
          <cell r="BC235">
            <v>0</v>
          </cell>
        </row>
        <row r="236">
          <cell r="A236" t="str">
            <v>LTD2010</v>
          </cell>
          <cell r="B236" t="str">
            <v>LTD</v>
          </cell>
          <cell r="C236">
            <v>2010</v>
          </cell>
          <cell r="D236">
            <v>22</v>
          </cell>
          <cell r="E236">
            <v>32</v>
          </cell>
          <cell r="F236">
            <v>8111.4479999999985</v>
          </cell>
          <cell r="G236">
            <v>9613.5479999999989</v>
          </cell>
          <cell r="H236">
            <v>0.09</v>
          </cell>
          <cell r="J236">
            <v>0.13356869529831561</v>
          </cell>
          <cell r="L236">
            <v>461</v>
          </cell>
          <cell r="N236">
            <v>5.683325591189145E-2</v>
          </cell>
          <cell r="P236">
            <v>4.7953159437077765E-2</v>
          </cell>
          <cell r="R236">
            <v>0.5</v>
          </cell>
          <cell r="S236">
            <v>691.5</v>
          </cell>
          <cell r="U236">
            <v>8.5249883867837176E-2</v>
          </cell>
          <cell r="W236">
            <v>7.1929739155616651E-2</v>
          </cell>
          <cell r="Y236">
            <v>72.973770023941753</v>
          </cell>
          <cell r="AA236">
            <v>57.423276407390091</v>
          </cell>
          <cell r="AC236">
            <v>2969.5</v>
          </cell>
          <cell r="AE236">
            <v>13.693124999999998</v>
          </cell>
          <cell r="AG236">
            <v>4622.2203504043118</v>
          </cell>
          <cell r="AH236">
            <v>2.8391356542486434</v>
          </cell>
          <cell r="AI236">
            <v>0</v>
          </cell>
          <cell r="AK236">
            <v>0.23286748610877253</v>
          </cell>
          <cell r="AM236">
            <v>50.499794604956875</v>
          </cell>
          <cell r="AO236">
            <v>506.22673787028168</v>
          </cell>
          <cell r="AP236">
            <v>702.07114884294128</v>
          </cell>
          <cell r="AR236">
            <v>958.01072728132135</v>
          </cell>
          <cell r="AS236">
            <v>-7.6858813700918516E-3</v>
          </cell>
          <cell r="AX236" t="e">
            <v>#N/A</v>
          </cell>
          <cell r="AY236">
            <v>1502.1</v>
          </cell>
          <cell r="AZ236" t="e">
            <v>#N/A</v>
          </cell>
          <cell r="BA236">
            <v>3.5269329424696405E-3</v>
          </cell>
          <cell r="BB236">
            <v>3.5269329424696405E-3</v>
          </cell>
        </row>
        <row r="237">
          <cell r="A237" t="str">
            <v>LTD2011</v>
          </cell>
          <cell r="B237" t="str">
            <v>LTD</v>
          </cell>
          <cell r="C237">
            <v>2011</v>
          </cell>
          <cell r="D237">
            <v>23</v>
          </cell>
          <cell r="E237">
            <v>33</v>
          </cell>
          <cell r="F237">
            <v>8806.6419999999998</v>
          </cell>
          <cell r="G237">
            <v>10364.092000000001</v>
          </cell>
          <cell r="H237">
            <v>9.5188161934013527E-2</v>
          </cell>
          <cell r="J237" t="e">
            <v>#REF!</v>
          </cell>
          <cell r="L237">
            <v>-61.947028644670468</v>
          </cell>
          <cell r="N237">
            <v>-7.0341259068633045E-3</v>
          </cell>
          <cell r="P237">
            <v>-5.9770820873329246E-3</v>
          </cell>
          <cell r="R237">
            <v>0.5</v>
          </cell>
          <cell r="S237">
            <v>-92.920542967005701</v>
          </cell>
          <cell r="U237">
            <v>-1.0551188860294958E-2</v>
          </cell>
          <cell r="W237">
            <v>-8.9656231309993874E-3</v>
          </cell>
          <cell r="Y237">
            <v>958.01072728132135</v>
          </cell>
          <cell r="AA237">
            <v>808.95362286616034</v>
          </cell>
          <cell r="AC237">
            <v>2954.5</v>
          </cell>
          <cell r="AE237">
            <v>13.698124999999999</v>
          </cell>
          <cell r="AG237">
            <v>4650.6290377422647</v>
          </cell>
          <cell r="AH237">
            <v>24.292760383321991</v>
          </cell>
          <cell r="AI237">
            <v>0</v>
          </cell>
          <cell r="AK237">
            <v>-3.1450513781352413E-2</v>
          </cell>
          <cell r="AM237">
            <v>-6.7834497763019179</v>
          </cell>
          <cell r="AO237">
            <v>558.69996806132224</v>
          </cell>
          <cell r="AP237">
            <v>756.60661586896026</v>
          </cell>
          <cell r="AR237">
            <v>7.9841551889418136</v>
          </cell>
          <cell r="AS237">
            <v>-5.0513554470449362E-3</v>
          </cell>
          <cell r="AX237" t="e">
            <v>#N/A</v>
          </cell>
          <cell r="AY237">
            <v>1557.4499999999998</v>
          </cell>
          <cell r="AZ237" t="e">
            <v>#N/A</v>
          </cell>
          <cell r="BA237">
            <v>3.6514674334764408E-4</v>
          </cell>
          <cell r="BB237">
            <v>3.6514674334764408E-4</v>
          </cell>
        </row>
        <row r="238">
          <cell r="A238" t="str">
            <v>LTD2012</v>
          </cell>
          <cell r="B238" t="str">
            <v>LTD</v>
          </cell>
          <cell r="C238">
            <v>2012</v>
          </cell>
          <cell r="D238">
            <v>24</v>
          </cell>
          <cell r="E238">
            <v>34</v>
          </cell>
          <cell r="F238">
            <v>8865.2999999999993</v>
          </cell>
          <cell r="G238">
            <v>10458.5</v>
          </cell>
          <cell r="H238">
            <v>0.06</v>
          </cell>
          <cell r="J238" t="e">
            <v>#REF!</v>
          </cell>
          <cell r="L238">
            <v>-66.944542716450741</v>
          </cell>
          <cell r="N238">
            <v>-7.5513003188217818E-3</v>
          </cell>
          <cell r="P238">
            <v>-6.4009698060382217E-3</v>
          </cell>
          <cell r="R238">
            <v>0.503</v>
          </cell>
          <cell r="S238">
            <v>-100.61764770282547</v>
          </cell>
          <cell r="U238">
            <v>-1.1349604379189139E-2</v>
          </cell>
          <cell r="W238">
            <v>-9.6206576184754474E-3</v>
          </cell>
          <cell r="Y238">
            <v>7.9841551889418136</v>
          </cell>
          <cell r="AA238">
            <v>6.5503448747606008</v>
          </cell>
          <cell r="AC238">
            <v>2908.5</v>
          </cell>
          <cell r="AE238">
            <v>13.619375</v>
          </cell>
          <cell r="AG238">
            <v>4715.3164116828921</v>
          </cell>
          <cell r="AH238">
            <v>-2.8585517329570109</v>
          </cell>
          <cell r="AI238">
            <v>3.081</v>
          </cell>
          <cell r="AK238">
            <v>-3.4594343373844066E-2</v>
          </cell>
          <cell r="AM238">
            <v>-7.387831504957127</v>
          </cell>
          <cell r="AO238">
            <v>604.88091413886457</v>
          </cell>
          <cell r="AP238">
            <v>767.91335872607954</v>
          </cell>
          <cell r="AR238">
            <v>-5.0402104358982136</v>
          </cell>
          <cell r="AS238">
            <v>-1.5569470299543031E-2</v>
          </cell>
          <cell r="AX238" t="e">
            <v>#N/A</v>
          </cell>
          <cell r="AY238">
            <v>1593.2</v>
          </cell>
          <cell r="AZ238" t="e">
            <v>#N/A</v>
          </cell>
          <cell r="BA238">
            <v>-5.7489619929734781E-3</v>
          </cell>
          <cell r="BB238">
            <v>-5.7489619929735891E-3</v>
          </cell>
        </row>
        <row r="239">
          <cell r="A239" t="str">
            <v>LTD2013</v>
          </cell>
          <cell r="B239" t="str">
            <v>LTD</v>
          </cell>
          <cell r="C239" t="str">
            <v>2013e</v>
          </cell>
          <cell r="D239">
            <v>25</v>
          </cell>
          <cell r="E239">
            <v>35</v>
          </cell>
          <cell r="F239">
            <v>9277.0785938034642</v>
          </cell>
          <cell r="G239">
            <v>10848.76057508401</v>
          </cell>
          <cell r="H239">
            <v>2.5951323724957436E-2</v>
          </cell>
          <cell r="J239" t="e">
            <v>#REF!</v>
          </cell>
          <cell r="L239">
            <v>-66.942999999999998</v>
          </cell>
          <cell r="N239">
            <v>-7.2159569764466518E-3</v>
          </cell>
          <cell r="P239">
            <v>-6.1705666317077518E-3</v>
          </cell>
          <cell r="R239">
            <v>0.503</v>
          </cell>
          <cell r="S239">
            <v>-100.615329</v>
          </cell>
          <cell r="U239">
            <v>-1.0845583335599318E-2</v>
          </cell>
          <cell r="W239">
            <v>-9.2743616474567515E-3</v>
          </cell>
          <cell r="Y239">
            <v>-5.0402104358982136</v>
          </cell>
          <cell r="AA239">
            <v>-3.4629597101869596</v>
          </cell>
          <cell r="AC239">
            <v>2893</v>
          </cell>
          <cell r="AE239">
            <v>13.747499999999999</v>
          </cell>
          <cell r="AG239">
            <v>4792.9553264604801</v>
          </cell>
          <cell r="AH239">
            <v>-9.6572497479951253E-2</v>
          </cell>
          <cell r="AI239">
            <v>3.3959999999999999</v>
          </cell>
          <cell r="AK239">
            <v>-3.4778890079502245E-2</v>
          </cell>
          <cell r="AM239">
            <v>-7.3188091653027829</v>
          </cell>
          <cell r="AO239">
            <v>613.91401599879782</v>
          </cell>
          <cell r="AP239">
            <v>789.14424986972256</v>
          </cell>
          <cell r="AY239">
            <v>1571.6819812805456</v>
          </cell>
          <cell r="AZ239" t="e">
            <v>#N/A</v>
          </cell>
          <cell r="BA239">
            <v>9.4075535771647179E-3</v>
          </cell>
          <cell r="BB239">
            <v>9.4075535771649399E-3</v>
          </cell>
        </row>
        <row r="240">
          <cell r="C240" t="str">
            <v>2007 = Trough rent</v>
          </cell>
          <cell r="F240">
            <v>8865.2999999999993</v>
          </cell>
          <cell r="G240">
            <v>10458.5</v>
          </cell>
          <cell r="H240">
            <v>0.06</v>
          </cell>
          <cell r="J240" t="e">
            <v>#REF!</v>
          </cell>
          <cell r="L240">
            <v>-66.944542716450741</v>
          </cell>
          <cell r="N240">
            <v>-7.5513003188217818E-3</v>
          </cell>
          <cell r="P240">
            <v>-6.4009698060382217E-3</v>
          </cell>
          <cell r="S240">
            <v>-100.61764770282547</v>
          </cell>
          <cell r="U240">
            <v>-1.1349604379189139E-2</v>
          </cell>
          <cell r="W240">
            <v>-9.6206576184754474E-3</v>
          </cell>
          <cell r="Z240">
            <v>0</v>
          </cell>
          <cell r="AB240">
            <v>0</v>
          </cell>
          <cell r="AC240">
            <v>2908.5</v>
          </cell>
          <cell r="AE240">
            <v>13.619375</v>
          </cell>
          <cell r="AG240">
            <v>4715.3164116828921</v>
          </cell>
          <cell r="AH240">
            <v>-7.8447952616746072E-2</v>
          </cell>
          <cell r="AI240">
            <v>-7.8447952616746072E-2</v>
          </cell>
          <cell r="AK240">
            <v>-3.4594343373844066E-2</v>
          </cell>
          <cell r="AM240">
            <v>-7.387831504957127</v>
          </cell>
          <cell r="AO240">
            <v>604.88091413886457</v>
          </cell>
          <cell r="AP240">
            <v>767.91335872607954</v>
          </cell>
          <cell r="AR240" t="e">
            <v>#REF!</v>
          </cell>
        </row>
        <row r="242">
          <cell r="A242" t="str">
            <v>LULU2005</v>
          </cell>
          <cell r="C242" t="str">
            <v>2005 (net retail sales)</v>
          </cell>
          <cell r="D242">
            <v>2</v>
          </cell>
          <cell r="E242">
            <v>3</v>
          </cell>
          <cell r="F242">
            <v>84.13</v>
          </cell>
          <cell r="G242">
            <v>84.13</v>
          </cell>
          <cell r="H242">
            <v>0.12</v>
          </cell>
          <cell r="J242" t="e">
            <v>#N/A</v>
          </cell>
          <cell r="L242">
            <v>3.415</v>
          </cell>
          <cell r="N242">
            <v>4.0591941043622966E-2</v>
          </cell>
          <cell r="P242">
            <v>4.0591941043622966E-2</v>
          </cell>
          <cell r="R242">
            <v>0</v>
          </cell>
          <cell r="S242">
            <v>3.415</v>
          </cell>
          <cell r="U242">
            <v>4.0591941043622966E-2</v>
          </cell>
          <cell r="W242">
            <v>4.0591941043622966E-2</v>
          </cell>
          <cell r="AC242">
            <v>26.5</v>
          </cell>
          <cell r="AE242">
            <v>5.9450000000000003E-2</v>
          </cell>
          <cell r="AG242" t="e">
            <v>#N/A</v>
          </cell>
          <cell r="AH242" t="e">
            <v>#REF!</v>
          </cell>
          <cell r="AI242">
            <v>0</v>
          </cell>
          <cell r="AK242">
            <v>0.1288679245283019</v>
          </cell>
          <cell r="AM242">
            <v>57.443229604709835</v>
          </cell>
          <cell r="AO242" t="e">
            <v>#N/A</v>
          </cell>
          <cell r="AP242">
            <v>1415.1387720773757</v>
          </cell>
          <cell r="AR242">
            <v>-370.20910329177184</v>
          </cell>
          <cell r="AX242" t="e">
            <v>#N/A</v>
          </cell>
          <cell r="AY242" t="e">
            <v>#N/A</v>
          </cell>
        </row>
        <row r="243">
          <cell r="A243" t="str">
            <v>LULU2006</v>
          </cell>
          <cell r="C243" t="str">
            <v>2006 (net retail sales)</v>
          </cell>
          <cell r="D243">
            <v>3</v>
          </cell>
          <cell r="E243">
            <v>4</v>
          </cell>
          <cell r="F243">
            <v>119.81263200000001</v>
          </cell>
          <cell r="G243">
            <v>119.81263200000001</v>
          </cell>
          <cell r="H243" t="e">
            <v>#N/A</v>
          </cell>
          <cell r="J243" t="e">
            <v>#N/A</v>
          </cell>
          <cell r="L243">
            <v>9.2989999999999995</v>
          </cell>
          <cell r="N243">
            <v>7.7612851372800148E-2</v>
          </cell>
          <cell r="P243">
            <v>7.7612851372800148E-2</v>
          </cell>
          <cell r="R243">
            <v>0</v>
          </cell>
          <cell r="S243">
            <v>9.2989999999999995</v>
          </cell>
          <cell r="U243">
            <v>7.7612851372800148E-2</v>
          </cell>
          <cell r="W243">
            <v>7.7612851372800148E-2</v>
          </cell>
          <cell r="Y243">
            <v>-370.20910329177184</v>
          </cell>
          <cell r="AA243">
            <v>-370.20910329177184</v>
          </cell>
          <cell r="AC243">
            <v>40</v>
          </cell>
          <cell r="AE243">
            <v>9.8599999999999993E-2</v>
          </cell>
          <cell r="AG243" t="e">
            <v>#N/A</v>
          </cell>
          <cell r="AH243" t="e">
            <v>#REF!</v>
          </cell>
          <cell r="AI243">
            <v>0</v>
          </cell>
          <cell r="AK243">
            <v>0.23247499999999999</v>
          </cell>
          <cell r="AM243">
            <v>94.310344827586206</v>
          </cell>
          <cell r="AO243" t="e">
            <v>#N/A</v>
          </cell>
          <cell r="AP243">
            <v>1215.1382555780935</v>
          </cell>
          <cell r="AR243">
            <v>-14.334231755733507</v>
          </cell>
          <cell r="AX243" t="e">
            <v>#N/A</v>
          </cell>
          <cell r="AY243" t="e">
            <v>#N/A</v>
          </cell>
          <cell r="BA243">
            <v>0.65853658536585336</v>
          </cell>
        </row>
        <row r="244">
          <cell r="A244" t="str">
            <v>LULU2007</v>
          </cell>
          <cell r="C244" t="str">
            <v>2007 (net retail sales)</v>
          </cell>
          <cell r="D244">
            <v>4</v>
          </cell>
          <cell r="E244">
            <v>5</v>
          </cell>
          <cell r="F244">
            <v>240.441439</v>
          </cell>
          <cell r="G244">
            <v>240.441439</v>
          </cell>
          <cell r="H244" t="e">
            <v>#N/A</v>
          </cell>
          <cell r="J244" t="e">
            <v>#N/A</v>
          </cell>
          <cell r="L244">
            <v>19.006</v>
          </cell>
          <cell r="N244">
            <v>7.9046274548373499E-2</v>
          </cell>
          <cell r="P244">
            <v>7.9046274548373499E-2</v>
          </cell>
          <cell r="R244">
            <v>0</v>
          </cell>
          <cell r="S244">
            <v>19.006</v>
          </cell>
          <cell r="U244">
            <v>7.9046274548373499E-2</v>
          </cell>
          <cell r="W244">
            <v>7.9046274548373499E-2</v>
          </cell>
          <cell r="Y244">
            <v>-14.334231755733507</v>
          </cell>
          <cell r="AA244">
            <v>-14.334231755733507</v>
          </cell>
          <cell r="AC244">
            <v>62</v>
          </cell>
          <cell r="AE244">
            <v>0.16239999999999999</v>
          </cell>
          <cell r="AG244" t="e">
            <v>#N/A</v>
          </cell>
          <cell r="AH244" t="e">
            <v>#REF!</v>
          </cell>
          <cell r="AI244">
            <v>3.081</v>
          </cell>
          <cell r="AK244">
            <v>0.30654838709677418</v>
          </cell>
          <cell r="AM244">
            <v>117.03201970443351</v>
          </cell>
          <cell r="AO244" t="e">
            <v>#N/A</v>
          </cell>
          <cell r="AP244">
            <v>1480.5507327586208</v>
          </cell>
          <cell r="AQ244" t="str">
            <v xml:space="preserve">10K rent expense adjusted based on corporate-owned stores' percent of total revenue.  Net retail sales exclude Internet/Other (2011 $184M, 2010 $121M). </v>
          </cell>
          <cell r="AR244">
            <v>-134.63230724789943</v>
          </cell>
          <cell r="AX244" t="e">
            <v>#N/A</v>
          </cell>
          <cell r="AY244" t="e">
            <v>#N/A</v>
          </cell>
          <cell r="BA244">
            <v>0.64705882352941169</v>
          </cell>
        </row>
        <row r="245">
          <cell r="A245" t="str">
            <v>LULU2008</v>
          </cell>
          <cell r="B245" t="str">
            <v>LULU</v>
          </cell>
          <cell r="C245">
            <v>2008</v>
          </cell>
          <cell r="D245">
            <v>5</v>
          </cell>
          <cell r="E245">
            <v>6</v>
          </cell>
          <cell r="F245">
            <v>353.488</v>
          </cell>
          <cell r="G245">
            <v>353.488</v>
          </cell>
          <cell r="H245" t="e">
            <v>#N/A</v>
          </cell>
          <cell r="J245" t="e">
            <v>#N/A</v>
          </cell>
          <cell r="L245">
            <v>32.701000000000001</v>
          </cell>
          <cell r="N245">
            <v>9.2509505273163442E-2</v>
          </cell>
          <cell r="P245">
            <v>9.2509505273163442E-2</v>
          </cell>
          <cell r="R245">
            <v>0</v>
          </cell>
          <cell r="S245">
            <v>32.701000000000001</v>
          </cell>
          <cell r="U245">
            <v>9.2509505273163442E-2</v>
          </cell>
          <cell r="W245">
            <v>9.2509505273163442E-2</v>
          </cell>
          <cell r="Y245">
            <v>-134.63230724789943</v>
          </cell>
          <cell r="AA245">
            <v>-134.63230724789943</v>
          </cell>
          <cell r="AC245">
            <v>95</v>
          </cell>
          <cell r="AE245">
            <v>0.24714999999999998</v>
          </cell>
          <cell r="AG245" t="e">
            <v>#N/A</v>
          </cell>
          <cell r="AH245" t="e">
            <v>#REF!</v>
          </cell>
          <cell r="AI245">
            <v>3.3959999999999999</v>
          </cell>
          <cell r="AK245">
            <v>0.34422105263157893</v>
          </cell>
          <cell r="AM245">
            <v>132.31236091442446</v>
          </cell>
          <cell r="AO245" t="e">
            <v>#N/A</v>
          </cell>
          <cell r="AP245">
            <v>1430.2569289904918</v>
          </cell>
          <cell r="AQ245" t="str">
            <v xml:space="preserve">10K rent expense adjusted based on corporate-owned stores' percent of total revenue.  Exclude Internet/Other ($197 in '12,  $106M in '11). </v>
          </cell>
          <cell r="AR245">
            <v>5.7048147531049693</v>
          </cell>
          <cell r="AS245">
            <v>0.532258064516129</v>
          </cell>
          <cell r="AU245">
            <v>-128.92749249479448</v>
          </cell>
          <cell r="AX245">
            <v>0</v>
          </cell>
          <cell r="AY245">
            <v>0</v>
          </cell>
          <cell r="BA245">
            <v>0.52185960591133007</v>
          </cell>
        </row>
        <row r="246">
          <cell r="A246" t="str">
            <v>LULU2009</v>
          </cell>
          <cell r="B246" t="str">
            <v>LULU</v>
          </cell>
          <cell r="C246">
            <v>2009</v>
          </cell>
          <cell r="D246">
            <v>6</v>
          </cell>
          <cell r="E246">
            <v>7</v>
          </cell>
          <cell r="F246">
            <v>452.89800000000002</v>
          </cell>
          <cell r="G246">
            <v>452.89800000000002</v>
          </cell>
          <cell r="H246" t="e">
            <v>#N/A</v>
          </cell>
          <cell r="J246" t="e">
            <v>#N/A</v>
          </cell>
          <cell r="L246">
            <v>41.639000000000003</v>
          </cell>
          <cell r="N246">
            <v>9.1939023797852945E-2</v>
          </cell>
          <cell r="P246">
            <v>9.1939023797852945E-2</v>
          </cell>
          <cell r="R246">
            <v>0</v>
          </cell>
          <cell r="S246">
            <v>41.639000000000003</v>
          </cell>
          <cell r="U246">
            <v>9.1939023797852945E-2</v>
          </cell>
          <cell r="W246">
            <v>9.1939023797852945E-2</v>
          </cell>
          <cell r="Y246">
            <v>5.7048147531049693</v>
          </cell>
          <cell r="AA246">
            <v>5.7048147531049693</v>
          </cell>
          <cell r="AC246">
            <v>118.5</v>
          </cell>
          <cell r="AE246">
            <v>0.30127999999999999</v>
          </cell>
          <cell r="AG246" t="e">
            <v>#N/A</v>
          </cell>
          <cell r="AH246" t="e">
            <v>#REF!</v>
          </cell>
          <cell r="AI246">
            <v>4.2779999999999996</v>
          </cell>
          <cell r="AK246">
            <v>0.35138396624472579</v>
          </cell>
          <cell r="AM246">
            <v>138.20698353690921</v>
          </cell>
          <cell r="AO246" t="e">
            <v>#N/A</v>
          </cell>
          <cell r="AP246">
            <v>1503.2461497610198</v>
          </cell>
          <cell r="AR246">
            <v>173.70101886496542</v>
          </cell>
          <cell r="AS246">
            <v>0.24736842105263168</v>
          </cell>
          <cell r="AU246">
            <v>179.4058336180704</v>
          </cell>
          <cell r="AX246">
            <v>0</v>
          </cell>
          <cell r="AY246">
            <v>0</v>
          </cell>
          <cell r="BA246">
            <v>0.2190167914222132</v>
          </cell>
        </row>
        <row r="247">
          <cell r="A247" t="str">
            <v>LULU2010</v>
          </cell>
          <cell r="B247" t="str">
            <v>LULU</v>
          </cell>
          <cell r="C247">
            <v>2010</v>
          </cell>
          <cell r="D247">
            <v>7</v>
          </cell>
          <cell r="E247">
            <v>8</v>
          </cell>
          <cell r="F247">
            <v>711.70400000000006</v>
          </cell>
          <cell r="G247">
            <v>711.70400000000006</v>
          </cell>
          <cell r="H247" t="e">
            <v>#N/A</v>
          </cell>
          <cell r="J247" t="e">
            <v>#N/A</v>
          </cell>
          <cell r="L247">
            <v>53.070999999999998</v>
          </cell>
          <cell r="N247">
            <v>7.4568921911356403E-2</v>
          </cell>
          <cell r="P247">
            <v>7.4568921911356403E-2</v>
          </cell>
          <cell r="R247">
            <v>0</v>
          </cell>
          <cell r="S247">
            <v>53.070999999999998</v>
          </cell>
          <cell r="U247">
            <v>7.4568921911356403E-2</v>
          </cell>
          <cell r="W247">
            <v>7.4568921911356403E-2</v>
          </cell>
          <cell r="Y247">
            <v>173.70101886496542</v>
          </cell>
          <cell r="AA247">
            <v>173.70101886496542</v>
          </cell>
          <cell r="AC247">
            <v>130.5</v>
          </cell>
          <cell r="AE247">
            <v>0.34408000000000005</v>
          </cell>
          <cell r="AG247" t="e">
            <v>#N/A</v>
          </cell>
          <cell r="AH247" t="e">
            <v>#REF!</v>
          </cell>
          <cell r="AI247">
            <v>4.4009999999999998</v>
          </cell>
          <cell r="AK247">
            <v>0.40667432950191568</v>
          </cell>
          <cell r="AM247">
            <v>154.24029295512668</v>
          </cell>
          <cell r="AO247" t="e">
            <v>#N/A</v>
          </cell>
          <cell r="AP247">
            <v>2068.4259474540804</v>
          </cell>
          <cell r="AR247">
            <v>75.081858688960253</v>
          </cell>
          <cell r="AS247">
            <v>0.10126582278481022</v>
          </cell>
          <cell r="AU247">
            <v>248.78287755392569</v>
          </cell>
          <cell r="AX247">
            <v>0</v>
          </cell>
          <cell r="AY247">
            <v>0</v>
          </cell>
          <cell r="BA247">
            <v>0.14206054168879478</v>
          </cell>
        </row>
        <row r="248">
          <cell r="A248" t="str">
            <v>LULU2011</v>
          </cell>
          <cell r="B248" t="str">
            <v>LULU</v>
          </cell>
          <cell r="C248">
            <v>2011</v>
          </cell>
          <cell r="D248">
            <v>8</v>
          </cell>
          <cell r="E248">
            <v>9</v>
          </cell>
          <cell r="F248">
            <v>1000.8389999999999</v>
          </cell>
          <cell r="G248">
            <v>1000.8389999999999</v>
          </cell>
          <cell r="H248" t="e">
            <v>#N/A</v>
          </cell>
          <cell r="J248" t="e">
            <v>#N/A</v>
          </cell>
          <cell r="L248">
            <v>67.117000000000004</v>
          </cell>
          <cell r="N248">
            <v>6.7060736042460378E-2</v>
          </cell>
          <cell r="P248">
            <v>6.7060736042460378E-2</v>
          </cell>
          <cell r="R248">
            <v>0</v>
          </cell>
          <cell r="S248">
            <v>67.117000000000004</v>
          </cell>
          <cell r="U248">
            <v>6.7060736042460378E-2</v>
          </cell>
          <cell r="W248">
            <v>6.7060736042460378E-2</v>
          </cell>
          <cell r="Y248">
            <v>75.081858688960253</v>
          </cell>
          <cell r="AA248">
            <v>75.081858688960253</v>
          </cell>
          <cell r="AC248">
            <v>155.5</v>
          </cell>
          <cell r="AE248">
            <v>0.434</v>
          </cell>
          <cell r="AG248" t="e">
            <v>#N/A</v>
          </cell>
          <cell r="AH248" t="e">
            <v>#REF!</v>
          </cell>
          <cell r="AI248">
            <v>0</v>
          </cell>
          <cell r="AK248">
            <v>0.43162057877813509</v>
          </cell>
          <cell r="AM248">
            <v>154.64746543778804</v>
          </cell>
          <cell r="AO248" t="e">
            <v>#N/A</v>
          </cell>
          <cell r="AP248">
            <v>2306.0806451612902</v>
          </cell>
          <cell r="AR248">
            <v>69.100308982571818</v>
          </cell>
          <cell r="AS248">
            <v>0.1915708812260537</v>
          </cell>
          <cell r="AY248">
            <v>0</v>
          </cell>
          <cell r="BA248">
            <v>0.26133457335503341</v>
          </cell>
        </row>
        <row r="249">
          <cell r="A249" t="str">
            <v>LULU2012</v>
          </cell>
          <cell r="B249" t="str">
            <v>LULU</v>
          </cell>
          <cell r="C249">
            <v>2012</v>
          </cell>
          <cell r="D249">
            <v>9</v>
          </cell>
          <cell r="E249">
            <v>10</v>
          </cell>
          <cell r="F249">
            <v>1370.3579999999999</v>
          </cell>
          <cell r="G249">
            <v>1370.3579999999999</v>
          </cell>
          <cell r="H249" t="e">
            <v>#N/A</v>
          </cell>
          <cell r="J249" t="e">
            <v>#N/A</v>
          </cell>
          <cell r="L249">
            <v>82.427999999999997</v>
          </cell>
          <cell r="N249">
            <v>6.0150705144203197E-2</v>
          </cell>
          <cell r="P249">
            <v>6.0150705144203197E-2</v>
          </cell>
          <cell r="R249">
            <v>0</v>
          </cell>
          <cell r="S249">
            <v>82.427999999999997</v>
          </cell>
          <cell r="U249">
            <v>6.0150705144203197E-2</v>
          </cell>
          <cell r="W249">
            <v>6.0150705144203197E-2</v>
          </cell>
          <cell r="Y249">
            <v>69.100308982571818</v>
          </cell>
          <cell r="AA249">
            <v>69.100308982571818</v>
          </cell>
          <cell r="AC249">
            <v>192.5</v>
          </cell>
          <cell r="AE249">
            <v>0.54800000000000004</v>
          </cell>
          <cell r="AG249" t="e">
            <v>#N/A</v>
          </cell>
          <cell r="AH249" t="e">
            <v>#REF!</v>
          </cell>
          <cell r="AI249">
            <v>0.31430417733017996</v>
          </cell>
          <cell r="AK249">
            <v>0.42819740259740258</v>
          </cell>
          <cell r="AM249">
            <v>150.41605839416056</v>
          </cell>
          <cell r="AO249" t="e">
            <v>#N/A</v>
          </cell>
          <cell r="AP249">
            <v>2500.6532846715327</v>
          </cell>
          <cell r="AS249">
            <v>0.23794212218649524</v>
          </cell>
          <cell r="AY249">
            <v>0</v>
          </cell>
          <cell r="BA249">
            <v>0.26267281105990792</v>
          </cell>
        </row>
        <row r="250">
          <cell r="A250" t="str">
            <v>LULU2013</v>
          </cell>
          <cell r="B250" t="str">
            <v>LULU</v>
          </cell>
          <cell r="C250" t="str">
            <v>2013e</v>
          </cell>
          <cell r="D250">
            <v>10</v>
          </cell>
          <cell r="E250">
            <v>11</v>
          </cell>
          <cell r="F250">
            <v>1591.1879999999999</v>
          </cell>
          <cell r="G250">
            <v>1591.1879999999999</v>
          </cell>
          <cell r="H250" t="e">
            <v>#N/A</v>
          </cell>
          <cell r="J250" t="e">
            <v>#N/A</v>
          </cell>
          <cell r="L250">
            <v>95.573999999999998</v>
          </cell>
          <cell r="N250">
            <v>6.0064555539634544E-2</v>
          </cell>
          <cell r="P250">
            <v>6.0064555539634544E-2</v>
          </cell>
          <cell r="R250">
            <v>0</v>
          </cell>
          <cell r="S250">
            <v>95.573999999999998</v>
          </cell>
          <cell r="U250">
            <v>6.0064555539634544E-2</v>
          </cell>
          <cell r="W250">
            <v>6.0064555539634544E-2</v>
          </cell>
          <cell r="Y250">
            <v>0.86149604568652727</v>
          </cell>
          <cell r="AA250">
            <v>0.86149604568652727</v>
          </cell>
          <cell r="AC250">
            <v>232.5</v>
          </cell>
          <cell r="AE250">
            <v>0.67100000000000004</v>
          </cell>
          <cell r="AG250" t="e">
            <v>#N/A</v>
          </cell>
          <cell r="AH250" t="e">
            <v>#REF!</v>
          </cell>
          <cell r="AI250">
            <v>0.7362238983900814</v>
          </cell>
          <cell r="AK250">
            <v>0.41107096774193547</v>
          </cell>
          <cell r="AM250">
            <v>142.43517138599105</v>
          </cell>
          <cell r="AO250" t="e">
            <v>#N/A</v>
          </cell>
          <cell r="AP250">
            <v>2371.3681073025332</v>
          </cell>
          <cell r="AY250">
            <v>0</v>
          </cell>
          <cell r="BA250">
            <v>0.22445255474452552</v>
          </cell>
        </row>
        <row r="251">
          <cell r="C251" t="str">
            <v>2005 = Trough rent</v>
          </cell>
          <cell r="F251">
            <v>84.13</v>
          </cell>
          <cell r="G251">
            <v>84.13</v>
          </cell>
          <cell r="H251">
            <v>0.12</v>
          </cell>
          <cell r="J251" t="e">
            <v>#N/A</v>
          </cell>
          <cell r="L251">
            <v>3.415</v>
          </cell>
          <cell r="N251">
            <v>4.0591941043622966E-2</v>
          </cell>
          <cell r="P251">
            <v>4.0591941043622966E-2</v>
          </cell>
          <cell r="S251">
            <v>3.415</v>
          </cell>
          <cell r="U251">
            <v>4.0591941043622966E-2</v>
          </cell>
          <cell r="W251">
            <v>4.0591941043622966E-2</v>
          </cell>
          <cell r="Z251">
            <v>0</v>
          </cell>
          <cell r="AB251">
            <v>0</v>
          </cell>
          <cell r="AC251">
            <v>26.5</v>
          </cell>
          <cell r="AE251">
            <v>5.9450000000000003E-2</v>
          </cell>
          <cell r="AG251" t="e">
            <v>#N/A</v>
          </cell>
          <cell r="AH251">
            <v>2.8391356542486434</v>
          </cell>
          <cell r="AI251">
            <v>2.8391356542486434</v>
          </cell>
          <cell r="AK251">
            <v>0.1288679245283019</v>
          </cell>
          <cell r="AM251">
            <v>57.443229604709835</v>
          </cell>
          <cell r="AO251" t="e">
            <v>#N/A</v>
          </cell>
          <cell r="AP251">
            <v>1415.1387720773757</v>
          </cell>
          <cell r="AR251" t="e">
            <v>#N/A</v>
          </cell>
        </row>
        <row r="253">
          <cell r="AI253">
            <v>0</v>
          </cell>
        </row>
        <row r="254">
          <cell r="C254">
            <v>1998</v>
          </cell>
          <cell r="D254">
            <v>6</v>
          </cell>
          <cell r="E254">
            <v>6</v>
          </cell>
          <cell r="F254">
            <v>283.85300000000001</v>
          </cell>
          <cell r="H254">
            <v>0.14000000000000001</v>
          </cell>
          <cell r="J254">
            <v>0.12490620144934172</v>
          </cell>
          <cell r="L254">
            <v>23.373000000000001</v>
          </cell>
          <cell r="N254">
            <v>8.2341916414482144E-2</v>
          </cell>
          <cell r="P254" t="str">
            <v>-</v>
          </cell>
          <cell r="S254">
            <v>35.0595</v>
          </cell>
          <cell r="U254">
            <v>0.12351287462172321</v>
          </cell>
          <cell r="AC254">
            <v>182</v>
          </cell>
          <cell r="AE254">
            <v>0.74307068062827231</v>
          </cell>
          <cell r="AG254">
            <v>4055</v>
          </cell>
          <cell r="AH254">
            <v>0.95290543931522975</v>
          </cell>
          <cell r="AI254">
            <v>3.081</v>
          </cell>
          <cell r="AK254">
            <v>0.19263461538461538</v>
          </cell>
          <cell r="AM254">
            <v>47.181918105498262</v>
          </cell>
          <cell r="AO254">
            <v>382</v>
          </cell>
        </row>
        <row r="255">
          <cell r="A255" t="str">
            <v>PLCE1999</v>
          </cell>
          <cell r="C255">
            <v>1999</v>
          </cell>
          <cell r="D255">
            <v>7</v>
          </cell>
          <cell r="E255">
            <v>7</v>
          </cell>
          <cell r="F255">
            <v>421.49599999999998</v>
          </cell>
          <cell r="H255">
            <v>0.15</v>
          </cell>
          <cell r="J255">
            <v>0.13721838404160419</v>
          </cell>
          <cell r="L255">
            <v>33.279000000000003</v>
          </cell>
          <cell r="N255">
            <v>7.8954485926319595E-2</v>
          </cell>
          <cell r="P255" t="str">
            <v>-</v>
          </cell>
          <cell r="S255">
            <v>49.918500000000009</v>
          </cell>
          <cell r="T255">
            <v>16.639500000000005</v>
          </cell>
          <cell r="U255">
            <v>0.11843172888947941</v>
          </cell>
          <cell r="AC255">
            <v>251</v>
          </cell>
          <cell r="AE255">
            <v>1.0181062801932366</v>
          </cell>
          <cell r="AG255">
            <v>4056.2003194949662</v>
          </cell>
          <cell r="AH255">
            <v>0.90483336640125767</v>
          </cell>
          <cell r="AI255">
            <v>3.3959999999999999</v>
          </cell>
          <cell r="AK255">
            <v>0.19887848605577693</v>
          </cell>
          <cell r="AM255">
            <v>49.030735760244475</v>
          </cell>
          <cell r="AO255">
            <v>414</v>
          </cell>
        </row>
        <row r="256">
          <cell r="C256">
            <v>2000</v>
          </cell>
          <cell r="D256">
            <v>8</v>
          </cell>
          <cell r="E256">
            <v>8</v>
          </cell>
          <cell r="F256">
            <v>587.38499999999999</v>
          </cell>
          <cell r="H256">
            <v>0.04</v>
          </cell>
          <cell r="J256">
            <v>0.12138546268631309</v>
          </cell>
          <cell r="L256">
            <v>48.161999999999999</v>
          </cell>
          <cell r="N256">
            <v>8.1993922214561143E-2</v>
          </cell>
          <cell r="P256" t="str">
            <v>-</v>
          </cell>
          <cell r="S256">
            <v>72.242999999999995</v>
          </cell>
          <cell r="T256">
            <v>24.080999999999996</v>
          </cell>
          <cell r="U256">
            <v>0.12299088332184172</v>
          </cell>
          <cell r="AC256">
            <v>346.5</v>
          </cell>
          <cell r="AE256">
            <v>1.4405000000000001</v>
          </cell>
          <cell r="AG256">
            <v>4157.2871572871572</v>
          </cell>
          <cell r="AH256">
            <v>0.83728668561396624</v>
          </cell>
          <cell r="AI256">
            <v>3.6379999999999999</v>
          </cell>
          <cell r="AK256">
            <v>0.20849350649350648</v>
          </cell>
          <cell r="AM256">
            <v>50.151336341548067</v>
          </cell>
          <cell r="AO256">
            <v>403</v>
          </cell>
        </row>
        <row r="257">
          <cell r="C257">
            <v>2001</v>
          </cell>
          <cell r="D257">
            <v>9</v>
          </cell>
          <cell r="E257">
            <v>9</v>
          </cell>
          <cell r="F257">
            <v>656.95600000000002</v>
          </cell>
          <cell r="H257">
            <v>-0.08</v>
          </cell>
          <cell r="J257">
            <v>0.11562418183257331</v>
          </cell>
          <cell r="L257">
            <v>63.048999999999999</v>
          </cell>
          <cell r="N257">
            <v>9.5971419699340588E-2</v>
          </cell>
          <cell r="P257" t="str">
            <v>-</v>
          </cell>
          <cell r="S257">
            <v>94.573499999999996</v>
          </cell>
          <cell r="T257">
            <v>31.524499999999996</v>
          </cell>
          <cell r="U257">
            <v>0.14395712954901088</v>
          </cell>
          <cell r="AC257">
            <v>460</v>
          </cell>
          <cell r="AE257">
            <v>1.9540000000000002</v>
          </cell>
          <cell r="AG257">
            <v>4247.826086956522</v>
          </cell>
          <cell r="AH257">
            <v>0.56325945814165801</v>
          </cell>
          <cell r="AI257">
            <v>4.024</v>
          </cell>
          <cell r="AK257">
            <v>0.20559456521739131</v>
          </cell>
          <cell r="AM257">
            <v>48.399948822927321</v>
          </cell>
          <cell r="AO257">
            <v>334</v>
          </cell>
          <cell r="AS257" t="str">
            <v>Total rent expense as reported in footnote 5 includes only minimum rent and</v>
          </cell>
        </row>
        <row r="258">
          <cell r="C258">
            <v>2002</v>
          </cell>
          <cell r="D258">
            <v>10</v>
          </cell>
          <cell r="E258">
            <v>10</v>
          </cell>
          <cell r="F258">
            <v>671.41399999999999</v>
          </cell>
          <cell r="H258">
            <v>-0.16</v>
          </cell>
          <cell r="J258">
            <v>1.9957879936968844E-2</v>
          </cell>
          <cell r="L258">
            <v>71.805999999999997</v>
          </cell>
          <cell r="N258">
            <v>0.10694742736970037</v>
          </cell>
          <cell r="P258" t="str">
            <v>-</v>
          </cell>
          <cell r="S258">
            <v>107.709</v>
          </cell>
          <cell r="T258">
            <v>35.903000000000006</v>
          </cell>
          <cell r="U258">
            <v>0.16042114105455055</v>
          </cell>
          <cell r="AC258">
            <v>581.5</v>
          </cell>
          <cell r="AE258">
            <v>2.5369999999999999</v>
          </cell>
          <cell r="AG258">
            <v>4362.8546861564919</v>
          </cell>
          <cell r="AH258">
            <v>0.59817887498631306</v>
          </cell>
          <cell r="AI258">
            <v>4.2779999999999996</v>
          </cell>
          <cell r="AK258">
            <v>0.18522613929492693</v>
          </cell>
          <cell r="AM258">
            <v>42.455262120614904</v>
          </cell>
          <cell r="AO258">
            <v>263</v>
          </cell>
          <cell r="AS258" t="str">
            <v>percentage (contingent) rent. It does not include CAM, taxes or insurance.</v>
          </cell>
        </row>
        <row r="259">
          <cell r="C259">
            <v>2003</v>
          </cell>
          <cell r="D259">
            <v>11</v>
          </cell>
          <cell r="E259">
            <v>11</v>
          </cell>
          <cell r="F259">
            <v>797.93799999999987</v>
          </cell>
          <cell r="G259">
            <v>797.93799999999987</v>
          </cell>
          <cell r="H259">
            <v>0.04</v>
          </cell>
          <cell r="J259">
            <v>4.5226571488010174E-2</v>
          </cell>
          <cell r="L259">
            <v>91.747</v>
          </cell>
          <cell r="N259">
            <v>0.11498011123671265</v>
          </cell>
          <cell r="P259">
            <v>0.11498011123671265</v>
          </cell>
          <cell r="S259">
            <v>137.62049999999999</v>
          </cell>
          <cell r="T259">
            <v>45.873499999999993</v>
          </cell>
          <cell r="U259">
            <v>0.17247016685506897</v>
          </cell>
          <cell r="W259">
            <v>0.17247016685506897</v>
          </cell>
          <cell r="Y259">
            <v>-120.4902580051842</v>
          </cell>
          <cell r="AA259">
            <v>-1724.7016685506896</v>
          </cell>
          <cell r="AC259">
            <v>667</v>
          </cell>
          <cell r="AE259">
            <v>2.9575</v>
          </cell>
          <cell r="AG259">
            <v>4434.0329835082466</v>
          </cell>
          <cell r="AH259">
            <v>0.86067255585926594</v>
          </cell>
          <cell r="AI259">
            <v>4.4009999999999998</v>
          </cell>
          <cell r="AK259">
            <v>0.20632758620689653</v>
          </cell>
          <cell r="AM259">
            <v>46.532713440405743</v>
          </cell>
          <cell r="AO259">
            <v>264.05342349957732</v>
          </cell>
          <cell r="AP259">
            <v>269.80152155536769</v>
          </cell>
          <cell r="AS259" t="str">
            <v>Minimum rent does include DC rent, and other leases (office equipment, auto leases, etc.)</v>
          </cell>
        </row>
        <row r="260">
          <cell r="C260">
            <v>2004</v>
          </cell>
          <cell r="D260">
            <v>12</v>
          </cell>
          <cell r="E260">
            <v>12</v>
          </cell>
          <cell r="F260">
            <v>1157.548</v>
          </cell>
          <cell r="G260">
            <v>1157.548</v>
          </cell>
          <cell r="H260">
            <v>0.16</v>
          </cell>
          <cell r="J260">
            <v>5.9695148710895748E-2</v>
          </cell>
          <cell r="L260">
            <v>108.91799999999999</v>
          </cell>
          <cell r="N260">
            <v>9.4093722247371156E-2</v>
          </cell>
          <cell r="P260">
            <v>9.4093722247371156E-2</v>
          </cell>
          <cell r="S260">
            <v>163.37699999999998</v>
          </cell>
          <cell r="T260">
            <v>54.458999999999989</v>
          </cell>
          <cell r="U260">
            <v>0.14114058337105673</v>
          </cell>
          <cell r="W260">
            <v>0.14114058337105673</v>
          </cell>
          <cell r="Y260">
            <v>313.29583484012244</v>
          </cell>
          <cell r="AA260">
            <v>313.29583484012244</v>
          </cell>
          <cell r="AC260">
            <v>873.5</v>
          </cell>
          <cell r="AE260">
            <v>3.2385000000000002</v>
          </cell>
          <cell r="AG260">
            <v>4494.7952810548231</v>
          </cell>
          <cell r="AH260">
            <v>0.24145908698828672</v>
          </cell>
          <cell r="AI260">
            <v>0</v>
          </cell>
          <cell r="AK260">
            <v>0.18703720663995418</v>
          </cell>
          <cell r="AM260">
            <v>50.448355720240841</v>
          </cell>
          <cell r="AO260">
            <v>244.06994066405758</v>
          </cell>
          <cell r="AP260">
            <v>357.43337965107298</v>
          </cell>
        </row>
        <row r="261">
          <cell r="A261" t="str">
            <v>PLCE</v>
          </cell>
          <cell r="B261" t="str">
            <v>PLCE</v>
          </cell>
          <cell r="C261" t="str">
            <v>2005 (CP &amp; Dis, total revs.)</v>
          </cell>
          <cell r="D261">
            <v>13</v>
          </cell>
          <cell r="E261">
            <v>13</v>
          </cell>
          <cell r="F261">
            <v>1668.7359999999999</v>
          </cell>
          <cell r="G261">
            <v>1668.7359999999999</v>
          </cell>
          <cell r="H261">
            <v>0.09</v>
          </cell>
          <cell r="J261">
            <v>6.152560980286869E-2</v>
          </cell>
          <cell r="L261">
            <v>158.059</v>
          </cell>
          <cell r="N261">
            <v>9.4717798381529494E-2</v>
          </cell>
          <cell r="P261">
            <v>9.4717798381529494E-2</v>
          </cell>
          <cell r="R261">
            <v>0.5</v>
          </cell>
          <cell r="S261">
            <v>237.08850000000001</v>
          </cell>
          <cell r="T261">
            <v>79.029500000000013</v>
          </cell>
          <cell r="U261">
            <v>0.14207669757229427</v>
          </cell>
          <cell r="W261">
            <v>0.14207669757229427</v>
          </cell>
          <cell r="Y261">
            <v>-9.3611420123754225</v>
          </cell>
          <cell r="AA261">
            <v>-9.3611420123754225</v>
          </cell>
          <cell r="AC261">
            <v>1087.5</v>
          </cell>
          <cell r="AE261">
            <v>3.5169999999999999</v>
          </cell>
          <cell r="AG261">
            <v>4532.2164948453601</v>
          </cell>
          <cell r="AH261">
            <v>0.31430417733017996</v>
          </cell>
          <cell r="AI261">
            <v>0.31430417733017996</v>
          </cell>
          <cell r="AK261">
            <v>0.21801241379310346</v>
          </cell>
          <cell r="AM261">
            <v>67.412141029286332</v>
          </cell>
          <cell r="AO261">
            <v>225.05866412405277</v>
          </cell>
          <cell r="AP261">
            <v>474.47711117429623</v>
          </cell>
          <cell r="AQ261" t="str">
            <v>2006 and before include Disney, all other years are CP-only.  We estimate achieves lvg. at +3-4% comp.</v>
          </cell>
          <cell r="BA261">
            <v>8.5996603365755764E-2</v>
          </cell>
          <cell r="BB261">
            <v>8.5996603365755764E-2</v>
          </cell>
        </row>
        <row r="262">
          <cell r="A262" t="str">
            <v>PLCE2006</v>
          </cell>
          <cell r="B262" t="str">
            <v>PLCE</v>
          </cell>
          <cell r="C262" t="str">
            <v>2006 (CP &amp; Dis, total revs)</v>
          </cell>
          <cell r="D262">
            <v>14</v>
          </cell>
          <cell r="E262">
            <v>14</v>
          </cell>
          <cell r="F262">
            <v>1365.229</v>
          </cell>
          <cell r="G262">
            <v>1405.4290000000001</v>
          </cell>
          <cell r="H262">
            <v>0.1</v>
          </cell>
          <cell r="J262">
            <v>8.2754091455349177E-2</v>
          </cell>
          <cell r="L262">
            <v>177.07300000000001</v>
          </cell>
          <cell r="N262">
            <v>0.1297020499857533</v>
          </cell>
          <cell r="P262">
            <v>0.125992134785891</v>
          </cell>
          <cell r="R262">
            <v>0.5</v>
          </cell>
          <cell r="S262">
            <v>265.60950000000003</v>
          </cell>
          <cell r="T262">
            <v>88.536500000000018</v>
          </cell>
          <cell r="U262">
            <v>0.19455307497862998</v>
          </cell>
          <cell r="W262">
            <v>0.1889882021788365</v>
          </cell>
          <cell r="Y262">
            <v>-524.763774063357</v>
          </cell>
          <cell r="AA262">
            <v>-469.11504606542223</v>
          </cell>
          <cell r="AC262">
            <v>1119</v>
          </cell>
          <cell r="AE262">
            <v>3.831</v>
          </cell>
          <cell r="AG262">
            <v>4593.5251798561158</v>
          </cell>
          <cell r="AH262">
            <v>1.3905544238341356</v>
          </cell>
          <cell r="AI262">
            <v>0.7362238983900814</v>
          </cell>
          <cell r="AK262">
            <v>0.23736327077747993</v>
          </cell>
          <cell r="AM262">
            <v>69.331636648394678</v>
          </cell>
          <cell r="AO262">
            <v>356.36361263377711</v>
          </cell>
          <cell r="AP262">
            <v>366.85695640824855</v>
          </cell>
          <cell r="AR262" t="str">
            <v>DE-LVG</v>
          </cell>
          <cell r="AY262">
            <v>40.200000000000003</v>
          </cell>
          <cell r="BA262">
            <v>8.9280636906454491E-2</v>
          </cell>
          <cell r="BB262">
            <v>8.9280636906454491E-2</v>
          </cell>
        </row>
        <row r="263">
          <cell r="A263" t="str">
            <v>PLCE2007</v>
          </cell>
          <cell r="B263" t="str">
            <v>PLCE</v>
          </cell>
          <cell r="C263" t="str">
            <v>2007 (CP only, ex. eComm)</v>
          </cell>
          <cell r="D263">
            <v>15</v>
          </cell>
          <cell r="E263">
            <v>15</v>
          </cell>
          <cell r="F263">
            <v>1465.8290000000002</v>
          </cell>
          <cell r="G263">
            <v>1520.3290000000002</v>
          </cell>
          <cell r="H263">
            <v>0.03</v>
          </cell>
          <cell r="J263">
            <v>3.7091971540370583E-2</v>
          </cell>
          <cell r="L263">
            <v>136.87300000000002</v>
          </cell>
          <cell r="N263">
            <v>9.3375830332187451E-2</v>
          </cell>
          <cell r="P263">
            <v>9.0028539875250682E-2</v>
          </cell>
          <cell r="R263">
            <v>0.53385985548647286</v>
          </cell>
          <cell r="S263">
            <v>209.94400000000002</v>
          </cell>
          <cell r="U263">
            <v>0.14322543761925846</v>
          </cell>
          <cell r="W263">
            <v>0.13809116316271017</v>
          </cell>
          <cell r="Y263">
            <v>513.27637359371511</v>
          </cell>
          <cell r="AA263">
            <v>508.97039016126325</v>
          </cell>
          <cell r="AC263">
            <v>885</v>
          </cell>
          <cell r="AE263">
            <v>4.1509999999999998</v>
          </cell>
          <cell r="AG263">
            <v>4690.3954802259886</v>
          </cell>
          <cell r="AH263">
            <v>0.61959716799550457</v>
          </cell>
          <cell r="AI263">
            <v>0.5230185536410018</v>
          </cell>
          <cell r="AK263">
            <v>0.23722485875706217</v>
          </cell>
          <cell r="AM263">
            <v>50.576728499156836</v>
          </cell>
          <cell r="AO263">
            <v>353.12671645386661</v>
          </cell>
          <cell r="AP263">
            <v>366.25608287159724</v>
          </cell>
          <cell r="AQ263" t="str">
            <v>Sales excl. Internet (2011 $176M, 2010 $151M). Adjustment includes 55% of minimum lease payments ($163M). Comparable Store Sales estimate indicated (excludes internet sales growth).</v>
          </cell>
          <cell r="AR263">
            <v>-35.740830889619822</v>
          </cell>
          <cell r="AY263">
            <v>54.5</v>
          </cell>
          <cell r="BA263">
            <v>8.3529104672409149E-2</v>
          </cell>
          <cell r="BB263">
            <v>8.3529104672409149E-2</v>
          </cell>
        </row>
        <row r="264">
          <cell r="A264" t="str">
            <v>PLCE2008</v>
          </cell>
          <cell r="B264" t="str">
            <v>PLCE</v>
          </cell>
          <cell r="C264">
            <v>2008</v>
          </cell>
          <cell r="D264">
            <v>16</v>
          </cell>
          <cell r="E264">
            <v>16</v>
          </cell>
          <cell r="F264">
            <v>1541.4409999999998</v>
          </cell>
          <cell r="G264">
            <v>1630.3409999999999</v>
          </cell>
          <cell r="H264">
            <v>0.05</v>
          </cell>
          <cell r="J264">
            <v>7.6369912797384074E-2</v>
          </cell>
          <cell r="L264">
            <v>145.374</v>
          </cell>
          <cell r="M264">
            <v>6.2108670081023831E-2</v>
          </cell>
          <cell r="N264">
            <v>9.4310453659919524E-2</v>
          </cell>
          <cell r="O264">
            <v>1.0009263900595311E-2</v>
          </cell>
          <cell r="P264">
            <v>8.9167848934670724E-2</v>
          </cell>
          <cell r="R264">
            <v>0.55655619299186943</v>
          </cell>
          <cell r="S264">
            <v>226.28280000000001</v>
          </cell>
          <cell r="U264">
            <v>0.14679952070822044</v>
          </cell>
          <cell r="W264">
            <v>0.13879476747502517</v>
          </cell>
          <cell r="Y264">
            <v>-35.740830889619822</v>
          </cell>
          <cell r="AA264">
            <v>-7.0360431231500371</v>
          </cell>
          <cell r="AC264">
            <v>910.5</v>
          </cell>
          <cell r="AE264">
            <v>4.3940254999999997</v>
          </cell>
          <cell r="AG264">
            <v>4825.9478308621638</v>
          </cell>
          <cell r="AH264">
            <v>0.38193141356258453</v>
          </cell>
          <cell r="AI264">
            <v>2.704011342187046E-2</v>
          </cell>
          <cell r="AK264">
            <v>0.24852586490939046</v>
          </cell>
          <cell r="AM264">
            <v>51.497834957944605</v>
          </cell>
          <cell r="AO264">
            <v>350.8038357993143</v>
          </cell>
          <cell r="AP264">
            <v>371.03585311464394</v>
          </cell>
          <cell r="AQ264" t="str">
            <v>Store sales exclude Internet ($215 in '12, $176M in '11). Adjustment includes 55% of minimum lease payments ($166M). Comparable Store Sales estimate indicated (excludes internet sales growth).</v>
          </cell>
          <cell r="AR264">
            <v>-90.652035496467391</v>
          </cell>
          <cell r="AS264">
            <v>2.8813559322033999E-2</v>
          </cell>
          <cell r="AU264">
            <v>-126.39286638608721</v>
          </cell>
          <cell r="AY264">
            <v>88.9</v>
          </cell>
          <cell r="BA264">
            <v>5.8546253914719237E-2</v>
          </cell>
          <cell r="BB264">
            <v>5.8546253914719237E-2</v>
          </cell>
        </row>
        <row r="265">
          <cell r="A265" t="str">
            <v>PLCE2009</v>
          </cell>
          <cell r="B265" t="str">
            <v>PLCE</v>
          </cell>
          <cell r="C265">
            <v>2009</v>
          </cell>
          <cell r="D265">
            <v>17</v>
          </cell>
          <cell r="E265">
            <v>17</v>
          </cell>
          <cell r="F265">
            <v>1524.087</v>
          </cell>
          <cell r="G265">
            <v>1643.587</v>
          </cell>
          <cell r="H265">
            <v>-2.0476756022042034E-2</v>
          </cell>
          <cell r="J265">
            <v>7.5680812758922966E-2</v>
          </cell>
          <cell r="L265">
            <v>149.274</v>
          </cell>
          <cell r="M265">
            <v>2.6827355648190165E-2</v>
          </cell>
          <cell r="N265">
            <v>9.7943227650390041E-2</v>
          </cell>
          <cell r="O265">
            <v>3.8519314132134053E-2</v>
          </cell>
          <cell r="P265">
            <v>9.0822086083669443E-2</v>
          </cell>
          <cell r="R265">
            <v>0.59137827083082106</v>
          </cell>
          <cell r="S265">
            <v>237.5514</v>
          </cell>
          <cell r="U265">
            <v>0.15586472425786718</v>
          </cell>
          <cell r="W265">
            <v>0.14453229430507786</v>
          </cell>
          <cell r="Y265">
            <v>-90.652035496467391</v>
          </cell>
          <cell r="AA265">
            <v>-57.375268300526862</v>
          </cell>
          <cell r="AC265">
            <v>932</v>
          </cell>
          <cell r="AE265">
            <v>4.6057885000000001</v>
          </cell>
          <cell r="AG265">
            <v>4941.8331545064375</v>
          </cell>
          <cell r="AH265">
            <v>0.19128056215647676</v>
          </cell>
          <cell r="AI265">
            <v>0</v>
          </cell>
          <cell r="AK265">
            <v>0.25488347639484976</v>
          </cell>
          <cell r="AM265">
            <v>51.576706138373481</v>
          </cell>
          <cell r="AO265">
            <v>330.90685775084984</v>
          </cell>
          <cell r="AP265">
            <v>356.85246945229898</v>
          </cell>
          <cell r="AR265">
            <v>-51.989026554680464</v>
          </cell>
          <cell r="AS265">
            <v>2.3613399231191545E-2</v>
          </cell>
          <cell r="AU265">
            <v>-142.64106205114786</v>
          </cell>
          <cell r="AY265">
            <v>119.5</v>
          </cell>
          <cell r="BA265">
            <v>4.8193393506706039E-2</v>
          </cell>
          <cell r="BB265">
            <v>4.8193393506706039E-2</v>
          </cell>
          <cell r="BC265">
            <v>0</v>
          </cell>
        </row>
        <row r="266">
          <cell r="A266" t="str">
            <v>PLCE2010</v>
          </cell>
          <cell r="B266" t="str">
            <v>PLCE</v>
          </cell>
          <cell r="C266">
            <v>2010</v>
          </cell>
          <cell r="D266">
            <v>18</v>
          </cell>
          <cell r="E266">
            <v>18</v>
          </cell>
          <cell r="F266">
            <v>1522.799</v>
          </cell>
          <cell r="G266">
            <v>1673.999</v>
          </cell>
          <cell r="H266">
            <v>-2.5000000000000001E-2</v>
          </cell>
          <cell r="J266">
            <v>7.6816652817594241E-2</v>
          </cell>
          <cell r="L266">
            <v>156.84399999999999</v>
          </cell>
          <cell r="M266">
            <v>5.0712113295014571E-2</v>
          </cell>
          <cell r="N266">
            <v>0.10299717822247059</v>
          </cell>
          <cell r="O266">
            <v>5.1600817058232051E-2</v>
          </cell>
          <cell r="P266">
            <v>9.3694201728913809E-2</v>
          </cell>
          <cell r="R266">
            <v>0.56376737395118703</v>
          </cell>
          <cell r="S266">
            <v>245.26752999999997</v>
          </cell>
          <cell r="U266">
            <v>0.16106362691333523</v>
          </cell>
          <cell r="W266">
            <v>0.14651593579207631</v>
          </cell>
          <cell r="Y266">
            <v>-51.989026554680464</v>
          </cell>
          <cell r="AA266">
            <v>-19.836414869984498</v>
          </cell>
          <cell r="AC266">
            <v>971</v>
          </cell>
          <cell r="AE266">
            <v>4.8101095000000003</v>
          </cell>
          <cell r="AG266">
            <v>4953.7687950566424</v>
          </cell>
          <cell r="AH266">
            <v>0.54449801312670665</v>
          </cell>
          <cell r="AI266">
            <v>0</v>
          </cell>
          <cell r="AK266">
            <v>0.25259271884654994</v>
          </cell>
          <cell r="AM266">
            <v>50.990009686889657</v>
          </cell>
          <cell r="AO266">
            <v>316.58302165470451</v>
          </cell>
          <cell r="AP266">
            <v>348.01681749656632</v>
          </cell>
          <cell r="AR266">
            <v>-34.779054307776669</v>
          </cell>
          <cell r="AS266">
            <v>4.1845493562231661E-2</v>
          </cell>
          <cell r="AY266">
            <v>151.19999999999999</v>
          </cell>
          <cell r="BA266">
            <v>4.4361785175328849E-2</v>
          </cell>
          <cell r="BB266">
            <v>4.4361785175328849E-2</v>
          </cell>
          <cell r="BC266">
            <v>0</v>
          </cell>
        </row>
        <row r="267">
          <cell r="A267" t="str">
            <v>PLCE2011</v>
          </cell>
          <cell r="B267" t="str">
            <v>PLCE</v>
          </cell>
          <cell r="C267">
            <v>2011</v>
          </cell>
          <cell r="D267">
            <v>19</v>
          </cell>
          <cell r="E267">
            <v>19</v>
          </cell>
          <cell r="F267">
            <v>1539.6632472717101</v>
          </cell>
          <cell r="G267">
            <v>1715.8619999999999</v>
          </cell>
          <cell r="H267">
            <v>-2.3904589063689273E-2</v>
          </cell>
          <cell r="J267">
            <v>6.2053358603430732E-2</v>
          </cell>
          <cell r="L267">
            <v>163.82</v>
          </cell>
          <cell r="M267">
            <v>4.4477315039147092E-2</v>
          </cell>
          <cell r="N267">
            <v>0.10639988990468516</v>
          </cell>
          <cell r="O267">
            <v>3.3036940826328465E-2</v>
          </cell>
          <cell r="P267">
            <v>9.5473878435445275E-2</v>
          </cell>
          <cell r="R267">
            <v>0.54644457331217189</v>
          </cell>
          <cell r="S267">
            <v>253.33855</v>
          </cell>
          <cell r="U267">
            <v>0.1645415323441129</v>
          </cell>
          <cell r="W267">
            <v>0.14764506119956036</v>
          </cell>
          <cell r="Y267">
            <v>-34.779054307776669</v>
          </cell>
          <cell r="AA267">
            <v>-11.291254074840552</v>
          </cell>
          <cell r="AC267">
            <v>1022</v>
          </cell>
          <cell r="AE267">
            <v>5.0307180000000002</v>
          </cell>
          <cell r="AG267">
            <v>4922.4246575342468</v>
          </cell>
          <cell r="AH267" t="e">
            <v>#REF!</v>
          </cell>
          <cell r="AI267">
            <v>0</v>
          </cell>
          <cell r="AK267">
            <v>0.2478850782778865</v>
          </cell>
          <cell r="AM267">
            <v>50.358328572581485</v>
          </cell>
          <cell r="AO267">
            <v>306.05238601561649</v>
          </cell>
          <cell r="AP267">
            <v>341.07695959105632</v>
          </cell>
          <cell r="AR267">
            <v>21.037297882090801</v>
          </cell>
          <cell r="AS267">
            <v>5.2523171987641559E-2</v>
          </cell>
          <cell r="AY267">
            <v>176.19875272828972</v>
          </cell>
          <cell r="BA267">
            <v>4.5863508928434937E-2</v>
          </cell>
          <cell r="BB267">
            <v>4.5863508928434937E-2</v>
          </cell>
        </row>
        <row r="268">
          <cell r="A268" t="str">
            <v>PLCE2012</v>
          </cell>
          <cell r="B268" t="str">
            <v>PLCE</v>
          </cell>
          <cell r="C268">
            <v>2012</v>
          </cell>
          <cell r="D268">
            <v>20</v>
          </cell>
          <cell r="E268">
            <v>20</v>
          </cell>
          <cell r="F268">
            <v>1594.4456642773432</v>
          </cell>
          <cell r="G268">
            <v>1809.4860000000001</v>
          </cell>
          <cell r="H268">
            <v>0.02</v>
          </cell>
          <cell r="J268">
            <v>6.3735779110753052E-2</v>
          </cell>
          <cell r="L268">
            <v>167.292</v>
          </cell>
          <cell r="M268">
            <v>2.1193993407398359E-2</v>
          </cell>
          <cell r="N268">
            <v>0.10492173157611012</v>
          </cell>
          <cell r="O268">
            <v>-1.3892479869097585E-2</v>
          </cell>
          <cell r="P268">
            <v>9.2452773881643732E-2</v>
          </cell>
          <cell r="R268">
            <v>0.5481807259163618</v>
          </cell>
          <cell r="S268">
            <v>258.99824999999998</v>
          </cell>
          <cell r="U268">
            <v>0.16243780255590382</v>
          </cell>
          <cell r="W268">
            <v>0.14313360258106445</v>
          </cell>
          <cell r="Y268">
            <v>21.037297882090801</v>
          </cell>
          <cell r="AA268">
            <v>45.114586184959172</v>
          </cell>
          <cell r="AC268">
            <v>1072</v>
          </cell>
          <cell r="AE268">
            <v>5.2347429999999999</v>
          </cell>
          <cell r="AG268">
            <v>4883.1557835820895</v>
          </cell>
          <cell r="AH268" t="e">
            <v>#REF!</v>
          </cell>
          <cell r="AI268">
            <v>0</v>
          </cell>
          <cell r="AK268">
            <v>0.2416028451492537</v>
          </cell>
          <cell r="AM268">
            <v>49.476784247096752</v>
          </cell>
          <cell r="AO268">
            <v>304.58910098878653</v>
          </cell>
          <cell r="AP268">
            <v>345.6685457146607</v>
          </cell>
          <cell r="AR268">
            <v>-42.386626215511484</v>
          </cell>
          <cell r="AS268">
            <v>4.8923679060665304E-2</v>
          </cell>
          <cell r="AY268">
            <v>215.04033572265695</v>
          </cell>
          <cell r="BA268">
            <v>4.0555841134406689E-2</v>
          </cell>
          <cell r="BB268">
            <v>4.0555841134406689E-2</v>
          </cell>
        </row>
        <row r="269">
          <cell r="A269" t="str">
            <v>PLCE2013</v>
          </cell>
          <cell r="B269" t="str">
            <v>PLCE</v>
          </cell>
          <cell r="C269" t="str">
            <v>2013e</v>
          </cell>
          <cell r="D269">
            <v>21</v>
          </cell>
          <cell r="E269">
            <v>21</v>
          </cell>
          <cell r="F269">
            <v>1568.1226578943113</v>
          </cell>
          <cell r="G269">
            <v>1810.0853655980659</v>
          </cell>
          <cell r="H269">
            <v>-1.3539310674990351E-2</v>
          </cell>
          <cell r="J269">
            <v>5.9647972720880363E-2</v>
          </cell>
          <cell r="L269">
            <v>170.08164158249932</v>
          </cell>
          <cell r="M269">
            <v>1.6675283830065446E-2</v>
          </cell>
          <cell r="N269">
            <v>0.10846195017096839</v>
          </cell>
          <cell r="O269">
            <v>3.3741518955872296E-2</v>
          </cell>
          <cell r="P269">
            <v>9.3963326158544497E-2</v>
          </cell>
          <cell r="R269">
            <v>0.53672753361637993</v>
          </cell>
          <cell r="S269">
            <v>261.36914158249931</v>
          </cell>
          <cell r="U269">
            <v>0.16667646517745496</v>
          </cell>
          <cell r="W269">
            <v>0.14439603045801155</v>
          </cell>
          <cell r="Y269">
            <v>-42.386626215511484</v>
          </cell>
          <cell r="AA269">
            <v>-12.624278769471086</v>
          </cell>
          <cell r="AC269">
            <v>1117.5</v>
          </cell>
          <cell r="AE269">
            <v>5.3942430000000003</v>
          </cell>
          <cell r="AG269">
            <v>4827.0630872483225</v>
          </cell>
          <cell r="AH269" t="e">
            <v>#REF!</v>
          </cell>
          <cell r="AI269">
            <v>0</v>
          </cell>
          <cell r="AK269">
            <v>0.23388737501789647</v>
          </cell>
          <cell r="AM269">
            <v>48.453349539963121</v>
          </cell>
          <cell r="AO269">
            <v>290.70300650050638</v>
          </cell>
          <cell r="AP269">
            <v>335.55873652671295</v>
          </cell>
          <cell r="AY269">
            <v>241.9627077037546</v>
          </cell>
          <cell r="BA269">
            <v>3.0469499648788867E-2</v>
          </cell>
          <cell r="BB269">
            <v>3.0469499648788867E-2</v>
          </cell>
        </row>
        <row r="270">
          <cell r="C270" t="str">
            <v>2007 = Trough rent</v>
          </cell>
          <cell r="F270">
            <v>1465.8290000000002</v>
          </cell>
          <cell r="G270">
            <v>1520.3290000000002</v>
          </cell>
          <cell r="H270">
            <v>0.03</v>
          </cell>
          <cell r="J270">
            <v>3.7091971540370583E-2</v>
          </cell>
          <cell r="L270">
            <v>136.87300000000002</v>
          </cell>
          <cell r="N270">
            <v>9.3375830332187451E-2</v>
          </cell>
          <cell r="P270">
            <v>9.0028539875250682E-2</v>
          </cell>
          <cell r="S270">
            <v>209.94400000000002</v>
          </cell>
          <cell r="U270">
            <v>0.14322543761925846</v>
          </cell>
          <cell r="W270">
            <v>0.13809116316271017</v>
          </cell>
          <cell r="Z270">
            <v>0</v>
          </cell>
          <cell r="AB270">
            <v>0</v>
          </cell>
          <cell r="AC270">
            <v>885</v>
          </cell>
          <cell r="AE270">
            <v>4.1509999999999998</v>
          </cell>
          <cell r="AG270">
            <v>4690.3954802259886</v>
          </cell>
          <cell r="AH270">
            <v>0.90483336640125767</v>
          </cell>
          <cell r="AI270">
            <v>0.90483336640125767</v>
          </cell>
          <cell r="AK270">
            <v>0.23722485875706217</v>
          </cell>
          <cell r="AM270">
            <v>50.576728499156836</v>
          </cell>
          <cell r="AO270">
            <v>353.12671645386661</v>
          </cell>
          <cell r="AP270">
            <v>366.25608287159724</v>
          </cell>
          <cell r="AR270">
            <v>3.8588841218552383E-2</v>
          </cell>
          <cell r="AT270" t="str">
            <v>or little higher - my est based on lower sq ft productivity from neg comp</v>
          </cell>
        </row>
        <row r="272">
          <cell r="AS272" t="str">
            <v>occupancy's role in determining potential operating margin</v>
          </cell>
        </row>
        <row r="273">
          <cell r="L273" t="str">
            <v>Rent Expense</v>
          </cell>
          <cell r="Y273" t="str">
            <v>Rent</v>
          </cell>
          <cell r="AA273" t="str">
            <v>Rent</v>
          </cell>
          <cell r="AC273" t="str">
            <v>Average</v>
          </cell>
          <cell r="AL273" t="str">
            <v>Adjusted Rent</v>
          </cell>
          <cell r="AO273" t="str">
            <v>Sales</v>
          </cell>
          <cell r="AP273" t="str">
            <v>Total Sales</v>
          </cell>
          <cell r="AQ273" t="str">
            <v>Key CAM adj.</v>
          </cell>
          <cell r="AR273" t="str">
            <v>Bps</v>
          </cell>
        </row>
        <row r="274">
          <cell r="F274" t="str">
            <v>Store Sales</v>
          </cell>
          <cell r="G274" t="str">
            <v>Total Sales</v>
          </cell>
          <cell r="H274" t="str">
            <v>Comp.</v>
          </cell>
          <cell r="J274" t="str">
            <v>Operating</v>
          </cell>
          <cell r="L274" t="str">
            <v>per 10-K</v>
          </cell>
          <cell r="U274" t="str">
            <v>% Store</v>
          </cell>
          <cell r="W274" t="str">
            <v>% Total</v>
          </cell>
          <cell r="Y274" t="str">
            <v>Levg. or</v>
          </cell>
          <cell r="AA274" t="str">
            <v>Levg. or</v>
          </cell>
          <cell r="AC274" t="str">
            <v>Store</v>
          </cell>
          <cell r="AE274" t="str">
            <v>Sq. Ft.</v>
          </cell>
          <cell r="AG274" t="str">
            <v>Sq. Ft. /</v>
          </cell>
          <cell r="AH274" t="str">
            <v>New Sq. Ft.</v>
          </cell>
          <cell r="AI274" t="str">
            <v>Adj. New SF</v>
          </cell>
          <cell r="AK274" t="str">
            <v>per Avg</v>
          </cell>
          <cell r="AM274" t="str">
            <v>per Avg</v>
          </cell>
          <cell r="AO274" t="str">
            <v>per Avg</v>
          </cell>
          <cell r="AP274" t="str">
            <v>per Avg</v>
          </cell>
          <cell r="AQ274" t="str">
            <v>Assumptions &amp;</v>
          </cell>
          <cell r="AR274" t="str">
            <v>Lvg</v>
          </cell>
        </row>
        <row r="275">
          <cell r="F275" t="str">
            <v>($ MM)</v>
          </cell>
          <cell r="G275" t="str">
            <v>($ MM)</v>
          </cell>
          <cell r="H275" t="str">
            <v>Sales %</v>
          </cell>
          <cell r="J275" t="str">
            <v>Margin</v>
          </cell>
          <cell r="L275" t="str">
            <v>$ MM</v>
          </cell>
          <cell r="N275" t="str">
            <v>% Sales</v>
          </cell>
          <cell r="P275" t="str">
            <v>% Sales</v>
          </cell>
          <cell r="R275" t="str">
            <v>Adj.</v>
          </cell>
          <cell r="S275" t="str">
            <v>$ MM</v>
          </cell>
          <cell r="U275" t="str">
            <v>Sales</v>
          </cell>
          <cell r="W275" t="str">
            <v>Sales</v>
          </cell>
          <cell r="Y275" t="str">
            <v>(Delevg)</v>
          </cell>
          <cell r="AA275" t="str">
            <v>(De-levg)</v>
          </cell>
          <cell r="AC275" t="str">
            <v>Count</v>
          </cell>
          <cell r="AE275" t="str">
            <v>(MM)</v>
          </cell>
          <cell r="AG275" t="str">
            <v>Store</v>
          </cell>
          <cell r="AH275" t="str">
            <v>Productivity</v>
          </cell>
          <cell r="AI275" t="str">
            <v>Productivity</v>
          </cell>
          <cell r="AK275" t="str">
            <v>Store</v>
          </cell>
          <cell r="AM275" t="str">
            <v>Sq. Ft.</v>
          </cell>
          <cell r="AO275" t="str">
            <v>Sq. Ft.</v>
          </cell>
          <cell r="AP275" t="str">
            <v>Sq. Ft.</v>
          </cell>
          <cell r="AQ275" t="str">
            <v>Other</v>
          </cell>
          <cell r="AR275" t="str">
            <v>(De-Lvg)</v>
          </cell>
          <cell r="AS275" t="str">
            <v>Notes on Rent:</v>
          </cell>
        </row>
        <row r="277">
          <cell r="AI277">
            <v>0</v>
          </cell>
        </row>
        <row r="278">
          <cell r="C278">
            <v>1998</v>
          </cell>
          <cell r="D278">
            <v>6</v>
          </cell>
          <cell r="E278">
            <v>10</v>
          </cell>
          <cell r="F278">
            <v>321.12522999999999</v>
          </cell>
          <cell r="H278">
            <v>8.5999999999999993E-2</v>
          </cell>
          <cell r="J278">
            <v>0.11801102018673525</v>
          </cell>
          <cell r="L278">
            <v>39.094115000000002</v>
          </cell>
          <cell r="N278">
            <v>0.12174102607882914</v>
          </cell>
          <cell r="P278" t="e">
            <v>#DIV/0!</v>
          </cell>
          <cell r="S278">
            <v>39.094115000000002</v>
          </cell>
          <cell r="U278">
            <v>0.12174102607882914</v>
          </cell>
          <cell r="AC278">
            <v>307</v>
          </cell>
          <cell r="AE278">
            <v>0.79683679900744409</v>
          </cell>
          <cell r="AG278">
            <v>2597.9736842105262</v>
          </cell>
          <cell r="AH278">
            <v>0.75997612897812572</v>
          </cell>
          <cell r="AI278">
            <v>0</v>
          </cell>
          <cell r="AK278">
            <v>0.12734239413680781</v>
          </cell>
          <cell r="AM278">
            <v>49.061633509768143</v>
          </cell>
          <cell r="AO278">
            <v>403</v>
          </cell>
        </row>
        <row r="279">
          <cell r="C279">
            <v>1999</v>
          </cell>
          <cell r="D279">
            <v>7</v>
          </cell>
          <cell r="E279">
            <v>11</v>
          </cell>
          <cell r="F279">
            <v>436.80787899999996</v>
          </cell>
          <cell r="H279">
            <v>7.8E-2</v>
          </cell>
          <cell r="J279">
            <v>0.1293581725891898</v>
          </cell>
          <cell r="L279">
            <v>51.698739000000003</v>
          </cell>
          <cell r="N279">
            <v>0.11835578405397768</v>
          </cell>
          <cell r="P279" t="e">
            <v>#DIV/0!</v>
          </cell>
          <cell r="S279">
            <v>51.698739000000003</v>
          </cell>
          <cell r="U279">
            <v>0.11835578405397768</v>
          </cell>
          <cell r="AC279">
            <v>396</v>
          </cell>
          <cell r="AE279">
            <v>1.0975072336683416</v>
          </cell>
          <cell r="AG279">
            <v>2787.4955555555557</v>
          </cell>
          <cell r="AH279">
            <v>0.74799655487924677</v>
          </cell>
          <cell r="AI279">
            <v>0</v>
          </cell>
          <cell r="AK279">
            <v>0.13055237121212121</v>
          </cell>
          <cell r="AM279">
            <v>47.105602053483118</v>
          </cell>
          <cell r="AO279">
            <v>398</v>
          </cell>
        </row>
        <row r="280">
          <cell r="C280">
            <v>2000</v>
          </cell>
          <cell r="D280">
            <v>8</v>
          </cell>
          <cell r="E280">
            <v>12</v>
          </cell>
          <cell r="F280">
            <v>589.43799999999999</v>
          </cell>
          <cell r="H280">
            <v>3.5000000000000003E-2</v>
          </cell>
          <cell r="J280">
            <v>0.10794010565996763</v>
          </cell>
          <cell r="L280">
            <v>71.174610999999999</v>
          </cell>
          <cell r="N280">
            <v>0.12074995334539002</v>
          </cell>
          <cell r="P280" t="e">
            <v>#DIV/0!</v>
          </cell>
          <cell r="S280">
            <v>71.174610999999999</v>
          </cell>
          <cell r="U280">
            <v>0.12074995334539002</v>
          </cell>
          <cell r="AC280">
            <v>519.5</v>
          </cell>
          <cell r="AE280">
            <v>1.5092479999999999</v>
          </cell>
          <cell r="AG280">
            <v>2995.1154499151103</v>
          </cell>
          <cell r="AH280">
            <v>0.8381001867454233</v>
          </cell>
          <cell r="AI280">
            <v>0</v>
          </cell>
          <cell r="AK280">
            <v>0.1370059884504331</v>
          </cell>
          <cell r="AM280">
            <v>47.15898977504029</v>
          </cell>
          <cell r="AO280">
            <v>390.55079085743364</v>
          </cell>
        </row>
        <row r="281">
          <cell r="C281">
            <v>2001</v>
          </cell>
          <cell r="D281">
            <v>9</v>
          </cell>
          <cell r="E281">
            <v>13</v>
          </cell>
          <cell r="F281">
            <v>684.84</v>
          </cell>
          <cell r="H281">
            <v>-2.5000000000000001E-2</v>
          </cell>
          <cell r="J281">
            <v>7.0677852356993365E-2</v>
          </cell>
          <cell r="L281">
            <v>91.479995000000002</v>
          </cell>
          <cell r="N281">
            <v>0.13357863880614451</v>
          </cell>
          <cell r="P281" t="e">
            <v>#DIV/0!</v>
          </cell>
          <cell r="S281">
            <v>91.479995000000002</v>
          </cell>
          <cell r="U281">
            <v>0.13357863880614451</v>
          </cell>
          <cell r="AC281">
            <v>653.5</v>
          </cell>
          <cell r="AE281">
            <v>2.041636</v>
          </cell>
          <cell r="AG281">
            <v>3230.0125348189413</v>
          </cell>
          <cell r="AH281">
            <v>0.52970150781392722</v>
          </cell>
          <cell r="AI281">
            <v>0</v>
          </cell>
          <cell r="AK281">
            <v>0.13998469013006887</v>
          </cell>
          <cell r="AM281">
            <v>44.807201185715769</v>
          </cell>
          <cell r="AO281">
            <v>335.4368751334714</v>
          </cell>
          <cell r="AS281" t="str">
            <v xml:space="preserve">Rental expense according to footnote 7 includes CAM, minimum rent, and </v>
          </cell>
        </row>
        <row r="282">
          <cell r="C282">
            <v>2002</v>
          </cell>
          <cell r="D282">
            <v>10</v>
          </cell>
          <cell r="E282">
            <v>14</v>
          </cell>
          <cell r="F282">
            <v>846.39300000000003</v>
          </cell>
          <cell r="H282">
            <v>9.6999999999999989E-2</v>
          </cell>
          <cell r="J282">
            <v>9.5980236131442478E-2</v>
          </cell>
          <cell r="L282">
            <v>111.3</v>
          </cell>
          <cell r="N282">
            <v>0.13149919718145117</v>
          </cell>
          <cell r="P282" t="e">
            <v>#DIV/0!</v>
          </cell>
          <cell r="S282">
            <v>111.3</v>
          </cell>
          <cell r="U282">
            <v>0.13149919718145117</v>
          </cell>
          <cell r="AC282">
            <v>754.5</v>
          </cell>
          <cell r="AE282">
            <v>2.4832459999999998</v>
          </cell>
          <cell r="AG282">
            <v>3346.8305941845765</v>
          </cell>
          <cell r="AH282">
            <v>0.64215254777460662</v>
          </cell>
          <cell r="AI282">
            <v>0</v>
          </cell>
          <cell r="AK282">
            <v>0.14751491053677931</v>
          </cell>
          <cell r="AM282">
            <v>44.820368179391011</v>
          </cell>
          <cell r="AO282">
            <v>340.84138260969718</v>
          </cell>
          <cell r="AS282" t="str">
            <v>contingent (percentage) rent. This number also includes taxes and insurance.</v>
          </cell>
        </row>
        <row r="283">
          <cell r="C283">
            <v>2003</v>
          </cell>
          <cell r="D283">
            <v>11</v>
          </cell>
          <cell r="E283">
            <v>15</v>
          </cell>
          <cell r="F283">
            <v>1041.4559999999999</v>
          </cell>
          <cell r="H283">
            <v>0.13100000000000001</v>
          </cell>
          <cell r="J283">
            <v>0.12312282035918935</v>
          </cell>
          <cell r="L283">
            <v>120</v>
          </cell>
          <cell r="N283">
            <v>0.11522330276075035</v>
          </cell>
          <cell r="P283" t="e">
            <v>#DIV/0!</v>
          </cell>
          <cell r="S283">
            <v>120</v>
          </cell>
          <cell r="U283">
            <v>0.11522330276075035</v>
          </cell>
          <cell r="AC283">
            <v>834</v>
          </cell>
          <cell r="AE283">
            <v>2.8219889999999999</v>
          </cell>
          <cell r="AG283">
            <v>3416.9156214367158</v>
          </cell>
          <cell r="AH283">
            <v>0.72311821413936017</v>
          </cell>
          <cell r="AI283">
            <v>0</v>
          </cell>
          <cell r="AK283">
            <v>0.14388489208633093</v>
          </cell>
          <cell r="AM283">
            <v>42.523199062788692</v>
          </cell>
          <cell r="AO283">
            <v>368.80370547156627</v>
          </cell>
          <cell r="AS283" t="str">
            <v>This is a fully loaded number, and landlord passthru's account for approx 40%</v>
          </cell>
        </row>
        <row r="284">
          <cell r="C284">
            <v>2004</v>
          </cell>
          <cell r="D284">
            <v>12</v>
          </cell>
          <cell r="E284">
            <v>16</v>
          </cell>
          <cell r="F284">
            <v>1229.7619999999999</v>
          </cell>
          <cell r="H284">
            <v>7.2999999999999995E-2</v>
          </cell>
          <cell r="J284">
            <v>0.13824870178132018</v>
          </cell>
          <cell r="L284">
            <v>138</v>
          </cell>
          <cell r="N284">
            <v>0.11221683545271362</v>
          </cell>
          <cell r="P284" t="e">
            <v>#DIV/0!</v>
          </cell>
          <cell r="S284">
            <v>138</v>
          </cell>
          <cell r="U284">
            <v>0.11221683545271362</v>
          </cell>
          <cell r="AC284">
            <v>933.5</v>
          </cell>
          <cell r="AE284">
            <v>3.2222425000000001</v>
          </cell>
          <cell r="AG284">
            <v>3482.6767676767677</v>
          </cell>
          <cell r="AH284">
            <v>0.76568465239276695</v>
          </cell>
          <cell r="AI284">
            <v>0</v>
          </cell>
          <cell r="AK284">
            <v>0.14783074450990893</v>
          </cell>
          <cell r="AM284">
            <v>42.827316690162206</v>
          </cell>
          <cell r="AO284">
            <v>381.64787411251632</v>
          </cell>
          <cell r="AS284" t="str">
            <v>of minimum rent.</v>
          </cell>
        </row>
        <row r="285">
          <cell r="A285" t="str">
            <v>PSUN2005</v>
          </cell>
          <cell r="B285" t="str">
            <v>PSUN</v>
          </cell>
          <cell r="C285" t="str">
            <v>2005 (total revs.)</v>
          </cell>
          <cell r="D285">
            <v>13</v>
          </cell>
          <cell r="E285">
            <v>17</v>
          </cell>
          <cell r="F285">
            <v>1391.4839999999999</v>
          </cell>
          <cell r="H285">
            <v>3.2000000000000001E-2</v>
          </cell>
          <cell r="J285">
            <v>0.14177166248408174</v>
          </cell>
          <cell r="L285">
            <v>161</v>
          </cell>
          <cell r="N285">
            <v>0.11570380974556661</v>
          </cell>
          <cell r="P285" t="e">
            <v>#DIV/0!</v>
          </cell>
          <cell r="R285" t="str">
            <v>0%</v>
          </cell>
          <cell r="S285">
            <v>161</v>
          </cell>
          <cell r="U285">
            <v>0.11570380974556661</v>
          </cell>
          <cell r="Y285">
            <v>-34.869742928529959</v>
          </cell>
          <cell r="AA285">
            <v>0</v>
          </cell>
          <cell r="AC285">
            <v>1047.5</v>
          </cell>
          <cell r="AE285">
            <v>3.6894204999999998</v>
          </cell>
          <cell r="AG285">
            <v>3557.4579185520365</v>
          </cell>
          <cell r="AH285">
            <v>0.68632270501834947</v>
          </cell>
          <cell r="AI285">
            <v>0.68632270501834947</v>
          </cell>
          <cell r="AK285">
            <v>0.15369928400954655</v>
          </cell>
          <cell r="AM285">
            <v>43.638289536256444</v>
          </cell>
          <cell r="AO285">
            <v>377.1551656960761</v>
          </cell>
          <cell r="AQ285" t="str">
            <v>PacSun only rent exp. incl. CAM. We est. can lvg on slightly positive comp.</v>
          </cell>
          <cell r="AS285" t="str">
            <v>2005-10K</v>
          </cell>
          <cell r="BB285">
            <v>0.14498536345417823</v>
          </cell>
        </row>
        <row r="286">
          <cell r="A286" t="str">
            <v>PSUN2006</v>
          </cell>
          <cell r="B286" t="str">
            <v>PSUN</v>
          </cell>
          <cell r="C286" t="str">
            <v>2006 (total revs.)</v>
          </cell>
          <cell r="D286">
            <v>14</v>
          </cell>
          <cell r="E286">
            <v>18</v>
          </cell>
          <cell r="F286">
            <v>1434.7329999999999</v>
          </cell>
          <cell r="H286">
            <v>-4.7E-2</v>
          </cell>
          <cell r="J286">
            <v>4.2582138976381009E-2</v>
          </cell>
          <cell r="L286">
            <v>180</v>
          </cell>
          <cell r="N286">
            <v>0.12545888329047983</v>
          </cell>
          <cell r="P286" t="e">
            <v>#DIV/0!</v>
          </cell>
          <cell r="R286" t="str">
            <v>0%</v>
          </cell>
          <cell r="S286">
            <v>180</v>
          </cell>
          <cell r="U286">
            <v>0.12545888329047983</v>
          </cell>
          <cell r="Y286">
            <v>-97.550735449132148</v>
          </cell>
          <cell r="AA286">
            <v>0</v>
          </cell>
          <cell r="AC286">
            <v>1152</v>
          </cell>
          <cell r="AE286">
            <v>4.1276215000000001</v>
          </cell>
          <cell r="AG286">
            <v>3606.5487906588828</v>
          </cell>
          <cell r="AH286">
            <v>0.65740242452252129</v>
          </cell>
          <cell r="AI286">
            <v>-6.7246080654527587</v>
          </cell>
          <cell r="AK286">
            <v>0.15625</v>
          </cell>
          <cell r="AM286">
            <v>43.608649678755668</v>
          </cell>
          <cell r="AO286">
            <v>347.59315988638974</v>
          </cell>
          <cell r="AR286" t="str">
            <v>DE-LVG</v>
          </cell>
          <cell r="BB286">
            <v>0.11877231126134857</v>
          </cell>
        </row>
        <row r="287">
          <cell r="A287" t="str">
            <v>PSUN2007</v>
          </cell>
          <cell r="B287" t="str">
            <v>PSUN</v>
          </cell>
          <cell r="C287" t="str">
            <v>2007 (PacSun only, total revs.)</v>
          </cell>
          <cell r="E287">
            <v>19</v>
          </cell>
          <cell r="F287">
            <v>1306</v>
          </cell>
          <cell r="H287">
            <v>3.4000000000000002E-2</v>
          </cell>
          <cell r="J287">
            <v>5.6049004594180662E-2</v>
          </cell>
          <cell r="L287">
            <v>158</v>
          </cell>
          <cell r="N287">
            <v>0.12098009188361408</v>
          </cell>
          <cell r="P287" t="e">
            <v>#DIV/0!</v>
          </cell>
          <cell r="S287">
            <v>158</v>
          </cell>
          <cell r="U287">
            <v>0.12098009188361408</v>
          </cell>
          <cell r="Y287">
            <v>44.78791406865745</v>
          </cell>
          <cell r="AA287">
            <v>0</v>
          </cell>
          <cell r="AC287">
            <v>954</v>
          </cell>
          <cell r="AE287">
            <v>3.6579999999999999</v>
          </cell>
          <cell r="AG287">
            <v>3834.3815513626832</v>
          </cell>
          <cell r="AH287">
            <v>-0.84289252467834408</v>
          </cell>
          <cell r="AI287">
            <v>-0.47762448326231066</v>
          </cell>
          <cell r="AK287">
            <v>0.16561844863731656</v>
          </cell>
          <cell r="AM287">
            <v>43.193001640240567</v>
          </cell>
          <cell r="AO287">
            <v>346.28888911055031</v>
          </cell>
          <cell r="AR287">
            <v>-105.05850675357337</v>
          </cell>
          <cell r="BB287">
            <v>2.0109523123668316E-2</v>
          </cell>
        </row>
        <row r="288">
          <cell r="A288" t="str">
            <v>PSUN2008</v>
          </cell>
          <cell r="B288" t="str">
            <v>PSUN</v>
          </cell>
          <cell r="C288" t="str">
            <v>2008 (PacSun only, total revs.)</v>
          </cell>
          <cell r="D288">
            <v>16</v>
          </cell>
          <cell r="E288">
            <v>20</v>
          </cell>
          <cell r="F288">
            <v>1254.8870000000002</v>
          </cell>
          <cell r="H288">
            <v>-5.2000000000000005E-2</v>
          </cell>
          <cell r="J288">
            <v>-3.5148184657263964E-2</v>
          </cell>
          <cell r="L288">
            <v>165</v>
          </cell>
          <cell r="N288">
            <v>0.13148594255897142</v>
          </cell>
          <cell r="P288" t="e">
            <v>#DIV/0!</v>
          </cell>
          <cell r="S288">
            <v>165</v>
          </cell>
          <cell r="U288">
            <v>0.13148594255897142</v>
          </cell>
          <cell r="Y288">
            <v>-105.05850675357337</v>
          </cell>
          <cell r="AA288">
            <v>0</v>
          </cell>
          <cell r="AC288">
            <v>932</v>
          </cell>
          <cell r="AE288">
            <v>3.5199999999999996</v>
          </cell>
          <cell r="AG288">
            <v>3776.8240343347634</v>
          </cell>
          <cell r="AH288">
            <v>-1.793857454547541</v>
          </cell>
          <cell r="AI288">
            <v>-1.793857454547541</v>
          </cell>
          <cell r="AK288">
            <v>0.17703862660944206</v>
          </cell>
          <cell r="AM288">
            <v>46.875000000000007</v>
          </cell>
          <cell r="AO288">
            <v>329.49638965471974</v>
          </cell>
          <cell r="AR288">
            <v>-179.42321713444343</v>
          </cell>
          <cell r="BB288">
            <v>-9.5502663974430524E-2</v>
          </cell>
        </row>
        <row r="289">
          <cell r="A289" t="str">
            <v>PSUN2009</v>
          </cell>
          <cell r="B289" t="str">
            <v>PSUN</v>
          </cell>
          <cell r="C289" t="str">
            <v>2009E (PacSun only, total revs.)</v>
          </cell>
          <cell r="D289">
            <v>17</v>
          </cell>
          <cell r="E289">
            <v>21</v>
          </cell>
          <cell r="F289">
            <v>1069.978298807788</v>
          </cell>
          <cell r="H289">
            <v>-0.16815330518714891</v>
          </cell>
          <cell r="J289">
            <v>-5.6341057225284763E-2</v>
          </cell>
          <cell r="L289">
            <v>159.88499999999999</v>
          </cell>
          <cell r="N289">
            <v>0.14942826427241576</v>
          </cell>
          <cell r="P289" t="e">
            <v>#DIV/0!</v>
          </cell>
          <cell r="S289">
            <v>159.88499999999999</v>
          </cell>
          <cell r="U289">
            <v>0.14942826427241576</v>
          </cell>
          <cell r="Y289">
            <v>-179.42321713444343</v>
          </cell>
          <cell r="AA289">
            <v>0</v>
          </cell>
          <cell r="AC289">
            <v>911</v>
          </cell>
          <cell r="AE289">
            <v>3.4734999999999996</v>
          </cell>
          <cell r="AG289">
            <v>3850.5617977528086</v>
          </cell>
          <cell r="AH289">
            <v>0</v>
          </cell>
          <cell r="AI289">
            <v>0</v>
          </cell>
          <cell r="AK289">
            <v>0.17550493962678373</v>
          </cell>
          <cell r="AM289">
            <v>46.029940981718731</v>
          </cell>
          <cell r="AO289">
            <v>308.04039119268407</v>
          </cell>
          <cell r="BA289">
            <v>-3.1000000000000028E-2</v>
          </cell>
          <cell r="BB289">
            <v>-8.7961139556255841E-2</v>
          </cell>
          <cell r="BC289">
            <v>5.6961139556255813E-2</v>
          </cell>
        </row>
        <row r="291">
          <cell r="C291" t="str">
            <v>2004 = Trough rent</v>
          </cell>
          <cell r="F291">
            <v>1229.7619999999999</v>
          </cell>
          <cell r="H291">
            <v>7.2999999999999995E-2</v>
          </cell>
          <cell r="I291">
            <v>0</v>
          </cell>
          <cell r="J291">
            <v>0.13824870178132018</v>
          </cell>
          <cell r="K291">
            <v>0</v>
          </cell>
          <cell r="L291">
            <v>138</v>
          </cell>
          <cell r="M291">
            <v>0</v>
          </cell>
          <cell r="N291">
            <v>0.11221683545271362</v>
          </cell>
          <cell r="O291">
            <v>0</v>
          </cell>
          <cell r="P291" t="e">
            <v>#DIV/0!</v>
          </cell>
          <cell r="Q291">
            <v>0</v>
          </cell>
          <cell r="S291">
            <v>138</v>
          </cell>
          <cell r="T291">
            <v>0</v>
          </cell>
          <cell r="U291">
            <v>0.11221683545271362</v>
          </cell>
          <cell r="Z291">
            <v>0</v>
          </cell>
          <cell r="AB291">
            <v>0</v>
          </cell>
          <cell r="AC291">
            <v>933.5</v>
          </cell>
          <cell r="AD291">
            <v>0</v>
          </cell>
          <cell r="AE291">
            <v>3.2222425000000001</v>
          </cell>
          <cell r="AF291">
            <v>0</v>
          </cell>
          <cell r="AG291">
            <v>3482.6767676767677</v>
          </cell>
          <cell r="AH291">
            <v>0.76568465239276695</v>
          </cell>
          <cell r="AI291">
            <v>0.76568465239276695</v>
          </cell>
          <cell r="AJ291">
            <v>0</v>
          </cell>
          <cell r="AK291">
            <v>0.14783074450990893</v>
          </cell>
          <cell r="AL291">
            <v>0</v>
          </cell>
          <cell r="AM291">
            <v>42.827316690162206</v>
          </cell>
          <cell r="AN291">
            <v>0</v>
          </cell>
          <cell r="AO291">
            <v>381.64787411251632</v>
          </cell>
          <cell r="AR291">
            <v>-0.19458975900660494</v>
          </cell>
        </row>
        <row r="292">
          <cell r="AS292">
            <v>0</v>
          </cell>
          <cell r="AT292" t="str">
            <v>Adjusted Rent Expense Increase Assumption</v>
          </cell>
        </row>
        <row r="293">
          <cell r="AI293">
            <v>0</v>
          </cell>
        </row>
        <row r="294">
          <cell r="C294">
            <v>1998</v>
          </cell>
          <cell r="F294">
            <v>2182.3609999999999</v>
          </cell>
          <cell r="J294">
            <v>0.10065887357774446</v>
          </cell>
          <cell r="L294">
            <v>106.696</v>
          </cell>
          <cell r="N294">
            <v>4.8890169866488635E-2</v>
          </cell>
          <cell r="P294">
            <v>4.8890169866488635E-2</v>
          </cell>
          <cell r="S294">
            <v>141.90568000000002</v>
          </cell>
          <cell r="U294">
            <v>6.5023925922429893E-2</v>
          </cell>
          <cell r="AC294">
            <v>337</v>
          </cell>
          <cell r="AE294">
            <v>9.367874999999998</v>
          </cell>
          <cell r="AG294">
            <v>27997.851002865329</v>
          </cell>
          <cell r="AI294">
            <v>0</v>
          </cell>
          <cell r="AK294">
            <v>0.42108510385756681</v>
          </cell>
          <cell r="AM294">
            <v>15.148118436678548</v>
          </cell>
          <cell r="AO294">
            <v>232.96222462404765</v>
          </cell>
        </row>
        <row r="295">
          <cell r="C295">
            <v>1999</v>
          </cell>
          <cell r="F295">
            <v>2468.6379999999999</v>
          </cell>
          <cell r="J295">
            <v>0.10335942329333012</v>
          </cell>
          <cell r="L295">
            <v>118.089</v>
          </cell>
          <cell r="N295">
            <v>4.7835689153290194E-2</v>
          </cell>
          <cell r="P295">
            <v>4.7835689153290194E-2</v>
          </cell>
          <cell r="S295">
            <v>157.05837</v>
          </cell>
          <cell r="U295">
            <v>6.3621466573875962E-2</v>
          </cell>
          <cell r="AC295">
            <v>363.5</v>
          </cell>
          <cell r="AE295">
            <v>10.231874999999999</v>
          </cell>
          <cell r="AG295">
            <v>28287.037037037033</v>
          </cell>
          <cell r="AI295">
            <v>0</v>
          </cell>
          <cell r="AK295">
            <v>0.43207254470426409</v>
          </cell>
          <cell r="AM295">
            <v>15.349910940076967</v>
          </cell>
          <cell r="AO295">
            <v>241.26936656282453</v>
          </cell>
        </row>
        <row r="296">
          <cell r="C296">
            <v>2000</v>
          </cell>
          <cell r="F296">
            <v>2709.0389999999998</v>
          </cell>
          <cell r="J296">
            <v>9.3262592380545198E-2</v>
          </cell>
          <cell r="L296">
            <v>129.64500000000001</v>
          </cell>
          <cell r="N296">
            <v>4.7856453893797772E-2</v>
          </cell>
          <cell r="P296">
            <v>4.7856453893797772E-2</v>
          </cell>
          <cell r="S296">
            <v>172.42785000000003</v>
          </cell>
          <cell r="U296">
            <v>6.3649083678751051E-2</v>
          </cell>
          <cell r="AC296">
            <v>393.5</v>
          </cell>
          <cell r="AE296">
            <v>11.177499999999998</v>
          </cell>
          <cell r="AG296">
            <v>28514.669926650367</v>
          </cell>
          <cell r="AI296">
            <v>0</v>
          </cell>
          <cell r="AK296">
            <v>0.43819021601016528</v>
          </cell>
          <cell r="AM296">
            <v>15.426334153433242</v>
          </cell>
          <cell r="AO296">
            <v>242.36537687318275</v>
          </cell>
        </row>
        <row r="297">
          <cell r="A297" t="str">
            <v>ROSTold</v>
          </cell>
          <cell r="C297">
            <v>2001</v>
          </cell>
          <cell r="F297">
            <v>2986.5960000000005</v>
          </cell>
          <cell r="J297">
            <v>8.6304608992980758E-2</v>
          </cell>
          <cell r="L297">
            <v>143.89599999999999</v>
          </cell>
          <cell r="N297">
            <v>4.8180604273226096E-2</v>
          </cell>
          <cell r="P297">
            <v>4.8180604273226096E-2</v>
          </cell>
          <cell r="Q297">
            <v>0</v>
          </cell>
          <cell r="S297">
            <v>191.38167999999999</v>
          </cell>
          <cell r="T297">
            <v>47.485680000000002</v>
          </cell>
          <cell r="U297">
            <v>6.4080203683390707E-2</v>
          </cell>
          <cell r="AC297">
            <v>430.5</v>
          </cell>
          <cell r="AE297">
            <v>12.383749999999999</v>
          </cell>
          <cell r="AF297">
            <v>0</v>
          </cell>
          <cell r="AG297">
            <v>28993.362831858401</v>
          </cell>
          <cell r="AI297">
            <v>0</v>
          </cell>
          <cell r="AJ297">
            <v>0</v>
          </cell>
          <cell r="AK297">
            <v>0.44455674796747963</v>
          </cell>
          <cell r="AL297">
            <v>0</v>
          </cell>
          <cell r="AM297">
            <v>15.454259008781669</v>
          </cell>
          <cell r="AN297">
            <v>0</v>
          </cell>
          <cell r="AO297">
            <v>241.17056626627641</v>
          </cell>
          <cell r="AS297" t="str">
            <v xml:space="preserve">Minimum rentals as reported in footnote C do not include CAM, RE taxes, </v>
          </cell>
        </row>
        <row r="298">
          <cell r="C298" t="str">
            <v>2002 (Trough rent)</v>
          </cell>
          <cell r="F298">
            <v>3531.3490000000002</v>
          </cell>
          <cell r="J298">
            <v>9.3112009036773302E-2</v>
          </cell>
          <cell r="L298">
            <v>163.57400000000001</v>
          </cell>
          <cell r="M298">
            <v>0</v>
          </cell>
          <cell r="N298">
            <v>4.6320542093120788E-2</v>
          </cell>
          <cell r="O298">
            <v>0</v>
          </cell>
          <cell r="P298">
            <v>4.6320542093120788E-2</v>
          </cell>
          <cell r="Q298">
            <v>0</v>
          </cell>
          <cell r="S298">
            <v>217.55342000000002</v>
          </cell>
          <cell r="T298">
            <v>53.979420000000005</v>
          </cell>
          <cell r="U298">
            <v>6.1606320983850653E-2</v>
          </cell>
          <cell r="Z298">
            <v>0</v>
          </cell>
          <cell r="AB298">
            <v>0</v>
          </cell>
          <cell r="AC298">
            <v>479.5</v>
          </cell>
          <cell r="AD298">
            <v>0</v>
          </cell>
          <cell r="AE298">
            <v>13.954374999999999</v>
          </cell>
          <cell r="AF298">
            <v>0</v>
          </cell>
          <cell r="AG298">
            <v>29400</v>
          </cell>
          <cell r="AI298">
            <v>0</v>
          </cell>
          <cell r="AJ298">
            <v>0</v>
          </cell>
          <cell r="AK298">
            <v>0.45370890510948908</v>
          </cell>
          <cell r="AL298">
            <v>0</v>
          </cell>
          <cell r="AM298">
            <v>15.5903377972858</v>
          </cell>
          <cell r="AN298">
            <v>0</v>
          </cell>
          <cell r="AO298">
            <v>253.063931562682</v>
          </cell>
          <cell r="AS298" t="str">
            <v>Insurance, or other landlord passthrus. Estimate 30% for these costs given</v>
          </cell>
        </row>
        <row r="299">
          <cell r="C299">
            <v>2003</v>
          </cell>
          <cell r="F299">
            <v>3920.5829999999996</v>
          </cell>
          <cell r="J299">
            <v>9.5246803855446871E-2</v>
          </cell>
          <cell r="L299">
            <v>186.24</v>
          </cell>
          <cell r="M299">
            <v>0</v>
          </cell>
          <cell r="N299">
            <v>4.7503139201491212E-2</v>
          </cell>
          <cell r="O299">
            <v>0</v>
          </cell>
          <cell r="P299">
            <v>4.7503139201491212E-2</v>
          </cell>
          <cell r="Q299">
            <v>0</v>
          </cell>
          <cell r="S299">
            <v>247.69920000000002</v>
          </cell>
          <cell r="T299">
            <v>61.45920000000001</v>
          </cell>
          <cell r="U299">
            <v>6.3179175137983309E-2</v>
          </cell>
          <cell r="Z299">
            <v>0</v>
          </cell>
          <cell r="AB299">
            <v>0</v>
          </cell>
          <cell r="AC299">
            <v>537.5</v>
          </cell>
          <cell r="AD299">
            <v>0</v>
          </cell>
          <cell r="AE299">
            <v>15.727499999999999</v>
          </cell>
          <cell r="AF299">
            <v>0</v>
          </cell>
          <cell r="AG299">
            <v>29400</v>
          </cell>
          <cell r="AI299">
            <v>0</v>
          </cell>
          <cell r="AJ299">
            <v>0</v>
          </cell>
          <cell r="AK299">
            <v>0.46083572093023262</v>
          </cell>
          <cell r="AL299">
            <v>0</v>
          </cell>
          <cell r="AM299">
            <v>15.749432522651409</v>
          </cell>
          <cell r="AN299">
            <v>0</v>
          </cell>
          <cell r="AO299">
            <v>249.28202193609917</v>
          </cell>
          <cell r="AS299" t="str">
            <v>lower cost of operating in a strip center vs. a mall.</v>
          </cell>
        </row>
        <row r="300">
          <cell r="C300">
            <v>2004</v>
          </cell>
          <cell r="F300">
            <v>4239.99</v>
          </cell>
          <cell r="J300">
            <v>6.9744975813622059E-2</v>
          </cell>
          <cell r="L300">
            <v>216.16300000000001</v>
          </cell>
          <cell r="M300">
            <v>0</v>
          </cell>
          <cell r="N300">
            <v>5.0981959863112887E-2</v>
          </cell>
          <cell r="O300">
            <v>0</v>
          </cell>
          <cell r="P300">
            <v>5.0981959863112887E-2</v>
          </cell>
          <cell r="Q300">
            <v>0</v>
          </cell>
          <cell r="S300">
            <v>287.49679000000003</v>
          </cell>
          <cell r="T300">
            <v>71.333790000000022</v>
          </cell>
          <cell r="U300">
            <v>6.7806006617940145E-2</v>
          </cell>
          <cell r="Z300">
            <v>0</v>
          </cell>
          <cell r="AB300">
            <v>0</v>
          </cell>
          <cell r="AC300">
            <v>608.5</v>
          </cell>
          <cell r="AD300">
            <v>0</v>
          </cell>
          <cell r="AE300">
            <v>17.858750000000001</v>
          </cell>
          <cell r="AF300">
            <v>0</v>
          </cell>
          <cell r="AG300">
            <v>29400</v>
          </cell>
          <cell r="AI300">
            <v>0</v>
          </cell>
          <cell r="AJ300">
            <v>0</v>
          </cell>
          <cell r="AK300">
            <v>0.47246801972062452</v>
          </cell>
          <cell r="AL300">
            <v>0</v>
          </cell>
          <cell r="AM300">
            <v>16.098371386575209</v>
          </cell>
          <cell r="AN300">
            <v>0</v>
          </cell>
          <cell r="AO300">
            <v>237.41807237348635</v>
          </cell>
        </row>
        <row r="301">
          <cell r="C301">
            <v>2005</v>
          </cell>
          <cell r="F301">
            <v>4944.1790000000001</v>
          </cell>
          <cell r="J301">
            <v>6.5823668600995366E-2</v>
          </cell>
          <cell r="L301">
            <v>246.214</v>
          </cell>
          <cell r="M301">
            <v>0</v>
          </cell>
          <cell r="N301">
            <v>4.9798763353834881E-2</v>
          </cell>
          <cell r="O301">
            <v>0</v>
          </cell>
          <cell r="P301">
            <v>4.9798763353834881E-2</v>
          </cell>
          <cell r="Q301">
            <v>0</v>
          </cell>
          <cell r="S301">
            <v>327.46462000000002</v>
          </cell>
          <cell r="T301">
            <v>81.250620000000026</v>
          </cell>
          <cell r="U301">
            <v>6.6232355260600395E-2</v>
          </cell>
          <cell r="Z301">
            <v>0</v>
          </cell>
          <cell r="AB301">
            <v>0</v>
          </cell>
          <cell r="AC301">
            <v>691.5</v>
          </cell>
          <cell r="AD301">
            <v>0</v>
          </cell>
          <cell r="AE301">
            <v>20.357499999999998</v>
          </cell>
          <cell r="AF301">
            <v>0</v>
          </cell>
          <cell r="AG301">
            <v>29494.209809264299</v>
          </cell>
          <cell r="AI301">
            <v>0</v>
          </cell>
          <cell r="AJ301">
            <v>0</v>
          </cell>
          <cell r="AK301">
            <v>0.4735569342010123</v>
          </cell>
          <cell r="AL301">
            <v>0</v>
          </cell>
          <cell r="AM301">
            <v>16.085699128085476</v>
          </cell>
          <cell r="AN301">
            <v>0</v>
          </cell>
          <cell r="AO301">
            <v>242.86769004052564</v>
          </cell>
        </row>
        <row r="302">
          <cell r="C302">
            <v>2006</v>
          </cell>
          <cell r="F302">
            <v>5570.21</v>
          </cell>
          <cell r="J302">
            <v>6.9952479349970648E-2</v>
          </cell>
          <cell r="L302">
            <v>274.21100000000001</v>
          </cell>
          <cell r="M302">
            <v>0</v>
          </cell>
          <cell r="N302">
            <v>4.9228126049107666E-2</v>
          </cell>
          <cell r="O302">
            <v>0</v>
          </cell>
          <cell r="P302">
            <v>4.9228126049107666E-2</v>
          </cell>
          <cell r="Q302">
            <v>0</v>
          </cell>
          <cell r="S302">
            <v>364.70063000000005</v>
          </cell>
          <cell r="T302">
            <v>90.489630000000034</v>
          </cell>
          <cell r="U302">
            <v>6.5473407645313203E-2</v>
          </cell>
          <cell r="Z302">
            <v>0</v>
          </cell>
          <cell r="AB302">
            <v>0</v>
          </cell>
          <cell r="AC302">
            <v>765.5</v>
          </cell>
          <cell r="AD302">
            <v>0</v>
          </cell>
          <cell r="AE302">
            <v>22.475624999999997</v>
          </cell>
          <cell r="AF302">
            <v>0</v>
          </cell>
          <cell r="AG302">
            <v>29237.76662484316</v>
          </cell>
          <cell r="AI302">
            <v>0</v>
          </cell>
          <cell r="AJ302">
            <v>0</v>
          </cell>
          <cell r="AK302">
            <v>0.47642146309601574</v>
          </cell>
          <cell r="AL302">
            <v>0</v>
          </cell>
          <cell r="AM302">
            <v>16.226495592447378</v>
          </cell>
          <cell r="AN302">
            <v>0</v>
          </cell>
          <cell r="AO302">
            <v>247.83337504518786</v>
          </cell>
        </row>
        <row r="303">
          <cell r="C303" t="str">
            <v>2007E</v>
          </cell>
          <cell r="F303">
            <v>5975.2120000000004</v>
          </cell>
          <cell r="J303">
            <v>7.0472980707630153E-2</v>
          </cell>
          <cell r="L303">
            <v>301.58199999999999</v>
          </cell>
          <cell r="M303">
            <v>0</v>
          </cell>
          <cell r="N303">
            <v>5.0472184083175622E-2</v>
          </cell>
          <cell r="O303">
            <v>0</v>
          </cell>
          <cell r="P303">
            <v>5.0472184083175622E-2</v>
          </cell>
          <cell r="Q303">
            <v>0</v>
          </cell>
          <cell r="S303">
            <v>401.10406</v>
          </cell>
          <cell r="T303">
            <v>99.52206000000001</v>
          </cell>
          <cell r="U303">
            <v>6.7128004830623575E-2</v>
          </cell>
          <cell r="Z303">
            <v>0</v>
          </cell>
          <cell r="AB303">
            <v>0</v>
          </cell>
          <cell r="AC303">
            <v>843.5</v>
          </cell>
          <cell r="AD303">
            <v>0</v>
          </cell>
          <cell r="AE303">
            <v>24.838749999999997</v>
          </cell>
          <cell r="AF303">
            <v>0</v>
          </cell>
          <cell r="AG303">
            <v>29634.831460674159</v>
          </cell>
          <cell r="AI303">
            <v>0</v>
          </cell>
          <cell r="AJ303">
            <v>0</v>
          </cell>
          <cell r="AK303">
            <v>0.47552348547717843</v>
          </cell>
          <cell r="AL303">
            <v>0</v>
          </cell>
          <cell r="AM303">
            <v>16.148319057923608</v>
          </cell>
          <cell r="AN303">
            <v>0</v>
          </cell>
          <cell r="AO303">
            <v>240.56009259725232</v>
          </cell>
        </row>
        <row r="304">
          <cell r="A304" t="str">
            <v>CHECK</v>
          </cell>
          <cell r="C304" t="str">
            <v>2002 = Trough rent</v>
          </cell>
          <cell r="F304">
            <v>9721.0650000000005</v>
          </cell>
          <cell r="H304">
            <v>0.06</v>
          </cell>
          <cell r="I304">
            <v>0</v>
          </cell>
          <cell r="J304">
            <v>0.13082424610883689</v>
          </cell>
          <cell r="L304">
            <v>406.6</v>
          </cell>
          <cell r="M304">
            <v>0</v>
          </cell>
          <cell r="N304">
            <v>4.1826692857212661E-2</v>
          </cell>
          <cell r="O304">
            <v>0</v>
          </cell>
          <cell r="P304">
            <v>4.1826692857212661E-2</v>
          </cell>
          <cell r="Q304">
            <v>0</v>
          </cell>
          <cell r="S304">
            <v>530.20640000000003</v>
          </cell>
          <cell r="T304">
            <v>0</v>
          </cell>
          <cell r="U304">
            <v>5.4542007485805309E-2</v>
          </cell>
          <cell r="Z304">
            <v>0</v>
          </cell>
          <cell r="AB304">
            <v>0</v>
          </cell>
          <cell r="AC304">
            <v>1162</v>
          </cell>
          <cell r="AD304">
            <v>0</v>
          </cell>
          <cell r="AE304">
            <v>33.981400000000001</v>
          </cell>
          <cell r="AF304">
            <v>0</v>
          </cell>
          <cell r="AG304">
            <v>29199.749791492912</v>
          </cell>
          <cell r="AI304">
            <v>0</v>
          </cell>
          <cell r="AJ304">
            <v>0</v>
          </cell>
          <cell r="AK304">
            <v>0.45628777969018935</v>
          </cell>
          <cell r="AL304">
            <v>0</v>
          </cell>
          <cell r="AM304">
            <v>15.602841554497461</v>
          </cell>
          <cell r="AN304">
            <v>0</v>
          </cell>
          <cell r="AO304">
            <v>286.07017368325023</v>
          </cell>
          <cell r="AS304" t="str">
            <v>Minimum rentals include rent expense on DC's, HQ, and stores.</v>
          </cell>
        </row>
        <row r="305">
          <cell r="AI305">
            <v>0</v>
          </cell>
        </row>
        <row r="306">
          <cell r="AI306">
            <v>0</v>
          </cell>
        </row>
        <row r="307">
          <cell r="C307">
            <v>1998</v>
          </cell>
          <cell r="F307">
            <v>7948.8710000000001</v>
          </cell>
          <cell r="J307">
            <v>8.8716749837807252E-2</v>
          </cell>
          <cell r="L307">
            <v>318.10000000000002</v>
          </cell>
          <cell r="N307">
            <v>4.0018261712889795E-2</v>
          </cell>
          <cell r="P307">
            <v>4.0018261712889795E-2</v>
          </cell>
          <cell r="S307">
            <v>423.07300000000004</v>
          </cell>
          <cell r="U307">
            <v>5.3224288078143431E-2</v>
          </cell>
          <cell r="AC307">
            <v>1208.5</v>
          </cell>
          <cell r="AE307">
            <v>36.0715</v>
          </cell>
          <cell r="AG307">
            <v>29796.147672552172</v>
          </cell>
          <cell r="AI307">
            <v>0</v>
          </cell>
          <cell r="AK307">
            <v>0.35008109226313616</v>
          </cell>
          <cell r="AM307">
            <v>11.728733210429287</v>
          </cell>
          <cell r="AO307">
            <v>220.36430422910053</v>
          </cell>
        </row>
        <row r="308">
          <cell r="C308">
            <v>1999</v>
          </cell>
          <cell r="F308">
            <v>8795.3469999999998</v>
          </cell>
          <cell r="J308">
            <v>9.79247322476305E-2</v>
          </cell>
          <cell r="L308">
            <v>352.6</v>
          </cell>
          <cell r="N308">
            <v>4.0089379077368981E-2</v>
          </cell>
          <cell r="P308">
            <v>4.0089379077368981E-2</v>
          </cell>
          <cell r="S308">
            <v>468.95800000000008</v>
          </cell>
          <cell r="U308">
            <v>5.3318874172900751E-2</v>
          </cell>
          <cell r="AC308">
            <v>1301.5</v>
          </cell>
          <cell r="AE308">
            <v>38.645500000000006</v>
          </cell>
          <cell r="AG308">
            <v>29598.378776713344</v>
          </cell>
          <cell r="AI308">
            <v>0</v>
          </cell>
          <cell r="AK308">
            <v>0.36032116788321172</v>
          </cell>
          <cell r="AM308">
            <v>12.134866931466794</v>
          </cell>
          <cell r="AO308">
            <v>227.59045684491076</v>
          </cell>
        </row>
        <row r="309">
          <cell r="C309">
            <v>2000</v>
          </cell>
          <cell r="F309">
            <v>9579.0059999999994</v>
          </cell>
          <cell r="J309">
            <v>9.2686652456423935E-2</v>
          </cell>
          <cell r="L309">
            <v>390.6</v>
          </cell>
          <cell r="N309">
            <v>4.077667348783371E-2</v>
          </cell>
          <cell r="P309">
            <v>4.077667348783371E-2</v>
          </cell>
          <cell r="S309">
            <v>519.49800000000005</v>
          </cell>
          <cell r="U309">
            <v>5.4232975738818835E-2</v>
          </cell>
          <cell r="AC309">
            <v>1425</v>
          </cell>
          <cell r="AE309">
            <v>42.072000000000003</v>
          </cell>
          <cell r="AG309">
            <v>29456.798392498324</v>
          </cell>
          <cell r="AI309">
            <v>0</v>
          </cell>
          <cell r="AK309">
            <v>0.36456000000000005</v>
          </cell>
          <cell r="AM309">
            <v>12.347832287507131</v>
          </cell>
          <cell r="AO309">
            <v>227.68126069594976</v>
          </cell>
        </row>
        <row r="310">
          <cell r="A310" t="str">
            <v>TJXold</v>
          </cell>
          <cell r="C310">
            <v>2001</v>
          </cell>
          <cell r="F310">
            <v>10708.998</v>
          </cell>
          <cell r="J310">
            <v>8.4012248391492766E-2</v>
          </cell>
          <cell r="L310">
            <v>446.6</v>
          </cell>
          <cell r="N310">
            <v>4.1703248053646107E-2</v>
          </cell>
          <cell r="P310">
            <v>4.1703248053646107E-2</v>
          </cell>
          <cell r="S310">
            <v>593.97800000000007</v>
          </cell>
          <cell r="U310">
            <v>5.5465319911349321E-2</v>
          </cell>
          <cell r="AC310">
            <v>1579</v>
          </cell>
          <cell r="AE310">
            <v>46.483999999999995</v>
          </cell>
          <cell r="AG310">
            <v>29422.822822822822</v>
          </cell>
          <cell r="AI310">
            <v>0</v>
          </cell>
          <cell r="AK310">
            <v>0.37617352754908173</v>
          </cell>
          <cell r="AM310">
            <v>12.778117201617764</v>
          </cell>
          <cell r="AO310">
            <v>230.38030289992258</v>
          </cell>
          <cell r="AS310" t="str">
            <v>Minimum rentals as reported in footnote D is net of sublease income (less than</v>
          </cell>
        </row>
        <row r="311">
          <cell r="C311">
            <v>2002</v>
          </cell>
          <cell r="F311">
            <v>11981.206999999999</v>
          </cell>
          <cell r="J311">
            <v>8.0383971331102005E-2</v>
          </cell>
          <cell r="L311">
            <v>524.70000000000005</v>
          </cell>
          <cell r="N311">
            <v>4.3793584402639911E-2</v>
          </cell>
          <cell r="P311">
            <v>4.3793584402639911E-2</v>
          </cell>
          <cell r="S311">
            <v>697.85100000000011</v>
          </cell>
          <cell r="U311">
            <v>5.8245467255511087E-2</v>
          </cell>
          <cell r="AC311">
            <v>1754</v>
          </cell>
          <cell r="AE311">
            <v>51.407499999999999</v>
          </cell>
          <cell r="AG311">
            <v>29205.642973412912</v>
          </cell>
          <cell r="AI311">
            <v>0</v>
          </cell>
          <cell r="AK311">
            <v>0.39786259977194988</v>
          </cell>
          <cell r="AM311">
            <v>13.574886932840542</v>
          </cell>
          <cell r="AO311">
            <v>233.06340514516361</v>
          </cell>
          <cell r="AS311" t="str">
            <v>1% of expense) and do not include CAM, RE taxes, insurance, or other landlord</v>
          </cell>
        </row>
        <row r="312">
          <cell r="C312">
            <v>2003</v>
          </cell>
          <cell r="F312">
            <v>13327.938</v>
          </cell>
          <cell r="J312">
            <v>7.6080035786481051E-2</v>
          </cell>
          <cell r="L312">
            <v>597.79999999999995</v>
          </cell>
          <cell r="N312">
            <v>4.4853149827077526E-2</v>
          </cell>
          <cell r="P312">
            <v>4.4853149827077526E-2</v>
          </cell>
          <cell r="S312">
            <v>795.07399999999996</v>
          </cell>
          <cell r="U312">
            <v>5.9654689270013106E-2</v>
          </cell>
          <cell r="AC312">
            <v>1952.5</v>
          </cell>
          <cell r="AE312">
            <v>57.158000000000001</v>
          </cell>
          <cell r="AG312">
            <v>29335.596508244424</v>
          </cell>
          <cell r="AI312">
            <v>0</v>
          </cell>
          <cell r="AK312">
            <v>0.40720819462227908</v>
          </cell>
          <cell r="AM312">
            <v>13.910108821162391</v>
          </cell>
          <cell r="AO312">
            <v>233.17712306238846</v>
          </cell>
          <cell r="AS312" t="str">
            <v xml:space="preserve">passthrus. Estimate 30% for these costs given lower cost of operating in a strip </v>
          </cell>
        </row>
        <row r="313">
          <cell r="C313">
            <v>2004</v>
          </cell>
          <cell r="F313">
            <v>14913.483</v>
          </cell>
          <cell r="J313">
            <v>6.8039639029997254E-2</v>
          </cell>
          <cell r="L313">
            <v>713.3</v>
          </cell>
          <cell r="N313">
            <v>4.7829202608136542E-2</v>
          </cell>
          <cell r="P313">
            <v>4.7829202608136542E-2</v>
          </cell>
          <cell r="S313">
            <v>948.68899999999996</v>
          </cell>
          <cell r="U313">
            <v>6.3612839468821597E-2</v>
          </cell>
          <cell r="AC313">
            <v>2143</v>
          </cell>
          <cell r="AE313">
            <v>62.599717339192452</v>
          </cell>
          <cell r="AG313">
            <v>29095.96883020904</v>
          </cell>
          <cell r="AI313">
            <v>0</v>
          </cell>
          <cell r="AK313">
            <v>0.44269202053196449</v>
          </cell>
          <cell r="AM313">
            <v>15.154844787231083</v>
          </cell>
          <cell r="AO313">
            <v>238.23562843250988</v>
          </cell>
        </row>
        <row r="314">
          <cell r="C314">
            <v>2005</v>
          </cell>
          <cell r="F314">
            <v>16057.935000000001</v>
          </cell>
          <cell r="J314">
            <v>6.4700660452293626E-2</v>
          </cell>
          <cell r="L314">
            <v>774.9</v>
          </cell>
          <cell r="N314">
            <v>4.8256516170977148E-2</v>
          </cell>
          <cell r="P314">
            <v>4.8256516170977148E-2</v>
          </cell>
          <cell r="S314">
            <v>1030.617</v>
          </cell>
          <cell r="U314">
            <v>6.4181166507399606E-2</v>
          </cell>
          <cell r="AC314">
            <v>2302.5</v>
          </cell>
          <cell r="AE314">
            <v>67.642217339192456</v>
          </cell>
          <cell r="AG314">
            <v>29640.907181856372</v>
          </cell>
          <cell r="AI314">
            <v>0</v>
          </cell>
          <cell r="AK314">
            <v>0.44760781758957652</v>
          </cell>
          <cell r="AM314">
            <v>15.236298284427351</v>
          </cell>
          <cell r="AO314">
            <v>237.39515988184351</v>
          </cell>
        </row>
        <row r="315">
          <cell r="C315">
            <v>2006</v>
          </cell>
          <cell r="F315">
            <v>17404.637000000002</v>
          </cell>
          <cell r="J315">
            <v>7.2818180580267233E-2</v>
          </cell>
          <cell r="L315">
            <v>837.6</v>
          </cell>
          <cell r="N315">
            <v>4.8125105970322733E-2</v>
          </cell>
          <cell r="P315">
            <v>4.8125105970322733E-2</v>
          </cell>
          <cell r="S315">
            <v>837.6</v>
          </cell>
          <cell r="U315">
            <v>4.8125105970322733E-2</v>
          </cell>
          <cell r="AC315">
            <v>2423.5</v>
          </cell>
          <cell r="AE315">
            <v>72.137500000000003</v>
          </cell>
          <cell r="AG315">
            <v>29886.455798864554</v>
          </cell>
          <cell r="AI315">
            <v>0</v>
          </cell>
          <cell r="AK315">
            <v>0.34561584485248609</v>
          </cell>
          <cell r="AM315">
            <v>11.611159244498353</v>
          </cell>
          <cell r="AO315">
            <v>241.27031017154741</v>
          </cell>
        </row>
        <row r="316">
          <cell r="C316" t="str">
            <v>2007E</v>
          </cell>
          <cell r="F316">
            <v>18471.973000000002</v>
          </cell>
          <cell r="J316">
            <v>7.8795643540622337E-2</v>
          </cell>
          <cell r="L316">
            <v>896.6</v>
          </cell>
          <cell r="N316">
            <v>4.8538399227846418E-2</v>
          </cell>
          <cell r="P316">
            <v>4.8538399227846418E-2</v>
          </cell>
          <cell r="S316">
            <v>1192.4780000000001</v>
          </cell>
          <cell r="U316">
            <v>6.4556070973035742E-2</v>
          </cell>
          <cell r="AC316">
            <v>2514.5</v>
          </cell>
          <cell r="AE316">
            <v>74.97</v>
          </cell>
          <cell r="AG316">
            <v>29746.390948107692</v>
          </cell>
          <cell r="AI316">
            <v>0</v>
          </cell>
          <cell r="AK316">
            <v>0.47424060449393518</v>
          </cell>
          <cell r="AM316">
            <v>15.906069094304389</v>
          </cell>
          <cell r="AO316">
            <v>246.39152994531148</v>
          </cell>
        </row>
        <row r="317">
          <cell r="A317" t="str">
            <v>CHECK</v>
          </cell>
          <cell r="C317" t="str">
            <v>1998 = Trough rent</v>
          </cell>
          <cell r="F317">
            <v>17404.637000000002</v>
          </cell>
          <cell r="H317">
            <v>0.03</v>
          </cell>
          <cell r="J317">
            <v>7.2818180580267233E-2</v>
          </cell>
          <cell r="L317">
            <v>837.6</v>
          </cell>
          <cell r="N317">
            <v>4.8125105970322733E-2</v>
          </cell>
          <cell r="P317">
            <v>4.8125105970322733E-2</v>
          </cell>
          <cell r="S317">
            <v>837.6</v>
          </cell>
          <cell r="U317">
            <v>4.8125105970322733E-2</v>
          </cell>
          <cell r="AC317">
            <v>2423.5</v>
          </cell>
          <cell r="AE317">
            <v>72.137500000000003</v>
          </cell>
          <cell r="AG317">
            <v>29886.455798864554</v>
          </cell>
          <cell r="AI317">
            <v>0</v>
          </cell>
          <cell r="AK317">
            <v>0.34561584485248609</v>
          </cell>
          <cell r="AM317">
            <v>11.611159244498353</v>
          </cell>
          <cell r="AO317">
            <v>241.27031017154741</v>
          </cell>
          <cell r="AS317" t="str">
            <v xml:space="preserve">center vs. a mall. Minimum rent includes rent expense on DC's, HQ (ex. capital </v>
          </cell>
        </row>
        <row r="318">
          <cell r="AI318">
            <v>0</v>
          </cell>
        </row>
        <row r="319">
          <cell r="AI319">
            <v>0</v>
          </cell>
        </row>
        <row r="320">
          <cell r="C320">
            <v>1998</v>
          </cell>
          <cell r="D320">
            <v>11</v>
          </cell>
          <cell r="E320">
            <v>12</v>
          </cell>
          <cell r="F320">
            <v>972.97400000000016</v>
          </cell>
          <cell r="H320">
            <v>3.6000000000000004E-2</v>
          </cell>
          <cell r="J320">
            <v>5.8595959189176441E-2</v>
          </cell>
          <cell r="L320">
            <v>67.316000000000003</v>
          </cell>
          <cell r="N320">
            <v>6.9185815859416577E-2</v>
          </cell>
          <cell r="P320" t="e">
            <v>#DIV/0!</v>
          </cell>
          <cell r="S320">
            <v>96.261880000000005</v>
          </cell>
          <cell r="U320">
            <v>9.893571667896571E-2</v>
          </cell>
          <cell r="AC320">
            <v>620.5</v>
          </cell>
          <cell r="AE320">
            <v>2.624285</v>
          </cell>
          <cell r="AG320">
            <v>4239.545454545454</v>
          </cell>
          <cell r="AH320">
            <v>0.58006686834613874</v>
          </cell>
          <cell r="AI320">
            <v>0</v>
          </cell>
          <cell r="AK320">
            <v>0.15513598710717164</v>
          </cell>
          <cell r="AM320">
            <v>36.681183636685802</v>
          </cell>
          <cell r="AO320">
            <v>370.75774925360622</v>
          </cell>
          <cell r="AY320">
            <v>169.27199999999999</v>
          </cell>
          <cell r="AZ320" t="str">
            <v>Catalog/Internet Sales</v>
          </cell>
        </row>
        <row r="321">
          <cell r="C321">
            <v>1999</v>
          </cell>
          <cell r="D321">
            <v>12</v>
          </cell>
          <cell r="E321">
            <v>13</v>
          </cell>
          <cell r="F321">
            <v>1117.6640000000002</v>
          </cell>
          <cell r="H321">
            <v>8.6999999999999994E-2</v>
          </cell>
          <cell r="J321">
            <v>7.7612332633889128E-2</v>
          </cell>
          <cell r="L321">
            <v>72.718999999999994</v>
          </cell>
          <cell r="N321">
            <v>6.5063382197154046E-2</v>
          </cell>
          <cell r="P321" t="e">
            <v>#DIV/0!</v>
          </cell>
          <cell r="S321">
            <v>103.98816999999998</v>
          </cell>
          <cell r="U321">
            <v>9.3040636541930274E-2</v>
          </cell>
          <cell r="AC321">
            <v>655.5</v>
          </cell>
          <cell r="AE321">
            <v>2.7668889999999999</v>
          </cell>
          <cell r="AG321">
            <v>4203.4888558692419</v>
          </cell>
          <cell r="AH321">
            <v>0.80017082045803423</v>
          </cell>
          <cell r="AI321">
            <v>0</v>
          </cell>
          <cell r="AK321">
            <v>0.15863946605644544</v>
          </cell>
          <cell r="AM321">
            <v>37.583065312703177</v>
          </cell>
          <cell r="AO321">
            <v>397.53275248844466</v>
          </cell>
          <cell r="AY321">
            <v>190.994</v>
          </cell>
        </row>
        <row r="322">
          <cell r="C322">
            <v>2000</v>
          </cell>
          <cell r="D322">
            <v>13</v>
          </cell>
          <cell r="E322">
            <v>14</v>
          </cell>
          <cell r="F322">
            <v>1325.961</v>
          </cell>
          <cell r="H322">
            <v>0.16300000000000001</v>
          </cell>
          <cell r="J322">
            <v>0.12016519163684423</v>
          </cell>
          <cell r="L322">
            <v>78.466999999999999</v>
          </cell>
          <cell r="N322">
            <v>5.9177456953862138E-2</v>
          </cell>
          <cell r="P322" t="e">
            <v>#DIV/0!</v>
          </cell>
          <cell r="R322">
            <v>50</v>
          </cell>
          <cell r="S322">
            <v>112.20780999999999</v>
          </cell>
          <cell r="U322">
            <v>8.4623763444022865E-2</v>
          </cell>
          <cell r="Y322">
            <v>84.168730979074098</v>
          </cell>
          <cell r="AA322">
            <v>0</v>
          </cell>
          <cell r="AC322">
            <v>697.5</v>
          </cell>
          <cell r="AE322">
            <v>2.9128375000000002</v>
          </cell>
          <cell r="AG322">
            <v>4150.5914127423821</v>
          </cell>
          <cell r="AH322">
            <v>0.80565545961892249</v>
          </cell>
          <cell r="AI322">
            <v>0</v>
          </cell>
          <cell r="AK322">
            <v>0.16087141218637993</v>
          </cell>
          <cell r="AM322">
            <v>38.521822793066896</v>
          </cell>
          <cell r="AO322">
            <v>455.21282941461715</v>
          </cell>
          <cell r="AY322">
            <v>269.03500000000003</v>
          </cell>
        </row>
        <row r="323">
          <cell r="A323" t="str">
            <v>TLB2001</v>
          </cell>
          <cell r="C323">
            <v>2001</v>
          </cell>
          <cell r="D323">
            <v>14</v>
          </cell>
          <cell r="E323">
            <v>15</v>
          </cell>
          <cell r="F323">
            <v>1346.0290000000002</v>
          </cell>
          <cell r="H323">
            <v>-2.6000000000000002E-2</v>
          </cell>
          <cell r="J323">
            <v>0.1302414306117223</v>
          </cell>
          <cell r="L323">
            <v>84.375</v>
          </cell>
          <cell r="N323">
            <v>6.268438495753062E-2</v>
          </cell>
          <cell r="P323" t="e">
            <v>#DIV/0!</v>
          </cell>
          <cell r="S323">
            <v>120.65625</v>
          </cell>
          <cell r="U323">
            <v>8.9638670489268796E-2</v>
          </cell>
          <cell r="Y323">
            <v>-50.149070452459313</v>
          </cell>
          <cell r="AA323">
            <v>0</v>
          </cell>
          <cell r="AC323">
            <v>761</v>
          </cell>
          <cell r="AE323">
            <v>3.145597</v>
          </cell>
          <cell r="AG323">
            <v>4118.0837500000007</v>
          </cell>
          <cell r="AH323">
            <v>0.51477447107119634</v>
          </cell>
          <cell r="AI323">
            <v>0</v>
          </cell>
          <cell r="AK323">
            <v>0.15854960578186597</v>
          </cell>
          <cell r="AM323">
            <v>38.357186251131346</v>
          </cell>
          <cell r="AO323">
            <v>427.90891522340593</v>
          </cell>
          <cell r="AS323" t="str">
            <v>Rent expense reported in footnote 13 includes only minimum rent and percentage</v>
          </cell>
          <cell r="AY323">
            <v>266.48399999999998</v>
          </cell>
        </row>
        <row r="324">
          <cell r="C324">
            <v>2002</v>
          </cell>
          <cell r="D324">
            <v>15</v>
          </cell>
          <cell r="E324">
            <v>16</v>
          </cell>
          <cell r="F324">
            <v>1321.414</v>
          </cell>
          <cell r="H324">
            <v>-6.5872368711950471E-2</v>
          </cell>
          <cell r="J324">
            <v>0.12295748118827028</v>
          </cell>
          <cell r="L324">
            <v>100.07299999999999</v>
          </cell>
          <cell r="N324">
            <v>7.5731754015017236E-2</v>
          </cell>
          <cell r="P324" t="e">
            <v>#DIV/0!</v>
          </cell>
          <cell r="S324">
            <v>143.10439</v>
          </cell>
          <cell r="U324">
            <v>0.10829640824147466</v>
          </cell>
          <cell r="Y324">
            <v>-186.57737752205861</v>
          </cell>
          <cell r="AA324">
            <v>0</v>
          </cell>
          <cell r="AC324">
            <v>843</v>
          </cell>
          <cell r="AE324">
            <v>3.45275</v>
          </cell>
          <cell r="AG324">
            <v>4075.6580135440186</v>
          </cell>
          <cell r="AH324">
            <v>0.68895002975963471</v>
          </cell>
          <cell r="AI324">
            <v>0</v>
          </cell>
          <cell r="AK324">
            <v>0.16975609727164886</v>
          </cell>
          <cell r="AM324">
            <v>41.446496271088265</v>
          </cell>
          <cell r="AO324">
            <v>390.38853088118168</v>
          </cell>
          <cell r="AS324" t="str">
            <v xml:space="preserve">(contingent) rent. CAM, taxes, and insurance costs are not included. </v>
          </cell>
          <cell r="AY324">
            <v>247.42099999999999</v>
          </cell>
        </row>
        <row r="325">
          <cell r="C325">
            <v>2003</v>
          </cell>
          <cell r="D325">
            <v>16</v>
          </cell>
          <cell r="E325">
            <v>17</v>
          </cell>
          <cell r="F325">
            <v>1355.3900000000003</v>
          </cell>
          <cell r="H325">
            <v>-3.8198786916022825E-2</v>
          </cell>
          <cell r="J325">
            <v>0.10446579173433505</v>
          </cell>
          <cell r="L325">
            <v>115.36799999999999</v>
          </cell>
          <cell r="N325">
            <v>8.511793653487186E-2</v>
          </cell>
          <cell r="P325" t="e">
            <v>#DIV/0!</v>
          </cell>
          <cell r="S325">
            <v>164.97623999999999</v>
          </cell>
          <cell r="U325">
            <v>0.12171864924486675</v>
          </cell>
          <cell r="Y325">
            <v>-134.22241003392094</v>
          </cell>
          <cell r="AA325">
            <v>0</v>
          </cell>
          <cell r="AC325" t="str">
            <v>N/A</v>
          </cell>
          <cell r="AE325">
            <v>3.7707715000000004</v>
          </cell>
          <cell r="AG325">
            <v>7515.3154875717028</v>
          </cell>
          <cell r="AH325">
            <v>0.71263224132942471</v>
          </cell>
          <cell r="AI325">
            <v>0</v>
          </cell>
          <cell r="AK325" t="e">
            <v>#VALUE!</v>
          </cell>
          <cell r="AM325">
            <v>43.751322507874043</v>
          </cell>
          <cell r="AO325">
            <v>367.27232079695091</v>
          </cell>
          <cell r="AS325" t="str">
            <v>40% mall based. Village, free standing, strip locations lower cost.</v>
          </cell>
          <cell r="AY325">
            <v>239.39999999999998</v>
          </cell>
        </row>
        <row r="326">
          <cell r="C326">
            <v>2004</v>
          </cell>
          <cell r="D326">
            <v>17</v>
          </cell>
          <cell r="E326">
            <v>18</v>
          </cell>
          <cell r="F326">
            <v>1454.6429999999998</v>
          </cell>
          <cell r="H326">
            <v>1.6678949539392276E-2</v>
          </cell>
          <cell r="J326">
            <v>8.3703263493738828E-2</v>
          </cell>
          <cell r="L326">
            <v>124.01</v>
          </cell>
          <cell r="N326">
            <v>8.5251157844227085E-2</v>
          </cell>
          <cell r="P326" t="e">
            <v>#DIV/0!</v>
          </cell>
          <cell r="S326">
            <v>177.33430000000001</v>
          </cell>
          <cell r="U326">
            <v>0.12190915571724474</v>
          </cell>
          <cell r="Y326">
            <v>-1.905064723779909</v>
          </cell>
          <cell r="AA326">
            <v>0</v>
          </cell>
          <cell r="AC326">
            <v>537.5</v>
          </cell>
          <cell r="AE326">
            <v>4.0667920000000004</v>
          </cell>
          <cell r="AG326">
            <v>7614.264492753623</v>
          </cell>
          <cell r="AH326">
            <v>0.42863561876343226</v>
          </cell>
          <cell r="AI326">
            <v>0</v>
          </cell>
          <cell r="AK326">
            <v>0.32992427906976746</v>
          </cell>
          <cell r="AM326">
            <v>43.605451176258832</v>
          </cell>
          <cell r="AO326">
            <v>357.67750108685169</v>
          </cell>
          <cell r="AT326" t="str">
            <v>Adjusted Rent Expense Increase Assumption</v>
          </cell>
          <cell r="AY326">
            <v>243.2</v>
          </cell>
        </row>
        <row r="327">
          <cell r="A327" t="str">
            <v>TLB</v>
          </cell>
          <cell r="B327" t="str">
            <v>TLB</v>
          </cell>
          <cell r="C327" t="str">
            <v>2005 (ex. catalog/internet)</v>
          </cell>
          <cell r="D327">
            <v>18</v>
          </cell>
          <cell r="E327">
            <v>19</v>
          </cell>
          <cell r="F327">
            <v>1543.6069999999997</v>
          </cell>
          <cell r="H327">
            <v>2.6000000000000002E-2</v>
          </cell>
          <cell r="J327">
            <v>8.4124458284446632E-2</v>
          </cell>
          <cell r="L327">
            <v>126.904</v>
          </cell>
          <cell r="N327">
            <v>8.2212635729172007E-2</v>
          </cell>
          <cell r="P327" t="e">
            <v>#DIV/0!</v>
          </cell>
          <cell r="R327">
            <v>0.43</v>
          </cell>
          <cell r="S327">
            <v>181.47271999999998</v>
          </cell>
          <cell r="U327">
            <v>0.11756406909271597</v>
          </cell>
          <cell r="Y327">
            <v>43.450866245287742</v>
          </cell>
          <cell r="AA327">
            <v>0</v>
          </cell>
          <cell r="AC327">
            <v>558.5</v>
          </cell>
          <cell r="AE327">
            <v>4.0954864999999998</v>
          </cell>
          <cell r="AG327">
            <v>7058.2283185840715</v>
          </cell>
          <cell r="AH327">
            <v>4.9875786230984609</v>
          </cell>
          <cell r="AI327">
            <v>4.9875786230984609</v>
          </cell>
          <cell r="AK327">
            <v>0.32492877350044758</v>
          </cell>
          <cell r="AM327">
            <v>44.31041831049864</v>
          </cell>
          <cell r="AO327">
            <v>376.90491715697266</v>
          </cell>
          <cell r="AY327">
            <v>264.99900000000002</v>
          </cell>
          <cell r="BA327">
            <v>7.0558071325013128E-3</v>
          </cell>
          <cell r="BB327">
            <v>7.0558071325013128E-3</v>
          </cell>
        </row>
        <row r="328">
          <cell r="A328" t="str">
            <v>TLB2006</v>
          </cell>
          <cell r="B328" t="str">
            <v>TLB</v>
          </cell>
          <cell r="C328" t="str">
            <v>2006 (ex. cat/int., TLB only)</v>
          </cell>
          <cell r="D328">
            <v>20</v>
          </cell>
          <cell r="E328">
            <v>20</v>
          </cell>
          <cell r="F328">
            <v>1510.8999999999999</v>
          </cell>
          <cell r="H328">
            <v>0</v>
          </cell>
          <cell r="J328">
            <v>3.4231676537281146E-2</v>
          </cell>
          <cell r="L328">
            <v>119.7</v>
          </cell>
          <cell r="N328">
            <v>7.9224303395327295E-2</v>
          </cell>
          <cell r="P328" t="e">
            <v>#DIV/0!</v>
          </cell>
          <cell r="S328">
            <v>171.17099999999999</v>
          </cell>
          <cell r="U328">
            <v>0.11329075385531803</v>
          </cell>
          <cell r="Y328">
            <v>42.733152373979344</v>
          </cell>
          <cell r="AA328">
            <v>0</v>
          </cell>
          <cell r="AC328">
            <v>574.5</v>
          </cell>
          <cell r="AE328">
            <v>4.5221070000000001</v>
          </cell>
          <cell r="AG328">
            <v>8658.073630136987</v>
          </cell>
          <cell r="AH328">
            <v>1.3003546528055958</v>
          </cell>
          <cell r="AI328">
            <v>-0.20340786898966789</v>
          </cell>
          <cell r="AK328">
            <v>0.29794778067885114</v>
          </cell>
          <cell r="AM328">
            <v>37.852045517719944</v>
          </cell>
          <cell r="AO328">
            <v>387.58481389316972</v>
          </cell>
          <cell r="AR328" t="str">
            <v>DE-LVG</v>
          </cell>
          <cell r="AY328">
            <v>0</v>
          </cell>
          <cell r="BA328">
            <v>0.10416845471227898</v>
          </cell>
          <cell r="BB328">
            <v>0.10416845471227898</v>
          </cell>
        </row>
        <row r="329">
          <cell r="A329" t="str">
            <v>TLB2007</v>
          </cell>
          <cell r="B329" t="str">
            <v>TLB</v>
          </cell>
          <cell r="C329" t="str">
            <v>2007 (ex. cat/internet)</v>
          </cell>
          <cell r="D329">
            <v>22</v>
          </cell>
          <cell r="E329">
            <v>21</v>
          </cell>
          <cell r="F329">
            <v>1445.3309999999999</v>
          </cell>
          <cell r="H329">
            <v>-5.7000000000000002E-2</v>
          </cell>
          <cell r="J329">
            <v>2.060985355201498E-2</v>
          </cell>
          <cell r="L329">
            <v>121.8</v>
          </cell>
          <cell r="N329">
            <v>8.4271353759104314E-2</v>
          </cell>
          <cell r="P329" t="e">
            <v>#DIV/0!</v>
          </cell>
          <cell r="R329">
            <v>0.43</v>
          </cell>
          <cell r="S329">
            <v>174.17399999999998</v>
          </cell>
          <cell r="U329">
            <v>0.12050803587551917</v>
          </cell>
          <cell r="Y329">
            <v>-72.17282020201138</v>
          </cell>
          <cell r="AA329">
            <v>0</v>
          </cell>
          <cell r="AC329">
            <v>590</v>
          </cell>
          <cell r="AE329">
            <v>4.6354140000000008</v>
          </cell>
          <cell r="AG329">
            <v>7071.330536912752</v>
          </cell>
          <cell r="AH329">
            <v>-4.7241269119223421</v>
          </cell>
          <cell r="AI329">
            <v>0.54288620063301307</v>
          </cell>
          <cell r="AK329">
            <v>0.2952101694915254</v>
          </cell>
          <cell r="AM329">
            <v>37.574637346308215</v>
          </cell>
          <cell r="AO329">
            <v>311.80192319391529</v>
          </cell>
          <cell r="AQ329" t="str">
            <v>Sales exclude Catalog/Internet sales (2010 $222M, 2009 $208M). We estimate achieves leverage at slightly negative comp.</v>
          </cell>
          <cell r="AR329">
            <v>-242.40623139852897</v>
          </cell>
          <cell r="AY329">
            <v>262.7</v>
          </cell>
          <cell r="BA329">
            <v>2.505624037644405E-2</v>
          </cell>
          <cell r="BB329">
            <v>2.505624037644405E-2</v>
          </cell>
        </row>
        <row r="330">
          <cell r="A330" t="str">
            <v>TLB2008</v>
          </cell>
          <cell r="B330" t="str">
            <v>TLB</v>
          </cell>
          <cell r="C330" t="str">
            <v>2008 (ex. cat/internet)</v>
          </cell>
          <cell r="D330">
            <v>23</v>
          </cell>
          <cell r="E330">
            <v>22</v>
          </cell>
          <cell r="F330">
            <v>1261.5730000000001</v>
          </cell>
          <cell r="H330">
            <v>-0.14199999999999999</v>
          </cell>
          <cell r="J330">
            <v>-6.5804557341305761E-2</v>
          </cell>
          <cell r="L330">
            <v>127.7</v>
          </cell>
          <cell r="N330">
            <v>0.10122283847228816</v>
          </cell>
          <cell r="P330" t="e">
            <v>#DIV/0!</v>
          </cell>
          <cell r="R330">
            <v>0.43</v>
          </cell>
          <cell r="S330">
            <v>182.61099999999999</v>
          </cell>
          <cell r="U330">
            <v>0.14474865901537207</v>
          </cell>
          <cell r="Y330">
            <v>-242.40623139852897</v>
          </cell>
          <cell r="AA330">
            <v>0</v>
          </cell>
          <cell r="AC330">
            <v>591.5</v>
          </cell>
          <cell r="AE330">
            <v>4.2110205000000001</v>
          </cell>
          <cell r="AG330">
            <v>7167.8500851788749</v>
          </cell>
          <cell r="AH330">
            <v>-0.16231796349067013</v>
          </cell>
          <cell r="AI330">
            <v>-0.16231796349067013</v>
          </cell>
          <cell r="AK330">
            <v>0.30872527472527472</v>
          </cell>
          <cell r="AM330">
            <v>43.365022801480066</v>
          </cell>
          <cell r="AO330">
            <v>299.58842518102205</v>
          </cell>
          <cell r="AR330">
            <v>-305.46734834987626</v>
          </cell>
          <cell r="AS330">
            <v>2.5423728813558366E-3</v>
          </cell>
          <cell r="AU330">
            <v>-547.87357974840529</v>
          </cell>
          <cell r="AY330">
            <v>233.6</v>
          </cell>
          <cell r="BA330">
            <v>-9.1554605478604612E-2</v>
          </cell>
          <cell r="BB330">
            <v>-9.1554605478604612E-2</v>
          </cell>
        </row>
        <row r="331">
          <cell r="A331" t="str">
            <v>TLB2009</v>
          </cell>
          <cell r="B331" t="str">
            <v>TLB</v>
          </cell>
          <cell r="C331" t="str">
            <v>2009 (ex. cat/internet)</v>
          </cell>
          <cell r="D331">
            <v>24</v>
          </cell>
          <cell r="E331">
            <v>23</v>
          </cell>
          <cell r="F331">
            <v>1027.865</v>
          </cell>
          <cell r="H331">
            <v>-0.16500000000000001</v>
          </cell>
          <cell r="J331">
            <v>5.3041682313181328E-3</v>
          </cell>
          <cell r="L331">
            <v>126</v>
          </cell>
          <cell r="N331">
            <v>0.12258419150374805</v>
          </cell>
          <cell r="P331" t="e">
            <v>#DIV/0!</v>
          </cell>
          <cell r="R331">
            <v>0.43</v>
          </cell>
          <cell r="S331">
            <v>180.17999999999998</v>
          </cell>
          <cell r="U331">
            <v>0.17529539385035969</v>
          </cell>
          <cell r="Y331">
            <v>-305.46734834987626</v>
          </cell>
          <cell r="AA331">
            <v>0</v>
          </cell>
          <cell r="AC331">
            <v>583.5</v>
          </cell>
          <cell r="AE331">
            <v>4.1897039999999999</v>
          </cell>
          <cell r="AG331">
            <v>7192.8965517241377</v>
          </cell>
          <cell r="AH331">
            <v>4.0005869456344563</v>
          </cell>
          <cell r="AI331">
            <v>0</v>
          </cell>
          <cell r="AK331">
            <v>0.30879177377892025</v>
          </cell>
          <cell r="AM331">
            <v>43.005424726901943</v>
          </cell>
          <cell r="AO331">
            <v>245.33117375356352</v>
          </cell>
          <cell r="AR331">
            <v>1.8375642410795034</v>
          </cell>
          <cell r="AS331">
            <v>-1.3524936601859716E-2</v>
          </cell>
          <cell r="AU331">
            <v>-303.62978410879674</v>
          </cell>
          <cell r="AY331">
            <v>207.74200000000002</v>
          </cell>
          <cell r="BA331">
            <v>-5.0620746206294642E-3</v>
          </cell>
          <cell r="BB331">
            <v>-5.0620746206294642E-3</v>
          </cell>
          <cell r="BC331">
            <v>0</v>
          </cell>
        </row>
        <row r="332">
          <cell r="A332" t="str">
            <v>TLB2010</v>
          </cell>
          <cell r="B332" t="str">
            <v>TLB</v>
          </cell>
          <cell r="C332" t="str">
            <v>2010 (ex. cat/internet)</v>
          </cell>
          <cell r="D332">
            <v>25</v>
          </cell>
          <cell r="E332">
            <v>24</v>
          </cell>
          <cell r="F332">
            <v>991.37899999999991</v>
          </cell>
          <cell r="H332">
            <v>-1.7000000000000001E-2</v>
          </cell>
          <cell r="J332">
            <v>4.855406987288341E-2</v>
          </cell>
          <cell r="L332">
            <v>121.4</v>
          </cell>
          <cell r="N332">
            <v>0.12245569050786835</v>
          </cell>
          <cell r="P332" t="e">
            <v>#DIV/0!</v>
          </cell>
          <cell r="R332">
            <v>0.43</v>
          </cell>
          <cell r="S332">
            <v>173.602</v>
          </cell>
          <cell r="U332">
            <v>0.17511163742625174</v>
          </cell>
          <cell r="Y332">
            <v>1.8375642410795034</v>
          </cell>
          <cell r="AA332">
            <v>0</v>
          </cell>
          <cell r="AC332">
            <v>574</v>
          </cell>
          <cell r="AE332">
            <v>4.1130554999999998</v>
          </cell>
          <cell r="AG332">
            <v>7137.7306338028175</v>
          </cell>
          <cell r="AH332">
            <v>1.011062836663472</v>
          </cell>
          <cell r="AI332">
            <v>0</v>
          </cell>
          <cell r="AK332">
            <v>0.30244250871080142</v>
          </cell>
          <cell r="AM332">
            <v>42.207551052982389</v>
          </cell>
          <cell r="AO332">
            <v>241.0322447630478</v>
          </cell>
          <cell r="AR332">
            <v>52.479777721540501</v>
          </cell>
          <cell r="AS332">
            <v>-1.6281062553556103E-2</v>
          </cell>
          <cell r="AY332">
            <v>221.72300000000001</v>
          </cell>
          <cell r="BA332">
            <v>-1.8294490493839244E-2</v>
          </cell>
          <cell r="BB332">
            <v>-1.8294490493839244E-2</v>
          </cell>
        </row>
        <row r="333">
          <cell r="A333" t="str">
            <v>TLB2011</v>
          </cell>
          <cell r="B333" t="str">
            <v>TLB</v>
          </cell>
          <cell r="C333" t="str">
            <v>2011 (ex. cat/internet)</v>
          </cell>
          <cell r="D333">
            <v>26</v>
          </cell>
          <cell r="E333">
            <v>25</v>
          </cell>
          <cell r="F333">
            <v>919.12393499999996</v>
          </cell>
          <cell r="H333">
            <v>-7.4970367722391601E-2</v>
          </cell>
          <cell r="J333">
            <v>-2.994072671744278E-2</v>
          </cell>
          <cell r="L333">
            <v>109.1788498425</v>
          </cell>
          <cell r="N333">
            <v>0.1187857759818865</v>
          </cell>
          <cell r="P333" t="e">
            <v>#DIV/0!</v>
          </cell>
          <cell r="R333">
            <v>0.43</v>
          </cell>
          <cell r="S333">
            <v>156.125755274775</v>
          </cell>
          <cell r="U333">
            <v>0.16986365965409769</v>
          </cell>
          <cell r="Y333">
            <v>52.479777721540501</v>
          </cell>
          <cell r="AA333">
            <v>0</v>
          </cell>
          <cell r="AC333">
            <v>535</v>
          </cell>
          <cell r="AE333">
            <v>3.8099080000000005</v>
          </cell>
          <cell r="AG333">
            <v>7102.758964143427</v>
          </cell>
          <cell r="AH333" t="e">
            <v>#REF!</v>
          </cell>
          <cell r="AI333">
            <v>0</v>
          </cell>
          <cell r="AK333">
            <v>0.29182384163509345</v>
          </cell>
          <cell r="AM333">
            <v>40.978878039778124</v>
          </cell>
          <cell r="AO333">
            <v>241.24570330832131</v>
          </cell>
          <cell r="AS333">
            <v>-6.7944250871080136E-2</v>
          </cell>
          <cell r="AY333">
            <v>212.26310999999998</v>
          </cell>
          <cell r="BA333">
            <v>-7.3703722208464995E-2</v>
          </cell>
          <cell r="BB333">
            <v>-7.3703722208464995E-2</v>
          </cell>
        </row>
        <row r="334">
          <cell r="A334" t="str">
            <v>TLB2012</v>
          </cell>
          <cell r="B334" t="str">
            <v>TLB</v>
          </cell>
          <cell r="C334" t="str">
            <v>2012e (ex. cat/internet)</v>
          </cell>
          <cell r="D334">
            <v>27</v>
          </cell>
          <cell r="E334">
            <v>26</v>
          </cell>
          <cell r="F334">
            <v>915</v>
          </cell>
          <cell r="H334">
            <v>0</v>
          </cell>
          <cell r="J334">
            <v>2.000000000000053E-3</v>
          </cell>
          <cell r="L334">
            <v>0</v>
          </cell>
          <cell r="N334">
            <v>0</v>
          </cell>
          <cell r="P334" t="e">
            <v>#DIV/0!</v>
          </cell>
          <cell r="R334">
            <v>0.43</v>
          </cell>
          <cell r="S334">
            <v>0</v>
          </cell>
          <cell r="U334">
            <v>0</v>
          </cell>
          <cell r="Y334">
            <v>0</v>
          </cell>
          <cell r="AA334">
            <v>0</v>
          </cell>
          <cell r="AC334">
            <v>494.5</v>
          </cell>
          <cell r="AE334">
            <v>3.4999100000000007</v>
          </cell>
          <cell r="AG334">
            <v>7051.81724845996</v>
          </cell>
          <cell r="AH334" t="e">
            <v>#REF!</v>
          </cell>
          <cell r="AI334">
            <v>0</v>
          </cell>
          <cell r="AK334">
            <v>0</v>
          </cell>
          <cell r="AM334">
            <v>0</v>
          </cell>
          <cell r="AO334">
            <v>261.43529405041841</v>
          </cell>
          <cell r="AS334">
            <v>-7.5700934579439272E-2</v>
          </cell>
          <cell r="AY334">
            <v>220.11684506999995</v>
          </cell>
          <cell r="BA334">
            <v>-8.1366269211749942E-2</v>
          </cell>
          <cell r="BB334">
            <v>-8.1366269211749942E-2</v>
          </cell>
        </row>
        <row r="335">
          <cell r="C335" t="str">
            <v>2006 = Trough rent</v>
          </cell>
          <cell r="F335">
            <v>1510.8999999999999</v>
          </cell>
          <cell r="H335">
            <v>0</v>
          </cell>
          <cell r="I335">
            <v>0</v>
          </cell>
          <cell r="J335">
            <v>3.4231676537281146E-2</v>
          </cell>
          <cell r="K335">
            <v>0</v>
          </cell>
          <cell r="L335">
            <v>119.7</v>
          </cell>
          <cell r="M335">
            <v>0</v>
          </cell>
          <cell r="N335">
            <v>7.9224303395327295E-2</v>
          </cell>
          <cell r="O335">
            <v>0</v>
          </cell>
          <cell r="P335" t="e">
            <v>#DIV/0!</v>
          </cell>
          <cell r="Q335">
            <v>0</v>
          </cell>
          <cell r="S335">
            <v>171.17099999999999</v>
          </cell>
          <cell r="T335">
            <v>0</v>
          </cell>
          <cell r="U335">
            <v>0.11329075385531803</v>
          </cell>
          <cell r="Z335">
            <v>0</v>
          </cell>
          <cell r="AB335">
            <v>0</v>
          </cell>
          <cell r="AC335">
            <v>574.5</v>
          </cell>
          <cell r="AD335">
            <v>0</v>
          </cell>
          <cell r="AE335">
            <v>4.5221070000000001</v>
          </cell>
          <cell r="AF335">
            <v>0</v>
          </cell>
          <cell r="AG335">
            <v>8658.073630136987</v>
          </cell>
          <cell r="AH335">
            <v>0.80565545961892249</v>
          </cell>
          <cell r="AI335">
            <v>0.80565545961892249</v>
          </cell>
          <cell r="AJ335">
            <v>0</v>
          </cell>
          <cell r="AK335">
            <v>0.29794778067885114</v>
          </cell>
          <cell r="AL335">
            <v>0</v>
          </cell>
          <cell r="AM335">
            <v>37.852045517719944</v>
          </cell>
          <cell r="AN335">
            <v>0</v>
          </cell>
          <cell r="AO335">
            <v>387.58481389316972</v>
          </cell>
          <cell r="AR335">
            <v>-2.8927508305963013E-2</v>
          </cell>
        </row>
        <row r="337">
          <cell r="A337" t="str">
            <v>TEA2008</v>
          </cell>
          <cell r="B337" t="str">
            <v>TEA</v>
          </cell>
          <cell r="C337" t="str">
            <v>2008 (ex. direct)</v>
          </cell>
          <cell r="D337">
            <v>5</v>
          </cell>
          <cell r="E337">
            <v>6</v>
          </cell>
          <cell r="F337">
            <v>60.274104043392505</v>
          </cell>
          <cell r="H337">
            <v>0.03</v>
          </cell>
          <cell r="J337">
            <v>7.4536884796667618E-2</v>
          </cell>
          <cell r="L337">
            <v>6.27</v>
          </cell>
          <cell r="N337">
            <v>0.10402477315110489</v>
          </cell>
          <cell r="P337" t="e">
            <v>#DIV/0!</v>
          </cell>
          <cell r="R337">
            <v>0.4</v>
          </cell>
          <cell r="S337">
            <v>8.7779999999999987</v>
          </cell>
          <cell r="U337">
            <v>0.14563468241154684</v>
          </cell>
          <cell r="AC337">
            <v>73</v>
          </cell>
          <cell r="AE337">
            <v>6.5500000000000003E-2</v>
          </cell>
          <cell r="AG337">
            <v>0.88505747126436785</v>
          </cell>
          <cell r="AH337" t="e">
            <v>#N/A</v>
          </cell>
          <cell r="AI337">
            <v>0</v>
          </cell>
          <cell r="AK337">
            <v>0.12024657534246573</v>
          </cell>
          <cell r="AM337">
            <v>134.01526717557249</v>
          </cell>
          <cell r="AO337">
            <v>920.21532890675587</v>
          </cell>
          <cell r="AQ337" t="str">
            <v>TEA net retail sales excl. Internet/Catalog and Other sales (2011 $13M, 2010 $9M).</v>
          </cell>
          <cell r="AR337">
            <v>48.350967070117377</v>
          </cell>
          <cell r="AU337">
            <v>48.350967070117377</v>
          </cell>
          <cell r="AY337">
            <v>3.5868959566074952</v>
          </cell>
          <cell r="AZ337">
            <v>0</v>
          </cell>
          <cell r="BB337">
            <v>0.35051546391752586</v>
          </cell>
        </row>
        <row r="338">
          <cell r="A338" t="str">
            <v>TEA2009</v>
          </cell>
          <cell r="B338" t="str">
            <v>TEA</v>
          </cell>
          <cell r="C338" t="str">
            <v>2009 (ex. direct)</v>
          </cell>
          <cell r="D338">
            <v>6</v>
          </cell>
          <cell r="E338">
            <v>7</v>
          </cell>
          <cell r="F338">
            <v>84.666442307692307</v>
          </cell>
          <cell r="H338">
            <v>6.9000000000000006E-2</v>
          </cell>
          <cell r="J338">
            <v>0.13512884713389905</v>
          </cell>
          <cell r="L338">
            <v>8.5150000000000006</v>
          </cell>
          <cell r="N338">
            <v>0.10057113264609652</v>
          </cell>
          <cell r="P338" t="e">
            <v>#DIV/0!</v>
          </cell>
          <cell r="R338">
            <v>0.4</v>
          </cell>
          <cell r="S338">
            <v>11.920999999999999</v>
          </cell>
          <cell r="U338">
            <v>0.1407995857045351</v>
          </cell>
          <cell r="Y338">
            <v>48.350967070117377</v>
          </cell>
          <cell r="AA338">
            <v>0</v>
          </cell>
          <cell r="AC338">
            <v>97.5</v>
          </cell>
          <cell r="AE338">
            <v>8.5999999999999993E-2</v>
          </cell>
          <cell r="AG338">
            <v>0.87962962962962965</v>
          </cell>
          <cell r="AH338" t="e">
            <v>#N/A</v>
          </cell>
          <cell r="AI338">
            <v>0</v>
          </cell>
          <cell r="AK338">
            <v>0.12226666666666666</v>
          </cell>
          <cell r="AM338">
            <v>138.61627906976744</v>
          </cell>
          <cell r="AO338">
            <v>984.49351520572452</v>
          </cell>
          <cell r="AQ338" t="str">
            <v>TEA net retail sales excl. Internet/Catalog and Other sales (2011 $13M, 2010 $9M).</v>
          </cell>
          <cell r="AR338">
            <v>64.757834074289093</v>
          </cell>
          <cell r="AS338">
            <v>0.33561643835616439</v>
          </cell>
          <cell r="AU338">
            <v>113.10880114440647</v>
          </cell>
          <cell r="AY338">
            <v>5.595557692307688</v>
          </cell>
          <cell r="AZ338">
            <v>0</v>
          </cell>
          <cell r="BA338">
            <v>0.31297709923664097</v>
          </cell>
          <cell r="BB338">
            <v>0.31297709923664119</v>
          </cell>
          <cell r="BC338">
            <v>0</v>
          </cell>
        </row>
        <row r="339">
          <cell r="A339" t="str">
            <v>TEA2010</v>
          </cell>
          <cell r="B339" t="str">
            <v>TEA</v>
          </cell>
          <cell r="C339" t="str">
            <v>2010 (ex. direct)</v>
          </cell>
          <cell r="D339">
            <v>7</v>
          </cell>
          <cell r="E339">
            <v>8</v>
          </cell>
          <cell r="F339">
            <v>115.97199999999999</v>
          </cell>
          <cell r="H339">
            <v>8.6999999999999994E-2</v>
          </cell>
          <cell r="J339">
            <v>0.18842671670636166</v>
          </cell>
          <cell r="L339">
            <v>11.127000000000001</v>
          </cell>
          <cell r="N339">
            <v>9.5945573069361578E-2</v>
          </cell>
          <cell r="P339" t="e">
            <v>#DIV/0!</v>
          </cell>
          <cell r="R339">
            <v>0.4</v>
          </cell>
          <cell r="S339">
            <v>15.5778</v>
          </cell>
          <cell r="U339">
            <v>0.13432380229710619</v>
          </cell>
          <cell r="Y339">
            <v>64.757834074289093</v>
          </cell>
          <cell r="AA339">
            <v>0</v>
          </cell>
          <cell r="AC339">
            <v>127</v>
          </cell>
          <cell r="AE339">
            <v>0.1125</v>
          </cell>
          <cell r="AG339">
            <v>0.8904109589041096</v>
          </cell>
          <cell r="AH339" t="e">
            <v>#N/A</v>
          </cell>
          <cell r="AI339">
            <v>0</v>
          </cell>
          <cell r="AK339">
            <v>0.12265984251968504</v>
          </cell>
          <cell r="AM339">
            <v>138.46933333333334</v>
          </cell>
          <cell r="AO339">
            <v>1030.862222222222</v>
          </cell>
          <cell r="AR339">
            <v>46.980996825169981</v>
          </cell>
          <cell r="AS339">
            <v>0.3025641025641026</v>
          </cell>
          <cell r="AY339">
            <v>8.729000000000001</v>
          </cell>
          <cell r="AZ339">
            <v>0</v>
          </cell>
          <cell r="BA339">
            <v>0.30813953488372103</v>
          </cell>
          <cell r="BB339">
            <v>0.30813953488372103</v>
          </cell>
          <cell r="BC339">
            <v>0</v>
          </cell>
        </row>
        <row r="340">
          <cell r="A340" t="str">
            <v>TEA2011</v>
          </cell>
          <cell r="B340" t="str">
            <v>TEA</v>
          </cell>
          <cell r="C340" t="str">
            <v>2011 (ex. direct)</v>
          </cell>
          <cell r="D340">
            <v>8</v>
          </cell>
          <cell r="E340">
            <v>9</v>
          </cell>
          <cell r="F340">
            <v>154.61748399999999</v>
          </cell>
          <cell r="H340">
            <v>5.5244243202004134E-2</v>
          </cell>
          <cell r="J340">
            <v>0.18791790600832833</v>
          </cell>
          <cell r="L340">
            <v>14.316000000000001</v>
          </cell>
          <cell r="N340">
            <v>9.2589787581849423E-2</v>
          </cell>
          <cell r="P340" t="e">
            <v>#DIV/0!</v>
          </cell>
          <cell r="R340">
            <v>0.4</v>
          </cell>
          <cell r="S340">
            <v>20.042400000000001</v>
          </cell>
          <cell r="U340">
            <v>0.12962570261458919</v>
          </cell>
          <cell r="Y340">
            <v>46.980996825169981</v>
          </cell>
          <cell r="AA340">
            <v>0</v>
          </cell>
          <cell r="AC340">
            <v>173</v>
          </cell>
          <cell r="AE340">
            <v>0.15511000000000003</v>
          </cell>
          <cell r="AG340">
            <v>0.90110000000000001</v>
          </cell>
          <cell r="AH340" t="e">
            <v>#N/A</v>
          </cell>
          <cell r="AI340">
            <v>0</v>
          </cell>
          <cell r="AK340">
            <v>0.11585202312138729</v>
          </cell>
          <cell r="AM340">
            <v>129.21410611823865</v>
          </cell>
          <cell r="AO340">
            <v>996.82473083618061</v>
          </cell>
          <cell r="AR340">
            <v>-35.442973854107883</v>
          </cell>
          <cell r="AS340">
            <v>0.36220472440944884</v>
          </cell>
          <cell r="AY340">
            <v>12.282588000000001</v>
          </cell>
          <cell r="AZ340">
            <v>1.1999280000000008</v>
          </cell>
          <cell r="BA340">
            <v>0.37875555555555573</v>
          </cell>
          <cell r="BB340">
            <v>0.37875555555555573</v>
          </cell>
          <cell r="BC340">
            <v>0</v>
          </cell>
        </row>
        <row r="341">
          <cell r="A341" t="str">
            <v>TEA2012</v>
          </cell>
          <cell r="B341" t="str">
            <v>TEA</v>
          </cell>
          <cell r="C341" t="str">
            <v>2012 (ex. direct)</v>
          </cell>
          <cell r="D341">
            <v>9</v>
          </cell>
          <cell r="E341">
            <v>10</v>
          </cell>
          <cell r="F341">
            <v>211.73057145393938</v>
          </cell>
          <cell r="H341">
            <v>7.9845857404125514E-3</v>
          </cell>
          <cell r="J341">
            <v>0.15199208134269537</v>
          </cell>
          <cell r="L341">
            <v>20.43200014530515</v>
          </cell>
          <cell r="N341">
            <v>9.6500000000000002E-2</v>
          </cell>
          <cell r="P341" t="e">
            <v>#DIV/0!</v>
          </cell>
          <cell r="R341">
            <v>0.38</v>
          </cell>
          <cell r="S341">
            <v>28.196160200521103</v>
          </cell>
          <cell r="U341">
            <v>0.13316999999999998</v>
          </cell>
          <cell r="Y341">
            <v>-35.442973854107883</v>
          </cell>
          <cell r="AA341">
            <v>0</v>
          </cell>
          <cell r="AC341">
            <v>253</v>
          </cell>
          <cell r="AE341">
            <v>0.22950999999999999</v>
          </cell>
          <cell r="AG341">
            <v>0.91111111111111109</v>
          </cell>
          <cell r="AH341" t="e">
            <v>#N/A</v>
          </cell>
          <cell r="AI341">
            <v>0.75818087950057389</v>
          </cell>
          <cell r="AK341">
            <v>0.11144727351984626</v>
          </cell>
          <cell r="AM341">
            <v>122.85373273722759</v>
          </cell>
          <cell r="AO341">
            <v>922.5330985749614</v>
          </cell>
          <cell r="AS341">
            <v>0.46242774566473988</v>
          </cell>
          <cell r="AY341">
            <v>16.79919752</v>
          </cell>
          <cell r="AZ341">
            <v>1.1999280000000008</v>
          </cell>
          <cell r="BA341">
            <v>0.47965959641544686</v>
          </cell>
          <cell r="BB341">
            <v>0.47965959641544686</v>
          </cell>
        </row>
        <row r="342">
          <cell r="A342" t="str">
            <v>TEA2013</v>
          </cell>
          <cell r="C342" t="str">
            <v>2013e (ex. direct)</v>
          </cell>
        </row>
        <row r="343">
          <cell r="C343" t="str">
            <v>2011 = Trough rent</v>
          </cell>
          <cell r="F343">
            <v>154.61748399999999</v>
          </cell>
          <cell r="H343">
            <v>5.5244243202004134E-2</v>
          </cell>
          <cell r="I343">
            <v>0</v>
          </cell>
          <cell r="J343">
            <v>0.18791790600832833</v>
          </cell>
          <cell r="K343">
            <v>0</v>
          </cell>
          <cell r="L343">
            <v>14.316000000000001</v>
          </cell>
          <cell r="M343">
            <v>0</v>
          </cell>
          <cell r="N343">
            <v>9.2589787581849423E-2</v>
          </cell>
          <cell r="O343">
            <v>0</v>
          </cell>
          <cell r="P343" t="e">
            <v>#DIV/0!</v>
          </cell>
          <cell r="Q343">
            <v>0</v>
          </cell>
          <cell r="S343">
            <v>20.042400000000001</v>
          </cell>
          <cell r="U343">
            <v>0.12962570261458919</v>
          </cell>
          <cell r="Z343">
            <v>0</v>
          </cell>
          <cell r="AB343">
            <v>0</v>
          </cell>
          <cell r="AC343">
            <v>173</v>
          </cell>
          <cell r="AD343">
            <v>0</v>
          </cell>
          <cell r="AE343">
            <v>0.15511000000000003</v>
          </cell>
          <cell r="AF343">
            <v>0</v>
          </cell>
          <cell r="AG343">
            <v>0.90110000000000001</v>
          </cell>
          <cell r="AH343">
            <v>0.80565545961892249</v>
          </cell>
          <cell r="AI343">
            <v>0.80565545961892249</v>
          </cell>
          <cell r="AJ343">
            <v>0</v>
          </cell>
          <cell r="AK343">
            <v>0.11585202312138729</v>
          </cell>
          <cell r="AL343">
            <v>0</v>
          </cell>
          <cell r="AM343">
            <v>129.21410611823865</v>
          </cell>
          <cell r="AN343">
            <v>0</v>
          </cell>
          <cell r="AO343">
            <v>996.82473083618061</v>
          </cell>
          <cell r="AR343">
            <v>-5.2789058874429279E-2</v>
          </cell>
        </row>
        <row r="345">
          <cell r="AI345">
            <v>0</v>
          </cell>
        </row>
        <row r="346">
          <cell r="AI346">
            <v>0</v>
          </cell>
        </row>
        <row r="347">
          <cell r="C347">
            <v>1998</v>
          </cell>
          <cell r="D347">
            <v>6</v>
          </cell>
          <cell r="E347">
            <v>6</v>
          </cell>
          <cell r="F347">
            <v>376.94299999999998</v>
          </cell>
          <cell r="H347">
            <v>0.15</v>
          </cell>
          <cell r="J347">
            <v>7.3966090363795062E-2</v>
          </cell>
          <cell r="L347">
            <v>30.170999999999999</v>
          </cell>
          <cell r="N347">
            <v>8.0041279450739244E-2</v>
          </cell>
          <cell r="P347" t="e">
            <v>#DIV/0!</v>
          </cell>
          <cell r="S347">
            <v>44.501630614657209</v>
          </cell>
          <cell r="U347">
            <v>0.11805931033248319</v>
          </cell>
          <cell r="AC347">
            <v>315.5</v>
          </cell>
          <cell r="AE347">
            <v>1.2606789297658862</v>
          </cell>
          <cell r="AG347">
            <v>4014.7335423197492</v>
          </cell>
          <cell r="AH347">
            <v>1.4820735153636422</v>
          </cell>
          <cell r="AI347">
            <v>0</v>
          </cell>
          <cell r="AK347">
            <v>0.14105112714629861</v>
          </cell>
          <cell r="AM347">
            <v>35.299733789412471</v>
          </cell>
          <cell r="AO347">
            <v>299</v>
          </cell>
        </row>
        <row r="348">
          <cell r="C348">
            <v>1999</v>
          </cell>
          <cell r="D348">
            <v>7</v>
          </cell>
          <cell r="E348">
            <v>7</v>
          </cell>
          <cell r="F348">
            <v>450.42600000000004</v>
          </cell>
          <cell r="H348">
            <v>0.09</v>
          </cell>
          <cell r="J348">
            <v>9.4255216173133927E-2</v>
          </cell>
          <cell r="L348">
            <v>34.628999999999998</v>
          </cell>
          <cell r="N348">
            <v>7.6880553076420971E-2</v>
          </cell>
          <cell r="P348" t="e">
            <v>#DIV/0!</v>
          </cell>
          <cell r="S348">
            <v>51.077092789598105</v>
          </cell>
          <cell r="U348">
            <v>0.11339730119841683</v>
          </cell>
          <cell r="AC348">
            <v>335.5</v>
          </cell>
          <cell r="AE348">
            <v>1.3690759878419454</v>
          </cell>
          <cell r="AG348">
            <v>4080.7033914812082</v>
          </cell>
          <cell r="AH348">
            <v>1.2205260961442157</v>
          </cell>
          <cell r="AI348">
            <v>0</v>
          </cell>
          <cell r="AK348">
            <v>0.15224170727152939</v>
          </cell>
          <cell r="AM348">
            <v>37.30771209427914</v>
          </cell>
          <cell r="AO348">
            <v>329</v>
          </cell>
        </row>
        <row r="349">
          <cell r="C349" t="str">
            <v>2000 (Trough rent)</v>
          </cell>
          <cell r="D349">
            <v>8</v>
          </cell>
          <cell r="E349">
            <v>8</v>
          </cell>
          <cell r="F349">
            <v>536.04</v>
          </cell>
          <cell r="H349">
            <v>0.04</v>
          </cell>
          <cell r="J349">
            <v>0.10145310435931297</v>
          </cell>
          <cell r="L349">
            <v>39.603999999999999</v>
          </cell>
          <cell r="N349">
            <v>7.3882546078650857E-2</v>
          </cell>
          <cell r="P349" t="e">
            <v>#DIV/0!</v>
          </cell>
          <cell r="S349">
            <v>58.415119779353816</v>
          </cell>
          <cell r="U349">
            <v>0.10897529993909749</v>
          </cell>
          <cell r="AC349">
            <v>379</v>
          </cell>
          <cell r="AE349">
            <v>1.5550000000000002</v>
          </cell>
          <cell r="AG349">
            <v>4102.9023746701851</v>
          </cell>
          <cell r="AH349">
            <v>1.1050852556033259</v>
          </cell>
          <cell r="AI349">
            <v>0</v>
          </cell>
          <cell r="AK349">
            <v>0.15412960363945599</v>
          </cell>
          <cell r="AM349">
            <v>37.565993427237174</v>
          </cell>
          <cell r="AO349">
            <v>341</v>
          </cell>
          <cell r="AY349">
            <v>9</v>
          </cell>
        </row>
        <row r="350">
          <cell r="C350">
            <v>2001</v>
          </cell>
          <cell r="D350">
            <v>9</v>
          </cell>
          <cell r="E350">
            <v>9</v>
          </cell>
          <cell r="F350">
            <v>592.78899999999999</v>
          </cell>
          <cell r="H350">
            <v>0</v>
          </cell>
          <cell r="J350">
            <v>0.11041515607552153</v>
          </cell>
          <cell r="L350">
            <v>45.048999999999999</v>
          </cell>
          <cell r="N350">
            <v>7.5994999907218252E-2</v>
          </cell>
          <cell r="P350" t="e">
            <v>#DIV/0!</v>
          </cell>
          <cell r="S350">
            <v>66.446387509850268</v>
          </cell>
          <cell r="U350">
            <v>0.11209112771972872</v>
          </cell>
          <cell r="AC350">
            <v>436</v>
          </cell>
          <cell r="AE350">
            <v>1.7847500000000001</v>
          </cell>
          <cell r="AG350">
            <v>4093.4633027522941</v>
          </cell>
          <cell r="AH350">
            <v>0.71653249042935319</v>
          </cell>
          <cell r="AI350">
            <v>0</v>
          </cell>
          <cell r="AK350">
            <v>0.15239997135286759</v>
          </cell>
          <cell r="AM350">
            <v>37.230081249390821</v>
          </cell>
          <cell r="AO350">
            <v>336</v>
          </cell>
          <cell r="AT350" t="str">
            <v>Adjusted Rent Expense Increase Assumption</v>
          </cell>
          <cell r="AY350">
            <v>9.9</v>
          </cell>
        </row>
        <row r="351">
          <cell r="A351" t="str">
            <v>TOO2002</v>
          </cell>
          <cell r="C351" t="str">
            <v>2002 (peak op mgn)</v>
          </cell>
          <cell r="D351">
            <v>10</v>
          </cell>
          <cell r="E351">
            <v>10</v>
          </cell>
          <cell r="F351">
            <v>637.3549999999999</v>
          </cell>
          <cell r="H351">
            <v>-0.03</v>
          </cell>
          <cell r="J351">
            <v>0.11932103389424743</v>
          </cell>
          <cell r="L351">
            <v>54.423000000000002</v>
          </cell>
          <cell r="N351">
            <v>8.5388833538608794E-2</v>
          </cell>
          <cell r="P351" t="e">
            <v>#DIV/0!</v>
          </cell>
          <cell r="S351">
            <v>80.272852836879437</v>
          </cell>
          <cell r="U351">
            <v>0.12594684726232547</v>
          </cell>
          <cell r="AC351">
            <v>494</v>
          </cell>
          <cell r="AE351">
            <v>2.0114999999999998</v>
          </cell>
          <cell r="AG351">
            <v>4071.8623481781374</v>
          </cell>
          <cell r="AH351">
            <v>0.82787376081242559</v>
          </cell>
          <cell r="AI351">
            <v>0</v>
          </cell>
          <cell r="AK351">
            <v>0.16249565351595027</v>
          </cell>
          <cell r="AM351">
            <v>39.906961390444664</v>
          </cell>
          <cell r="AO351">
            <v>319</v>
          </cell>
          <cell r="AS351" t="str">
            <v>Total rent expense as reported in footnote 4 includes minimum and percentage (contingent) rent.</v>
          </cell>
          <cell r="AY351">
            <v>10.1</v>
          </cell>
        </row>
        <row r="352">
          <cell r="C352">
            <v>2003</v>
          </cell>
          <cell r="D352">
            <v>11</v>
          </cell>
          <cell r="E352">
            <v>11</v>
          </cell>
          <cell r="F352">
            <v>591.18100000000004</v>
          </cell>
          <cell r="H352">
            <v>-0.13</v>
          </cell>
          <cell r="J352">
            <v>7.7421865734840375E-2</v>
          </cell>
          <cell r="L352">
            <v>53.137999999999998</v>
          </cell>
          <cell r="N352">
            <v>8.9884485462151179E-2</v>
          </cell>
          <cell r="P352" t="e">
            <v>#DIV/0!</v>
          </cell>
          <cell r="S352">
            <v>78.377503152088252</v>
          </cell>
          <cell r="U352">
            <v>0.1325778452827277</v>
          </cell>
          <cell r="AC352">
            <v>540</v>
          </cell>
          <cell r="AE352">
            <v>2.21475</v>
          </cell>
          <cell r="AG352">
            <v>4101.3888888888887</v>
          </cell>
          <cell r="AH352">
            <v>0.56959067138662667</v>
          </cell>
          <cell r="AI352">
            <v>0</v>
          </cell>
          <cell r="AK352">
            <v>0.14514352435571898</v>
          </cell>
          <cell r="AM352">
            <v>35.388871498854613</v>
          </cell>
          <cell r="AO352">
            <v>260</v>
          </cell>
          <cell r="AS352" t="str">
            <v>Does not include CAM, taxes, insurance or other landlord passthru charges. Does incl $4.6, $1.3</v>
          </cell>
          <cell r="AY352">
            <v>7.5</v>
          </cell>
        </row>
        <row r="353">
          <cell r="C353">
            <v>2004</v>
          </cell>
          <cell r="D353">
            <v>12</v>
          </cell>
          <cell r="E353">
            <v>12</v>
          </cell>
          <cell r="F353">
            <v>668.48400000000004</v>
          </cell>
          <cell r="H353">
            <v>0.04</v>
          </cell>
          <cell r="J353">
            <v>9.5258599005081226E-2</v>
          </cell>
          <cell r="L353">
            <v>54.936</v>
          </cell>
          <cell r="N353">
            <v>8.2179977381657596E-2</v>
          </cell>
          <cell r="P353" t="e">
            <v>#DIV/0!</v>
          </cell>
          <cell r="S353">
            <v>81.029517730496451</v>
          </cell>
          <cell r="U353">
            <v>0.12121384764705878</v>
          </cell>
          <cell r="AC353">
            <v>580.5</v>
          </cell>
          <cell r="AE353">
            <v>2.4009999999999998</v>
          </cell>
          <cell r="AG353">
            <v>4136.0895779500424</v>
          </cell>
          <cell r="AH353">
            <v>1.0792556027623441</v>
          </cell>
          <cell r="AI353">
            <v>0</v>
          </cell>
          <cell r="AK353">
            <v>0.13958573252454168</v>
          </cell>
          <cell r="AM353">
            <v>33.748237288836506</v>
          </cell>
          <cell r="AO353">
            <v>271</v>
          </cell>
          <cell r="AS353" t="str">
            <v>&amp; $1.1 mm in equipent and other leasing expenses in 2002, 2001, and 2000, respectively.</v>
          </cell>
          <cell r="AY353">
            <v>7.35</v>
          </cell>
          <cell r="BC353" t="str">
            <v>Too</v>
          </cell>
          <cell r="BD353" t="str">
            <v>Justice</v>
          </cell>
          <cell r="BE353" t="str">
            <v>Total EOY</v>
          </cell>
          <cell r="BG353" t="str">
            <v>Too</v>
          </cell>
          <cell r="BH353" t="str">
            <v>Justice</v>
          </cell>
          <cell r="BI353" t="str">
            <v>Store Mix</v>
          </cell>
          <cell r="BK353" t="str">
            <v>Too</v>
          </cell>
          <cell r="BL353" t="str">
            <v>Justice</v>
          </cell>
          <cell r="BM353" t="str">
            <v>Gross Up Total</v>
          </cell>
        </row>
        <row r="354">
          <cell r="A354" t="str">
            <v>TOO</v>
          </cell>
          <cell r="B354" t="str">
            <v>TWB</v>
          </cell>
          <cell r="C354" t="str">
            <v>2005 (ex. catalog/internet)</v>
          </cell>
          <cell r="D354">
            <v>13</v>
          </cell>
          <cell r="E354">
            <v>13</v>
          </cell>
          <cell r="F354">
            <v>749.23599999999999</v>
          </cell>
          <cell r="H354">
            <v>6.6501985009667086E-2</v>
          </cell>
          <cell r="J354">
            <v>0.10945251314095128</v>
          </cell>
          <cell r="L354">
            <v>60.719000000000001</v>
          </cell>
          <cell r="N354">
            <v>8.10412206567757E-2</v>
          </cell>
          <cell r="P354" t="e">
            <v>#DIV/0!</v>
          </cell>
          <cell r="R354">
            <v>0.47498029944838455</v>
          </cell>
          <cell r="S354">
            <v>89.559328802206466</v>
          </cell>
          <cell r="U354">
            <v>0.11953420391199364</v>
          </cell>
          <cell r="Y354">
            <v>16.796437350651424</v>
          </cell>
          <cell r="AA354">
            <v>0</v>
          </cell>
          <cell r="AC354">
            <v>634.5</v>
          </cell>
          <cell r="AE354">
            <v>2.6360000000000001</v>
          </cell>
          <cell r="AG354">
            <v>4154.4523246650915</v>
          </cell>
          <cell r="AH354">
            <v>0.554766004130825</v>
          </cell>
          <cell r="AI354" t="e">
            <v>#DIV/0!</v>
          </cell>
          <cell r="AK354">
            <v>0.14114945437699994</v>
          </cell>
          <cell r="AM354">
            <v>33.975466161686825</v>
          </cell>
          <cell r="AO354">
            <v>287.533004552352</v>
          </cell>
          <cell r="AQ354" t="str">
            <v>CAM exp. for trad. malls likely greater than those of off-mall power centers; Sales exclude internet. Assume 33% gross up heritage Justice &amp; 50% gross up at heritage Ltoo (~65% mix).</v>
          </cell>
          <cell r="AY354">
            <v>8.6999999999999993</v>
          </cell>
          <cell r="BB354">
            <v>9.7875885047896904E-2</v>
          </cell>
          <cell r="BC354">
            <v>666</v>
          </cell>
          <cell r="BD354" t="e">
            <v>#REF!</v>
          </cell>
          <cell r="BE354">
            <v>-7</v>
          </cell>
          <cell r="BG354">
            <v>-95.142857142857139</v>
          </cell>
          <cell r="BH354" t="e">
            <v>#REF!</v>
          </cell>
          <cell r="BI354" t="e">
            <v>#REF!</v>
          </cell>
          <cell r="BK354">
            <v>0.5</v>
          </cell>
          <cell r="BL354">
            <v>0.25</v>
          </cell>
          <cell r="BM354" t="e">
            <v>#REF!</v>
          </cell>
        </row>
        <row r="355">
          <cell r="A355" t="str">
            <v>TOO2006</v>
          </cell>
          <cell r="B355" t="str">
            <v>TWB</v>
          </cell>
          <cell r="C355" t="str">
            <v>2006 (ex. catalog/internet)</v>
          </cell>
          <cell r="D355">
            <v>14</v>
          </cell>
          <cell r="E355">
            <v>14</v>
          </cell>
          <cell r="F355">
            <v>873.67700000000002</v>
          </cell>
          <cell r="H355">
            <v>5.9767763143587394E-2</v>
          </cell>
          <cell r="J355">
            <v>0.1082844281087541</v>
          </cell>
          <cell r="L355">
            <v>68.863</v>
          </cell>
          <cell r="N355">
            <v>7.8819746885862851E-2</v>
          </cell>
          <cell r="P355" t="e">
            <v>#DIV/0!</v>
          </cell>
          <cell r="R355">
            <v>0.45479106628242072</v>
          </cell>
          <cell r="S355">
            <v>100.18127719740633</v>
          </cell>
          <cell r="U355">
            <v>0.11466626361619492</v>
          </cell>
          <cell r="Y355">
            <v>48.6794029579872</v>
          </cell>
          <cell r="AA355">
            <v>0</v>
          </cell>
          <cell r="AC355">
            <v>694</v>
          </cell>
          <cell r="AE355">
            <v>2.8914999999999997</v>
          </cell>
          <cell r="AG355">
            <v>4166.4265129682999</v>
          </cell>
          <cell r="AH355">
            <v>1.096918573731529</v>
          </cell>
          <cell r="AI355">
            <v>-3.1314968038155975</v>
          </cell>
          <cell r="AK355">
            <v>0.14435342535649326</v>
          </cell>
          <cell r="AM355">
            <v>34.646819020372241</v>
          </cell>
          <cell r="AO355">
            <v>305.61369531385094</v>
          </cell>
          <cell r="AR355" t="str">
            <v>DE-LVG</v>
          </cell>
          <cell r="AY355">
            <v>10.004999999999999</v>
          </cell>
          <cell r="BB355">
            <v>9.6927162367222985E-2</v>
          </cell>
          <cell r="BC355">
            <v>722</v>
          </cell>
          <cell r="BD355" t="e">
            <v>#REF!</v>
          </cell>
          <cell r="BE355">
            <v>-23</v>
          </cell>
          <cell r="BG355">
            <v>-31.391304347826086</v>
          </cell>
          <cell r="BH355" t="e">
            <v>#REF!</v>
          </cell>
          <cell r="BI355" t="e">
            <v>#REF!</v>
          </cell>
          <cell r="BK355">
            <v>0.5</v>
          </cell>
          <cell r="BL355">
            <v>0.25</v>
          </cell>
          <cell r="BM355" t="e">
            <v>#REF!</v>
          </cell>
        </row>
        <row r="356">
          <cell r="A356" t="str">
            <v>TOO2007</v>
          </cell>
          <cell r="B356" t="str">
            <v>TWB</v>
          </cell>
          <cell r="C356" t="str">
            <v>2007 (ex. catalog/internet)</v>
          </cell>
          <cell r="D356">
            <v>15</v>
          </cell>
          <cell r="E356">
            <v>15</v>
          </cell>
          <cell r="F356">
            <v>995.61835000000019</v>
          </cell>
          <cell r="H356">
            <v>4.2569622984237887E-2</v>
          </cell>
          <cell r="J356">
            <v>8.7556799011899514E-2</v>
          </cell>
          <cell r="L356">
            <v>88.5</v>
          </cell>
          <cell r="N356">
            <v>8.8889482601440584E-2</v>
          </cell>
          <cell r="P356" t="e">
            <v>#DIV/0!</v>
          </cell>
          <cell r="R356">
            <v>0.43302429667519182</v>
          </cell>
          <cell r="S356">
            <v>126.82265025575448</v>
          </cell>
          <cell r="U356">
            <v>0.12738078828675109</v>
          </cell>
          <cell r="Y356">
            <v>-127.1452467055617</v>
          </cell>
          <cell r="AA356">
            <v>0</v>
          </cell>
          <cell r="AC356">
            <v>782</v>
          </cell>
          <cell r="AE356">
            <v>3.258</v>
          </cell>
          <cell r="AG356">
            <v>4166.2404092071611</v>
          </cell>
          <cell r="AH356">
            <v>0.76530433931676778</v>
          </cell>
          <cell r="AI356">
            <v>0.87994420617141123</v>
          </cell>
          <cell r="AK356">
            <v>0.16217730211733311</v>
          </cell>
          <cell r="AM356">
            <v>38.92653476235558</v>
          </cell>
          <cell r="AO356">
            <v>311.13014119091469</v>
          </cell>
          <cell r="AR356">
            <v>-250.66771363226658</v>
          </cell>
          <cell r="AY356">
            <v>18.04365</v>
          </cell>
          <cell r="BB356">
            <v>0.12675082137298999</v>
          </cell>
        </row>
        <row r="357">
          <cell r="A357" t="str">
            <v>TOO2008</v>
          </cell>
          <cell r="B357" t="str">
            <v>TWB</v>
          </cell>
          <cell r="C357" t="str">
            <v>2008 (ex. catalog/internet)</v>
          </cell>
          <cell r="D357">
            <v>16</v>
          </cell>
          <cell r="E357">
            <v>16</v>
          </cell>
          <cell r="F357">
            <v>972.13756875000013</v>
          </cell>
          <cell r="H357">
            <v>-0.12</v>
          </cell>
          <cell r="J357">
            <v>4.1685844701136723E-3</v>
          </cell>
          <cell r="L357">
            <v>98.8</v>
          </cell>
          <cell r="N357">
            <v>0.10163170643331851</v>
          </cell>
          <cell r="P357" t="e">
            <v>#DIV/0!</v>
          </cell>
          <cell r="R357">
            <v>0.5</v>
          </cell>
          <cell r="S357">
            <v>148.19999999999999</v>
          </cell>
          <cell r="U357">
            <v>0.15244755964997775</v>
          </cell>
          <cell r="Y357">
            <v>-250.66771363226658</v>
          </cell>
          <cell r="AA357">
            <v>0</v>
          </cell>
          <cell r="AC357">
            <v>878</v>
          </cell>
          <cell r="AE357">
            <v>3.6669999999999998</v>
          </cell>
          <cell r="AG357">
            <v>4176.5375854214117</v>
          </cell>
          <cell r="AH357">
            <v>0.76802675205506166</v>
          </cell>
          <cell r="AI357">
            <v>0.76802675205506166</v>
          </cell>
          <cell r="AK357">
            <v>0.16879271070615032</v>
          </cell>
          <cell r="AM357">
            <v>40.414507772020727</v>
          </cell>
          <cell r="AO357">
            <v>271.35587673847834</v>
          </cell>
          <cell r="AR357">
            <v>-173.95575495684656</v>
          </cell>
          <cell r="AY357">
            <v>22.924431249999998</v>
          </cell>
          <cell r="BB357">
            <v>0.12553713934929389</v>
          </cell>
        </row>
        <row r="358">
          <cell r="A358" t="str">
            <v>TOO2009</v>
          </cell>
          <cell r="B358" t="str">
            <v>TWB</v>
          </cell>
          <cell r="C358" t="str">
            <v>2009E (ex. catalog/internet)</v>
          </cell>
          <cell r="D358">
            <v>17</v>
          </cell>
          <cell r="E358">
            <v>17</v>
          </cell>
          <cell r="F358">
            <v>891.22543403751649</v>
          </cell>
          <cell r="H358">
            <v>-8.3892059167547842E-2</v>
          </cell>
          <cell r="J358">
            <v>3.0777196465136616E-2</v>
          </cell>
          <cell r="L358">
            <v>100.91234789232369</v>
          </cell>
          <cell r="N358">
            <v>0.11322875676377493</v>
          </cell>
          <cell r="P358" t="e">
            <v>#DIV/0!</v>
          </cell>
          <cell r="S358">
            <v>151.36852183848555</v>
          </cell>
          <cell r="U358">
            <v>0.1698431351456624</v>
          </cell>
          <cell r="Y358">
            <v>-173.95575495684656</v>
          </cell>
          <cell r="AA358">
            <v>0</v>
          </cell>
          <cell r="AC358">
            <v>901</v>
          </cell>
          <cell r="AE358">
            <v>3.7701500000000001</v>
          </cell>
          <cell r="AG358">
            <v>4184.406215316315</v>
          </cell>
          <cell r="AH358">
            <v>2.3495180442905102E-2</v>
          </cell>
          <cell r="AI358">
            <v>0</v>
          </cell>
          <cell r="AK358">
            <v>0.1680005791770095</v>
          </cell>
          <cell r="AM358">
            <v>40.149204100230904</v>
          </cell>
          <cell r="AO358">
            <v>242.77674437025487</v>
          </cell>
          <cell r="AY358">
            <v>24.079308749999996</v>
          </cell>
          <cell r="BB358">
            <v>2.8129260976274884E-2</v>
          </cell>
          <cell r="BC358">
            <v>-2.8129260976274884E-2</v>
          </cell>
        </row>
        <row r="360">
          <cell r="C360" t="str">
            <v>2000 = Trough rent</v>
          </cell>
          <cell r="F360">
            <v>536.04</v>
          </cell>
          <cell r="H360">
            <v>0.04</v>
          </cell>
          <cell r="I360">
            <v>0</v>
          </cell>
          <cell r="J360">
            <v>0.10145310435931297</v>
          </cell>
          <cell r="K360">
            <v>0</v>
          </cell>
          <cell r="L360">
            <v>39.603999999999999</v>
          </cell>
          <cell r="M360">
            <v>0</v>
          </cell>
          <cell r="N360">
            <v>7.3882546078650857E-2</v>
          </cell>
          <cell r="O360">
            <v>0</v>
          </cell>
          <cell r="P360" t="e">
            <v>#DIV/0!</v>
          </cell>
          <cell r="Q360">
            <v>0</v>
          </cell>
          <cell r="S360">
            <v>58.415119779353816</v>
          </cell>
          <cell r="T360">
            <v>0</v>
          </cell>
          <cell r="U360">
            <v>0.10897529993909749</v>
          </cell>
          <cell r="Z360">
            <v>0</v>
          </cell>
          <cell r="AB360">
            <v>0</v>
          </cell>
          <cell r="AC360">
            <v>379</v>
          </cell>
          <cell r="AD360">
            <v>0</v>
          </cell>
          <cell r="AE360">
            <v>1.5550000000000002</v>
          </cell>
          <cell r="AF360">
            <v>0</v>
          </cell>
          <cell r="AG360">
            <v>4102.9023746701851</v>
          </cell>
          <cell r="AH360">
            <v>1.1050852556033259</v>
          </cell>
          <cell r="AI360">
            <v>1.1050852556033259</v>
          </cell>
          <cell r="AJ360">
            <v>0</v>
          </cell>
          <cell r="AK360">
            <v>0.15412960363945599</v>
          </cell>
          <cell r="AL360">
            <v>0</v>
          </cell>
          <cell r="AM360">
            <v>37.565993427237174</v>
          </cell>
          <cell r="AN360">
            <v>0</v>
          </cell>
          <cell r="AO360">
            <v>341</v>
          </cell>
          <cell r="AR360">
            <v>-7.0675907894176354E-2</v>
          </cell>
          <cell r="AS360" t="str">
            <v>The y-o-y increase of $3+mm relates to the leasing of new POS terminals in 2002.</v>
          </cell>
        </row>
        <row r="362">
          <cell r="A362" t="str">
            <v>TEST2009</v>
          </cell>
          <cell r="J362">
            <v>999999</v>
          </cell>
          <cell r="N362">
            <v>-999999</v>
          </cell>
          <cell r="P362" t="str">
            <v>-</v>
          </cell>
          <cell r="U362">
            <v>-999999</v>
          </cell>
          <cell r="AI362">
            <v>0</v>
          </cell>
          <cell r="AM362">
            <v>999999</v>
          </cell>
          <cell r="AO362">
            <v>999999</v>
          </cell>
        </row>
        <row r="363">
          <cell r="A363" t="str">
            <v>TEST2010</v>
          </cell>
          <cell r="J363">
            <v>999999</v>
          </cell>
          <cell r="N363">
            <v>-999999</v>
          </cell>
          <cell r="P363" t="str">
            <v>-</v>
          </cell>
          <cell r="U363">
            <v>-999999</v>
          </cell>
          <cell r="AM363">
            <v>999999</v>
          </cell>
          <cell r="AO363">
            <v>999999</v>
          </cell>
        </row>
        <row r="364">
          <cell r="P364" t="str">
            <v>-</v>
          </cell>
          <cell r="AY364" t="str">
            <v>Direct Marketing</v>
          </cell>
          <cell r="AZ364" t="str">
            <v>Other Sales</v>
          </cell>
        </row>
        <row r="365">
          <cell r="D365">
            <v>18</v>
          </cell>
          <cell r="E365">
            <v>150</v>
          </cell>
          <cell r="F365">
            <v>2113.402</v>
          </cell>
          <cell r="G365">
            <v>2560.7339999999995</v>
          </cell>
          <cell r="L365">
            <v>188.32599999999999</v>
          </cell>
          <cell r="P365">
            <v>7.3543757375814922E-2</v>
          </cell>
          <cell r="S365">
            <v>216.57489999999999</v>
          </cell>
          <cell r="U365">
            <v>0.10247690690176312</v>
          </cell>
          <cell r="W365">
            <v>8.4575320982187147E-2</v>
          </cell>
          <cell r="AE365">
            <v>0.76850000000000007</v>
          </cell>
          <cell r="AY365">
            <v>174.078</v>
          </cell>
          <cell r="AZ365">
            <v>49.587999999999994</v>
          </cell>
        </row>
        <row r="366">
          <cell r="B366" t="str">
            <v>TIF</v>
          </cell>
          <cell r="C366" t="str">
            <v>2007 (ex. other./internet)</v>
          </cell>
          <cell r="D366">
            <v>19</v>
          </cell>
          <cell r="E366">
            <v>157</v>
          </cell>
          <cell r="F366">
            <v>2593.5160000000001</v>
          </cell>
          <cell r="G366">
            <v>2938.7709999999997</v>
          </cell>
          <cell r="H366">
            <v>7.0000000000000007E-2</v>
          </cell>
          <cell r="J366">
            <v>0.1854516735056933</v>
          </cell>
          <cell r="L366">
            <v>176.79599999999999</v>
          </cell>
          <cell r="N366">
            <v>6.8168463198222021E-2</v>
          </cell>
          <cell r="P366">
            <v>6.0159842328646913E-2</v>
          </cell>
          <cell r="R366">
            <v>0.15</v>
          </cell>
          <cell r="S366">
            <v>203.61982</v>
          </cell>
          <cell r="U366">
            <v>7.8511110014358884E-2</v>
          </cell>
          <cell r="W366">
            <v>6.9287406198033127E-2</v>
          </cell>
          <cell r="Y366">
            <v>239.6579688740423</v>
          </cell>
          <cell r="AA366">
            <v>152.8791478415402</v>
          </cell>
          <cell r="AC366">
            <v>175.5</v>
          </cell>
          <cell r="AE366">
            <v>0.82600000000000007</v>
          </cell>
          <cell r="AG366">
            <v>4673.9130434782619</v>
          </cell>
          <cell r="AH366" t="e">
            <v>#N/A</v>
          </cell>
          <cell r="AI366" t="e">
            <v>#DIV/0!</v>
          </cell>
          <cell r="AK366">
            <v>1.1602268945868945</v>
          </cell>
          <cell r="AM366">
            <v>246.51309927360774</v>
          </cell>
          <cell r="AO366">
            <v>3459.0883777239706</v>
          </cell>
          <cell r="AP366">
            <v>3557.8341404358348</v>
          </cell>
          <cell r="AQ366" t="str">
            <v>Revs excl. Other (mainly wholesale and license revenue) and Internet (2011 $234M, 2010 $229M). Rent expense incl. fees paid to department stores for use of facilities and excl. office, distrib &amp; mfg. facilities / equip.</v>
          </cell>
          <cell r="AY366">
            <v>182.12700000000001</v>
          </cell>
          <cell r="AZ366">
            <v>81.563999999999993</v>
          </cell>
          <cell r="BA366">
            <v>7.4821080026024722E-2</v>
          </cell>
          <cell r="BB366">
            <v>7.4821080026024722E-2</v>
          </cell>
        </row>
        <row r="367">
          <cell r="A367" t="str">
            <v>TIF2008</v>
          </cell>
          <cell r="B367" t="str">
            <v>TIF</v>
          </cell>
          <cell r="C367">
            <v>2008</v>
          </cell>
          <cell r="D367">
            <v>20</v>
          </cell>
          <cell r="E367">
            <v>164</v>
          </cell>
          <cell r="F367">
            <v>2593.1092699999999</v>
          </cell>
          <cell r="G367">
            <v>2848.8589999999999</v>
          </cell>
          <cell r="H367">
            <v>-0.09</v>
          </cell>
          <cell r="J367">
            <v>0.17287552665821646</v>
          </cell>
          <cell r="L367">
            <v>185.916</v>
          </cell>
          <cell r="N367">
            <v>7.1696168823614598E-2</v>
          </cell>
          <cell r="P367">
            <v>6.525981103311887E-2</v>
          </cell>
          <cell r="R367">
            <v>0.15309473095376402</v>
          </cell>
          <cell r="S367">
            <v>214.37876</v>
          </cell>
          <cell r="U367">
            <v>8.2672474500081514E-2</v>
          </cell>
          <cell r="W367">
            <v>7.5250744245327697E-2</v>
          </cell>
          <cell r="Y367">
            <v>-41.613644857226298</v>
          </cell>
          <cell r="AA367">
            <v>-59.633380472945696</v>
          </cell>
          <cell r="AC367">
            <v>195</v>
          </cell>
          <cell r="AE367">
            <v>0.89750000000000008</v>
          </cell>
          <cell r="AG367">
            <v>4538.8349514563106</v>
          </cell>
          <cell r="AH367" t="e">
            <v>#N/A</v>
          </cell>
          <cell r="AI367">
            <v>-3.1314968038155975</v>
          </cell>
          <cell r="AK367">
            <v>1.0993782564102563</v>
          </cell>
          <cell r="AM367">
            <v>238.86212813370472</v>
          </cell>
          <cell r="AO367">
            <v>3071.0841225626737</v>
          </cell>
          <cell r="AP367">
            <v>3174.2161559888577</v>
          </cell>
          <cell r="AQ367" t="str">
            <v>Store sales exclude Other (mainly wholesale and license revenue) and Internet ($260 in '12, $234M in '11). Rent expense incl. fees paid to department stores for use of facilities and excl. office, distrib &amp; mfg. facilities / equip.</v>
          </cell>
          <cell r="AR367">
            <v>-100.94140440030847</v>
          </cell>
          <cell r="AS367">
            <v>0.11111111111111116</v>
          </cell>
          <cell r="AU367">
            <v>-142.55504925753476</v>
          </cell>
          <cell r="AY367">
            <v>163.18872999999999</v>
          </cell>
          <cell r="AZ367">
            <v>92.561000000000007</v>
          </cell>
          <cell r="BA367">
            <v>8.6561743341404318E-2</v>
          </cell>
          <cell r="BB367">
            <v>8.6561743341404318E-2</v>
          </cell>
        </row>
        <row r="368">
          <cell r="A368" t="str">
            <v>TIF2009</v>
          </cell>
          <cell r="B368" t="str">
            <v>TIF</v>
          </cell>
          <cell r="C368">
            <v>2009</v>
          </cell>
          <cell r="D368">
            <v>21</v>
          </cell>
          <cell r="E368">
            <v>171</v>
          </cell>
          <cell r="F368">
            <v>2494.8095837000005</v>
          </cell>
          <cell r="G368">
            <v>2709.7300000000005</v>
          </cell>
          <cell r="H368">
            <v>-0.08</v>
          </cell>
          <cell r="J368">
            <v>0.16240584855317702</v>
          </cell>
          <cell r="L368">
            <v>197.63099999999997</v>
          </cell>
          <cell r="N368">
            <v>7.9216867407931602E-2</v>
          </cell>
          <cell r="P368">
            <v>7.2933834736302119E-2</v>
          </cell>
          <cell r="R368">
            <v>0.17104624274531832</v>
          </cell>
          <cell r="S368">
            <v>231.43503999999996</v>
          </cell>
          <cell r="U368">
            <v>9.276661494011236E-2</v>
          </cell>
          <cell r="W368">
            <v>8.5408893136954572E-2</v>
          </cell>
          <cell r="Y368">
            <v>-100.94140440030847</v>
          </cell>
          <cell r="AA368">
            <v>-101.58148891626875</v>
          </cell>
          <cell r="AC368">
            <v>213</v>
          </cell>
          <cell r="AE368">
            <v>0.95860000000000012</v>
          </cell>
          <cell r="AG368">
            <v>4464.545454545455</v>
          </cell>
          <cell r="AH368" t="e">
            <v>#N/A</v>
          </cell>
          <cell r="AI368">
            <v>0.87994420617141123</v>
          </cell>
          <cell r="AK368">
            <v>1.0865494835680749</v>
          </cell>
          <cell r="AM368">
            <v>241.4302524514917</v>
          </cell>
          <cell r="AO368">
            <v>2771.2048821197582</v>
          </cell>
          <cell r="AP368">
            <v>2826.7577717504696</v>
          </cell>
          <cell r="AR368">
            <v>25.173222495804559</v>
          </cell>
          <cell r="AS368">
            <v>9.2307692307692202E-2</v>
          </cell>
          <cell r="AU368">
            <v>-75.768181904503905</v>
          </cell>
          <cell r="AY368">
            <v>161.66741630000001</v>
          </cell>
          <cell r="AZ368">
            <v>53.253</v>
          </cell>
          <cell r="BA368">
            <v>6.8077994428969335E-2</v>
          </cell>
          <cell r="BB368">
            <v>6.8077994428969335E-2</v>
          </cell>
        </row>
        <row r="369">
          <cell r="A369" t="str">
            <v>TIF2010</v>
          </cell>
          <cell r="B369" t="str">
            <v>TIF</v>
          </cell>
          <cell r="C369">
            <v>2010</v>
          </cell>
          <cell r="D369">
            <v>22</v>
          </cell>
          <cell r="E369">
            <v>178</v>
          </cell>
          <cell r="F369">
            <v>2856.1557915349995</v>
          </cell>
          <cell r="G369">
            <v>3085.2899999999995</v>
          </cell>
          <cell r="H369">
            <v>0.08</v>
          </cell>
          <cell r="J369">
            <v>0.1984954412713229</v>
          </cell>
          <cell r="L369">
            <v>221.68899999999999</v>
          </cell>
          <cell r="N369">
            <v>7.7617964908299503E-2</v>
          </cell>
          <cell r="P369">
            <v>7.1853537268781881E-2</v>
          </cell>
          <cell r="R369">
            <v>0.16273716783421821</v>
          </cell>
          <cell r="S369">
            <v>257.76603999999998</v>
          </cell>
          <cell r="U369">
            <v>9.0249292690531904E-2</v>
          </cell>
          <cell r="W369">
            <v>8.3546778422773874E-2</v>
          </cell>
          <cell r="Y369">
            <v>25.173222495804559</v>
          </cell>
          <cell r="AA369">
            <v>18.621147141806986</v>
          </cell>
          <cell r="AC369">
            <v>226.5</v>
          </cell>
          <cell r="AE369">
            <v>1.01065</v>
          </cell>
          <cell r="AG369">
            <v>4459.6566523605152</v>
          </cell>
          <cell r="AK369">
            <v>1.1380399116997792</v>
          </cell>
          <cell r="AM369">
            <v>255.04976005540985</v>
          </cell>
          <cell r="AO369">
            <v>2999.1945777469937</v>
          </cell>
          <cell r="AP369">
            <v>3052.7779152030866</v>
          </cell>
          <cell r="AR369">
            <v>21.654484675192737</v>
          </cell>
          <cell r="AS369">
            <v>6.3380281690140761E-2</v>
          </cell>
          <cell r="AY369">
            <v>174.98020846500003</v>
          </cell>
          <cell r="AZ369">
            <v>54.154000000000003</v>
          </cell>
          <cell r="BA369">
            <v>5.4297934487794519E-2</v>
          </cell>
          <cell r="BB369">
            <v>5.4297934487794519E-2</v>
          </cell>
        </row>
        <row r="370">
          <cell r="A370" t="str">
            <v>TIF2011</v>
          </cell>
          <cell r="B370" t="str">
            <v>TIF</v>
          </cell>
          <cell r="C370">
            <v>2011</v>
          </cell>
          <cell r="D370">
            <v>23</v>
          </cell>
          <cell r="E370">
            <v>185</v>
          </cell>
          <cell r="F370">
            <v>3409.40267933425</v>
          </cell>
          <cell r="G370">
            <v>3642.9369999999999</v>
          </cell>
          <cell r="H370">
            <v>0.13678577190955957</v>
          </cell>
          <cell r="J370">
            <v>0.20619187210758799</v>
          </cell>
          <cell r="L370">
            <v>259.899</v>
          </cell>
          <cell r="N370">
            <v>7.6230068561672554E-2</v>
          </cell>
          <cell r="P370">
            <v>7.1343259573250925E-2</v>
          </cell>
          <cell r="R370">
            <v>0.1555</v>
          </cell>
          <cell r="S370">
            <v>300.31329449999998</v>
          </cell>
          <cell r="U370">
            <v>8.8083844223012631E-2</v>
          </cell>
          <cell r="W370">
            <v>8.2437136436891434E-2</v>
          </cell>
          <cell r="Y370">
            <v>21.654484675192737</v>
          </cell>
          <cell r="AA370">
            <v>11.096419858824397</v>
          </cell>
          <cell r="AC370">
            <v>240.5</v>
          </cell>
          <cell r="AE370">
            <v>1.0528999999999999</v>
          </cell>
          <cell r="AG370">
            <v>4301.2096774193542</v>
          </cell>
          <cell r="AK370">
            <v>1.2487039272349272</v>
          </cell>
          <cell r="AM370">
            <v>285.2248974261563</v>
          </cell>
          <cell r="AO370">
            <v>3411.1909962959448</v>
          </cell>
          <cell r="AP370">
            <v>3459.9078734922596</v>
          </cell>
          <cell r="AR370">
            <v>-42.725174219932079</v>
          </cell>
          <cell r="AS370">
            <v>6.1810154525386407E-2</v>
          </cell>
          <cell r="AY370">
            <v>182.24032066575</v>
          </cell>
          <cell r="AZ370">
            <v>51.293999999999997</v>
          </cell>
          <cell r="BA370">
            <v>4.1804779102557754E-2</v>
          </cell>
          <cell r="BB370">
            <v>4.1804779102557754E-2</v>
          </cell>
        </row>
        <row r="371">
          <cell r="A371" t="str">
            <v>TIF2012</v>
          </cell>
          <cell r="B371" t="str">
            <v>TIF</v>
          </cell>
          <cell r="C371">
            <v>2012</v>
          </cell>
          <cell r="D371">
            <v>24</v>
          </cell>
          <cell r="E371">
            <v>192</v>
          </cell>
          <cell r="F371">
            <v>3533.8881498960477</v>
          </cell>
          <cell r="G371">
            <v>3794.2489999999998</v>
          </cell>
          <cell r="H371">
            <v>0.01</v>
          </cell>
          <cell r="J371">
            <v>0.18381455361943019</v>
          </cell>
          <cell r="L371">
            <v>280.15199999999999</v>
          </cell>
          <cell r="N371">
            <v>7.9275853710378721E-2</v>
          </cell>
          <cell r="P371">
            <v>7.3835955415683052E-2</v>
          </cell>
          <cell r="R371">
            <v>0.1649999</v>
          </cell>
          <cell r="S371">
            <v>326.3770519848</v>
          </cell>
          <cell r="U371">
            <v>9.2356361645005838E-2</v>
          </cell>
          <cell r="W371">
            <v>8.6018880675675216E-2</v>
          </cell>
          <cell r="Y371">
            <v>-42.725174219932079</v>
          </cell>
          <cell r="AA371">
            <v>-35.817442387837822</v>
          </cell>
          <cell r="AC371">
            <v>262</v>
          </cell>
          <cell r="AE371">
            <v>1.1093500000000001</v>
          </cell>
          <cell r="AG371">
            <v>4173.913043478261</v>
          </cell>
          <cell r="AK371">
            <v>1.2457139388732825</v>
          </cell>
          <cell r="AM371">
            <v>294.20566276179744</v>
          </cell>
          <cell r="AO371">
            <v>3365.8830179294127</v>
          </cell>
          <cell r="AP371">
            <v>3420.2451886239687</v>
          </cell>
          <cell r="AR371">
            <v>-1.0906929343781901</v>
          </cell>
          <cell r="AS371">
            <v>8.9397089397089458E-2</v>
          </cell>
          <cell r="AY371">
            <v>187.58085010395183</v>
          </cell>
          <cell r="AZ371">
            <v>72.78</v>
          </cell>
          <cell r="BA371">
            <v>5.36138284737393E-2</v>
          </cell>
          <cell r="BB371">
            <v>5.0170956406116574E-2</v>
          </cell>
        </row>
        <row r="372">
          <cell r="A372" t="str">
            <v>TIF2013</v>
          </cell>
          <cell r="B372" t="str">
            <v>TIF</v>
          </cell>
          <cell r="C372" t="str">
            <v>2013e</v>
          </cell>
          <cell r="D372">
            <v>25</v>
          </cell>
          <cell r="E372">
            <v>199</v>
          </cell>
          <cell r="F372">
            <v>3740.2792243929298</v>
          </cell>
          <cell r="G372">
            <v>4031.13</v>
          </cell>
          <cell r="H372">
            <v>0.06</v>
          </cell>
          <cell r="J372">
            <v>0.1816621416837946</v>
          </cell>
          <cell r="L372">
            <v>296.86400000000003</v>
          </cell>
          <cell r="N372">
            <v>7.9369475429520345E-2</v>
          </cell>
          <cell r="P372">
            <v>7.3642874330522717E-2</v>
          </cell>
          <cell r="R372">
            <v>0.1649999</v>
          </cell>
          <cell r="S372">
            <v>345.84653031360006</v>
          </cell>
          <cell r="U372">
            <v>9.2465430938443657E-2</v>
          </cell>
          <cell r="W372">
            <v>8.5793941230771525E-2</v>
          </cell>
          <cell r="Y372">
            <v>-1.0906929343781901</v>
          </cell>
          <cell r="AA372">
            <v>2.2493944490369069</v>
          </cell>
          <cell r="AC372">
            <v>282.5</v>
          </cell>
          <cell r="AE372">
            <v>1.164825</v>
          </cell>
          <cell r="AG372">
            <v>4099.9999999999991</v>
          </cell>
          <cell r="AK372">
            <v>1.2242355055348675</v>
          </cell>
          <cell r="AM372">
            <v>296.90857451857579</v>
          </cell>
          <cell r="AO372">
            <v>3365.2222436846732</v>
          </cell>
          <cell r="AP372">
            <v>3460.7172751271651</v>
          </cell>
          <cell r="AY372">
            <v>193.20827560707039</v>
          </cell>
          <cell r="AZ372">
            <v>97.642500000000013</v>
          </cell>
          <cell r="BA372">
            <v>5.00067607157344E-2</v>
          </cell>
          <cell r="BB372">
            <v>5.3449094485518378E-2</v>
          </cell>
        </row>
        <row r="373">
          <cell r="C373" t="str">
            <v>2007 = Trough rent</v>
          </cell>
          <cell r="F373">
            <v>2593.5160000000001</v>
          </cell>
          <cell r="G373">
            <v>2938.7709999999997</v>
          </cell>
          <cell r="H373">
            <v>7.0000000000000007E-2</v>
          </cell>
          <cell r="J373">
            <v>0.1854516735056933</v>
          </cell>
          <cell r="L373">
            <v>176.79599999999999</v>
          </cell>
          <cell r="N373">
            <v>6.8168463198222021E-2</v>
          </cell>
          <cell r="P373">
            <v>6.0159842328646913E-2</v>
          </cell>
          <cell r="S373">
            <v>203.61982</v>
          </cell>
          <cell r="U373">
            <v>7.8511110014358884E-2</v>
          </cell>
          <cell r="W373">
            <v>6.9287406198033127E-2</v>
          </cell>
          <cell r="Z373">
            <v>0</v>
          </cell>
          <cell r="AB373">
            <v>0</v>
          </cell>
          <cell r="AC373">
            <v>175.5</v>
          </cell>
          <cell r="AE373">
            <v>0.82600000000000007</v>
          </cell>
          <cell r="AG373">
            <v>4673.9130434782619</v>
          </cell>
          <cell r="AH373">
            <v>2.3495180442905102E-2</v>
          </cell>
          <cell r="AI373">
            <v>2.3495180442905102E-2</v>
          </cell>
          <cell r="AK373">
            <v>1.1602268945868945</v>
          </cell>
          <cell r="AM373">
            <v>246.51309927360774</v>
          </cell>
          <cell r="AO373">
            <v>3459.0883777239706</v>
          </cell>
          <cell r="AP373">
            <v>3557.8341404358348</v>
          </cell>
        </row>
        <row r="377">
          <cell r="C377">
            <v>1998</v>
          </cell>
          <cell r="D377">
            <v>6</v>
          </cell>
          <cell r="E377">
            <v>6</v>
          </cell>
          <cell r="F377" t="e">
            <v>#N/A</v>
          </cell>
          <cell r="H377">
            <v>0.10800000000000001</v>
          </cell>
          <cell r="J377">
            <v>0.11967693517261109</v>
          </cell>
          <cell r="L377">
            <v>14.593999999999999</v>
          </cell>
          <cell r="N377" t="e">
            <v>#N/A</v>
          </cell>
          <cell r="P377" t="str">
            <v>-</v>
          </cell>
          <cell r="S377">
            <v>19.174894444444444</v>
          </cell>
          <cell r="U377" t="e">
            <v>#N/A</v>
          </cell>
          <cell r="AC377">
            <v>40.5</v>
          </cell>
          <cell r="AE377">
            <v>0.5569144421629022</v>
          </cell>
          <cell r="AG377">
            <v>12129.652173913044</v>
          </cell>
          <cell r="AH377">
            <v>0.99370991920266738</v>
          </cell>
          <cell r="AI377">
            <v>0</v>
          </cell>
          <cell r="AK377">
            <v>0.47345418381344306</v>
          </cell>
          <cell r="AM377">
            <v>34.430592911138092</v>
          </cell>
          <cell r="AO377">
            <v>365.25</v>
          </cell>
          <cell r="AY377" t="e">
            <v>#N/A</v>
          </cell>
          <cell r="AZ377">
            <v>19.934999999999999</v>
          </cell>
          <cell r="BA377" t="str">
            <v>DtC and Wholesale</v>
          </cell>
        </row>
        <row r="378">
          <cell r="C378">
            <v>1999</v>
          </cell>
          <cell r="D378">
            <v>7</v>
          </cell>
          <cell r="E378">
            <v>7</v>
          </cell>
          <cell r="F378" t="e">
            <v>#N/A</v>
          </cell>
          <cell r="H378">
            <v>0.10300000000000001</v>
          </cell>
          <cell r="J378">
            <v>0.13507099632163913</v>
          </cell>
          <cell r="L378">
            <v>19.032</v>
          </cell>
          <cell r="N378" t="e">
            <v>#N/A</v>
          </cell>
          <cell r="P378" t="str">
            <v>-</v>
          </cell>
          <cell r="S378">
            <v>25.005933333333335</v>
          </cell>
          <cell r="U378" t="e">
            <v>#N/A</v>
          </cell>
          <cell r="AC378">
            <v>51.5</v>
          </cell>
          <cell r="AE378">
            <v>0.68677449046679817</v>
          </cell>
          <cell r="AG378">
            <v>12225.520467836257</v>
          </cell>
          <cell r="AH378">
            <v>0.73702838466677978</v>
          </cell>
          <cell r="AI378">
            <v>0</v>
          </cell>
          <cell r="AK378">
            <v>0.48555210355987061</v>
          </cell>
          <cell r="AM378">
            <v>36.410690380093897</v>
          </cell>
          <cell r="AO378">
            <v>380.25</v>
          </cell>
          <cell r="AY378" t="e">
            <v>#N/A</v>
          </cell>
          <cell r="AZ378">
            <v>22.331</v>
          </cell>
        </row>
        <row r="379">
          <cell r="C379">
            <v>2000</v>
          </cell>
          <cell r="D379">
            <v>8</v>
          </cell>
          <cell r="E379">
            <v>8</v>
          </cell>
          <cell r="F379" t="e">
            <v>#N/A</v>
          </cell>
          <cell r="H379">
            <v>-7.400000000000001E-2</v>
          </cell>
          <cell r="J379">
            <v>6.0535057037310387E-2</v>
          </cell>
          <cell r="L379">
            <v>25.824000000000002</v>
          </cell>
          <cell r="N379" t="e">
            <v>#N/A</v>
          </cell>
          <cell r="P379" t="str">
            <v>-</v>
          </cell>
          <cell r="S379">
            <v>33.929866666666669</v>
          </cell>
          <cell r="U379" t="e">
            <v>#N/A</v>
          </cell>
          <cell r="AC379">
            <v>62.5</v>
          </cell>
          <cell r="AE379">
            <v>0.76973800000000003</v>
          </cell>
          <cell r="AG379">
            <v>12391.490196078432</v>
          </cell>
          <cell r="AH379">
            <v>0.87968902230656432</v>
          </cell>
          <cell r="AI379">
            <v>0</v>
          </cell>
          <cell r="AK379">
            <v>0.54287786666666671</v>
          </cell>
          <cell r="AM379">
            <v>44.079760472611028</v>
          </cell>
          <cell r="AO379">
            <v>329.25</v>
          </cell>
          <cell r="AY379" t="e">
            <v>#N/A</v>
          </cell>
          <cell r="AZ379">
            <v>20.609000000000002</v>
          </cell>
        </row>
        <row r="380">
          <cell r="C380">
            <v>2001</v>
          </cell>
          <cell r="D380">
            <v>9</v>
          </cell>
          <cell r="E380">
            <v>9</v>
          </cell>
          <cell r="F380" t="e">
            <v>#N/A</v>
          </cell>
          <cell r="H380">
            <v>2.7999999999999997E-2</v>
          </cell>
          <cell r="J380">
            <v>7.3068965319608561E-2</v>
          </cell>
          <cell r="L380">
            <v>32.92</v>
          </cell>
          <cell r="N380" t="e">
            <v>#N/A</v>
          </cell>
          <cell r="P380" t="str">
            <v>-</v>
          </cell>
          <cell r="S380">
            <v>43.253222222222227</v>
          </cell>
          <cell r="U380" t="e">
            <v>#N/A</v>
          </cell>
          <cell r="AC380">
            <v>74</v>
          </cell>
          <cell r="AE380">
            <v>0.92097733333333331</v>
          </cell>
          <cell r="AG380">
            <v>12491.666666666668</v>
          </cell>
          <cell r="AH380">
            <v>0.87183740083437633</v>
          </cell>
          <cell r="AI380">
            <v>0</v>
          </cell>
          <cell r="AK380">
            <v>0.58450300300300306</v>
          </cell>
          <cell r="AM380">
            <v>46.964480727960982</v>
          </cell>
          <cell r="AO380">
            <v>332.25</v>
          </cell>
          <cell r="AS380" t="str">
            <v>Total rentals as reported in footnote 11 includes only minimum rent, contingent rent.</v>
          </cell>
          <cell r="AY380" t="e">
            <v>#N/A</v>
          </cell>
          <cell r="AZ380">
            <v>18.266999999999999</v>
          </cell>
        </row>
        <row r="381">
          <cell r="C381">
            <v>2002</v>
          </cell>
          <cell r="D381">
            <v>10</v>
          </cell>
          <cell r="E381">
            <v>10</v>
          </cell>
          <cell r="F381" t="e">
            <v>#N/A</v>
          </cell>
          <cell r="H381">
            <v>9.0999999999999998E-2</v>
          </cell>
          <cell r="J381">
            <v>0.1073886941341773</v>
          </cell>
          <cell r="L381">
            <v>37.771999999999998</v>
          </cell>
          <cell r="N381" t="e">
            <v>#N/A</v>
          </cell>
          <cell r="P381" t="str">
            <v>-</v>
          </cell>
          <cell r="S381">
            <v>49.628211111111106</v>
          </cell>
          <cell r="U381" t="e">
            <v>#N/A</v>
          </cell>
          <cell r="AC381">
            <v>86.5</v>
          </cell>
          <cell r="AE381">
            <v>1.0671200000000001</v>
          </cell>
          <cell r="AG381">
            <v>12203.297491039424</v>
          </cell>
          <cell r="AH381">
            <v>0.54431258786780556</v>
          </cell>
          <cell r="AI381">
            <v>0</v>
          </cell>
          <cell r="AK381">
            <v>0.57373654463712265</v>
          </cell>
          <cell r="AM381">
            <v>46.506682576571613</v>
          </cell>
          <cell r="AO381">
            <v>349.28311717520052</v>
          </cell>
          <cell r="AS381" t="str">
            <v>It does not include CAM, taxes, and insurance, but it does include certain HQ lease/</v>
          </cell>
          <cell r="AY381" t="e">
            <v>#N/A</v>
          </cell>
          <cell r="AZ381">
            <v>18.28</v>
          </cell>
        </row>
        <row r="382">
          <cell r="C382">
            <v>2003</v>
          </cell>
          <cell r="D382">
            <v>11</v>
          </cell>
          <cell r="E382">
            <v>11</v>
          </cell>
          <cell r="F382" t="e">
            <v>#N/A</v>
          </cell>
          <cell r="H382">
            <v>0.13</v>
          </cell>
          <cell r="J382">
            <v>5.9454926118777132E-2</v>
          </cell>
          <cell r="L382">
            <v>44.595999999999997</v>
          </cell>
          <cell r="N382" t="e">
            <v>#N/A</v>
          </cell>
          <cell r="P382" t="str">
            <v>-</v>
          </cell>
          <cell r="S382">
            <v>58.594188888888887</v>
          </cell>
          <cell r="U382" t="e">
            <v>#N/A</v>
          </cell>
          <cell r="AC382">
            <v>103.5</v>
          </cell>
          <cell r="AE382">
            <v>1.2399133333333332</v>
          </cell>
          <cell r="AG382">
            <v>11797.543859649122</v>
          </cell>
          <cell r="AH382">
            <v>0.63552625214353453</v>
          </cell>
          <cell r="AI382">
            <v>0</v>
          </cell>
          <cell r="AK382">
            <v>0.56612742887815348</v>
          </cell>
          <cell r="AM382">
            <v>47.256681022508744</v>
          </cell>
          <cell r="AO382">
            <v>386.14392403770159</v>
          </cell>
          <cell r="AS382" t="str">
            <v>rent expense as well as other operating lease expenses. Estimate 30% for CAM, taxes,</v>
          </cell>
          <cell r="AY382" t="e">
            <v>#N/A</v>
          </cell>
          <cell r="AZ382">
            <v>18.432000000000002</v>
          </cell>
        </row>
        <row r="383">
          <cell r="C383">
            <v>2004</v>
          </cell>
          <cell r="D383">
            <v>12</v>
          </cell>
          <cell r="E383">
            <v>12</v>
          </cell>
          <cell r="F383" t="e">
            <v>#N/A</v>
          </cell>
          <cell r="H383">
            <v>0.22</v>
          </cell>
          <cell r="J383">
            <v>0.17924010872848067</v>
          </cell>
          <cell r="L383">
            <v>57.320999999999998</v>
          </cell>
          <cell r="N383" t="e">
            <v>#N/A</v>
          </cell>
          <cell r="P383" t="str">
            <v>-</v>
          </cell>
          <cell r="S383">
            <v>75.313424999999995</v>
          </cell>
          <cell r="U383" t="e">
            <v>#N/A</v>
          </cell>
          <cell r="AC383">
            <v>128</v>
          </cell>
          <cell r="AE383">
            <v>1.4948413333333335</v>
          </cell>
          <cell r="AG383">
            <v>11582.835680751175</v>
          </cell>
          <cell r="AH383">
            <v>0.58006686834613874</v>
          </cell>
          <cell r="AI383">
            <v>0</v>
          </cell>
          <cell r="AK383">
            <v>0.58838613281249996</v>
          </cell>
          <cell r="AM383">
            <v>50.382220052785975</v>
          </cell>
          <cell r="AO383">
            <v>471.61660858543729</v>
          </cell>
          <cell r="AS383" t="str">
            <v>and insurance as majority of stores are free-standing street locations.</v>
          </cell>
          <cell r="AY383" t="e">
            <v>#N/A</v>
          </cell>
          <cell r="AZ383">
            <v>28.844999999999999</v>
          </cell>
        </row>
        <row r="384">
          <cell r="A384" t="str">
            <v>URBN2005</v>
          </cell>
          <cell r="B384" t="str">
            <v>URBN</v>
          </cell>
          <cell r="C384" t="str">
            <v>2005 (retail revenue)</v>
          </cell>
          <cell r="D384">
            <v>13</v>
          </cell>
          <cell r="E384">
            <v>13</v>
          </cell>
          <cell r="F384">
            <v>1092.107</v>
          </cell>
          <cell r="G384">
            <v>1092.107</v>
          </cell>
          <cell r="H384">
            <v>0.109</v>
          </cell>
          <cell r="J384">
            <v>0.19018191440948548</v>
          </cell>
          <cell r="L384">
            <v>72</v>
          </cell>
          <cell r="N384">
            <v>6.5927605994650709E-2</v>
          </cell>
          <cell r="P384">
            <v>6.5927605994650709E-2</v>
          </cell>
          <cell r="R384">
            <v>0.31388888888888888</v>
          </cell>
          <cell r="S384">
            <v>94.6</v>
          </cell>
          <cell r="U384">
            <v>8.6621548987416072E-2</v>
          </cell>
          <cell r="W384">
            <v>8.6621548987416072E-2</v>
          </cell>
          <cell r="AC384">
            <v>158.5</v>
          </cell>
          <cell r="AE384">
            <v>1.7937146666666668</v>
          </cell>
          <cell r="AG384">
            <v>11100.952380952382</v>
          </cell>
          <cell r="AH384" t="e">
            <v>#N/A</v>
          </cell>
          <cell r="AI384" t="e">
            <v>#N/A</v>
          </cell>
          <cell r="AK384">
            <v>0.59684542586750788</v>
          </cell>
          <cell r="AM384">
            <v>52.739714826438387</v>
          </cell>
          <cell r="AO384">
            <v>503.5711737132475</v>
          </cell>
          <cell r="AP384">
            <v>608.85213255768656</v>
          </cell>
          <cell r="AQ384" t="str">
            <v>URBN revs excl. Direct &amp; Wholesale.  We estimate achieves lvg. at +3% comp (vs. +4% historically).</v>
          </cell>
          <cell r="AY384" t="e">
            <v>#N/A</v>
          </cell>
          <cell r="AZ384">
            <v>58.262999999999998</v>
          </cell>
          <cell r="BA384">
            <v>0.1999364927024585</v>
          </cell>
          <cell r="BB384">
            <v>0.1999364927024585</v>
          </cell>
        </row>
        <row r="385">
          <cell r="A385" t="str">
            <v>URBN2006</v>
          </cell>
          <cell r="B385" t="str">
            <v>URBN</v>
          </cell>
          <cell r="C385" t="str">
            <v>2006 (retail revenue)</v>
          </cell>
          <cell r="D385">
            <v>14</v>
          </cell>
          <cell r="E385">
            <v>14</v>
          </cell>
          <cell r="F385">
            <v>1140.7440000000001</v>
          </cell>
          <cell r="G385">
            <v>1224.7170000000001</v>
          </cell>
          <cell r="H385">
            <v>-6.2E-2</v>
          </cell>
          <cell r="J385">
            <v>0.13389950494685726</v>
          </cell>
          <cell r="L385">
            <v>84.9</v>
          </cell>
          <cell r="N385">
            <v>7.4425112032147439E-2</v>
          </cell>
          <cell r="P385">
            <v>6.932213727742817E-2</v>
          </cell>
          <cell r="R385">
            <v>0.36749116607773846</v>
          </cell>
          <cell r="S385">
            <v>116.1</v>
          </cell>
          <cell r="U385">
            <v>0.10177568323830762</v>
          </cell>
          <cell r="W385">
            <v>9.4797410340511312E-2</v>
          </cell>
          <cell r="Y385">
            <v>-151.54134250891542</v>
          </cell>
          <cell r="AA385">
            <v>-81.758613530952402</v>
          </cell>
          <cell r="AC385">
            <v>191</v>
          </cell>
          <cell r="AE385">
            <v>2.1286666666666667</v>
          </cell>
          <cell r="AG385">
            <v>11181.964573268919</v>
          </cell>
          <cell r="AH385" t="e">
            <v>#N/A</v>
          </cell>
          <cell r="AI385">
            <v>0.57050985289671607</v>
          </cell>
          <cell r="AK385">
            <v>0.60785340314136127</v>
          </cell>
          <cell r="AM385">
            <v>54.541183839649229</v>
          </cell>
          <cell r="AO385">
            <v>463.68556216724085</v>
          </cell>
          <cell r="AP385">
            <v>575.34466019417482</v>
          </cell>
          <cell r="AR385" t="str">
            <v>LVG</v>
          </cell>
          <cell r="AZ385">
            <v>83.972999999999999</v>
          </cell>
          <cell r="BA385">
            <v>0.18673650064001257</v>
          </cell>
          <cell r="BB385">
            <v>0.18673650064001257</v>
          </cell>
        </row>
        <row r="386">
          <cell r="A386" t="str">
            <v>URBN2007</v>
          </cell>
          <cell r="B386" t="str">
            <v>URBN</v>
          </cell>
          <cell r="C386" t="str">
            <v>2007 (retail revenue)</v>
          </cell>
          <cell r="D386">
            <v>15</v>
          </cell>
          <cell r="E386">
            <v>15</v>
          </cell>
          <cell r="F386">
            <v>1413.252</v>
          </cell>
          <cell r="G386">
            <v>1507.7239999999999</v>
          </cell>
          <cell r="H386">
            <v>6.1240545094416121E-2</v>
          </cell>
          <cell r="I386">
            <v>1507.7239999999999</v>
          </cell>
          <cell r="J386">
            <v>0.14919507814427571</v>
          </cell>
          <cell r="L386">
            <v>100</v>
          </cell>
          <cell r="N386">
            <v>7.075878894917538E-2</v>
          </cell>
          <cell r="P386">
            <v>6.6325136430805648E-2</v>
          </cell>
          <cell r="R386">
            <v>0.38900000000000001</v>
          </cell>
          <cell r="S386">
            <v>138.9</v>
          </cell>
          <cell r="U386">
            <v>9.8283957850404613E-2</v>
          </cell>
          <cell r="W386">
            <v>9.2125614502389042E-2</v>
          </cell>
          <cell r="Y386">
            <v>34.917253879030028</v>
          </cell>
          <cell r="AA386">
            <v>26.717958381222708</v>
          </cell>
          <cell r="AC386">
            <v>226</v>
          </cell>
          <cell r="AE386">
            <v>2.5003513333333331</v>
          </cell>
          <cell r="AG386">
            <v>10963.41224489796</v>
          </cell>
          <cell r="AH386" t="e">
            <v>#N/A</v>
          </cell>
          <cell r="AI386">
            <v>1.1072278735327175</v>
          </cell>
          <cell r="AK386">
            <v>0.6146017699115045</v>
          </cell>
          <cell r="AM386">
            <v>55.552193065134588</v>
          </cell>
          <cell r="AO386">
            <v>477.13614646688325</v>
          </cell>
          <cell r="AP386">
            <v>603.00485771732883</v>
          </cell>
          <cell r="AQ386" t="str">
            <v xml:space="preserve">URBN revenues exclude Internet &amp; Wholesale (2011 $638M, 2010 $554M).  </v>
          </cell>
          <cell r="AR386">
            <v>70.721806877925005</v>
          </cell>
          <cell r="AZ386">
            <v>94.471999999999994</v>
          </cell>
          <cell r="BA386">
            <v>0.1746091450046976</v>
          </cell>
          <cell r="BB386">
            <v>0.16044182027649789</v>
          </cell>
        </row>
        <row r="387">
          <cell r="A387" t="str">
            <v>URBN2008</v>
          </cell>
          <cell r="B387" t="str">
            <v>URBN</v>
          </cell>
          <cell r="C387">
            <v>2008</v>
          </cell>
          <cell r="D387">
            <v>16</v>
          </cell>
          <cell r="E387">
            <v>16</v>
          </cell>
          <cell r="F387">
            <v>1724.558</v>
          </cell>
          <cell r="G387">
            <v>1834.6179999999999</v>
          </cell>
          <cell r="H387">
            <v>7.8E-2</v>
          </cell>
          <cell r="I387">
            <v>1834.6179999999999</v>
          </cell>
          <cell r="J387">
            <v>0.16321381344781302</v>
          </cell>
          <cell r="L387">
            <v>114.9</v>
          </cell>
          <cell r="N387">
            <v>6.6625767298055499E-2</v>
          </cell>
          <cell r="P387">
            <v>6.2628841535404101E-2</v>
          </cell>
          <cell r="R387">
            <v>0.36901653611836394</v>
          </cell>
          <cell r="S387">
            <v>157.30000000000001</v>
          </cell>
          <cell r="U387">
            <v>9.1211777162612112E-2</v>
          </cell>
          <cell r="W387">
            <v>8.573991969990484E-2</v>
          </cell>
          <cell r="Y387">
            <v>70.721806877925005</v>
          </cell>
          <cell r="AA387">
            <v>63.856948024842012</v>
          </cell>
          <cell r="AC387">
            <v>269.5</v>
          </cell>
          <cell r="AE387">
            <v>2.8666320000000001</v>
          </cell>
          <cell r="AG387">
            <v>10364.721088435374</v>
          </cell>
          <cell r="AH387" t="e">
            <v>#N/A</v>
          </cell>
          <cell r="AI387">
            <v>1.0580506015968159</v>
          </cell>
          <cell r="AK387">
            <v>0.58367346938775511</v>
          </cell>
          <cell r="AM387">
            <v>54.8727566007775</v>
          </cell>
          <cell r="AO387">
            <v>497.11229066025908</v>
          </cell>
          <cell r="AP387">
            <v>639.99076267899045</v>
          </cell>
          <cell r="AQ387" t="str">
            <v xml:space="preserve">Store sales exclude Wholesale ($149M in '12, $133M in '11) and Estimated Online Sales ($886M in '12, $654M in '11)  </v>
          </cell>
          <cell r="AR387">
            <v>-55.307693258897508</v>
          </cell>
          <cell r="AS387">
            <v>0.19247787610619471</v>
          </cell>
          <cell r="AU387">
            <v>15.414113619027496</v>
          </cell>
          <cell r="AZ387">
            <v>110.06</v>
          </cell>
          <cell r="BA387">
            <v>0.14649167970261256</v>
          </cell>
          <cell r="BB387">
            <v>0.13447027515640153</v>
          </cell>
        </row>
        <row r="388">
          <cell r="A388" t="str">
            <v>URBN2009</v>
          </cell>
          <cell r="B388" t="str">
            <v>URBN</v>
          </cell>
          <cell r="C388">
            <v>2009</v>
          </cell>
          <cell r="D388">
            <v>17</v>
          </cell>
          <cell r="E388">
            <v>17</v>
          </cell>
          <cell r="F388">
            <v>1833.7330000000002</v>
          </cell>
          <cell r="G388">
            <v>1937.8150000000001</v>
          </cell>
          <cell r="H388">
            <v>-2.6000000000000002E-2</v>
          </cell>
          <cell r="I388">
            <v>1937.8150000000001</v>
          </cell>
          <cell r="J388">
            <v>0.17493104346906177</v>
          </cell>
          <cell r="L388">
            <v>128.97800000000001</v>
          </cell>
          <cell r="N388">
            <v>7.0336303049571558E-2</v>
          </cell>
          <cell r="P388">
            <v>6.6558469203716566E-2</v>
          </cell>
          <cell r="R388">
            <v>0.37542836762858767</v>
          </cell>
          <cell r="S388">
            <v>177.4</v>
          </cell>
          <cell r="U388">
            <v>9.6742546488501863E-2</v>
          </cell>
          <cell r="W388">
            <v>9.1546406648725501E-2</v>
          </cell>
          <cell r="Y388">
            <v>-55.307693258897508</v>
          </cell>
          <cell r="AA388">
            <v>-58.064869488206604</v>
          </cell>
          <cell r="AC388">
            <v>310.5</v>
          </cell>
          <cell r="AE388">
            <v>3.196711333333333</v>
          </cell>
          <cell r="AG388">
            <v>10233.01121304791</v>
          </cell>
          <cell r="AH388" t="e">
            <v>#N/A</v>
          </cell>
          <cell r="AI388">
            <v>0</v>
          </cell>
          <cell r="AK388">
            <v>0.57133655394524963</v>
          </cell>
          <cell r="AM388">
            <v>55.494532193189386</v>
          </cell>
          <cell r="AO388">
            <v>472.35857184060205</v>
          </cell>
          <cell r="AP388">
            <v>606.19017419360364</v>
          </cell>
          <cell r="AR388">
            <v>11.078356184553718</v>
          </cell>
          <cell r="AS388">
            <v>0.15213358070500926</v>
          </cell>
          <cell r="AU388">
            <v>-44.229337074343789</v>
          </cell>
          <cell r="AZ388">
            <v>104.08199999999999</v>
          </cell>
          <cell r="BA388">
            <v>0.11514534594371817</v>
          </cell>
          <cell r="BB388">
            <v>9.8111026371071164E-2</v>
          </cell>
          <cell r="BC388">
            <v>1.7034319572647005E-2</v>
          </cell>
        </row>
        <row r="389">
          <cell r="A389" t="str">
            <v>URBN2010</v>
          </cell>
          <cell r="B389" t="str">
            <v>URBN</v>
          </cell>
          <cell r="C389">
            <v>2010</v>
          </cell>
          <cell r="D389">
            <v>18</v>
          </cell>
          <cell r="E389">
            <v>18</v>
          </cell>
          <cell r="F389">
            <v>2153.7919999999999</v>
          </cell>
          <cell r="G389">
            <v>2274.1019999999999</v>
          </cell>
          <cell r="H389">
            <v>8.6694387741127713E-2</v>
          </cell>
          <cell r="I389">
            <v>2274.1019999999999</v>
          </cell>
          <cell r="J389">
            <v>0.18213914767235589</v>
          </cell>
          <cell r="L389">
            <v>149.75500000000002</v>
          </cell>
          <cell r="N389">
            <v>6.9530855347220172E-2</v>
          </cell>
          <cell r="P389">
            <v>6.5852367220115907E-2</v>
          </cell>
          <cell r="R389">
            <v>0.37542836762858767</v>
          </cell>
          <cell r="S389">
            <v>205.97727519421917</v>
          </cell>
          <cell r="U389">
            <v>9.5634710870046491E-2</v>
          </cell>
          <cell r="W389">
            <v>9.0575213950042338E-2</v>
          </cell>
          <cell r="Y389">
            <v>11.078356184553718</v>
          </cell>
          <cell r="AA389">
            <v>9.7119269868316263</v>
          </cell>
          <cell r="AC389">
            <v>349.5</v>
          </cell>
          <cell r="AE389">
            <v>3.541557333333333</v>
          </cell>
          <cell r="AG389">
            <v>10045.483870967742</v>
          </cell>
          <cell r="AH389" t="e">
            <v>#N/A</v>
          </cell>
          <cell r="AI389" t="e">
            <v>#REF!</v>
          </cell>
          <cell r="AK389">
            <v>0.58934842687902478</v>
          </cell>
          <cell r="AM389">
            <v>58.160084902635823</v>
          </cell>
          <cell r="AO389">
            <v>488.62877065757885</v>
          </cell>
          <cell r="AP389">
            <v>642.11921083304969</v>
          </cell>
          <cell r="AR389">
            <v>-46.246370264364927</v>
          </cell>
          <cell r="AS389">
            <v>0.12560386473429941</v>
          </cell>
          <cell r="AZ389">
            <v>120.31</v>
          </cell>
          <cell r="BA389">
            <v>0.10787523928237075</v>
          </cell>
          <cell r="BB389">
            <v>0.11676706595272801</v>
          </cell>
        </row>
        <row r="390">
          <cell r="A390" t="str">
            <v>URBN2011</v>
          </cell>
          <cell r="B390" t="str">
            <v>URBN</v>
          </cell>
          <cell r="C390">
            <v>2011</v>
          </cell>
          <cell r="D390">
            <v>19</v>
          </cell>
          <cell r="E390">
            <v>19</v>
          </cell>
          <cell r="F390">
            <v>2340.7940000000003</v>
          </cell>
          <cell r="G390">
            <v>2473.8010000000004</v>
          </cell>
          <cell r="H390">
            <v>0</v>
          </cell>
          <cell r="I390">
            <v>2473.8010000000004</v>
          </cell>
          <cell r="J390">
            <v>0.11509616173653441</v>
          </cell>
          <cell r="L390">
            <v>171.304</v>
          </cell>
          <cell r="N390">
            <v>7.3182005763856181E-2</v>
          </cell>
          <cell r="P390">
            <v>6.9247283835684431E-2</v>
          </cell>
          <cell r="R390">
            <v>0.37</v>
          </cell>
          <cell r="S390">
            <v>234.68648000000002</v>
          </cell>
          <cell r="U390">
            <v>0.10025934789648298</v>
          </cell>
          <cell r="W390">
            <v>9.4868778854887675E-2</v>
          </cell>
          <cell r="Y390">
            <v>-46.246370264364927</v>
          </cell>
          <cell r="AA390">
            <v>-42.935649048453371</v>
          </cell>
          <cell r="AC390">
            <v>400.5</v>
          </cell>
          <cell r="AE390">
            <v>3.9141679999999996</v>
          </cell>
          <cell r="AG390">
            <v>9537.1002331002328</v>
          </cell>
          <cell r="AH390" t="e">
            <v>#N/A</v>
          </cell>
          <cell r="AI390" t="e">
            <v>#REF!</v>
          </cell>
          <cell r="AK390">
            <v>0.58598372034956314</v>
          </cell>
          <cell r="AM390">
            <v>59.958203122604864</v>
          </cell>
          <cell r="AO390">
            <v>598.03105027684057</v>
          </cell>
          <cell r="AP390">
            <v>632.01196269552065</v>
          </cell>
          <cell r="AR390">
            <v>4.4591290613427148</v>
          </cell>
          <cell r="AS390">
            <v>0.14592274678111594</v>
          </cell>
          <cell r="AY390">
            <v>0</v>
          </cell>
          <cell r="AZ390">
            <v>133.00700000000001</v>
          </cell>
          <cell r="BA390">
            <v>0.10521096557145482</v>
          </cell>
          <cell r="BB390">
            <v>9.4863149331535057E-2</v>
          </cell>
        </row>
        <row r="391">
          <cell r="A391" t="str">
            <v>URBN2012</v>
          </cell>
          <cell r="B391" t="str">
            <v>URBN</v>
          </cell>
          <cell r="C391">
            <v>2012</v>
          </cell>
          <cell r="D391">
            <v>20</v>
          </cell>
          <cell r="E391">
            <v>20</v>
          </cell>
          <cell r="F391">
            <v>2646.2840000000001</v>
          </cell>
          <cell r="G391">
            <v>2794.9250000000002</v>
          </cell>
          <cell r="H391">
            <v>7.0000000000000007E-2</v>
          </cell>
          <cell r="I391">
            <v>2794.9250000000002</v>
          </cell>
          <cell r="J391">
            <v>0.13391593692138434</v>
          </cell>
          <cell r="L391">
            <v>192.518</v>
          </cell>
          <cell r="N391">
            <v>7.2750317048359131E-2</v>
          </cell>
          <cell r="P391">
            <v>6.8881275883968265E-2</v>
          </cell>
          <cell r="R391">
            <v>0.372</v>
          </cell>
          <cell r="S391">
            <v>264.13469599999996</v>
          </cell>
          <cell r="U391">
            <v>9.9813434990348712E-2</v>
          </cell>
          <cell r="W391">
            <v>9.4505110512804441E-2</v>
          </cell>
          <cell r="Y391">
            <v>4.4591290613427148</v>
          </cell>
          <cell r="AA391">
            <v>3.6366834208323429</v>
          </cell>
          <cell r="AC391">
            <v>452.5</v>
          </cell>
          <cell r="AE391">
            <v>4.2913493333333328</v>
          </cell>
          <cell r="AG391">
            <v>9435.4677871148433</v>
          </cell>
          <cell r="AH391" t="e">
            <v>#N/A</v>
          </cell>
          <cell r="AI391" t="e">
            <v>#REF!</v>
          </cell>
          <cell r="AK391">
            <v>0.58372308508287285</v>
          </cell>
          <cell r="AM391">
            <v>61.550499734038588</v>
          </cell>
          <cell r="AO391">
            <v>616.65546066008153</v>
          </cell>
          <cell r="AP391">
            <v>651.29281792331381</v>
          </cell>
          <cell r="AR391">
            <v>1.5486989781805793</v>
          </cell>
          <cell r="AS391">
            <v>0.12983770287141083</v>
          </cell>
          <cell r="AY391">
            <v>0</v>
          </cell>
          <cell r="AZ391">
            <v>148.64099999999999</v>
          </cell>
          <cell r="BA391">
            <v>9.6363092573781506E-2</v>
          </cell>
          <cell r="BB391">
            <v>0.1025235924840362</v>
          </cell>
        </row>
        <row r="392">
          <cell r="A392" t="str">
            <v>URBN2013</v>
          </cell>
          <cell r="B392" t="str">
            <v>URBN</v>
          </cell>
          <cell r="C392" t="str">
            <v>2013e</v>
          </cell>
          <cell r="D392">
            <v>21</v>
          </cell>
          <cell r="E392">
            <v>21</v>
          </cell>
          <cell r="F392">
            <v>2908.982</v>
          </cell>
          <cell r="G392">
            <v>3086.64446</v>
          </cell>
          <cell r="H392">
            <v>6.1944861640197184E-2</v>
          </cell>
          <cell r="I392">
            <v>3086.64446</v>
          </cell>
          <cell r="J392">
            <v>0.13829498846783278</v>
          </cell>
          <cell r="L392">
            <v>211.30099999999999</v>
          </cell>
          <cell r="N392">
            <v>7.2637438114089389E-2</v>
          </cell>
          <cell r="P392">
            <v>6.8456540018865655E-2</v>
          </cell>
          <cell r="R392">
            <v>0.372</v>
          </cell>
          <cell r="S392">
            <v>289.90497199999999</v>
          </cell>
          <cell r="U392">
            <v>9.9658565092530654E-2</v>
          </cell>
          <cell r="W392">
            <v>9.3922372905883691E-2</v>
          </cell>
          <cell r="Y392">
            <v>1.5486989781805793</v>
          </cell>
          <cell r="AA392">
            <v>5.8273760692074958</v>
          </cell>
          <cell r="AC392">
            <v>493.5</v>
          </cell>
          <cell r="AE392">
            <v>4.6583493333333319</v>
          </cell>
          <cell r="AG392">
            <v>9443.0841487279831</v>
          </cell>
          <cell r="AH392" t="e">
            <v>#N/A</v>
          </cell>
          <cell r="AI392" t="e">
            <v>#REF!</v>
          </cell>
          <cell r="AK392">
            <v>0.58744675177304961</v>
          </cell>
          <cell r="AM392">
            <v>62.23341172066101</v>
          </cell>
          <cell r="AO392">
            <v>624.46626301390893</v>
          </cell>
          <cell r="AP392">
            <v>662.60476386199196</v>
          </cell>
          <cell r="AY392">
            <v>0</v>
          </cell>
          <cell r="AZ392">
            <v>177.66246000000001</v>
          </cell>
          <cell r="BA392">
            <v>8.5520886670610308E-2</v>
          </cell>
          <cell r="BB392">
            <v>7.0821320409722999E-2</v>
          </cell>
        </row>
        <row r="393">
          <cell r="C393" t="str">
            <v>2008 = Trough rent</v>
          </cell>
          <cell r="F393">
            <v>1724.558</v>
          </cell>
          <cell r="G393">
            <v>1834.6179999999999</v>
          </cell>
          <cell r="H393">
            <v>7.8E-2</v>
          </cell>
          <cell r="J393">
            <v>0.16321381344781302</v>
          </cell>
          <cell r="L393">
            <v>114.9</v>
          </cell>
          <cell r="N393">
            <v>6.6625767298055499E-2</v>
          </cell>
          <cell r="P393">
            <v>6.2628841535404101E-2</v>
          </cell>
          <cell r="S393">
            <v>157.30000000000001</v>
          </cell>
          <cell r="U393">
            <v>9.1211777162612112E-2</v>
          </cell>
          <cell r="W393">
            <v>8.573991969990484E-2</v>
          </cell>
          <cell r="Z393">
            <v>0</v>
          </cell>
          <cell r="AB393">
            <v>0</v>
          </cell>
          <cell r="AC393">
            <v>269.5</v>
          </cell>
          <cell r="AE393">
            <v>2.8666320000000001</v>
          </cell>
          <cell r="AG393">
            <v>10364.721088435374</v>
          </cell>
          <cell r="AH393">
            <v>0.73702838466677978</v>
          </cell>
          <cell r="AI393">
            <v>0.73702838466677978</v>
          </cell>
          <cell r="AK393">
            <v>0.58367346938775511</v>
          </cell>
          <cell r="AM393">
            <v>54.8727566007775</v>
          </cell>
          <cell r="AO393">
            <v>497.11229066025908</v>
          </cell>
          <cell r="AP393">
            <v>639.99076267899045</v>
          </cell>
          <cell r="AR393">
            <v>1.1717230021248748E-2</v>
          </cell>
          <cell r="AT393" t="str">
            <v>Adjusted Rent Expense Increase Assumption</v>
          </cell>
        </row>
        <row r="395">
          <cell r="C395" t="str">
            <v>Specialty Apparel Equal Weighted Average</v>
          </cell>
          <cell r="AE395" t="str">
            <v>% Change</v>
          </cell>
          <cell r="BA395">
            <v>0.39662788717019842</v>
          </cell>
        </row>
        <row r="396">
          <cell r="C396">
            <v>2001</v>
          </cell>
          <cell r="J396">
            <v>0.11208098869909278</v>
          </cell>
          <cell r="BA396">
            <v>0.22245259021816288</v>
          </cell>
        </row>
        <row r="397">
          <cell r="C397">
            <v>2002</v>
          </cell>
          <cell r="J397">
            <v>0.11493908586248529</v>
          </cell>
          <cell r="BA397">
            <v>8.616130388328859E-2</v>
          </cell>
        </row>
        <row r="398">
          <cell r="C398">
            <v>2003</v>
          </cell>
          <cell r="J398">
            <v>0.12835284026103502</v>
          </cell>
          <cell r="BA398">
            <v>-3.2457052286478806E-2</v>
          </cell>
        </row>
        <row r="399">
          <cell r="C399">
            <v>2004</v>
          </cell>
          <cell r="J399">
            <v>0.15615619290526289</v>
          </cell>
          <cell r="BA399">
            <v>-1.2606605522925778</v>
          </cell>
        </row>
        <row r="400">
          <cell r="C400">
            <v>2005</v>
          </cell>
          <cell r="J400" t="e">
            <v>#N/A</v>
          </cell>
          <cell r="BA400">
            <v>0.19916611186563671</v>
          </cell>
        </row>
        <row r="401">
          <cell r="C401">
            <v>2006</v>
          </cell>
          <cell r="J401" t="e">
            <v>#N/A</v>
          </cell>
          <cell r="BA401">
            <v>0.22555900713188998</v>
          </cell>
        </row>
        <row r="402">
          <cell r="C402">
            <v>2007</v>
          </cell>
          <cell r="J402" t="e">
            <v>#N/A</v>
          </cell>
          <cell r="BA402">
            <v>0.11621597601104482</v>
          </cell>
        </row>
        <row r="403">
          <cell r="C403">
            <v>2008</v>
          </cell>
          <cell r="H403" t="e">
            <v>#N/A</v>
          </cell>
          <cell r="J403" t="e">
            <v>#N/A</v>
          </cell>
          <cell r="R403">
            <v>0.32002632382887547</v>
          </cell>
          <cell r="U403">
            <v>0.10174705886603579</v>
          </cell>
          <cell r="W403">
            <v>8.968555271449323E-2</v>
          </cell>
          <cell r="Y403">
            <v>-71.432465230432186</v>
          </cell>
          <cell r="AA403">
            <v>-40.732660827391754</v>
          </cell>
          <cell r="AE403">
            <v>5.7479811541754376E-2</v>
          </cell>
          <cell r="AH403" t="e">
            <v>#N/A</v>
          </cell>
          <cell r="AI403" t="e">
            <v>#N/A</v>
          </cell>
          <cell r="AK403">
            <v>212.4674144829512</v>
          </cell>
          <cell r="AM403">
            <v>87.283360775547848</v>
          </cell>
          <cell r="AO403" t="e">
            <v>#N/A</v>
          </cell>
          <cell r="BA403">
            <v>5.7479811541754376E-2</v>
          </cell>
        </row>
        <row r="404">
          <cell r="C404">
            <v>2009</v>
          </cell>
          <cell r="H404" t="e">
            <v>#N/A</v>
          </cell>
          <cell r="J404" t="e">
            <v>#N/A</v>
          </cell>
          <cell r="R404">
            <v>0.30699868406763137</v>
          </cell>
          <cell r="U404">
            <v>0.11359812594031778</v>
          </cell>
          <cell r="W404">
            <v>0.10338406724674366</v>
          </cell>
          <cell r="Y404">
            <v>-40.617581645198847</v>
          </cell>
          <cell r="AA404">
            <v>-136.98514532250448</v>
          </cell>
          <cell r="AE404">
            <v>-6.5792847207363225E-3</v>
          </cell>
          <cell r="AH404" t="e">
            <v>#N/A</v>
          </cell>
          <cell r="AI404">
            <v>0</v>
          </cell>
          <cell r="AK404">
            <v>428.13432047114111</v>
          </cell>
          <cell r="AM404">
            <v>2295.4321268394224</v>
          </cell>
          <cell r="AO404" t="e">
            <v>#N/A</v>
          </cell>
          <cell r="BA404">
            <v>-6.5792847207363225E-3</v>
          </cell>
        </row>
        <row r="405">
          <cell r="C405">
            <v>2010</v>
          </cell>
          <cell r="H405" t="e">
            <v>#N/A</v>
          </cell>
          <cell r="J405" t="e">
            <v>#N/A</v>
          </cell>
          <cell r="R405">
            <v>0.30710949973637358</v>
          </cell>
          <cell r="U405">
            <v>0.11129598145917331</v>
          </cell>
          <cell r="W405">
            <v>0.1004915679193944</v>
          </cell>
          <cell r="Y405">
            <v>23.021444811444955</v>
          </cell>
          <cell r="AA405">
            <v>28.924993273492696</v>
          </cell>
          <cell r="AE405">
            <v>-0.13815132685945378</v>
          </cell>
          <cell r="AH405" t="e">
            <v>#N/A</v>
          </cell>
          <cell r="AI405" t="e">
            <v>#REF!</v>
          </cell>
          <cell r="AK405">
            <v>-2611.8561713304457</v>
          </cell>
          <cell r="AM405">
            <v>4507.0405961726337</v>
          </cell>
          <cell r="AO405" t="e">
            <v>#N/A</v>
          </cell>
          <cell r="BA405">
            <v>-0.13815132685945378</v>
          </cell>
        </row>
        <row r="406">
          <cell r="C406">
            <v>2011</v>
          </cell>
          <cell r="H406" t="e">
            <v>#N/A</v>
          </cell>
          <cell r="J406" t="e">
            <v>#N/A</v>
          </cell>
          <cell r="R406">
            <v>0.30362880070769149</v>
          </cell>
          <cell r="U406">
            <v>0.10435886931351149</v>
          </cell>
          <cell r="W406">
            <v>9.3452680198482116E-2</v>
          </cell>
          <cell r="Y406">
            <v>69.371121456618297</v>
          </cell>
          <cell r="AA406">
            <v>70.388877209122569</v>
          </cell>
          <cell r="AE406">
            <v>0.10903117814506871</v>
          </cell>
          <cell r="AH406" t="e">
            <v>#N/A</v>
          </cell>
          <cell r="AI406" t="e">
            <v>#REF!</v>
          </cell>
          <cell r="AK406">
            <v>-1707.7007330879028</v>
          </cell>
          <cell r="AM406">
            <v>11596.610392115939</v>
          </cell>
          <cell r="AO406" t="e">
            <v>#N/A</v>
          </cell>
          <cell r="BA406">
            <v>0.10903117814506871</v>
          </cell>
        </row>
        <row r="407">
          <cell r="C407">
            <v>2012</v>
          </cell>
          <cell r="H407" t="e">
            <v>#N/A</v>
          </cell>
          <cell r="J407" t="e">
            <v>#N/A</v>
          </cell>
          <cell r="R407">
            <v>0.30215289310567967</v>
          </cell>
          <cell r="U407">
            <v>9.9338687180367077E-2</v>
          </cell>
          <cell r="W407">
            <v>8.7041949064867494E-2</v>
          </cell>
          <cell r="Y407">
            <v>50.201821331443931</v>
          </cell>
          <cell r="AA407">
            <v>64.10731133614658</v>
          </cell>
          <cell r="AE407">
            <v>-4.4820308707260781E-2</v>
          </cell>
          <cell r="AH407" t="e">
            <v>#N/A</v>
          </cell>
          <cell r="AI407" t="e">
            <v>#REF!</v>
          </cell>
          <cell r="AK407">
            <v>-1766.9572039527209</v>
          </cell>
          <cell r="AM407">
            <v>57281.206037108052</v>
          </cell>
          <cell r="AO407" t="e">
            <v>#N/A</v>
          </cell>
          <cell r="BA407">
            <v>-4.4820308707260781E-2</v>
          </cell>
        </row>
        <row r="408">
          <cell r="C408" t="str">
            <v>2013e</v>
          </cell>
          <cell r="H408" t="e">
            <v>#N/A</v>
          </cell>
          <cell r="J408" t="e">
            <v>#N/A</v>
          </cell>
          <cell r="R408">
            <v>0.30072995219790838</v>
          </cell>
          <cell r="U408">
            <v>0.11050849345007722</v>
          </cell>
          <cell r="W408">
            <v>9.6845632107346397E-2</v>
          </cell>
          <cell r="Y408">
            <v>-135.86328613969661</v>
          </cell>
          <cell r="AA408">
            <v>-98.036830424788974</v>
          </cell>
          <cell r="AE408">
            <v>-3.7754338492539596</v>
          </cell>
          <cell r="AH408" t="e">
            <v>#N/A</v>
          </cell>
          <cell r="AI408" t="e">
            <v>#REF!</v>
          </cell>
          <cell r="AK408">
            <v>-3952.3958140734421</v>
          </cell>
          <cell r="AM408">
            <v>78206.160276811555</v>
          </cell>
          <cell r="BA408">
            <v>-3.7754338492539596</v>
          </cell>
        </row>
        <row r="409">
          <cell r="C409" t="str">
            <v>Trough rent year</v>
          </cell>
          <cell r="H409" t="e">
            <v>#N/A</v>
          </cell>
          <cell r="J409" t="e">
            <v>#N/A</v>
          </cell>
          <cell r="U409">
            <v>7.5582899420304051E-2</v>
          </cell>
          <cell r="W409">
            <v>6.817431274718723E-2</v>
          </cell>
          <cell r="AH409" t="e">
            <v>#N/A</v>
          </cell>
          <cell r="AI409" t="e">
            <v>#N/A</v>
          </cell>
          <cell r="AK409">
            <v>433.7700038282905</v>
          </cell>
          <cell r="AM409">
            <v>78792.11454990592</v>
          </cell>
          <cell r="AO409" t="e">
            <v>#N/A</v>
          </cell>
        </row>
        <row r="411">
          <cell r="C411" t="str">
            <v>Specialty Apparel Equal Weighted Average (Excluding COH, KORS, LULU &amp; TIF)</v>
          </cell>
        </row>
        <row r="412">
          <cell r="C412">
            <v>2005</v>
          </cell>
          <cell r="AH412" t="e">
            <v>#N/A</v>
          </cell>
          <cell r="AI412" t="e">
            <v>#N/A</v>
          </cell>
        </row>
        <row r="413">
          <cell r="C413">
            <v>2006</v>
          </cell>
          <cell r="AH413" t="e">
            <v>#N/A</v>
          </cell>
          <cell r="AI413" t="e">
            <v>#N/A</v>
          </cell>
        </row>
        <row r="414">
          <cell r="C414">
            <v>2007</v>
          </cell>
          <cell r="AH414" t="e">
            <v>#N/A</v>
          </cell>
          <cell r="AI414" t="e">
            <v>#N/A</v>
          </cell>
        </row>
        <row r="415">
          <cell r="C415">
            <v>2008</v>
          </cell>
          <cell r="H415" t="e">
            <v>#N/A</v>
          </cell>
          <cell r="J415">
            <v>6.6291262469165002E-2</v>
          </cell>
          <cell r="R415">
            <v>0.38657034569549931</v>
          </cell>
          <cell r="U415">
            <v>0.10752151299316615</v>
          </cell>
          <cell r="W415">
            <v>9.7180922503353875E-2</v>
          </cell>
          <cell r="Y415">
            <v>-75.167750089324997</v>
          </cell>
          <cell r="AA415">
            <v>-29.41607297675889</v>
          </cell>
          <cell r="AE415">
            <v>-2.0021055277190104E-2</v>
          </cell>
          <cell r="AH415" t="e">
            <v>#N/A</v>
          </cell>
          <cell r="AI415" t="e">
            <v>#N/A</v>
          </cell>
          <cell r="AK415">
            <v>270.21906706531854</v>
          </cell>
          <cell r="AM415">
            <v>45.574804717677324</v>
          </cell>
          <cell r="AO415">
            <v>428.44903482920148</v>
          </cell>
          <cell r="BA415">
            <v>-2.0021055277190104E-2</v>
          </cell>
        </row>
        <row r="416">
          <cell r="C416">
            <v>2009</v>
          </cell>
          <cell r="H416" t="e">
            <v>#N/A</v>
          </cell>
          <cell r="J416">
            <v>9.6357247931104756E-2</v>
          </cell>
          <cell r="R416">
            <v>0.36269353342015209</v>
          </cell>
          <cell r="U416">
            <v>0.12385272724997516</v>
          </cell>
          <cell r="W416">
            <v>0.11445019841251011</v>
          </cell>
          <cell r="Y416">
            <v>-200.53928859029622</v>
          </cell>
          <cell r="AA416">
            <v>-172.69275909156255</v>
          </cell>
          <cell r="AE416">
            <v>-5.5965140217641138E-2</v>
          </cell>
          <cell r="AH416" t="e">
            <v>#N/A</v>
          </cell>
          <cell r="AI416">
            <v>0</v>
          </cell>
          <cell r="AK416">
            <v>599.17418434753245</v>
          </cell>
          <cell r="AM416">
            <v>3127.7485048113799</v>
          </cell>
          <cell r="AO416">
            <v>421.86808628535601</v>
          </cell>
          <cell r="BA416">
            <v>-5.5965140217641138E-2</v>
          </cell>
        </row>
        <row r="417">
          <cell r="C417">
            <v>2010</v>
          </cell>
          <cell r="H417" t="e">
            <v>#N/A</v>
          </cell>
          <cell r="J417">
            <v>0.11445052395756188</v>
          </cell>
          <cell r="R417">
            <v>0.36417958284750113</v>
          </cell>
          <cell r="U417">
            <v>0.12215008639278882</v>
          </cell>
          <cell r="W417">
            <v>0.11134463381321449</v>
          </cell>
          <cell r="Y417">
            <v>17.02640857186362</v>
          </cell>
          <cell r="AA417">
            <v>31.055645992956492</v>
          </cell>
          <cell r="AE417">
            <v>-0.12553131591564409</v>
          </cell>
          <cell r="AH417" t="e">
            <v>#N/A</v>
          </cell>
          <cell r="AI417" t="e">
            <v>#REF!</v>
          </cell>
          <cell r="AK417">
            <v>-3656.8310528909178</v>
          </cell>
          <cell r="AM417">
            <v>-7636.2015596330457</v>
          </cell>
          <cell r="AO417">
            <v>443.28793932516191</v>
          </cell>
          <cell r="BA417">
            <v>-0.12553131591564409</v>
          </cell>
        </row>
        <row r="418">
          <cell r="C418">
            <v>2011</v>
          </cell>
          <cell r="H418" t="e">
            <v>#N/A</v>
          </cell>
          <cell r="J418" t="e">
            <v>#REF!</v>
          </cell>
          <cell r="R418">
            <v>0.36143032099076811</v>
          </cell>
          <cell r="U418">
            <v>0.11369991558301021</v>
          </cell>
          <cell r="W418">
            <v>0.10281491463022888</v>
          </cell>
          <cell r="Y418">
            <v>84.501708097786064</v>
          </cell>
          <cell r="AA418">
            <v>85.297191829856075</v>
          </cell>
          <cell r="AE418">
            <v>0.10959293078266104</v>
          </cell>
          <cell r="AH418" t="e">
            <v>#N/A</v>
          </cell>
          <cell r="AI418" t="e">
            <v>#REF!</v>
          </cell>
          <cell r="AK418">
            <v>-2391.030531422175</v>
          </cell>
          <cell r="AM418">
            <v>-4410.0591463069914</v>
          </cell>
          <cell r="AO418">
            <v>475.42704182560931</v>
          </cell>
          <cell r="BA418">
            <v>0.10959293078266104</v>
          </cell>
        </row>
        <row r="419">
          <cell r="C419">
            <v>2012</v>
          </cell>
          <cell r="H419" t="e">
            <v>#N/A</v>
          </cell>
          <cell r="J419" t="e">
            <v>#REF!</v>
          </cell>
          <cell r="R419">
            <v>0.35831406034795138</v>
          </cell>
          <cell r="U419">
            <v>0.11371553712773561</v>
          </cell>
          <cell r="W419">
            <v>0.10078523087321326</v>
          </cell>
          <cell r="Y419">
            <v>-0.1562154472541156</v>
          </cell>
          <cell r="AA419">
            <v>20.296837570156253</v>
          </cell>
          <cell r="AE419">
            <v>-8.8765096773449376E-2</v>
          </cell>
          <cell r="AH419" t="e">
            <v>#N/A</v>
          </cell>
          <cell r="AI419" t="e">
            <v>#REF!</v>
          </cell>
          <cell r="AK419">
            <v>-2473.9595488765749</v>
          </cell>
          <cell r="AM419">
            <v>39877.294369822557</v>
          </cell>
          <cell r="AO419">
            <v>494.36326220630542</v>
          </cell>
          <cell r="BA419">
            <v>-8.8765096773449376E-2</v>
          </cell>
        </row>
        <row r="420">
          <cell r="C420" t="str">
            <v>2013e</v>
          </cell>
          <cell r="H420" t="e">
            <v>#N/A</v>
          </cell>
          <cell r="J420" t="e">
            <v>#REF!</v>
          </cell>
          <cell r="R420">
            <v>0.35632194307707171</v>
          </cell>
          <cell r="U420">
            <v>0.12499345386189176</v>
          </cell>
          <cell r="W420">
            <v>0.10770453891328283</v>
          </cell>
          <cell r="Y420">
            <v>-112.77916734156152</v>
          </cell>
          <cell r="AA420">
            <v>-69.193080400695578</v>
          </cell>
          <cell r="AE420">
            <v>-5.2724124151491321</v>
          </cell>
          <cell r="AH420" t="e">
            <v>#N/A</v>
          </cell>
          <cell r="AI420" t="e">
            <v>#REF!</v>
          </cell>
          <cell r="AK420">
            <v>-5533.6110259774705</v>
          </cell>
          <cell r="AM420">
            <v>-810.37934487372513</v>
          </cell>
          <cell r="BA420">
            <v>-5.2724124151491321</v>
          </cell>
        </row>
        <row r="421">
          <cell r="C421" t="str">
            <v>Trough rent year</v>
          </cell>
          <cell r="H421" t="e">
            <v>#N/A</v>
          </cell>
          <cell r="J421" t="e">
            <v>#REF!</v>
          </cell>
          <cell r="U421">
            <v>8.5365281669631046E-2</v>
          </cell>
          <cell r="W421">
            <v>7.8354833746342945E-2</v>
          </cell>
          <cell r="AH421" t="e">
            <v>#N/A</v>
          </cell>
          <cell r="AI421" t="e">
            <v>#N/A</v>
          </cell>
          <cell r="AK421">
            <v>551.93408325376504</v>
          </cell>
          <cell r="AM421">
            <v>38.448063875720372</v>
          </cell>
          <cell r="AO421">
            <v>512.847717323594</v>
          </cell>
        </row>
        <row r="424">
          <cell r="L424" t="str">
            <v>Rent Expense</v>
          </cell>
          <cell r="Y424" t="str">
            <v>Rent</v>
          </cell>
          <cell r="AA424" t="str">
            <v>Rent</v>
          </cell>
          <cell r="AC424" t="str">
            <v>Average</v>
          </cell>
          <cell r="AL424" t="str">
            <v>Adjusted Rent</v>
          </cell>
          <cell r="AO424" t="str">
            <v>Sales</v>
          </cell>
          <cell r="AP424" t="str">
            <v>Total Sales</v>
          </cell>
          <cell r="AQ424" t="str">
            <v>Key CAM adj.</v>
          </cell>
          <cell r="AR424" t="str">
            <v>Bps</v>
          </cell>
        </row>
        <row r="425">
          <cell r="F425" t="str">
            <v>Store Sales</v>
          </cell>
          <cell r="G425" t="str">
            <v>Total Sales</v>
          </cell>
          <cell r="H425" t="str">
            <v>Comp.</v>
          </cell>
          <cell r="J425" t="str">
            <v>Operating</v>
          </cell>
          <cell r="L425" t="str">
            <v>per 10-K</v>
          </cell>
          <cell r="U425" t="str">
            <v>% Store</v>
          </cell>
          <cell r="W425" t="str">
            <v>% Total</v>
          </cell>
          <cell r="Y425" t="str">
            <v>Levg. or</v>
          </cell>
          <cell r="AA425" t="str">
            <v>Levg. or</v>
          </cell>
          <cell r="AC425" t="str">
            <v>Store</v>
          </cell>
          <cell r="AE425" t="str">
            <v>Sq. Ft.</v>
          </cell>
          <cell r="AG425" t="str">
            <v>Sq. Ft. /</v>
          </cell>
          <cell r="AH425" t="str">
            <v>New Sq. Ft.</v>
          </cell>
          <cell r="AI425" t="str">
            <v>Adj. New SF</v>
          </cell>
          <cell r="AK425" t="str">
            <v>per Avg</v>
          </cell>
          <cell r="AM425" t="str">
            <v>per Avg</v>
          </cell>
          <cell r="AO425" t="str">
            <v>per Avg</v>
          </cell>
          <cell r="AP425" t="str">
            <v>per Avg</v>
          </cell>
          <cell r="AQ425" t="str">
            <v>Assumptions &amp;</v>
          </cell>
          <cell r="AR425" t="str">
            <v>Lvg</v>
          </cell>
        </row>
        <row r="426">
          <cell r="F426" t="str">
            <v>($ MM)</v>
          </cell>
          <cell r="G426" t="str">
            <v>($ MM)</v>
          </cell>
          <cell r="H426" t="str">
            <v>Sales %</v>
          </cell>
          <cell r="J426" t="str">
            <v>Margin</v>
          </cell>
          <cell r="L426" t="str">
            <v>$ MM</v>
          </cell>
          <cell r="N426" t="str">
            <v>% Sales</v>
          </cell>
          <cell r="P426" t="str">
            <v>% Sales</v>
          </cell>
          <cell r="R426" t="str">
            <v>Adj.</v>
          </cell>
          <cell r="S426" t="str">
            <v>$ MM</v>
          </cell>
          <cell r="U426" t="str">
            <v>Sales</v>
          </cell>
          <cell r="W426" t="str">
            <v>Sales</v>
          </cell>
          <cell r="Y426" t="str">
            <v>(Delevg)</v>
          </cell>
          <cell r="AA426" t="str">
            <v>(De-levg)</v>
          </cell>
          <cell r="AC426" t="str">
            <v>Count</v>
          </cell>
          <cell r="AE426" t="str">
            <v>(MM)</v>
          </cell>
          <cell r="AG426" t="str">
            <v>Store</v>
          </cell>
          <cell r="AH426" t="str">
            <v>Productivity</v>
          </cell>
          <cell r="AI426" t="str">
            <v>Productivity</v>
          </cell>
          <cell r="AK426" t="str">
            <v>Store</v>
          </cell>
          <cell r="AM426" t="str">
            <v>Sq. Ft.</v>
          </cell>
          <cell r="AO426" t="str">
            <v>Sq. Ft.</v>
          </cell>
          <cell r="AP426" t="str">
            <v>Sq. Ft.</v>
          </cell>
          <cell r="AQ426" t="str">
            <v>Other</v>
          </cell>
          <cell r="AR426" t="str">
            <v>(De-Lvg)</v>
          </cell>
          <cell r="AS426" t="str">
            <v>Notes on Rent:</v>
          </cell>
        </row>
        <row r="428">
          <cell r="C428">
            <v>1998</v>
          </cell>
          <cell r="D428">
            <v>10</v>
          </cell>
          <cell r="E428">
            <v>10</v>
          </cell>
          <cell r="F428">
            <v>2182.3609999999999</v>
          </cell>
          <cell r="G428">
            <v>2182.3609999999999</v>
          </cell>
          <cell r="H428">
            <v>0.03</v>
          </cell>
          <cell r="J428">
            <v>0.10065887357774446</v>
          </cell>
          <cell r="L428">
            <v>106.696</v>
          </cell>
          <cell r="N428">
            <v>4.8890169866488635E-2</v>
          </cell>
          <cell r="P428">
            <v>4.8890169866488635E-2</v>
          </cell>
          <cell r="S428">
            <v>141.90568000000002</v>
          </cell>
          <cell r="T428">
            <v>35.20968000000002</v>
          </cell>
          <cell r="U428">
            <v>6.5023925922429893E-2</v>
          </cell>
          <cell r="W428">
            <v>6.5023925922429893E-2</v>
          </cell>
          <cell r="AC428">
            <v>337</v>
          </cell>
          <cell r="AE428">
            <v>9.367874999999998</v>
          </cell>
          <cell r="AG428">
            <v>27997.851002865329</v>
          </cell>
          <cell r="AH428">
            <v>0.54431258786780556</v>
          </cell>
          <cell r="AK428">
            <v>0.42108510385756681</v>
          </cell>
          <cell r="AM428">
            <v>15.148118436678548</v>
          </cell>
          <cell r="AO428">
            <v>232.96222462404765</v>
          </cell>
          <cell r="AP428">
            <v>232.96222462404765</v>
          </cell>
        </row>
        <row r="429">
          <cell r="A429" t="str">
            <v>ROST1999</v>
          </cell>
          <cell r="C429">
            <v>1999</v>
          </cell>
          <cell r="D429">
            <v>11</v>
          </cell>
          <cell r="E429">
            <v>11</v>
          </cell>
          <cell r="F429">
            <v>2468.6379999999999</v>
          </cell>
          <cell r="G429">
            <v>2468.6379999999999</v>
          </cell>
          <cell r="H429">
            <v>0.06</v>
          </cell>
          <cell r="J429">
            <v>0.10335942329333012</v>
          </cell>
          <cell r="L429">
            <v>118.089</v>
          </cell>
          <cell r="N429">
            <v>4.7835689153290194E-2</v>
          </cell>
          <cell r="P429">
            <v>4.7835689153290194E-2</v>
          </cell>
          <cell r="S429">
            <v>157.05837</v>
          </cell>
          <cell r="T429">
            <v>38.969369999999998</v>
          </cell>
          <cell r="U429">
            <v>6.3621466573875962E-2</v>
          </cell>
          <cell r="W429">
            <v>6.3621466573875962E-2</v>
          </cell>
          <cell r="AC429">
            <v>363.5</v>
          </cell>
          <cell r="AE429">
            <v>10.231874999999999</v>
          </cell>
          <cell r="AG429">
            <v>28287.037037037033</v>
          </cell>
          <cell r="AH429">
            <v>0.63552625214353453</v>
          </cell>
          <cell r="AK429">
            <v>0.43207254470426409</v>
          </cell>
          <cell r="AM429">
            <v>15.349910940076967</v>
          </cell>
          <cell r="AO429">
            <v>241.26936656282453</v>
          </cell>
          <cell r="AP429">
            <v>241.26936656282453</v>
          </cell>
        </row>
        <row r="430">
          <cell r="C430">
            <v>2000</v>
          </cell>
          <cell r="D430">
            <v>12</v>
          </cell>
          <cell r="E430">
            <v>12</v>
          </cell>
          <cell r="F430">
            <v>2709.0389999999998</v>
          </cell>
          <cell r="G430">
            <v>2709.0389999999998</v>
          </cell>
          <cell r="H430">
            <v>0.01</v>
          </cell>
          <cell r="J430">
            <v>9.3262592380545198E-2</v>
          </cell>
          <cell r="L430">
            <v>129.64500000000001</v>
          </cell>
          <cell r="N430">
            <v>4.7856453893797772E-2</v>
          </cell>
          <cell r="P430">
            <v>4.7856453893797772E-2</v>
          </cell>
          <cell r="S430">
            <v>172.42785000000003</v>
          </cell>
          <cell r="T430">
            <v>42.782850000000025</v>
          </cell>
          <cell r="U430">
            <v>6.3649083678751051E-2</v>
          </cell>
          <cell r="W430">
            <v>6.3649083678751051E-2</v>
          </cell>
          <cell r="AC430">
            <v>393.5</v>
          </cell>
          <cell r="AE430">
            <v>11.177499999999998</v>
          </cell>
          <cell r="AG430">
            <v>28514.669926650367</v>
          </cell>
          <cell r="AH430">
            <v>0.58006686834613874</v>
          </cell>
          <cell r="AK430">
            <v>0.43819021601016528</v>
          </cell>
          <cell r="AM430">
            <v>15.426334153433242</v>
          </cell>
          <cell r="AO430">
            <v>242.36537687318275</v>
          </cell>
          <cell r="AP430">
            <v>242.36537687318275</v>
          </cell>
        </row>
        <row r="431">
          <cell r="C431">
            <v>2001</v>
          </cell>
          <cell r="D431">
            <v>13</v>
          </cell>
          <cell r="E431">
            <v>13</v>
          </cell>
          <cell r="F431">
            <v>2986.5960000000005</v>
          </cell>
          <cell r="G431">
            <v>2986.5960000000005</v>
          </cell>
          <cell r="H431">
            <v>0.03</v>
          </cell>
          <cell r="J431">
            <v>8.6304608992980758E-2</v>
          </cell>
          <cell r="L431">
            <v>143.89599999999999</v>
          </cell>
          <cell r="N431">
            <v>4.8180604273226096E-2</v>
          </cell>
          <cell r="P431">
            <v>4.8180604273226096E-2</v>
          </cell>
          <cell r="S431">
            <v>191.38167999999999</v>
          </cell>
          <cell r="T431">
            <v>47.485680000000002</v>
          </cell>
          <cell r="U431">
            <v>6.4080203683390707E-2</v>
          </cell>
          <cell r="W431">
            <v>6.4080203683390707E-2</v>
          </cell>
          <cell r="AC431">
            <v>430.5</v>
          </cell>
          <cell r="AE431">
            <v>12.383749999999999</v>
          </cell>
          <cell r="AG431">
            <v>28993.362831858401</v>
          </cell>
          <cell r="AH431">
            <v>0.80017082045803423</v>
          </cell>
          <cell r="AK431">
            <v>0.44455674796747963</v>
          </cell>
          <cell r="AM431">
            <v>15.454259008781669</v>
          </cell>
          <cell r="AO431">
            <v>241.17056626627641</v>
          </cell>
          <cell r="AP431">
            <v>241.17056626627641</v>
          </cell>
          <cell r="AS431" t="str">
            <v xml:space="preserve">Minimum rentals as reported in footnote C do not include CAM, RE taxes, </v>
          </cell>
        </row>
        <row r="432">
          <cell r="C432" t="str">
            <v>2002 (Trough rent)</v>
          </cell>
          <cell r="D432">
            <v>14</v>
          </cell>
          <cell r="E432">
            <v>14</v>
          </cell>
          <cell r="F432">
            <v>3531.3490000000002</v>
          </cell>
          <cell r="G432">
            <v>3531.3490000000002</v>
          </cell>
          <cell r="H432">
            <v>7.0000000000000007E-2</v>
          </cell>
          <cell r="J432">
            <v>9.3112009036773302E-2</v>
          </cell>
          <cell r="L432">
            <v>163.57400000000001</v>
          </cell>
          <cell r="N432">
            <v>4.6320542093120788E-2</v>
          </cell>
          <cell r="P432">
            <v>4.6320542093120788E-2</v>
          </cell>
          <cell r="S432">
            <v>217.55342000000002</v>
          </cell>
          <cell r="T432">
            <v>53.979420000000005</v>
          </cell>
          <cell r="U432">
            <v>6.1606320983850653E-2</v>
          </cell>
          <cell r="W432">
            <v>6.1606320983850653E-2</v>
          </cell>
          <cell r="AC432">
            <v>479.5</v>
          </cell>
          <cell r="AE432">
            <v>13.954374999999999</v>
          </cell>
          <cell r="AG432">
            <v>29400</v>
          </cell>
          <cell r="AH432">
            <v>0.80565545961892249</v>
          </cell>
          <cell r="AK432">
            <v>0.45370890510948908</v>
          </cell>
          <cell r="AM432">
            <v>15.5903377972858</v>
          </cell>
          <cell r="AO432">
            <v>253.063931562682</v>
          </cell>
          <cell r="AP432">
            <v>253.063931562682</v>
          </cell>
          <cell r="AS432" t="str">
            <v>Insurance, or other landlord passthrus. Estimate 30% for these costs given</v>
          </cell>
        </row>
        <row r="433">
          <cell r="C433">
            <v>2003</v>
          </cell>
          <cell r="D433">
            <v>15</v>
          </cell>
          <cell r="E433">
            <v>15</v>
          </cell>
          <cell r="F433">
            <v>3920.5829999999996</v>
          </cell>
          <cell r="G433">
            <v>3920.5829999999996</v>
          </cell>
          <cell r="H433">
            <v>0.01</v>
          </cell>
          <cell r="J433">
            <v>9.5246803855446871E-2</v>
          </cell>
          <cell r="L433">
            <v>186.24</v>
          </cell>
          <cell r="N433">
            <v>4.7503139201491212E-2</v>
          </cell>
          <cell r="P433">
            <v>4.7503139201491212E-2</v>
          </cell>
          <cell r="S433">
            <v>247.69920000000002</v>
          </cell>
          <cell r="T433">
            <v>61.45920000000001</v>
          </cell>
          <cell r="U433">
            <v>6.3179175137983309E-2</v>
          </cell>
          <cell r="W433">
            <v>6.3179175137983309E-2</v>
          </cell>
          <cell r="AC433">
            <v>537.5</v>
          </cell>
          <cell r="AE433">
            <v>15.727499999999999</v>
          </cell>
          <cell r="AG433">
            <v>29400</v>
          </cell>
          <cell r="AH433">
            <v>0.51477447107119634</v>
          </cell>
          <cell r="AK433">
            <v>0.46083572093023262</v>
          </cell>
          <cell r="AM433">
            <v>15.749432522651409</v>
          </cell>
          <cell r="AO433">
            <v>249.28202193609917</v>
          </cell>
          <cell r="AP433">
            <v>249.28202193609917</v>
          </cell>
          <cell r="AS433" t="str">
            <v>lower cost of operating in a strip center vs. a mall.</v>
          </cell>
        </row>
        <row r="434">
          <cell r="C434">
            <v>2004</v>
          </cell>
          <cell r="D434">
            <v>16</v>
          </cell>
          <cell r="E434">
            <v>16</v>
          </cell>
          <cell r="F434">
            <v>4239.99</v>
          </cell>
          <cell r="G434">
            <v>4239.99</v>
          </cell>
          <cell r="H434">
            <v>-0.01</v>
          </cell>
          <cell r="J434">
            <v>6.9744975813622059E-2</v>
          </cell>
          <cell r="L434">
            <v>216.16300000000001</v>
          </cell>
          <cell r="N434">
            <v>5.0981959863112887E-2</v>
          </cell>
          <cell r="P434">
            <v>5.0981959863112887E-2</v>
          </cell>
          <cell r="S434">
            <v>287.49679000000003</v>
          </cell>
          <cell r="T434">
            <v>71.333790000000022</v>
          </cell>
          <cell r="U434">
            <v>6.7806006617940145E-2</v>
          </cell>
          <cell r="W434">
            <v>6.7806006617940145E-2</v>
          </cell>
          <cell r="AC434">
            <v>608.5</v>
          </cell>
          <cell r="AE434">
            <v>17.858750000000001</v>
          </cell>
          <cell r="AG434">
            <v>29400</v>
          </cell>
          <cell r="AH434">
            <v>0.68895002975963471</v>
          </cell>
          <cell r="AK434">
            <v>0.47246801972062452</v>
          </cell>
          <cell r="AM434">
            <v>16.098371386575209</v>
          </cell>
          <cell r="AO434">
            <v>237.41807237348635</v>
          </cell>
          <cell r="AP434">
            <v>237.41807237348635</v>
          </cell>
          <cell r="AT434" t="str">
            <v>Adjusted Rent Expense Increase Assumption</v>
          </cell>
        </row>
        <row r="435">
          <cell r="A435" t="str">
            <v>ROST</v>
          </cell>
          <cell r="B435" t="str">
            <v>ROST</v>
          </cell>
          <cell r="C435" t="str">
            <v>2005 (total revs.)</v>
          </cell>
          <cell r="D435">
            <v>17</v>
          </cell>
          <cell r="E435">
            <v>17</v>
          </cell>
          <cell r="F435">
            <v>4944.1790000000001</v>
          </cell>
          <cell r="G435">
            <v>4944.1790000000001</v>
          </cell>
          <cell r="H435">
            <v>0.06</v>
          </cell>
          <cell r="J435">
            <v>6.5823668600995366E-2</v>
          </cell>
          <cell r="L435">
            <v>246.214</v>
          </cell>
          <cell r="N435">
            <v>4.9798763353834881E-2</v>
          </cell>
          <cell r="P435">
            <v>4.9798763353834881E-2</v>
          </cell>
          <cell r="S435">
            <v>327.46462000000002</v>
          </cell>
          <cell r="T435">
            <v>81.250620000000026</v>
          </cell>
          <cell r="U435">
            <v>6.6232355260600395E-2</v>
          </cell>
          <cell r="W435">
            <v>6.6232355260600395E-2</v>
          </cell>
          <cell r="Y435">
            <v>15.736513573397504</v>
          </cell>
          <cell r="AA435">
            <v>15.736513573397504</v>
          </cell>
          <cell r="AC435">
            <v>691.5</v>
          </cell>
          <cell r="AE435">
            <v>20.357499999999998</v>
          </cell>
          <cell r="AG435">
            <v>29494.209809264299</v>
          </cell>
          <cell r="AH435">
            <v>0.75818087950057389</v>
          </cell>
          <cell r="AI435">
            <v>0.75818087950057389</v>
          </cell>
          <cell r="AK435">
            <v>0.4735569342010123</v>
          </cell>
          <cell r="AM435">
            <v>16.085699128085476</v>
          </cell>
          <cell r="AO435">
            <v>242.86769004052564</v>
          </cell>
          <cell r="AP435">
            <v>242.86769004052564</v>
          </cell>
          <cell r="AQ435" t="str">
            <v>Added 33% of reported minimum &amp; contin. rent given lower CAM for street or strip center stores vs. stores in enclosed shopping malls. We estimate achieves lvg. at +4% &amp; occupancy neutral at +3%.</v>
          </cell>
          <cell r="BA435">
            <v>0.13991740743333092</v>
          </cell>
          <cell r="BB435">
            <v>0.13991740743333092</v>
          </cell>
        </row>
        <row r="436">
          <cell r="A436" t="str">
            <v>ROST2006</v>
          </cell>
          <cell r="B436" t="str">
            <v>ROST</v>
          </cell>
          <cell r="C436" t="str">
            <v>2006 (total revs.)</v>
          </cell>
          <cell r="D436">
            <v>18</v>
          </cell>
          <cell r="E436">
            <v>18</v>
          </cell>
          <cell r="F436">
            <v>5570.21</v>
          </cell>
          <cell r="G436">
            <v>5570.21</v>
          </cell>
          <cell r="H436">
            <v>0.04</v>
          </cell>
          <cell r="J436">
            <v>6.9952479349970648E-2</v>
          </cell>
          <cell r="L436">
            <v>274.21100000000001</v>
          </cell>
          <cell r="N436">
            <v>4.9228126049107666E-2</v>
          </cell>
          <cell r="P436">
            <v>4.9228126049107666E-2</v>
          </cell>
          <cell r="S436">
            <v>364.70063000000005</v>
          </cell>
          <cell r="T436">
            <v>90.489630000000034</v>
          </cell>
          <cell r="U436">
            <v>6.5473407645313203E-2</v>
          </cell>
          <cell r="W436">
            <v>6.5473407645313203E-2</v>
          </cell>
          <cell r="Y436">
            <v>7.5894761528719208</v>
          </cell>
          <cell r="AA436">
            <v>7.5894761528719208</v>
          </cell>
          <cell r="AC436">
            <v>765.5</v>
          </cell>
          <cell r="AE436">
            <v>22.475624999999997</v>
          </cell>
          <cell r="AG436">
            <v>29237.76662484316</v>
          </cell>
          <cell r="AH436">
            <v>0.83251118752428011</v>
          </cell>
          <cell r="AI436">
            <v>0.83251118752428011</v>
          </cell>
          <cell r="AK436">
            <v>0.47642146309601574</v>
          </cell>
          <cell r="AM436">
            <v>16.226495592447378</v>
          </cell>
          <cell r="AO436">
            <v>247.83337504518786</v>
          </cell>
          <cell r="AP436">
            <v>247.83337504518786</v>
          </cell>
          <cell r="AR436" t="str">
            <v>LVG</v>
          </cell>
          <cell r="BA436">
            <v>0.1040464202382414</v>
          </cell>
          <cell r="BB436">
            <v>0.1040464202382414</v>
          </cell>
        </row>
        <row r="437">
          <cell r="A437" t="str">
            <v>ROST2007</v>
          </cell>
          <cell r="B437" t="str">
            <v>ROST</v>
          </cell>
          <cell r="C437" t="str">
            <v>2007 (total revs.)</v>
          </cell>
          <cell r="D437">
            <v>19</v>
          </cell>
          <cell r="E437">
            <v>19</v>
          </cell>
          <cell r="F437">
            <v>5975.2120000000004</v>
          </cell>
          <cell r="G437">
            <v>5975.2120000000004</v>
          </cell>
          <cell r="H437">
            <v>0.01</v>
          </cell>
          <cell r="J437">
            <v>7.0472980707630153E-2</v>
          </cell>
          <cell r="L437">
            <v>301.58199999999999</v>
          </cell>
          <cell r="N437">
            <v>5.0472184083175622E-2</v>
          </cell>
          <cell r="P437">
            <v>5.0472184083175622E-2</v>
          </cell>
          <cell r="R437">
            <v>0.33</v>
          </cell>
          <cell r="S437">
            <v>401.10406</v>
          </cell>
          <cell r="T437">
            <v>99.52206000000001</v>
          </cell>
          <cell r="U437">
            <v>6.7128004830623575E-2</v>
          </cell>
          <cell r="W437">
            <v>6.7128004830623575E-2</v>
          </cell>
          <cell r="Y437">
            <v>-16.545971853103719</v>
          </cell>
          <cell r="AA437">
            <v>-16.545971853103719</v>
          </cell>
          <cell r="AC437">
            <v>843.5</v>
          </cell>
          <cell r="AE437">
            <v>24.838749999999997</v>
          </cell>
          <cell r="AG437">
            <v>29634.831460674159</v>
          </cell>
          <cell r="AH437">
            <v>0.59641969370138126</v>
          </cell>
          <cell r="AI437">
            <v>0.59641969370138126</v>
          </cell>
          <cell r="AK437">
            <v>0.47552348547717843</v>
          </cell>
          <cell r="AM437">
            <v>16.148319057923608</v>
          </cell>
          <cell r="AO437">
            <v>240.56009259725232</v>
          </cell>
          <cell r="AP437">
            <v>240.56009259725232</v>
          </cell>
          <cell r="AQ437" t="str">
            <v>+30% of reported min &amp; contin. rent given lower CAM for street/strip center stores vs. stores in enclosed malls. Estimate achieves lvg. at +3-4% comp.</v>
          </cell>
          <cell r="AR437">
            <v>8.0380178779640428</v>
          </cell>
          <cell r="BA437">
            <v>0.10514168126581569</v>
          </cell>
          <cell r="BB437">
            <v>0.10514168126581569</v>
          </cell>
        </row>
        <row r="438">
          <cell r="A438" t="str">
            <v>ROST2008</v>
          </cell>
          <cell r="B438" t="str">
            <v>ROST</v>
          </cell>
          <cell r="C438">
            <v>2008</v>
          </cell>
          <cell r="D438">
            <v>20</v>
          </cell>
          <cell r="E438">
            <v>20</v>
          </cell>
          <cell r="F438">
            <v>6486.1390000000001</v>
          </cell>
          <cell r="G438">
            <v>6486.1390000000001</v>
          </cell>
          <cell r="H438">
            <v>0.02</v>
          </cell>
          <cell r="J438">
            <v>7.6348348377979589E-2</v>
          </cell>
          <cell r="L438">
            <v>325.89999999999998</v>
          </cell>
          <cell r="N438">
            <v>5.0245608365778155E-2</v>
          </cell>
          <cell r="P438">
            <v>5.0245608365778155E-2</v>
          </cell>
          <cell r="R438">
            <v>0.32</v>
          </cell>
          <cell r="S438">
            <v>430.18799999999999</v>
          </cell>
          <cell r="T438">
            <v>104.28800000000001</v>
          </cell>
          <cell r="U438">
            <v>6.6324203042827171E-2</v>
          </cell>
          <cell r="W438">
            <v>6.6324203042827171E-2</v>
          </cell>
          <cell r="Y438">
            <v>8.0380178779640428</v>
          </cell>
          <cell r="AA438">
            <v>8.0380178779640428</v>
          </cell>
          <cell r="AC438">
            <v>923</v>
          </cell>
          <cell r="AE438">
            <v>27.25</v>
          </cell>
          <cell r="AG438">
            <v>29419.456066945604</v>
          </cell>
          <cell r="AH438">
            <v>0.67480804566801988</v>
          </cell>
          <cell r="AI438">
            <v>0.67480804566801988</v>
          </cell>
          <cell r="AK438">
            <v>0.4660758396533044</v>
          </cell>
          <cell r="AM438">
            <v>15.786715596330275</v>
          </cell>
          <cell r="AO438">
            <v>238.02344954128441</v>
          </cell>
          <cell r="AP438">
            <v>238.02344954128441</v>
          </cell>
          <cell r="AQ438" t="str">
            <v>+30% of reported min &amp; contin. rent given lower CAM for street/strip center stores vs. stores in enclosed malls. Estimate achieves lvg. at +3-4% comp.</v>
          </cell>
          <cell r="AR438">
            <v>44.969715840716958</v>
          </cell>
          <cell r="AS438">
            <v>9.4250148192057015E-2</v>
          </cell>
          <cell r="AU438">
            <v>53.007733718681003</v>
          </cell>
          <cell r="BA438">
            <v>9.7076141110160608E-2</v>
          </cell>
          <cell r="BB438">
            <v>9.7076141110160608E-2</v>
          </cell>
        </row>
        <row r="439">
          <cell r="A439" t="str">
            <v>ROST2009</v>
          </cell>
          <cell r="B439" t="str">
            <v>ROST</v>
          </cell>
          <cell r="C439">
            <v>2009</v>
          </cell>
          <cell r="D439">
            <v>21</v>
          </cell>
          <cell r="E439">
            <v>21</v>
          </cell>
          <cell r="F439">
            <v>7184.2129999999997</v>
          </cell>
          <cell r="G439">
            <v>7184.2129999999997</v>
          </cell>
          <cell r="H439">
            <v>0.06</v>
          </cell>
          <cell r="J439">
            <v>0.10107189193861588</v>
          </cell>
          <cell r="L439">
            <v>336.5</v>
          </cell>
          <cell r="N439">
            <v>4.6838811711178388E-2</v>
          </cell>
          <cell r="P439">
            <v>4.6838811711178388E-2</v>
          </cell>
          <cell r="R439">
            <v>0.32</v>
          </cell>
          <cell r="S439">
            <v>444.18</v>
          </cell>
          <cell r="U439">
            <v>6.1827231458755474E-2</v>
          </cell>
          <cell r="W439">
            <v>6.1827231458755474E-2</v>
          </cell>
          <cell r="Y439">
            <v>44.969715840716958</v>
          </cell>
          <cell r="AA439">
            <v>44.969715840716958</v>
          </cell>
          <cell r="AC439">
            <v>980.5</v>
          </cell>
          <cell r="AE439">
            <v>28.875</v>
          </cell>
          <cell r="AG439">
            <v>29477.611940298502</v>
          </cell>
          <cell r="AH439">
            <v>0.7986431216570512</v>
          </cell>
          <cell r="AI439">
            <v>0</v>
          </cell>
          <cell r="AK439">
            <v>0.45301376848546659</v>
          </cell>
          <cell r="AM439">
            <v>15.382857142857143</v>
          </cell>
          <cell r="AO439">
            <v>248.80391341991341</v>
          </cell>
          <cell r="AP439">
            <v>248.80391341991341</v>
          </cell>
          <cell r="AR439">
            <v>18.071452661060082</v>
          </cell>
          <cell r="AS439">
            <v>6.2296858071505978E-2</v>
          </cell>
          <cell r="AU439">
            <v>63.041168501777037</v>
          </cell>
          <cell r="BA439">
            <v>5.9633027522935755E-2</v>
          </cell>
          <cell r="BB439">
            <v>5.9633027522935755E-2</v>
          </cell>
          <cell r="BC439">
            <v>0</v>
          </cell>
        </row>
        <row r="440">
          <cell r="A440" t="str">
            <v>ROST2010</v>
          </cell>
          <cell r="B440" t="str">
            <v>ROST</v>
          </cell>
          <cell r="C440">
            <v>2010</v>
          </cell>
          <cell r="D440">
            <v>22</v>
          </cell>
          <cell r="E440">
            <v>22</v>
          </cell>
          <cell r="F440">
            <v>7866.1</v>
          </cell>
          <cell r="G440">
            <v>7866.1</v>
          </cell>
          <cell r="H440">
            <v>0.05</v>
          </cell>
          <cell r="J440">
            <v>0.11525279363343965</v>
          </cell>
          <cell r="L440">
            <v>360.4</v>
          </cell>
          <cell r="N440">
            <v>4.5816859689045392E-2</v>
          </cell>
          <cell r="P440">
            <v>4.5816859689045392E-2</v>
          </cell>
          <cell r="R440">
            <v>0.31</v>
          </cell>
          <cell r="S440">
            <v>472.12399999999997</v>
          </cell>
          <cell r="U440">
            <v>6.0020086192649466E-2</v>
          </cell>
          <cell r="W440">
            <v>6.0020086192649466E-2</v>
          </cell>
          <cell r="Y440">
            <v>18.071452661060082</v>
          </cell>
          <cell r="AA440">
            <v>18.071452661060082</v>
          </cell>
          <cell r="AC440">
            <v>1030</v>
          </cell>
          <cell r="AE440">
            <v>30.3125</v>
          </cell>
          <cell r="AG440">
            <v>29383.886255924172</v>
          </cell>
          <cell r="AH440">
            <v>0.90219844721245179</v>
          </cell>
          <cell r="AI440">
            <v>0</v>
          </cell>
          <cell r="AK440">
            <v>0.45837281553398057</v>
          </cell>
          <cell r="AM440">
            <v>15.575224742268039</v>
          </cell>
          <cell r="AO440">
            <v>259.50020618556704</v>
          </cell>
          <cell r="AP440">
            <v>259.50020618556704</v>
          </cell>
          <cell r="AR440">
            <v>24.569763953621663</v>
          </cell>
          <cell r="AS440">
            <v>5.048444671086183E-2</v>
          </cell>
          <cell r="BA440">
            <v>4.9783549783549708E-2</v>
          </cell>
          <cell r="BB440">
            <v>4.9783549783549708E-2</v>
          </cell>
        </row>
        <row r="441">
          <cell r="A441" t="str">
            <v>ROST2011</v>
          </cell>
          <cell r="B441" t="str">
            <v>ROST</v>
          </cell>
          <cell r="C441">
            <v>2011</v>
          </cell>
          <cell r="D441">
            <v>23</v>
          </cell>
          <cell r="E441">
            <v>23</v>
          </cell>
          <cell r="F441">
            <v>8608.2909999999993</v>
          </cell>
          <cell r="G441">
            <v>8608.2909999999993</v>
          </cell>
          <cell r="H441">
            <v>0.05</v>
          </cell>
          <cell r="J441">
            <v>0.12353973628447262</v>
          </cell>
          <cell r="L441">
            <v>380</v>
          </cell>
          <cell r="N441">
            <v>4.414348910834915E-2</v>
          </cell>
          <cell r="P441">
            <v>4.414348910834915E-2</v>
          </cell>
          <cell r="R441">
            <v>0.30399999999999999</v>
          </cell>
          <cell r="S441">
            <v>495.52000000000004</v>
          </cell>
          <cell r="U441">
            <v>5.75631097972873E-2</v>
          </cell>
          <cell r="W441">
            <v>5.75631097972873E-2</v>
          </cell>
          <cell r="Y441">
            <v>24.569763953621663</v>
          </cell>
          <cell r="AA441">
            <v>24.569763953621663</v>
          </cell>
          <cell r="AC441">
            <v>1090</v>
          </cell>
          <cell r="AE441">
            <v>31.976150000000001</v>
          </cell>
          <cell r="AG441">
            <v>29290.933333333334</v>
          </cell>
          <cell r="AH441" t="e">
            <v>#REF!</v>
          </cell>
          <cell r="AI441">
            <v>0</v>
          </cell>
          <cell r="AK441">
            <v>0.45460550458715598</v>
          </cell>
          <cell r="AM441">
            <v>15.496549772252132</v>
          </cell>
          <cell r="AO441">
            <v>269.20973913369806</v>
          </cell>
          <cell r="AP441">
            <v>269.20973913369806</v>
          </cell>
          <cell r="AR441">
            <v>30.211023114819906</v>
          </cell>
          <cell r="AS441">
            <v>5.8252427184465994E-2</v>
          </cell>
          <cell r="BA441">
            <v>5.4883298969072181E-2</v>
          </cell>
          <cell r="BB441">
            <v>5.4883298969072181E-2</v>
          </cell>
        </row>
        <row r="442">
          <cell r="A442" t="str">
            <v>ROST2012</v>
          </cell>
          <cell r="B442" t="str">
            <v>ROST</v>
          </cell>
          <cell r="C442">
            <v>2012</v>
          </cell>
          <cell r="D442">
            <v>24</v>
          </cell>
          <cell r="E442">
            <v>24</v>
          </cell>
          <cell r="F442">
            <v>9721.0650000000005</v>
          </cell>
          <cell r="G442">
            <v>9721.0650000000005</v>
          </cell>
          <cell r="H442">
            <v>0.06</v>
          </cell>
          <cell r="J442">
            <v>0.13082424610883689</v>
          </cell>
          <cell r="L442">
            <v>406.6</v>
          </cell>
          <cell r="N442">
            <v>4.1826692857212661E-2</v>
          </cell>
          <cell r="P442">
            <v>4.1826692857212661E-2</v>
          </cell>
          <cell r="R442">
            <v>0.30399999999999999</v>
          </cell>
          <cell r="S442">
            <v>530.20640000000003</v>
          </cell>
          <cell r="U442">
            <v>5.4542007485805309E-2</v>
          </cell>
          <cell r="W442">
            <v>5.4542007485805309E-2</v>
          </cell>
          <cell r="Y442">
            <v>30.211023114819906</v>
          </cell>
          <cell r="AA442">
            <v>30.211023114819906</v>
          </cell>
          <cell r="AC442">
            <v>1162</v>
          </cell>
          <cell r="AE442">
            <v>33.981400000000001</v>
          </cell>
          <cell r="AG442">
            <v>29199.749791492912</v>
          </cell>
          <cell r="AH442" t="e">
            <v>#REF!</v>
          </cell>
          <cell r="AI442">
            <v>0</v>
          </cell>
          <cell r="AK442">
            <v>0.45628777969018935</v>
          </cell>
          <cell r="AM442">
            <v>15.602841554497461</v>
          </cell>
          <cell r="AO442">
            <v>286.07017368325023</v>
          </cell>
          <cell r="AP442">
            <v>286.07017368325023</v>
          </cell>
          <cell r="AR442">
            <v>-8.9201321709712893</v>
          </cell>
          <cell r="AS442">
            <v>6.6055045871559637E-2</v>
          </cell>
          <cell r="BA442">
            <v>6.27108016443505E-2</v>
          </cell>
          <cell r="BB442">
            <v>6.27108016443505E-2</v>
          </cell>
        </row>
        <row r="443">
          <cell r="A443" t="str">
            <v>ROST2013</v>
          </cell>
          <cell r="B443" t="str">
            <v>ROST</v>
          </cell>
          <cell r="C443" t="str">
            <v>2013e</v>
          </cell>
          <cell r="D443">
            <v>25</v>
          </cell>
          <cell r="E443">
            <v>25</v>
          </cell>
          <cell r="F443">
            <v>10230.352999999999</v>
          </cell>
          <cell r="G443">
            <v>10230.352999999999</v>
          </cell>
          <cell r="H443">
            <v>0.03</v>
          </cell>
          <cell r="J443">
            <v>0.12931567538615835</v>
          </cell>
          <cell r="L443">
            <v>434.9</v>
          </cell>
          <cell r="N443">
            <v>4.2510752072777942E-2</v>
          </cell>
          <cell r="P443">
            <v>4.2510752072777942E-2</v>
          </cell>
          <cell r="R443">
            <v>0.30399999999999999</v>
          </cell>
          <cell r="S443">
            <v>567.1096</v>
          </cell>
          <cell r="U443">
            <v>5.5434020702902438E-2</v>
          </cell>
          <cell r="W443">
            <v>5.5434020702902438E-2</v>
          </cell>
          <cell r="Y443">
            <v>-8.9201321709712893</v>
          </cell>
          <cell r="AA443">
            <v>-8.9201321709712893</v>
          </cell>
          <cell r="AC443">
            <v>1237.5</v>
          </cell>
          <cell r="AE443">
            <v>36.047250000000005</v>
          </cell>
          <cell r="AG443">
            <v>29062.695924764892</v>
          </cell>
          <cell r="AH443" t="e">
            <v>#REF!</v>
          </cell>
          <cell r="AI443">
            <v>0</v>
          </cell>
          <cell r="AK443">
            <v>0.45827038383838387</v>
          </cell>
          <cell r="AM443">
            <v>15.732395675120847</v>
          </cell>
          <cell r="AO443">
            <v>283.80397949912953</v>
          </cell>
          <cell r="AP443">
            <v>283.80397949912953</v>
          </cell>
          <cell r="BA443">
            <v>6.0793551766554765E-2</v>
          </cell>
          <cell r="BB443">
            <v>6.0793551766554765E-2</v>
          </cell>
        </row>
        <row r="444">
          <cell r="C444" t="str">
            <v>2011 = Trough rent</v>
          </cell>
          <cell r="F444">
            <v>9721.0650000000005</v>
          </cell>
          <cell r="G444">
            <v>9721.0650000000005</v>
          </cell>
          <cell r="H444">
            <v>0.06</v>
          </cell>
          <cell r="J444">
            <v>0.13082424610883689</v>
          </cell>
          <cell r="L444">
            <v>406.6</v>
          </cell>
          <cell r="N444">
            <v>4.1826692857212661E-2</v>
          </cell>
          <cell r="P444">
            <v>4.1826692857212661E-2</v>
          </cell>
          <cell r="S444">
            <v>530.20640000000003</v>
          </cell>
          <cell r="U444">
            <v>5.4542007485805309E-2</v>
          </cell>
          <cell r="W444">
            <v>5.4542007485805309E-2</v>
          </cell>
          <cell r="Z444">
            <v>0</v>
          </cell>
          <cell r="AB444">
            <v>0</v>
          </cell>
          <cell r="AC444">
            <v>1162</v>
          </cell>
          <cell r="AE444">
            <v>33.981400000000001</v>
          </cell>
          <cell r="AG444">
            <v>29199.749791492912</v>
          </cell>
          <cell r="AH444">
            <v>0.63552625214353453</v>
          </cell>
          <cell r="AI444">
            <v>0.63552625214353453</v>
          </cell>
          <cell r="AK444">
            <v>0.45628777969018935</v>
          </cell>
          <cell r="AM444">
            <v>15.602841554497461</v>
          </cell>
          <cell r="AO444">
            <v>286.07017368325023</v>
          </cell>
          <cell r="AP444">
            <v>286.07017368325023</v>
          </cell>
          <cell r="AR444">
            <v>-2.9752354170221013E-2</v>
          </cell>
          <cell r="AS444" t="str">
            <v>Minimum rentals include rent expense on DC's, HQ, and stores.</v>
          </cell>
        </row>
        <row r="446">
          <cell r="AI446">
            <v>0</v>
          </cell>
        </row>
        <row r="447">
          <cell r="C447">
            <v>1998</v>
          </cell>
          <cell r="D447">
            <v>10</v>
          </cell>
          <cell r="E447">
            <v>10</v>
          </cell>
          <cell r="F447">
            <v>7948.8710000000001</v>
          </cell>
          <cell r="G447">
            <v>7948.8710000000001</v>
          </cell>
          <cell r="H447">
            <v>4.6106199232570262E-2</v>
          </cell>
          <cell r="J447">
            <v>8.8716749837807252E-2</v>
          </cell>
          <cell r="L447">
            <v>318.10000000000002</v>
          </cell>
          <cell r="N447">
            <v>4.0018261712889795E-2</v>
          </cell>
          <cell r="P447">
            <v>4.0018261712889795E-2</v>
          </cell>
          <cell r="S447">
            <v>423.07300000000004</v>
          </cell>
          <cell r="U447">
            <v>5.3224288078143431E-2</v>
          </cell>
          <cell r="W447">
            <v>5.3224288078143431E-2</v>
          </cell>
          <cell r="AC447">
            <v>1208.5</v>
          </cell>
          <cell r="AE447">
            <v>36.0715</v>
          </cell>
          <cell r="AG447">
            <v>29796.147672552172</v>
          </cell>
          <cell r="AH447">
            <v>0.63228040141991204</v>
          </cell>
          <cell r="AI447">
            <v>0</v>
          </cell>
          <cell r="AK447">
            <v>0.35008109226313616</v>
          </cell>
          <cell r="AM447">
            <v>11.728733210429287</v>
          </cell>
          <cell r="AO447">
            <v>220.36430422910053</v>
          </cell>
          <cell r="AP447">
            <v>220.36430422910053</v>
          </cell>
        </row>
        <row r="448">
          <cell r="A448" t="str">
            <v>TJX1999</v>
          </cell>
          <cell r="C448">
            <v>1999</v>
          </cell>
          <cell r="D448">
            <v>11</v>
          </cell>
          <cell r="E448">
            <v>11</v>
          </cell>
          <cell r="F448">
            <v>8795.3469999999998</v>
          </cell>
          <cell r="G448">
            <v>8795.3469999999998</v>
          </cell>
          <cell r="H448">
            <v>0.05</v>
          </cell>
          <cell r="J448">
            <v>9.79247322476305E-2</v>
          </cell>
          <cell r="L448">
            <v>352.6</v>
          </cell>
          <cell r="N448">
            <v>4.0089379077368981E-2</v>
          </cell>
          <cell r="P448">
            <v>4.0089379077368981E-2</v>
          </cell>
          <cell r="S448">
            <v>468.95800000000008</v>
          </cell>
          <cell r="U448">
            <v>5.3318874172900751E-2</v>
          </cell>
          <cell r="W448">
            <v>5.3318874172900751E-2</v>
          </cell>
          <cell r="AC448">
            <v>1301.5</v>
          </cell>
          <cell r="AE448">
            <v>38.645500000000006</v>
          </cell>
          <cell r="AG448">
            <v>29598.378776713344</v>
          </cell>
          <cell r="AH448">
            <v>0.79164037880162208</v>
          </cell>
          <cell r="AI448">
            <v>0</v>
          </cell>
          <cell r="AK448">
            <v>0.36032116788321172</v>
          </cell>
          <cell r="AM448">
            <v>12.134866931466794</v>
          </cell>
          <cell r="AO448">
            <v>227.59045684491076</v>
          </cell>
          <cell r="AP448">
            <v>227.59045684491076</v>
          </cell>
        </row>
        <row r="449">
          <cell r="C449">
            <v>2000</v>
          </cell>
          <cell r="D449">
            <v>12</v>
          </cell>
          <cell r="E449">
            <v>12</v>
          </cell>
          <cell r="F449">
            <v>9579.0059999999994</v>
          </cell>
          <cell r="G449">
            <v>9579.0059999999994</v>
          </cell>
          <cell r="H449">
            <v>0.02</v>
          </cell>
          <cell r="J449">
            <v>9.2686652456423935E-2</v>
          </cell>
          <cell r="L449">
            <v>390.6</v>
          </cell>
          <cell r="N449">
            <v>4.077667348783371E-2</v>
          </cell>
          <cell r="P449">
            <v>4.077667348783371E-2</v>
          </cell>
          <cell r="S449">
            <v>519.49800000000005</v>
          </cell>
          <cell r="U449">
            <v>5.4232975738818835E-2</v>
          </cell>
          <cell r="W449">
            <v>5.4232975738818835E-2</v>
          </cell>
          <cell r="AC449">
            <v>1425</v>
          </cell>
          <cell r="AE449">
            <v>42.072000000000003</v>
          </cell>
          <cell r="AG449">
            <v>29456.798392498324</v>
          </cell>
          <cell r="AH449">
            <v>0.77933046885793966</v>
          </cell>
          <cell r="AI449">
            <v>0</v>
          </cell>
          <cell r="AK449">
            <v>0.36456000000000005</v>
          </cell>
          <cell r="AM449">
            <v>12.347832287507131</v>
          </cell>
          <cell r="AO449">
            <v>227.68126069594976</v>
          </cell>
          <cell r="AP449">
            <v>227.68126069594976</v>
          </cell>
        </row>
        <row r="450">
          <cell r="C450">
            <v>2001</v>
          </cell>
          <cell r="D450">
            <v>13</v>
          </cell>
          <cell r="E450">
            <v>13</v>
          </cell>
          <cell r="F450">
            <v>10708.998</v>
          </cell>
          <cell r="G450">
            <v>10708.998</v>
          </cell>
          <cell r="H450">
            <v>0.03</v>
          </cell>
          <cell r="J450">
            <v>8.4012248391492766E-2</v>
          </cell>
          <cell r="L450">
            <v>446.6</v>
          </cell>
          <cell r="N450">
            <v>4.1703248053646107E-2</v>
          </cell>
          <cell r="P450">
            <v>4.1703248053646107E-2</v>
          </cell>
          <cell r="S450">
            <v>593.97800000000007</v>
          </cell>
          <cell r="U450">
            <v>5.5465319911349321E-2</v>
          </cell>
          <cell r="W450">
            <v>5.5465319911349321E-2</v>
          </cell>
          <cell r="AC450">
            <v>1579</v>
          </cell>
          <cell r="AE450">
            <v>46.483999999999995</v>
          </cell>
          <cell r="AG450">
            <v>29422.822822822822</v>
          </cell>
          <cell r="AH450">
            <v>0.83882218851875856</v>
          </cell>
          <cell r="AI450">
            <v>0</v>
          </cell>
          <cell r="AK450">
            <v>0.37617352754908173</v>
          </cell>
          <cell r="AM450">
            <v>12.778117201617764</v>
          </cell>
          <cell r="AO450">
            <v>230.38030289992258</v>
          </cell>
          <cell r="AP450">
            <v>230.38030289992258</v>
          </cell>
          <cell r="AS450" t="str">
            <v>Minimum rentals as reported in footnote D is net of sublease income (less than</v>
          </cell>
        </row>
        <row r="451">
          <cell r="C451">
            <v>2002</v>
          </cell>
          <cell r="D451">
            <v>14</v>
          </cell>
          <cell r="E451">
            <v>14</v>
          </cell>
          <cell r="F451">
            <v>11981.206999999999</v>
          </cell>
          <cell r="G451">
            <v>11981.206999999999</v>
          </cell>
          <cell r="H451">
            <v>0.03</v>
          </cell>
          <cell r="J451">
            <v>8.0383971331102005E-2</v>
          </cell>
          <cell r="L451">
            <v>524.70000000000005</v>
          </cell>
          <cell r="N451">
            <v>4.3793584402639911E-2</v>
          </cell>
          <cell r="P451">
            <v>4.3793584402639911E-2</v>
          </cell>
          <cell r="S451">
            <v>697.85100000000011</v>
          </cell>
          <cell r="T451">
            <v>173.15100000000007</v>
          </cell>
          <cell r="U451">
            <v>5.8245467255511087E-2</v>
          </cell>
          <cell r="W451">
            <v>5.8245467255511087E-2</v>
          </cell>
          <cell r="AC451">
            <v>1754</v>
          </cell>
          <cell r="AE451">
            <v>51.407499999999999</v>
          </cell>
          <cell r="AG451">
            <v>29205.642973412912</v>
          </cell>
          <cell r="AH451">
            <v>0.83836550223034645</v>
          </cell>
          <cell r="AI451">
            <v>0</v>
          </cell>
          <cell r="AK451">
            <v>0.39786259977194988</v>
          </cell>
          <cell r="AM451">
            <v>13.574886932840542</v>
          </cell>
          <cell r="AO451">
            <v>233.06340514516361</v>
          </cell>
          <cell r="AP451">
            <v>233.06340514516361</v>
          </cell>
          <cell r="AS451" t="str">
            <v>1% of expense) and do not include CAM, RE taxes, insurance, or other landlord</v>
          </cell>
        </row>
        <row r="452">
          <cell r="C452">
            <v>2003</v>
          </cell>
          <cell r="D452">
            <v>15</v>
          </cell>
          <cell r="E452">
            <v>15</v>
          </cell>
          <cell r="F452">
            <v>13327.938</v>
          </cell>
          <cell r="G452">
            <v>13327.938</v>
          </cell>
          <cell r="H452">
            <v>0.01</v>
          </cell>
          <cell r="J452">
            <v>7.6080035786481051E-2</v>
          </cell>
          <cell r="L452">
            <v>597.79999999999995</v>
          </cell>
          <cell r="N452">
            <v>4.4853149827077526E-2</v>
          </cell>
          <cell r="P452">
            <v>4.4853149827077526E-2</v>
          </cell>
          <cell r="S452">
            <v>795.07399999999996</v>
          </cell>
          <cell r="T452">
            <v>197.274</v>
          </cell>
          <cell r="U452">
            <v>5.9654689270013106E-2</v>
          </cell>
          <cell r="W452">
            <v>5.9654689270013106E-2</v>
          </cell>
          <cell r="AC452">
            <v>1952.5</v>
          </cell>
          <cell r="AE452">
            <v>57.158000000000001</v>
          </cell>
          <cell r="AG452">
            <v>29335.596508244424</v>
          </cell>
          <cell r="AH452">
            <v>0.91545325255251775</v>
          </cell>
          <cell r="AI452">
            <v>0</v>
          </cell>
          <cell r="AK452">
            <v>0.40720819462227908</v>
          </cell>
          <cell r="AM452">
            <v>13.910108821162391</v>
          </cell>
          <cell r="AO452">
            <v>233.17712306238846</v>
          </cell>
          <cell r="AP452">
            <v>233.17712306238846</v>
          </cell>
          <cell r="AS452" t="str">
            <v xml:space="preserve">passthrus. Estimate 30% for these costs given lower cost of operating in a strip </v>
          </cell>
        </row>
        <row r="453">
          <cell r="C453">
            <v>2004</v>
          </cell>
          <cell r="D453">
            <v>16</v>
          </cell>
          <cell r="E453">
            <v>16</v>
          </cell>
          <cell r="F453">
            <v>14913.483</v>
          </cell>
          <cell r="G453">
            <v>14913.483</v>
          </cell>
          <cell r="H453">
            <v>0.05</v>
          </cell>
          <cell r="J453">
            <v>6.8039639029997254E-2</v>
          </cell>
          <cell r="L453">
            <v>713.3</v>
          </cell>
          <cell r="N453">
            <v>4.7829202608136542E-2</v>
          </cell>
          <cell r="P453">
            <v>4.7829202608136542E-2</v>
          </cell>
          <cell r="S453">
            <v>948.68899999999996</v>
          </cell>
          <cell r="T453">
            <v>235.38900000000001</v>
          </cell>
          <cell r="U453">
            <v>6.3612839468821597E-2</v>
          </cell>
          <cell r="W453">
            <v>6.3612839468821597E-2</v>
          </cell>
          <cell r="AC453">
            <v>2143</v>
          </cell>
          <cell r="AE453">
            <v>62.599717339192452</v>
          </cell>
          <cell r="AG453">
            <v>29095.96883020904</v>
          </cell>
          <cell r="AH453">
            <v>0.72437520260648536</v>
          </cell>
          <cell r="AI453">
            <v>0</v>
          </cell>
          <cell r="AK453">
            <v>0.44269202053196449</v>
          </cell>
          <cell r="AM453">
            <v>15.154844787231083</v>
          </cell>
          <cell r="AO453">
            <v>238.23562843250988</v>
          </cell>
          <cell r="AP453">
            <v>238.23562843250988</v>
          </cell>
          <cell r="AT453" t="str">
            <v>Adjusted Rent Expense Increase Assumption</v>
          </cell>
        </row>
        <row r="454">
          <cell r="A454" t="str">
            <v>TJXold</v>
          </cell>
          <cell r="B454" t="str">
            <v>TJX</v>
          </cell>
          <cell r="C454" t="str">
            <v>2005 (total revs.)</v>
          </cell>
          <cell r="D454">
            <v>17</v>
          </cell>
          <cell r="E454">
            <v>17</v>
          </cell>
          <cell r="F454">
            <v>16057.935000000001</v>
          </cell>
          <cell r="G454">
            <v>16057.935000000001</v>
          </cell>
          <cell r="H454">
            <v>0.02</v>
          </cell>
          <cell r="J454">
            <v>6.4700660452293626E-2</v>
          </cell>
          <cell r="L454">
            <v>774.9</v>
          </cell>
          <cell r="N454">
            <v>4.8256516170977148E-2</v>
          </cell>
          <cell r="P454">
            <v>4.8256516170977148E-2</v>
          </cell>
          <cell r="R454">
            <v>0.33</v>
          </cell>
          <cell r="S454">
            <v>1030.617</v>
          </cell>
          <cell r="T454">
            <v>255.71699999999998</v>
          </cell>
          <cell r="U454">
            <v>6.4181166507399606E-2</v>
          </cell>
          <cell r="W454">
            <v>6.4181166507399606E-2</v>
          </cell>
          <cell r="Y454">
            <v>-5.6832703857800926</v>
          </cell>
          <cell r="AA454">
            <v>-5.6832703857800926</v>
          </cell>
          <cell r="AC454">
            <v>2302.5</v>
          </cell>
          <cell r="AE454">
            <v>67.642217339192456</v>
          </cell>
          <cell r="AG454">
            <v>29640.907181856372</v>
          </cell>
          <cell r="AH454">
            <v>0.70438701131550097</v>
          </cell>
          <cell r="AI454">
            <v>0.70438701131550097</v>
          </cell>
          <cell r="AK454">
            <v>0.44760781758957652</v>
          </cell>
          <cell r="AM454">
            <v>15.236298284427351</v>
          </cell>
          <cell r="AO454">
            <v>237.39515988184351</v>
          </cell>
          <cell r="AP454">
            <v>237.39515988184351</v>
          </cell>
          <cell r="AQ454" t="str">
            <v>Added 33% of reported minimum &amp; cont. rent given lower CAM for street or strip center stores vs. stores in enclosed shopping malls</v>
          </cell>
          <cell r="AS454" t="str">
            <v>2005-10K</v>
          </cell>
          <cell r="BA454">
            <v>8.0551481928864854E-2</v>
          </cell>
          <cell r="BB454">
            <v>8.0551481928864854E-2</v>
          </cell>
        </row>
        <row r="455">
          <cell r="A455" t="str">
            <v>TJX2006</v>
          </cell>
          <cell r="B455" t="str">
            <v>TJX</v>
          </cell>
          <cell r="C455" t="str">
            <v>2006 (total revs.)</v>
          </cell>
          <cell r="D455">
            <v>18</v>
          </cell>
          <cell r="E455">
            <v>18</v>
          </cell>
          <cell r="F455">
            <v>17404.637000000002</v>
          </cell>
          <cell r="G455">
            <v>17404.637000000002</v>
          </cell>
          <cell r="H455">
            <v>0.03</v>
          </cell>
          <cell r="J455">
            <v>7.2818180580267233E-2</v>
          </cell>
          <cell r="L455">
            <v>837.6</v>
          </cell>
          <cell r="N455">
            <v>4.8125105970322733E-2</v>
          </cell>
          <cell r="P455">
            <v>4.8125105970322733E-2</v>
          </cell>
          <cell r="S455">
            <v>837.6</v>
          </cell>
          <cell r="T455">
            <v>0</v>
          </cell>
          <cell r="U455">
            <v>4.8125105970322733E-2</v>
          </cell>
          <cell r="W455">
            <v>4.8125105970322733E-2</v>
          </cell>
          <cell r="Y455">
            <v>160.56060537076874</v>
          </cell>
          <cell r="AA455">
            <v>160.56060537076874</v>
          </cell>
          <cell r="AC455">
            <v>2423.5</v>
          </cell>
          <cell r="AE455">
            <v>72.137500000000003</v>
          </cell>
          <cell r="AG455">
            <v>29886.455798864554</v>
          </cell>
          <cell r="AH455">
            <v>0.81053008980455465</v>
          </cell>
          <cell r="AI455">
            <v>0.81053008980455465</v>
          </cell>
          <cell r="AK455">
            <v>0.34561584485248609</v>
          </cell>
          <cell r="AM455">
            <v>11.611159244498353</v>
          </cell>
          <cell r="AO455">
            <v>241.27031017154741</v>
          </cell>
          <cell r="AP455">
            <v>241.27031017154741</v>
          </cell>
          <cell r="AR455" t="str">
            <v>DE-LVG</v>
          </cell>
          <cell r="BA455">
            <v>6.6456760846054452E-2</v>
          </cell>
          <cell r="BB455">
            <v>6.6456760846054452E-2</v>
          </cell>
        </row>
        <row r="456">
          <cell r="A456" t="str">
            <v>TJX2007</v>
          </cell>
          <cell r="B456" t="str">
            <v>TJX</v>
          </cell>
          <cell r="C456" t="str">
            <v>2007 (total revs.)</v>
          </cell>
          <cell r="D456">
            <v>19</v>
          </cell>
          <cell r="E456">
            <v>19</v>
          </cell>
          <cell r="F456">
            <v>18471.973000000002</v>
          </cell>
          <cell r="G456">
            <v>18471.973000000002</v>
          </cell>
          <cell r="H456">
            <v>0.02</v>
          </cell>
          <cell r="J456">
            <v>7.8795643540622337E-2</v>
          </cell>
          <cell r="L456">
            <v>896.6</v>
          </cell>
          <cell r="N456">
            <v>4.8538399227846418E-2</v>
          </cell>
          <cell r="P456">
            <v>4.8538399227846418E-2</v>
          </cell>
          <cell r="R456">
            <v>0.33</v>
          </cell>
          <cell r="S456">
            <v>1192.4780000000001</v>
          </cell>
          <cell r="T456">
            <v>295.87800000000004</v>
          </cell>
          <cell r="U456">
            <v>6.4556070973035742E-2</v>
          </cell>
          <cell r="W456">
            <v>6.4556070973035742E-2</v>
          </cell>
          <cell r="Y456">
            <v>-164.30965002713009</v>
          </cell>
          <cell r="AA456">
            <v>-164.30965002713009</v>
          </cell>
          <cell r="AC456">
            <v>2514.5</v>
          </cell>
          <cell r="AE456">
            <v>74.97</v>
          </cell>
          <cell r="AG456">
            <v>29746.390948107692</v>
          </cell>
          <cell r="AH456">
            <v>1.0524512778565702</v>
          </cell>
          <cell r="AI456">
            <v>1.0524512778565702</v>
          </cell>
          <cell r="AK456">
            <v>0.47424060449393518</v>
          </cell>
          <cell r="AM456">
            <v>15.906069094304389</v>
          </cell>
          <cell r="AO456">
            <v>246.39152994531148</v>
          </cell>
          <cell r="AP456">
            <v>246.39152994531148</v>
          </cell>
          <cell r="AQ456" t="str">
            <v>Added 33% of reported minimum &amp; cont. rent given lower CAM for street or strip center stores vs. stores in enclosed shopping malls. We estimate occupancy neutral at +3% comp.</v>
          </cell>
          <cell r="AR456">
            <v>-10.076371340965313</v>
          </cell>
          <cell r="BA456">
            <v>3.9265291977127026E-2</v>
          </cell>
          <cell r="BB456">
            <v>3.9265291977127026E-2</v>
          </cell>
        </row>
        <row r="457">
          <cell r="A457" t="str">
            <v>TJX2008</v>
          </cell>
          <cell r="B457" t="str">
            <v>TJX</v>
          </cell>
          <cell r="C457">
            <v>2008</v>
          </cell>
          <cell r="D457">
            <v>20</v>
          </cell>
          <cell r="E457">
            <v>20</v>
          </cell>
          <cell r="F457">
            <v>18999.504999999997</v>
          </cell>
          <cell r="G457">
            <v>18999.504999999997</v>
          </cell>
          <cell r="H457">
            <v>0.01</v>
          </cell>
          <cell r="J457">
            <v>7.551412523642044E-2</v>
          </cell>
          <cell r="L457">
            <v>936.6</v>
          </cell>
          <cell r="N457">
            <v>4.9296021133182162E-2</v>
          </cell>
          <cell r="P457">
            <v>4.9296021133182162E-2</v>
          </cell>
          <cell r="R457">
            <v>0.33</v>
          </cell>
          <cell r="S457">
            <v>1245.6780000000001</v>
          </cell>
          <cell r="T457">
            <v>309.07800000000009</v>
          </cell>
          <cell r="U457">
            <v>6.5563708107132274E-2</v>
          </cell>
          <cell r="W457">
            <v>6.5563708107132274E-2</v>
          </cell>
          <cell r="Y457">
            <v>-10.076371340965313</v>
          </cell>
          <cell r="AA457">
            <v>-10.076371340965313</v>
          </cell>
          <cell r="AC457">
            <v>2607.5</v>
          </cell>
          <cell r="AE457">
            <v>77.12</v>
          </cell>
          <cell r="AG457">
            <v>29411.764705882353</v>
          </cell>
          <cell r="AH457">
            <v>0.64713087936605551</v>
          </cell>
          <cell r="AI457">
            <v>0.64713087936605551</v>
          </cell>
          <cell r="AK457">
            <v>0.47772885906040274</v>
          </cell>
          <cell r="AM457">
            <v>16.152463692946057</v>
          </cell>
          <cell r="AO457">
            <v>246.36287603734436</v>
          </cell>
          <cell r="AP457">
            <v>246.36287603734436</v>
          </cell>
          <cell r="AQ457" t="str">
            <v>Added 33% of reported minimum &amp; cont. rent given lower CAM for street or strip center stores vs. stores in enclosed shopping malls. We estimate occupancy neutral at +3% comp.</v>
          </cell>
          <cell r="AR457">
            <v>25.002223119672955</v>
          </cell>
          <cell r="AS457">
            <v>3.6985484191688123E-2</v>
          </cell>
          <cell r="AU457">
            <v>14.925851778707642</v>
          </cell>
          <cell r="BA457">
            <v>2.8678137921835489E-2</v>
          </cell>
          <cell r="BB457">
            <v>2.8678137921835489E-2</v>
          </cell>
        </row>
        <row r="458">
          <cell r="A458" t="str">
            <v>TJX2009</v>
          </cell>
          <cell r="B458" t="str">
            <v>TJX</v>
          </cell>
          <cell r="C458">
            <v>2009</v>
          </cell>
          <cell r="D458">
            <v>21</v>
          </cell>
          <cell r="E458">
            <v>21</v>
          </cell>
          <cell r="F458">
            <v>20288.444</v>
          </cell>
          <cell r="G458">
            <v>20288.444</v>
          </cell>
          <cell r="H458">
            <v>0.06</v>
          </cell>
          <cell r="J458">
            <v>9.8138181518503828E-2</v>
          </cell>
          <cell r="L458">
            <v>962</v>
          </cell>
          <cell r="N458">
            <v>4.7416154733206747E-2</v>
          </cell>
          <cell r="P458">
            <v>4.7416154733206747E-2</v>
          </cell>
          <cell r="R458">
            <v>0.33</v>
          </cell>
          <cell r="S458">
            <v>1279.46</v>
          </cell>
          <cell r="U458">
            <v>6.3063485795164978E-2</v>
          </cell>
          <cell r="W458">
            <v>6.3063485795164978E-2</v>
          </cell>
          <cell r="Y458">
            <v>25.002223119672955</v>
          </cell>
          <cell r="AA458">
            <v>25.002223119672955</v>
          </cell>
          <cell r="AC458">
            <v>2697.5</v>
          </cell>
          <cell r="AE458">
            <v>79.349999999999994</v>
          </cell>
          <cell r="AG458">
            <v>29420.342690484871</v>
          </cell>
          <cell r="AH458">
            <v>0.27115330319976505</v>
          </cell>
          <cell r="AI458">
            <v>0</v>
          </cell>
          <cell r="AK458">
            <v>0.47431325301204819</v>
          </cell>
          <cell r="AM458">
            <v>16.124259609325772</v>
          </cell>
          <cell r="AO458">
            <v>255.68297416509137</v>
          </cell>
          <cell r="AP458">
            <v>255.68297416509137</v>
          </cell>
          <cell r="AR458">
            <v>-2.5858899407142646</v>
          </cell>
          <cell r="AS458">
            <v>3.4515819750719157E-2</v>
          </cell>
          <cell r="AU458">
            <v>22.416333178958691</v>
          </cell>
          <cell r="BA458">
            <v>2.8915975103734226E-2</v>
          </cell>
          <cell r="BB458">
            <v>2.8915975103734226E-2</v>
          </cell>
          <cell r="BC458">
            <v>0</v>
          </cell>
        </row>
        <row r="459">
          <cell r="A459" t="str">
            <v>TJX2010</v>
          </cell>
          <cell r="B459" t="str">
            <v>TJX</v>
          </cell>
          <cell r="C459">
            <v>2010</v>
          </cell>
          <cell r="D459">
            <v>22</v>
          </cell>
          <cell r="E459">
            <v>22</v>
          </cell>
          <cell r="F459">
            <v>21663.250999999997</v>
          </cell>
          <cell r="G459">
            <v>21663.250999999997</v>
          </cell>
          <cell r="H459">
            <v>0.04</v>
          </cell>
          <cell r="J459">
            <v>0.10767252800606876</v>
          </cell>
          <cell r="L459">
            <v>1031.4000000000001</v>
          </cell>
          <cell r="N459">
            <v>4.7610582548298051E-2</v>
          </cell>
          <cell r="P459">
            <v>4.7610582548298051E-2</v>
          </cell>
          <cell r="R459">
            <v>0.33</v>
          </cell>
          <cell r="S459">
            <v>1371.7620000000002</v>
          </cell>
          <cell r="U459">
            <v>6.3322074789236404E-2</v>
          </cell>
          <cell r="W459">
            <v>6.3322074789236404E-2</v>
          </cell>
          <cell r="Y459">
            <v>-2.5858899407142646</v>
          </cell>
          <cell r="AA459">
            <v>-2.5858899407142646</v>
          </cell>
          <cell r="AC459">
            <v>2801</v>
          </cell>
          <cell r="AE459">
            <v>82.4</v>
          </cell>
          <cell r="AG459">
            <v>29415.879678209163</v>
          </cell>
          <cell r="AH459">
            <v>0.72229463047866593</v>
          </cell>
          <cell r="AI459">
            <v>0</v>
          </cell>
          <cell r="AK459">
            <v>0.4897400928239915</v>
          </cell>
          <cell r="AM459">
            <v>16.647597087378642</v>
          </cell>
          <cell r="AO459">
            <v>262.90353155339801</v>
          </cell>
          <cell r="AP459">
            <v>262.90353155339801</v>
          </cell>
          <cell r="AR459">
            <v>10.16582641933557</v>
          </cell>
          <cell r="AS459">
            <v>3.8368860055607135E-2</v>
          </cell>
          <cell r="BA459">
            <v>3.843730308758686E-2</v>
          </cell>
          <cell r="BB459">
            <v>3.843730308758686E-2</v>
          </cell>
          <cell r="BC459">
            <v>0</v>
          </cell>
        </row>
        <row r="460">
          <cell r="A460" t="str">
            <v>TJX2011</v>
          </cell>
          <cell r="B460" t="str">
            <v>TJX</v>
          </cell>
          <cell r="C460">
            <v>2011</v>
          </cell>
          <cell r="D460">
            <v>23</v>
          </cell>
          <cell r="E460">
            <v>23</v>
          </cell>
          <cell r="F460">
            <v>23182.226000000002</v>
          </cell>
          <cell r="G460">
            <v>23182.226000000002</v>
          </cell>
          <cell r="H460">
            <v>0.04</v>
          </cell>
          <cell r="J460">
            <v>0.108524220236659</v>
          </cell>
          <cell r="L460">
            <v>1086</v>
          </cell>
          <cell r="N460">
            <v>4.6846234697220185E-2</v>
          </cell>
          <cell r="P460">
            <v>4.6846234697220185E-2</v>
          </cell>
          <cell r="R460">
            <v>0.33</v>
          </cell>
          <cell r="S460">
            <v>1444.38</v>
          </cell>
          <cell r="U460">
            <v>6.2305492147302848E-2</v>
          </cell>
          <cell r="W460">
            <v>6.2305492147302848E-2</v>
          </cell>
          <cell r="Y460">
            <v>10.16582641933557</v>
          </cell>
          <cell r="AA460">
            <v>10.16582641933557</v>
          </cell>
          <cell r="AC460">
            <v>2882</v>
          </cell>
          <cell r="AE460">
            <v>84.699999999999989</v>
          </cell>
          <cell r="AG460">
            <v>29363.166953528398</v>
          </cell>
          <cell r="AH460" t="e">
            <v>#REF!</v>
          </cell>
          <cell r="AI460">
            <v>0</v>
          </cell>
          <cell r="AK460">
            <v>0.50117279666897996</v>
          </cell>
          <cell r="AM460">
            <v>17.052892561983473</v>
          </cell>
          <cell r="AO460">
            <v>273.69806375442744</v>
          </cell>
          <cell r="AP460">
            <v>273.69806375442744</v>
          </cell>
          <cell r="AR460">
            <v>20.91967123394857</v>
          </cell>
          <cell r="AS460">
            <v>2.8918243484469919E-2</v>
          </cell>
          <cell r="BA460">
            <v>2.7912621359223122E-2</v>
          </cell>
          <cell r="BB460">
            <v>2.7912621359223122E-2</v>
          </cell>
        </row>
        <row r="461">
          <cell r="A461" t="str">
            <v>TJX2012</v>
          </cell>
          <cell r="B461" t="str">
            <v>TJX</v>
          </cell>
          <cell r="C461">
            <v>2012</v>
          </cell>
          <cell r="D461">
            <v>24</v>
          </cell>
          <cell r="E461">
            <v>24</v>
          </cell>
          <cell r="F461">
            <v>25878.372000000003</v>
          </cell>
          <cell r="G461">
            <v>25878.372000000003</v>
          </cell>
          <cell r="H461">
            <v>7.0000000000000007E-2</v>
          </cell>
          <cell r="J461">
            <v>0.12004333193757324</v>
          </cell>
          <cell r="L461">
            <v>1171.5999999999999</v>
          </cell>
          <cell r="N461">
            <v>4.5273327085645097E-2</v>
          </cell>
          <cell r="P461">
            <v>4.5273327085645097E-2</v>
          </cell>
          <cell r="R461">
            <v>0.33</v>
          </cell>
          <cell r="S461">
            <v>1558.2280000000001</v>
          </cell>
          <cell r="U461">
            <v>6.0213525023907991E-2</v>
          </cell>
          <cell r="W461">
            <v>6.0213525023907991E-2</v>
          </cell>
          <cell r="Y461">
            <v>20.91967123394857</v>
          </cell>
          <cell r="AA461">
            <v>20.91967123394857</v>
          </cell>
          <cell r="AC461">
            <v>2977.5</v>
          </cell>
          <cell r="AE461">
            <v>87.199999999999989</v>
          </cell>
          <cell r="AG461">
            <v>29213.114754098358</v>
          </cell>
          <cell r="AH461" t="e">
            <v>#REF!</v>
          </cell>
          <cell r="AI461">
            <v>0</v>
          </cell>
          <cell r="AK461">
            <v>0.52333434089000841</v>
          </cell>
          <cell r="AM461">
            <v>17.869587155963305</v>
          </cell>
          <cell r="AO461">
            <v>296.7703211009175</v>
          </cell>
          <cell r="AP461">
            <v>296.7703211009175</v>
          </cell>
          <cell r="AR461">
            <v>1.6085915910753201</v>
          </cell>
          <cell r="AS461">
            <v>3.3136710617626575E-2</v>
          </cell>
          <cell r="BA461">
            <v>2.9515938606847758E-2</v>
          </cell>
          <cell r="BB461">
            <v>2.9515938606847758E-2</v>
          </cell>
        </row>
        <row r="462">
          <cell r="A462" t="str">
            <v>TJX2013</v>
          </cell>
          <cell r="B462" t="str">
            <v>TJX</v>
          </cell>
          <cell r="C462" t="str">
            <v>2013e</v>
          </cell>
          <cell r="D462">
            <v>25</v>
          </cell>
          <cell r="E462">
            <v>25</v>
          </cell>
          <cell r="F462">
            <v>27422.696</v>
          </cell>
          <cell r="G462">
            <v>27422.696</v>
          </cell>
          <cell r="H462">
            <v>0.03</v>
          </cell>
          <cell r="J462">
            <v>0.12218237039859245</v>
          </cell>
          <cell r="L462">
            <v>1238.2</v>
          </cell>
          <cell r="N462">
            <v>4.5152380349474032E-2</v>
          </cell>
          <cell r="P462">
            <v>4.5152380349474032E-2</v>
          </cell>
          <cell r="R462">
            <v>0.33</v>
          </cell>
          <cell r="S462">
            <v>1646.806</v>
          </cell>
          <cell r="U462">
            <v>6.0052665864800459E-2</v>
          </cell>
          <cell r="W462">
            <v>6.0052665864800459E-2</v>
          </cell>
          <cell r="Y462">
            <v>1.6085915910753201</v>
          </cell>
          <cell r="AA462">
            <v>1.6085915910753201</v>
          </cell>
          <cell r="AC462">
            <v>3134.5</v>
          </cell>
          <cell r="AE462">
            <v>91.199999999999989</v>
          </cell>
          <cell r="AG462">
            <v>28984.156570363466</v>
          </cell>
          <cell r="AH462" t="e">
            <v>#REF!</v>
          </cell>
          <cell r="AI462">
            <v>0</v>
          </cell>
          <cell r="AK462">
            <v>0.52538076248205456</v>
          </cell>
          <cell r="AM462">
            <v>18.057083333333335</v>
          </cell>
          <cell r="AO462">
            <v>300.68745614035089</v>
          </cell>
          <cell r="AP462">
            <v>300.68745614035089</v>
          </cell>
          <cell r="BA462">
            <v>4.587155963302747E-2</v>
          </cell>
          <cell r="BB462">
            <v>4.587155963302747E-2</v>
          </cell>
        </row>
        <row r="463">
          <cell r="C463" t="str">
            <v>2011 = Trough rent</v>
          </cell>
          <cell r="F463">
            <v>17404.637000000002</v>
          </cell>
          <cell r="G463">
            <v>17404.637000000002</v>
          </cell>
          <cell r="H463">
            <v>0.03</v>
          </cell>
          <cell r="J463">
            <v>7.2818180580267233E-2</v>
          </cell>
          <cell r="L463">
            <v>837.6</v>
          </cell>
          <cell r="N463">
            <v>4.8125105970322733E-2</v>
          </cell>
          <cell r="P463">
            <v>4.8125105970322733E-2</v>
          </cell>
          <cell r="S463">
            <v>837.6</v>
          </cell>
          <cell r="U463">
            <v>4.8125105970322733E-2</v>
          </cell>
          <cell r="W463">
            <v>4.8125105970322733E-2</v>
          </cell>
          <cell r="Z463">
            <v>0</v>
          </cell>
          <cell r="AB463">
            <v>0</v>
          </cell>
          <cell r="AC463">
            <v>2423.5</v>
          </cell>
          <cell r="AE463">
            <v>72.137500000000003</v>
          </cell>
          <cell r="AG463">
            <v>29886.455798864554</v>
          </cell>
          <cell r="AH463">
            <v>0.79164037880162208</v>
          </cell>
          <cell r="AI463">
            <v>0.79164037880162208</v>
          </cell>
          <cell r="AK463">
            <v>0.34561584485248609</v>
          </cell>
          <cell r="AM463">
            <v>11.611159244498353</v>
          </cell>
          <cell r="AO463">
            <v>241.27031017154741</v>
          </cell>
          <cell r="AP463">
            <v>241.27031017154741</v>
          </cell>
          <cell r="AR463">
            <v>2.5320000938236595E-2</v>
          </cell>
          <cell r="AS463" t="str">
            <v xml:space="preserve">center vs. a mall. Minimum rent includes rent expense on DC's, HQ (ex. capital </v>
          </cell>
        </row>
        <row r="465">
          <cell r="C465" t="str">
            <v>Off-Price Retail Equal Weighted Average</v>
          </cell>
          <cell r="AE465" t="str">
            <v>% Change</v>
          </cell>
        </row>
        <row r="466">
          <cell r="C466" t="str">
            <v>2005 (total revs.)</v>
          </cell>
          <cell r="H466">
            <v>0.04</v>
          </cell>
          <cell r="J466">
            <v>6.5262164526644489E-2</v>
          </cell>
          <cell r="U466">
            <v>6.5206760884000001E-2</v>
          </cell>
          <cell r="Y466">
            <v>5.0266215938087058</v>
          </cell>
          <cell r="AA466">
            <v>5.0266215938087058</v>
          </cell>
          <cell r="AH466">
            <v>0.73128394540803743</v>
          </cell>
          <cell r="AI466">
            <v>0.73128394540803743</v>
          </cell>
          <cell r="AK466">
            <v>0.46058237589529438</v>
          </cell>
          <cell r="AM466">
            <v>15.660998706256414</v>
          </cell>
          <cell r="AO466">
            <v>240.13142496118456</v>
          </cell>
        </row>
        <row r="467">
          <cell r="C467" t="str">
            <v>2006 (total revs.)</v>
          </cell>
          <cell r="H467">
            <v>3.5000000000000003E-2</v>
          </cell>
          <cell r="J467">
            <v>7.138532996511894E-2</v>
          </cell>
          <cell r="U467">
            <v>5.6799256807817972E-2</v>
          </cell>
          <cell r="Y467">
            <v>84.075040761820333</v>
          </cell>
          <cell r="AA467">
            <v>84.075040761820333</v>
          </cell>
          <cell r="AH467">
            <v>0.82152063866441738</v>
          </cell>
          <cell r="AI467">
            <v>0.82152063866441738</v>
          </cell>
          <cell r="AK467">
            <v>0.41101865397425091</v>
          </cell>
          <cell r="AM467">
            <v>13.918827418472866</v>
          </cell>
          <cell r="AO467">
            <v>244.55184260836762</v>
          </cell>
        </row>
        <row r="468">
          <cell r="C468" t="str">
            <v>2007 (total revs.)</v>
          </cell>
          <cell r="H468">
            <v>1.4999999999999999E-2</v>
          </cell>
          <cell r="J468">
            <v>7.4634312124126245E-2</v>
          </cell>
          <cell r="R468">
            <v>0.33</v>
          </cell>
          <cell r="U468">
            <v>6.5842037901829659E-2</v>
          </cell>
          <cell r="Y468">
            <v>-90.427810940116899</v>
          </cell>
          <cell r="AA468">
            <v>-90.427810940116899</v>
          </cell>
          <cell r="AE468">
            <v>7.2203486621471358E-2</v>
          </cell>
          <cell r="AH468">
            <v>0.82443548577897574</v>
          </cell>
          <cell r="AI468">
            <v>0.82443548577897574</v>
          </cell>
          <cell r="AK468">
            <v>0.47488204498555681</v>
          </cell>
          <cell r="AM468">
            <v>16.027194076114</v>
          </cell>
          <cell r="AO468">
            <v>243.47581127128188</v>
          </cell>
          <cell r="BA468">
            <v>7.2203486621471358E-2</v>
          </cell>
          <cell r="BB468">
            <v>8.1792350648589751E-2</v>
          </cell>
        </row>
        <row r="469">
          <cell r="C469" t="str">
            <v>2008 (total revs.)</v>
          </cell>
          <cell r="H469">
            <v>1.4999999999999999E-2</v>
          </cell>
          <cell r="J469">
            <v>7.5931236807200014E-2</v>
          </cell>
          <cell r="R469">
            <v>0.32500000000000001</v>
          </cell>
          <cell r="U469">
            <v>6.5943955574979729E-2</v>
          </cell>
          <cell r="W469">
            <v>6.5943955574979729E-2</v>
          </cell>
          <cell r="Y469">
            <v>-1.019176731500635</v>
          </cell>
          <cell r="AA469">
            <v>-1.019176731500635</v>
          </cell>
          <cell r="AE469">
            <v>6.2877139515998048E-2</v>
          </cell>
          <cell r="AH469">
            <v>0.6609694625170377</v>
          </cell>
          <cell r="AI469">
            <v>0.6609694625170377</v>
          </cell>
          <cell r="AK469">
            <v>0.4719023493568536</v>
          </cell>
          <cell r="AM469">
            <v>15.969589644638166</v>
          </cell>
          <cell r="AO469">
            <v>242.19316278931439</v>
          </cell>
          <cell r="BA469">
            <v>6.2877139515998048E-2</v>
          </cell>
          <cell r="BB469">
            <v>6.2904612985389685E-2</v>
          </cell>
        </row>
        <row r="470">
          <cell r="C470" t="str">
            <v>2009 (total revs.)</v>
          </cell>
          <cell r="H470">
            <v>0.06</v>
          </cell>
          <cell r="J470">
            <v>9.9605036728559859E-2</v>
          </cell>
          <cell r="R470">
            <v>0.32500000000000001</v>
          </cell>
          <cell r="U470">
            <v>6.2445358626960226E-2</v>
          </cell>
          <cell r="W470">
            <v>6.2445358626960226E-2</v>
          </cell>
          <cell r="Y470">
            <v>34.985969480194953</v>
          </cell>
          <cell r="AA470">
            <v>34.985969480194953</v>
          </cell>
          <cell r="AE470">
            <v>4.4274501313334991E-2</v>
          </cell>
          <cell r="AH470">
            <v>0.53489821242840807</v>
          </cell>
          <cell r="AI470">
            <v>0</v>
          </cell>
          <cell r="AK470">
            <v>0.46366351074875739</v>
          </cell>
          <cell r="AM470">
            <v>15.753558376091458</v>
          </cell>
          <cell r="AO470">
            <v>252.24344379250238</v>
          </cell>
          <cell r="AR470">
            <v>-5.7020467579714795E-3</v>
          </cell>
          <cell r="BA470">
            <v>4.4274501313334991E-2</v>
          </cell>
          <cell r="BB470">
            <v>4.999127267257971E-2</v>
          </cell>
        </row>
        <row r="471">
          <cell r="C471" t="str">
            <v>2010 (total revs.)</v>
          </cell>
          <cell r="H471">
            <v>4.4999999999999998E-2</v>
          </cell>
          <cell r="J471">
            <v>0.1114626608197542</v>
          </cell>
          <cell r="R471">
            <v>0.32</v>
          </cell>
          <cell r="U471">
            <v>6.1671080490942935E-2</v>
          </cell>
          <cell r="W471">
            <v>6.1671080490942935E-2</v>
          </cell>
          <cell r="Y471">
            <v>7.7427813601729092</v>
          </cell>
          <cell r="AA471">
            <v>7.7427813601729092</v>
          </cell>
          <cell r="AE471">
            <v>4.4110426435568284E-2</v>
          </cell>
          <cell r="AH471">
            <v>0.81224653884555886</v>
          </cell>
          <cell r="AI471">
            <v>0</v>
          </cell>
          <cell r="AK471">
            <v>0.47405645417898601</v>
          </cell>
          <cell r="AM471">
            <v>16.111410914823342</v>
          </cell>
          <cell r="AO471">
            <v>261.2018688694825</v>
          </cell>
          <cell r="AR471">
            <v>5.9032668417779988E-3</v>
          </cell>
          <cell r="BA471">
            <v>4.4110426435568284E-2</v>
          </cell>
          <cell r="BB471">
            <v>3.2111129831889892E-2</v>
          </cell>
        </row>
        <row r="472">
          <cell r="C472" t="str">
            <v>2011 (total revs.)</v>
          </cell>
          <cell r="H472">
            <v>4.4999999999999998E-2</v>
          </cell>
          <cell r="J472">
            <v>0.11603197826056581</v>
          </cell>
          <cell r="R472">
            <v>0.317</v>
          </cell>
          <cell r="U472">
            <v>5.9934300972295074E-2</v>
          </cell>
          <cell r="W472">
            <v>5.9934300972295074E-2</v>
          </cell>
          <cell r="Y472">
            <v>17.367795186478617</v>
          </cell>
          <cell r="AA472">
            <v>17.367795186478617</v>
          </cell>
          <cell r="AE472">
            <v>4.1397960164147651E-2</v>
          </cell>
          <cell r="AH472" t="e">
            <v>#REF!</v>
          </cell>
          <cell r="AI472">
            <v>0</v>
          </cell>
          <cell r="AK472">
            <v>0.47788915062806797</v>
          </cell>
          <cell r="AM472">
            <v>16.274721167117804</v>
          </cell>
          <cell r="AO472">
            <v>271.45390144406275</v>
          </cell>
          <cell r="AR472">
            <v>5.8813901914091041E-3</v>
          </cell>
          <cell r="BA472">
            <v>4.1397960164147651E-2</v>
          </cell>
          <cell r="BB472">
            <v>3.4818645284444533E-2</v>
          </cell>
        </row>
        <row r="473">
          <cell r="C473" t="str">
            <v>2012 (total revs.)</v>
          </cell>
          <cell r="H473">
            <v>6.5000000000000002E-2</v>
          </cell>
          <cell r="J473">
            <v>0.12543378902320507</v>
          </cell>
          <cell r="R473">
            <v>0.317</v>
          </cell>
          <cell r="U473">
            <v>5.7377766254856646E-2</v>
          </cell>
          <cell r="W473">
            <v>5.7377766254856646E-2</v>
          </cell>
          <cell r="Y473">
            <v>25.565347174384236</v>
          </cell>
          <cell r="AA473">
            <v>25.565347174384236</v>
          </cell>
          <cell r="AE473">
            <v>4.6113370125599129E-2</v>
          </cell>
          <cell r="AH473" t="e">
            <v>#REF!</v>
          </cell>
          <cell r="AI473">
            <v>0</v>
          </cell>
          <cell r="AK473">
            <v>0.48981106029009891</v>
          </cell>
          <cell r="AM473">
            <v>16.736214355230384</v>
          </cell>
          <cell r="AO473">
            <v>291.42024739208387</v>
          </cell>
          <cell r="AR473">
            <v>5.5197280218863536E-3</v>
          </cell>
          <cell r="BA473">
            <v>4.6113370125599129E-2</v>
          </cell>
          <cell r="BB473">
            <v>3.7717710345610361E-2</v>
          </cell>
        </row>
        <row r="474">
          <cell r="C474" t="str">
            <v>2013e (total revs.)</v>
          </cell>
          <cell r="H474">
            <v>0.03</v>
          </cell>
          <cell r="J474">
            <v>0.12574902289237538</v>
          </cell>
          <cell r="R474">
            <v>0.317</v>
          </cell>
          <cell r="U474">
            <v>5.7743343283851445E-2</v>
          </cell>
          <cell r="W474">
            <v>5.7743343283851445E-2</v>
          </cell>
          <cell r="Y474">
            <v>-3.6557702899479847</v>
          </cell>
          <cell r="AA474">
            <v>-3.6557702899479847</v>
          </cell>
          <cell r="AE474">
            <v>5.3332555699791118E-2</v>
          </cell>
          <cell r="AH474" t="e">
            <v>#REF!</v>
          </cell>
          <cell r="AI474">
            <v>0</v>
          </cell>
          <cell r="AK474">
            <v>0.49182557316021924</v>
          </cell>
          <cell r="AM474">
            <v>16.89473950422709</v>
          </cell>
          <cell r="AO474">
            <v>292.24571781974021</v>
          </cell>
          <cell r="BA474">
            <v>5.3332555699791118E-2</v>
          </cell>
        </row>
        <row r="475">
          <cell r="C475" t="str">
            <v>Trough rent year</v>
          </cell>
          <cell r="H475">
            <v>4.4999999999999998E-2</v>
          </cell>
          <cell r="J475">
            <v>0.10182121334455206</v>
          </cell>
          <cell r="U475">
            <v>5.1333556728064021E-2</v>
          </cell>
          <cell r="W475">
            <v>5.1333556728064021E-2</v>
          </cell>
          <cell r="AH475">
            <v>0.71358331547257836</v>
          </cell>
          <cell r="AI475">
            <v>0.71358331547257836</v>
          </cell>
          <cell r="AK475">
            <v>0.40095181227133769</v>
          </cell>
          <cell r="AM475">
            <v>13.607000399497906</v>
          </cell>
          <cell r="AO475">
            <v>263.67024192739882</v>
          </cell>
          <cell r="AR475">
            <v>2.0122008380651923E-4</v>
          </cell>
        </row>
        <row r="477">
          <cell r="C477" t="str">
            <v>Softlines Retail Sector Equal Weighted Average</v>
          </cell>
        </row>
        <row r="478">
          <cell r="C478" t="str">
            <v>2005 (total revs.)</v>
          </cell>
          <cell r="H478" t="e">
            <v>#N/A</v>
          </cell>
          <cell r="J478">
            <v>0.13416761295598689</v>
          </cell>
          <cell r="R478">
            <v>0.38279938653943923</v>
          </cell>
          <cell r="U478">
            <v>9.1731816246676173E-2</v>
          </cell>
          <cell r="Y478">
            <v>8.5580158978769489</v>
          </cell>
          <cell r="AA478">
            <v>-10.734854619782036</v>
          </cell>
          <cell r="AH478">
            <v>0.68178217341397473</v>
          </cell>
          <cell r="AI478">
            <v>0.36564197270401871</v>
          </cell>
          <cell r="AK478">
            <v>385.67264346964549</v>
          </cell>
          <cell r="AM478">
            <v>47.386425539569267</v>
          </cell>
          <cell r="AO478">
            <v>513.10857892560409</v>
          </cell>
        </row>
        <row r="479">
          <cell r="C479" t="str">
            <v>2006 (total revs.)</v>
          </cell>
          <cell r="H479" t="e">
            <v>#N/A</v>
          </cell>
          <cell r="J479">
            <v>0.12998817637329441</v>
          </cell>
          <cell r="R479">
            <v>0.397746379650397</v>
          </cell>
          <cell r="U479">
            <v>9.7774064310998374E-2</v>
          </cell>
          <cell r="Y479">
            <v>-57.063307364104311</v>
          </cell>
          <cell r="AA479">
            <v>-82.576275376797042</v>
          </cell>
          <cell r="AH479">
            <v>0.80658050873301979</v>
          </cell>
          <cell r="AI479">
            <v>0.41076031933220869</v>
          </cell>
          <cell r="AK479">
            <v>433.76404624948657</v>
          </cell>
          <cell r="AM479">
            <v>47.237422277741473</v>
          </cell>
          <cell r="AO479">
            <v>539.98391911293788</v>
          </cell>
        </row>
        <row r="480">
          <cell r="C480" t="str">
            <v>2007 (total revs.)</v>
          </cell>
          <cell r="H480" t="e">
            <v>#N/A</v>
          </cell>
          <cell r="J480">
            <v>0.12579639216003458</v>
          </cell>
          <cell r="R480">
            <v>0.35328421711316799</v>
          </cell>
          <cell r="U480">
            <v>9.0222742740986808E-2</v>
          </cell>
          <cell r="Y480">
            <v>75.513215700115609</v>
          </cell>
          <cell r="AA480">
            <v>38.21643059574744</v>
          </cell>
          <cell r="AE480">
            <v>6.8610758603543764E-2</v>
          </cell>
          <cell r="AH480">
            <v>0.8018829773184577</v>
          </cell>
          <cell r="AI480">
            <v>0.41221774288948787</v>
          </cell>
          <cell r="AK480">
            <v>259.60302398802827</v>
          </cell>
          <cell r="AM480">
            <v>60.111002227370577</v>
          </cell>
          <cell r="AO480">
            <v>740.04193223692323</v>
          </cell>
          <cell r="BA480">
            <v>6.8610758603543764E-2</v>
          </cell>
          <cell r="BB480">
            <v>8.1792350648589751E-2</v>
          </cell>
        </row>
        <row r="481">
          <cell r="C481" t="str">
            <v>2008 (total revs.)</v>
          </cell>
          <cell r="H481" t="e">
            <v>#N/A</v>
          </cell>
          <cell r="J481" t="e">
            <v>#N/A</v>
          </cell>
          <cell r="R481">
            <v>0.33346053335026604</v>
          </cell>
          <cell r="U481">
            <v>9.7271670954653791E-2</v>
          </cell>
          <cell r="W481">
            <v>8.8331117399061576E-2</v>
          </cell>
          <cell r="Y481">
            <v>-62.044026763907979</v>
          </cell>
          <cell r="AA481">
            <v>-35.059305956550169</v>
          </cell>
          <cell r="AE481">
            <v>2.2588647047824501E-2</v>
          </cell>
          <cell r="AH481">
            <v>0.74989582551789813</v>
          </cell>
          <cell r="AI481">
            <v>0.33048473125851885</v>
          </cell>
          <cell r="AK481">
            <v>185.94533730774657</v>
          </cell>
          <cell r="AM481">
            <v>78.369139384184137</v>
          </cell>
          <cell r="AO481" t="e">
            <v>#N/A</v>
          </cell>
          <cell r="BA481">
            <v>2.2588647047824501E-2</v>
          </cell>
          <cell r="BB481">
            <v>5.2982669654964377E-2</v>
          </cell>
        </row>
        <row r="482">
          <cell r="C482" t="str">
            <v>2009 (total revs.)</v>
          </cell>
          <cell r="H482" t="e">
            <v>#N/A</v>
          </cell>
          <cell r="J482" t="e">
            <v>#N/A</v>
          </cell>
          <cell r="R482">
            <v>0.31458715158510819</v>
          </cell>
          <cell r="U482">
            <v>0.10758015331521689</v>
          </cell>
          <cell r="W482">
            <v>9.8266728669270748E-2</v>
          </cell>
          <cell r="Y482">
            <v>-31.723046218681915</v>
          </cell>
          <cell r="AA482">
            <v>-115.48875597216706</v>
          </cell>
          <cell r="AE482">
            <v>-2.2256146647740838E-4</v>
          </cell>
          <cell r="AH482">
            <v>0.68663185732937726</v>
          </cell>
          <cell r="AI482">
            <v>0</v>
          </cell>
          <cell r="AK482">
            <v>352.642945899067</v>
          </cell>
          <cell r="AM482">
            <v>2010.4723057815058</v>
          </cell>
          <cell r="AO482" t="e">
            <v>#N/A</v>
          </cell>
          <cell r="BA482">
            <v>-2.2256146647740838E-4</v>
          </cell>
          <cell r="BB482">
            <v>6.6076402607799276E-2</v>
          </cell>
        </row>
        <row r="483">
          <cell r="C483" t="str">
            <v>2010 (total revs.)</v>
          </cell>
          <cell r="H483" t="e">
            <v>#N/A</v>
          </cell>
          <cell r="J483" t="e">
            <v>#N/A</v>
          </cell>
          <cell r="R483">
            <v>0.31409017625348407</v>
          </cell>
          <cell r="U483">
            <v>0.10545775781585209</v>
          </cell>
          <cell r="W483">
            <v>9.5639006990837966E-2</v>
          </cell>
          <cell r="Y483">
            <v>21.223954993648245</v>
          </cell>
          <cell r="AA483">
            <v>26.277216784327724</v>
          </cell>
          <cell r="AE483">
            <v>-0.11536860769757601</v>
          </cell>
          <cell r="AH483">
            <v>0.86384989569903836</v>
          </cell>
          <cell r="AI483">
            <v>0</v>
          </cell>
          <cell r="AK483">
            <v>-2150.8773897573742</v>
          </cell>
          <cell r="AM483">
            <v>3945.6744480154066</v>
          </cell>
          <cell r="AO483" t="e">
            <v>#N/A</v>
          </cell>
          <cell r="BA483">
            <v>-0.11536860769757601</v>
          </cell>
          <cell r="BB483">
            <v>5.2550434326394953E-2</v>
          </cell>
        </row>
        <row r="484">
          <cell r="C484" t="str">
            <v>2011 (total revs.)</v>
          </cell>
          <cell r="H484" t="e">
            <v>#N/A</v>
          </cell>
          <cell r="J484" t="e">
            <v>#N/A</v>
          </cell>
          <cell r="R484">
            <v>0.31087077705339305</v>
          </cell>
          <cell r="U484">
            <v>9.9132449508662485E-2</v>
          </cell>
          <cell r="W484">
            <v>8.9262882795208734E-2</v>
          </cell>
          <cell r="Y484">
            <v>63.253083071895979</v>
          </cell>
          <cell r="AA484">
            <v>63.761241956292075</v>
          </cell>
          <cell r="AE484">
            <v>0.10057702589745358</v>
          </cell>
          <cell r="AH484" t="e">
            <v>#REF!</v>
          </cell>
          <cell r="AI484">
            <v>0</v>
          </cell>
          <cell r="AK484">
            <v>-1406.278743112133</v>
          </cell>
          <cell r="AM484">
            <v>10149.068433247336</v>
          </cell>
          <cell r="AO484" t="e">
            <v>#N/A</v>
          </cell>
          <cell r="BA484">
            <v>0.10057702589745358</v>
          </cell>
          <cell r="BB484">
            <v>6.5975357587888889E-2</v>
          </cell>
        </row>
        <row r="485">
          <cell r="C485" t="str">
            <v>2012 (total revs.)</v>
          </cell>
          <cell r="H485" t="e">
            <v>#N/A</v>
          </cell>
          <cell r="J485" t="e">
            <v>#N/A</v>
          </cell>
          <cell r="R485">
            <v>0.30847885314585383</v>
          </cell>
          <cell r="U485">
            <v>9.44021082479541E-2</v>
          </cell>
          <cell r="W485">
            <v>8.3333926213616141E-2</v>
          </cell>
          <cell r="Y485">
            <v>47.303412607083963</v>
          </cell>
          <cell r="AA485">
            <v>59.289565815926281</v>
          </cell>
          <cell r="AE485">
            <v>-3.3453598853153292E-2</v>
          </cell>
          <cell r="AH485" t="e">
            <v>#REF!</v>
          </cell>
          <cell r="AI485">
            <v>0.35219350565775048</v>
          </cell>
          <cell r="AK485">
            <v>-1455.0770462319995</v>
          </cell>
          <cell r="AM485">
            <v>50123.147309263957</v>
          </cell>
          <cell r="AO485" t="e">
            <v>#N/A</v>
          </cell>
          <cell r="BA485">
            <v>-3.3453598853153292E-2</v>
          </cell>
          <cell r="BB485">
            <v>8.1831488167741356E-2</v>
          </cell>
        </row>
        <row r="486">
          <cell r="C486" t="str">
            <v>2013e (total revs.)</v>
          </cell>
          <cell r="H486" t="e">
            <v>#N/A</v>
          </cell>
          <cell r="J486" t="e">
            <v>#N/A</v>
          </cell>
          <cell r="R486">
            <v>0.30276370817316983</v>
          </cell>
          <cell r="U486">
            <v>0.10391284967929901</v>
          </cell>
          <cell r="W486">
            <v>9.1957846004409524E-2</v>
          </cell>
          <cell r="Y486">
            <v>-119.33734665847804</v>
          </cell>
          <cell r="AA486">
            <v>-86.239197907933857</v>
          </cell>
          <cell r="AE486">
            <v>-3.2968380486347404</v>
          </cell>
          <cell r="AH486" t="e">
            <v>#REF!</v>
          </cell>
          <cell r="AI486">
            <v>0.40526504490227733</v>
          </cell>
          <cell r="AK486">
            <v>-3458.2848591176166</v>
          </cell>
          <cell r="AM486">
            <v>68432.50208464812</v>
          </cell>
          <cell r="BA486">
            <v>-3.2968380486347404</v>
          </cell>
          <cell r="BB486">
            <v>4.6157627710628708E-2</v>
          </cell>
        </row>
        <row r="487">
          <cell r="B487" t="str">
            <v>Footnotes:</v>
          </cell>
        </row>
        <row r="488">
          <cell r="B488" t="str">
            <v>--</v>
          </cell>
          <cell r="C488" t="str">
            <v>Trough rent is defined as the year in which rent expense as a percent of sales was the lowest in the past seven years;  generally retailers experienced trough rent expense in the same year</v>
          </cell>
        </row>
        <row r="489">
          <cell r="C489" t="str">
            <v>they achieved peak operating margin.</v>
          </cell>
          <cell r="BA489" t="str">
            <v>KORS,LULU,URBN</v>
          </cell>
        </row>
        <row r="490">
          <cell r="B490" t="str">
            <v>--</v>
          </cell>
          <cell r="C490" t="str">
            <v xml:space="preserve">For all companies - rent expense as reported in the footnotes to financial statements generally includes rent expense on Headquarters buildings, Distribution Centers, and/or other </v>
          </cell>
          <cell r="BA490">
            <v>-7.2488137949208317E-2</v>
          </cell>
        </row>
        <row r="491">
          <cell r="C491" t="str">
            <v>operating leases such as for office equipment and/or vehicles. The inclusion of these expenses is common to nearly all retailers, thus no adjustments were made to exclude these items.</v>
          </cell>
        </row>
        <row r="492">
          <cell r="C492" t="str">
            <v>We believe these amounts constitute a small fraction of total rent expense and do not meaningfully skew results.</v>
          </cell>
        </row>
        <row r="497">
          <cell r="AU497" t="str">
            <v>Total Square Footage Growth</v>
          </cell>
        </row>
        <row r="498">
          <cell r="A498" t="str">
            <v>--</v>
          </cell>
          <cell r="B498" t="str">
            <v>--</v>
          </cell>
          <cell r="C498" t="str">
            <v>LTD - we excluded $22mm from 2004 rent expense for charge to correct for lease accounting.</v>
          </cell>
          <cell r="AU498">
            <v>2006</v>
          </cell>
          <cell r="AW498">
            <v>182.98589653827486</v>
          </cell>
        </row>
        <row r="499">
          <cell r="A499" t="str">
            <v>--</v>
          </cell>
          <cell r="AU499">
            <v>2007</v>
          </cell>
          <cell r="AW499">
            <v>188.71238214231465</v>
          </cell>
          <cell r="AY499">
            <v>3.1294682881978231E-2</v>
          </cell>
        </row>
        <row r="500">
          <cell r="AU500">
            <v>2008</v>
          </cell>
          <cell r="AW500">
            <v>198.52691941490826</v>
          </cell>
          <cell r="AY500">
            <v>5.2007913636489045E-2</v>
          </cell>
        </row>
        <row r="501">
          <cell r="AU501">
            <v>2009</v>
          </cell>
          <cell r="AW501">
            <v>203.8598434786872</v>
          </cell>
          <cell r="AY501">
            <v>2.6862473258014274E-2</v>
          </cell>
        </row>
        <row r="502">
          <cell r="AU502">
            <v>2010</v>
          </cell>
          <cell r="AW502">
            <v>208.49697691645244</v>
          </cell>
          <cell r="AY502">
            <v>2.2746674178870441E-2</v>
          </cell>
        </row>
        <row r="503">
          <cell r="AU503">
            <v>2011</v>
          </cell>
          <cell r="AW503">
            <v>212.82263177090888</v>
          </cell>
          <cell r="AY503">
            <v>2.0746846877256031E-2</v>
          </cell>
        </row>
        <row r="504">
          <cell r="AU504" t="str">
            <v>Speciality Square Footage Growth</v>
          </cell>
        </row>
        <row r="505">
          <cell r="AU505">
            <v>2006</v>
          </cell>
          <cell r="AW505">
            <v>88.372771538274847</v>
          </cell>
        </row>
        <row r="506">
          <cell r="AU506">
            <v>2007</v>
          </cell>
          <cell r="AW506">
            <v>88.903632142314649</v>
          </cell>
          <cell r="AY506">
            <v>6.0070607133768661E-3</v>
          </cell>
        </row>
        <row r="507">
          <cell r="AU507">
            <v>2008</v>
          </cell>
          <cell r="AW507">
            <v>94.156919414908259</v>
          </cell>
          <cell r="AY507">
            <v>5.908968110756474E-2</v>
          </cell>
        </row>
        <row r="508">
          <cell r="AU508">
            <v>2009</v>
          </cell>
          <cell r="AW508">
            <v>95.634843478687202</v>
          </cell>
          <cell r="AY508">
            <v>1.5696393562605548E-2</v>
          </cell>
        </row>
        <row r="509">
          <cell r="AU509">
            <v>2010</v>
          </cell>
          <cell r="AW509">
            <v>95.784476916452434</v>
          </cell>
          <cell r="AY509">
            <v>1.5646330596921221E-3</v>
          </cell>
        </row>
        <row r="510">
          <cell r="AU510">
            <v>2011</v>
          </cell>
          <cell r="AW510">
            <v>96.146481770908892</v>
          </cell>
          <cell r="AY510">
            <v>3.7793687047247282E-3</v>
          </cell>
        </row>
        <row r="511">
          <cell r="AP511">
            <v>15.28</v>
          </cell>
          <cell r="AU511" t="str">
            <v>Speciality exCOH TIF LULU Square Footage Growth</v>
          </cell>
        </row>
        <row r="512">
          <cell r="AP512">
            <v>33</v>
          </cell>
          <cell r="AU512">
            <v>2006</v>
          </cell>
          <cell r="AW512">
            <v>86.533896038274847</v>
          </cell>
        </row>
        <row r="513">
          <cell r="AP513">
            <v>504.23999999999995</v>
          </cell>
          <cell r="AU513">
            <v>2007</v>
          </cell>
          <cell r="AW513">
            <v>86.783889142314649</v>
          </cell>
          <cell r="AY513">
            <v>2.8889616148708441E-3</v>
          </cell>
        </row>
        <row r="514">
          <cell r="AP514">
            <v>514.24</v>
          </cell>
          <cell r="AU514">
            <v>2008</v>
          </cell>
          <cell r="AW514">
            <v>91.665979914908263</v>
          </cell>
          <cell r="AY514">
            <v>5.6255726965492414E-2</v>
          </cell>
        </row>
        <row r="515">
          <cell r="AP515">
            <v>15.583030303030304</v>
          </cell>
          <cell r="AU515">
            <v>2009</v>
          </cell>
          <cell r="AW515">
            <v>92.788729478687202</v>
          </cell>
          <cell r="AY515">
            <v>1.2248268821444697E-2</v>
          </cell>
        </row>
        <row r="516">
          <cell r="AU516">
            <v>2010</v>
          </cell>
          <cell r="AW516">
            <v>92.652464416452446</v>
          </cell>
          <cell r="AY516">
            <v>-1.4685518704732337E-3</v>
          </cell>
        </row>
        <row r="517">
          <cell r="F517" t="str">
            <v>M</v>
          </cell>
          <cell r="AU517">
            <v>2011</v>
          </cell>
          <cell r="AW517">
            <v>92.725806270908905</v>
          </cell>
          <cell r="AY517">
            <v>7.9158017995939467E-4</v>
          </cell>
        </row>
        <row r="518">
          <cell r="F518" t="str">
            <v>store</v>
          </cell>
          <cell r="G518" t="str">
            <v>total</v>
          </cell>
          <cell r="AU518" t="str">
            <v>Off-Pricers Square Footage Growth</v>
          </cell>
        </row>
        <row r="519">
          <cell r="C519">
            <v>2008</v>
          </cell>
          <cell r="F519">
            <v>1.3347810085132347E-2</v>
          </cell>
          <cell r="G519">
            <v>1.2895982555383058E-2</v>
          </cell>
          <cell r="AU519">
            <v>2006</v>
          </cell>
          <cell r="AW519">
            <v>94.613124999999997</v>
          </cell>
        </row>
        <row r="520">
          <cell r="C520">
            <v>2009</v>
          </cell>
          <cell r="F520">
            <v>1.3631138725345356E-2</v>
          </cell>
          <cell r="G520">
            <v>1.3011073643267727E-2</v>
          </cell>
          <cell r="AU520">
            <v>2007</v>
          </cell>
          <cell r="AW520">
            <v>99.808750000000003</v>
          </cell>
          <cell r="AY520">
            <v>5.4914421228555943E-2</v>
          </cell>
        </row>
        <row r="521">
          <cell r="C521">
            <v>2010</v>
          </cell>
          <cell r="F521">
            <v>1.3296420106166756E-2</v>
          </cell>
          <cell r="G521">
            <v>1.2605089220352382E-2</v>
          </cell>
          <cell r="AU521">
            <v>2008</v>
          </cell>
          <cell r="AW521">
            <v>104.37</v>
          </cell>
          <cell r="AY521">
            <v>4.5699901060778814E-2</v>
          </cell>
        </row>
        <row r="522">
          <cell r="C522">
            <v>2011</v>
          </cell>
          <cell r="F522">
            <v>1.3106585718522482E-2</v>
          </cell>
          <cell r="G522">
            <v>1.2196743960444402E-2</v>
          </cell>
          <cell r="AU522">
            <v>2009</v>
          </cell>
          <cell r="AW522">
            <v>108.22499999999999</v>
          </cell>
          <cell r="AY522">
            <v>3.6935901121011749E-2</v>
          </cell>
        </row>
        <row r="523">
          <cell r="C523">
            <v>2012</v>
          </cell>
          <cell r="F523">
            <v>1.3482094665146972E-2</v>
          </cell>
          <cell r="G523">
            <v>1.2223520724349736E-2</v>
          </cell>
          <cell r="AU523">
            <v>2010</v>
          </cell>
          <cell r="AW523">
            <v>112.71250000000001</v>
          </cell>
          <cell r="AY523">
            <v>4.1464541464541593E-2</v>
          </cell>
        </row>
        <row r="524">
          <cell r="AU524">
            <v>2011</v>
          </cell>
          <cell r="AW524">
            <v>116.67614999999999</v>
          </cell>
          <cell r="AY524">
            <v>3.5166019740490162E-2</v>
          </cell>
        </row>
        <row r="525">
          <cell r="F525" t="str">
            <v>KSS</v>
          </cell>
        </row>
        <row r="526">
          <cell r="C526">
            <v>2008</v>
          </cell>
          <cell r="F526">
            <v>2.418289548788306E-2</v>
          </cell>
          <cell r="G526">
            <v>2.3675285406175757E-2</v>
          </cell>
        </row>
        <row r="527">
          <cell r="C527">
            <v>2009</v>
          </cell>
          <cell r="F527">
            <v>2.4607831397437434E-2</v>
          </cell>
          <cell r="G527">
            <v>2.3925951798812434E-2</v>
          </cell>
        </row>
        <row r="528">
          <cell r="C528">
            <v>2010</v>
          </cell>
          <cell r="F528">
            <v>2.4446833795484128E-2</v>
          </cell>
          <cell r="G528">
            <v>2.3489750421401771E-2</v>
          </cell>
        </row>
        <row r="529">
          <cell r="C529">
            <v>2011</v>
          </cell>
          <cell r="F529">
            <v>2.3912433342688746E-2</v>
          </cell>
          <cell r="G529">
            <v>2.265475430759413E-2</v>
          </cell>
        </row>
        <row r="530">
          <cell r="C530">
            <v>2012</v>
          </cell>
          <cell r="F530">
            <v>2.4077495940422196E-2</v>
          </cell>
          <cell r="G530">
            <v>2.2302904564315353E-2</v>
          </cell>
        </row>
        <row r="532">
          <cell r="F532" t="str">
            <v>JCP</v>
          </cell>
        </row>
        <row r="533">
          <cell r="C533">
            <v>2008</v>
          </cell>
          <cell r="F533">
            <v>2.4184690828073882E-2</v>
          </cell>
          <cell r="G533">
            <v>2.0780400015049837E-2</v>
          </cell>
        </row>
        <row r="534">
          <cell r="C534">
            <v>2009</v>
          </cell>
          <cell r="F534">
            <v>2.5576892288200301E-2</v>
          </cell>
          <cell r="G534">
            <v>2.2015250586441375E-2</v>
          </cell>
        </row>
        <row r="535">
          <cell r="C535">
            <v>2010</v>
          </cell>
          <cell r="F535">
            <v>2.483909272688032E-2</v>
          </cell>
          <cell r="G535">
            <v>2.1709024189349727E-2</v>
          </cell>
        </row>
        <row r="536">
          <cell r="C536">
            <v>2011</v>
          </cell>
          <cell r="F536">
            <v>2.5537646695094018E-2</v>
          </cell>
          <cell r="G536">
            <v>2.2377025654398513E-2</v>
          </cell>
        </row>
        <row r="537">
          <cell r="C537">
            <v>2012</v>
          </cell>
          <cell r="F537">
            <v>3.1387591658716095E-2</v>
          </cell>
          <cell r="G537">
            <v>2.8915984999414036E-2</v>
          </cell>
        </row>
        <row r="539">
          <cell r="F539" t="str">
            <v>SKS</v>
          </cell>
        </row>
        <row r="540">
          <cell r="C540">
            <v>2008</v>
          </cell>
          <cell r="F540">
            <v>4.694373466456208E-2</v>
          </cell>
          <cell r="G540">
            <v>4.4427593067493949E-2</v>
          </cell>
        </row>
        <row r="541">
          <cell r="C541">
            <v>2009</v>
          </cell>
          <cell r="F541">
            <v>5.4498108200846621E-2</v>
          </cell>
          <cell r="G541">
            <v>5.0688876144587454E-2</v>
          </cell>
        </row>
        <row r="542">
          <cell r="C542">
            <v>2010</v>
          </cell>
          <cell r="F542">
            <v>5.0569598183313878E-2</v>
          </cell>
          <cell r="G542">
            <v>4.6295713776437097E-2</v>
          </cell>
        </row>
        <row r="543">
          <cell r="C543">
            <v>2011</v>
          </cell>
          <cell r="F543">
            <v>4.778917206350887E-2</v>
          </cell>
          <cell r="G543">
            <v>4.3010254857157981E-2</v>
          </cell>
        </row>
        <row r="544">
          <cell r="C544">
            <v>2012</v>
          </cell>
          <cell r="F544">
            <v>4.8783069373031465E-2</v>
          </cell>
          <cell r="G544">
            <v>4.3178247989274478E-2</v>
          </cell>
        </row>
        <row r="546">
          <cell r="F546" t="str">
            <v>JWN</v>
          </cell>
        </row>
        <row r="547">
          <cell r="C547">
            <v>2008</v>
          </cell>
          <cell r="F547">
            <v>1.1938382541720154E-2</v>
          </cell>
          <cell r="G547">
            <v>1.1216982269931251E-2</v>
          </cell>
        </row>
        <row r="548">
          <cell r="C548">
            <v>2009</v>
          </cell>
          <cell r="F548">
            <v>1.3385315139701105E-2</v>
          </cell>
          <cell r="G548">
            <v>1.247275369338823E-2</v>
          </cell>
        </row>
        <row r="549">
          <cell r="C549">
            <v>2010</v>
          </cell>
          <cell r="F549">
            <v>1.4758861127251598E-2</v>
          </cell>
          <cell r="G549">
            <v>1.364124597207304E-2</v>
          </cell>
        </row>
        <row r="550">
          <cell r="C550">
            <v>2011</v>
          </cell>
          <cell r="F550">
            <v>1.5338063439065108E-2</v>
          </cell>
          <cell r="G550">
            <v>1.4004001143183767E-2</v>
          </cell>
        </row>
        <row r="551">
          <cell r="C551">
            <v>2012</v>
          </cell>
          <cell r="F551">
            <v>1.7058991708758221E-2</v>
          </cell>
          <cell r="G551">
            <v>1.5218500255058663E-2</v>
          </cell>
        </row>
        <row r="553">
          <cell r="F553" t="str">
            <v>All Softlines</v>
          </cell>
        </row>
        <row r="554">
          <cell r="C554">
            <v>2008</v>
          </cell>
          <cell r="F554">
            <v>8.3328393284892999E-2</v>
          </cell>
          <cell r="G554">
            <v>7.4588558120258303E-2</v>
          </cell>
        </row>
        <row r="555">
          <cell r="C555">
            <v>2009</v>
          </cell>
          <cell r="F555">
            <v>8.6655347924080153E-2</v>
          </cell>
          <cell r="G555">
            <v>8.4567126667719761E-2</v>
          </cell>
          <cell r="J555">
            <v>-33.269546391871543</v>
          </cell>
          <cell r="L555">
            <v>-99.785685474614581</v>
          </cell>
        </row>
        <row r="556">
          <cell r="C556">
            <v>2010</v>
          </cell>
          <cell r="F556">
            <v>8.5065185071975039E-2</v>
          </cell>
          <cell r="G556">
            <v>8.1857171596805695E-2</v>
          </cell>
          <cell r="J556">
            <v>15.901628521051148</v>
          </cell>
          <cell r="L556">
            <v>27.099550709140662</v>
          </cell>
        </row>
        <row r="557">
          <cell r="C557">
            <v>2011</v>
          </cell>
          <cell r="F557">
            <v>8.0062373347216789E-2</v>
          </cell>
          <cell r="G557">
            <v>7.6453658774331537E-2</v>
          </cell>
          <cell r="J557">
            <v>50.028117247582493</v>
          </cell>
          <cell r="L557">
            <v>54.035128224741577</v>
          </cell>
        </row>
        <row r="558">
          <cell r="C558">
            <v>2012</v>
          </cell>
          <cell r="F558">
            <v>7.649786112196641E-2</v>
          </cell>
          <cell r="G558">
            <v>7.167029382141063E-2</v>
          </cell>
          <cell r="J558">
            <v>35.645122252503796</v>
          </cell>
          <cell r="L558">
            <v>47.833649529209069</v>
          </cell>
        </row>
        <row r="560">
          <cell r="F560">
            <v>1.0157486802113744E-2</v>
          </cell>
          <cell r="G560">
            <v>1.2896832846309131E-2</v>
          </cell>
        </row>
      </sheetData>
      <sheetData sheetId="4">
        <row r="1">
          <cell r="C1">
            <v>10</v>
          </cell>
          <cell r="H1">
            <v>23</v>
          </cell>
        </row>
        <row r="2">
          <cell r="B2" t="str">
            <v>Operating Margin and Rent Expense Performance vs. Sector Leader, Ranked by EBIT Margin</v>
          </cell>
        </row>
        <row r="3">
          <cell r="C3" t="str">
            <v>Ranked By: 2012 Operating Margin</v>
          </cell>
          <cell r="E3" t="str">
            <v>EBIT Margin Trails Apparel Leader by X bps</v>
          </cell>
          <cell r="H3" t="str">
            <v>2012 Adj. Rent Expense % of Total Sales</v>
          </cell>
          <cell r="J3" t="str">
            <v>Rent Margin Differential vs. Apparel Leader</v>
          </cell>
          <cell r="M3" t="str">
            <v>Rent Margin Differential / EBIT Margin Differential</v>
          </cell>
        </row>
        <row r="8">
          <cell r="B8" t="e">
            <v>#N/A</v>
          </cell>
          <cell r="C8" t="e">
            <v>#N/A</v>
          </cell>
          <cell r="E8" t="str">
            <v>Specialty EBIT Margin Leader</v>
          </cell>
          <cell r="H8" t="e">
            <v>#N/A</v>
          </cell>
          <cell r="J8" t="str">
            <v>Specialty Leader</v>
          </cell>
          <cell r="M8" t="str">
            <v>Specialty Leader</v>
          </cell>
        </row>
        <row r="9">
          <cell r="B9" t="e">
            <v>#N/A</v>
          </cell>
          <cell r="C9" t="e">
            <v>#N/A</v>
          </cell>
          <cell r="E9" t="e">
            <v>#N/A</v>
          </cell>
          <cell r="F9" t="str">
            <v>bps</v>
          </cell>
          <cell r="H9" t="e">
            <v>#N/A</v>
          </cell>
        </row>
        <row r="10">
          <cell r="B10" t="e">
            <v>#N/A</v>
          </cell>
          <cell r="C10" t="e">
            <v>#N/A</v>
          </cell>
          <cell r="E10" t="str">
            <v>Apparel EBIT Margin Leader</v>
          </cell>
          <cell r="H10" t="e">
            <v>#N/A</v>
          </cell>
          <cell r="J10" t="str">
            <v>Apparel Leader</v>
          </cell>
          <cell r="M10" t="str">
            <v>Apparel Leader</v>
          </cell>
        </row>
        <row r="11">
          <cell r="B11" t="e">
            <v>#N/A</v>
          </cell>
          <cell r="C11" t="e">
            <v>#N/A</v>
          </cell>
          <cell r="E11" t="e">
            <v>#N/A</v>
          </cell>
          <cell r="F11" t="str">
            <v>bps</v>
          </cell>
          <cell r="H11" t="e">
            <v>#N/A</v>
          </cell>
          <cell r="J11" t="e">
            <v>#N/A</v>
          </cell>
          <cell r="L11" t="str">
            <v>Higher = worse</v>
          </cell>
          <cell r="M11" t="e">
            <v>#N/A</v>
          </cell>
          <cell r="N11" t="str">
            <v>= % of EBIT differential due to higher rent expense</v>
          </cell>
        </row>
        <row r="12">
          <cell r="B12" t="e">
            <v>#N/A</v>
          </cell>
          <cell r="C12" t="e">
            <v>#N/A</v>
          </cell>
          <cell r="E12" t="e">
            <v>#N/A</v>
          </cell>
          <cell r="F12" t="str">
            <v>bps</v>
          </cell>
          <cell r="H12" t="e">
            <v>#N/A</v>
          </cell>
          <cell r="J12" t="e">
            <v>#N/A</v>
          </cell>
          <cell r="M12" t="e">
            <v>#N/A</v>
          </cell>
        </row>
        <row r="13">
          <cell r="B13" t="e">
            <v>#N/A</v>
          </cell>
          <cell r="C13" t="e">
            <v>#N/A</v>
          </cell>
          <cell r="E13" t="e">
            <v>#N/A</v>
          </cell>
          <cell r="F13" t="str">
            <v>bps</v>
          </cell>
          <cell r="H13" t="e">
            <v>#N/A</v>
          </cell>
          <cell r="J13" t="e">
            <v>#N/A</v>
          </cell>
          <cell r="M13" t="e">
            <v>#N/A</v>
          </cell>
        </row>
        <row r="14">
          <cell r="B14" t="e">
            <v>#N/A</v>
          </cell>
          <cell r="C14" t="e">
            <v>#N/A</v>
          </cell>
          <cell r="E14" t="e">
            <v>#N/A</v>
          </cell>
          <cell r="F14" t="str">
            <v>bps</v>
          </cell>
          <cell r="H14" t="e">
            <v>#N/A</v>
          </cell>
        </row>
        <row r="15">
          <cell r="B15" t="e">
            <v>#N/A</v>
          </cell>
          <cell r="C15" t="e">
            <v>#N/A</v>
          </cell>
          <cell r="E15" t="e">
            <v>#N/A</v>
          </cell>
          <cell r="F15" t="str">
            <v>bps</v>
          </cell>
          <cell r="H15" t="e">
            <v>#N/A</v>
          </cell>
          <cell r="J15" t="e">
            <v>#N/A</v>
          </cell>
          <cell r="M15" t="e">
            <v>#N/A</v>
          </cell>
        </row>
        <row r="16">
          <cell r="B16" t="e">
            <v>#N/A</v>
          </cell>
          <cell r="C16" t="e">
            <v>#N/A</v>
          </cell>
          <cell r="E16" t="e">
            <v>#N/A</v>
          </cell>
          <cell r="F16" t="str">
            <v>bps</v>
          </cell>
          <cell r="H16" t="e">
            <v>#N/A</v>
          </cell>
          <cell r="J16" t="e">
            <v>#N/A</v>
          </cell>
          <cell r="M16" t="e">
            <v>#N/A</v>
          </cell>
        </row>
        <row r="17">
          <cell r="B17" t="e">
            <v>#N/A</v>
          </cell>
          <cell r="C17" t="e">
            <v>#N/A</v>
          </cell>
          <cell r="E17" t="e">
            <v>#N/A</v>
          </cell>
          <cell r="F17" t="str">
            <v>bps</v>
          </cell>
          <cell r="H17" t="e">
            <v>#N/A</v>
          </cell>
        </row>
        <row r="18">
          <cell r="B18" t="e">
            <v>#N/A</v>
          </cell>
          <cell r="C18" t="e">
            <v>#N/A</v>
          </cell>
          <cell r="E18" t="e">
            <v>#N/A</v>
          </cell>
          <cell r="F18" t="str">
            <v>bps</v>
          </cell>
          <cell r="H18" t="e">
            <v>#N/A</v>
          </cell>
          <cell r="J18" t="e">
            <v>#N/A</v>
          </cell>
          <cell r="M18" t="e">
            <v>#N/A</v>
          </cell>
        </row>
        <row r="19">
          <cell r="B19" t="e">
            <v>#N/A</v>
          </cell>
          <cell r="C19" t="e">
            <v>#N/A</v>
          </cell>
          <cell r="E19" t="e">
            <v>#N/A</v>
          </cell>
          <cell r="F19" t="str">
            <v>bps</v>
          </cell>
          <cell r="H19" t="e">
            <v>#N/A</v>
          </cell>
          <cell r="J19" t="e">
            <v>#N/A</v>
          </cell>
          <cell r="M19" t="e">
            <v>#N/A</v>
          </cell>
        </row>
        <row r="20">
          <cell r="B20" t="e">
            <v>#N/A</v>
          </cell>
          <cell r="C20" t="e">
            <v>#N/A</v>
          </cell>
          <cell r="E20" t="e">
            <v>#N/A</v>
          </cell>
          <cell r="F20" t="str">
            <v>bps</v>
          </cell>
          <cell r="H20" t="e">
            <v>#N/A</v>
          </cell>
          <cell r="J20" t="e">
            <v>#N/A</v>
          </cell>
          <cell r="M20" t="e">
            <v>#N/A</v>
          </cell>
        </row>
        <row r="21">
          <cell r="B21" t="e">
            <v>#N/A</v>
          </cell>
          <cell r="C21" t="e">
            <v>#N/A</v>
          </cell>
          <cell r="E21" t="e">
            <v>#N/A</v>
          </cell>
          <cell r="F21" t="str">
            <v>bps</v>
          </cell>
          <cell r="H21" t="e">
            <v>#N/A</v>
          </cell>
          <cell r="J21" t="e">
            <v>#N/A</v>
          </cell>
          <cell r="M21" t="e">
            <v>#N/A</v>
          </cell>
        </row>
        <row r="22">
          <cell r="B22" t="e">
            <v>#N/A</v>
          </cell>
          <cell r="C22" t="e">
            <v>#N/A</v>
          </cell>
          <cell r="E22" t="e">
            <v>#N/A</v>
          </cell>
          <cell r="F22" t="str">
            <v>bps</v>
          </cell>
          <cell r="H22" t="e">
            <v>#N/A</v>
          </cell>
          <cell r="J22" t="e">
            <v>#N/A</v>
          </cell>
          <cell r="M22" t="e">
            <v>#N/A</v>
          </cell>
        </row>
        <row r="23">
          <cell r="B23" t="e">
            <v>#N/A</v>
          </cell>
          <cell r="C23" t="e">
            <v>#N/A</v>
          </cell>
          <cell r="E23" t="e">
            <v>#N/A</v>
          </cell>
          <cell r="F23" t="str">
            <v>bps</v>
          </cell>
          <cell r="H23" t="e">
            <v>#N/A</v>
          </cell>
          <cell r="J23" t="e">
            <v>#N/A</v>
          </cell>
          <cell r="M23" t="e">
            <v>#N/A</v>
          </cell>
        </row>
        <row r="24">
          <cell r="B24" t="str">
            <v>Average</v>
          </cell>
          <cell r="C24" t="e">
            <v>#N/A</v>
          </cell>
          <cell r="E24" t="e">
            <v>#N/A</v>
          </cell>
          <cell r="F24" t="str">
            <v>bps</v>
          </cell>
          <cell r="H24" t="e">
            <v>#N/A</v>
          </cell>
          <cell r="J24" t="e">
            <v>#N/A</v>
          </cell>
          <cell r="K24" t="str">
            <v>bps</v>
          </cell>
          <cell r="M24" t="e">
            <v>#N/A</v>
          </cell>
        </row>
        <row r="25">
          <cell r="B25" t="str">
            <v>Avg ex COH, KORS, LULU, TIF</v>
          </cell>
          <cell r="C25" t="e">
            <v>#N/A</v>
          </cell>
          <cell r="E25" t="e">
            <v>#N/A</v>
          </cell>
          <cell r="F25" t="str">
            <v>bps</v>
          </cell>
        </row>
        <row r="27">
          <cell r="B27" t="str">
            <v>Max Differential</v>
          </cell>
          <cell r="E27" t="e">
            <v>#N/A</v>
          </cell>
          <cell r="F27" t="str">
            <v>bps</v>
          </cell>
          <cell r="J27" t="e">
            <v>#N/A</v>
          </cell>
          <cell r="K27" t="str">
            <v>bps</v>
          </cell>
        </row>
        <row r="28">
          <cell r="B28" t="str">
            <v>Min Differential</v>
          </cell>
          <cell r="E28" t="e">
            <v>#N/A</v>
          </cell>
          <cell r="F28" t="str">
            <v>bps</v>
          </cell>
          <cell r="J28" t="e">
            <v>#N/A</v>
          </cell>
          <cell r="K28" t="str">
            <v>bps</v>
          </cell>
        </row>
        <row r="30">
          <cell r="C30" t="e">
            <v>#N/A</v>
          </cell>
        </row>
        <row r="31">
          <cell r="C31" t="e">
            <v>#N/A</v>
          </cell>
        </row>
        <row r="33">
          <cell r="J33" t="e">
            <v>#N/A</v>
          </cell>
        </row>
        <row r="35">
          <cell r="H35" t="e">
            <v>#N/A</v>
          </cell>
          <cell r="J35" t="e">
            <v>#N/A</v>
          </cell>
        </row>
        <row r="36">
          <cell r="H36" t="e">
            <v>#N/A</v>
          </cell>
        </row>
        <row r="37">
          <cell r="J37" t="e">
            <v>#N/A</v>
          </cell>
        </row>
        <row r="38">
          <cell r="J38" t="e">
            <v>#N/A</v>
          </cell>
        </row>
        <row r="39">
          <cell r="A39">
            <v>10</v>
          </cell>
        </row>
        <row r="40">
          <cell r="B40" t="str">
            <v>AEO</v>
          </cell>
          <cell r="C40" t="str">
            <v>AEO2012</v>
          </cell>
          <cell r="E40">
            <v>0.12576205434026455</v>
          </cell>
          <cell r="G40">
            <v>0.10946507309679895</v>
          </cell>
          <cell r="J40">
            <v>1</v>
          </cell>
          <cell r="K40" t="e">
            <v>#REF!</v>
          </cell>
          <cell r="M40" t="e">
            <v>#N/A</v>
          </cell>
          <cell r="N40" t="e">
            <v>#N/A</v>
          </cell>
          <cell r="O40" t="e">
            <v>#N/A</v>
          </cell>
        </row>
        <row r="41">
          <cell r="B41" t="str">
            <v>ANF</v>
          </cell>
          <cell r="C41" t="str">
            <v>ANF2012</v>
          </cell>
          <cell r="E41">
            <v>8.334698573757908E-2</v>
          </cell>
          <cell r="G41">
            <v>0.13179221890549467</v>
          </cell>
          <cell r="J41">
            <v>2</v>
          </cell>
          <cell r="K41" t="e">
            <v>#REF!</v>
          </cell>
          <cell r="M41" t="e">
            <v>#N/A</v>
          </cell>
          <cell r="N41" t="e">
            <v>#N/A</v>
          </cell>
          <cell r="O41" t="e">
            <v>#N/A</v>
          </cell>
        </row>
        <row r="42">
          <cell r="B42" t="str">
            <v>ANN</v>
          </cell>
          <cell r="C42" t="str">
            <v>ANN2012</v>
          </cell>
          <cell r="E42">
            <v>7.0212741774499945E-2</v>
          </cell>
          <cell r="G42">
            <v>0.12403994259756541</v>
          </cell>
          <cell r="J42">
            <v>3</v>
          </cell>
          <cell r="K42" t="e">
            <v>#REF!</v>
          </cell>
          <cell r="M42" t="e">
            <v>#N/A</v>
          </cell>
          <cell r="N42" t="e">
            <v>#N/A</v>
          </cell>
          <cell r="O42" t="e">
            <v>#N/A</v>
          </cell>
        </row>
        <row r="43">
          <cell r="B43" t="str">
            <v>ARO</v>
          </cell>
          <cell r="C43" t="str">
            <v>ARO2012</v>
          </cell>
          <cell r="E43">
            <v>3.8601898098130097E-2</v>
          </cell>
          <cell r="G43">
            <v>8.7383988118237624E-2</v>
          </cell>
          <cell r="J43">
            <v>4</v>
          </cell>
          <cell r="K43" t="e">
            <v>#REF!</v>
          </cell>
          <cell r="M43" t="e">
            <v>#N/A</v>
          </cell>
          <cell r="N43" t="e">
            <v>#N/A</v>
          </cell>
          <cell r="O43" t="e">
            <v>#N/A</v>
          </cell>
        </row>
        <row r="44">
          <cell r="B44" t="str">
            <v>CHS</v>
          </cell>
          <cell r="C44" t="str">
            <v>CHS2012</v>
          </cell>
          <cell r="E44">
            <v>0.11212155024920044</v>
          </cell>
          <cell r="G44">
            <v>7.9812262960484798E-2</v>
          </cell>
          <cell r="J44">
            <v>5</v>
          </cell>
          <cell r="K44" t="e">
            <v>#REF!</v>
          </cell>
          <cell r="M44" t="e">
            <v>#N/A</v>
          </cell>
          <cell r="N44" t="e">
            <v>#N/A</v>
          </cell>
          <cell r="O44" t="e">
            <v>#N/A</v>
          </cell>
        </row>
        <row r="45">
          <cell r="B45" t="str">
            <v>COH</v>
          </cell>
          <cell r="C45" t="str">
            <v>COH2012</v>
          </cell>
          <cell r="E45">
            <v>0.3256643670824953</v>
          </cell>
          <cell r="G45">
            <v>3.4982012079537157E-5</v>
          </cell>
          <cell r="J45">
            <v>6</v>
          </cell>
          <cell r="K45" t="e">
            <v>#REF!</v>
          </cell>
          <cell r="M45" t="e">
            <v>#N/A</v>
          </cell>
          <cell r="N45" t="e">
            <v>#N/A</v>
          </cell>
          <cell r="O45" t="e">
            <v>#N/A</v>
          </cell>
        </row>
        <row r="46">
          <cell r="B46" t="str">
            <v>EXPR</v>
          </cell>
          <cell r="C46" t="str">
            <v>EXPR2012</v>
          </cell>
          <cell r="E46">
            <v>0.11711122873613471</v>
          </cell>
          <cell r="G46">
            <v>0.13382112027127621</v>
          </cell>
          <cell r="J46">
            <v>7</v>
          </cell>
          <cell r="K46" t="e">
            <v>#REF!</v>
          </cell>
          <cell r="M46" t="e">
            <v>#N/A</v>
          </cell>
          <cell r="N46" t="e">
            <v>#N/A</v>
          </cell>
          <cell r="O46" t="e">
            <v>#N/A</v>
          </cell>
        </row>
        <row r="47">
          <cell r="B47" t="str">
            <v>GPS</v>
          </cell>
          <cell r="C47" t="str">
            <v>GPS2012</v>
          </cell>
          <cell r="E47">
            <v>0.12408152833684749</v>
          </cell>
          <cell r="G47">
            <v>0.11351964730688134</v>
          </cell>
          <cell r="J47">
            <v>8</v>
          </cell>
          <cell r="K47" t="e">
            <v>#REF!</v>
          </cell>
          <cell r="M47" t="e">
            <v>#N/A</v>
          </cell>
          <cell r="N47" t="e">
            <v>#N/A</v>
          </cell>
          <cell r="O47" t="e">
            <v>#N/A</v>
          </cell>
        </row>
        <row r="48">
          <cell r="B48" t="str">
            <v>KORS</v>
          </cell>
          <cell r="C48" t="str">
            <v>KORS2012</v>
          </cell>
          <cell r="E48">
            <v>0.27807961145283255</v>
          </cell>
          <cell r="G48">
            <v>6.4530410344054365E-2</v>
          </cell>
          <cell r="J48">
            <v>9</v>
          </cell>
          <cell r="K48" t="e">
            <v>#REF!</v>
          </cell>
          <cell r="M48" t="e">
            <v>#N/A</v>
          </cell>
          <cell r="N48" t="e">
            <v>#N/A</v>
          </cell>
          <cell r="O48" t="e">
            <v>#N/A</v>
          </cell>
        </row>
        <row r="49">
          <cell r="B49" t="str">
            <v>LTD</v>
          </cell>
          <cell r="C49" t="str">
            <v>LTD2012</v>
          </cell>
          <cell r="E49" t="e">
            <v>#REF!</v>
          </cell>
          <cell r="G49">
            <v>-9.6206576184754474E-3</v>
          </cell>
          <cell r="J49">
            <v>10</v>
          </cell>
          <cell r="K49" t="e">
            <v>#REF!</v>
          </cell>
          <cell r="M49" t="e">
            <v>#N/A</v>
          </cell>
          <cell r="N49" t="e">
            <v>#N/A</v>
          </cell>
          <cell r="O49" t="e">
            <v>#N/A</v>
          </cell>
        </row>
        <row r="50">
          <cell r="B50" t="str">
            <v>LULU</v>
          </cell>
          <cell r="C50" t="str">
            <v>LULU2012</v>
          </cell>
          <cell r="E50" t="e">
            <v>#N/A</v>
          </cell>
          <cell r="G50">
            <v>6.0150705144203197E-2</v>
          </cell>
          <cell r="J50">
            <v>11</v>
          </cell>
          <cell r="K50" t="e">
            <v>#N/A</v>
          </cell>
          <cell r="M50" t="e">
            <v>#N/A</v>
          </cell>
          <cell r="N50" t="e">
            <v>#N/A</v>
          </cell>
          <cell r="O50" t="e">
            <v>#N/A</v>
          </cell>
        </row>
        <row r="51">
          <cell r="B51" t="str">
            <v>PLCE</v>
          </cell>
          <cell r="C51" t="str">
            <v>PLCE2012</v>
          </cell>
          <cell r="E51">
            <v>6.3735779110753052E-2</v>
          </cell>
          <cell r="G51">
            <v>0.14313360258106445</v>
          </cell>
          <cell r="J51">
            <v>12</v>
          </cell>
          <cell r="K51" t="e">
            <v>#REF!</v>
          </cell>
          <cell r="M51" t="e">
            <v>#N/A</v>
          </cell>
          <cell r="N51" t="e">
            <v>#N/A</v>
          </cell>
          <cell r="O51" t="e">
            <v>#N/A</v>
          </cell>
        </row>
        <row r="52">
          <cell r="B52" t="str">
            <v>ROST</v>
          </cell>
          <cell r="C52" t="str">
            <v>ROST2012</v>
          </cell>
          <cell r="E52">
            <v>0.13082424610883689</v>
          </cell>
          <cell r="G52">
            <v>5.4542007485805309E-2</v>
          </cell>
          <cell r="J52">
            <v>13</v>
          </cell>
          <cell r="K52" t="e">
            <v>#REF!</v>
          </cell>
          <cell r="M52" t="e">
            <v>#N/A</v>
          </cell>
          <cell r="N52" t="e">
            <v>#N/A</v>
          </cell>
          <cell r="O52" t="e">
            <v>#N/A</v>
          </cell>
        </row>
        <row r="53">
          <cell r="B53" t="str">
            <v>TIF</v>
          </cell>
          <cell r="C53" t="str">
            <v>TIF2012</v>
          </cell>
          <cell r="E53">
            <v>0.18381455361943019</v>
          </cell>
          <cell r="G53">
            <v>8.6018880675675216E-2</v>
          </cell>
          <cell r="J53">
            <v>14</v>
          </cell>
          <cell r="K53" t="e">
            <v>#REF!</v>
          </cell>
          <cell r="M53" t="e">
            <v>#N/A</v>
          </cell>
          <cell r="N53" t="e">
            <v>#N/A</v>
          </cell>
          <cell r="O53" t="e">
            <v>#N/A</v>
          </cell>
        </row>
        <row r="54">
          <cell r="B54" t="str">
            <v>TJX</v>
          </cell>
          <cell r="C54" t="str">
            <v>TJX2012</v>
          </cell>
          <cell r="E54">
            <v>0.12004333193757324</v>
          </cell>
          <cell r="G54">
            <v>6.0213525023907991E-2</v>
          </cell>
          <cell r="J54">
            <v>15</v>
          </cell>
          <cell r="K54" t="e">
            <v>#REF!</v>
          </cell>
          <cell r="M54" t="e">
            <v>#N/A</v>
          </cell>
          <cell r="N54" t="e">
            <v>#N/A</v>
          </cell>
          <cell r="O54" t="e">
            <v>#N/A</v>
          </cell>
        </row>
        <row r="55">
          <cell r="B55" t="str">
            <v>URBN</v>
          </cell>
          <cell r="C55" t="str">
            <v>URBN2012</v>
          </cell>
          <cell r="E55">
            <v>0.13391593692138434</v>
          </cell>
          <cell r="G55">
            <v>9.4505110512804441E-2</v>
          </cell>
          <cell r="J55">
            <v>16</v>
          </cell>
          <cell r="K55" t="e">
            <v>#REF!</v>
          </cell>
          <cell r="M55" t="e">
            <v>#N/A</v>
          </cell>
          <cell r="N55" t="e">
            <v>#N/A</v>
          </cell>
          <cell r="O55" t="e">
            <v>#N/A</v>
          </cell>
        </row>
      </sheetData>
      <sheetData sheetId="5"/>
      <sheetData sheetId="6">
        <row r="4">
          <cell r="G4" t="str">
            <v>EPS Impact Based on:</v>
          </cell>
        </row>
        <row r="5">
          <cell r="C5" t="str">
            <v>2013E</v>
          </cell>
          <cell r="G5" t="str">
            <v>Basis Points of Favorable Leverage</v>
          </cell>
        </row>
        <row r="6">
          <cell r="C6" t="str">
            <v>Rev. ($mm)</v>
          </cell>
          <cell r="D6" t="str">
            <v>Tax  %</v>
          </cell>
          <cell r="E6" t="str">
            <v>Shares</v>
          </cell>
          <cell r="G6">
            <v>25</v>
          </cell>
          <cell r="H6">
            <v>50</v>
          </cell>
          <cell r="I6">
            <v>75</v>
          </cell>
          <cell r="J6">
            <v>100</v>
          </cell>
        </row>
        <row r="7">
          <cell r="A7">
            <v>2013</v>
          </cell>
          <cell r="B7" t="str">
            <v>ANF</v>
          </cell>
          <cell r="C7">
            <v>4116.8969999999999</v>
          </cell>
          <cell r="D7">
            <v>0.35499999999999987</v>
          </cell>
          <cell r="E7">
            <v>77.128999999999991</v>
          </cell>
          <cell r="G7">
            <v>8.607004385509992E-2</v>
          </cell>
          <cell r="H7">
            <v>0.17214008771019984</v>
          </cell>
          <cell r="I7">
            <v>0.25821013156529976</v>
          </cell>
          <cell r="J7">
            <v>0.34428017542039968</v>
          </cell>
        </row>
        <row r="8">
          <cell r="A8">
            <v>2013</v>
          </cell>
          <cell r="B8" t="str">
            <v>AEO</v>
          </cell>
          <cell r="C8">
            <v>3305.8019999999997</v>
          </cell>
          <cell r="D8">
            <v>0.37999999999999978</v>
          </cell>
          <cell r="E8">
            <v>198.876</v>
          </cell>
          <cell r="G8">
            <v>2.576476347070537E-2</v>
          </cell>
          <cell r="H8">
            <v>5.152952694141074E-2</v>
          </cell>
          <cell r="I8">
            <v>7.7294290412116107E-2</v>
          </cell>
          <cell r="J8">
            <v>0.10305905388282148</v>
          </cell>
        </row>
        <row r="9">
          <cell r="A9">
            <v>2013</v>
          </cell>
          <cell r="B9" t="str">
            <v>ANN</v>
          </cell>
          <cell r="C9">
            <v>2493.491</v>
          </cell>
          <cell r="D9">
            <v>0.37133144960850195</v>
          </cell>
          <cell r="E9">
            <v>3.9319553411028219E-2</v>
          </cell>
          <cell r="G9">
            <v>99.669199952343391</v>
          </cell>
          <cell r="H9">
            <v>199.33839990468678</v>
          </cell>
          <cell r="I9">
            <v>299.00759985703013</v>
          </cell>
          <cell r="J9">
            <v>398.67679980937356</v>
          </cell>
        </row>
        <row r="10">
          <cell r="A10">
            <v>2013</v>
          </cell>
          <cell r="B10" t="str">
            <v>ARO</v>
          </cell>
          <cell r="C10">
            <v>2090.902</v>
          </cell>
          <cell r="D10">
            <v>0.34108693878459279</v>
          </cell>
          <cell r="E10">
            <v>77.047000000000011</v>
          </cell>
          <cell r="G10">
            <v>4.4703967627598006E-2</v>
          </cell>
          <cell r="H10">
            <v>8.9407935255196011E-2</v>
          </cell>
          <cell r="I10">
            <v>0.13411190288279401</v>
          </cell>
          <cell r="J10">
            <v>0.17881587051039202</v>
          </cell>
        </row>
        <row r="11">
          <cell r="A11">
            <v>2013</v>
          </cell>
          <cell r="B11" t="str">
            <v>COH</v>
          </cell>
          <cell r="C11">
            <v>5087.0202871521742</v>
          </cell>
          <cell r="D11">
            <v>0.3254047256325372</v>
          </cell>
          <cell r="E11">
            <v>285.91700000000003</v>
          </cell>
          <cell r="G11">
            <v>3.0005909462573668E-2</v>
          </cell>
          <cell r="H11">
            <v>6.0011818925147335E-2</v>
          </cell>
          <cell r="I11">
            <v>9.0017728387720999E-2</v>
          </cell>
          <cell r="J11">
            <v>0.12002363785029467</v>
          </cell>
        </row>
        <row r="12">
          <cell r="A12">
            <v>2013</v>
          </cell>
          <cell r="B12" t="str">
            <v>CHS</v>
          </cell>
          <cell r="C12">
            <v>2586.0369999999998</v>
          </cell>
          <cell r="D12">
            <v>0.37499999999999972</v>
          </cell>
          <cell r="E12">
            <v>158.453</v>
          </cell>
          <cell r="G12">
            <v>2.5500828715770613E-2</v>
          </cell>
          <cell r="H12">
            <v>5.1001657431541225E-2</v>
          </cell>
          <cell r="I12">
            <v>7.6502486147311838E-2</v>
          </cell>
          <cell r="J12">
            <v>0.10200331486308245</v>
          </cell>
        </row>
        <row r="13">
          <cell r="A13">
            <v>2013</v>
          </cell>
          <cell r="B13" t="str">
            <v>EXPR</v>
          </cell>
          <cell r="C13">
            <v>2186.5955326735793</v>
          </cell>
          <cell r="D13">
            <v>0.39500000000000018</v>
          </cell>
          <cell r="E13">
            <v>85.894999999999996</v>
          </cell>
          <cell r="G13">
            <v>3.8503122919480617E-2</v>
          </cell>
          <cell r="H13">
            <v>7.7006245838961235E-2</v>
          </cell>
          <cell r="I13">
            <v>0.11550936875844184</v>
          </cell>
          <cell r="J13">
            <v>0.15401249167792247</v>
          </cell>
        </row>
        <row r="14">
          <cell r="A14">
            <v>2013</v>
          </cell>
          <cell r="B14" t="str">
            <v>KORS</v>
          </cell>
          <cell r="C14">
            <v>0.58904486203358519</v>
          </cell>
          <cell r="D14">
            <v>0</v>
          </cell>
          <cell r="E14">
            <v>0.29942648035485164</v>
          </cell>
          <cell r="G14">
            <v>4.9181092912649665E-3</v>
          </cell>
          <cell r="H14">
            <v>9.836218582529933E-3</v>
          </cell>
          <cell r="I14">
            <v>1.47543278737949E-2</v>
          </cell>
          <cell r="J14">
            <v>1.9672437165059866E-2</v>
          </cell>
        </row>
        <row r="15">
          <cell r="A15">
            <v>2013</v>
          </cell>
          <cell r="B15" t="str">
            <v>GPS</v>
          </cell>
          <cell r="C15">
            <v>16148</v>
          </cell>
          <cell r="D15">
            <v>0.38843764930721453</v>
          </cell>
          <cell r="E15">
            <v>488</v>
          </cell>
          <cell r="G15">
            <v>5.059174610136833E-2</v>
          </cell>
          <cell r="H15">
            <v>0.10118349220273666</v>
          </cell>
          <cell r="I15">
            <v>0.151775238304105</v>
          </cell>
          <cell r="J15">
            <v>0.20236698440547332</v>
          </cell>
        </row>
        <row r="16">
          <cell r="A16">
            <v>2013</v>
          </cell>
          <cell r="B16" t="str">
            <v>LTD</v>
          </cell>
          <cell r="C16">
            <v>11026.371251157587</v>
          </cell>
          <cell r="D16">
            <v>0.38220788021602242</v>
          </cell>
          <cell r="E16">
            <v>292.298</v>
          </cell>
          <cell r="G16">
            <v>5.8262503239654005E-2</v>
          </cell>
          <cell r="H16">
            <v>0.11652500647930801</v>
          </cell>
          <cell r="I16">
            <v>0.17478750971896198</v>
          </cell>
          <cell r="J16">
            <v>0.23305001295861602</v>
          </cell>
        </row>
        <row r="17">
          <cell r="A17">
            <v>2013</v>
          </cell>
          <cell r="B17" t="str">
            <v>LULU</v>
          </cell>
          <cell r="C17">
            <v>1591.1880000000001</v>
          </cell>
          <cell r="D17">
            <v>0</v>
          </cell>
          <cell r="E17">
            <v>3.1629902384018749E-2</v>
          </cell>
          <cell r="G17">
            <v>125.76611687584278</v>
          </cell>
          <cell r="H17">
            <v>251.53223375168557</v>
          </cell>
          <cell r="I17">
            <v>377.29835062752835</v>
          </cell>
          <cell r="J17">
            <v>503.06446750337113</v>
          </cell>
        </row>
        <row r="18">
          <cell r="A18">
            <v>2013</v>
          </cell>
          <cell r="B18" t="str">
            <v>PLCE</v>
          </cell>
          <cell r="C18">
            <v>1810.0853655980659</v>
          </cell>
          <cell r="D18">
            <v>0.3350000000000003</v>
          </cell>
          <cell r="E18">
            <v>22.839000000000002</v>
          </cell>
          <cell r="G18">
            <v>0.13176001227316358</v>
          </cell>
          <cell r="H18">
            <v>0.26352002454632717</v>
          </cell>
          <cell r="I18">
            <v>0.39528003681949064</v>
          </cell>
          <cell r="J18">
            <v>0.52704004909265434</v>
          </cell>
        </row>
        <row r="19">
          <cell r="A19">
            <v>2013</v>
          </cell>
          <cell r="B19" t="str">
            <v>URBN</v>
          </cell>
          <cell r="C19">
            <v>3086.64446</v>
          </cell>
          <cell r="D19">
            <v>0.68700000000000006</v>
          </cell>
          <cell r="E19">
            <v>0</v>
          </cell>
          <cell r="G19" t="e">
            <v>#DIV/0!</v>
          </cell>
          <cell r="H19" t="e">
            <v>#DIV/0!</v>
          </cell>
          <cell r="I19" t="e">
            <v>#DIV/0!</v>
          </cell>
          <cell r="J19" t="e">
            <v>#DIV/0!</v>
          </cell>
        </row>
        <row r="20">
          <cell r="A20">
            <v>2013</v>
          </cell>
          <cell r="B20" t="str">
            <v>ROST</v>
          </cell>
          <cell r="C20">
            <v>10230.352999999999</v>
          </cell>
          <cell r="D20">
            <v>0.37999999999999984</v>
          </cell>
          <cell r="E20">
            <v>9.8656002653935371E-2</v>
          </cell>
          <cell r="G20">
            <v>160.7306876766861</v>
          </cell>
          <cell r="H20">
            <v>321.4613753533722</v>
          </cell>
          <cell r="I20">
            <v>482.19206303005825</v>
          </cell>
          <cell r="J20">
            <v>642.92275070674441</v>
          </cell>
        </row>
        <row r="21">
          <cell r="A21">
            <v>2013</v>
          </cell>
          <cell r="B21" t="str">
            <v>TIF</v>
          </cell>
          <cell r="C21">
            <v>4031.13</v>
          </cell>
          <cell r="D21">
            <v>56.952000000000005</v>
          </cell>
          <cell r="E21">
            <v>127.492</v>
          </cell>
          <cell r="G21">
            <v>-4.4228223292441884</v>
          </cell>
          <cell r="H21">
            <v>-8.8456446584883768</v>
          </cell>
          <cell r="I21">
            <v>-13.268466987732563</v>
          </cell>
          <cell r="J21">
            <v>-17.691289316976754</v>
          </cell>
        </row>
        <row r="22">
          <cell r="A22">
            <v>2013</v>
          </cell>
          <cell r="B22" t="str">
            <v>TJX</v>
          </cell>
          <cell r="C22">
            <v>27422.696</v>
          </cell>
          <cell r="D22">
            <v>0.3561074852183575</v>
          </cell>
          <cell r="E22">
            <v>719.02866666666682</v>
          </cell>
          <cell r="G22">
            <v>6.1392784140963164E-2</v>
          </cell>
          <cell r="H22">
            <v>0.12278556828192633</v>
          </cell>
          <cell r="I22">
            <v>0.18417835242288946</v>
          </cell>
          <cell r="J22">
            <v>0.24557113656385265</v>
          </cell>
        </row>
        <row r="23">
          <cell r="E23" t="str">
            <v>Average:</v>
          </cell>
          <cell r="G23" t="e">
            <v>#DIV/0!</v>
          </cell>
          <cell r="H23" t="e">
            <v>#DIV/0!</v>
          </cell>
          <cell r="I23" t="e">
            <v>#DIV/0!</v>
          </cell>
          <cell r="J23" t="e">
            <v>#DIV/0!</v>
          </cell>
        </row>
        <row r="27">
          <cell r="B27" t="e">
            <v>#N/A</v>
          </cell>
          <cell r="C27" t="e">
            <v>#N/A</v>
          </cell>
        </row>
        <row r="28">
          <cell r="B28" t="e">
            <v>#N/A</v>
          </cell>
          <cell r="C28" t="e">
            <v>#N/A</v>
          </cell>
        </row>
        <row r="29">
          <cell r="B29" t="e">
            <v>#N/A</v>
          </cell>
          <cell r="C29" t="e">
            <v>#N/A</v>
          </cell>
        </row>
        <row r="30">
          <cell r="B30" t="e">
            <v>#N/A</v>
          </cell>
          <cell r="C30" t="e">
            <v>#N/A</v>
          </cell>
        </row>
        <row r="31">
          <cell r="B31" t="e">
            <v>#N/A</v>
          </cell>
          <cell r="C31" t="e">
            <v>#N/A</v>
          </cell>
        </row>
        <row r="32">
          <cell r="B32" t="e">
            <v>#N/A</v>
          </cell>
          <cell r="C32" t="e">
            <v>#N/A</v>
          </cell>
        </row>
        <row r="33">
          <cell r="B33" t="e">
            <v>#N/A</v>
          </cell>
          <cell r="C33" t="e">
            <v>#N/A</v>
          </cell>
        </row>
        <row r="34">
          <cell r="B34" t="e">
            <v>#N/A</v>
          </cell>
          <cell r="C34" t="e">
            <v>#N/A</v>
          </cell>
        </row>
        <row r="35">
          <cell r="B35" t="e">
            <v>#N/A</v>
          </cell>
          <cell r="C35" t="e">
            <v>#N/A</v>
          </cell>
        </row>
        <row r="36">
          <cell r="B36" t="e">
            <v>#N/A</v>
          </cell>
          <cell r="C36" t="e">
            <v>#N/A</v>
          </cell>
        </row>
        <row r="37">
          <cell r="B37" t="e">
            <v>#N/A</v>
          </cell>
          <cell r="C37" t="e">
            <v>#N/A</v>
          </cell>
        </row>
        <row r="38">
          <cell r="B38" t="e">
            <v>#N/A</v>
          </cell>
          <cell r="C38" t="e">
            <v>#N/A</v>
          </cell>
        </row>
        <row r="39">
          <cell r="B39" t="e">
            <v>#N/A</v>
          </cell>
          <cell r="C39" t="e">
            <v>#N/A</v>
          </cell>
        </row>
        <row r="40">
          <cell r="B40" t="e">
            <v>#N/A</v>
          </cell>
          <cell r="C40" t="e">
            <v>#N/A</v>
          </cell>
        </row>
        <row r="41">
          <cell r="B41" t="e">
            <v>#N/A</v>
          </cell>
          <cell r="C41" t="e">
            <v>#N/A</v>
          </cell>
        </row>
        <row r="42">
          <cell r="B42" t="e">
            <v>#N/A</v>
          </cell>
          <cell r="C42" t="e">
            <v>#N/A</v>
          </cell>
        </row>
        <row r="43">
          <cell r="B43" t="e">
            <v>#N/A</v>
          </cell>
          <cell r="C43" t="e">
            <v>#N/A</v>
          </cell>
        </row>
        <row r="54">
          <cell r="A54">
            <v>9</v>
          </cell>
        </row>
        <row r="55">
          <cell r="B55" t="str">
            <v>ANF</v>
          </cell>
          <cell r="C55">
            <v>0.34428017542039968</v>
          </cell>
          <cell r="E55">
            <v>1</v>
          </cell>
          <cell r="G55" t="e">
            <v>#DIV/0!</v>
          </cell>
          <cell r="H55" t="e">
            <v>#N/A</v>
          </cell>
          <cell r="I55" t="e">
            <v>#N/A</v>
          </cell>
        </row>
        <row r="56">
          <cell r="B56" t="str">
            <v>AEO</v>
          </cell>
          <cell r="C56">
            <v>0.10305905388282148</v>
          </cell>
          <cell r="E56">
            <v>2</v>
          </cell>
          <cell r="G56" t="e">
            <v>#DIV/0!</v>
          </cell>
          <cell r="H56" t="e">
            <v>#N/A</v>
          </cell>
          <cell r="I56" t="e">
            <v>#N/A</v>
          </cell>
        </row>
        <row r="57">
          <cell r="B57" t="str">
            <v>ANN</v>
          </cell>
          <cell r="C57">
            <v>398.67679980937356</v>
          </cell>
          <cell r="E57">
            <v>3</v>
          </cell>
          <cell r="G57" t="e">
            <v>#DIV/0!</v>
          </cell>
          <cell r="H57" t="e">
            <v>#N/A</v>
          </cell>
          <cell r="I57" t="e">
            <v>#N/A</v>
          </cell>
        </row>
        <row r="58">
          <cell r="B58" t="str">
            <v>ARO</v>
          </cell>
          <cell r="C58">
            <v>0.17881587051039202</v>
          </cell>
          <cell r="E58">
            <v>4</v>
          </cell>
          <cell r="G58" t="e">
            <v>#DIV/0!</v>
          </cell>
          <cell r="H58" t="e">
            <v>#N/A</v>
          </cell>
          <cell r="I58" t="e">
            <v>#N/A</v>
          </cell>
        </row>
        <row r="59">
          <cell r="B59" t="str">
            <v>COH</v>
          </cell>
          <cell r="C59">
            <v>0.12002363785029467</v>
          </cell>
          <cell r="E59">
            <v>5</v>
          </cell>
          <cell r="G59" t="e">
            <v>#DIV/0!</v>
          </cell>
          <cell r="H59" t="e">
            <v>#N/A</v>
          </cell>
          <cell r="I59" t="e">
            <v>#N/A</v>
          </cell>
        </row>
        <row r="60">
          <cell r="B60" t="str">
            <v>CHS</v>
          </cell>
          <cell r="C60">
            <v>0.10200331486308245</v>
          </cell>
          <cell r="E60">
            <v>6</v>
          </cell>
          <cell r="G60" t="e">
            <v>#DIV/0!</v>
          </cell>
          <cell r="H60" t="e">
            <v>#N/A</v>
          </cell>
          <cell r="I60" t="e">
            <v>#N/A</v>
          </cell>
        </row>
        <row r="61">
          <cell r="B61" t="str">
            <v>EXPR</v>
          </cell>
          <cell r="C61">
            <v>0.15401249167792247</v>
          </cell>
          <cell r="E61">
            <v>7</v>
          </cell>
          <cell r="G61" t="e">
            <v>#DIV/0!</v>
          </cell>
          <cell r="H61" t="e">
            <v>#N/A</v>
          </cell>
          <cell r="I61" t="e">
            <v>#N/A</v>
          </cell>
        </row>
        <row r="62">
          <cell r="B62" t="str">
            <v>KORS</v>
          </cell>
          <cell r="C62">
            <v>1.9672437165059866E-2</v>
          </cell>
          <cell r="E62">
            <v>8</v>
          </cell>
          <cell r="G62" t="e">
            <v>#DIV/0!</v>
          </cell>
          <cell r="H62" t="e">
            <v>#N/A</v>
          </cell>
          <cell r="I62" t="e">
            <v>#N/A</v>
          </cell>
        </row>
        <row r="63">
          <cell r="B63" t="str">
            <v>GPS</v>
          </cell>
          <cell r="C63">
            <v>0.20236698440547332</v>
          </cell>
          <cell r="E63">
            <v>9</v>
          </cell>
          <cell r="G63" t="e">
            <v>#DIV/0!</v>
          </cell>
          <cell r="H63" t="e">
            <v>#N/A</v>
          </cell>
          <cell r="I63" t="e">
            <v>#N/A</v>
          </cell>
        </row>
        <row r="64">
          <cell r="B64" t="str">
            <v>LTD</v>
          </cell>
          <cell r="C64">
            <v>0.23305001295861602</v>
          </cell>
          <cell r="E64">
            <v>10</v>
          </cell>
          <cell r="G64" t="e">
            <v>#DIV/0!</v>
          </cell>
          <cell r="H64" t="e">
            <v>#N/A</v>
          </cell>
          <cell r="I64" t="e">
            <v>#N/A</v>
          </cell>
        </row>
        <row r="65">
          <cell r="B65" t="str">
            <v>LULU</v>
          </cell>
          <cell r="C65">
            <v>503.06446750337113</v>
          </cell>
          <cell r="E65">
            <v>11</v>
          </cell>
          <cell r="G65" t="e">
            <v>#DIV/0!</v>
          </cell>
          <cell r="H65" t="e">
            <v>#N/A</v>
          </cell>
          <cell r="I65" t="e">
            <v>#N/A</v>
          </cell>
        </row>
        <row r="66">
          <cell r="B66" t="str">
            <v>PLCE</v>
          </cell>
          <cell r="C66">
            <v>0.52704004909265434</v>
          </cell>
          <cell r="E66">
            <v>12</v>
          </cell>
          <cell r="G66" t="e">
            <v>#DIV/0!</v>
          </cell>
          <cell r="H66" t="e">
            <v>#N/A</v>
          </cell>
          <cell r="I66" t="e">
            <v>#N/A</v>
          </cell>
        </row>
        <row r="67">
          <cell r="B67" t="str">
            <v>URBN</v>
          </cell>
          <cell r="C67" t="e">
            <v>#DIV/0!</v>
          </cell>
          <cell r="E67">
            <v>13</v>
          </cell>
          <cell r="G67" t="e">
            <v>#DIV/0!</v>
          </cell>
          <cell r="H67" t="e">
            <v>#N/A</v>
          </cell>
          <cell r="I67" t="e">
            <v>#N/A</v>
          </cell>
        </row>
        <row r="68">
          <cell r="B68" t="str">
            <v>ROST</v>
          </cell>
          <cell r="C68">
            <v>642.92275070674441</v>
          </cell>
          <cell r="E68">
            <v>14</v>
          </cell>
          <cell r="G68" t="e">
            <v>#DIV/0!</v>
          </cell>
          <cell r="H68" t="e">
            <v>#N/A</v>
          </cell>
          <cell r="I68" t="e">
            <v>#N/A</v>
          </cell>
        </row>
        <row r="69">
          <cell r="B69" t="str">
            <v>TIF</v>
          </cell>
          <cell r="C69">
            <v>-17.691289316976754</v>
          </cell>
          <cell r="E69">
            <v>15</v>
          </cell>
          <cell r="G69" t="e">
            <v>#DIV/0!</v>
          </cell>
          <cell r="H69" t="e">
            <v>#N/A</v>
          </cell>
          <cell r="I69" t="e">
            <v>#N/A</v>
          </cell>
        </row>
        <row r="70">
          <cell r="B70" t="str">
            <v>TJX</v>
          </cell>
          <cell r="C70">
            <v>0.24557113656385265</v>
          </cell>
          <cell r="E70">
            <v>16</v>
          </cell>
          <cell r="G70" t="e">
            <v>#DIV/0!</v>
          </cell>
          <cell r="H70" t="e">
            <v>#N/A</v>
          </cell>
          <cell r="I70" t="e">
            <v>#N/A</v>
          </cell>
        </row>
        <row r="71">
          <cell r="B71" t="str">
            <v>Average:</v>
          </cell>
          <cell r="C71" t="e">
            <v>#DIV/0!</v>
          </cell>
          <cell r="E71">
            <v>17</v>
          </cell>
          <cell r="G71" t="e">
            <v>#DIV/0!</v>
          </cell>
          <cell r="H71" t="e">
            <v>#N/A</v>
          </cell>
          <cell r="I71" t="e">
            <v>#N/A</v>
          </cell>
        </row>
        <row r="76">
          <cell r="A76">
            <v>0</v>
          </cell>
          <cell r="B76" t="e">
            <v>#N/A</v>
          </cell>
          <cell r="C76" t="e">
            <v>#N/A</v>
          </cell>
        </row>
        <row r="77">
          <cell r="A77">
            <v>-1</v>
          </cell>
          <cell r="B77" t="e">
            <v>#N/A</v>
          </cell>
          <cell r="C77" t="e">
            <v>#N/A</v>
          </cell>
        </row>
        <row r="78">
          <cell r="A78">
            <v>-2</v>
          </cell>
          <cell r="B78" t="e">
            <v>#N/A</v>
          </cell>
          <cell r="C78" t="e">
            <v>#N/A</v>
          </cell>
        </row>
        <row r="79">
          <cell r="A79">
            <v>-3</v>
          </cell>
          <cell r="B79" t="e">
            <v>#N/A</v>
          </cell>
          <cell r="C79" t="e">
            <v>#N/A</v>
          </cell>
        </row>
        <row r="80">
          <cell r="A80">
            <v>-4</v>
          </cell>
          <cell r="B80" t="e">
            <v>#N/A</v>
          </cell>
          <cell r="C80" t="e">
            <v>#N/A</v>
          </cell>
        </row>
        <row r="81">
          <cell r="A81">
            <v>-5</v>
          </cell>
          <cell r="B81" t="e">
            <v>#N/A</v>
          </cell>
          <cell r="C81" t="e">
            <v>#N/A</v>
          </cell>
        </row>
        <row r="82">
          <cell r="A82">
            <v>-6</v>
          </cell>
          <cell r="B82" t="e">
            <v>#N/A</v>
          </cell>
          <cell r="C82" t="e">
            <v>#N/A</v>
          </cell>
        </row>
        <row r="83">
          <cell r="A83">
            <v>-7</v>
          </cell>
          <cell r="B83" t="e">
            <v>#N/A</v>
          </cell>
          <cell r="C83" t="e">
            <v>#N/A</v>
          </cell>
        </row>
        <row r="84">
          <cell r="A84">
            <v>-8</v>
          </cell>
          <cell r="B84" t="e">
            <v>#N/A</v>
          </cell>
          <cell r="C84" t="e">
            <v>#N/A</v>
          </cell>
        </row>
        <row r="85">
          <cell r="A85">
            <v>-9</v>
          </cell>
          <cell r="B85" t="e">
            <v>#N/A</v>
          </cell>
          <cell r="C85" t="e">
            <v>#N/A</v>
          </cell>
        </row>
        <row r="86">
          <cell r="A86">
            <v>-10</v>
          </cell>
          <cell r="B86" t="e">
            <v>#N/A</v>
          </cell>
          <cell r="C86" t="e">
            <v>#N/A</v>
          </cell>
        </row>
        <row r="87">
          <cell r="A87">
            <v>-11</v>
          </cell>
          <cell r="B87" t="e">
            <v>#N/A</v>
          </cell>
          <cell r="C87" t="e">
            <v>#N/A</v>
          </cell>
        </row>
        <row r="88">
          <cell r="A88">
            <v>-12</v>
          </cell>
          <cell r="B88" t="e">
            <v>#N/A</v>
          </cell>
          <cell r="C88" t="e">
            <v>#N/A</v>
          </cell>
        </row>
        <row r="89">
          <cell r="A89">
            <v>-13</v>
          </cell>
          <cell r="B89" t="e">
            <v>#N/A</v>
          </cell>
          <cell r="C89" t="e">
            <v>#N/A</v>
          </cell>
        </row>
        <row r="90">
          <cell r="A90">
            <v>-14</v>
          </cell>
          <cell r="B90" t="e">
            <v>#N/A</v>
          </cell>
          <cell r="C90" t="e">
            <v>#N/A</v>
          </cell>
        </row>
        <row r="91">
          <cell r="A91">
            <v>-15</v>
          </cell>
          <cell r="B91" t="e">
            <v>#N/A</v>
          </cell>
          <cell r="C91" t="e">
            <v>#N/A</v>
          </cell>
        </row>
        <row r="92">
          <cell r="A92">
            <v>-16</v>
          </cell>
          <cell r="B92" t="e">
            <v>#N/A</v>
          </cell>
          <cell r="C92" t="e">
            <v>#N/A</v>
          </cell>
        </row>
      </sheetData>
      <sheetData sheetId="7"/>
      <sheetData sheetId="8">
        <row r="2">
          <cell r="D2" t="str">
            <v>u</v>
          </cell>
          <cell r="E2" t="str">
            <v>p</v>
          </cell>
          <cell r="F2" t="str">
            <v>k</v>
          </cell>
          <cell r="G2" t="str">
            <v>p</v>
          </cell>
        </row>
        <row r="3">
          <cell r="D3" t="str">
            <v>f</v>
          </cell>
          <cell r="E3" t="str">
            <v>k</v>
          </cell>
          <cell r="F3" t="str">
            <v>p</v>
          </cell>
          <cell r="G3" t="str">
            <v>u</v>
          </cell>
          <cell r="K3" t="str">
            <v>--Don't Paste--</v>
          </cell>
        </row>
        <row r="4">
          <cell r="A4" t="str">
            <v>'13 forecast status</v>
          </cell>
          <cell r="B4" t="str">
            <v>Ticker</v>
          </cell>
          <cell r="C4" t="str">
            <v>Our 2013E Rent Margin Forecast (bps)</v>
          </cell>
          <cell r="D4" t="str">
            <v>Operating Margin</v>
          </cell>
          <cell r="E4" t="str">
            <v>Sales
Productivity</v>
          </cell>
          <cell r="F4" t="str">
            <v>Rent $ PSF</v>
          </cell>
          <cell r="G4" t="str">
            <v>Rent Margin
(total sales)</v>
          </cell>
          <cell r="H4" t="str">
            <v>Rent Margin
(store sales)</v>
          </cell>
          <cell r="I4" t="str">
            <v>Comments</v>
          </cell>
          <cell r="K4" t="str">
            <v>2013E Comp. Sales %</v>
          </cell>
        </row>
        <row r="5">
          <cell r="A5" t="str">
            <v>check-in wed</v>
          </cell>
          <cell r="B5" t="str">
            <v>ANF</v>
          </cell>
          <cell r="C5">
            <v>-229.75073062217939</v>
          </cell>
          <cell r="D5" t="e">
            <v>#N/A</v>
          </cell>
          <cell r="E5" t="str">
            <v>Middle Tier</v>
          </cell>
          <cell r="F5" t="str">
            <v>Highest Tier</v>
          </cell>
          <cell r="G5" t="str">
            <v>Lowest Tier</v>
          </cell>
          <cell r="H5" t="str">
            <v>Lowest Tier</v>
          </cell>
          <cell r="I5" t="str">
            <v>Low operating margin and high rent margin combined with our expectation for closures of underperforming stores and beneficial mix shift toward international stores suggests leverage opportunity.</v>
          </cell>
          <cell r="K5" t="e">
            <v>#N/A</v>
          </cell>
          <cell r="L5">
            <v>-2.3904589063689273E-2</v>
          </cell>
        </row>
        <row r="6">
          <cell r="A6" t="str">
            <v>guidance</v>
          </cell>
          <cell r="B6" t="str">
            <v>ANN</v>
          </cell>
          <cell r="C6">
            <v>17.928600935579741</v>
          </cell>
          <cell r="D6" t="e">
            <v>#N/A</v>
          </cell>
          <cell r="E6" t="str">
            <v>Lowest Tier</v>
          </cell>
          <cell r="F6" t="str">
            <v>Middle Tier</v>
          </cell>
          <cell r="G6" t="str">
            <v>Lowest Tier</v>
          </cell>
          <cell r="H6" t="str">
            <v>Lowest Tier</v>
          </cell>
          <cell r="I6" t="str">
            <v>Low operating margin, low sales productivity, high rent margin and outlook for +LSD comps indicates some leverage opportunity.  In addition, store growth is focused on lower rent outlet centers and mall stores downsizing into smaller boxes with store productivity to improve.</v>
          </cell>
          <cell r="K6">
            <v>3.3418816991071507E-2</v>
          </cell>
        </row>
        <row r="7">
          <cell r="A7" t="str">
            <v>ok</v>
          </cell>
          <cell r="B7" t="str">
            <v>PLCE</v>
          </cell>
          <cell r="C7">
            <v>-12.624278769471086</v>
          </cell>
          <cell r="D7" t="e">
            <v>#N/A</v>
          </cell>
          <cell r="E7" t="str">
            <v>Lowest Tier</v>
          </cell>
          <cell r="F7" t="str">
            <v>Middle Tier</v>
          </cell>
          <cell r="G7" t="str">
            <v>Lowest Tier</v>
          </cell>
          <cell r="H7" t="str">
            <v>Lowest Tier</v>
          </cell>
          <cell r="I7" t="str">
            <v>PLCE has the second lowest operating margin, third lowest sales productivity, highest rent margin, and we see only +LSD 2013e comps.  However, the company is accelerating new store growth with a focus on value centers which could lower average rents and create leverage.</v>
          </cell>
          <cell r="K7">
            <v>0.02</v>
          </cell>
        </row>
        <row r="8">
          <cell r="A8" t="str">
            <v>ok</v>
          </cell>
          <cell r="B8" t="str">
            <v>EXPR</v>
          </cell>
          <cell r="C8">
            <v>-125.26235376783684</v>
          </cell>
          <cell r="D8" t="e">
            <v>#N/A</v>
          </cell>
          <cell r="E8" t="str">
            <v>Lowest Tier</v>
          </cell>
          <cell r="F8" t="str">
            <v>Middle Tier</v>
          </cell>
          <cell r="G8" t="str">
            <v>Lowest Tier</v>
          </cell>
          <cell r="H8" t="str">
            <v>Lowest Tier</v>
          </cell>
          <cell r="I8" t="str">
            <v>Low operating margin and high rent margin, but improved traffic-driving fashions, expansion in top mall locations, plus a focus on new outlets not currently in guidance can potentially improve productivity going forward.</v>
          </cell>
          <cell r="K8">
            <v>0.09</v>
          </cell>
        </row>
        <row r="9">
          <cell r="A9" t="str">
            <v>ok</v>
          </cell>
          <cell r="B9" t="str">
            <v>ARO</v>
          </cell>
          <cell r="C9">
            <v>-144.33021731824175</v>
          </cell>
          <cell r="D9" t="e">
            <v>#N/A</v>
          </cell>
          <cell r="E9" t="str">
            <v>Middle Tier</v>
          </cell>
          <cell r="F9" t="str">
            <v>Middle Tier</v>
          </cell>
          <cell r="G9" t="str">
            <v>Middle Tier</v>
          </cell>
          <cell r="H9" t="str">
            <v>Middle Tier</v>
          </cell>
          <cell r="I9" t="str">
            <v>Competitive pricing pressure and slowed productivity helps generate the group's lowest operating margins. The company will close 100 low-volume stores, however increase rent from new P.S. store openings could offset the store closure benefit. If the new P.S concept is productive and Aeropostale comps improve, ARO could conceivably reverse the rent deleverage trend.</v>
          </cell>
          <cell r="K9">
            <v>-0.02</v>
          </cell>
        </row>
        <row r="12">
          <cell r="D12">
            <v>5</v>
          </cell>
        </row>
        <row r="13">
          <cell r="D13">
            <v>11</v>
          </cell>
        </row>
      </sheetData>
      <sheetData sheetId="9">
        <row r="7">
          <cell r="E7" t="str">
            <v>Output Table</v>
          </cell>
        </row>
        <row r="10">
          <cell r="E10">
            <v>2</v>
          </cell>
          <cell r="F10">
            <v>27</v>
          </cell>
          <cell r="I10">
            <v>2</v>
          </cell>
          <cell r="J10">
            <v>27</v>
          </cell>
          <cell r="L10">
            <v>2</v>
          </cell>
          <cell r="M10">
            <v>27</v>
          </cell>
        </row>
        <row r="12">
          <cell r="F12" t="str">
            <v>Rent Exp Leverage</v>
          </cell>
          <cell r="J12" t="str">
            <v>Rent Exp Leverage</v>
          </cell>
          <cell r="M12" t="str">
            <v>Rent Exp Leverage</v>
          </cell>
        </row>
        <row r="13">
          <cell r="F13" t="str">
            <v>2013E (bps)</v>
          </cell>
          <cell r="J13" t="str">
            <v>2012A (bps)</v>
          </cell>
          <cell r="M13" t="str">
            <v>2011A (bps)</v>
          </cell>
        </row>
        <row r="15">
          <cell r="E15" t="str">
            <v>KORS</v>
          </cell>
          <cell r="F15">
            <v>35.526986005982657</v>
          </cell>
          <cell r="I15" t="str">
            <v>COH</v>
          </cell>
          <cell r="J15">
            <v>632.03159705609062</v>
          </cell>
          <cell r="L15" t="str">
            <v>LTD</v>
          </cell>
          <cell r="M15">
            <v>808.95362286616034</v>
          </cell>
        </row>
        <row r="16">
          <cell r="E16" t="str">
            <v>ANN</v>
          </cell>
          <cell r="F16">
            <v>17.928600935579741</v>
          </cell>
          <cell r="I16" t="str">
            <v>AEO</v>
          </cell>
          <cell r="J16">
            <v>100.70763496348944</v>
          </cell>
          <cell r="L16" t="str">
            <v>ANF</v>
          </cell>
          <cell r="M16">
            <v>108.97913814203019</v>
          </cell>
        </row>
        <row r="17">
          <cell r="E17" t="str">
            <v>URBN</v>
          </cell>
          <cell r="F17">
            <v>5.8273760692074958</v>
          </cell>
          <cell r="I17" t="str">
            <v>LULU</v>
          </cell>
          <cell r="J17">
            <v>69.100308982571818</v>
          </cell>
          <cell r="L17" t="str">
            <v>ANN</v>
          </cell>
          <cell r="M17">
            <v>95.78461854458584</v>
          </cell>
        </row>
        <row r="18">
          <cell r="E18" t="str">
            <v>TIF</v>
          </cell>
          <cell r="F18">
            <v>2.2493944490369069</v>
          </cell>
          <cell r="I18" t="str">
            <v>GPS</v>
          </cell>
          <cell r="J18">
            <v>55.778851695775231</v>
          </cell>
          <cell r="L18" t="str">
            <v>LULU</v>
          </cell>
          <cell r="M18">
            <v>75.081858688960253</v>
          </cell>
        </row>
        <row r="19">
          <cell r="E19" t="str">
            <v>TJX</v>
          </cell>
          <cell r="F19">
            <v>1.6085915910753201</v>
          </cell>
          <cell r="I19" t="str">
            <v>PLCE</v>
          </cell>
          <cell r="J19">
            <v>45.114586184959172</v>
          </cell>
          <cell r="L19" t="str">
            <v>CHS</v>
          </cell>
          <cell r="M19">
            <v>63.393436058514077</v>
          </cell>
        </row>
        <row r="20">
          <cell r="E20" t="str">
            <v>LULU</v>
          </cell>
          <cell r="F20">
            <v>0.86149604568652727</v>
          </cell>
          <cell r="I20" t="str">
            <v>CHS</v>
          </cell>
          <cell r="J20">
            <v>41.903595604134146</v>
          </cell>
          <cell r="L20" t="str">
            <v>EXPR</v>
          </cell>
          <cell r="M20">
            <v>44.579172432415163</v>
          </cell>
        </row>
        <row r="21">
          <cell r="E21" t="str">
            <v>LTD</v>
          </cell>
          <cell r="F21">
            <v>-3.4629597101869596</v>
          </cell>
          <cell r="I21" t="str">
            <v>ROST</v>
          </cell>
          <cell r="J21">
            <v>30.211023114819906</v>
          </cell>
          <cell r="L21" t="str">
            <v>KORS</v>
          </cell>
          <cell r="M21">
            <v>35.172886249425218</v>
          </cell>
        </row>
        <row r="22">
          <cell r="E22" t="str">
            <v>ROST</v>
          </cell>
          <cell r="F22">
            <v>-8.9201321709712893</v>
          </cell>
          <cell r="I22" t="str">
            <v>KORS</v>
          </cell>
          <cell r="J22">
            <v>29.219519353664847</v>
          </cell>
          <cell r="L22" t="str">
            <v>ROST</v>
          </cell>
          <cell r="M22">
            <v>24.569763953621663</v>
          </cell>
        </row>
        <row r="23">
          <cell r="E23" t="str">
            <v>PLCE</v>
          </cell>
          <cell r="F23">
            <v>-12.624278769471086</v>
          </cell>
          <cell r="I23" t="str">
            <v>ANF</v>
          </cell>
          <cell r="J23">
            <v>25.844540509672441</v>
          </cell>
          <cell r="L23" t="str">
            <v>COH</v>
          </cell>
          <cell r="M23">
            <v>11.121197831945317</v>
          </cell>
        </row>
        <row r="24">
          <cell r="E24" t="str">
            <v>GPS</v>
          </cell>
          <cell r="F24">
            <v>-15.276650537825176</v>
          </cell>
          <cell r="I24" t="str">
            <v>TJX</v>
          </cell>
          <cell r="J24">
            <v>20.91967123394857</v>
          </cell>
          <cell r="L24" t="str">
            <v>TIF</v>
          </cell>
          <cell r="M24">
            <v>11.096419858824397</v>
          </cell>
        </row>
        <row r="25">
          <cell r="E25" t="str">
            <v>CHS</v>
          </cell>
          <cell r="F25">
            <v>-91.269130837868119</v>
          </cell>
          <cell r="I25" t="str">
            <v>LTD</v>
          </cell>
          <cell r="J25">
            <v>6.5503448747606008</v>
          </cell>
          <cell r="L25" t="str">
            <v>TJX</v>
          </cell>
          <cell r="M25">
            <v>10.16582641933557</v>
          </cell>
        </row>
        <row r="26">
          <cell r="E26" t="str">
            <v>AEO</v>
          </cell>
          <cell r="F26">
            <v>-93.710459448133747</v>
          </cell>
          <cell r="I26" t="str">
            <v>URBN</v>
          </cell>
          <cell r="J26">
            <v>3.6366834208323429</v>
          </cell>
          <cell r="L26" t="str">
            <v>AEO</v>
          </cell>
          <cell r="M26">
            <v>-10.646652941196793</v>
          </cell>
        </row>
        <row r="27">
          <cell r="E27" t="str">
            <v>EXPR</v>
          </cell>
          <cell r="F27">
            <v>-125.26235376783684</v>
          </cell>
          <cell r="I27" t="str">
            <v>ANN</v>
          </cell>
          <cell r="J27">
            <v>-3.4011620263443842</v>
          </cell>
          <cell r="L27" t="str">
            <v>PLCE</v>
          </cell>
          <cell r="M27">
            <v>-11.291254074840552</v>
          </cell>
        </row>
        <row r="28">
          <cell r="E28" t="str">
            <v>ARO</v>
          </cell>
          <cell r="F28">
            <v>-144.33021731824175</v>
          </cell>
          <cell r="I28" t="str">
            <v>ARO</v>
          </cell>
          <cell r="J28">
            <v>-10.819977328833247</v>
          </cell>
          <cell r="L28" t="str">
            <v>URBN</v>
          </cell>
          <cell r="M28">
            <v>-42.935649048453371</v>
          </cell>
        </row>
        <row r="29">
          <cell r="E29" t="str">
            <v>ANF</v>
          </cell>
          <cell r="F29">
            <v>-229.75073062217939</v>
          </cell>
          <cell r="I29" t="str">
            <v>TIF</v>
          </cell>
          <cell r="J29">
            <v>-35.817442387837822</v>
          </cell>
          <cell r="L29" t="str">
            <v>GPS</v>
          </cell>
          <cell r="M29">
            <v>-69.657812489629663</v>
          </cell>
        </row>
        <row r="30">
          <cell r="E30" t="str">
            <v>COH</v>
          </cell>
          <cell r="F30">
            <v>-719.22269844079608</v>
          </cell>
          <cell r="I30" t="str">
            <v>EXPR</v>
          </cell>
          <cell r="J30">
            <v>-62.346722196883199</v>
          </cell>
          <cell r="L30" t="str">
            <v>ARO</v>
          </cell>
          <cell r="M30">
            <v>-134.18670119102444</v>
          </cell>
        </row>
        <row r="31">
          <cell r="E31" t="str">
            <v>Average</v>
          </cell>
          <cell r="F31">
            <v>-86.239197907933857</v>
          </cell>
          <cell r="I31" t="str">
            <v>Average</v>
          </cell>
          <cell r="J31">
            <v>59.289565815926281</v>
          </cell>
          <cell r="L31" t="str">
            <v>Average</v>
          </cell>
          <cell r="M31">
            <v>63.761241956292082</v>
          </cell>
        </row>
        <row r="36">
          <cell r="F36">
            <v>-97.718884557368384</v>
          </cell>
          <cell r="J36">
            <v>62.679281292644397</v>
          </cell>
        </row>
        <row r="37">
          <cell r="A37" t="str">
            <v>Inputs</v>
          </cell>
        </row>
        <row r="38">
          <cell r="K38" t="str">
            <v>11</v>
          </cell>
        </row>
        <row r="39">
          <cell r="B39" t="str">
            <v>AEO2013</v>
          </cell>
          <cell r="E39" t="str">
            <v>AEO</v>
          </cell>
          <cell r="F39">
            <v>-93.710459448133747</v>
          </cell>
          <cell r="G39" t="str">
            <v>AEO2012</v>
          </cell>
          <cell r="I39" t="str">
            <v>AEO</v>
          </cell>
          <cell r="J39">
            <v>100.70763496348944</v>
          </cell>
          <cell r="K39" t="str">
            <v>AEO2011</v>
          </cell>
          <cell r="L39" t="str">
            <v>AEO</v>
          </cell>
          <cell r="M39">
            <v>-10.646652941196793</v>
          </cell>
          <cell r="O39" t="str">
            <v>AEO</v>
          </cell>
          <cell r="P39">
            <v>6.9971755153556927</v>
          </cell>
          <cell r="Q39">
            <v>1</v>
          </cell>
          <cell r="R39">
            <v>9</v>
          </cell>
          <cell r="T39" t="str">
            <v>LULU</v>
          </cell>
          <cell r="U39">
            <v>69.96180502825834</v>
          </cell>
        </row>
        <row r="40">
          <cell r="B40" t="str">
            <v>ANF2013</v>
          </cell>
          <cell r="E40" t="str">
            <v>ANF</v>
          </cell>
          <cell r="F40">
            <v>-229.75073062217939</v>
          </cell>
          <cell r="G40" t="str">
            <v>ANF2012</v>
          </cell>
          <cell r="I40" t="str">
            <v>ANF</v>
          </cell>
          <cell r="J40">
            <v>25.844540509672441</v>
          </cell>
          <cell r="K40" t="str">
            <v>ANF2011</v>
          </cell>
          <cell r="L40" t="str">
            <v>ANF</v>
          </cell>
          <cell r="M40">
            <v>108.97913814203019</v>
          </cell>
          <cell r="O40" t="str">
            <v>ANF</v>
          </cell>
          <cell r="P40">
            <v>-203.90619011250695</v>
          </cell>
          <cell r="Q40">
            <v>2</v>
          </cell>
          <cell r="R40">
            <v>16</v>
          </cell>
          <cell r="T40" t="str">
            <v>KORS</v>
          </cell>
          <cell r="U40">
            <v>64.7465053596475</v>
          </cell>
        </row>
        <row r="41">
          <cell r="B41" t="str">
            <v>ANN2013</v>
          </cell>
          <cell r="E41" t="str">
            <v>ANN</v>
          </cell>
          <cell r="F41">
            <v>17.928600935579741</v>
          </cell>
          <cell r="G41" t="str">
            <v>ANN2012</v>
          </cell>
          <cell r="I41" t="str">
            <v>ANN</v>
          </cell>
          <cell r="J41">
            <v>-3.4011620263443842</v>
          </cell>
          <cell r="K41" t="str">
            <v>ANN2011</v>
          </cell>
          <cell r="L41" t="str">
            <v>ANN</v>
          </cell>
          <cell r="M41">
            <v>95.78461854458584</v>
          </cell>
          <cell r="O41" t="str">
            <v>ANN</v>
          </cell>
          <cell r="P41">
            <v>14.527438909235357</v>
          </cell>
          <cell r="Q41">
            <v>3</v>
          </cell>
          <cell r="R41">
            <v>7</v>
          </cell>
          <cell r="T41" t="str">
            <v>GPS</v>
          </cell>
          <cell r="U41">
            <v>40.502201157950054</v>
          </cell>
        </row>
        <row r="42">
          <cell r="B42" t="str">
            <v>ARO2013</v>
          </cell>
          <cell r="E42" t="str">
            <v>ARO</v>
          </cell>
          <cell r="F42">
            <v>-144.33021731824175</v>
          </cell>
          <cell r="G42" t="str">
            <v>ARO2012</v>
          </cell>
          <cell r="I42" t="str">
            <v>ARO</v>
          </cell>
          <cell r="J42">
            <v>-10.819977328833247</v>
          </cell>
          <cell r="K42" t="str">
            <v>ARO2011</v>
          </cell>
          <cell r="L42" t="str">
            <v>ARO</v>
          </cell>
          <cell r="M42">
            <v>-134.18670119102444</v>
          </cell>
          <cell r="O42" t="str">
            <v>ARO</v>
          </cell>
          <cell r="P42">
            <v>-155.15019464707501</v>
          </cell>
          <cell r="Q42">
            <v>4</v>
          </cell>
          <cell r="R42">
            <v>14</v>
          </cell>
          <cell r="T42" t="str">
            <v>PLCE</v>
          </cell>
          <cell r="U42">
            <v>32.49030741548809</v>
          </cell>
        </row>
        <row r="43">
          <cell r="B43" t="str">
            <v>CHS2013</v>
          </cell>
          <cell r="E43" t="str">
            <v>CHS</v>
          </cell>
          <cell r="F43">
            <v>-91.269130837868119</v>
          </cell>
          <cell r="G43" t="str">
            <v>CHS2012</v>
          </cell>
          <cell r="I43" t="str">
            <v>CHS</v>
          </cell>
          <cell r="J43">
            <v>41.903595604134146</v>
          </cell>
          <cell r="K43" t="str">
            <v>CHS2011</v>
          </cell>
          <cell r="L43" t="str">
            <v>CHS</v>
          </cell>
          <cell r="M43">
            <v>63.393436058514077</v>
          </cell>
          <cell r="O43" t="str">
            <v>CHS</v>
          </cell>
          <cell r="P43">
            <v>-49.365535233733972</v>
          </cell>
          <cell r="Q43">
            <v>5</v>
          </cell>
          <cell r="R43">
            <v>12</v>
          </cell>
          <cell r="T43" t="str">
            <v>TJX</v>
          </cell>
          <cell r="U43">
            <v>22.528262825023891</v>
          </cell>
        </row>
        <row r="44">
          <cell r="B44" t="str">
            <v>COH2013</v>
          </cell>
          <cell r="E44" t="str">
            <v>COH</v>
          </cell>
          <cell r="F44">
            <v>-719.22269844079608</v>
          </cell>
          <cell r="G44" t="str">
            <v>COH2012</v>
          </cell>
          <cell r="I44" t="str">
            <v>COH</v>
          </cell>
          <cell r="J44">
            <v>632.03159705609062</v>
          </cell>
          <cell r="K44" t="str">
            <v>COH2011</v>
          </cell>
          <cell r="L44" t="str">
            <v>COH</v>
          </cell>
          <cell r="M44">
            <v>11.121197831945317</v>
          </cell>
          <cell r="O44" t="str">
            <v>COH</v>
          </cell>
          <cell r="P44">
            <v>-87.191101384705462</v>
          </cell>
          <cell r="Q44">
            <v>6</v>
          </cell>
          <cell r="R44">
            <v>13</v>
          </cell>
          <cell r="T44" t="str">
            <v>ROST</v>
          </cell>
          <cell r="U44">
            <v>21.290890943848616</v>
          </cell>
        </row>
        <row r="45">
          <cell r="B45" t="str">
            <v>EXPR2013</v>
          </cell>
          <cell r="E45" t="str">
            <v>EXPR</v>
          </cell>
          <cell r="F45">
            <v>-125.26235376783684</v>
          </cell>
          <cell r="G45" t="str">
            <v>EXPR2012</v>
          </cell>
          <cell r="I45" t="str">
            <v>EXPR</v>
          </cell>
          <cell r="J45">
            <v>-62.346722196883199</v>
          </cell>
          <cell r="K45" t="str">
            <v>EXPR2011</v>
          </cell>
          <cell r="L45" t="str">
            <v>EXPR</v>
          </cell>
          <cell r="M45">
            <v>44.579172432415163</v>
          </cell>
          <cell r="O45" t="str">
            <v>EXPR</v>
          </cell>
          <cell r="P45">
            <v>-187.60907596472003</v>
          </cell>
          <cell r="Q45">
            <v>7</v>
          </cell>
          <cell r="R45">
            <v>15</v>
          </cell>
          <cell r="T45" t="str">
            <v>ANN</v>
          </cell>
          <cell r="U45">
            <v>14.527438909235357</v>
          </cell>
        </row>
        <row r="46">
          <cell r="B46" t="str">
            <v>GPS2013</v>
          </cell>
          <cell r="E46" t="str">
            <v>GPS</v>
          </cell>
          <cell r="F46">
            <v>-15.276650537825176</v>
          </cell>
          <cell r="G46" t="str">
            <v>GPS2012</v>
          </cell>
          <cell r="I46" t="str">
            <v>GPS</v>
          </cell>
          <cell r="J46">
            <v>55.778851695775231</v>
          </cell>
          <cell r="K46" t="str">
            <v>GPS2011</v>
          </cell>
          <cell r="L46" t="str">
            <v>GPS</v>
          </cell>
          <cell r="M46">
            <v>-69.657812489629663</v>
          </cell>
          <cell r="O46" t="str">
            <v>GPS</v>
          </cell>
          <cell r="P46">
            <v>40.502201157950054</v>
          </cell>
          <cell r="Q46">
            <v>8</v>
          </cell>
          <cell r="R46">
            <v>3</v>
          </cell>
          <cell r="T46" t="str">
            <v>URBN</v>
          </cell>
          <cell r="U46">
            <v>9.4640594900398387</v>
          </cell>
        </row>
        <row r="47">
          <cell r="B47" t="str">
            <v>KORS2013</v>
          </cell>
          <cell r="E47" t="str">
            <v>KORS</v>
          </cell>
          <cell r="F47">
            <v>35.526986005982657</v>
          </cell>
          <cell r="G47" t="str">
            <v>KORS2012</v>
          </cell>
          <cell r="I47" t="str">
            <v>KORS</v>
          </cell>
          <cell r="J47">
            <v>29.219519353664847</v>
          </cell>
          <cell r="K47" t="str">
            <v>KORS2011</v>
          </cell>
          <cell r="L47" t="str">
            <v>KORS</v>
          </cell>
          <cell r="M47">
            <v>35.172886249425218</v>
          </cell>
          <cell r="O47" t="str">
            <v>KORS</v>
          </cell>
          <cell r="P47">
            <v>64.7465053596475</v>
          </cell>
          <cell r="Q47">
            <v>9</v>
          </cell>
          <cell r="R47">
            <v>2</v>
          </cell>
          <cell r="T47" t="str">
            <v>AEO</v>
          </cell>
          <cell r="U47">
            <v>6.9971755153556927</v>
          </cell>
        </row>
        <row r="48">
          <cell r="B48" t="str">
            <v>LTD2013</v>
          </cell>
          <cell r="E48" t="str">
            <v>LTD</v>
          </cell>
          <cell r="F48">
            <v>-3.4629597101869596</v>
          </cell>
          <cell r="G48" t="str">
            <v>LTD2012</v>
          </cell>
          <cell r="I48" t="str">
            <v>LTD</v>
          </cell>
          <cell r="J48">
            <v>6.5503448747606008</v>
          </cell>
          <cell r="K48" t="str">
            <v>LTD2011</v>
          </cell>
          <cell r="L48" t="str">
            <v>LTD</v>
          </cell>
          <cell r="M48">
            <v>808.95362286616034</v>
          </cell>
          <cell r="O48" t="str">
            <v>LTD</v>
          </cell>
          <cell r="P48">
            <v>3.0873851645736412</v>
          </cell>
          <cell r="Q48">
            <v>10</v>
          </cell>
          <cell r="R48">
            <v>10</v>
          </cell>
          <cell r="T48" t="str">
            <v>LTD</v>
          </cell>
          <cell r="U48">
            <v>3.0873851645736412</v>
          </cell>
        </row>
        <row r="49">
          <cell r="B49" t="str">
            <v>LULU2013</v>
          </cell>
          <cell r="E49" t="str">
            <v>LULU</v>
          </cell>
          <cell r="F49">
            <v>0.86149604568652727</v>
          </cell>
          <cell r="G49" t="str">
            <v>LULU2012</v>
          </cell>
          <cell r="I49" t="str">
            <v>LULU</v>
          </cell>
          <cell r="J49">
            <v>69.100308982571818</v>
          </cell>
          <cell r="K49" t="str">
            <v>LULU2011</v>
          </cell>
          <cell r="L49" t="str">
            <v>LULU</v>
          </cell>
          <cell r="M49">
            <v>75.081858688960253</v>
          </cell>
          <cell r="O49" t="str">
            <v>LULU</v>
          </cell>
          <cell r="P49">
            <v>69.96180502825834</v>
          </cell>
          <cell r="Q49">
            <v>11</v>
          </cell>
          <cell r="R49">
            <v>1</v>
          </cell>
          <cell r="T49" t="str">
            <v>TIF</v>
          </cell>
          <cell r="U49">
            <v>-33.568047938800916</v>
          </cell>
        </row>
        <row r="50">
          <cell r="B50" t="str">
            <v>PLCE2013</v>
          </cell>
          <cell r="E50" t="str">
            <v>PLCE</v>
          </cell>
          <cell r="F50">
            <v>-12.624278769471086</v>
          </cell>
          <cell r="G50" t="str">
            <v>PLCE2012</v>
          </cell>
          <cell r="I50" t="str">
            <v>PLCE</v>
          </cell>
          <cell r="J50">
            <v>45.114586184959172</v>
          </cell>
          <cell r="K50" t="str">
            <v>PLCE2011</v>
          </cell>
          <cell r="L50" t="str">
            <v>PLCE</v>
          </cell>
          <cell r="M50">
            <v>-11.291254074840552</v>
          </cell>
          <cell r="O50" t="str">
            <v>PLCE</v>
          </cell>
          <cell r="P50">
            <v>32.49030741548809</v>
          </cell>
          <cell r="Q50">
            <v>12</v>
          </cell>
          <cell r="R50">
            <v>4</v>
          </cell>
          <cell r="T50" t="str">
            <v>CHS</v>
          </cell>
          <cell r="U50">
            <v>-49.365535233733972</v>
          </cell>
        </row>
        <row r="51">
          <cell r="B51" t="str">
            <v>ROST2013</v>
          </cell>
          <cell r="E51" t="str">
            <v>ROST</v>
          </cell>
          <cell r="F51">
            <v>-8.9201321709712893</v>
          </cell>
          <cell r="G51" t="str">
            <v>ROST2012</v>
          </cell>
          <cell r="I51" t="str">
            <v>ROST</v>
          </cell>
          <cell r="J51">
            <v>30.211023114819906</v>
          </cell>
          <cell r="K51" t="str">
            <v>ROST2011</v>
          </cell>
          <cell r="L51" t="str">
            <v>ROST</v>
          </cell>
          <cell r="M51">
            <v>24.569763953621663</v>
          </cell>
          <cell r="O51" t="str">
            <v>ROST</v>
          </cell>
          <cell r="P51">
            <v>21.290890943848616</v>
          </cell>
          <cell r="Q51">
            <v>13</v>
          </cell>
          <cell r="R51">
            <v>6</v>
          </cell>
          <cell r="T51" t="str">
            <v>COH</v>
          </cell>
          <cell r="U51">
            <v>-87.191101384705462</v>
          </cell>
        </row>
        <row r="52">
          <cell r="B52" t="str">
            <v>TIF2013</v>
          </cell>
          <cell r="E52" t="str">
            <v>TIF</v>
          </cell>
          <cell r="F52">
            <v>2.2493944490369069</v>
          </cell>
          <cell r="G52" t="str">
            <v>TIF2012</v>
          </cell>
          <cell r="I52" t="str">
            <v>TIF</v>
          </cell>
          <cell r="J52">
            <v>-35.817442387837822</v>
          </cell>
          <cell r="K52" t="str">
            <v>TIF2011</v>
          </cell>
          <cell r="L52" t="str">
            <v>TIF</v>
          </cell>
          <cell r="M52">
            <v>11.096419858824397</v>
          </cell>
          <cell r="O52" t="str">
            <v>TIF</v>
          </cell>
          <cell r="P52">
            <v>-33.568047938800916</v>
          </cell>
          <cell r="Q52">
            <v>14</v>
          </cell>
          <cell r="R52">
            <v>11</v>
          </cell>
          <cell r="T52" t="str">
            <v>ARO</v>
          </cell>
          <cell r="U52">
            <v>-155.15019464707501</v>
          </cell>
        </row>
        <row r="53">
          <cell r="B53" t="str">
            <v>TJX2013</v>
          </cell>
          <cell r="E53" t="str">
            <v>TJX</v>
          </cell>
          <cell r="F53">
            <v>1.6085915910753201</v>
          </cell>
          <cell r="G53" t="str">
            <v>TJX2012</v>
          </cell>
          <cell r="I53" t="str">
            <v>TJX</v>
          </cell>
          <cell r="J53">
            <v>20.91967123394857</v>
          </cell>
          <cell r="K53" t="str">
            <v>TJX2011</v>
          </cell>
          <cell r="L53" t="str">
            <v>TJX</v>
          </cell>
          <cell r="M53">
            <v>10.16582641933557</v>
          </cell>
          <cell r="O53" t="str">
            <v>TJX</v>
          </cell>
          <cell r="P53">
            <v>22.528262825023891</v>
          </cell>
          <cell r="Q53">
            <v>15</v>
          </cell>
          <cell r="R53">
            <v>5</v>
          </cell>
          <cell r="T53" t="str">
            <v>EXPR</v>
          </cell>
          <cell r="U53">
            <v>-187.60907596472003</v>
          </cell>
        </row>
        <row r="54">
          <cell r="B54" t="str">
            <v>URBN2013</v>
          </cell>
          <cell r="E54" t="str">
            <v>URBN</v>
          </cell>
          <cell r="F54">
            <v>5.8273760692074958</v>
          </cell>
          <cell r="G54" t="str">
            <v>URBN2012</v>
          </cell>
          <cell r="I54" t="str">
            <v>URBN</v>
          </cell>
          <cell r="J54">
            <v>3.6366834208323429</v>
          </cell>
          <cell r="K54" t="str">
            <v>URBN2011</v>
          </cell>
          <cell r="L54" t="str">
            <v>URBN</v>
          </cell>
          <cell r="M54">
            <v>-42.935649048453371</v>
          </cell>
          <cell r="O54" t="str">
            <v>URBN</v>
          </cell>
          <cell r="P54">
            <v>9.4640594900398387</v>
          </cell>
          <cell r="Q54">
            <v>16</v>
          </cell>
          <cell r="R54">
            <v>8</v>
          </cell>
          <cell r="T54" t="str">
            <v>ANF</v>
          </cell>
          <cell r="U54">
            <v>-203.90619011250695</v>
          </cell>
        </row>
        <row r="55">
          <cell r="E55" t="str">
            <v>Average</v>
          </cell>
          <cell r="F55">
            <v>-86.239197907933857</v>
          </cell>
          <cell r="I55" t="str">
            <v>Average</v>
          </cell>
          <cell r="J55">
            <v>59.289565815926281</v>
          </cell>
          <cell r="L55" t="str">
            <v>Average</v>
          </cell>
          <cell r="M55">
            <v>63.761241956292082</v>
          </cell>
          <cell r="O55" t="str">
            <v>Average</v>
          </cell>
          <cell r="P55">
            <v>-26.949632092007576</v>
          </cell>
        </row>
        <row r="61">
          <cell r="H61">
            <v>0</v>
          </cell>
        </row>
        <row r="62">
          <cell r="B62" t="str">
            <v>2013E (bps)</v>
          </cell>
        </row>
        <row r="63">
          <cell r="E63" t="str">
            <v>AEO</v>
          </cell>
          <cell r="F63">
            <v>-93.710459448133747</v>
          </cell>
          <cell r="G63">
            <v>1</v>
          </cell>
          <cell r="I63">
            <v>12</v>
          </cell>
          <cell r="J63" t="str">
            <v>KORS</v>
          </cell>
          <cell r="K63">
            <v>35.526986005982657</v>
          </cell>
        </row>
        <row r="64">
          <cell r="E64" t="str">
            <v>ANF</v>
          </cell>
          <cell r="F64">
            <v>-229.75073062217939</v>
          </cell>
          <cell r="G64">
            <v>2</v>
          </cell>
          <cell r="I64">
            <v>15</v>
          </cell>
          <cell r="J64" t="str">
            <v>ANN</v>
          </cell>
          <cell r="K64">
            <v>17.928600935579741</v>
          </cell>
        </row>
        <row r="65">
          <cell r="E65" t="str">
            <v>ANN</v>
          </cell>
          <cell r="F65">
            <v>17.928600935579741</v>
          </cell>
          <cell r="G65">
            <v>3</v>
          </cell>
          <cell r="I65">
            <v>2</v>
          </cell>
          <cell r="J65" t="str">
            <v>URBN</v>
          </cell>
          <cell r="K65">
            <v>5.8273760692074958</v>
          </cell>
        </row>
        <row r="66">
          <cell r="E66" t="str">
            <v>ARO</v>
          </cell>
          <cell r="F66">
            <v>-144.33021731824175</v>
          </cell>
          <cell r="G66">
            <v>4</v>
          </cell>
          <cell r="I66">
            <v>14</v>
          </cell>
          <cell r="J66" t="str">
            <v>TIF</v>
          </cell>
          <cell r="K66">
            <v>2.2493944490369069</v>
          </cell>
        </row>
        <row r="67">
          <cell r="E67" t="str">
            <v>CHS</v>
          </cell>
          <cell r="F67">
            <v>-91.269130837868119</v>
          </cell>
          <cell r="G67">
            <v>5</v>
          </cell>
          <cell r="I67">
            <v>11</v>
          </cell>
          <cell r="J67" t="str">
            <v>TJX</v>
          </cell>
          <cell r="K67">
            <v>1.6085915910753201</v>
          </cell>
        </row>
        <row r="68">
          <cell r="E68" t="str">
            <v>COH</v>
          </cell>
          <cell r="F68">
            <v>-719.22269844079608</v>
          </cell>
          <cell r="G68">
            <v>6</v>
          </cell>
          <cell r="I68">
            <v>16</v>
          </cell>
          <cell r="J68" t="str">
            <v>LULU</v>
          </cell>
          <cell r="K68">
            <v>0.86149604568652727</v>
          </cell>
        </row>
        <row r="69">
          <cell r="E69" t="str">
            <v>EXPR</v>
          </cell>
          <cell r="F69">
            <v>-125.26235376783684</v>
          </cell>
          <cell r="G69">
            <v>7</v>
          </cell>
          <cell r="I69">
            <v>13</v>
          </cell>
          <cell r="J69" t="str">
            <v>LTD</v>
          </cell>
          <cell r="K69">
            <v>-3.4629597101869596</v>
          </cell>
          <cell r="L69" t="str">
            <v>kors</v>
          </cell>
        </row>
        <row r="70">
          <cell r="E70" t="str">
            <v>GPS</v>
          </cell>
          <cell r="F70">
            <v>-15.276650537825176</v>
          </cell>
          <cell r="G70">
            <v>8</v>
          </cell>
          <cell r="I70">
            <v>10</v>
          </cell>
          <cell r="J70" t="str">
            <v>ROST</v>
          </cell>
          <cell r="K70">
            <v>-8.9201321709712893</v>
          </cell>
          <cell r="L70" t="str">
            <v>rost</v>
          </cell>
        </row>
        <row r="71">
          <cell r="E71" t="str">
            <v>KORS</v>
          </cell>
          <cell r="F71">
            <v>35.526986005982657</v>
          </cell>
          <cell r="G71">
            <v>9</v>
          </cell>
          <cell r="I71">
            <v>1</v>
          </cell>
          <cell r="J71" t="str">
            <v>PLCE</v>
          </cell>
          <cell r="K71">
            <v>-12.624278769471086</v>
          </cell>
        </row>
        <row r="72">
          <cell r="E72" t="str">
            <v>LTD</v>
          </cell>
          <cell r="F72">
            <v>-3.4629597101869596</v>
          </cell>
          <cell r="G72">
            <v>10</v>
          </cell>
          <cell r="I72">
            <v>7</v>
          </cell>
          <cell r="J72" t="str">
            <v>GPS</v>
          </cell>
          <cell r="K72">
            <v>-15.276650537825176</v>
          </cell>
        </row>
        <row r="73">
          <cell r="E73" t="str">
            <v>LULU</v>
          </cell>
          <cell r="F73">
            <v>0.86149604568652727</v>
          </cell>
          <cell r="G73">
            <v>11</v>
          </cell>
          <cell r="I73">
            <v>6</v>
          </cell>
          <cell r="J73" t="str">
            <v>CHS</v>
          </cell>
          <cell r="K73">
            <v>-91.269130837868119</v>
          </cell>
        </row>
        <row r="74">
          <cell r="E74" t="str">
            <v>PLCE</v>
          </cell>
          <cell r="F74">
            <v>-12.624278769471086</v>
          </cell>
          <cell r="G74">
            <v>12</v>
          </cell>
          <cell r="I74">
            <v>9</v>
          </cell>
          <cell r="J74" t="str">
            <v>AEO</v>
          </cell>
          <cell r="K74">
            <v>-93.710459448133747</v>
          </cell>
        </row>
        <row r="75">
          <cell r="E75" t="str">
            <v>ROST</v>
          </cell>
          <cell r="F75">
            <v>-8.9201321709712893</v>
          </cell>
          <cell r="G75">
            <v>13</v>
          </cell>
          <cell r="I75">
            <v>8</v>
          </cell>
          <cell r="J75" t="str">
            <v>EXPR</v>
          </cell>
          <cell r="K75">
            <v>-125.26235376783684</v>
          </cell>
        </row>
        <row r="76">
          <cell r="E76" t="str">
            <v>TIF</v>
          </cell>
          <cell r="F76">
            <v>2.2493944490369069</v>
          </cell>
          <cell r="G76">
            <v>14</v>
          </cell>
          <cell r="I76">
            <v>4</v>
          </cell>
          <cell r="J76" t="str">
            <v>ARO</v>
          </cell>
          <cell r="K76">
            <v>-144.33021731824175</v>
          </cell>
        </row>
        <row r="77">
          <cell r="E77" t="str">
            <v>TJX</v>
          </cell>
          <cell r="F77">
            <v>1.6085915910753201</v>
          </cell>
          <cell r="G77">
            <v>15</v>
          </cell>
          <cell r="I77">
            <v>5</v>
          </cell>
          <cell r="J77" t="str">
            <v>ANF</v>
          </cell>
          <cell r="K77">
            <v>-229.75073062217939</v>
          </cell>
        </row>
        <row r="78">
          <cell r="E78" t="str">
            <v>URBN</v>
          </cell>
          <cell r="F78">
            <v>5.8273760692074958</v>
          </cell>
          <cell r="G78">
            <v>16</v>
          </cell>
          <cell r="I78">
            <v>3</v>
          </cell>
          <cell r="J78" t="str">
            <v>COH</v>
          </cell>
          <cell r="K78">
            <v>-719.22269844079608</v>
          </cell>
        </row>
        <row r="80">
          <cell r="B80" t="str">
            <v>2012A (bps)</v>
          </cell>
        </row>
        <row r="81">
          <cell r="E81" t="str">
            <v>AEO</v>
          </cell>
          <cell r="F81">
            <v>100.70763496348944</v>
          </cell>
          <cell r="G81">
            <v>1</v>
          </cell>
          <cell r="I81">
            <v>2</v>
          </cell>
          <cell r="J81" t="str">
            <v>COH</v>
          </cell>
          <cell r="K81">
            <v>632.03159705609062</v>
          </cell>
        </row>
        <row r="82">
          <cell r="E82" t="str">
            <v>ANF</v>
          </cell>
          <cell r="F82">
            <v>25.844540509672441</v>
          </cell>
          <cell r="G82">
            <v>2</v>
          </cell>
          <cell r="I82">
            <v>9</v>
          </cell>
          <cell r="J82" t="str">
            <v>AEO</v>
          </cell>
          <cell r="K82">
            <v>100.70763496348944</v>
          </cell>
        </row>
        <row r="83">
          <cell r="E83" t="str">
            <v>ANN</v>
          </cell>
          <cell r="F83">
            <v>-3.4011620263443842</v>
          </cell>
          <cell r="G83">
            <v>3</v>
          </cell>
          <cell r="I83">
            <v>13</v>
          </cell>
          <cell r="J83" t="str">
            <v>LULU</v>
          </cell>
          <cell r="K83">
            <v>69.100308982571818</v>
          </cell>
        </row>
        <row r="84">
          <cell r="E84" t="str">
            <v>ARO</v>
          </cell>
          <cell r="F84">
            <v>-10.819977328833247</v>
          </cell>
          <cell r="G84">
            <v>4</v>
          </cell>
          <cell r="I84">
            <v>14</v>
          </cell>
          <cell r="J84" t="str">
            <v>GPS</v>
          </cell>
          <cell r="K84">
            <v>55.778851695775231</v>
          </cell>
        </row>
        <row r="85">
          <cell r="E85" t="str">
            <v>CHS</v>
          </cell>
          <cell r="F85">
            <v>41.903595604134146</v>
          </cell>
          <cell r="G85">
            <v>5</v>
          </cell>
          <cell r="I85">
            <v>6</v>
          </cell>
          <cell r="J85" t="str">
            <v>PLCE</v>
          </cell>
          <cell r="K85">
            <v>45.114586184959172</v>
          </cell>
        </row>
        <row r="86">
          <cell r="E86" t="str">
            <v>COH</v>
          </cell>
          <cell r="F86">
            <v>632.03159705609062</v>
          </cell>
          <cell r="G86">
            <v>6</v>
          </cell>
          <cell r="I86">
            <v>1</v>
          </cell>
          <cell r="J86" t="str">
            <v>CHS</v>
          </cell>
          <cell r="K86">
            <v>41.903595604134146</v>
          </cell>
        </row>
        <row r="87">
          <cell r="E87" t="str">
            <v>EXPR</v>
          </cell>
          <cell r="F87">
            <v>-62.346722196883199</v>
          </cell>
          <cell r="G87">
            <v>7</v>
          </cell>
          <cell r="I87">
            <v>16</v>
          </cell>
          <cell r="J87" t="str">
            <v>ROST</v>
          </cell>
          <cell r="K87">
            <v>30.211023114819906</v>
          </cell>
        </row>
        <row r="88">
          <cell r="E88" t="str">
            <v>GPS</v>
          </cell>
          <cell r="F88">
            <v>55.778851695775231</v>
          </cell>
          <cell r="G88">
            <v>8</v>
          </cell>
          <cell r="I88">
            <v>4</v>
          </cell>
          <cell r="J88" t="str">
            <v>KORS</v>
          </cell>
          <cell r="K88">
            <v>29.219519353664847</v>
          </cell>
        </row>
        <row r="89">
          <cell r="E89" t="str">
            <v>KORS</v>
          </cell>
          <cell r="F89">
            <v>29.219519353664847</v>
          </cell>
          <cell r="G89">
            <v>9</v>
          </cell>
          <cell r="I89">
            <v>8</v>
          </cell>
          <cell r="J89" t="str">
            <v>ANF</v>
          </cell>
          <cell r="K89">
            <v>25.844540509672441</v>
          </cell>
        </row>
        <row r="90">
          <cell r="E90" t="str">
            <v>LTD</v>
          </cell>
          <cell r="F90">
            <v>6.5503448747606008</v>
          </cell>
          <cell r="G90">
            <v>10</v>
          </cell>
          <cell r="I90">
            <v>11</v>
          </cell>
          <cell r="J90" t="str">
            <v>TJX</v>
          </cell>
          <cell r="K90">
            <v>20.91967123394857</v>
          </cell>
        </row>
        <row r="91">
          <cell r="E91" t="str">
            <v>LULU</v>
          </cell>
          <cell r="F91">
            <v>69.100308982571818</v>
          </cell>
          <cell r="G91">
            <v>11</v>
          </cell>
          <cell r="I91">
            <v>3</v>
          </cell>
          <cell r="J91" t="str">
            <v>LTD</v>
          </cell>
          <cell r="K91">
            <v>6.5503448747606008</v>
          </cell>
        </row>
        <row r="92">
          <cell r="E92" t="str">
            <v>PLCE</v>
          </cell>
          <cell r="F92">
            <v>45.114586184959172</v>
          </cell>
          <cell r="G92">
            <v>12</v>
          </cell>
          <cell r="I92">
            <v>5</v>
          </cell>
          <cell r="J92" t="str">
            <v>URBN</v>
          </cell>
          <cell r="K92">
            <v>3.6366834208323429</v>
          </cell>
        </row>
        <row r="93">
          <cell r="E93" t="str">
            <v>ROST</v>
          </cell>
          <cell r="F93">
            <v>30.211023114819906</v>
          </cell>
          <cell r="G93">
            <v>13</v>
          </cell>
          <cell r="I93">
            <v>7</v>
          </cell>
          <cell r="J93" t="str">
            <v>ANN</v>
          </cell>
          <cell r="K93">
            <v>-3.4011620263443842</v>
          </cell>
        </row>
        <row r="94">
          <cell r="E94" t="str">
            <v>TIF</v>
          </cell>
          <cell r="F94">
            <v>-35.817442387837822</v>
          </cell>
          <cell r="G94">
            <v>14</v>
          </cell>
          <cell r="I94">
            <v>15</v>
          </cell>
          <cell r="J94" t="str">
            <v>ARO</v>
          </cell>
          <cell r="K94">
            <v>-10.819977328833247</v>
          </cell>
        </row>
        <row r="95">
          <cell r="E95" t="str">
            <v>TJX</v>
          </cell>
          <cell r="F95">
            <v>20.91967123394857</v>
          </cell>
          <cell r="G95">
            <v>15</v>
          </cell>
          <cell r="I95">
            <v>10</v>
          </cell>
          <cell r="J95" t="str">
            <v>TIF</v>
          </cell>
          <cell r="K95">
            <v>-35.817442387837822</v>
          </cell>
        </row>
        <row r="96">
          <cell r="E96" t="str">
            <v>URBN</v>
          </cell>
          <cell r="F96">
            <v>3.6366834208323429</v>
          </cell>
          <cell r="G96">
            <v>16</v>
          </cell>
          <cell r="I96">
            <v>12</v>
          </cell>
          <cell r="J96" t="str">
            <v>EXPR</v>
          </cell>
          <cell r="K96">
            <v>-62.346722196883199</v>
          </cell>
        </row>
        <row r="98">
          <cell r="B98" t="str">
            <v>2011A (bps)</v>
          </cell>
        </row>
        <row r="99">
          <cell r="E99" t="str">
            <v>AEO</v>
          </cell>
          <cell r="F99">
            <v>-10.646652941196793</v>
          </cell>
          <cell r="G99">
            <v>1</v>
          </cell>
          <cell r="I99">
            <v>12</v>
          </cell>
          <cell r="J99" t="str">
            <v>LTD</v>
          </cell>
          <cell r="K99">
            <v>808.95362286616034</v>
          </cell>
        </row>
        <row r="100">
          <cell r="E100" t="str">
            <v>ANF</v>
          </cell>
          <cell r="F100">
            <v>108.97913814203019</v>
          </cell>
          <cell r="G100">
            <v>2</v>
          </cell>
          <cell r="I100">
            <v>2</v>
          </cell>
          <cell r="J100" t="str">
            <v>ANF</v>
          </cell>
          <cell r="K100">
            <v>108.97913814203019</v>
          </cell>
        </row>
        <row r="101">
          <cell r="E101" t="str">
            <v>ANN</v>
          </cell>
          <cell r="F101">
            <v>95.78461854458584</v>
          </cell>
          <cell r="G101">
            <v>3</v>
          </cell>
          <cell r="I101">
            <v>3</v>
          </cell>
          <cell r="J101" t="str">
            <v>ANN</v>
          </cell>
          <cell r="K101">
            <v>95.78461854458584</v>
          </cell>
        </row>
        <row r="102">
          <cell r="E102" t="str">
            <v>ARO</v>
          </cell>
          <cell r="F102">
            <v>-134.18670119102444</v>
          </cell>
          <cell r="G102">
            <v>4</v>
          </cell>
          <cell r="I102">
            <v>16</v>
          </cell>
          <cell r="J102" t="str">
            <v>LULU</v>
          </cell>
          <cell r="K102">
            <v>75.081858688960253</v>
          </cell>
        </row>
        <row r="103">
          <cell r="E103" t="str">
            <v>CHS</v>
          </cell>
          <cell r="F103">
            <v>63.393436058514077</v>
          </cell>
          <cell r="G103">
            <v>5</v>
          </cell>
          <cell r="I103">
            <v>5</v>
          </cell>
          <cell r="J103" t="str">
            <v>CHS</v>
          </cell>
          <cell r="K103">
            <v>63.393436058514077</v>
          </cell>
        </row>
        <row r="104">
          <cell r="E104" t="str">
            <v>COH</v>
          </cell>
          <cell r="F104">
            <v>11.121197831945317</v>
          </cell>
          <cell r="G104">
            <v>6</v>
          </cell>
          <cell r="I104">
            <v>9</v>
          </cell>
          <cell r="J104" t="str">
            <v>EXPR</v>
          </cell>
          <cell r="K104">
            <v>44.579172432415163</v>
          </cell>
        </row>
        <row r="105">
          <cell r="E105" t="str">
            <v>EXPR</v>
          </cell>
          <cell r="F105">
            <v>44.579172432415163</v>
          </cell>
          <cell r="G105">
            <v>7</v>
          </cell>
          <cell r="I105">
            <v>6</v>
          </cell>
          <cell r="J105" t="str">
            <v>KORS</v>
          </cell>
          <cell r="K105">
            <v>35.172886249425218</v>
          </cell>
        </row>
        <row r="106">
          <cell r="E106" t="str">
            <v>GPS</v>
          </cell>
          <cell r="F106">
            <v>-69.657812489629663</v>
          </cell>
          <cell r="G106">
            <v>8</v>
          </cell>
          <cell r="I106">
            <v>15</v>
          </cell>
          <cell r="J106" t="str">
            <v>ROST</v>
          </cell>
          <cell r="K106">
            <v>24.569763953621663</v>
          </cell>
        </row>
        <row r="107">
          <cell r="E107" t="str">
            <v>KORS</v>
          </cell>
          <cell r="F107">
            <v>35.172886249425218</v>
          </cell>
          <cell r="G107">
            <v>9</v>
          </cell>
          <cell r="I107">
            <v>7</v>
          </cell>
          <cell r="J107" t="str">
            <v>COH</v>
          </cell>
          <cell r="K107">
            <v>11.121197831945317</v>
          </cell>
        </row>
        <row r="108">
          <cell r="E108" t="str">
            <v>LTD</v>
          </cell>
          <cell r="F108">
            <v>808.95362286616034</v>
          </cell>
          <cell r="G108">
            <v>10</v>
          </cell>
          <cell r="I108">
            <v>1</v>
          </cell>
          <cell r="J108" t="str">
            <v>TIF</v>
          </cell>
          <cell r="K108">
            <v>11.096419858824397</v>
          </cell>
        </row>
        <row r="109">
          <cell r="E109" t="str">
            <v>LULU</v>
          </cell>
          <cell r="F109">
            <v>75.081858688960253</v>
          </cell>
          <cell r="G109">
            <v>11</v>
          </cell>
          <cell r="I109">
            <v>4</v>
          </cell>
          <cell r="J109" t="str">
            <v>TJX</v>
          </cell>
          <cell r="K109">
            <v>10.16582641933557</v>
          </cell>
        </row>
        <row r="110">
          <cell r="E110" t="str">
            <v>PLCE</v>
          </cell>
          <cell r="F110">
            <v>-11.291254074840552</v>
          </cell>
          <cell r="G110">
            <v>12</v>
          </cell>
          <cell r="I110">
            <v>13</v>
          </cell>
          <cell r="J110" t="str">
            <v>AEO</v>
          </cell>
          <cell r="K110">
            <v>-10.646652941196793</v>
          </cell>
        </row>
        <row r="111">
          <cell r="E111" t="str">
            <v>ROST</v>
          </cell>
          <cell r="F111">
            <v>24.569763953621663</v>
          </cell>
          <cell r="G111">
            <v>13</v>
          </cell>
          <cell r="I111">
            <v>8</v>
          </cell>
          <cell r="J111" t="str">
            <v>PLCE</v>
          </cell>
          <cell r="K111">
            <v>-11.291254074840552</v>
          </cell>
        </row>
        <row r="112">
          <cell r="E112" t="str">
            <v>TIF</v>
          </cell>
          <cell r="F112">
            <v>11.096419858824397</v>
          </cell>
          <cell r="G112">
            <v>14</v>
          </cell>
          <cell r="I112">
            <v>10</v>
          </cell>
          <cell r="J112" t="str">
            <v>URBN</v>
          </cell>
          <cell r="K112">
            <v>-42.935649048453371</v>
          </cell>
        </row>
        <row r="113">
          <cell r="E113" t="str">
            <v>TJX</v>
          </cell>
          <cell r="F113">
            <v>10.16582641933557</v>
          </cell>
          <cell r="G113">
            <v>15</v>
          </cell>
          <cell r="I113">
            <v>11</v>
          </cell>
          <cell r="J113" t="str">
            <v>GPS</v>
          </cell>
          <cell r="K113">
            <v>-69.657812489629663</v>
          </cell>
        </row>
        <row r="114">
          <cell r="E114" t="str">
            <v>URBN</v>
          </cell>
          <cell r="F114">
            <v>-42.935649048453371</v>
          </cell>
          <cell r="G114">
            <v>16</v>
          </cell>
          <cell r="I114">
            <v>14</v>
          </cell>
          <cell r="J114" t="str">
            <v>ARO</v>
          </cell>
          <cell r="K114">
            <v>-134.18670119102444</v>
          </cell>
        </row>
        <row r="117">
          <cell r="B117" t="str">
            <v>Two Year Stacked</v>
          </cell>
        </row>
        <row r="118">
          <cell r="E118" t="str">
            <v>AEO</v>
          </cell>
          <cell r="F118">
            <v>6.9971755153556927</v>
          </cell>
          <cell r="G118">
            <v>1</v>
          </cell>
          <cell r="I118">
            <v>9</v>
          </cell>
          <cell r="J118" t="str">
            <v>LULU</v>
          </cell>
          <cell r="L118">
            <v>69.96180502825834</v>
          </cell>
        </row>
        <row r="119">
          <cell r="E119" t="str">
            <v>ANF</v>
          </cell>
          <cell r="F119">
            <v>-203.90619011250695</v>
          </cell>
          <cell r="G119">
            <v>2</v>
          </cell>
          <cell r="I119">
            <v>16</v>
          </cell>
          <cell r="J119" t="str">
            <v>KORS</v>
          </cell>
          <cell r="L119">
            <v>64.7465053596475</v>
          </cell>
        </row>
        <row r="120">
          <cell r="E120" t="str">
            <v>ANN</v>
          </cell>
          <cell r="F120">
            <v>14.527438909235357</v>
          </cell>
          <cell r="G120">
            <v>3</v>
          </cell>
          <cell r="I120">
            <v>7</v>
          </cell>
          <cell r="J120" t="str">
            <v>GPS</v>
          </cell>
          <cell r="L120">
            <v>40.502201157950054</v>
          </cell>
        </row>
        <row r="121">
          <cell r="E121" t="str">
            <v>ARO</v>
          </cell>
          <cell r="F121">
            <v>-155.15019464707501</v>
          </cell>
          <cell r="G121">
            <v>4</v>
          </cell>
          <cell r="I121">
            <v>14</v>
          </cell>
          <cell r="J121" t="str">
            <v>PLCE</v>
          </cell>
          <cell r="L121">
            <v>32.49030741548809</v>
          </cell>
        </row>
        <row r="122">
          <cell r="E122" t="str">
            <v>CHS</v>
          </cell>
          <cell r="F122">
            <v>-49.365535233733972</v>
          </cell>
          <cell r="G122">
            <v>5</v>
          </cell>
          <cell r="I122">
            <v>12</v>
          </cell>
          <cell r="J122" t="str">
            <v>TJX</v>
          </cell>
          <cell r="L122">
            <v>22.528262825023891</v>
          </cell>
        </row>
        <row r="123">
          <cell r="E123" t="str">
            <v>COH</v>
          </cell>
          <cell r="F123">
            <v>-87.191101384705462</v>
          </cell>
          <cell r="G123">
            <v>6</v>
          </cell>
          <cell r="I123">
            <v>13</v>
          </cell>
          <cell r="J123" t="str">
            <v>ROST</v>
          </cell>
          <cell r="L123">
            <v>21.290890943848616</v>
          </cell>
        </row>
        <row r="124">
          <cell r="E124" t="str">
            <v>EXPR</v>
          </cell>
          <cell r="F124">
            <v>-187.60907596472003</v>
          </cell>
          <cell r="G124">
            <v>7</v>
          </cell>
          <cell r="I124">
            <v>15</v>
          </cell>
          <cell r="J124" t="str">
            <v>ANN</v>
          </cell>
          <cell r="L124">
            <v>14.527438909235357</v>
          </cell>
        </row>
        <row r="125">
          <cell r="E125" t="str">
            <v>GPS</v>
          </cell>
          <cell r="F125">
            <v>40.502201157950054</v>
          </cell>
          <cell r="G125">
            <v>8</v>
          </cell>
          <cell r="I125">
            <v>3</v>
          </cell>
          <cell r="J125" t="str">
            <v>URBN</v>
          </cell>
          <cell r="L125">
            <v>9.4640594900398387</v>
          </cell>
        </row>
        <row r="126">
          <cell r="E126" t="str">
            <v>KORS</v>
          </cell>
          <cell r="F126">
            <v>64.7465053596475</v>
          </cell>
          <cell r="G126">
            <v>9</v>
          </cell>
          <cell r="I126">
            <v>2</v>
          </cell>
          <cell r="J126" t="str">
            <v>AEO</v>
          </cell>
          <cell r="L126">
            <v>6.9971755153556927</v>
          </cell>
        </row>
        <row r="127">
          <cell r="E127" t="str">
            <v>LTD</v>
          </cell>
          <cell r="F127">
            <v>3.0873851645736412</v>
          </cell>
          <cell r="G127">
            <v>10</v>
          </cell>
          <cell r="I127">
            <v>10</v>
          </cell>
          <cell r="J127" t="str">
            <v>LTD</v>
          </cell>
          <cell r="L127">
            <v>3.0873851645736412</v>
          </cell>
        </row>
        <row r="128">
          <cell r="E128" t="str">
            <v>LULU</v>
          </cell>
          <cell r="F128">
            <v>69.96180502825834</v>
          </cell>
          <cell r="G128">
            <v>11</v>
          </cell>
          <cell r="I128">
            <v>1</v>
          </cell>
          <cell r="J128" t="str">
            <v>TIF</v>
          </cell>
          <cell r="L128">
            <v>-33.568047938800916</v>
          </cell>
        </row>
        <row r="129">
          <cell r="E129" t="str">
            <v>PLCE</v>
          </cell>
          <cell r="F129">
            <v>32.49030741548809</v>
          </cell>
          <cell r="G129">
            <v>12</v>
          </cell>
          <cell r="I129">
            <v>4</v>
          </cell>
          <cell r="J129" t="str">
            <v>CHS</v>
          </cell>
          <cell r="L129">
            <v>-49.365535233733972</v>
          </cell>
        </row>
        <row r="130">
          <cell r="E130" t="str">
            <v>ROST</v>
          </cell>
          <cell r="F130">
            <v>21.290890943848616</v>
          </cell>
          <cell r="G130">
            <v>13</v>
          </cell>
          <cell r="I130">
            <v>6</v>
          </cell>
          <cell r="J130" t="str">
            <v>COH</v>
          </cell>
          <cell r="L130">
            <v>-87.191101384705462</v>
          </cell>
        </row>
        <row r="131">
          <cell r="E131" t="str">
            <v>TIF</v>
          </cell>
          <cell r="F131">
            <v>-33.568047938800916</v>
          </cell>
          <cell r="G131">
            <v>14</v>
          </cell>
          <cell r="I131">
            <v>11</v>
          </cell>
          <cell r="J131" t="str">
            <v>ARO</v>
          </cell>
          <cell r="L131">
            <v>-155.15019464707501</v>
          </cell>
        </row>
        <row r="132">
          <cell r="E132" t="str">
            <v>TJX</v>
          </cell>
          <cell r="F132">
            <v>22.528262825023891</v>
          </cell>
          <cell r="G132">
            <v>15</v>
          </cell>
          <cell r="I132">
            <v>5</v>
          </cell>
          <cell r="J132" t="str">
            <v>EXPR</v>
          </cell>
          <cell r="L132">
            <v>-187.60907596472003</v>
          </cell>
        </row>
        <row r="133">
          <cell r="E133" t="str">
            <v>URBN</v>
          </cell>
          <cell r="F133">
            <v>9.4640594900398387</v>
          </cell>
          <cell r="G133">
            <v>16</v>
          </cell>
          <cell r="I133">
            <v>8</v>
          </cell>
          <cell r="J133" t="str">
            <v>ANF</v>
          </cell>
          <cell r="L133">
            <v>-203.90619011250695</v>
          </cell>
        </row>
      </sheetData>
      <sheetData sheetId="10">
        <row r="7">
          <cell r="E7" t="str">
            <v>Sort by</v>
          </cell>
        </row>
        <row r="8">
          <cell r="E8" t="str">
            <v>Descending</v>
          </cell>
        </row>
        <row r="9">
          <cell r="A9" t="str">
            <v>2012</v>
          </cell>
          <cell r="B9" t="str">
            <v>2013</v>
          </cell>
          <cell r="C9">
            <v>2</v>
          </cell>
          <cell r="D9">
            <v>27</v>
          </cell>
          <cell r="E9">
            <v>27</v>
          </cell>
        </row>
        <row r="10">
          <cell r="D10" t="str">
            <v>2012A Leverage</v>
          </cell>
          <cell r="E10" t="str">
            <v>2013E Leverage</v>
          </cell>
        </row>
        <row r="11">
          <cell r="A11" t="str">
            <v>AEO2012</v>
          </cell>
          <cell r="B11" t="str">
            <v>AEO2013</v>
          </cell>
          <cell r="C11" t="str">
            <v>AEO</v>
          </cell>
          <cell r="D11">
            <v>100.70763496348944</v>
          </cell>
          <cell r="E11">
            <v>-93.710459448133747</v>
          </cell>
        </row>
        <row r="12">
          <cell r="A12" t="str">
            <v>ANF2012</v>
          </cell>
          <cell r="B12" t="str">
            <v>ANF2013</v>
          </cell>
          <cell r="C12" t="str">
            <v>ANF</v>
          </cell>
          <cell r="D12">
            <v>25.844540509672441</v>
          </cell>
          <cell r="E12">
            <v>-229.75073062217939</v>
          </cell>
        </row>
        <row r="13">
          <cell r="A13" t="str">
            <v>ANN2012</v>
          </cell>
          <cell r="B13" t="str">
            <v>ANN2013</v>
          </cell>
          <cell r="C13" t="str">
            <v>ANN</v>
          </cell>
          <cell r="D13">
            <v>-3.4011620263443842</v>
          </cell>
          <cell r="E13">
            <v>17.928600935579741</v>
          </cell>
        </row>
        <row r="14">
          <cell r="A14" t="str">
            <v>ARO2012</v>
          </cell>
          <cell r="B14" t="str">
            <v>ARO2013</v>
          </cell>
          <cell r="C14" t="str">
            <v>ARO</v>
          </cell>
          <cell r="D14">
            <v>-10.819977328833247</v>
          </cell>
          <cell r="E14">
            <v>-144.33021731824175</v>
          </cell>
        </row>
        <row r="15">
          <cell r="A15" t="str">
            <v>CHS2012</v>
          </cell>
          <cell r="B15" t="str">
            <v>CHS2013</v>
          </cell>
          <cell r="C15" t="str">
            <v>CHS</v>
          </cell>
          <cell r="D15">
            <v>41.903595604134146</v>
          </cell>
          <cell r="E15">
            <v>-91.269130837868119</v>
          </cell>
        </row>
        <row r="16">
          <cell r="A16" t="str">
            <v>COH2012</v>
          </cell>
          <cell r="B16" t="str">
            <v>COH2013</v>
          </cell>
          <cell r="C16" t="str">
            <v>COH</v>
          </cell>
          <cell r="D16">
            <v>632.03159705609062</v>
          </cell>
          <cell r="E16">
            <v>-719.22269844079608</v>
          </cell>
        </row>
        <row r="17">
          <cell r="A17" t="str">
            <v>EXPR2012</v>
          </cell>
          <cell r="B17" t="str">
            <v>EXPR2013</v>
          </cell>
          <cell r="C17" t="str">
            <v>EXPR</v>
          </cell>
          <cell r="D17">
            <v>-62.346722196883199</v>
          </cell>
          <cell r="E17">
            <v>-125.26235376783684</v>
          </cell>
        </row>
        <row r="18">
          <cell r="A18" t="str">
            <v>GPS2012</v>
          </cell>
          <cell r="B18" t="str">
            <v>GPS2013</v>
          </cell>
          <cell r="C18" t="str">
            <v>GPS</v>
          </cell>
          <cell r="D18">
            <v>55.778851695775231</v>
          </cell>
          <cell r="E18">
            <v>-15.276650537825176</v>
          </cell>
        </row>
        <row r="19">
          <cell r="A19" t="str">
            <v>KORS2012</v>
          </cell>
          <cell r="B19" t="str">
            <v>KORS2013</v>
          </cell>
          <cell r="C19" t="str">
            <v>KORS</v>
          </cell>
          <cell r="D19">
            <v>29.219519353664847</v>
          </cell>
          <cell r="E19">
            <v>35.526986005982657</v>
          </cell>
        </row>
        <row r="20">
          <cell r="A20" t="str">
            <v>LTD2012</v>
          </cell>
          <cell r="B20" t="str">
            <v>LTD2013</v>
          </cell>
          <cell r="C20" t="str">
            <v>LTD</v>
          </cell>
          <cell r="D20">
            <v>6.5503448747606008</v>
          </cell>
          <cell r="E20">
            <v>-3.4629597101869596</v>
          </cell>
        </row>
        <row r="21">
          <cell r="A21" t="str">
            <v>LULU2012</v>
          </cell>
          <cell r="B21" t="str">
            <v>LULU2013</v>
          </cell>
          <cell r="C21" t="str">
            <v>LULU</v>
          </cell>
          <cell r="D21">
            <v>69.100308982571818</v>
          </cell>
          <cell r="E21">
            <v>0.86149604568652727</v>
          </cell>
        </row>
        <row r="22">
          <cell r="A22" t="str">
            <v>PLCE2012</v>
          </cell>
          <cell r="B22" t="str">
            <v>PLCE2013</v>
          </cell>
          <cell r="C22" t="str">
            <v>PLCE</v>
          </cell>
          <cell r="D22">
            <v>45.114586184959172</v>
          </cell>
          <cell r="E22">
            <v>-12.624278769471086</v>
          </cell>
        </row>
        <row r="23">
          <cell r="A23" t="str">
            <v>ROST2012</v>
          </cell>
          <cell r="B23" t="str">
            <v>ROST2013</v>
          </cell>
          <cell r="C23" t="str">
            <v>ROST</v>
          </cell>
          <cell r="D23">
            <v>30.211023114819906</v>
          </cell>
          <cell r="E23">
            <v>-8.9201321709712893</v>
          </cell>
        </row>
        <row r="24">
          <cell r="A24" t="str">
            <v>TIF2012</v>
          </cell>
          <cell r="B24" t="str">
            <v>TIF2013</v>
          </cell>
          <cell r="C24" t="str">
            <v>TIF</v>
          </cell>
          <cell r="D24">
            <v>-35.817442387837822</v>
          </cell>
          <cell r="E24">
            <v>2.2493944490369069</v>
          </cell>
        </row>
        <row r="25">
          <cell r="A25" t="str">
            <v>TJX2012</v>
          </cell>
          <cell r="B25" t="str">
            <v>TJX2013</v>
          </cell>
          <cell r="C25" t="str">
            <v>TJX</v>
          </cell>
          <cell r="D25">
            <v>20.91967123394857</v>
          </cell>
          <cell r="E25">
            <v>1.6085915910753201</v>
          </cell>
        </row>
        <row r="26">
          <cell r="A26" t="str">
            <v>URBN2012</v>
          </cell>
          <cell r="B26" t="str">
            <v>URBN2013</v>
          </cell>
          <cell r="C26" t="str">
            <v>URBN</v>
          </cell>
          <cell r="D26">
            <v>3.6366834208323429</v>
          </cell>
          <cell r="E26">
            <v>5.8273760692074958</v>
          </cell>
        </row>
        <row r="32">
          <cell r="B32" t="str">
            <v>2013E Leverage</v>
          </cell>
          <cell r="F32" t="str">
            <v>2013E Leverage</v>
          </cell>
          <cell r="G32" t="str">
            <v>2012A Leverage</v>
          </cell>
        </row>
        <row r="33">
          <cell r="A33" t="str">
            <v>AEO</v>
          </cell>
          <cell r="B33">
            <v>-93.710459448133747</v>
          </cell>
          <cell r="C33">
            <v>1</v>
          </cell>
          <cell r="D33">
            <v>12</v>
          </cell>
          <cell r="E33" t="str">
            <v>KORS</v>
          </cell>
          <cell r="F33">
            <v>35.526986005982657</v>
          </cell>
          <cell r="G33">
            <v>29.219519353664847</v>
          </cell>
        </row>
        <row r="34">
          <cell r="A34" t="str">
            <v>ANF</v>
          </cell>
          <cell r="B34">
            <v>-229.75073062217939</v>
          </cell>
          <cell r="C34">
            <v>2</v>
          </cell>
          <cell r="D34">
            <v>15</v>
          </cell>
          <cell r="E34" t="str">
            <v>ANN</v>
          </cell>
          <cell r="F34">
            <v>17.928600935579741</v>
          </cell>
          <cell r="G34">
            <v>-3.4011620263443842</v>
          </cell>
          <cell r="M34" t="str">
            <v>2012A Leverage</v>
          </cell>
          <cell r="N34" t="str">
            <v>2013E Leverage</v>
          </cell>
        </row>
        <row r="35">
          <cell r="A35" t="str">
            <v>ANN</v>
          </cell>
          <cell r="B35">
            <v>17.928600935579741</v>
          </cell>
          <cell r="C35">
            <v>3</v>
          </cell>
          <cell r="D35">
            <v>2</v>
          </cell>
          <cell r="E35" t="str">
            <v>URBN</v>
          </cell>
          <cell r="F35">
            <v>5.8273760692074958</v>
          </cell>
          <cell r="G35">
            <v>3.6366834208323429</v>
          </cell>
          <cell r="L35" t="str">
            <v>KORS</v>
          </cell>
          <cell r="M35">
            <v>29.219519353664847</v>
          </cell>
          <cell r="N35">
            <v>35.526986005982657</v>
          </cell>
        </row>
        <row r="36">
          <cell r="A36" t="str">
            <v>ARO</v>
          </cell>
          <cell r="B36">
            <v>-144.33021731824175</v>
          </cell>
          <cell r="C36">
            <v>4</v>
          </cell>
          <cell r="D36">
            <v>14</v>
          </cell>
          <cell r="E36" t="str">
            <v>TIF</v>
          </cell>
          <cell r="F36">
            <v>2.2493944490369069</v>
          </cell>
          <cell r="G36">
            <v>-35.817442387837822</v>
          </cell>
          <cell r="L36" t="str">
            <v>ANN</v>
          </cell>
          <cell r="M36">
            <v>-3.4011620263443842</v>
          </cell>
          <cell r="N36">
            <v>17.928600935579741</v>
          </cell>
        </row>
        <row r="37">
          <cell r="A37" t="str">
            <v>CHS</v>
          </cell>
          <cell r="B37">
            <v>-91.269130837868119</v>
          </cell>
          <cell r="C37">
            <v>5</v>
          </cell>
          <cell r="D37">
            <v>11</v>
          </cell>
          <cell r="E37" t="str">
            <v>TJX</v>
          </cell>
          <cell r="F37">
            <v>1.6085915910753201</v>
          </cell>
          <cell r="G37">
            <v>20.91967123394857</v>
          </cell>
          <cell r="L37" t="str">
            <v>URBN</v>
          </cell>
          <cell r="M37">
            <v>3.6366834208323429</v>
          </cell>
          <cell r="N37">
            <v>5.8273760692074958</v>
          </cell>
        </row>
        <row r="38">
          <cell r="A38" t="str">
            <v>COH</v>
          </cell>
          <cell r="B38">
            <v>-719.22269844079608</v>
          </cell>
          <cell r="C38">
            <v>6</v>
          </cell>
          <cell r="D38">
            <v>16</v>
          </cell>
          <cell r="E38" t="str">
            <v>LULU</v>
          </cell>
          <cell r="F38">
            <v>0.86149604568652727</v>
          </cell>
          <cell r="G38">
            <v>69.100308982571818</v>
          </cell>
          <cell r="L38" t="str">
            <v>TIF</v>
          </cell>
          <cell r="M38">
            <v>-35.817442387837822</v>
          </cell>
          <cell r="N38">
            <v>2.2493944490369069</v>
          </cell>
        </row>
        <row r="39">
          <cell r="A39" t="str">
            <v>EXPR</v>
          </cell>
          <cell r="B39">
            <v>-125.26235376783684</v>
          </cell>
          <cell r="C39">
            <v>7</v>
          </cell>
          <cell r="D39">
            <v>13</v>
          </cell>
          <cell r="E39" t="str">
            <v>LTD</v>
          </cell>
          <cell r="F39">
            <v>-3.4629597101869596</v>
          </cell>
          <cell r="G39">
            <v>6.5503448747606008</v>
          </cell>
          <cell r="L39" t="str">
            <v>TJX</v>
          </cell>
          <cell r="M39">
            <v>20.91967123394857</v>
          </cell>
          <cell r="N39">
            <v>1.6085915910753201</v>
          </cell>
        </row>
        <row r="40">
          <cell r="A40" t="str">
            <v>GPS</v>
          </cell>
          <cell r="B40">
            <v>-15.276650537825176</v>
          </cell>
          <cell r="C40">
            <v>8</v>
          </cell>
          <cell r="D40">
            <v>10</v>
          </cell>
          <cell r="E40" t="str">
            <v>ROST</v>
          </cell>
          <cell r="F40">
            <v>-8.9201321709712893</v>
          </cell>
          <cell r="G40">
            <v>30.211023114819906</v>
          </cell>
          <cell r="L40" t="str">
            <v>LULU</v>
          </cell>
          <cell r="M40">
            <v>69.100308982571818</v>
          </cell>
          <cell r="N40">
            <v>0.86149604568652727</v>
          </cell>
        </row>
        <row r="41">
          <cell r="A41" t="str">
            <v>KORS</v>
          </cell>
          <cell r="B41">
            <v>35.526986005982657</v>
          </cell>
          <cell r="C41">
            <v>9</v>
          </cell>
          <cell r="D41">
            <v>1</v>
          </cell>
          <cell r="E41" t="str">
            <v>PLCE</v>
          </cell>
          <cell r="F41">
            <v>-12.624278769471086</v>
          </cell>
          <cell r="G41">
            <v>45.114586184959172</v>
          </cell>
          <cell r="L41" t="str">
            <v>LTD</v>
          </cell>
          <cell r="M41">
            <v>6.5503448747606008</v>
          </cell>
          <cell r="N41">
            <v>-3.4629597101869596</v>
          </cell>
        </row>
        <row r="42">
          <cell r="A42" t="str">
            <v>LTD</v>
          </cell>
          <cell r="B42">
            <v>-3.4629597101869596</v>
          </cell>
          <cell r="C42">
            <v>10</v>
          </cell>
          <cell r="D42">
            <v>7</v>
          </cell>
          <cell r="E42" t="str">
            <v>GPS</v>
          </cell>
          <cell r="F42">
            <v>-15.276650537825176</v>
          </cell>
          <cell r="G42">
            <v>55.778851695775231</v>
          </cell>
          <cell r="L42" t="str">
            <v>ROST</v>
          </cell>
          <cell r="M42">
            <v>30.211023114819906</v>
          </cell>
          <cell r="N42">
            <v>-8.9201321709712893</v>
          </cell>
        </row>
        <row r="43">
          <cell r="A43" t="str">
            <v>LULU</v>
          </cell>
          <cell r="B43">
            <v>0.86149604568652727</v>
          </cell>
          <cell r="C43">
            <v>11</v>
          </cell>
          <cell r="D43">
            <v>6</v>
          </cell>
          <cell r="E43" t="str">
            <v>CHS</v>
          </cell>
          <cell r="F43">
            <v>-91.269130837868119</v>
          </cell>
          <cell r="G43">
            <v>41.903595604134146</v>
          </cell>
          <cell r="L43" t="str">
            <v>PLCE</v>
          </cell>
          <cell r="M43">
            <v>45.114586184959172</v>
          </cell>
          <cell r="N43">
            <v>-12.624278769471086</v>
          </cell>
        </row>
        <row r="44">
          <cell r="A44" t="str">
            <v>PLCE</v>
          </cell>
          <cell r="B44">
            <v>-12.624278769471086</v>
          </cell>
          <cell r="C44">
            <v>12</v>
          </cell>
          <cell r="D44">
            <v>9</v>
          </cell>
          <cell r="E44" t="str">
            <v>AEO</v>
          </cell>
          <cell r="F44">
            <v>-93.710459448133747</v>
          </cell>
          <cell r="G44">
            <v>100.70763496348944</v>
          </cell>
          <cell r="L44" t="str">
            <v>GPS</v>
          </cell>
          <cell r="M44">
            <v>55.778851695775231</v>
          </cell>
          <cell r="N44">
            <v>-15.276650537825176</v>
          </cell>
        </row>
        <row r="45">
          <cell r="A45" t="str">
            <v>ROST</v>
          </cell>
          <cell r="B45">
            <v>-8.9201321709712893</v>
          </cell>
          <cell r="C45">
            <v>13</v>
          </cell>
          <cell r="D45">
            <v>8</v>
          </cell>
          <cell r="E45" t="str">
            <v>EXPR</v>
          </cell>
          <cell r="F45">
            <v>-125.26235376783684</v>
          </cell>
          <cell r="G45">
            <v>-62.346722196883199</v>
          </cell>
          <cell r="L45" t="str">
            <v>CHS</v>
          </cell>
          <cell r="M45">
            <v>41.903595604134146</v>
          </cell>
          <cell r="N45">
            <v>-91.269130837868119</v>
          </cell>
        </row>
        <row r="46">
          <cell r="A46" t="str">
            <v>TIF</v>
          </cell>
          <cell r="B46">
            <v>2.2493944490369069</v>
          </cell>
          <cell r="C46">
            <v>14</v>
          </cell>
          <cell r="D46">
            <v>4</v>
          </cell>
          <cell r="E46" t="str">
            <v>ARO</v>
          </cell>
          <cell r="F46">
            <v>-144.33021731824175</v>
          </cell>
          <cell r="G46">
            <v>-10.819977328833247</v>
          </cell>
          <cell r="L46" t="str">
            <v>AEO</v>
          </cell>
          <cell r="M46">
            <v>100.70763496348944</v>
          </cell>
          <cell r="N46">
            <v>-93.710459448133747</v>
          </cell>
        </row>
        <row r="47">
          <cell r="A47" t="str">
            <v>TJX</v>
          </cell>
          <cell r="B47">
            <v>1.6085915910753201</v>
          </cell>
          <cell r="C47">
            <v>15</v>
          </cell>
          <cell r="D47">
            <v>5</v>
          </cell>
          <cell r="E47" t="str">
            <v>ANF</v>
          </cell>
          <cell r="F47">
            <v>-229.75073062217939</v>
          </cell>
          <cell r="G47">
            <v>25.844540509672441</v>
          </cell>
          <cell r="L47" t="str">
            <v>EXPR</v>
          </cell>
          <cell r="M47">
            <v>-62.346722196883199</v>
          </cell>
          <cell r="N47">
            <v>-125.26235376783684</v>
          </cell>
        </row>
        <row r="48">
          <cell r="A48" t="str">
            <v>URBN</v>
          </cell>
          <cell r="B48">
            <v>5.8273760692074958</v>
          </cell>
          <cell r="C48">
            <v>16</v>
          </cell>
          <cell r="D48">
            <v>3</v>
          </cell>
          <cell r="E48" t="str">
            <v>COH</v>
          </cell>
          <cell r="F48">
            <v>-719.22269844079608</v>
          </cell>
          <cell r="G48">
            <v>632.03159705609062</v>
          </cell>
          <cell r="L48" t="str">
            <v>ARO</v>
          </cell>
          <cell r="M48">
            <v>-10.819977328833247</v>
          </cell>
          <cell r="N48">
            <v>-144.33021731824175</v>
          </cell>
        </row>
        <row r="49">
          <cell r="L49" t="str">
            <v>ANF</v>
          </cell>
          <cell r="M49">
            <v>25.844540509672441</v>
          </cell>
          <cell r="N49">
            <v>-229.75073062217939</v>
          </cell>
        </row>
        <row r="50">
          <cell r="L50" t="str">
            <v>COH</v>
          </cell>
          <cell r="M50">
            <v>632.03159705609062</v>
          </cell>
          <cell r="N50">
            <v>-719.22269844079608</v>
          </cell>
        </row>
      </sheetData>
      <sheetData sheetId="11">
        <row r="2">
          <cell r="D2">
            <v>1997</v>
          </cell>
          <cell r="E2">
            <v>1998</v>
          </cell>
          <cell r="F2">
            <v>1999</v>
          </cell>
          <cell r="G2">
            <v>2000</v>
          </cell>
          <cell r="H2">
            <v>2001</v>
          </cell>
          <cell r="I2">
            <v>2002</v>
          </cell>
          <cell r="J2">
            <v>2003</v>
          </cell>
          <cell r="K2">
            <v>2004</v>
          </cell>
          <cell r="L2">
            <v>2005</v>
          </cell>
          <cell r="M2">
            <v>2006</v>
          </cell>
          <cell r="N2">
            <v>2007</v>
          </cell>
          <cell r="O2">
            <v>2008</v>
          </cell>
          <cell r="P2">
            <v>2009</v>
          </cell>
          <cell r="Q2">
            <v>2010</v>
          </cell>
          <cell r="R2">
            <v>2011</v>
          </cell>
          <cell r="S2" t="str">
            <v>2012E</v>
          </cell>
          <cell r="T2" t="str">
            <v>2013E</v>
          </cell>
          <cell r="U2" t="str">
            <v>2014E</v>
          </cell>
          <cell r="V2" t="str">
            <v>2015E</v>
          </cell>
          <cell r="W2" t="str">
            <v>2013e-2015e</v>
          </cell>
        </row>
        <row r="3">
          <cell r="B3" t="str">
            <v>AEO</v>
          </cell>
          <cell r="C3" t="str">
            <v>End of Year # Stores</v>
          </cell>
          <cell r="D3">
            <v>332</v>
          </cell>
          <cell r="E3">
            <v>386</v>
          </cell>
          <cell r="F3">
            <v>466</v>
          </cell>
          <cell r="G3">
            <v>554</v>
          </cell>
          <cell r="H3">
            <v>678</v>
          </cell>
          <cell r="I3">
            <v>753</v>
          </cell>
          <cell r="J3">
            <v>805</v>
          </cell>
          <cell r="K3">
            <v>846</v>
          </cell>
          <cell r="L3">
            <v>0</v>
          </cell>
          <cell r="M3">
            <v>0</v>
          </cell>
          <cell r="N3">
            <v>987</v>
          </cell>
          <cell r="O3">
            <v>1098</v>
          </cell>
          <cell r="P3">
            <v>1103</v>
          </cell>
          <cell r="Q3">
            <v>1077</v>
          </cell>
          <cell r="R3">
            <v>1069</v>
          </cell>
          <cell r="S3">
            <v>1044</v>
          </cell>
          <cell r="T3">
            <v>1054</v>
          </cell>
          <cell r="U3">
            <v>-21</v>
          </cell>
          <cell r="V3">
            <v>-20</v>
          </cell>
          <cell r="W3" t="str">
            <v xml:space="preserve">Est. Renewal + New </v>
          </cell>
        </row>
        <row r="4">
          <cell r="C4" t="str">
            <v>New Store Openings</v>
          </cell>
          <cell r="D4">
            <v>36</v>
          </cell>
          <cell r="E4">
            <v>56</v>
          </cell>
          <cell r="F4">
            <v>80</v>
          </cell>
          <cell r="G4">
            <v>90</v>
          </cell>
          <cell r="H4">
            <v>127</v>
          </cell>
          <cell r="I4">
            <v>79</v>
          </cell>
          <cell r="J4">
            <v>59</v>
          </cell>
          <cell r="K4">
            <v>50</v>
          </cell>
          <cell r="L4">
            <v>36</v>
          </cell>
          <cell r="M4">
            <v>50</v>
          </cell>
          <cell r="N4">
            <v>80</v>
          </cell>
          <cell r="O4">
            <v>122</v>
          </cell>
          <cell r="P4">
            <v>29</v>
          </cell>
          <cell r="Q4">
            <v>34</v>
          </cell>
          <cell r="R4">
            <v>33</v>
          </cell>
          <cell r="S4">
            <v>17</v>
          </cell>
          <cell r="T4">
            <v>50</v>
          </cell>
          <cell r="U4">
            <v>60</v>
          </cell>
          <cell r="V4">
            <v>26</v>
          </cell>
          <cell r="W4" t="str">
            <v>Stores as % of Total</v>
          </cell>
        </row>
        <row r="5">
          <cell r="C5" t="str">
            <v>Store Closings</v>
          </cell>
          <cell r="D5">
            <v>7</v>
          </cell>
          <cell r="E5">
            <v>2</v>
          </cell>
          <cell r="F5">
            <v>0</v>
          </cell>
          <cell r="G5">
            <v>2</v>
          </cell>
          <cell r="H5">
            <v>3</v>
          </cell>
          <cell r="I5">
            <v>4</v>
          </cell>
          <cell r="J5">
            <v>7</v>
          </cell>
          <cell r="K5">
            <v>9</v>
          </cell>
          <cell r="L5">
            <v>13</v>
          </cell>
          <cell r="M5">
            <v>8</v>
          </cell>
          <cell r="N5">
            <v>4</v>
          </cell>
          <cell r="O5">
            <v>11</v>
          </cell>
          <cell r="P5">
            <v>24</v>
          </cell>
          <cell r="Q5">
            <v>51</v>
          </cell>
          <cell r="R5">
            <v>29</v>
          </cell>
          <cell r="S5">
            <v>41</v>
          </cell>
          <cell r="T5">
            <v>40</v>
          </cell>
          <cell r="U5">
            <v>49</v>
          </cell>
          <cell r="V5">
            <v>50</v>
          </cell>
        </row>
        <row r="6">
          <cell r="C6" t="str">
            <v xml:space="preserve">Stores Up for Negotation as a % of Total </v>
          </cell>
          <cell r="T6">
            <v>0.10341555977229601</v>
          </cell>
          <cell r="U6">
            <v>-5.2380952380952381</v>
          </cell>
          <cell r="V6">
            <v>-3.1</v>
          </cell>
          <cell r="W6">
            <v>-8.2346796783229426</v>
          </cell>
          <cell r="Y6" t="str">
            <v>GPS2009</v>
          </cell>
          <cell r="Z6">
            <v>0.44999999999999996</v>
          </cell>
          <cell r="AB6" t="str">
            <v>GPS</v>
          </cell>
          <cell r="AC6">
            <v>0.6</v>
          </cell>
          <cell r="AE6" t="str">
            <v>GPS</v>
          </cell>
          <cell r="AF6" t="str">
            <v xml:space="preserve">GPS </v>
          </cell>
        </row>
        <row r="7">
          <cell r="C7" t="str">
            <v>Gross Square Footage</v>
          </cell>
          <cell r="D7">
            <v>1.3933610000000001</v>
          </cell>
          <cell r="E7">
            <v>1.624933</v>
          </cell>
          <cell r="F7">
            <v>2.03938</v>
          </cell>
          <cell r="G7">
            <v>2.5968629999999999</v>
          </cell>
          <cell r="H7">
            <v>3.3346939999999998</v>
          </cell>
          <cell r="I7">
            <v>3.8174419999999998</v>
          </cell>
          <cell r="J7">
            <v>4.2394970000000001</v>
          </cell>
          <cell r="K7">
            <v>4.540095</v>
          </cell>
          <cell r="L7">
            <v>4.7724869999999999</v>
          </cell>
          <cell r="M7">
            <v>5.1730650000000002</v>
          </cell>
          <cell r="N7">
            <v>5.7099320000000002</v>
          </cell>
          <cell r="O7">
            <v>6.3281669999999997</v>
          </cell>
          <cell r="P7">
            <v>6.2153549999999997</v>
          </cell>
          <cell r="Q7">
            <v>6.2884250000000002</v>
          </cell>
          <cell r="R7">
            <v>6.2902839999999998</v>
          </cell>
          <cell r="S7">
            <v>6.2032780000000001</v>
          </cell>
          <cell r="T7">
            <v>6.2632779999999997</v>
          </cell>
          <cell r="U7">
            <v>6.3254780000000004</v>
          </cell>
          <cell r="V7">
            <v>6.3876780000000011</v>
          </cell>
        </row>
        <row r="8">
          <cell r="B8" t="str">
            <v>ANF</v>
          </cell>
          <cell r="C8" t="str">
            <v>End of Year # Stores</v>
          </cell>
          <cell r="D8">
            <v>156</v>
          </cell>
          <cell r="E8">
            <v>196</v>
          </cell>
          <cell r="F8">
            <v>250</v>
          </cell>
          <cell r="G8">
            <v>354</v>
          </cell>
          <cell r="H8">
            <v>491</v>
          </cell>
          <cell r="I8">
            <v>597</v>
          </cell>
          <cell r="J8">
            <v>700</v>
          </cell>
          <cell r="K8">
            <v>788</v>
          </cell>
          <cell r="L8">
            <v>851</v>
          </cell>
          <cell r="M8">
            <v>944</v>
          </cell>
          <cell r="N8">
            <v>1035</v>
          </cell>
          <cell r="O8">
            <v>1125</v>
          </cell>
          <cell r="P8">
            <v>1097</v>
          </cell>
          <cell r="Q8">
            <v>1069</v>
          </cell>
          <cell r="R8">
            <v>1041</v>
          </cell>
          <cell r="S8">
            <v>1041</v>
          </cell>
          <cell r="T8">
            <v>1026</v>
          </cell>
          <cell r="U8">
            <v>961</v>
          </cell>
          <cell r="V8">
            <v>932</v>
          </cell>
          <cell r="W8" t="str">
            <v xml:space="preserve">Est. Renewal + New </v>
          </cell>
          <cell r="Y8" t="str">
            <v>LTD2009</v>
          </cell>
          <cell r="Z8">
            <v>0.10411835764549821</v>
          </cell>
          <cell r="AB8" t="str">
            <v>PLCE</v>
          </cell>
          <cell r="AC8">
            <v>0.4606230830142336</v>
          </cell>
          <cell r="AE8" t="str">
            <v>PLCE</v>
          </cell>
        </row>
        <row r="9">
          <cell r="C9" t="str">
            <v>New Store Openings</v>
          </cell>
          <cell r="D9">
            <v>30</v>
          </cell>
          <cell r="E9">
            <v>41</v>
          </cell>
          <cell r="F9">
            <v>54</v>
          </cell>
          <cell r="G9">
            <v>104</v>
          </cell>
          <cell r="H9">
            <v>138</v>
          </cell>
          <cell r="I9">
            <v>112</v>
          </cell>
          <cell r="J9">
            <v>106</v>
          </cell>
          <cell r="K9">
            <v>109</v>
          </cell>
          <cell r="L9">
            <v>81</v>
          </cell>
          <cell r="M9">
            <v>104</v>
          </cell>
          <cell r="N9">
            <v>99</v>
          </cell>
          <cell r="O9">
            <v>97</v>
          </cell>
          <cell r="P9">
            <v>22</v>
          </cell>
          <cell r="Q9">
            <v>37</v>
          </cell>
          <cell r="R9">
            <v>46</v>
          </cell>
          <cell r="S9">
            <v>47</v>
          </cell>
          <cell r="T9">
            <v>23</v>
          </cell>
          <cell r="U9">
            <v>21</v>
          </cell>
          <cell r="V9">
            <v>30</v>
          </cell>
          <cell r="W9" t="str">
            <v>Stores as % of Total</v>
          </cell>
          <cell r="Y9" t="str">
            <v>TLB2009</v>
          </cell>
          <cell r="Z9">
            <v>0.20357470611216757</v>
          </cell>
          <cell r="AB9" t="str">
            <v>URBN</v>
          </cell>
          <cell r="AC9">
            <v>0.41715569113610479</v>
          </cell>
          <cell r="AE9" t="str">
            <v>URBN</v>
          </cell>
        </row>
        <row r="10">
          <cell r="C10" t="str">
            <v>Store Closings</v>
          </cell>
          <cell r="D10">
            <v>1</v>
          </cell>
          <cell r="E10">
            <v>1</v>
          </cell>
          <cell r="F10">
            <v>0</v>
          </cell>
          <cell r="G10">
            <v>0</v>
          </cell>
          <cell r="H10">
            <v>1</v>
          </cell>
          <cell r="I10">
            <v>6</v>
          </cell>
          <cell r="J10">
            <v>3</v>
          </cell>
          <cell r="K10">
            <v>21</v>
          </cell>
          <cell r="L10">
            <v>22</v>
          </cell>
          <cell r="M10">
            <v>13</v>
          </cell>
          <cell r="N10">
            <v>6</v>
          </cell>
          <cell r="O10">
            <v>10</v>
          </cell>
          <cell r="P10">
            <v>51</v>
          </cell>
          <cell r="Q10">
            <v>65</v>
          </cell>
          <cell r="R10">
            <v>74</v>
          </cell>
          <cell r="S10">
            <v>47</v>
          </cell>
          <cell r="T10">
            <v>50</v>
          </cell>
          <cell r="U10">
            <v>66</v>
          </cell>
          <cell r="V10">
            <v>59</v>
          </cell>
        </row>
        <row r="11">
          <cell r="C11" t="str">
            <v xml:space="preserve">Stores Up for Negotation as a % of Total </v>
          </cell>
          <cell r="T11">
            <v>0.12573099415204678</v>
          </cell>
          <cell r="U11">
            <v>0.13527575442247658</v>
          </cell>
          <cell r="V11">
            <v>0.11909871244635194</v>
          </cell>
          <cell r="W11">
            <v>0.38010546102087528</v>
          </cell>
          <cell r="Y11" t="str">
            <v>TIF2009</v>
          </cell>
          <cell r="Z11">
            <v>0.22025176029526791</v>
          </cell>
          <cell r="AB11" t="str">
            <v>JCG</v>
          </cell>
          <cell r="AC11">
            <v>0.40734666829785499</v>
          </cell>
          <cell r="AE11" t="str">
            <v>JCG</v>
          </cell>
          <cell r="AF11" t="str">
            <v xml:space="preserve">JCG </v>
          </cell>
        </row>
        <row r="12">
          <cell r="C12" t="str">
            <v>Gross Square Footage</v>
          </cell>
          <cell r="D12">
            <v>1.5217640000000001</v>
          </cell>
          <cell r="E12">
            <v>1.7906640000000003</v>
          </cell>
          <cell r="F12">
            <v>2.1739999999999999</v>
          </cell>
          <cell r="G12">
            <v>2.8490000000000002</v>
          </cell>
          <cell r="H12">
            <v>3.673</v>
          </cell>
          <cell r="I12">
            <v>4.3575140000000001</v>
          </cell>
          <cell r="J12">
            <v>5.0158140000000007</v>
          </cell>
          <cell r="K12">
            <v>5.5903639999999992</v>
          </cell>
          <cell r="L12">
            <v>6.0253639999999997</v>
          </cell>
          <cell r="M12">
            <v>6.6933639999999999</v>
          </cell>
          <cell r="N12">
            <v>7.337364</v>
          </cell>
          <cell r="O12">
            <v>8.0223639999999996</v>
          </cell>
          <cell r="P12">
            <v>7.8471839999999995</v>
          </cell>
          <cell r="Q12">
            <v>7.7568339999999996</v>
          </cell>
          <cell r="R12">
            <v>7.742534</v>
          </cell>
          <cell r="S12">
            <v>7.9580000000000002</v>
          </cell>
          <cell r="T12">
            <v>7.7359999999999998</v>
          </cell>
          <cell r="U12">
            <v>7.5170000000000003</v>
          </cell>
          <cell r="V12">
            <v>7.2919999999999998</v>
          </cell>
        </row>
        <row r="13">
          <cell r="B13" t="str">
            <v>ANN</v>
          </cell>
          <cell r="C13" t="str">
            <v>End of Year # Stores</v>
          </cell>
          <cell r="D13">
            <v>324</v>
          </cell>
          <cell r="E13">
            <v>365</v>
          </cell>
          <cell r="F13">
            <v>405</v>
          </cell>
          <cell r="G13">
            <v>478</v>
          </cell>
          <cell r="H13">
            <v>538</v>
          </cell>
          <cell r="I13">
            <v>584</v>
          </cell>
          <cell r="J13">
            <v>648</v>
          </cell>
          <cell r="K13">
            <v>738</v>
          </cell>
          <cell r="L13">
            <v>824</v>
          </cell>
          <cell r="M13">
            <v>869</v>
          </cell>
          <cell r="N13">
            <v>929</v>
          </cell>
          <cell r="O13">
            <v>935</v>
          </cell>
          <cell r="P13">
            <v>907</v>
          </cell>
          <cell r="Q13">
            <v>896</v>
          </cell>
          <cell r="R13">
            <v>953</v>
          </cell>
          <cell r="S13">
            <v>984</v>
          </cell>
          <cell r="T13">
            <v>1019</v>
          </cell>
          <cell r="U13">
            <v>1030</v>
          </cell>
          <cell r="V13">
            <v>1035</v>
          </cell>
          <cell r="W13" t="str">
            <v xml:space="preserve">Est. Renewal + New </v>
          </cell>
          <cell r="Y13" t="str">
            <v>ANF2009</v>
          </cell>
          <cell r="Z13">
            <v>0.38010546102087528</v>
          </cell>
          <cell r="AB13" t="str">
            <v>TLB</v>
          </cell>
          <cell r="AC13">
            <v>0.37738107711413327</v>
          </cell>
          <cell r="AE13" t="str">
            <v>TLB</v>
          </cell>
          <cell r="AF13" t="str">
            <v xml:space="preserve">TLB </v>
          </cell>
        </row>
        <row r="14">
          <cell r="C14" t="str">
            <v>New Store Openings</v>
          </cell>
          <cell r="D14">
            <v>27</v>
          </cell>
          <cell r="E14">
            <v>45</v>
          </cell>
          <cell r="F14">
            <v>47</v>
          </cell>
          <cell r="G14">
            <v>81</v>
          </cell>
          <cell r="H14">
            <v>67</v>
          </cell>
          <cell r="I14">
            <v>49</v>
          </cell>
          <cell r="J14">
            <v>70</v>
          </cell>
          <cell r="K14">
            <v>95</v>
          </cell>
          <cell r="L14">
            <v>97</v>
          </cell>
          <cell r="M14">
            <v>70</v>
          </cell>
          <cell r="N14">
            <v>77</v>
          </cell>
          <cell r="O14">
            <v>66</v>
          </cell>
          <cell r="P14">
            <v>14</v>
          </cell>
          <cell r="Q14">
            <v>34</v>
          </cell>
          <cell r="R14">
            <v>76</v>
          </cell>
          <cell r="S14">
            <v>63</v>
          </cell>
          <cell r="T14">
            <v>65</v>
          </cell>
          <cell r="U14">
            <v>50</v>
          </cell>
          <cell r="V14">
            <v>40</v>
          </cell>
          <cell r="W14" t="str">
            <v>Stores as % of Total</v>
          </cell>
          <cell r="Y14" t="str">
            <v>URBN2009</v>
          </cell>
          <cell r="Z14" t="e">
            <v>#DIV/0!</v>
          </cell>
          <cell r="AB14" t="str">
            <v>ANF</v>
          </cell>
          <cell r="AC14">
            <v>0.31524129122736722</v>
          </cell>
          <cell r="AE14" t="str">
            <v>ANF</v>
          </cell>
          <cell r="AF14" t="str">
            <v xml:space="preserve">ANF </v>
          </cell>
        </row>
        <row r="15">
          <cell r="C15" t="str">
            <v>Store Closings</v>
          </cell>
          <cell r="D15">
            <v>12</v>
          </cell>
          <cell r="E15">
            <v>4</v>
          </cell>
          <cell r="F15">
            <v>7</v>
          </cell>
          <cell r="G15">
            <v>8</v>
          </cell>
          <cell r="H15">
            <v>7</v>
          </cell>
          <cell r="I15">
            <v>3</v>
          </cell>
          <cell r="J15">
            <v>6</v>
          </cell>
          <cell r="K15">
            <v>5</v>
          </cell>
          <cell r="L15">
            <v>11</v>
          </cell>
          <cell r="M15">
            <v>25</v>
          </cell>
          <cell r="N15">
            <v>17</v>
          </cell>
          <cell r="O15">
            <v>60</v>
          </cell>
          <cell r="P15">
            <v>42</v>
          </cell>
          <cell r="Q15">
            <v>45</v>
          </cell>
          <cell r="R15">
            <v>19</v>
          </cell>
          <cell r="S15">
            <v>32</v>
          </cell>
          <cell r="T15">
            <v>30</v>
          </cell>
          <cell r="U15">
            <v>45</v>
          </cell>
          <cell r="V15">
            <v>35</v>
          </cell>
        </row>
        <row r="16">
          <cell r="C16" t="str">
            <v xml:space="preserve">Stores Up for Negotation as a % of Total </v>
          </cell>
          <cell r="T16">
            <v>0.1324828263002944</v>
          </cell>
          <cell r="U16">
            <v>0.14077669902912621</v>
          </cell>
          <cell r="V16">
            <v>0.13236714975845409</v>
          </cell>
          <cell r="W16">
            <v>0.4056266750878747</v>
          </cell>
          <cell r="Y16" t="str">
            <v>ARO2009</v>
          </cell>
          <cell r="Z16">
            <v>0.42478198661474498</v>
          </cell>
          <cell r="AB16" t="str">
            <v>COH</v>
          </cell>
          <cell r="AC16">
            <v>0.31480360058911533</v>
          </cell>
          <cell r="AE16" t="str">
            <v>COH</v>
          </cell>
          <cell r="AF16" t="str">
            <v xml:space="preserve">COH </v>
          </cell>
        </row>
        <row r="17">
          <cell r="C17" t="str">
            <v>Gross Square Footage</v>
          </cell>
          <cell r="D17">
            <v>1.7565</v>
          </cell>
          <cell r="E17">
            <v>1.9180000000000001</v>
          </cell>
          <cell r="F17">
            <v>2.1545000000000005</v>
          </cell>
          <cell r="G17">
            <v>2.4875000000000003</v>
          </cell>
          <cell r="H17">
            <v>2.8754999999999997</v>
          </cell>
          <cell r="I17">
            <v>3.1802999999999999</v>
          </cell>
          <cell r="J17">
            <v>3.4832999999999998</v>
          </cell>
          <cell r="K17">
            <v>3.9319999999999999</v>
          </cell>
          <cell r="L17">
            <v>4.5015000000000001</v>
          </cell>
          <cell r="M17">
            <v>4.9399999999999995</v>
          </cell>
          <cell r="N17">
            <v>5.2445000000000004</v>
          </cell>
          <cell r="O17">
            <v>5.4510000000000005</v>
          </cell>
          <cell r="P17">
            <v>5.42</v>
          </cell>
          <cell r="Q17">
            <v>5.3159999999999998</v>
          </cell>
          <cell r="R17">
            <v>5.4339999999999993</v>
          </cell>
          <cell r="S17">
            <v>5.7029499999999995</v>
          </cell>
          <cell r="T17">
            <v>5.9311499999999997</v>
          </cell>
          <cell r="U17">
            <v>6.1110999999999995</v>
          </cell>
          <cell r="V17">
            <v>6.2420999999999989</v>
          </cell>
        </row>
        <row r="18">
          <cell r="B18" t="str">
            <v>ARO</v>
          </cell>
          <cell r="C18" t="str">
            <v>End of Year # Stores</v>
          </cell>
          <cell r="D18" t="str">
            <v>NA</v>
          </cell>
          <cell r="E18" t="str">
            <v>NA</v>
          </cell>
          <cell r="F18">
            <v>151</v>
          </cell>
          <cell r="G18">
            <v>224</v>
          </cell>
          <cell r="H18">
            <v>278</v>
          </cell>
          <cell r="I18">
            <v>367</v>
          </cell>
          <cell r="J18">
            <v>459</v>
          </cell>
          <cell r="K18">
            <v>561</v>
          </cell>
          <cell r="L18">
            <v>671</v>
          </cell>
          <cell r="M18">
            <v>742</v>
          </cell>
          <cell r="N18">
            <v>828</v>
          </cell>
          <cell r="O18">
            <v>914</v>
          </cell>
          <cell r="P18">
            <v>952</v>
          </cell>
          <cell r="Q18">
            <v>1012</v>
          </cell>
          <cell r="R18">
            <v>1057</v>
          </cell>
          <cell r="S18">
            <v>1095</v>
          </cell>
          <cell r="T18">
            <v>1151</v>
          </cell>
          <cell r="U18">
            <v>860</v>
          </cell>
          <cell r="V18">
            <v>806</v>
          </cell>
          <cell r="W18" t="str">
            <v xml:space="preserve">Est. Renewal + New </v>
          </cell>
          <cell r="Y18" t="str">
            <v>COH2009</v>
          </cell>
          <cell r="Z18">
            <v>0.34262208874140121</v>
          </cell>
          <cell r="AB18" t="str">
            <v>TIF</v>
          </cell>
          <cell r="AC18">
            <v>0.31466034456172814</v>
          </cell>
          <cell r="AE18" t="str">
            <v>TIF</v>
          </cell>
          <cell r="AF18" t="str">
            <v xml:space="preserve">TIF </v>
          </cell>
        </row>
        <row r="19">
          <cell r="C19" t="str">
            <v>New Store Openings</v>
          </cell>
          <cell r="D19" t="str">
            <v>NA</v>
          </cell>
          <cell r="E19" t="str">
            <v>NA</v>
          </cell>
          <cell r="F19">
            <v>40</v>
          </cell>
          <cell r="G19">
            <v>74</v>
          </cell>
          <cell r="H19">
            <v>62</v>
          </cell>
          <cell r="I19">
            <v>93</v>
          </cell>
          <cell r="J19">
            <v>95</v>
          </cell>
          <cell r="K19">
            <v>103</v>
          </cell>
          <cell r="L19">
            <v>119</v>
          </cell>
          <cell r="M19">
            <v>74</v>
          </cell>
          <cell r="N19">
            <v>88</v>
          </cell>
          <cell r="O19">
            <v>88</v>
          </cell>
          <cell r="P19">
            <v>53</v>
          </cell>
          <cell r="Q19">
            <v>68</v>
          </cell>
          <cell r="R19">
            <v>47</v>
          </cell>
          <cell r="S19">
            <v>48</v>
          </cell>
          <cell r="T19">
            <v>74</v>
          </cell>
          <cell r="U19">
            <v>8</v>
          </cell>
          <cell r="V19">
            <v>1</v>
          </cell>
          <cell r="W19" t="str">
            <v>Stores as % of Total</v>
          </cell>
          <cell r="Y19" t="str">
            <v>AEO2009</v>
          </cell>
          <cell r="Z19">
            <v>-8.2346796783229426</v>
          </cell>
          <cell r="AB19" t="str">
            <v>TJX</v>
          </cell>
          <cell r="AC19">
            <v>0.31280725462882786</v>
          </cell>
          <cell r="AE19" t="str">
            <v>TJX</v>
          </cell>
          <cell r="AF19" t="str">
            <v xml:space="preserve">TJX </v>
          </cell>
        </row>
        <row r="20">
          <cell r="C20" t="str">
            <v>Store Closings</v>
          </cell>
          <cell r="D20" t="str">
            <v>NA</v>
          </cell>
          <cell r="E20" t="str">
            <v>NA</v>
          </cell>
          <cell r="F20">
            <v>7</v>
          </cell>
          <cell r="G20">
            <v>1</v>
          </cell>
          <cell r="H20">
            <v>8</v>
          </cell>
          <cell r="I20">
            <v>4</v>
          </cell>
          <cell r="J20">
            <v>3</v>
          </cell>
          <cell r="K20">
            <v>1</v>
          </cell>
          <cell r="L20">
            <v>9</v>
          </cell>
          <cell r="M20">
            <v>3</v>
          </cell>
          <cell r="N20">
            <v>2</v>
          </cell>
          <cell r="O20">
            <v>2</v>
          </cell>
          <cell r="P20">
            <v>15</v>
          </cell>
          <cell r="Q20">
            <v>8</v>
          </cell>
          <cell r="R20">
            <v>2</v>
          </cell>
          <cell r="S20">
            <v>10</v>
          </cell>
          <cell r="T20">
            <v>18</v>
          </cell>
          <cell r="U20">
            <v>248</v>
          </cell>
          <cell r="V20">
            <v>55</v>
          </cell>
        </row>
        <row r="21">
          <cell r="C21" t="str">
            <v xml:space="preserve">Stores Up for Negotation as a % of Total </v>
          </cell>
          <cell r="T21">
            <v>0.14682884448305822</v>
          </cell>
          <cell r="U21">
            <v>0.12906976744186047</v>
          </cell>
          <cell r="V21">
            <v>0.14888337468982629</v>
          </cell>
          <cell r="W21">
            <v>0.42478198661474498</v>
          </cell>
          <cell r="Y21" t="str">
            <v>CHS2009</v>
          </cell>
          <cell r="Z21">
            <v>-72.720352560025106</v>
          </cell>
          <cell r="AB21" t="str">
            <v>ARO</v>
          </cell>
          <cell r="AC21">
            <v>0.28132227506821411</v>
          </cell>
          <cell r="AE21" t="str">
            <v>ARO</v>
          </cell>
          <cell r="AF21" t="str">
            <v xml:space="preserve">ARO </v>
          </cell>
        </row>
        <row r="22">
          <cell r="C22" t="str">
            <v>Gross Square Footage</v>
          </cell>
          <cell r="D22" t="str">
            <v>NA</v>
          </cell>
          <cell r="E22" t="str">
            <v>NA</v>
          </cell>
          <cell r="F22">
            <v>0.54661000000000004</v>
          </cell>
          <cell r="G22">
            <v>0.77510999999999997</v>
          </cell>
          <cell r="H22">
            <v>0.96269700000000002</v>
          </cell>
          <cell r="I22">
            <v>1.299606</v>
          </cell>
          <cell r="J22">
            <v>1.611669</v>
          </cell>
          <cell r="K22">
            <v>1.9784060000000001</v>
          </cell>
          <cell r="L22">
            <v>2.373475</v>
          </cell>
          <cell r="M22">
            <v>2.6259999999999999</v>
          </cell>
          <cell r="N22">
            <v>2.9352140000000002</v>
          </cell>
          <cell r="O22">
            <v>3.2846139999999999</v>
          </cell>
          <cell r="P22">
            <v>3.4283760000000001</v>
          </cell>
          <cell r="Q22">
            <v>3.703033</v>
          </cell>
          <cell r="R22">
            <v>3.9087839999999998</v>
          </cell>
          <cell r="S22">
            <v>4.0135209999999999</v>
          </cell>
          <cell r="T22">
            <v>4.0890690000000003</v>
          </cell>
          <cell r="U22">
            <v>3.2942269999999998</v>
          </cell>
          <cell r="V22">
            <v>3.160927</v>
          </cell>
        </row>
        <row r="23">
          <cell r="B23" t="str">
            <v>CHS</v>
          </cell>
          <cell r="C23" t="str">
            <v>End of Year # Stores</v>
          </cell>
          <cell r="D23">
            <v>141</v>
          </cell>
          <cell r="E23">
            <v>162</v>
          </cell>
          <cell r="F23">
            <v>200</v>
          </cell>
          <cell r="G23">
            <v>250</v>
          </cell>
          <cell r="H23">
            <v>311</v>
          </cell>
          <cell r="I23">
            <v>378</v>
          </cell>
          <cell r="J23">
            <v>548</v>
          </cell>
          <cell r="K23">
            <v>657</v>
          </cell>
          <cell r="L23">
            <v>763</v>
          </cell>
          <cell r="M23">
            <v>920</v>
          </cell>
          <cell r="N23">
            <v>1038</v>
          </cell>
          <cell r="O23">
            <v>1076</v>
          </cell>
          <cell r="P23">
            <v>1080</v>
          </cell>
          <cell r="Q23">
            <v>1151</v>
          </cell>
          <cell r="R23">
            <v>1256</v>
          </cell>
          <cell r="S23">
            <v>1357</v>
          </cell>
          <cell r="T23">
            <v>1485</v>
          </cell>
          <cell r="U23">
            <v>1588</v>
          </cell>
          <cell r="V23">
            <v>-2</v>
          </cell>
          <cell r="W23" t="str">
            <v xml:space="preserve">Est. Renewal + New </v>
          </cell>
          <cell r="Y23" t="str">
            <v>ROST2009</v>
          </cell>
          <cell r="Z23">
            <v>0.37659535889101164</v>
          </cell>
          <cell r="AB23" t="str">
            <v>AEO</v>
          </cell>
          <cell r="AC23">
            <v>0.28042089756544664</v>
          </cell>
          <cell r="AE23" t="str">
            <v>AEO</v>
          </cell>
          <cell r="AF23" t="str">
            <v xml:space="preserve">AEO </v>
          </cell>
        </row>
        <row r="24">
          <cell r="C24" t="str">
            <v>New Store Openings</v>
          </cell>
          <cell r="D24">
            <v>15</v>
          </cell>
          <cell r="E24">
            <v>25</v>
          </cell>
          <cell r="F24">
            <v>41</v>
          </cell>
          <cell r="G24">
            <v>53</v>
          </cell>
          <cell r="H24">
            <v>64</v>
          </cell>
          <cell r="I24">
            <v>67</v>
          </cell>
          <cell r="J24">
            <v>58</v>
          </cell>
          <cell r="K24">
            <v>118</v>
          </cell>
          <cell r="L24">
            <v>106</v>
          </cell>
          <cell r="M24">
            <v>158</v>
          </cell>
          <cell r="N24">
            <v>146</v>
          </cell>
          <cell r="O24">
            <v>49</v>
          </cell>
          <cell r="P24">
            <v>30</v>
          </cell>
          <cell r="Q24">
            <v>80</v>
          </cell>
          <cell r="R24">
            <v>137</v>
          </cell>
          <cell r="S24">
            <v>125</v>
          </cell>
          <cell r="T24">
            <v>145</v>
          </cell>
          <cell r="U24">
            <v>109</v>
          </cell>
          <cell r="V24">
            <v>40</v>
          </cell>
          <cell r="W24" t="str">
            <v>Stores as % of Total</v>
          </cell>
          <cell r="Y24" t="str">
            <v>TJX2009</v>
          </cell>
          <cell r="Z24">
            <v>0.32413234626289633</v>
          </cell>
          <cell r="AB24" t="str">
            <v>ROST</v>
          </cell>
          <cell r="AC24">
            <v>0.27287831460692641</v>
          </cell>
          <cell r="AE24" t="str">
            <v>ROST</v>
          </cell>
        </row>
        <row r="25">
          <cell r="C25" t="str">
            <v>Store Closings</v>
          </cell>
          <cell r="D25">
            <v>7</v>
          </cell>
          <cell r="E25">
            <v>4</v>
          </cell>
          <cell r="F25">
            <v>3</v>
          </cell>
          <cell r="G25">
            <v>3</v>
          </cell>
          <cell r="H25">
            <v>3</v>
          </cell>
          <cell r="I25">
            <v>0</v>
          </cell>
          <cell r="J25">
            <v>2</v>
          </cell>
          <cell r="K25">
            <v>9</v>
          </cell>
          <cell r="L25">
            <v>0</v>
          </cell>
          <cell r="M25">
            <v>6</v>
          </cell>
          <cell r="N25">
            <v>18</v>
          </cell>
          <cell r="O25">
            <v>11</v>
          </cell>
          <cell r="P25">
            <v>26</v>
          </cell>
          <cell r="Q25">
            <v>9</v>
          </cell>
          <cell r="R25">
            <v>32</v>
          </cell>
          <cell r="S25">
            <v>24</v>
          </cell>
          <cell r="T25">
            <v>17</v>
          </cell>
          <cell r="U25">
            <v>-5</v>
          </cell>
          <cell r="V25">
            <v>-2</v>
          </cell>
        </row>
        <row r="26">
          <cell r="C26" t="str">
            <v xml:space="preserve">Stores Up for Negotation as a % of Total </v>
          </cell>
          <cell r="T26">
            <v>0.13670033670033671</v>
          </cell>
          <cell r="U26">
            <v>0.1429471032745592</v>
          </cell>
          <cell r="V26">
            <v>-73</v>
          </cell>
          <cell r="W26">
            <v>-72.720352560025106</v>
          </cell>
          <cell r="Y26" t="str">
            <v>ANN2009</v>
          </cell>
          <cell r="Z26">
            <v>0.4056266750878747</v>
          </cell>
          <cell r="AB26" t="str">
            <v>CHS</v>
          </cell>
          <cell r="AC26">
            <v>0.25976024802294312</v>
          </cell>
          <cell r="AE26" t="str">
            <v>CHS</v>
          </cell>
          <cell r="AF26" t="str">
            <v xml:space="preserve">CHS </v>
          </cell>
        </row>
        <row r="27">
          <cell r="C27" t="str">
            <v>Gross Square Footage</v>
          </cell>
          <cell r="D27">
            <v>137</v>
          </cell>
          <cell r="E27">
            <v>151.5</v>
          </cell>
          <cell r="F27">
            <v>181</v>
          </cell>
          <cell r="G27">
            <v>225</v>
          </cell>
          <cell r="H27">
            <v>280.5</v>
          </cell>
          <cell r="I27">
            <v>344.5</v>
          </cell>
          <cell r="J27">
            <v>463</v>
          </cell>
          <cell r="K27">
            <v>602.5</v>
          </cell>
          <cell r="L27">
            <v>710</v>
          </cell>
          <cell r="M27">
            <v>841.5</v>
          </cell>
          <cell r="N27">
            <v>979</v>
          </cell>
          <cell r="O27">
            <v>1057</v>
          </cell>
          <cell r="P27">
            <v>1078</v>
          </cell>
          <cell r="Q27">
            <v>1115.5</v>
          </cell>
          <cell r="R27">
            <v>1203.5</v>
          </cell>
          <cell r="S27">
            <v>1306.5</v>
          </cell>
          <cell r="T27">
            <v>1414.5</v>
          </cell>
          <cell r="U27">
            <v>1509.5</v>
          </cell>
          <cell r="V27">
            <v>1532.5</v>
          </cell>
        </row>
        <row r="28">
          <cell r="B28" t="str">
            <v>COH</v>
          </cell>
          <cell r="C28" t="str">
            <v>End of Year # Stores</v>
          </cell>
          <cell r="D28" t="str">
            <v>NA</v>
          </cell>
          <cell r="E28" t="str">
            <v>NA</v>
          </cell>
          <cell r="F28" t="str">
            <v>NA</v>
          </cell>
          <cell r="G28">
            <v>239</v>
          </cell>
          <cell r="H28">
            <v>265</v>
          </cell>
          <cell r="I28">
            <v>295</v>
          </cell>
          <cell r="J28">
            <v>325</v>
          </cell>
          <cell r="K28">
            <v>350</v>
          </cell>
          <cell r="L28">
            <v>378</v>
          </cell>
          <cell r="M28">
            <v>422</v>
          </cell>
          <cell r="N28">
            <v>489</v>
          </cell>
          <cell r="O28">
            <v>548</v>
          </cell>
          <cell r="P28">
            <v>624</v>
          </cell>
          <cell r="Q28">
            <v>665</v>
          </cell>
          <cell r="R28">
            <v>723</v>
          </cell>
          <cell r="S28">
            <v>832</v>
          </cell>
          <cell r="T28">
            <v>912</v>
          </cell>
          <cell r="U28">
            <v>983</v>
          </cell>
          <cell r="V28">
            <v>1054</v>
          </cell>
          <cell r="W28" t="str">
            <v xml:space="preserve">Est. Renewal + New </v>
          </cell>
          <cell r="Y28" t="str">
            <v>JCG2009</v>
          </cell>
          <cell r="Z28">
            <v>0.16361373453400688</v>
          </cell>
          <cell r="AB28" t="str">
            <v>ANN</v>
          </cell>
          <cell r="AC28">
            <v>0.15037683740834962</v>
          </cell>
          <cell r="AE28" t="str">
            <v>ANN</v>
          </cell>
          <cell r="AF28" t="str">
            <v xml:space="preserve">ANN </v>
          </cell>
        </row>
        <row r="29">
          <cell r="C29" t="str">
            <v>New Store Openings</v>
          </cell>
          <cell r="D29" t="str">
            <v>NA</v>
          </cell>
          <cell r="E29" t="str">
            <v>NA</v>
          </cell>
          <cell r="F29" t="str">
            <v>NA</v>
          </cell>
          <cell r="G29">
            <v>10</v>
          </cell>
          <cell r="H29">
            <v>26</v>
          </cell>
          <cell r="I29">
            <v>33</v>
          </cell>
          <cell r="J29">
            <v>37</v>
          </cell>
          <cell r="K29">
            <v>29</v>
          </cell>
          <cell r="L29">
            <v>38</v>
          </cell>
          <cell r="M29">
            <v>50</v>
          </cell>
          <cell r="N29">
            <v>70</v>
          </cell>
          <cell r="O29">
            <v>60</v>
          </cell>
          <cell r="P29">
            <v>85</v>
          </cell>
          <cell r="Q29">
            <v>52</v>
          </cell>
          <cell r="R29">
            <v>65</v>
          </cell>
          <cell r="S29">
            <v>114</v>
          </cell>
          <cell r="T29">
            <v>83</v>
          </cell>
          <cell r="U29">
            <v>74</v>
          </cell>
          <cell r="V29">
            <v>74</v>
          </cell>
          <cell r="W29" t="str">
            <v>Stores as % of Total</v>
          </cell>
          <cell r="Y29" t="str">
            <v>PLCE2009</v>
          </cell>
          <cell r="Z29">
            <v>0.4</v>
          </cell>
          <cell r="AB29" t="str">
            <v>LTD</v>
          </cell>
          <cell r="AC29">
            <v>7.3625433459171691E-2</v>
          </cell>
          <cell r="AE29" t="str">
            <v>LTD</v>
          </cell>
          <cell r="AF29" t="str">
            <v xml:space="preserve">LTD </v>
          </cell>
        </row>
        <row r="30">
          <cell r="C30" t="str">
            <v>Store Closings</v>
          </cell>
          <cell r="D30" t="str">
            <v>NA</v>
          </cell>
          <cell r="E30" t="str">
            <v>NA</v>
          </cell>
          <cell r="F30" t="str">
            <v>NA</v>
          </cell>
          <cell r="G30">
            <v>4</v>
          </cell>
          <cell r="H30">
            <v>0</v>
          </cell>
          <cell r="I30">
            <v>3</v>
          </cell>
          <cell r="J30">
            <v>7</v>
          </cell>
          <cell r="K30">
            <v>4</v>
          </cell>
          <cell r="L30">
            <v>10</v>
          </cell>
          <cell r="M30">
            <v>6</v>
          </cell>
          <cell r="N30">
            <v>3</v>
          </cell>
          <cell r="O30">
            <v>1</v>
          </cell>
          <cell r="P30">
            <v>9</v>
          </cell>
          <cell r="Q30">
            <v>11</v>
          </cell>
          <cell r="R30">
            <v>7</v>
          </cell>
          <cell r="S30">
            <v>5</v>
          </cell>
          <cell r="T30">
            <v>3</v>
          </cell>
          <cell r="U30">
            <v>3</v>
          </cell>
          <cell r="V30">
            <v>3</v>
          </cell>
        </row>
        <row r="31">
          <cell r="C31" t="str">
            <v xml:space="preserve">Stores Up for Negotation as a % of Total </v>
          </cell>
          <cell r="T31">
            <v>0.13157894736842105</v>
          </cell>
          <cell r="U31">
            <v>0.10478128179043744</v>
          </cell>
          <cell r="V31">
            <v>0.10626185958254269</v>
          </cell>
          <cell r="W31">
            <v>0.34262208874140121</v>
          </cell>
        </row>
        <row r="32">
          <cell r="C32" t="str">
            <v>Gross Square Footage</v>
          </cell>
          <cell r="D32" t="str">
            <v>NA</v>
          </cell>
          <cell r="E32" t="str">
            <v>NA</v>
          </cell>
          <cell r="F32" t="str">
            <v>NA</v>
          </cell>
          <cell r="G32">
            <v>0</v>
          </cell>
          <cell r="H32">
            <v>0</v>
          </cell>
          <cell r="I32">
            <v>0</v>
          </cell>
          <cell r="J32">
            <v>0</v>
          </cell>
          <cell r="K32">
            <v>0</v>
          </cell>
          <cell r="L32">
            <v>0</v>
          </cell>
          <cell r="M32">
            <v>0</v>
          </cell>
          <cell r="N32">
            <v>0</v>
          </cell>
          <cell r="O32">
            <v>0</v>
          </cell>
          <cell r="P32">
            <v>0</v>
          </cell>
          <cell r="Q32">
            <v>0</v>
          </cell>
          <cell r="R32">
            <v>0</v>
          </cell>
          <cell r="S32">
            <v>0</v>
          </cell>
          <cell r="T32">
            <v>48</v>
          </cell>
          <cell r="U32">
            <v>50</v>
          </cell>
          <cell r="V32">
            <v>52</v>
          </cell>
        </row>
        <row r="33">
          <cell r="B33" t="str">
            <v>EXPR</v>
          </cell>
          <cell r="C33" t="str">
            <v>End of Year # Stores</v>
          </cell>
          <cell r="D33" t="str">
            <v>NA</v>
          </cell>
          <cell r="E33">
            <v>1234</v>
          </cell>
          <cell r="F33">
            <v>1187</v>
          </cell>
          <cell r="G33">
            <v>1136</v>
          </cell>
          <cell r="H33">
            <v>1106</v>
          </cell>
          <cell r="I33">
            <v>1031</v>
          </cell>
          <cell r="J33">
            <v>956</v>
          </cell>
          <cell r="K33">
            <v>884</v>
          </cell>
          <cell r="L33">
            <v>743</v>
          </cell>
          <cell r="M33">
            <v>658</v>
          </cell>
          <cell r="N33">
            <v>587</v>
          </cell>
          <cell r="O33">
            <v>581</v>
          </cell>
          <cell r="P33">
            <v>573</v>
          </cell>
          <cell r="Q33">
            <v>591</v>
          </cell>
          <cell r="R33">
            <v>609</v>
          </cell>
          <cell r="S33">
            <v>625</v>
          </cell>
          <cell r="T33">
            <v>632</v>
          </cell>
          <cell r="U33">
            <v>629</v>
          </cell>
          <cell r="V33">
            <v>629</v>
          </cell>
          <cell r="W33" t="str">
            <v xml:space="preserve">Est. Renewal + New </v>
          </cell>
        </row>
        <row r="34">
          <cell r="C34" t="str">
            <v>New Store Openings</v>
          </cell>
          <cell r="D34" t="str">
            <v>NA</v>
          </cell>
          <cell r="E34">
            <v>4</v>
          </cell>
          <cell r="F34">
            <v>9</v>
          </cell>
          <cell r="G34">
            <v>4</v>
          </cell>
          <cell r="H34">
            <v>16</v>
          </cell>
          <cell r="I34">
            <v>21</v>
          </cell>
          <cell r="J34">
            <v>7</v>
          </cell>
          <cell r="K34">
            <v>15</v>
          </cell>
          <cell r="L34">
            <v>17</v>
          </cell>
          <cell r="M34">
            <v>2</v>
          </cell>
          <cell r="N34">
            <v>2</v>
          </cell>
          <cell r="O34">
            <v>4</v>
          </cell>
          <cell r="P34">
            <v>7</v>
          </cell>
          <cell r="Q34">
            <v>23</v>
          </cell>
          <cell r="R34">
            <v>27</v>
          </cell>
          <cell r="S34">
            <v>28</v>
          </cell>
          <cell r="T34">
            <v>16</v>
          </cell>
          <cell r="U34">
            <v>20</v>
          </cell>
          <cell r="V34">
            <v>15</v>
          </cell>
          <cell r="W34" t="str">
            <v>Stores as % of Total</v>
          </cell>
          <cell r="Y34" t="e">
            <v>#REF!</v>
          </cell>
          <cell r="Z34">
            <v>581</v>
          </cell>
          <cell r="AA34">
            <v>582</v>
          </cell>
        </row>
        <row r="35">
          <cell r="C35" t="str">
            <v>Store Closings</v>
          </cell>
          <cell r="D35" t="str">
            <v>NA</v>
          </cell>
          <cell r="E35" t="str">
            <v>NA</v>
          </cell>
          <cell r="F35" t="str">
            <v>NA</v>
          </cell>
          <cell r="G35" t="str">
            <v>NA</v>
          </cell>
          <cell r="H35" t="str">
            <v>NA</v>
          </cell>
          <cell r="I35" t="str">
            <v>NA</v>
          </cell>
          <cell r="J35" t="str">
            <v>NA</v>
          </cell>
          <cell r="K35" t="e">
            <v>#REF!</v>
          </cell>
          <cell r="L35" t="e">
            <v>#REF!</v>
          </cell>
          <cell r="M35" t="e">
            <v>#REF!</v>
          </cell>
          <cell r="N35" t="e">
            <v>#REF!</v>
          </cell>
          <cell r="O35">
            <v>10</v>
          </cell>
          <cell r="P35">
            <v>6</v>
          </cell>
          <cell r="Q35">
            <v>5</v>
          </cell>
          <cell r="R35">
            <v>9</v>
          </cell>
          <cell r="S35">
            <v>12</v>
          </cell>
          <cell r="T35">
            <v>9</v>
          </cell>
          <cell r="U35">
            <v>5</v>
          </cell>
          <cell r="V35">
            <v>5</v>
          </cell>
        </row>
        <row r="36">
          <cell r="C36" t="str">
            <v xml:space="preserve">Stores Up for Negotation as a % of Total </v>
          </cell>
          <cell r="T36">
            <v>3.6392405063291139E-2</v>
          </cell>
          <cell r="U36">
            <v>5.5643879173290937E-2</v>
          </cell>
          <cell r="V36">
            <v>5.0874403815580289E-2</v>
          </cell>
          <cell r="W36">
            <v>0.14291068805216237</v>
          </cell>
        </row>
        <row r="37">
          <cell r="C37" t="str">
            <v>Gross Square Footage</v>
          </cell>
          <cell r="D37" t="str">
            <v>NA</v>
          </cell>
          <cell r="E37" t="str">
            <v>NA</v>
          </cell>
          <cell r="F37" t="str">
            <v>NA</v>
          </cell>
          <cell r="G37" t="str">
            <v>NA</v>
          </cell>
          <cell r="H37" t="str">
            <v>NA</v>
          </cell>
          <cell r="I37" t="str">
            <v>NA</v>
          </cell>
          <cell r="J37" t="str">
            <v>NA</v>
          </cell>
          <cell r="K37">
            <v>6.867</v>
          </cell>
          <cell r="L37">
            <v>6.4770000000000003</v>
          </cell>
          <cell r="M37">
            <v>5.7770000000000001</v>
          </cell>
          <cell r="N37">
            <v>5.1420000000000003</v>
          </cell>
          <cell r="O37">
            <v>5.032</v>
          </cell>
          <cell r="P37">
            <v>4.9945069999999996</v>
          </cell>
          <cell r="Q37">
            <v>5.1280000000000001</v>
          </cell>
          <cell r="R37">
            <v>5.2670000000000003</v>
          </cell>
          <cell r="S37">
            <v>5.4062000000000001</v>
          </cell>
          <cell r="T37">
            <v>5.5</v>
          </cell>
          <cell r="U37">
            <v>5.4729999999999999</v>
          </cell>
          <cell r="V37">
            <v>5.7249999999999996</v>
          </cell>
        </row>
        <row r="38">
          <cell r="B38" t="str">
            <v>GES</v>
          </cell>
          <cell r="C38" t="str">
            <v>End of Year # Stores</v>
          </cell>
          <cell r="D38" t="str">
            <v>NA</v>
          </cell>
          <cell r="E38" t="str">
            <v>NA</v>
          </cell>
          <cell r="F38" t="str">
            <v>NA</v>
          </cell>
          <cell r="G38" t="str">
            <v>NA</v>
          </cell>
          <cell r="H38" t="str">
            <v>NA</v>
          </cell>
          <cell r="I38" t="str">
            <v>NA</v>
          </cell>
          <cell r="J38" t="str">
            <v>NA</v>
          </cell>
          <cell r="K38" t="str">
            <v>NA</v>
          </cell>
          <cell r="L38" t="str">
            <v>NA</v>
          </cell>
          <cell r="M38" t="str">
            <v>NA</v>
          </cell>
          <cell r="N38">
            <v>413</v>
          </cell>
          <cell r="O38">
            <v>486</v>
          </cell>
          <cell r="P38">
            <v>544</v>
          </cell>
          <cell r="Q38">
            <v>649</v>
          </cell>
          <cell r="R38">
            <v>734</v>
          </cell>
          <cell r="S38">
            <v>837</v>
          </cell>
          <cell r="T38">
            <v>837</v>
          </cell>
          <cell r="U38">
            <v>837</v>
          </cell>
          <cell r="V38">
            <v>837</v>
          </cell>
          <cell r="W38" t="str">
            <v xml:space="preserve">Est. Renewal + New </v>
          </cell>
        </row>
        <row r="39">
          <cell r="C39" t="str">
            <v>New Store Openings</v>
          </cell>
          <cell r="D39" t="str">
            <v>NA</v>
          </cell>
          <cell r="E39" t="str">
            <v>NA</v>
          </cell>
          <cell r="F39" t="str">
            <v>NA</v>
          </cell>
          <cell r="G39" t="str">
            <v>NA</v>
          </cell>
          <cell r="H39" t="str">
            <v>NA</v>
          </cell>
          <cell r="I39" t="str">
            <v>NA</v>
          </cell>
          <cell r="J39" t="str">
            <v>NA</v>
          </cell>
          <cell r="K39" t="str">
            <v>NA</v>
          </cell>
          <cell r="L39" t="str">
            <v>NA</v>
          </cell>
          <cell r="M39" t="str">
            <v>NA</v>
          </cell>
          <cell r="N39" t="str">
            <v>NA</v>
          </cell>
          <cell r="O39">
            <v>73</v>
          </cell>
          <cell r="P39">
            <v>58</v>
          </cell>
          <cell r="Q39">
            <v>105</v>
          </cell>
          <cell r="R39">
            <v>85</v>
          </cell>
          <cell r="S39">
            <v>103</v>
          </cell>
          <cell r="T39">
            <v>0</v>
          </cell>
          <cell r="U39">
            <v>0</v>
          </cell>
          <cell r="V39">
            <v>0</v>
          </cell>
          <cell r="W39" t="str">
            <v>Stores as % of Total</v>
          </cell>
        </row>
        <row r="40">
          <cell r="C40" t="str">
            <v>Store Closings</v>
          </cell>
          <cell r="D40">
            <v>-6508</v>
          </cell>
          <cell r="E40">
            <v>-9054</v>
          </cell>
          <cell r="F40">
            <v>-11600</v>
          </cell>
          <cell r="G40">
            <v>-13673</v>
          </cell>
          <cell r="H40">
            <v>-13848</v>
          </cell>
          <cell r="I40">
            <v>-14455</v>
          </cell>
          <cell r="J40">
            <v>-15854</v>
          </cell>
          <cell r="K40">
            <v>-16267</v>
          </cell>
          <cell r="L40">
            <v>-16015</v>
          </cell>
          <cell r="M40">
            <v>-15916</v>
          </cell>
          <cell r="N40">
            <v>-15732</v>
          </cell>
          <cell r="O40">
            <v>-14449</v>
          </cell>
          <cell r="P40">
            <v>-14010</v>
          </cell>
          <cell r="Q40">
            <v>-14418</v>
          </cell>
          <cell r="R40">
            <v>-15143</v>
          </cell>
          <cell r="S40">
            <v>-15651</v>
          </cell>
          <cell r="T40">
            <v>-16147</v>
          </cell>
          <cell r="U40">
            <v>-16435</v>
          </cell>
          <cell r="V40">
            <v>-15797</v>
          </cell>
        </row>
        <row r="41">
          <cell r="C41" t="str">
            <v>Stores Up for Negotiation as a % of Total</v>
          </cell>
          <cell r="S41" t="str">
            <v>NA</v>
          </cell>
          <cell r="T41" t="str">
            <v>NA</v>
          </cell>
          <cell r="U41" t="str">
            <v>NA</v>
          </cell>
          <cell r="V41" t="str">
            <v>NA</v>
          </cell>
          <cell r="W41">
            <v>0</v>
          </cell>
        </row>
        <row r="42">
          <cell r="C42" t="str">
            <v>Gross Square Footage</v>
          </cell>
          <cell r="D42">
            <v>9.2418280423096411E-2</v>
          </cell>
          <cell r="E42">
            <v>0.20605216943141902</v>
          </cell>
          <cell r="F42">
            <v>7.6963951833128208E-2</v>
          </cell>
          <cell r="G42">
            <v>9.8632819651960579E-2</v>
          </cell>
          <cell r="H42">
            <v>-7.0239366803548364E-4</v>
          </cell>
          <cell r="I42">
            <v>-1.364751715485446E-3</v>
          </cell>
          <cell r="J42">
            <v>0.11019013468117667</v>
          </cell>
          <cell r="K42">
            <v>4.7067975609023982E-2</v>
          </cell>
          <cell r="L42">
            <v>-2.005022203512774E-2</v>
          </cell>
          <cell r="M42">
            <v>-2.8279756009248036E-2</v>
          </cell>
          <cell r="N42">
            <v>-2.7967456994279494E-2</v>
          </cell>
          <cell r="O42">
            <v>-8.1101168564105541E-2</v>
          </cell>
          <cell r="P42">
            <v>-1.1379140965551482E-2</v>
          </cell>
          <cell r="Q42">
            <v>4.6469551086676386E-2</v>
          </cell>
          <cell r="R42">
            <v>1.7476555668287652E-3</v>
          </cell>
          <cell r="S42">
            <v>7.1006622775072303E-2</v>
          </cell>
          <cell r="T42">
            <v>1.0655197694796836E-2</v>
          </cell>
          <cell r="U42">
            <v>-1.1446023337511102E-2</v>
          </cell>
          <cell r="V42">
            <v>-5.2928662537714555E-2</v>
          </cell>
        </row>
        <row r="43">
          <cell r="B43" t="str">
            <v>GPS</v>
          </cell>
          <cell r="C43" t="str">
            <v>End of Year # Stores</v>
          </cell>
          <cell r="D43">
            <v>2130</v>
          </cell>
          <cell r="E43">
            <v>2466</v>
          </cell>
          <cell r="F43">
            <v>3018</v>
          </cell>
          <cell r="G43">
            <v>2848</v>
          </cell>
          <cell r="H43">
            <v>3097</v>
          </cell>
          <cell r="I43">
            <v>3117</v>
          </cell>
          <cell r="J43">
            <v>3022</v>
          </cell>
          <cell r="K43">
            <v>2994</v>
          </cell>
          <cell r="L43">
            <v>3053</v>
          </cell>
          <cell r="M43">
            <v>3131</v>
          </cell>
          <cell r="N43">
            <v>3167</v>
          </cell>
          <cell r="O43">
            <v>3149</v>
          </cell>
          <cell r="P43">
            <v>3095</v>
          </cell>
          <cell r="Q43">
            <v>3068</v>
          </cell>
          <cell r="R43">
            <v>3072</v>
          </cell>
          <cell r="S43">
            <v>3131</v>
          </cell>
          <cell r="T43">
            <v>3211</v>
          </cell>
          <cell r="U43">
            <v>3280</v>
          </cell>
          <cell r="V43">
            <v>3260</v>
          </cell>
          <cell r="W43" t="str">
            <v xml:space="preserve">Est. Renewal + New </v>
          </cell>
        </row>
        <row r="44">
          <cell r="C44" t="str">
            <v>New Store Openings</v>
          </cell>
          <cell r="D44">
            <v>298</v>
          </cell>
          <cell r="E44">
            <v>356</v>
          </cell>
          <cell r="F44">
            <v>570</v>
          </cell>
          <cell r="G44">
            <v>731</v>
          </cell>
          <cell r="H44">
            <v>324</v>
          </cell>
          <cell r="I44">
            <v>115</v>
          </cell>
          <cell r="J44">
            <v>35</v>
          </cell>
          <cell r="K44">
            <v>130</v>
          </cell>
          <cell r="L44">
            <v>198</v>
          </cell>
          <cell r="M44">
            <v>194</v>
          </cell>
          <cell r="N44">
            <v>214</v>
          </cell>
          <cell r="O44">
            <v>101</v>
          </cell>
          <cell r="P44">
            <v>47</v>
          </cell>
          <cell r="Q44">
            <v>71</v>
          </cell>
          <cell r="R44">
            <v>102</v>
          </cell>
          <cell r="S44">
            <v>148</v>
          </cell>
          <cell r="T44">
            <v>160</v>
          </cell>
          <cell r="U44">
            <v>169</v>
          </cell>
          <cell r="V44">
            <v>150</v>
          </cell>
          <cell r="W44" t="str">
            <v>Stores as % of Total</v>
          </cell>
        </row>
        <row r="45">
          <cell r="C45" t="str">
            <v>Store Closings</v>
          </cell>
          <cell r="D45">
            <v>22</v>
          </cell>
          <cell r="E45">
            <v>20</v>
          </cell>
          <cell r="F45">
            <v>18</v>
          </cell>
          <cell r="G45">
            <v>73</v>
          </cell>
          <cell r="H45">
            <v>75</v>
          </cell>
          <cell r="I45">
            <v>95</v>
          </cell>
          <cell r="J45">
            <v>130</v>
          </cell>
          <cell r="K45">
            <v>158</v>
          </cell>
          <cell r="L45">
            <v>139</v>
          </cell>
          <cell r="M45">
            <v>116</v>
          </cell>
          <cell r="N45">
            <v>178</v>
          </cell>
          <cell r="O45">
            <v>119</v>
          </cell>
          <cell r="P45">
            <v>101</v>
          </cell>
          <cell r="Q45">
            <v>98</v>
          </cell>
          <cell r="R45">
            <v>98</v>
          </cell>
          <cell r="S45">
            <v>89</v>
          </cell>
          <cell r="T45">
            <v>80</v>
          </cell>
          <cell r="U45">
            <v>53</v>
          </cell>
          <cell r="V45">
            <v>170</v>
          </cell>
        </row>
        <row r="46">
          <cell r="C46" t="str">
            <v>Stores Up for Negotiation as a % of Total</v>
          </cell>
          <cell r="T46">
            <v>0.15</v>
          </cell>
          <cell r="U46">
            <v>0.15</v>
          </cell>
          <cell r="V46">
            <v>0.15</v>
          </cell>
          <cell r="W46">
            <v>0.44999999999999996</v>
          </cell>
        </row>
        <row r="47">
          <cell r="C47" t="str">
            <v>Gross Square Footage</v>
          </cell>
          <cell r="D47">
            <v>15.312700000000001</v>
          </cell>
          <cell r="E47">
            <v>18.757000000000001</v>
          </cell>
          <cell r="F47">
            <v>23.978099999999998</v>
          </cell>
          <cell r="G47">
            <v>31.373437000000003</v>
          </cell>
          <cell r="H47">
            <v>36.333391999999996</v>
          </cell>
          <cell r="I47">
            <v>37.251519999999999</v>
          </cell>
          <cell r="J47">
            <v>36.518203999999997</v>
          </cell>
          <cell r="K47">
            <v>36.590928999999996</v>
          </cell>
          <cell r="L47">
            <v>37.765228999999998</v>
          </cell>
          <cell r="M47">
            <v>38.9</v>
          </cell>
          <cell r="N47">
            <v>39.6</v>
          </cell>
          <cell r="O47">
            <v>39.5</v>
          </cell>
          <cell r="P47">
            <v>38.799999999999997</v>
          </cell>
          <cell r="Q47">
            <v>38.200000000000003</v>
          </cell>
          <cell r="R47">
            <v>37.200000000000003</v>
          </cell>
          <cell r="S47">
            <v>36.9</v>
          </cell>
          <cell r="T47">
            <v>37.199999999999996</v>
          </cell>
          <cell r="U47">
            <v>38.010000000000005</v>
          </cell>
          <cell r="V47">
            <v>37.9</v>
          </cell>
        </row>
        <row r="48">
          <cell r="B48" t="str">
            <v>JCG</v>
          </cell>
          <cell r="C48" t="str">
            <v>End of Year # Stores</v>
          </cell>
          <cell r="F48">
            <v>123</v>
          </cell>
          <cell r="G48">
            <v>146</v>
          </cell>
          <cell r="H48">
            <v>177</v>
          </cell>
          <cell r="I48">
            <v>194</v>
          </cell>
          <cell r="J48">
            <v>196</v>
          </cell>
          <cell r="K48">
            <v>197</v>
          </cell>
          <cell r="L48">
            <v>203</v>
          </cell>
          <cell r="M48">
            <v>227</v>
          </cell>
          <cell r="N48">
            <v>260</v>
          </cell>
          <cell r="O48">
            <v>300</v>
          </cell>
          <cell r="P48">
            <v>321</v>
          </cell>
          <cell r="Q48">
            <v>335</v>
          </cell>
          <cell r="R48">
            <v>366</v>
          </cell>
          <cell r="S48">
            <v>400</v>
          </cell>
          <cell r="T48">
            <v>435</v>
          </cell>
          <cell r="U48">
            <v>471</v>
          </cell>
          <cell r="V48">
            <v>8.88624888199654</v>
          </cell>
          <cell r="W48" t="str">
            <v xml:space="preserve">Est. Renewal + New </v>
          </cell>
        </row>
        <row r="49">
          <cell r="C49" t="str">
            <v>New Store Openings</v>
          </cell>
          <cell r="F49">
            <v>13</v>
          </cell>
          <cell r="G49">
            <v>23</v>
          </cell>
          <cell r="H49">
            <v>31</v>
          </cell>
          <cell r="I49">
            <v>17</v>
          </cell>
          <cell r="J49">
            <v>2</v>
          </cell>
          <cell r="K49">
            <v>1</v>
          </cell>
          <cell r="L49">
            <v>6</v>
          </cell>
          <cell r="M49">
            <v>24</v>
          </cell>
          <cell r="N49">
            <v>33</v>
          </cell>
          <cell r="O49">
            <v>40</v>
          </cell>
          <cell r="P49">
            <v>21</v>
          </cell>
          <cell r="Q49">
            <v>14</v>
          </cell>
          <cell r="R49">
            <v>31</v>
          </cell>
          <cell r="S49">
            <v>34</v>
          </cell>
          <cell r="T49">
            <v>35</v>
          </cell>
          <cell r="U49">
            <v>36</v>
          </cell>
          <cell r="W49" t="str">
            <v>Stores as % of Total</v>
          </cell>
        </row>
        <row r="50">
          <cell r="C50" t="str">
            <v xml:space="preserve">Stores Up for Negotation as a % of Total </v>
          </cell>
          <cell r="S50">
            <v>0.1275</v>
          </cell>
          <cell r="T50">
            <v>8.5057471264367815E-2</v>
          </cell>
          <cell r="U50">
            <v>7.8556263269639062E-2</v>
          </cell>
          <cell r="W50">
            <v>0.16361373453400688</v>
          </cell>
        </row>
        <row r="51">
          <cell r="B51" t="str">
            <v>KORS</v>
          </cell>
          <cell r="C51" t="str">
            <v>End of Year # Stores</v>
          </cell>
          <cell r="D51">
            <v>0</v>
          </cell>
          <cell r="E51">
            <v>0</v>
          </cell>
          <cell r="F51">
            <v>0</v>
          </cell>
          <cell r="G51">
            <v>0</v>
          </cell>
          <cell r="H51">
            <v>0</v>
          </cell>
          <cell r="I51">
            <v>0</v>
          </cell>
          <cell r="J51">
            <v>0</v>
          </cell>
          <cell r="K51">
            <v>0</v>
          </cell>
          <cell r="L51">
            <v>0</v>
          </cell>
          <cell r="M51">
            <v>0</v>
          </cell>
          <cell r="N51">
            <v>0</v>
          </cell>
          <cell r="O51">
            <v>74</v>
          </cell>
          <cell r="P51">
            <v>74</v>
          </cell>
          <cell r="Q51">
            <v>106</v>
          </cell>
          <cell r="R51">
            <v>166</v>
          </cell>
          <cell r="S51">
            <v>237</v>
          </cell>
          <cell r="T51">
            <v>303</v>
          </cell>
          <cell r="U51">
            <v>405</v>
          </cell>
          <cell r="V51">
            <v>526</v>
          </cell>
          <cell r="W51" t="str">
            <v xml:space="preserve">Est. Renewal + New </v>
          </cell>
        </row>
        <row r="52">
          <cell r="C52" t="str">
            <v>New Store Openings</v>
          </cell>
          <cell r="D52">
            <v>0</v>
          </cell>
          <cell r="E52">
            <v>0</v>
          </cell>
          <cell r="F52">
            <v>0</v>
          </cell>
          <cell r="G52">
            <v>0</v>
          </cell>
          <cell r="H52">
            <v>0</v>
          </cell>
          <cell r="I52">
            <v>0</v>
          </cell>
          <cell r="J52">
            <v>0</v>
          </cell>
          <cell r="K52">
            <v>0</v>
          </cell>
          <cell r="L52">
            <v>0</v>
          </cell>
          <cell r="M52">
            <v>0</v>
          </cell>
          <cell r="N52">
            <v>0</v>
          </cell>
          <cell r="O52">
            <v>74</v>
          </cell>
          <cell r="P52">
            <v>0</v>
          </cell>
          <cell r="Q52">
            <v>32</v>
          </cell>
          <cell r="R52">
            <v>60</v>
          </cell>
          <cell r="S52">
            <v>71</v>
          </cell>
          <cell r="T52">
            <v>66</v>
          </cell>
          <cell r="U52">
            <v>102</v>
          </cell>
          <cell r="V52">
            <v>121</v>
          </cell>
          <cell r="W52" t="str">
            <v>Stores as % of Total</v>
          </cell>
        </row>
        <row r="53">
          <cell r="C53" t="str">
            <v>Store Closings</v>
          </cell>
          <cell r="D53">
            <v>0</v>
          </cell>
          <cell r="E53">
            <v>0</v>
          </cell>
          <cell r="F53">
            <v>0</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row>
        <row r="54">
          <cell r="C54" t="str">
            <v xml:space="preserve">Stores Up for Negotation as a % of Total </v>
          </cell>
          <cell r="T54">
            <v>0.21782178217821782</v>
          </cell>
          <cell r="U54">
            <v>0.25185185185185183</v>
          </cell>
          <cell r="V54">
            <v>0.23003802281368821</v>
          </cell>
          <cell r="W54">
            <v>0.69971165684375791</v>
          </cell>
        </row>
        <row r="55">
          <cell r="C55" t="str">
            <v>Gross Square Footage</v>
          </cell>
          <cell r="D55">
            <v>0</v>
          </cell>
          <cell r="E55">
            <v>0</v>
          </cell>
          <cell r="F55">
            <v>0</v>
          </cell>
          <cell r="G55">
            <v>0</v>
          </cell>
          <cell r="H55">
            <v>0</v>
          </cell>
          <cell r="I55">
            <v>0</v>
          </cell>
          <cell r="J55">
            <v>0</v>
          </cell>
          <cell r="K55">
            <v>0</v>
          </cell>
          <cell r="L55">
            <v>0</v>
          </cell>
          <cell r="M55">
            <v>0</v>
          </cell>
          <cell r="N55">
            <v>0</v>
          </cell>
          <cell r="O55">
            <v>0</v>
          </cell>
          <cell r="P55">
            <v>4.3243243243243248E-4</v>
          </cell>
          <cell r="Q55">
            <v>5.6603773584905674E-4</v>
          </cell>
          <cell r="R55">
            <v>4.2771084337349396E-4</v>
          </cell>
          <cell r="S55">
            <v>2.8270042194092836E-4</v>
          </cell>
          <cell r="T55">
            <v>3.3223684210526304E-4</v>
          </cell>
          <cell r="U55">
            <v>2.987654320987654E-4</v>
          </cell>
          <cell r="V55">
            <v>2.1482889733840293E-4</v>
          </cell>
        </row>
        <row r="56">
          <cell r="B56" t="str">
            <v>LTD</v>
          </cell>
          <cell r="C56" t="str">
            <v>End of Year # Stores</v>
          </cell>
          <cell r="D56">
            <v>5640</v>
          </cell>
          <cell r="E56">
            <v>5382</v>
          </cell>
          <cell r="F56">
            <v>5023</v>
          </cell>
          <cell r="G56">
            <v>5129</v>
          </cell>
          <cell r="H56">
            <v>4614</v>
          </cell>
          <cell r="I56">
            <v>4036</v>
          </cell>
          <cell r="J56">
            <v>3911</v>
          </cell>
          <cell r="K56">
            <v>3779</v>
          </cell>
          <cell r="L56">
            <v>3590</v>
          </cell>
          <cell r="M56">
            <v>3766</v>
          </cell>
          <cell r="N56">
            <v>2926</v>
          </cell>
          <cell r="O56">
            <v>3014</v>
          </cell>
          <cell r="P56">
            <v>2971</v>
          </cell>
          <cell r="Q56">
            <v>2968</v>
          </cell>
          <cell r="R56">
            <v>2941</v>
          </cell>
          <cell r="S56">
            <v>2876</v>
          </cell>
          <cell r="T56">
            <v>2908</v>
          </cell>
          <cell r="U56">
            <v>2916</v>
          </cell>
          <cell r="V56">
            <v>2935</v>
          </cell>
          <cell r="W56" t="str">
            <v xml:space="preserve">Est. Renewal + New </v>
          </cell>
        </row>
        <row r="57">
          <cell r="C57" t="str">
            <v>New Store Openings</v>
          </cell>
          <cell r="D57">
            <v>315</v>
          </cell>
          <cell r="E57">
            <v>251</v>
          </cell>
          <cell r="F57">
            <v>295</v>
          </cell>
          <cell r="G57">
            <v>330</v>
          </cell>
          <cell r="H57">
            <v>282</v>
          </cell>
          <cell r="I57">
            <v>108</v>
          </cell>
          <cell r="J57">
            <v>25</v>
          </cell>
          <cell r="K57">
            <v>39</v>
          </cell>
          <cell r="L57">
            <v>50</v>
          </cell>
          <cell r="M57">
            <v>343</v>
          </cell>
          <cell r="N57">
            <v>129</v>
          </cell>
          <cell r="O57">
            <v>146</v>
          </cell>
          <cell r="P57">
            <v>59</v>
          </cell>
          <cell r="Q57">
            <v>43</v>
          </cell>
          <cell r="R57">
            <v>40</v>
          </cell>
          <cell r="S57">
            <v>48</v>
          </cell>
          <cell r="T57">
            <v>80</v>
          </cell>
          <cell r="U57">
            <v>55</v>
          </cell>
          <cell r="V57">
            <v>55</v>
          </cell>
          <cell r="W57" t="str">
            <v>Stores as % of Total</v>
          </cell>
        </row>
        <row r="58">
          <cell r="C58" t="str">
            <v>Store Closings</v>
          </cell>
          <cell r="D58">
            <v>304</v>
          </cell>
          <cell r="E58">
            <v>350</v>
          </cell>
          <cell r="F58">
            <v>303</v>
          </cell>
          <cell r="G58">
            <v>224</v>
          </cell>
          <cell r="H58">
            <v>146</v>
          </cell>
          <cell r="I58">
            <v>174</v>
          </cell>
          <cell r="J58">
            <v>150</v>
          </cell>
          <cell r="K58">
            <v>171</v>
          </cell>
          <cell r="L58">
            <v>239.00000000000006</v>
          </cell>
          <cell r="M58">
            <v>167</v>
          </cell>
          <cell r="N58">
            <v>45</v>
          </cell>
          <cell r="O58">
            <v>58</v>
          </cell>
          <cell r="P58">
            <v>102</v>
          </cell>
          <cell r="Q58">
            <v>46</v>
          </cell>
          <cell r="R58">
            <v>67</v>
          </cell>
          <cell r="S58">
            <v>113</v>
          </cell>
          <cell r="T58">
            <v>48</v>
          </cell>
          <cell r="U58">
            <v>47</v>
          </cell>
          <cell r="V58">
            <v>47</v>
          </cell>
        </row>
        <row r="59">
          <cell r="C59" t="str">
            <v xml:space="preserve">Stores Up for Negotation as a % of Total </v>
          </cell>
          <cell r="T59">
            <v>3.6107290233837692E-2</v>
          </cell>
          <cell r="U59">
            <v>3.2235939643347047E-2</v>
          </cell>
          <cell r="V59">
            <v>3.5775127768313458E-2</v>
          </cell>
          <cell r="W59">
            <v>0.10411835764549821</v>
          </cell>
        </row>
        <row r="60">
          <cell r="C60" t="str">
            <v>Gross Square Footage</v>
          </cell>
          <cell r="D60">
            <v>35.499999999999993</v>
          </cell>
          <cell r="E60">
            <v>32.894999999999996</v>
          </cell>
          <cell r="F60">
            <v>29.49</v>
          </cell>
          <cell r="G60">
            <v>29.029999999999998</v>
          </cell>
          <cell r="H60">
            <v>25.182499999999997</v>
          </cell>
          <cell r="I60">
            <v>20.371249999999996</v>
          </cell>
          <cell r="J60">
            <v>20.047499999999999</v>
          </cell>
          <cell r="K60">
            <v>19.751249999999999</v>
          </cell>
          <cell r="L60">
            <v>19.165000000000003</v>
          </cell>
          <cell r="M60">
            <v>18.463750000000001</v>
          </cell>
          <cell r="N60">
            <v>12.887499999999999</v>
          </cell>
          <cell r="O60">
            <v>13.622499999999999</v>
          </cell>
          <cell r="P60">
            <v>13.667499999999999</v>
          </cell>
          <cell r="Q60">
            <v>13.718749999999998</v>
          </cell>
          <cell r="R60">
            <v>13.6775</v>
          </cell>
          <cell r="S60">
            <v>13.561249999999999</v>
          </cell>
          <cell r="T60">
            <v>13.947499999999996</v>
          </cell>
          <cell r="U60">
            <v>14.401160365690101</v>
          </cell>
          <cell r="V60">
            <v>14.66540513551724</v>
          </cell>
        </row>
        <row r="61">
          <cell r="B61" t="str">
            <v>LULU</v>
          </cell>
          <cell r="C61" t="str">
            <v>End of Year # Stores</v>
          </cell>
          <cell r="D61">
            <v>0</v>
          </cell>
          <cell r="E61">
            <v>0</v>
          </cell>
          <cell r="F61">
            <v>0</v>
          </cell>
          <cell r="G61">
            <v>0</v>
          </cell>
          <cell r="H61">
            <v>0</v>
          </cell>
          <cell r="I61">
            <v>12</v>
          </cell>
          <cell r="J61">
            <v>17</v>
          </cell>
          <cell r="K61">
            <v>24</v>
          </cell>
          <cell r="L61">
            <v>12</v>
          </cell>
          <cell r="M61">
            <v>7</v>
          </cell>
          <cell r="N61">
            <v>7</v>
          </cell>
          <cell r="O61">
            <v>5</v>
          </cell>
          <cell r="P61">
            <v>0</v>
          </cell>
          <cell r="Q61">
            <v>0</v>
          </cell>
          <cell r="R61">
            <v>0</v>
          </cell>
          <cell r="S61">
            <v>1</v>
          </cell>
          <cell r="T61">
            <v>2</v>
          </cell>
          <cell r="U61">
            <v>1</v>
          </cell>
          <cell r="V61">
            <v>1</v>
          </cell>
          <cell r="W61" t="str">
            <v xml:space="preserve">Est. Renewal + New </v>
          </cell>
        </row>
        <row r="62">
          <cell r="C62" t="str">
            <v>New Store Openings</v>
          </cell>
          <cell r="D62">
            <v>0</v>
          </cell>
          <cell r="E62">
            <v>0</v>
          </cell>
          <cell r="F62">
            <v>0</v>
          </cell>
          <cell r="G62">
            <v>0</v>
          </cell>
          <cell r="H62">
            <v>0</v>
          </cell>
          <cell r="I62">
            <v>12</v>
          </cell>
          <cell r="J62">
            <v>5</v>
          </cell>
          <cell r="K62">
            <v>7</v>
          </cell>
          <cell r="L62">
            <v>-12</v>
          </cell>
          <cell r="M62">
            <v>-5</v>
          </cell>
          <cell r="N62">
            <v>0</v>
          </cell>
          <cell r="O62">
            <v>-1</v>
          </cell>
          <cell r="P62">
            <v>-4</v>
          </cell>
          <cell r="Q62">
            <v>1</v>
          </cell>
          <cell r="R62">
            <v>1</v>
          </cell>
          <cell r="S62">
            <v>2</v>
          </cell>
          <cell r="T62">
            <v>2</v>
          </cell>
          <cell r="U62">
            <v>0</v>
          </cell>
          <cell r="V62">
            <v>1</v>
          </cell>
          <cell r="W62" t="str">
            <v>Stores as % of Total</v>
          </cell>
        </row>
        <row r="63">
          <cell r="C63" t="str">
            <v>Store Closings</v>
          </cell>
          <cell r="G63">
            <v>0</v>
          </cell>
          <cell r="H63">
            <v>0</v>
          </cell>
          <cell r="I63">
            <v>0</v>
          </cell>
          <cell r="J63">
            <v>0</v>
          </cell>
          <cell r="K63">
            <v>0</v>
          </cell>
          <cell r="L63">
            <v>0</v>
          </cell>
          <cell r="M63">
            <v>0</v>
          </cell>
          <cell r="N63">
            <v>0</v>
          </cell>
          <cell r="O63">
            <v>1</v>
          </cell>
          <cell r="P63">
            <v>1</v>
          </cell>
          <cell r="Q63">
            <v>1</v>
          </cell>
          <cell r="R63">
            <v>1</v>
          </cell>
          <cell r="S63">
            <v>1</v>
          </cell>
          <cell r="T63">
            <v>1</v>
          </cell>
          <cell r="U63">
            <v>1</v>
          </cell>
          <cell r="V63">
            <v>1</v>
          </cell>
        </row>
        <row r="64">
          <cell r="C64" t="str">
            <v xml:space="preserve">Stores Up for Negotation as a % of Total </v>
          </cell>
          <cell r="T64">
            <v>3.5</v>
          </cell>
          <cell r="U64">
            <v>7</v>
          </cell>
          <cell r="V64">
            <v>-11</v>
          </cell>
          <cell r="W64">
            <v>-0.5</v>
          </cell>
        </row>
        <row r="65">
          <cell r="C65" t="str">
            <v>Gross Square Footage</v>
          </cell>
          <cell r="F65" t="str">
            <v>NA</v>
          </cell>
          <cell r="G65" t="str">
            <v>NA</v>
          </cell>
          <cell r="H65" t="str">
            <v>NA</v>
          </cell>
          <cell r="I65" t="str">
            <v>NA</v>
          </cell>
          <cell r="J65" t="str">
            <v>NA</v>
          </cell>
          <cell r="K65" t="str">
            <v>NA</v>
          </cell>
          <cell r="L65">
            <v>0</v>
          </cell>
          <cell r="M65">
            <v>0</v>
          </cell>
          <cell r="N65">
            <v>0</v>
          </cell>
          <cell r="O65">
            <v>0</v>
          </cell>
          <cell r="P65">
            <v>0</v>
          </cell>
          <cell r="Q65">
            <v>0</v>
          </cell>
          <cell r="R65">
            <v>0</v>
          </cell>
          <cell r="S65">
            <v>0</v>
          </cell>
          <cell r="T65">
            <v>0</v>
          </cell>
          <cell r="U65">
            <v>0</v>
          </cell>
          <cell r="V65">
            <v>0</v>
          </cell>
        </row>
        <row r="66">
          <cell r="B66" t="str">
            <v>PLCE</v>
          </cell>
          <cell r="C66" t="str">
            <v>End of Year # Stores</v>
          </cell>
          <cell r="D66">
            <v>155</v>
          </cell>
          <cell r="E66">
            <v>209</v>
          </cell>
          <cell r="F66">
            <v>293</v>
          </cell>
          <cell r="G66">
            <v>400</v>
          </cell>
          <cell r="H66">
            <v>520</v>
          </cell>
          <cell r="I66">
            <v>643</v>
          </cell>
          <cell r="J66">
            <v>691</v>
          </cell>
          <cell r="K66">
            <v>750</v>
          </cell>
          <cell r="L66">
            <v>802</v>
          </cell>
          <cell r="M66">
            <v>866</v>
          </cell>
          <cell r="N66">
            <v>904</v>
          </cell>
          <cell r="O66">
            <v>917</v>
          </cell>
          <cell r="P66">
            <v>947</v>
          </cell>
          <cell r="Q66">
            <v>995</v>
          </cell>
          <cell r="R66">
            <v>1049</v>
          </cell>
          <cell r="S66">
            <v>1095</v>
          </cell>
          <cell r="T66">
            <v>1140</v>
          </cell>
          <cell r="U66">
            <v>1112</v>
          </cell>
          <cell r="V66">
            <v>1092</v>
          </cell>
          <cell r="W66" t="str">
            <v xml:space="preserve">Est. Renewal + New </v>
          </cell>
        </row>
        <row r="67">
          <cell r="C67" t="str">
            <v>New Store Openings</v>
          </cell>
          <cell r="D67">
            <v>47</v>
          </cell>
          <cell r="E67">
            <v>54</v>
          </cell>
          <cell r="F67">
            <v>84</v>
          </cell>
          <cell r="G67">
            <v>108</v>
          </cell>
          <cell r="H67">
            <v>121</v>
          </cell>
          <cell r="I67">
            <v>126</v>
          </cell>
          <cell r="J67">
            <v>53</v>
          </cell>
          <cell r="K67">
            <v>62</v>
          </cell>
          <cell r="L67">
            <v>70</v>
          </cell>
          <cell r="M67">
            <v>88</v>
          </cell>
          <cell r="N67">
            <v>69</v>
          </cell>
          <cell r="O67">
            <v>40</v>
          </cell>
          <cell r="P67">
            <v>45</v>
          </cell>
          <cell r="Q67">
            <v>67</v>
          </cell>
          <cell r="R67">
            <v>88</v>
          </cell>
          <cell r="S67">
            <v>64</v>
          </cell>
          <cell r="T67">
            <v>50</v>
          </cell>
          <cell r="U67">
            <v>35</v>
          </cell>
          <cell r="V67">
            <v>0</v>
          </cell>
          <cell r="W67" t="str">
            <v>Stores as % of Total</v>
          </cell>
        </row>
        <row r="68">
          <cell r="C68" t="str">
            <v>Store Closings</v>
          </cell>
          <cell r="D68">
            <v>0</v>
          </cell>
          <cell r="E68">
            <v>0</v>
          </cell>
          <cell r="F68">
            <v>0</v>
          </cell>
          <cell r="G68">
            <v>1</v>
          </cell>
          <cell r="H68">
            <v>1</v>
          </cell>
          <cell r="I68">
            <v>3</v>
          </cell>
          <cell r="J68">
            <v>5</v>
          </cell>
          <cell r="K68">
            <v>3</v>
          </cell>
          <cell r="L68">
            <v>7</v>
          </cell>
          <cell r="M68">
            <v>13</v>
          </cell>
          <cell r="N68">
            <v>24</v>
          </cell>
          <cell r="O68">
            <v>14</v>
          </cell>
          <cell r="P68">
            <v>6</v>
          </cell>
          <cell r="Q68">
            <v>19</v>
          </cell>
          <cell r="R68">
            <v>34</v>
          </cell>
          <cell r="S68">
            <v>18</v>
          </cell>
          <cell r="T68">
            <v>38</v>
          </cell>
          <cell r="U68">
            <v>30</v>
          </cell>
          <cell r="V68">
            <v>20</v>
          </cell>
        </row>
        <row r="69">
          <cell r="C69" t="str">
            <v xml:space="preserve">Stores Up for Negotation as a % of Total </v>
          </cell>
          <cell r="T69">
            <v>0.13333333333333333</v>
          </cell>
          <cell r="U69">
            <v>0.13333333333333333</v>
          </cell>
          <cell r="V69">
            <v>0.13333333333333333</v>
          </cell>
          <cell r="W69">
            <v>0.4</v>
          </cell>
        </row>
        <row r="70">
          <cell r="C70" t="str">
            <v>Gross Square Footage</v>
          </cell>
          <cell r="D70">
            <v>0.63906499999999999</v>
          </cell>
          <cell r="E70">
            <v>0.84749499999999989</v>
          </cell>
          <cell r="F70">
            <v>1.2130000000000001</v>
          </cell>
          <cell r="G70">
            <v>1.6679999999999999</v>
          </cell>
          <cell r="H70">
            <v>2.2400000000000002</v>
          </cell>
          <cell r="I70">
            <v>2.8340000000000001</v>
          </cell>
          <cell r="J70">
            <v>3.081</v>
          </cell>
          <cell r="K70">
            <v>3.3959999999999999</v>
          </cell>
          <cell r="L70">
            <v>3.6379999999999999</v>
          </cell>
          <cell r="M70">
            <v>4.024</v>
          </cell>
          <cell r="N70">
            <v>4.2779999999999996</v>
          </cell>
          <cell r="O70">
            <v>4.5100509999999998</v>
          </cell>
          <cell r="P70">
            <v>4.7015260000000003</v>
          </cell>
          <cell r="Q70">
            <v>4.9186930000000002</v>
          </cell>
          <cell r="R70">
            <v>5.1427430000000003</v>
          </cell>
          <cell r="S70">
            <v>5.3267430000000004</v>
          </cell>
          <cell r="T70">
            <v>5.21</v>
          </cell>
          <cell r="U70">
            <v>5.2249999999999996</v>
          </cell>
          <cell r="V70">
            <v>5.165</v>
          </cell>
        </row>
        <row r="71">
          <cell r="B71" t="str">
            <v>ROST</v>
          </cell>
          <cell r="C71" t="str">
            <v>End of Year # Stores</v>
          </cell>
          <cell r="D71">
            <v>325</v>
          </cell>
          <cell r="E71">
            <v>349</v>
          </cell>
          <cell r="F71">
            <v>378</v>
          </cell>
          <cell r="G71">
            <v>409</v>
          </cell>
          <cell r="H71">
            <v>452</v>
          </cell>
          <cell r="I71">
            <v>507</v>
          </cell>
          <cell r="J71">
            <v>568</v>
          </cell>
          <cell r="K71">
            <v>649</v>
          </cell>
          <cell r="L71">
            <v>734</v>
          </cell>
          <cell r="M71">
            <v>797</v>
          </cell>
          <cell r="N71">
            <v>890</v>
          </cell>
          <cell r="O71">
            <v>956</v>
          </cell>
          <cell r="P71">
            <v>1005</v>
          </cell>
          <cell r="Q71">
            <v>1055</v>
          </cell>
          <cell r="R71">
            <v>1125</v>
          </cell>
          <cell r="S71">
            <v>1199</v>
          </cell>
          <cell r="T71">
            <v>1276</v>
          </cell>
          <cell r="U71">
            <v>1362</v>
          </cell>
          <cell r="V71">
            <v>1446</v>
          </cell>
          <cell r="W71" t="str">
            <v xml:space="preserve">Est. Renewal + New </v>
          </cell>
        </row>
        <row r="72">
          <cell r="C72" t="str">
            <v>New Store Openings</v>
          </cell>
          <cell r="D72">
            <v>17</v>
          </cell>
          <cell r="E72">
            <v>26</v>
          </cell>
          <cell r="F72">
            <v>34</v>
          </cell>
          <cell r="G72">
            <v>34</v>
          </cell>
          <cell r="H72">
            <v>45</v>
          </cell>
          <cell r="I72">
            <v>60</v>
          </cell>
          <cell r="J72">
            <v>66</v>
          </cell>
          <cell r="K72">
            <v>84</v>
          </cell>
          <cell r="L72">
            <v>86</v>
          </cell>
          <cell r="M72">
            <v>66</v>
          </cell>
          <cell r="N72">
            <v>97</v>
          </cell>
          <cell r="O72">
            <v>77</v>
          </cell>
          <cell r="P72">
            <v>56</v>
          </cell>
          <cell r="Q72">
            <v>56</v>
          </cell>
          <cell r="R72">
            <v>78</v>
          </cell>
          <cell r="S72">
            <v>82</v>
          </cell>
          <cell r="T72">
            <v>88</v>
          </cell>
          <cell r="U72">
            <v>95</v>
          </cell>
          <cell r="V72">
            <v>94</v>
          </cell>
          <cell r="W72" t="str">
            <v>Stores as % of Total</v>
          </cell>
        </row>
        <row r="73">
          <cell r="C73" t="str">
            <v>Store Closings</v>
          </cell>
          <cell r="D73">
            <v>1</v>
          </cell>
          <cell r="E73">
            <v>2</v>
          </cell>
          <cell r="F73">
            <v>5</v>
          </cell>
          <cell r="G73">
            <v>3</v>
          </cell>
          <cell r="H73">
            <v>2</v>
          </cell>
          <cell r="I73">
            <v>5</v>
          </cell>
          <cell r="J73">
            <v>5</v>
          </cell>
          <cell r="K73">
            <v>3</v>
          </cell>
          <cell r="L73">
            <v>1</v>
          </cell>
          <cell r="M73">
            <v>3</v>
          </cell>
          <cell r="N73">
            <v>4</v>
          </cell>
          <cell r="O73">
            <v>11</v>
          </cell>
          <cell r="P73">
            <v>7</v>
          </cell>
          <cell r="Q73">
            <v>6</v>
          </cell>
          <cell r="R73">
            <v>8</v>
          </cell>
          <cell r="S73">
            <v>8</v>
          </cell>
          <cell r="T73">
            <v>11</v>
          </cell>
          <cell r="U73">
            <v>9</v>
          </cell>
          <cell r="V73">
            <v>10</v>
          </cell>
        </row>
        <row r="74">
          <cell r="C74" t="str">
            <v xml:space="preserve">Stores Up for Negotation as a % of Total </v>
          </cell>
          <cell r="T74">
            <v>0.1206896551724138</v>
          </cell>
          <cell r="U74">
            <v>0.13142437591776798</v>
          </cell>
          <cell r="V74">
            <v>0.12448132780082988</v>
          </cell>
          <cell r="W74">
            <v>0.37659535889101164</v>
          </cell>
        </row>
        <row r="75">
          <cell r="C75" t="str">
            <v>Gross Square Footage</v>
          </cell>
          <cell r="D75">
            <v>8.9644999999999975</v>
          </cell>
          <cell r="E75">
            <v>9.7712500000000002</v>
          </cell>
          <cell r="F75">
            <v>10.692499999999999</v>
          </cell>
          <cell r="G75">
            <v>11.6625</v>
          </cell>
          <cell r="H75">
            <v>13.104999999999999</v>
          </cell>
          <cell r="I75">
            <v>14.803749999999999</v>
          </cell>
          <cell r="J75">
            <v>16.651249999999997</v>
          </cell>
          <cell r="K75">
            <v>19.06625</v>
          </cell>
          <cell r="L75">
            <v>21.648749999999996</v>
          </cell>
          <cell r="M75">
            <v>23.302499999999998</v>
          </cell>
          <cell r="N75">
            <v>26.375</v>
          </cell>
          <cell r="O75">
            <v>28.125</v>
          </cell>
          <cell r="P75">
            <v>29.624999999999996</v>
          </cell>
          <cell r="Q75">
            <v>31</v>
          </cell>
          <cell r="R75">
            <v>32.952300000000001</v>
          </cell>
          <cell r="S75">
            <v>35.0105</v>
          </cell>
          <cell r="T75">
            <v>37.084000000000003</v>
          </cell>
          <cell r="U75">
            <v>39.442000000000007</v>
          </cell>
          <cell r="V75">
            <v>41.742400000000011</v>
          </cell>
        </row>
        <row r="76">
          <cell r="B76" t="str">
            <v>TEA</v>
          </cell>
          <cell r="C76" t="str">
            <v>End of Year # Stores</v>
          </cell>
          <cell r="D76">
            <v>0</v>
          </cell>
          <cell r="E76">
            <v>0</v>
          </cell>
          <cell r="F76">
            <v>0</v>
          </cell>
          <cell r="G76">
            <v>0</v>
          </cell>
          <cell r="H76">
            <v>0</v>
          </cell>
          <cell r="I76">
            <v>0</v>
          </cell>
          <cell r="J76">
            <v>0</v>
          </cell>
          <cell r="K76">
            <v>0</v>
          </cell>
          <cell r="L76">
            <v>0</v>
          </cell>
          <cell r="M76">
            <v>47</v>
          </cell>
          <cell r="N76">
            <v>59</v>
          </cell>
          <cell r="O76">
            <v>87</v>
          </cell>
          <cell r="P76">
            <v>108</v>
          </cell>
          <cell r="Q76">
            <v>146</v>
          </cell>
          <cell r="R76">
            <v>200</v>
          </cell>
          <cell r="S76">
            <v>306</v>
          </cell>
          <cell r="T76">
            <v>386</v>
          </cell>
          <cell r="U76">
            <v>466</v>
          </cell>
          <cell r="V76">
            <v>546</v>
          </cell>
          <cell r="W76" t="str">
            <v xml:space="preserve">Est. Renewal + New </v>
          </cell>
        </row>
        <row r="77">
          <cell r="C77" t="str">
            <v>New Store Openings</v>
          </cell>
          <cell r="D77">
            <v>0</v>
          </cell>
          <cell r="E77">
            <v>0</v>
          </cell>
          <cell r="F77">
            <v>0</v>
          </cell>
          <cell r="G77">
            <v>0</v>
          </cell>
          <cell r="H77">
            <v>0</v>
          </cell>
          <cell r="I77">
            <v>0</v>
          </cell>
          <cell r="J77">
            <v>0</v>
          </cell>
          <cell r="K77">
            <v>0</v>
          </cell>
          <cell r="L77">
            <v>0</v>
          </cell>
          <cell r="M77">
            <v>47</v>
          </cell>
          <cell r="N77">
            <v>12</v>
          </cell>
          <cell r="O77">
            <v>28</v>
          </cell>
          <cell r="P77">
            <v>21</v>
          </cell>
          <cell r="Q77">
            <v>38</v>
          </cell>
          <cell r="R77">
            <v>54</v>
          </cell>
          <cell r="S77">
            <v>106</v>
          </cell>
          <cell r="T77">
            <v>80</v>
          </cell>
          <cell r="U77">
            <v>80</v>
          </cell>
          <cell r="V77">
            <v>80</v>
          </cell>
          <cell r="W77" t="str">
            <v>Stores as % of Total</v>
          </cell>
        </row>
        <row r="78">
          <cell r="C78" t="str">
            <v>Store Closings</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row>
        <row r="79">
          <cell r="C79" t="str">
            <v xml:space="preserve">Stores Up for Negotation as a % of Total </v>
          </cell>
          <cell r="T79">
            <v>0.20725388601036268</v>
          </cell>
          <cell r="U79">
            <v>0.17167381974248927</v>
          </cell>
          <cell r="V79">
            <v>0.14652014652014653</v>
          </cell>
          <cell r="W79">
            <v>0.52544785227299851</v>
          </cell>
        </row>
        <row r="80">
          <cell r="C80" t="str">
            <v>Gross Square Footage</v>
          </cell>
          <cell r="D80">
            <v>0</v>
          </cell>
          <cell r="E80">
            <v>0</v>
          </cell>
          <cell r="F80">
            <v>0</v>
          </cell>
          <cell r="G80">
            <v>0</v>
          </cell>
          <cell r="H80">
            <v>0</v>
          </cell>
          <cell r="I80">
            <v>0</v>
          </cell>
          <cell r="J80">
            <v>0</v>
          </cell>
          <cell r="K80">
            <v>0</v>
          </cell>
          <cell r="L80">
            <v>0</v>
          </cell>
          <cell r="M80">
            <v>4.2999999999999997E-2</v>
          </cell>
          <cell r="N80">
            <v>5.3999999999999999E-2</v>
          </cell>
          <cell r="O80">
            <v>7.6999999999999999E-2</v>
          </cell>
          <cell r="P80">
            <v>9.5000000000000001E-2</v>
          </cell>
          <cell r="Q80">
            <v>0.13</v>
          </cell>
          <cell r="R80">
            <v>0.18021999999999999</v>
          </cell>
          <cell r="S80">
            <v>0.27879999999999999</v>
          </cell>
          <cell r="T80">
            <v>0.35320000000000007</v>
          </cell>
          <cell r="U80">
            <v>0.42760000000000004</v>
          </cell>
          <cell r="V80">
            <v>0.502</v>
          </cell>
        </row>
        <row r="81">
          <cell r="B81" t="str">
            <v>TIF</v>
          </cell>
          <cell r="C81" t="str">
            <v>End of Year # Stores</v>
          </cell>
          <cell r="D81">
            <v>96</v>
          </cell>
          <cell r="E81">
            <v>104</v>
          </cell>
          <cell r="F81">
            <v>110</v>
          </cell>
          <cell r="G81">
            <v>119</v>
          </cell>
          <cell r="H81">
            <v>126</v>
          </cell>
          <cell r="I81">
            <v>131</v>
          </cell>
          <cell r="J81">
            <v>141</v>
          </cell>
          <cell r="K81">
            <v>151</v>
          </cell>
          <cell r="L81">
            <v>154</v>
          </cell>
          <cell r="M81">
            <v>167</v>
          </cell>
          <cell r="N81">
            <v>184</v>
          </cell>
          <cell r="O81">
            <v>210</v>
          </cell>
          <cell r="P81">
            <v>224</v>
          </cell>
          <cell r="Q81">
            <v>233</v>
          </cell>
          <cell r="R81">
            <v>248</v>
          </cell>
          <cell r="S81">
            <v>276</v>
          </cell>
          <cell r="T81">
            <v>298</v>
          </cell>
          <cell r="U81">
            <v>295</v>
          </cell>
          <cell r="V81">
            <v>307</v>
          </cell>
          <cell r="W81" t="str">
            <v xml:space="preserve">Est. Renewal + New </v>
          </cell>
        </row>
        <row r="82">
          <cell r="C82" t="str">
            <v>New Store Openings</v>
          </cell>
          <cell r="D82">
            <v>15</v>
          </cell>
          <cell r="E82">
            <v>8</v>
          </cell>
          <cell r="F82">
            <v>6</v>
          </cell>
          <cell r="G82">
            <v>9</v>
          </cell>
          <cell r="H82">
            <v>7</v>
          </cell>
          <cell r="I82">
            <v>6</v>
          </cell>
          <cell r="J82">
            <v>10</v>
          </cell>
          <cell r="K82">
            <v>10</v>
          </cell>
          <cell r="L82">
            <v>6</v>
          </cell>
          <cell r="M82">
            <v>13</v>
          </cell>
          <cell r="N82">
            <v>17</v>
          </cell>
          <cell r="O82">
            <v>22</v>
          </cell>
          <cell r="P82">
            <v>14</v>
          </cell>
          <cell r="Q82">
            <v>10</v>
          </cell>
          <cell r="R82">
            <v>15</v>
          </cell>
          <cell r="S82">
            <v>28</v>
          </cell>
          <cell r="T82">
            <v>22</v>
          </cell>
          <cell r="U82">
            <v>6</v>
          </cell>
          <cell r="V82">
            <v>12</v>
          </cell>
          <cell r="W82" t="str">
            <v>Stores as % of Total</v>
          </cell>
        </row>
        <row r="83">
          <cell r="C83" t="str">
            <v>Store Closings</v>
          </cell>
          <cell r="D83">
            <v>0</v>
          </cell>
          <cell r="E83">
            <v>0</v>
          </cell>
          <cell r="F83">
            <v>0</v>
          </cell>
          <cell r="G83">
            <v>0</v>
          </cell>
          <cell r="H83">
            <v>0</v>
          </cell>
          <cell r="I83">
            <v>1</v>
          </cell>
          <cell r="J83">
            <v>0</v>
          </cell>
          <cell r="K83">
            <v>0</v>
          </cell>
          <cell r="L83">
            <v>3</v>
          </cell>
          <cell r="M83">
            <v>0</v>
          </cell>
          <cell r="N83">
            <v>0</v>
          </cell>
          <cell r="O83">
            <v>0</v>
          </cell>
          <cell r="P83">
            <v>0</v>
          </cell>
          <cell r="Q83">
            <v>1</v>
          </cell>
          <cell r="R83">
            <v>0</v>
          </cell>
          <cell r="S83">
            <v>0</v>
          </cell>
          <cell r="T83">
            <v>0</v>
          </cell>
          <cell r="U83">
            <v>0</v>
          </cell>
          <cell r="V83">
            <v>0</v>
          </cell>
        </row>
        <row r="84">
          <cell r="C84" t="str">
            <v xml:space="preserve">Stores Up for Negotation as a % of Total </v>
          </cell>
          <cell r="T84">
            <v>0.10738255033557047</v>
          </cell>
          <cell r="U84">
            <v>5.4237288135593219E-2</v>
          </cell>
          <cell r="V84">
            <v>5.8631921824104233E-2</v>
          </cell>
          <cell r="W84">
            <v>0.22025176029526791</v>
          </cell>
        </row>
        <row r="85">
          <cell r="C85" t="str">
            <v>Gross Square Footage</v>
          </cell>
          <cell r="D85">
            <v>0.43045</v>
          </cell>
          <cell r="E85">
            <v>0.47145000000000004</v>
          </cell>
          <cell r="F85">
            <v>0.51644999999999996</v>
          </cell>
          <cell r="G85">
            <v>0.56045</v>
          </cell>
          <cell r="H85">
            <v>0.60899999999999999</v>
          </cell>
          <cell r="I85">
            <v>0.64200000000000002</v>
          </cell>
          <cell r="J85">
            <v>0.67199999999999993</v>
          </cell>
          <cell r="K85">
            <v>0.72500000000000009</v>
          </cell>
          <cell r="L85">
            <v>0.74500000000000011</v>
          </cell>
          <cell r="M85">
            <v>0.79200000000000004</v>
          </cell>
          <cell r="N85">
            <v>0.8600000000000001</v>
          </cell>
          <cell r="O85">
            <v>0.93500000000000005</v>
          </cell>
          <cell r="P85">
            <v>0.98220000000000007</v>
          </cell>
          <cell r="Q85">
            <v>1.0390999999999999</v>
          </cell>
          <cell r="R85">
            <v>1.0667</v>
          </cell>
          <cell r="S85">
            <v>1.1447499999999999</v>
          </cell>
          <cell r="T85">
            <v>1.1848999999999998</v>
          </cell>
          <cell r="U85">
            <v>1.2093999999999998</v>
          </cell>
          <cell r="V85">
            <v>1.2473999999999998</v>
          </cell>
        </row>
        <row r="86">
          <cell r="B86" t="str">
            <v>TJX</v>
          </cell>
          <cell r="C86" t="str">
            <v>End of Year # Stores</v>
          </cell>
          <cell r="D86">
            <v>1171</v>
          </cell>
          <cell r="E86">
            <v>1246</v>
          </cell>
          <cell r="F86">
            <v>1357</v>
          </cell>
          <cell r="G86">
            <v>1493</v>
          </cell>
          <cell r="H86">
            <v>1665</v>
          </cell>
          <cell r="I86">
            <v>1843</v>
          </cell>
          <cell r="J86">
            <v>2062</v>
          </cell>
          <cell r="K86">
            <v>2224</v>
          </cell>
          <cell r="L86">
            <v>2381</v>
          </cell>
          <cell r="M86">
            <v>2466</v>
          </cell>
          <cell r="N86">
            <v>2563</v>
          </cell>
          <cell r="O86">
            <v>2652</v>
          </cell>
          <cell r="P86">
            <v>2743</v>
          </cell>
          <cell r="Q86">
            <v>2859</v>
          </cell>
          <cell r="R86">
            <v>2905</v>
          </cell>
          <cell r="S86">
            <v>3050</v>
          </cell>
          <cell r="T86">
            <v>3219</v>
          </cell>
          <cell r="U86">
            <v>3395</v>
          </cell>
          <cell r="V86">
            <v>3614</v>
          </cell>
          <cell r="W86" t="str">
            <v xml:space="preserve">Est. Renewal + New </v>
          </cell>
        </row>
        <row r="87">
          <cell r="C87" t="str">
            <v>New Store Openings</v>
          </cell>
          <cell r="D87">
            <v>35</v>
          </cell>
          <cell r="E87">
            <v>75</v>
          </cell>
          <cell r="F87">
            <v>111</v>
          </cell>
          <cell r="G87">
            <v>136</v>
          </cell>
          <cell r="H87">
            <v>172</v>
          </cell>
          <cell r="I87">
            <v>178</v>
          </cell>
          <cell r="J87">
            <v>219</v>
          </cell>
          <cell r="K87">
            <v>162</v>
          </cell>
          <cell r="L87">
            <v>157</v>
          </cell>
          <cell r="M87">
            <v>85</v>
          </cell>
          <cell r="N87">
            <v>97</v>
          </cell>
          <cell r="O87">
            <v>123</v>
          </cell>
          <cell r="P87">
            <v>91</v>
          </cell>
          <cell r="Q87">
            <v>116</v>
          </cell>
          <cell r="R87">
            <v>46</v>
          </cell>
          <cell r="S87">
            <v>145</v>
          </cell>
          <cell r="T87">
            <v>169</v>
          </cell>
          <cell r="U87">
            <v>176</v>
          </cell>
          <cell r="V87">
            <v>219</v>
          </cell>
          <cell r="W87" t="str">
            <v>Stores as % of Total</v>
          </cell>
        </row>
        <row r="88">
          <cell r="C88" t="str">
            <v>Store Closings</v>
          </cell>
          <cell r="D88">
            <v>0</v>
          </cell>
          <cell r="E88">
            <v>0</v>
          </cell>
          <cell r="F88">
            <v>0</v>
          </cell>
          <cell r="G88">
            <v>0</v>
          </cell>
          <cell r="H88">
            <v>0</v>
          </cell>
          <cell r="I88">
            <v>0</v>
          </cell>
          <cell r="J88">
            <v>0</v>
          </cell>
          <cell r="K88">
            <v>0</v>
          </cell>
          <cell r="L88">
            <v>0</v>
          </cell>
          <cell r="M88">
            <v>0</v>
          </cell>
          <cell r="N88">
            <v>0</v>
          </cell>
          <cell r="O88">
            <v>-34</v>
          </cell>
          <cell r="P88">
            <v>0</v>
          </cell>
          <cell r="Q88">
            <v>0</v>
          </cell>
          <cell r="R88">
            <v>0</v>
          </cell>
          <cell r="S88">
            <v>0</v>
          </cell>
          <cell r="T88">
            <v>0</v>
          </cell>
          <cell r="U88">
            <v>0</v>
          </cell>
          <cell r="V88">
            <v>0</v>
          </cell>
        </row>
        <row r="89">
          <cell r="C89" t="str">
            <v xml:space="preserve">Stores Up for Negotation as a % of Total </v>
          </cell>
          <cell r="T89">
            <v>0.12053432743087915</v>
          </cell>
          <cell r="U89">
            <v>9.9558173784977902E-2</v>
          </cell>
          <cell r="V89">
            <v>0.10403984504703929</v>
          </cell>
          <cell r="W89">
            <v>0.32413234626289633</v>
          </cell>
        </row>
        <row r="90">
          <cell r="C90" t="str">
            <v>Gross Square Footage</v>
          </cell>
          <cell r="D90">
            <v>35.017000000000003</v>
          </cell>
          <cell r="E90">
            <v>37.126000000000005</v>
          </cell>
          <cell r="F90">
            <v>40.165000000000006</v>
          </cell>
          <cell r="G90">
            <v>43.978999999999999</v>
          </cell>
          <cell r="H90">
            <v>48.988999999999997</v>
          </cell>
          <cell r="I90">
            <v>53.826000000000001</v>
          </cell>
          <cell r="J90">
            <v>60.49</v>
          </cell>
          <cell r="K90">
            <v>64.709434678384909</v>
          </cell>
          <cell r="L90">
            <v>70.575000000000017</v>
          </cell>
          <cell r="M90">
            <v>73.699999999999989</v>
          </cell>
          <cell r="N90">
            <v>76.240000000000009</v>
          </cell>
          <cell r="O90">
            <v>78</v>
          </cell>
          <cell r="P90">
            <v>80.7</v>
          </cell>
          <cell r="Q90">
            <v>84.1</v>
          </cell>
          <cell r="R90">
            <v>85.3</v>
          </cell>
          <cell r="S90">
            <v>89.1</v>
          </cell>
          <cell r="T90">
            <v>93.3</v>
          </cell>
          <cell r="U90">
            <v>97.6</v>
          </cell>
          <cell r="V90">
            <v>102.60846790271133</v>
          </cell>
        </row>
        <row r="91">
          <cell r="B91" t="str">
            <v>TLB</v>
          </cell>
          <cell r="C91" t="str">
            <v>End of Year # Stores</v>
          </cell>
          <cell r="D91">
            <v>385</v>
          </cell>
          <cell r="E91">
            <v>406</v>
          </cell>
          <cell r="F91">
            <v>425</v>
          </cell>
          <cell r="G91">
            <v>443</v>
          </cell>
          <cell r="H91">
            <v>468</v>
          </cell>
          <cell r="I91">
            <v>495</v>
          </cell>
          <cell r="J91">
            <v>523</v>
          </cell>
          <cell r="K91">
            <v>552</v>
          </cell>
          <cell r="L91">
            <v>565</v>
          </cell>
          <cell r="M91">
            <v>584</v>
          </cell>
          <cell r="N91">
            <v>596</v>
          </cell>
          <cell r="O91">
            <v>587</v>
          </cell>
          <cell r="P91">
            <v>580</v>
          </cell>
          <cell r="Q91">
            <v>568</v>
          </cell>
          <cell r="R91">
            <v>502</v>
          </cell>
          <cell r="S91">
            <v>487</v>
          </cell>
          <cell r="T91">
            <v>487</v>
          </cell>
          <cell r="U91">
            <v>492</v>
          </cell>
          <cell r="V91">
            <v>497</v>
          </cell>
          <cell r="W91" t="str">
            <v xml:space="preserve">Est. Renewal + New </v>
          </cell>
        </row>
        <row r="92">
          <cell r="C92" t="str">
            <v>New Store Openings</v>
          </cell>
          <cell r="D92">
            <v>42</v>
          </cell>
          <cell r="E92">
            <v>21</v>
          </cell>
          <cell r="F92">
            <v>19</v>
          </cell>
          <cell r="G92">
            <v>18</v>
          </cell>
          <cell r="H92">
            <v>25</v>
          </cell>
          <cell r="I92">
            <v>27</v>
          </cell>
          <cell r="J92">
            <v>28</v>
          </cell>
          <cell r="K92">
            <v>29</v>
          </cell>
          <cell r="L92">
            <v>13</v>
          </cell>
          <cell r="M92">
            <v>19</v>
          </cell>
          <cell r="N92">
            <v>12</v>
          </cell>
          <cell r="O92">
            <v>0</v>
          </cell>
          <cell r="P92">
            <v>23</v>
          </cell>
          <cell r="Q92">
            <v>11</v>
          </cell>
          <cell r="R92">
            <v>17</v>
          </cell>
          <cell r="S92">
            <v>10</v>
          </cell>
          <cell r="T92">
            <v>10</v>
          </cell>
          <cell r="U92">
            <v>10</v>
          </cell>
          <cell r="V92">
            <v>10</v>
          </cell>
          <cell r="W92" t="str">
            <v>Stores as % of Total</v>
          </cell>
        </row>
        <row r="93">
          <cell r="C93" t="str">
            <v>Store Closings</v>
          </cell>
          <cell r="D93">
            <v>0</v>
          </cell>
          <cell r="E93">
            <v>0</v>
          </cell>
          <cell r="F93">
            <v>0</v>
          </cell>
          <cell r="G93">
            <v>0</v>
          </cell>
          <cell r="H93">
            <v>0</v>
          </cell>
          <cell r="I93">
            <v>0</v>
          </cell>
          <cell r="J93">
            <v>0</v>
          </cell>
          <cell r="K93">
            <v>0</v>
          </cell>
          <cell r="L93">
            <v>0</v>
          </cell>
          <cell r="M93">
            <v>0</v>
          </cell>
          <cell r="N93">
            <v>0</v>
          </cell>
          <cell r="O93">
            <v>9</v>
          </cell>
          <cell r="P93">
            <v>30</v>
          </cell>
          <cell r="Q93">
            <v>23</v>
          </cell>
          <cell r="R93">
            <v>83</v>
          </cell>
          <cell r="S93">
            <v>25</v>
          </cell>
          <cell r="T93">
            <v>10</v>
          </cell>
          <cell r="U93">
            <v>5</v>
          </cell>
          <cell r="V93">
            <v>5</v>
          </cell>
        </row>
        <row r="94">
          <cell r="C94" t="str">
            <v xml:space="preserve">Stores Up for Negotation as a % of Total </v>
          </cell>
          <cell r="T94">
            <v>7.8028747433264892E-2</v>
          </cell>
          <cell r="U94">
            <v>7.926829268292683E-2</v>
          </cell>
          <cell r="V94">
            <v>4.6277665995975853E-2</v>
          </cell>
          <cell r="W94">
            <v>0.20357470611216757</v>
          </cell>
        </row>
        <row r="95">
          <cell r="C95" t="str">
            <v>Gross Square Footage</v>
          </cell>
          <cell r="D95">
            <v>2.5437400000000001</v>
          </cell>
          <cell r="E95">
            <v>2.7048299999999998</v>
          </cell>
          <cell r="F95">
            <v>2.828948</v>
          </cell>
          <cell r="G95">
            <v>2.9967269999999999</v>
          </cell>
          <cell r="H95">
            <v>3.294467</v>
          </cell>
          <cell r="I95">
            <v>3.6110330000000004</v>
          </cell>
          <cell r="J95">
            <v>3.9305100000000004</v>
          </cell>
          <cell r="K95">
            <v>4.203074</v>
          </cell>
          <cell r="L95">
            <v>3.9878990000000001</v>
          </cell>
          <cell r="M95">
            <v>5.0563150000000006</v>
          </cell>
          <cell r="N95">
            <v>4.2145130000000002</v>
          </cell>
          <cell r="O95">
            <v>4.2075279999999999</v>
          </cell>
          <cell r="P95">
            <v>4.1718799999999998</v>
          </cell>
          <cell r="Q95">
            <v>4.0542310000000006</v>
          </cell>
          <cell r="R95">
            <v>3.5655850000000004</v>
          </cell>
          <cell r="S95">
            <v>3.4342350000000006</v>
          </cell>
          <cell r="T95">
            <v>3.4101350000000008</v>
          </cell>
          <cell r="U95">
            <v>3.4217850000000007</v>
          </cell>
          <cell r="V95">
            <v>3.4334350000000007</v>
          </cell>
        </row>
        <row r="96">
          <cell r="B96" t="str">
            <v>URBN</v>
          </cell>
          <cell r="C96" t="str">
            <v>End of Year # Stores</v>
          </cell>
          <cell r="D96">
            <v>0</v>
          </cell>
          <cell r="E96">
            <v>0</v>
          </cell>
          <cell r="F96">
            <v>0</v>
          </cell>
          <cell r="G96">
            <v>0</v>
          </cell>
          <cell r="H96">
            <v>0</v>
          </cell>
          <cell r="I96">
            <v>0</v>
          </cell>
          <cell r="J96">
            <v>0</v>
          </cell>
          <cell r="K96">
            <v>0</v>
          </cell>
          <cell r="L96">
            <v>0</v>
          </cell>
          <cell r="M96">
            <v>0</v>
          </cell>
          <cell r="N96">
            <v>245</v>
          </cell>
          <cell r="O96">
            <v>294</v>
          </cell>
          <cell r="P96">
            <v>327</v>
          </cell>
          <cell r="Q96">
            <v>372</v>
          </cell>
          <cell r="R96">
            <v>429</v>
          </cell>
          <cell r="S96">
            <v>0</v>
          </cell>
          <cell r="T96">
            <v>1</v>
          </cell>
          <cell r="U96">
            <v>0</v>
          </cell>
          <cell r="V96">
            <v>2</v>
          </cell>
          <cell r="W96" t="str">
            <v xml:space="preserve">Est. Renewal + New </v>
          </cell>
        </row>
        <row r="97">
          <cell r="C97" t="str">
            <v>New Store Openings</v>
          </cell>
          <cell r="D97">
            <v>3</v>
          </cell>
          <cell r="E97">
            <v>11</v>
          </cell>
          <cell r="F97">
            <v>13</v>
          </cell>
          <cell r="G97">
            <v>11</v>
          </cell>
          <cell r="H97">
            <v>12</v>
          </cell>
          <cell r="I97">
            <v>13</v>
          </cell>
          <cell r="J97">
            <v>21</v>
          </cell>
          <cell r="K97">
            <v>28</v>
          </cell>
          <cell r="L97">
            <v>33</v>
          </cell>
          <cell r="M97">
            <v>32</v>
          </cell>
          <cell r="N97">
            <v>38</v>
          </cell>
          <cell r="O97">
            <v>49</v>
          </cell>
          <cell r="P97">
            <v>33</v>
          </cell>
          <cell r="Q97">
            <v>45</v>
          </cell>
          <cell r="R97">
            <v>57</v>
          </cell>
          <cell r="S97">
            <v>49</v>
          </cell>
          <cell r="T97">
            <v>37</v>
          </cell>
          <cell r="U97">
            <v>38</v>
          </cell>
          <cell r="V97">
            <v>33</v>
          </cell>
          <cell r="W97" t="str">
            <v>Stores as % of Total</v>
          </cell>
        </row>
        <row r="98">
          <cell r="C98" t="str">
            <v>Store Closings</v>
          </cell>
          <cell r="D98">
            <v>1</v>
          </cell>
          <cell r="E98">
            <v>0</v>
          </cell>
          <cell r="F98">
            <v>2</v>
          </cell>
          <cell r="G98">
            <v>0</v>
          </cell>
          <cell r="H98">
            <v>0</v>
          </cell>
          <cell r="I98">
            <v>0</v>
          </cell>
          <cell r="J98">
            <v>0</v>
          </cell>
          <cell r="K98">
            <v>0</v>
          </cell>
          <cell r="L98">
            <v>0</v>
          </cell>
          <cell r="M98">
            <v>0</v>
          </cell>
          <cell r="N98">
            <v>0</v>
          </cell>
          <cell r="O98">
            <v>0</v>
          </cell>
          <cell r="P98">
            <v>0</v>
          </cell>
          <cell r="Q98">
            <v>0</v>
          </cell>
          <cell r="R98">
            <v>0</v>
          </cell>
          <cell r="S98">
            <v>-2</v>
          </cell>
          <cell r="T98">
            <v>0</v>
          </cell>
          <cell r="U98">
            <v>-3</v>
          </cell>
          <cell r="V98">
            <v>-3</v>
          </cell>
        </row>
        <row r="99">
          <cell r="C99" t="str">
            <v xml:space="preserve">Stores Up for Negotation as a % of Total </v>
          </cell>
          <cell r="T99">
            <v>58</v>
          </cell>
          <cell r="U99" t="e">
            <v>#DIV/0!</v>
          </cell>
          <cell r="V99">
            <v>33</v>
          </cell>
          <cell r="W99" t="e">
            <v>#DIV/0!</v>
          </cell>
        </row>
        <row r="100">
          <cell r="C100" t="str">
            <v>Gross Square Footage</v>
          </cell>
          <cell r="D100">
            <v>0.44773066666666667</v>
          </cell>
          <cell r="E100">
            <v>0.55796400000000002</v>
          </cell>
          <cell r="F100">
            <v>0.69685466666666673</v>
          </cell>
          <cell r="G100">
            <v>0.84262133333333333</v>
          </cell>
          <cell r="H100">
            <v>0.99933333333333341</v>
          </cell>
          <cell r="I100">
            <v>1.1349066666666665</v>
          </cell>
          <cell r="J100">
            <v>1.3449199999999999</v>
          </cell>
          <cell r="K100">
            <v>1.6447626666666668</v>
          </cell>
          <cell r="L100">
            <v>1.9426666666666668</v>
          </cell>
          <cell r="M100">
            <v>2.3146666666666662</v>
          </cell>
          <cell r="N100">
            <v>2.6860360000000001</v>
          </cell>
          <cell r="O100">
            <v>3.047228</v>
          </cell>
          <cell r="P100">
            <v>3.3461946666666664</v>
          </cell>
          <cell r="Q100">
            <v>3.7369199999999996</v>
          </cell>
          <cell r="R100">
            <v>4.0914159999999997</v>
          </cell>
          <cell r="S100">
            <v>9397.6722222222197</v>
          </cell>
          <cell r="T100">
            <v>4.8254159999999988</v>
          </cell>
          <cell r="U100">
            <v>5.1950239999999983</v>
          </cell>
          <cell r="V100">
            <v>5.53893511111111</v>
          </cell>
        </row>
        <row r="102">
          <cell r="B102" t="str">
            <v>(1) EXPR was private in 2007/2008 and store counts and openings are estimates</v>
          </cell>
        </row>
        <row r="103">
          <cell r="B103" t="str">
            <v xml:space="preserve">(2) GPS operates 5 year leases on most stores and we therefore estimate 15% (or 1/5, adjusted for 10K disclosures) of its store base is up for lease renewal annually </v>
          </cell>
        </row>
        <row r="104">
          <cell r="B104" t="str">
            <v>(3) LTD does not include stores closed due to spin-offs</v>
          </cell>
        </row>
        <row r="105">
          <cell r="B105" t="str">
            <v>(4) As of the end of 3Q08, all Talbots Kids, Mens, and U.K. businesses ceased operations and all stores were closed.  Prior to 2003 we estimated store openings and total store count.</v>
          </cell>
        </row>
        <row r="107">
          <cell r="B107" t="str">
            <v>Note: Stores up for Negotiation include Renewal Stores (stores opened 10 years ago for all retailers ex. GPS which has 5 year leases) + current year new store openings</v>
          </cell>
        </row>
        <row r="109">
          <cell r="O109" t="e">
            <v>#DIV/0!</v>
          </cell>
          <cell r="P109">
            <v>1.9864041317998682E-2</v>
          </cell>
          <cell r="Q109">
            <v>3.3426410968546705E-2</v>
          </cell>
          <cell r="R109">
            <v>6.9076167175337266E-2</v>
          </cell>
          <cell r="S109">
            <v>6.7313605647386341</v>
          </cell>
          <cell r="T109">
            <v>-0.84561071525986964</v>
          </cell>
          <cell r="U109">
            <v>6.2076375640629511E-2</v>
          </cell>
          <cell r="V109">
            <v>1.8408484036460004E-2</v>
          </cell>
        </row>
        <row r="110">
          <cell r="O110">
            <v>1252.9349239999997</v>
          </cell>
          <cell r="P110">
            <v>1277.8232750990992</v>
          </cell>
          <cell r="Q110">
            <v>1320.5363210377359</v>
          </cell>
          <cell r="R110">
            <v>1411.7539087108435</v>
          </cell>
          <cell r="S110">
            <v>10914.778496922641</v>
          </cell>
          <cell r="T110">
            <v>1685.124845236842</v>
          </cell>
          <cell r="U110">
            <v>1789.731288131122</v>
          </cell>
          <cell r="V110">
            <v>1822.6775279782369</v>
          </cell>
        </row>
        <row r="111">
          <cell r="B111" t="str">
            <v>AEO</v>
          </cell>
          <cell r="C111">
            <v>-8.2346796783229426</v>
          </cell>
          <cell r="F111" t="e">
            <v>#N/A</v>
          </cell>
          <cell r="G111" t="e">
            <v>#N/A</v>
          </cell>
        </row>
        <row r="112">
          <cell r="B112" t="str">
            <v>ANF</v>
          </cell>
          <cell r="C112">
            <v>0.38010546102087528</v>
          </cell>
          <cell r="F112" t="e">
            <v>#N/A</v>
          </cell>
          <cell r="G112" t="e">
            <v>#N/A</v>
          </cell>
        </row>
        <row r="113">
          <cell r="B113" t="str">
            <v>ANN</v>
          </cell>
          <cell r="C113">
            <v>0.4056266750878747</v>
          </cell>
          <cell r="F113" t="e">
            <v>#N/A</v>
          </cell>
          <cell r="G113" t="e">
            <v>#N/A</v>
          </cell>
        </row>
        <row r="114">
          <cell r="B114" t="str">
            <v>ARO</v>
          </cell>
          <cell r="C114">
            <v>0.42478198661474498</v>
          </cell>
          <cell r="F114" t="e">
            <v>#N/A</v>
          </cell>
          <cell r="G114" t="e">
            <v>#N/A</v>
          </cell>
        </row>
        <row r="115">
          <cell r="B115" t="str">
            <v>CHS</v>
          </cell>
          <cell r="C115">
            <v>-72.720352560025106</v>
          </cell>
          <cell r="F115" t="e">
            <v>#N/A</v>
          </cell>
          <cell r="G115" t="e">
            <v>#N/A</v>
          </cell>
        </row>
        <row r="116">
          <cell r="B116" t="str">
            <v>COH</v>
          </cell>
          <cell r="C116">
            <v>0.34262208874140121</v>
          </cell>
          <cell r="F116" t="e">
            <v>#N/A</v>
          </cell>
          <cell r="G116" t="e">
            <v>#N/A</v>
          </cell>
        </row>
        <row r="117">
          <cell r="B117" t="str">
            <v>GPS</v>
          </cell>
          <cell r="C117">
            <v>0.44999999999999996</v>
          </cell>
          <cell r="F117" t="e">
            <v>#N/A</v>
          </cell>
          <cell r="G117" t="e">
            <v>#N/A</v>
          </cell>
        </row>
        <row r="118">
          <cell r="B118" t="str">
            <v>KORS</v>
          </cell>
          <cell r="C118">
            <v>0.69971165684375791</v>
          </cell>
          <cell r="F118" t="e">
            <v>#N/A</v>
          </cell>
          <cell r="G118" t="e">
            <v>#N/A</v>
          </cell>
        </row>
        <row r="119">
          <cell r="B119" t="str">
            <v>LULU</v>
          </cell>
          <cell r="C119">
            <v>-0.5</v>
          </cell>
          <cell r="F119" t="e">
            <v>#N/A</v>
          </cell>
          <cell r="G119" t="e">
            <v>#N/A</v>
          </cell>
        </row>
        <row r="120">
          <cell r="B120" t="str">
            <v>LTD</v>
          </cell>
          <cell r="C120">
            <v>0.10411835764549821</v>
          </cell>
          <cell r="F120" t="e">
            <v>#N/A</v>
          </cell>
          <cell r="G120" t="e">
            <v>#N/A</v>
          </cell>
        </row>
        <row r="121">
          <cell r="B121" t="str">
            <v>PLCE</v>
          </cell>
          <cell r="C121">
            <v>0.4</v>
          </cell>
          <cell r="F121" t="e">
            <v>#N/A</v>
          </cell>
          <cell r="G121" t="e">
            <v>#N/A</v>
          </cell>
        </row>
        <row r="122">
          <cell r="B122" t="str">
            <v>ROST</v>
          </cell>
          <cell r="C122">
            <v>0.37659535889101164</v>
          </cell>
          <cell r="F122" t="e">
            <v>#N/A</v>
          </cell>
          <cell r="G122" t="e">
            <v>#N/A</v>
          </cell>
        </row>
        <row r="123">
          <cell r="B123" t="str">
            <v>TIF</v>
          </cell>
          <cell r="C123">
            <v>0.22025176029526791</v>
          </cell>
          <cell r="F123" t="e">
            <v>#N/A</v>
          </cell>
          <cell r="G123" t="e">
            <v>#N/A</v>
          </cell>
        </row>
        <row r="124">
          <cell r="B124" t="str">
            <v>TJX</v>
          </cell>
          <cell r="C124">
            <v>0.32413234626289633</v>
          </cell>
          <cell r="F124" t="e">
            <v>#N/A</v>
          </cell>
          <cell r="G124" t="e">
            <v>#N/A</v>
          </cell>
        </row>
        <row r="125">
          <cell r="B125" t="str">
            <v>TLB</v>
          </cell>
          <cell r="C125">
            <v>0.20357470611216757</v>
          </cell>
          <cell r="F125" t="e">
            <v>#N/A</v>
          </cell>
          <cell r="G125" t="e">
            <v>#N/A</v>
          </cell>
        </row>
        <row r="126">
          <cell r="B126" t="str">
            <v>URBN</v>
          </cell>
          <cell r="C126" t="e">
            <v>#DIV/0!</v>
          </cell>
          <cell r="F126" t="e">
            <v>#N/A</v>
          </cell>
          <cell r="G126" t="e">
            <v>#N/A</v>
          </cell>
        </row>
        <row r="127">
          <cell r="B127" t="str">
            <v>EXPR</v>
          </cell>
          <cell r="C127">
            <v>0.14291068805216237</v>
          </cell>
          <cell r="F127" t="e">
            <v>#N/A</v>
          </cell>
          <cell r="G127" t="e">
            <v>#N/A</v>
          </cell>
        </row>
        <row r="135">
          <cell r="I135" t="str">
            <v>(1) GPS operates 5 year leases and we therefore estimate 20% (or 1/5) of its store base is up for lease renewal annually or 60% up for renewal over the next 3-year period</v>
          </cell>
        </row>
        <row r="142">
          <cell r="B142" t="str">
            <v>AEO</v>
          </cell>
          <cell r="C142">
            <v>-8.2346796783229426</v>
          </cell>
          <cell r="E142">
            <v>1</v>
          </cell>
          <cell r="F142" t="e">
            <v>#DIV/0!</v>
          </cell>
          <cell r="G142" t="e">
            <v>#N/A</v>
          </cell>
          <cell r="H142" t="e">
            <v>#N/A</v>
          </cell>
        </row>
        <row r="143">
          <cell r="B143" t="str">
            <v>ANF</v>
          </cell>
          <cell r="C143">
            <v>0.38010546102087528</v>
          </cell>
          <cell r="E143">
            <v>2</v>
          </cell>
          <cell r="F143" t="e">
            <v>#DIV/0!</v>
          </cell>
          <cell r="G143" t="e">
            <v>#N/A</v>
          </cell>
          <cell r="H143" t="e">
            <v>#N/A</v>
          </cell>
        </row>
        <row r="144">
          <cell r="B144" t="str">
            <v>ANN</v>
          </cell>
          <cell r="C144">
            <v>0.4056266750878747</v>
          </cell>
          <cell r="E144">
            <v>3</v>
          </cell>
          <cell r="F144" t="e">
            <v>#DIV/0!</v>
          </cell>
          <cell r="G144" t="e">
            <v>#N/A</v>
          </cell>
          <cell r="H144" t="e">
            <v>#N/A</v>
          </cell>
        </row>
        <row r="145">
          <cell r="B145" t="str">
            <v>ARO</v>
          </cell>
          <cell r="C145">
            <v>0.42478198661474498</v>
          </cell>
          <cell r="E145">
            <v>4</v>
          </cell>
          <cell r="F145" t="e">
            <v>#DIV/0!</v>
          </cell>
          <cell r="G145" t="e">
            <v>#N/A</v>
          </cell>
          <cell r="H145" t="e">
            <v>#N/A</v>
          </cell>
        </row>
        <row r="146">
          <cell r="B146" t="str">
            <v>CHS</v>
          </cell>
          <cell r="C146">
            <v>-72.720352560025106</v>
          </cell>
          <cell r="E146">
            <v>5</v>
          </cell>
          <cell r="F146" t="e">
            <v>#DIV/0!</v>
          </cell>
          <cell r="G146" t="e">
            <v>#N/A</v>
          </cell>
          <cell r="H146" t="e">
            <v>#N/A</v>
          </cell>
        </row>
        <row r="147">
          <cell r="B147" t="str">
            <v>COH</v>
          </cell>
          <cell r="C147">
            <v>0.34262208874140121</v>
          </cell>
          <cell r="E147">
            <v>6</v>
          </cell>
          <cell r="F147" t="e">
            <v>#DIV/0!</v>
          </cell>
          <cell r="G147" t="e">
            <v>#N/A</v>
          </cell>
          <cell r="H147" t="e">
            <v>#N/A</v>
          </cell>
        </row>
        <row r="148">
          <cell r="B148" t="str">
            <v>GPS</v>
          </cell>
          <cell r="C148">
            <v>0.44999999999999996</v>
          </cell>
          <cell r="E148">
            <v>7</v>
          </cell>
          <cell r="F148" t="e">
            <v>#DIV/0!</v>
          </cell>
          <cell r="G148" t="e">
            <v>#N/A</v>
          </cell>
          <cell r="H148" t="e">
            <v>#N/A</v>
          </cell>
        </row>
        <row r="149">
          <cell r="B149" t="str">
            <v>KORS</v>
          </cell>
          <cell r="C149">
            <v>0.69971165684375791</v>
          </cell>
          <cell r="E149">
            <v>8</v>
          </cell>
          <cell r="F149" t="e">
            <v>#DIV/0!</v>
          </cell>
          <cell r="G149" t="e">
            <v>#N/A</v>
          </cell>
          <cell r="H149" t="e">
            <v>#N/A</v>
          </cell>
        </row>
        <row r="150">
          <cell r="B150" t="str">
            <v>LULU</v>
          </cell>
          <cell r="C150">
            <v>-0.5</v>
          </cell>
          <cell r="E150">
            <v>9</v>
          </cell>
          <cell r="F150" t="e">
            <v>#DIV/0!</v>
          </cell>
          <cell r="G150" t="e">
            <v>#N/A</v>
          </cell>
          <cell r="H150" t="e">
            <v>#N/A</v>
          </cell>
        </row>
        <row r="151">
          <cell r="B151" t="str">
            <v>LTD</v>
          </cell>
          <cell r="C151">
            <v>0.10411835764549821</v>
          </cell>
          <cell r="E151">
            <v>10</v>
          </cell>
          <cell r="F151" t="e">
            <v>#DIV/0!</v>
          </cell>
          <cell r="G151" t="e">
            <v>#N/A</v>
          </cell>
          <cell r="H151" t="e">
            <v>#N/A</v>
          </cell>
        </row>
        <row r="152">
          <cell r="B152" t="str">
            <v>PLCE</v>
          </cell>
          <cell r="C152">
            <v>0.4</v>
          </cell>
          <cell r="E152">
            <v>11</v>
          </cell>
          <cell r="F152" t="e">
            <v>#DIV/0!</v>
          </cell>
          <cell r="G152" t="e">
            <v>#N/A</v>
          </cell>
          <cell r="H152" t="e">
            <v>#N/A</v>
          </cell>
        </row>
        <row r="153">
          <cell r="B153" t="str">
            <v>ROST</v>
          </cell>
          <cell r="C153">
            <v>0.37659535889101164</v>
          </cell>
          <cell r="E153">
            <v>12</v>
          </cell>
          <cell r="F153" t="e">
            <v>#DIV/0!</v>
          </cell>
          <cell r="G153" t="e">
            <v>#N/A</v>
          </cell>
          <cell r="H153" t="e">
            <v>#N/A</v>
          </cell>
        </row>
        <row r="154">
          <cell r="B154" t="str">
            <v>TIF</v>
          </cell>
          <cell r="C154">
            <v>0.22025176029526791</v>
          </cell>
          <cell r="E154">
            <v>13</v>
          </cell>
          <cell r="F154" t="e">
            <v>#DIV/0!</v>
          </cell>
          <cell r="G154" t="e">
            <v>#N/A</v>
          </cell>
          <cell r="H154" t="e">
            <v>#N/A</v>
          </cell>
        </row>
        <row r="155">
          <cell r="B155" t="str">
            <v>TJX</v>
          </cell>
          <cell r="C155">
            <v>0.32413234626289633</v>
          </cell>
          <cell r="E155">
            <v>14</v>
          </cell>
          <cell r="F155" t="e">
            <v>#DIV/0!</v>
          </cell>
          <cell r="G155" t="e">
            <v>#N/A</v>
          </cell>
          <cell r="H155" t="e">
            <v>#N/A</v>
          </cell>
        </row>
        <row r="156">
          <cell r="B156" t="str">
            <v>TLB</v>
          </cell>
          <cell r="C156">
            <v>0.20357470611216757</v>
          </cell>
          <cell r="E156">
            <v>15</v>
          </cell>
          <cell r="F156" t="e">
            <v>#DIV/0!</v>
          </cell>
          <cell r="G156" t="e">
            <v>#N/A</v>
          </cell>
          <cell r="H156" t="e">
            <v>#N/A</v>
          </cell>
        </row>
        <row r="157">
          <cell r="B157" t="str">
            <v>URBN</v>
          </cell>
          <cell r="C157" t="e">
            <v>#DIV/0!</v>
          </cell>
          <cell r="E157">
            <v>16</v>
          </cell>
          <cell r="F157" t="e">
            <v>#DIV/0!</v>
          </cell>
          <cell r="G157" t="e">
            <v>#N/A</v>
          </cell>
          <cell r="H157" t="e">
            <v>#N/A</v>
          </cell>
        </row>
        <row r="158">
          <cell r="B158" t="str">
            <v>EXPR</v>
          </cell>
          <cell r="C158">
            <v>0.14291068805216237</v>
          </cell>
          <cell r="E158">
            <v>17</v>
          </cell>
          <cell r="F158" t="e">
            <v>#DIV/0!</v>
          </cell>
          <cell r="G158" t="e">
            <v>#N/A</v>
          </cell>
          <cell r="H158" t="e">
            <v>#N/A</v>
          </cell>
        </row>
        <row r="183">
          <cell r="D183">
            <v>1997</v>
          </cell>
          <cell r="E183">
            <v>1998</v>
          </cell>
          <cell r="F183">
            <v>1999</v>
          </cell>
          <cell r="G183">
            <v>2000</v>
          </cell>
          <cell r="H183">
            <v>2001</v>
          </cell>
          <cell r="I183">
            <v>2002</v>
          </cell>
          <cell r="J183">
            <v>2003</v>
          </cell>
          <cell r="K183">
            <v>2004</v>
          </cell>
          <cell r="L183">
            <v>2005</v>
          </cell>
          <cell r="M183">
            <v>2006</v>
          </cell>
          <cell r="N183">
            <v>2007</v>
          </cell>
          <cell r="O183">
            <v>2008</v>
          </cell>
          <cell r="P183">
            <v>2009</v>
          </cell>
          <cell r="Q183">
            <v>2010</v>
          </cell>
          <cell r="R183">
            <v>2011</v>
          </cell>
          <cell r="S183" t="str">
            <v>2012E</v>
          </cell>
          <cell r="T183" t="str">
            <v>2013E</v>
          </cell>
          <cell r="U183" t="str">
            <v>2014E</v>
          </cell>
          <cell r="V183" t="str">
            <v>2015E</v>
          </cell>
          <cell r="W183" t="str">
            <v>2013e-2015e</v>
          </cell>
        </row>
        <row r="184">
          <cell r="B184" t="str">
            <v>AEO</v>
          </cell>
          <cell r="C184" t="str">
            <v>End of Year # Stores</v>
          </cell>
          <cell r="D184">
            <v>332</v>
          </cell>
          <cell r="E184">
            <v>386</v>
          </cell>
          <cell r="F184">
            <v>466</v>
          </cell>
          <cell r="G184">
            <v>554</v>
          </cell>
          <cell r="H184">
            <v>678</v>
          </cell>
          <cell r="I184">
            <v>753</v>
          </cell>
          <cell r="J184">
            <v>805</v>
          </cell>
          <cell r="K184">
            <v>846</v>
          </cell>
          <cell r="L184">
            <v>869</v>
          </cell>
          <cell r="M184">
            <v>911</v>
          </cell>
          <cell r="N184">
            <v>987</v>
          </cell>
          <cell r="O184">
            <v>1098</v>
          </cell>
          <cell r="P184">
            <v>1103</v>
          </cell>
          <cell r="Q184">
            <v>1077</v>
          </cell>
          <cell r="R184">
            <v>1069</v>
          </cell>
          <cell r="S184">
            <v>1044</v>
          </cell>
          <cell r="T184">
            <v>1054</v>
          </cell>
          <cell r="U184">
            <v>1066</v>
          </cell>
          <cell r="V184">
            <v>1078</v>
          </cell>
          <cell r="W184" t="str">
            <v xml:space="preserve">Est. Renewal + New </v>
          </cell>
        </row>
        <row r="185">
          <cell r="C185" t="str">
            <v>New Store Openings</v>
          </cell>
          <cell r="D185">
            <v>36</v>
          </cell>
          <cell r="E185">
            <v>56</v>
          </cell>
          <cell r="F185">
            <v>80</v>
          </cell>
          <cell r="G185">
            <v>90</v>
          </cell>
          <cell r="H185">
            <v>127</v>
          </cell>
          <cell r="I185">
            <v>79</v>
          </cell>
          <cell r="J185">
            <v>59</v>
          </cell>
          <cell r="K185">
            <v>50</v>
          </cell>
          <cell r="L185">
            <v>36</v>
          </cell>
          <cell r="M185">
            <v>50</v>
          </cell>
          <cell r="N185">
            <v>80</v>
          </cell>
          <cell r="O185">
            <v>122</v>
          </cell>
          <cell r="P185">
            <v>29</v>
          </cell>
          <cell r="Q185">
            <v>34</v>
          </cell>
          <cell r="R185">
            <v>33</v>
          </cell>
          <cell r="S185">
            <v>17</v>
          </cell>
          <cell r="T185">
            <v>50</v>
          </cell>
          <cell r="U185">
            <v>34</v>
          </cell>
          <cell r="V185">
            <v>34</v>
          </cell>
          <cell r="W185" t="str">
            <v>Stores as % of Total</v>
          </cell>
        </row>
        <row r="186">
          <cell r="C186" t="str">
            <v>Store Closings</v>
          </cell>
          <cell r="D186">
            <v>7</v>
          </cell>
          <cell r="E186">
            <v>2</v>
          </cell>
          <cell r="F186">
            <v>0</v>
          </cell>
          <cell r="G186">
            <v>2</v>
          </cell>
          <cell r="H186">
            <v>3</v>
          </cell>
          <cell r="I186">
            <v>4</v>
          </cell>
          <cell r="J186">
            <v>7</v>
          </cell>
          <cell r="K186">
            <v>9</v>
          </cell>
          <cell r="L186">
            <v>13</v>
          </cell>
          <cell r="M186">
            <v>8</v>
          </cell>
          <cell r="N186">
            <v>4</v>
          </cell>
          <cell r="O186">
            <v>11</v>
          </cell>
          <cell r="P186">
            <v>24</v>
          </cell>
          <cell r="Q186">
            <v>51</v>
          </cell>
          <cell r="R186">
            <v>29</v>
          </cell>
          <cell r="S186">
            <v>41</v>
          </cell>
          <cell r="T186">
            <v>40</v>
          </cell>
          <cell r="U186">
            <v>22</v>
          </cell>
          <cell r="V186">
            <v>22</v>
          </cell>
        </row>
        <row r="187">
          <cell r="C187" t="str">
            <v xml:space="preserve">Stores Up for Negotation as a % of Total </v>
          </cell>
          <cell r="T187">
            <v>0.10341555977229601</v>
          </cell>
          <cell r="U187">
            <v>7.879924953095685E-2</v>
          </cell>
          <cell r="V187">
            <v>6.4935064935064929E-2</v>
          </cell>
          <cell r="W187">
            <v>0.24714987423831777</v>
          </cell>
          <cell r="Y187" t="str">
            <v>GPS2009</v>
          </cell>
          <cell r="Z187">
            <v>0.172882846425089</v>
          </cell>
          <cell r="AB187" t="str">
            <v>GPS</v>
          </cell>
          <cell r="AC187">
            <v>0.6</v>
          </cell>
          <cell r="AE187" t="str">
            <v>GPS</v>
          </cell>
          <cell r="AF187" t="str">
            <v xml:space="preserve">GPS </v>
          </cell>
        </row>
        <row r="188">
          <cell r="C188" t="str">
            <v>Gross Square Footage</v>
          </cell>
          <cell r="D188">
            <v>1.3933610000000001</v>
          </cell>
          <cell r="E188">
            <v>1.624933</v>
          </cell>
          <cell r="F188">
            <v>2.03938</v>
          </cell>
          <cell r="G188">
            <v>2.5968629999999999</v>
          </cell>
          <cell r="H188">
            <v>3.3346939999999998</v>
          </cell>
          <cell r="I188">
            <v>3.8174419999999998</v>
          </cell>
          <cell r="J188">
            <v>4.2394970000000001</v>
          </cell>
          <cell r="K188">
            <v>4.540095</v>
          </cell>
          <cell r="L188">
            <v>4.7724869999999999</v>
          </cell>
          <cell r="M188">
            <v>5.1730650000000002</v>
          </cell>
          <cell r="N188">
            <v>5.7099320000000002</v>
          </cell>
          <cell r="O188">
            <v>6.3281669999999997</v>
          </cell>
          <cell r="P188">
            <v>6.2153549999999997</v>
          </cell>
          <cell r="Q188">
            <v>6.2884250000000002</v>
          </cell>
          <cell r="R188">
            <v>6.2902839999999998</v>
          </cell>
          <cell r="S188">
            <v>6.2032780000000001</v>
          </cell>
          <cell r="T188">
            <v>6.2632779999999997</v>
          </cell>
          <cell r="U188">
            <v>6.3254780000000004</v>
          </cell>
          <cell r="V188">
            <v>6.3876780000000011</v>
          </cell>
        </row>
        <row r="189">
          <cell r="B189" t="str">
            <v>ANF</v>
          </cell>
          <cell r="C189" t="str">
            <v>End of Year # Stores</v>
          </cell>
          <cell r="D189">
            <v>156</v>
          </cell>
          <cell r="E189">
            <v>196</v>
          </cell>
          <cell r="F189">
            <v>250</v>
          </cell>
          <cell r="G189">
            <v>354</v>
          </cell>
          <cell r="H189">
            <v>491</v>
          </cell>
          <cell r="I189">
            <v>597</v>
          </cell>
          <cell r="J189">
            <v>700</v>
          </cell>
          <cell r="K189">
            <v>788</v>
          </cell>
          <cell r="L189">
            <v>851</v>
          </cell>
          <cell r="M189">
            <v>944</v>
          </cell>
          <cell r="N189">
            <v>1035</v>
          </cell>
          <cell r="O189">
            <v>1125</v>
          </cell>
          <cell r="P189">
            <v>1097</v>
          </cell>
          <cell r="Q189">
            <v>1070</v>
          </cell>
          <cell r="R189">
            <v>1046</v>
          </cell>
          <cell r="S189">
            <v>1053</v>
          </cell>
          <cell r="T189">
            <v>1026</v>
          </cell>
          <cell r="U189">
            <v>1017</v>
          </cell>
          <cell r="V189">
            <v>1002</v>
          </cell>
          <cell r="W189" t="str">
            <v xml:space="preserve">Est. Renewal + New </v>
          </cell>
          <cell r="Y189" t="str">
            <v>LTD2009</v>
          </cell>
          <cell r="Z189">
            <v>0.11694669587971274</v>
          </cell>
          <cell r="AB189" t="str">
            <v>PLCE</v>
          </cell>
          <cell r="AC189">
            <v>0.4606230830142336</v>
          </cell>
          <cell r="AE189" t="str">
            <v>PLCE</v>
          </cell>
        </row>
        <row r="190">
          <cell r="C190" t="str">
            <v>New Store Openings</v>
          </cell>
          <cell r="D190">
            <v>30</v>
          </cell>
          <cell r="E190">
            <v>41</v>
          </cell>
          <cell r="F190">
            <v>54</v>
          </cell>
          <cell r="G190">
            <v>104</v>
          </cell>
          <cell r="H190">
            <v>138</v>
          </cell>
          <cell r="I190">
            <v>112</v>
          </cell>
          <cell r="J190">
            <v>106</v>
          </cell>
          <cell r="K190">
            <v>109</v>
          </cell>
          <cell r="L190">
            <v>81</v>
          </cell>
          <cell r="M190">
            <v>104</v>
          </cell>
          <cell r="N190">
            <v>99</v>
          </cell>
          <cell r="O190">
            <v>97</v>
          </cell>
          <cell r="P190">
            <v>22</v>
          </cell>
          <cell r="Q190">
            <v>37</v>
          </cell>
          <cell r="R190">
            <v>47</v>
          </cell>
          <cell r="S190">
            <v>53</v>
          </cell>
          <cell r="T190">
            <v>23</v>
          </cell>
          <cell r="U190">
            <v>21</v>
          </cell>
          <cell r="V190">
            <v>11</v>
          </cell>
          <cell r="W190" t="str">
            <v>Stores as % of Total</v>
          </cell>
          <cell r="Y190" t="str">
            <v>TLB2009</v>
          </cell>
          <cell r="Z190">
            <v>0.23630547032851901</v>
          </cell>
          <cell r="AB190" t="str">
            <v>URBN</v>
          </cell>
          <cell r="AC190">
            <v>0.41715569113610479</v>
          </cell>
          <cell r="AE190" t="str">
            <v>URBN</v>
          </cell>
        </row>
        <row r="191">
          <cell r="C191" t="str">
            <v>Store Closings</v>
          </cell>
          <cell r="D191">
            <v>1</v>
          </cell>
          <cell r="E191">
            <v>1</v>
          </cell>
          <cell r="F191">
            <v>0</v>
          </cell>
          <cell r="G191">
            <v>0</v>
          </cell>
          <cell r="H191">
            <v>1</v>
          </cell>
          <cell r="I191">
            <v>6</v>
          </cell>
          <cell r="J191">
            <v>3</v>
          </cell>
          <cell r="K191">
            <v>21</v>
          </cell>
          <cell r="L191">
            <v>22</v>
          </cell>
          <cell r="M191">
            <v>13</v>
          </cell>
          <cell r="N191">
            <v>6</v>
          </cell>
          <cell r="O191">
            <v>10</v>
          </cell>
          <cell r="P191">
            <v>51</v>
          </cell>
          <cell r="Q191">
            <v>64</v>
          </cell>
          <cell r="R191">
            <v>71</v>
          </cell>
          <cell r="S191">
            <v>46</v>
          </cell>
          <cell r="T191">
            <v>50</v>
          </cell>
          <cell r="U191">
            <v>30</v>
          </cell>
          <cell r="V191">
            <v>26</v>
          </cell>
        </row>
        <row r="192">
          <cell r="C192" t="str">
            <v xml:space="preserve">Stores Up for Negotation as a % of Total </v>
          </cell>
          <cell r="T192">
            <v>0.12573099415204678</v>
          </cell>
          <cell r="U192">
            <v>0.12782694198623401</v>
          </cell>
          <cell r="V192">
            <v>9.1816367265469059E-2</v>
          </cell>
          <cell r="W192">
            <v>0.34537430340374986</v>
          </cell>
          <cell r="Y192" t="str">
            <v>TIF2009</v>
          </cell>
          <cell r="Z192">
            <v>0.30832187996873905</v>
          </cell>
          <cell r="AB192" t="str">
            <v>JCG</v>
          </cell>
          <cell r="AC192">
            <v>0.40734666829785499</v>
          </cell>
          <cell r="AE192" t="str">
            <v>JCG</v>
          </cell>
          <cell r="AF192" t="str">
            <v xml:space="preserve">JCG </v>
          </cell>
        </row>
        <row r="193">
          <cell r="C193" t="str">
            <v>Gross Square Footage</v>
          </cell>
          <cell r="D193">
            <v>1.5217640000000001</v>
          </cell>
          <cell r="E193">
            <v>1.7906640000000003</v>
          </cell>
          <cell r="F193">
            <v>2.1739999999999999</v>
          </cell>
          <cell r="G193">
            <v>2.8490000000000002</v>
          </cell>
          <cell r="H193">
            <v>3.673</v>
          </cell>
          <cell r="I193">
            <v>4.3575140000000001</v>
          </cell>
          <cell r="J193">
            <v>5.0158140000000007</v>
          </cell>
          <cell r="K193">
            <v>5.5903639999999992</v>
          </cell>
          <cell r="L193">
            <v>6.0253639999999997</v>
          </cell>
          <cell r="M193">
            <v>6.6933639999999999</v>
          </cell>
          <cell r="N193">
            <v>7.337364</v>
          </cell>
          <cell r="O193">
            <v>8.0223639999999996</v>
          </cell>
          <cell r="P193">
            <v>7.8471839999999995</v>
          </cell>
          <cell r="Q193">
            <v>7.7568339999999996</v>
          </cell>
          <cell r="R193">
            <v>7.7781839999999995</v>
          </cell>
          <cell r="S193">
            <v>7.9546839999999994</v>
          </cell>
          <cell r="T193">
            <v>7.8556839999999992</v>
          </cell>
          <cell r="U193">
            <v>7.8356839999999996</v>
          </cell>
          <cell r="V193">
            <v>7.7582839999999997</v>
          </cell>
        </row>
        <row r="194">
          <cell r="B194" t="str">
            <v>ANN</v>
          </cell>
          <cell r="C194" t="str">
            <v>End of Year # Stores</v>
          </cell>
          <cell r="D194">
            <v>324</v>
          </cell>
          <cell r="E194">
            <v>365</v>
          </cell>
          <cell r="F194">
            <v>405</v>
          </cell>
          <cell r="G194">
            <v>478</v>
          </cell>
          <cell r="H194">
            <v>538</v>
          </cell>
          <cell r="I194">
            <v>584</v>
          </cell>
          <cell r="J194">
            <v>648</v>
          </cell>
          <cell r="K194">
            <v>738</v>
          </cell>
          <cell r="L194">
            <v>824</v>
          </cell>
          <cell r="M194">
            <v>869</v>
          </cell>
          <cell r="N194">
            <v>929</v>
          </cell>
          <cell r="O194">
            <v>935</v>
          </cell>
          <cell r="P194">
            <v>907</v>
          </cell>
          <cell r="Q194">
            <v>896</v>
          </cell>
          <cell r="R194">
            <v>953</v>
          </cell>
          <cell r="S194">
            <v>984</v>
          </cell>
          <cell r="T194">
            <v>1019</v>
          </cell>
          <cell r="U194">
            <v>1042</v>
          </cell>
          <cell r="V194">
            <v>1062</v>
          </cell>
          <cell r="W194" t="str">
            <v xml:space="preserve">Est. Renewal + New </v>
          </cell>
          <cell r="Y194" t="str">
            <v>ANF2009</v>
          </cell>
          <cell r="Z194">
            <v>0.44586656238183364</v>
          </cell>
          <cell r="AB194" t="str">
            <v>TLB</v>
          </cell>
          <cell r="AC194">
            <v>0.37738107711413327</v>
          </cell>
          <cell r="AE194" t="str">
            <v>TLB</v>
          </cell>
          <cell r="AF194" t="str">
            <v xml:space="preserve">TLB </v>
          </cell>
        </row>
        <row r="195">
          <cell r="C195" t="str">
            <v>New Store Openings</v>
          </cell>
          <cell r="D195">
            <v>27</v>
          </cell>
          <cell r="E195">
            <v>45</v>
          </cell>
          <cell r="F195">
            <v>47</v>
          </cell>
          <cell r="G195">
            <v>81</v>
          </cell>
          <cell r="H195">
            <v>67</v>
          </cell>
          <cell r="I195">
            <v>49</v>
          </cell>
          <cell r="J195">
            <v>70</v>
          </cell>
          <cell r="K195">
            <v>95</v>
          </cell>
          <cell r="L195">
            <v>97</v>
          </cell>
          <cell r="M195">
            <v>70</v>
          </cell>
          <cell r="N195">
            <v>77</v>
          </cell>
          <cell r="O195">
            <v>66</v>
          </cell>
          <cell r="P195">
            <v>14</v>
          </cell>
          <cell r="Q195">
            <v>34</v>
          </cell>
          <cell r="R195">
            <v>76</v>
          </cell>
          <cell r="S195">
            <v>63</v>
          </cell>
          <cell r="T195">
            <v>65</v>
          </cell>
          <cell r="U195">
            <v>28</v>
          </cell>
          <cell r="V195">
            <v>25</v>
          </cell>
          <cell r="W195" t="str">
            <v>Stores as % of Total</v>
          </cell>
          <cell r="Y195" t="str">
            <v>URBN2009</v>
          </cell>
          <cell r="Z195">
            <v>0.43109594588854916</v>
          </cell>
          <cell r="AB195" t="str">
            <v>ANF</v>
          </cell>
          <cell r="AC195">
            <v>0.31524129122736722</v>
          </cell>
          <cell r="AE195" t="str">
            <v>ANF</v>
          </cell>
          <cell r="AF195" t="str">
            <v xml:space="preserve">ANF </v>
          </cell>
        </row>
        <row r="196">
          <cell r="C196" t="str">
            <v>Store Closings</v>
          </cell>
          <cell r="D196">
            <v>12</v>
          </cell>
          <cell r="E196">
            <v>4</v>
          </cell>
          <cell r="F196">
            <v>7</v>
          </cell>
          <cell r="G196">
            <v>8</v>
          </cell>
          <cell r="H196">
            <v>7</v>
          </cell>
          <cell r="I196">
            <v>3</v>
          </cell>
          <cell r="J196">
            <v>6</v>
          </cell>
          <cell r="K196">
            <v>5</v>
          </cell>
          <cell r="L196">
            <v>11</v>
          </cell>
          <cell r="M196">
            <v>25</v>
          </cell>
          <cell r="N196">
            <v>17</v>
          </cell>
          <cell r="O196">
            <v>60</v>
          </cell>
          <cell r="P196">
            <v>42</v>
          </cell>
          <cell r="Q196">
            <v>45</v>
          </cell>
          <cell r="R196">
            <v>19</v>
          </cell>
          <cell r="S196">
            <v>32</v>
          </cell>
          <cell r="T196">
            <v>30</v>
          </cell>
          <cell r="U196">
            <v>5</v>
          </cell>
          <cell r="V196">
            <v>5</v>
          </cell>
        </row>
        <row r="197">
          <cell r="C197" t="str">
            <v xml:space="preserve">Stores Up for Negotation as a % of Total </v>
          </cell>
          <cell r="T197">
            <v>0.1324828263002944</v>
          </cell>
          <cell r="U197">
            <v>0.11804222648752399</v>
          </cell>
          <cell r="V197">
            <v>0.11487758945386065</v>
          </cell>
          <cell r="W197">
            <v>0.36540264224167907</v>
          </cell>
          <cell r="Y197" t="str">
            <v>ARO2009</v>
          </cell>
          <cell r="Z197">
            <v>0.37257664709719507</v>
          </cell>
          <cell r="AB197" t="str">
            <v>COH</v>
          </cell>
          <cell r="AC197">
            <v>0.31480360058911533</v>
          </cell>
          <cell r="AE197" t="str">
            <v>COH</v>
          </cell>
          <cell r="AF197" t="str">
            <v xml:space="preserve">COH </v>
          </cell>
        </row>
        <row r="198">
          <cell r="C198" t="str">
            <v>Gross Square Footage</v>
          </cell>
          <cell r="D198">
            <v>1.7565</v>
          </cell>
          <cell r="E198">
            <v>1.9180000000000001</v>
          </cell>
          <cell r="F198">
            <v>2.1545000000000005</v>
          </cell>
          <cell r="G198">
            <v>2.4874999999999998</v>
          </cell>
          <cell r="H198">
            <v>2.8754999999999997</v>
          </cell>
          <cell r="I198">
            <v>3.1802999999999999</v>
          </cell>
          <cell r="J198">
            <v>3.4832999999999998</v>
          </cell>
          <cell r="K198">
            <v>3.9319999999999999</v>
          </cell>
          <cell r="L198">
            <v>4.5015000000000001</v>
          </cell>
          <cell r="M198">
            <v>4.9400000000000004</v>
          </cell>
          <cell r="N198">
            <v>5.2445000000000004</v>
          </cell>
          <cell r="O198">
            <v>5.4510000000000005</v>
          </cell>
          <cell r="P198">
            <v>5.42</v>
          </cell>
          <cell r="Q198">
            <v>5.3159999999999998</v>
          </cell>
          <cell r="R198">
            <v>5.4339999999999993</v>
          </cell>
          <cell r="S198">
            <v>5.7029499999999995</v>
          </cell>
          <cell r="T198">
            <v>5.9311499999999997</v>
          </cell>
          <cell r="U198">
            <v>6.1110999999999995</v>
          </cell>
          <cell r="V198">
            <v>6.2420999999999989</v>
          </cell>
        </row>
        <row r="199">
          <cell r="B199" t="str">
            <v>ARO</v>
          </cell>
          <cell r="C199" t="str">
            <v>End of Year # Stores</v>
          </cell>
          <cell r="D199" t="str">
            <v>NA</v>
          </cell>
          <cell r="E199" t="str">
            <v>NA</v>
          </cell>
          <cell r="F199">
            <v>151</v>
          </cell>
          <cell r="G199">
            <v>224</v>
          </cell>
          <cell r="H199">
            <v>278</v>
          </cell>
          <cell r="I199">
            <v>367</v>
          </cell>
          <cell r="J199">
            <v>459</v>
          </cell>
          <cell r="K199">
            <v>561</v>
          </cell>
          <cell r="L199">
            <v>671</v>
          </cell>
          <cell r="M199">
            <v>742</v>
          </cell>
          <cell r="N199">
            <v>828</v>
          </cell>
          <cell r="O199">
            <v>914</v>
          </cell>
          <cell r="P199">
            <v>952</v>
          </cell>
          <cell r="Q199">
            <v>1012</v>
          </cell>
          <cell r="R199">
            <v>1057</v>
          </cell>
          <cell r="S199">
            <v>1095</v>
          </cell>
          <cell r="T199">
            <v>1151</v>
          </cell>
          <cell r="U199">
            <v>1181</v>
          </cell>
          <cell r="V199">
            <v>1219</v>
          </cell>
          <cell r="W199" t="str">
            <v xml:space="preserve">Est. Renewal + New </v>
          </cell>
          <cell r="Y199" t="str">
            <v>COH2009</v>
          </cell>
          <cell r="Z199">
            <v>0.40221365664572795</v>
          </cell>
          <cell r="AB199" t="str">
            <v>TIF</v>
          </cell>
          <cell r="AC199">
            <v>0.31466034456172814</v>
          </cell>
          <cell r="AE199" t="str">
            <v>TIF</v>
          </cell>
          <cell r="AF199" t="str">
            <v xml:space="preserve">TIF </v>
          </cell>
        </row>
        <row r="200">
          <cell r="C200" t="str">
            <v>New Store Openings</v>
          </cell>
          <cell r="D200" t="str">
            <v>NA</v>
          </cell>
          <cell r="E200" t="str">
            <v>NA</v>
          </cell>
          <cell r="F200">
            <v>40</v>
          </cell>
          <cell r="G200">
            <v>74</v>
          </cell>
          <cell r="H200">
            <v>62</v>
          </cell>
          <cell r="I200">
            <v>93</v>
          </cell>
          <cell r="J200">
            <v>95</v>
          </cell>
          <cell r="K200">
            <v>103</v>
          </cell>
          <cell r="L200">
            <v>119</v>
          </cell>
          <cell r="M200">
            <v>74</v>
          </cell>
          <cell r="N200">
            <v>88</v>
          </cell>
          <cell r="O200">
            <v>88</v>
          </cell>
          <cell r="P200">
            <v>53</v>
          </cell>
          <cell r="Q200">
            <v>68</v>
          </cell>
          <cell r="R200">
            <v>47</v>
          </cell>
          <cell r="S200">
            <v>48</v>
          </cell>
          <cell r="T200">
            <v>74</v>
          </cell>
          <cell r="U200">
            <v>40</v>
          </cell>
          <cell r="V200">
            <v>40</v>
          </cell>
          <cell r="W200" t="str">
            <v>Stores as % of Total</v>
          </cell>
          <cell r="Y200" t="str">
            <v>AEO2009</v>
          </cell>
          <cell r="Z200">
            <v>0.23462101636520241</v>
          </cell>
          <cell r="AB200" t="str">
            <v>TJX</v>
          </cell>
          <cell r="AC200">
            <v>0.31280725462882786</v>
          </cell>
          <cell r="AE200" t="str">
            <v>TJX</v>
          </cell>
          <cell r="AF200" t="str">
            <v xml:space="preserve">TJX </v>
          </cell>
        </row>
        <row r="201">
          <cell r="C201" t="str">
            <v>Store Closings</v>
          </cell>
          <cell r="D201" t="str">
            <v>NA</v>
          </cell>
          <cell r="E201" t="str">
            <v>NA</v>
          </cell>
          <cell r="F201">
            <v>7</v>
          </cell>
          <cell r="G201">
            <v>1</v>
          </cell>
          <cell r="H201">
            <v>8</v>
          </cell>
          <cell r="I201">
            <v>4</v>
          </cell>
          <cell r="J201">
            <v>3</v>
          </cell>
          <cell r="K201">
            <v>1</v>
          </cell>
          <cell r="L201">
            <v>9</v>
          </cell>
          <cell r="M201">
            <v>3</v>
          </cell>
          <cell r="N201">
            <v>2</v>
          </cell>
          <cell r="O201">
            <v>2</v>
          </cell>
          <cell r="P201">
            <v>15</v>
          </cell>
          <cell r="Q201">
            <v>8</v>
          </cell>
          <cell r="R201">
            <v>2</v>
          </cell>
          <cell r="S201">
            <v>10</v>
          </cell>
          <cell r="T201">
            <v>18</v>
          </cell>
          <cell r="U201">
            <v>10</v>
          </cell>
          <cell r="V201">
            <v>2</v>
          </cell>
        </row>
        <row r="202">
          <cell r="C202" t="str">
            <v xml:space="preserve">Stores Up for Negotation as a % of Total </v>
          </cell>
          <cell r="T202">
            <v>0.14682884448305822</v>
          </cell>
          <cell r="U202">
            <v>0.12108382726502964</v>
          </cell>
          <cell r="V202">
            <v>0.13043478260869565</v>
          </cell>
          <cell r="W202">
            <v>0.39834745435678354</v>
          </cell>
          <cell r="Y202" t="str">
            <v>CHS2009</v>
          </cell>
          <cell r="Z202">
            <v>0.40320803378882658</v>
          </cell>
          <cell r="AB202" t="str">
            <v>ARO</v>
          </cell>
          <cell r="AC202">
            <v>0.28132227506821411</v>
          </cell>
          <cell r="AE202" t="str">
            <v>ARO</v>
          </cell>
          <cell r="AF202" t="str">
            <v xml:space="preserve">ARO </v>
          </cell>
        </row>
        <row r="203">
          <cell r="C203" t="str">
            <v>Gross Square Footage</v>
          </cell>
          <cell r="D203" t="str">
            <v>NA</v>
          </cell>
          <cell r="E203" t="str">
            <v>NA</v>
          </cell>
          <cell r="F203">
            <v>0.54661000000000004</v>
          </cell>
          <cell r="G203">
            <v>0.77510999999999997</v>
          </cell>
          <cell r="H203">
            <v>0.96269700000000002</v>
          </cell>
          <cell r="I203">
            <v>1.299606</v>
          </cell>
          <cell r="J203">
            <v>1.611669</v>
          </cell>
          <cell r="K203">
            <v>1.9784060000000001</v>
          </cell>
          <cell r="L203">
            <v>2.373475</v>
          </cell>
          <cell r="M203">
            <v>2.6259999999999999</v>
          </cell>
          <cell r="N203">
            <v>2.9352140000000002</v>
          </cell>
          <cell r="O203">
            <v>3.2846139999999999</v>
          </cell>
          <cell r="P203">
            <v>3.4283760000000001</v>
          </cell>
          <cell r="Q203">
            <v>3.703033</v>
          </cell>
          <cell r="R203">
            <v>3.9087839999999998</v>
          </cell>
          <cell r="S203">
            <v>4.0513839999999997</v>
          </cell>
          <cell r="T203">
            <v>4.2435840000000002</v>
          </cell>
          <cell r="U203">
            <v>4.3551840000000004</v>
          </cell>
          <cell r="V203">
            <v>4.4915840000000005</v>
          </cell>
        </row>
        <row r="204">
          <cell r="B204" t="str">
            <v>CHS</v>
          </cell>
          <cell r="C204" t="str">
            <v>End of Year # Stores</v>
          </cell>
          <cell r="D204">
            <v>141</v>
          </cell>
          <cell r="E204">
            <v>162</v>
          </cell>
          <cell r="F204">
            <v>200</v>
          </cell>
          <cell r="G204">
            <v>250</v>
          </cell>
          <cell r="H204">
            <v>311</v>
          </cell>
          <cell r="I204">
            <v>378</v>
          </cell>
          <cell r="J204">
            <v>548</v>
          </cell>
          <cell r="K204">
            <v>657</v>
          </cell>
          <cell r="L204">
            <v>763</v>
          </cell>
          <cell r="M204">
            <v>920</v>
          </cell>
          <cell r="N204">
            <v>1038</v>
          </cell>
          <cell r="O204">
            <v>1076</v>
          </cell>
          <cell r="P204">
            <v>1080</v>
          </cell>
          <cell r="Q204">
            <v>1151</v>
          </cell>
          <cell r="R204">
            <v>1256</v>
          </cell>
          <cell r="S204">
            <v>1357</v>
          </cell>
          <cell r="T204">
            <v>1485</v>
          </cell>
          <cell r="U204">
            <v>1588</v>
          </cell>
          <cell r="V204">
            <v>1691</v>
          </cell>
          <cell r="W204" t="str">
            <v xml:space="preserve">Est. Renewal + New </v>
          </cell>
          <cell r="Y204" t="str">
            <v>ROST2009</v>
          </cell>
          <cell r="Z204">
            <v>0.35910877163928379</v>
          </cell>
          <cell r="AB204" t="str">
            <v>AEO</v>
          </cell>
          <cell r="AC204">
            <v>0.28042089756544664</v>
          </cell>
          <cell r="AE204" t="str">
            <v>AEO</v>
          </cell>
          <cell r="AF204" t="str">
            <v xml:space="preserve">AEO </v>
          </cell>
        </row>
        <row r="205">
          <cell r="C205" t="str">
            <v>New Store Openings</v>
          </cell>
          <cell r="D205">
            <v>15</v>
          </cell>
          <cell r="E205">
            <v>25</v>
          </cell>
          <cell r="F205">
            <v>41</v>
          </cell>
          <cell r="G205">
            <v>53</v>
          </cell>
          <cell r="H205">
            <v>64</v>
          </cell>
          <cell r="I205">
            <v>67</v>
          </cell>
          <cell r="J205">
            <v>58</v>
          </cell>
          <cell r="K205">
            <v>118</v>
          </cell>
          <cell r="L205">
            <v>106</v>
          </cell>
          <cell r="M205">
            <v>158</v>
          </cell>
          <cell r="N205">
            <v>146</v>
          </cell>
          <cell r="O205">
            <v>49</v>
          </cell>
          <cell r="P205">
            <v>30</v>
          </cell>
          <cell r="Q205">
            <v>80</v>
          </cell>
          <cell r="R205">
            <v>137</v>
          </cell>
          <cell r="S205">
            <v>125</v>
          </cell>
          <cell r="T205">
            <v>145</v>
          </cell>
          <cell r="U205">
            <v>120</v>
          </cell>
          <cell r="V205">
            <v>120</v>
          </cell>
          <cell r="W205" t="str">
            <v>Stores as % of Total</v>
          </cell>
          <cell r="Y205" t="str">
            <v>TJX2009</v>
          </cell>
          <cell r="Z205">
            <v>0.30601265074429024</v>
          </cell>
          <cell r="AB205" t="str">
            <v>ROST</v>
          </cell>
          <cell r="AC205">
            <v>0.27287831460692641</v>
          </cell>
          <cell r="AE205" t="str">
            <v>ROST</v>
          </cell>
        </row>
        <row r="206">
          <cell r="C206" t="str">
            <v>Store Closings</v>
          </cell>
          <cell r="D206">
            <v>7</v>
          </cell>
          <cell r="E206">
            <v>4</v>
          </cell>
          <cell r="F206">
            <v>3</v>
          </cell>
          <cell r="G206">
            <v>3</v>
          </cell>
          <cell r="H206">
            <v>3</v>
          </cell>
          <cell r="I206">
            <v>0</v>
          </cell>
          <cell r="J206">
            <v>2</v>
          </cell>
          <cell r="K206">
            <v>9</v>
          </cell>
          <cell r="L206">
            <v>0</v>
          </cell>
          <cell r="M206">
            <v>6</v>
          </cell>
          <cell r="N206">
            <v>18</v>
          </cell>
          <cell r="O206">
            <v>11</v>
          </cell>
          <cell r="P206">
            <v>26</v>
          </cell>
          <cell r="Q206">
            <v>9</v>
          </cell>
          <cell r="R206">
            <v>32</v>
          </cell>
          <cell r="S206">
            <v>24</v>
          </cell>
          <cell r="T206">
            <v>17</v>
          </cell>
          <cell r="U206">
            <v>17</v>
          </cell>
          <cell r="V206">
            <v>17</v>
          </cell>
        </row>
        <row r="207">
          <cell r="C207" t="str">
            <v xml:space="preserve">Stores Up for Negotation as a % of Total </v>
          </cell>
          <cell r="T207">
            <v>0.13670033670033671</v>
          </cell>
          <cell r="U207">
            <v>0.14987405541561713</v>
          </cell>
          <cell r="V207">
            <v>0.13364872856298049</v>
          </cell>
          <cell r="W207">
            <v>0.4202231206789343</v>
          </cell>
          <cell r="Y207" t="str">
            <v>ANN2009</v>
          </cell>
          <cell r="Z207">
            <v>0.34249710739925038</v>
          </cell>
          <cell r="AB207" t="str">
            <v>CHS</v>
          </cell>
          <cell r="AC207">
            <v>0.25976024802294312</v>
          </cell>
          <cell r="AE207" t="str">
            <v>CHS</v>
          </cell>
          <cell r="AF207" t="str">
            <v xml:space="preserve">CHS </v>
          </cell>
        </row>
        <row r="208">
          <cell r="C208" t="str">
            <v>Gross Square Footage</v>
          </cell>
          <cell r="D208">
            <v>0</v>
          </cell>
          <cell r="E208">
            <v>0</v>
          </cell>
          <cell r="F208">
            <v>0</v>
          </cell>
          <cell r="G208">
            <v>0</v>
          </cell>
          <cell r="H208">
            <v>0</v>
          </cell>
          <cell r="I208">
            <v>0</v>
          </cell>
          <cell r="J208">
            <v>0</v>
          </cell>
          <cell r="K208">
            <v>0</v>
          </cell>
          <cell r="L208">
            <v>0</v>
          </cell>
          <cell r="M208">
            <v>0</v>
          </cell>
          <cell r="N208">
            <v>0</v>
          </cell>
          <cell r="O208">
            <v>0</v>
          </cell>
          <cell r="P208">
            <v>0</v>
          </cell>
          <cell r="Q208">
            <v>0</v>
          </cell>
          <cell r="R208">
            <v>0</v>
          </cell>
          <cell r="S208">
            <v>0</v>
          </cell>
          <cell r="T208">
            <v>0</v>
          </cell>
          <cell r="U208">
            <v>0</v>
          </cell>
          <cell r="V208">
            <v>0</v>
          </cell>
        </row>
        <row r="209">
          <cell r="B209" t="str">
            <v>COH</v>
          </cell>
          <cell r="C209" t="str">
            <v>End of Year # Stores</v>
          </cell>
          <cell r="D209" t="str">
            <v>NA</v>
          </cell>
          <cell r="E209" t="str">
            <v>NA</v>
          </cell>
          <cell r="F209" t="str">
            <v>NA</v>
          </cell>
          <cell r="G209">
            <v>239</v>
          </cell>
          <cell r="H209">
            <v>265</v>
          </cell>
          <cell r="I209">
            <v>295</v>
          </cell>
          <cell r="J209">
            <v>325</v>
          </cell>
          <cell r="K209">
            <v>350</v>
          </cell>
          <cell r="L209">
            <v>378</v>
          </cell>
          <cell r="M209">
            <v>422</v>
          </cell>
          <cell r="N209">
            <v>489</v>
          </cell>
          <cell r="O209">
            <v>548</v>
          </cell>
          <cell r="P209">
            <v>624</v>
          </cell>
          <cell r="Q209">
            <v>665</v>
          </cell>
          <cell r="R209">
            <v>723</v>
          </cell>
          <cell r="S209">
            <v>832</v>
          </cell>
          <cell r="T209">
            <v>912</v>
          </cell>
          <cell r="U209">
            <v>983</v>
          </cell>
          <cell r="V209">
            <v>1054</v>
          </cell>
          <cell r="W209" t="str">
            <v xml:space="preserve">Est. Renewal + New </v>
          </cell>
          <cell r="Y209" t="str">
            <v>JCG2009</v>
          </cell>
          <cell r="Z209">
            <v>0.29111373453400685</v>
          </cell>
          <cell r="AB209" t="str">
            <v>ANN</v>
          </cell>
          <cell r="AC209">
            <v>0.15037683740834962</v>
          </cell>
          <cell r="AE209" t="str">
            <v>ANN</v>
          </cell>
          <cell r="AF209" t="str">
            <v xml:space="preserve">ANN </v>
          </cell>
        </row>
        <row r="210">
          <cell r="C210" t="str">
            <v>New Store Openings</v>
          </cell>
          <cell r="D210" t="str">
            <v>NA</v>
          </cell>
          <cell r="E210" t="str">
            <v>NA</v>
          </cell>
          <cell r="F210" t="str">
            <v>NA</v>
          </cell>
          <cell r="G210">
            <v>10</v>
          </cell>
          <cell r="H210">
            <v>26</v>
          </cell>
          <cell r="I210">
            <v>33</v>
          </cell>
          <cell r="J210">
            <v>37</v>
          </cell>
          <cell r="K210">
            <v>29</v>
          </cell>
          <cell r="L210">
            <v>38</v>
          </cell>
          <cell r="M210">
            <v>50</v>
          </cell>
          <cell r="N210">
            <v>70</v>
          </cell>
          <cell r="O210">
            <v>60</v>
          </cell>
          <cell r="P210">
            <v>85</v>
          </cell>
          <cell r="Q210">
            <v>52</v>
          </cell>
          <cell r="R210">
            <v>65</v>
          </cell>
          <cell r="S210">
            <v>114</v>
          </cell>
          <cell r="T210">
            <v>83</v>
          </cell>
          <cell r="U210">
            <v>74</v>
          </cell>
          <cell r="V210">
            <v>74</v>
          </cell>
          <cell r="W210" t="str">
            <v>Stores as % of Total</v>
          </cell>
          <cell r="Y210" t="str">
            <v>PLCE2009</v>
          </cell>
          <cell r="Z210">
            <v>0.40735649884065694</v>
          </cell>
          <cell r="AB210" t="str">
            <v>LTD</v>
          </cell>
          <cell r="AC210">
            <v>7.3625433459171691E-2</v>
          </cell>
          <cell r="AE210" t="str">
            <v>LTD</v>
          </cell>
          <cell r="AF210" t="str">
            <v xml:space="preserve">LTD </v>
          </cell>
        </row>
        <row r="211">
          <cell r="C211" t="str">
            <v>Store Closings</v>
          </cell>
          <cell r="D211" t="str">
            <v>NA</v>
          </cell>
          <cell r="E211" t="str">
            <v>NA</v>
          </cell>
          <cell r="F211" t="str">
            <v>NA</v>
          </cell>
          <cell r="G211">
            <v>4</v>
          </cell>
          <cell r="H211">
            <v>0</v>
          </cell>
          <cell r="I211">
            <v>3</v>
          </cell>
          <cell r="J211">
            <v>7</v>
          </cell>
          <cell r="K211">
            <v>4</v>
          </cell>
          <cell r="L211">
            <v>10</v>
          </cell>
          <cell r="M211">
            <v>6</v>
          </cell>
          <cell r="N211">
            <v>3</v>
          </cell>
          <cell r="O211">
            <v>1</v>
          </cell>
          <cell r="P211">
            <v>9</v>
          </cell>
          <cell r="Q211">
            <v>11</v>
          </cell>
          <cell r="R211">
            <v>7</v>
          </cell>
          <cell r="S211">
            <v>5</v>
          </cell>
          <cell r="T211">
            <v>3</v>
          </cell>
          <cell r="U211">
            <v>3</v>
          </cell>
          <cell r="V211">
            <v>3</v>
          </cell>
        </row>
        <row r="212">
          <cell r="C212" t="str">
            <v xml:space="preserve">Stores Up for Negotation as a % of Total </v>
          </cell>
          <cell r="T212">
            <v>0.13157894736842105</v>
          </cell>
          <cell r="U212">
            <v>0.10478128179043744</v>
          </cell>
          <cell r="V212">
            <v>0.10626185958254269</v>
          </cell>
          <cell r="W212">
            <v>0.34262208874140121</v>
          </cell>
        </row>
        <row r="213">
          <cell r="C213" t="str">
            <v>Gross Square Footage</v>
          </cell>
          <cell r="D213" t="str">
            <v>NA</v>
          </cell>
          <cell r="E213" t="str">
            <v>NA</v>
          </cell>
          <cell r="F213" t="str">
            <v>NA</v>
          </cell>
          <cell r="G213">
            <v>0</v>
          </cell>
          <cell r="H213">
            <v>0</v>
          </cell>
          <cell r="I213">
            <v>0</v>
          </cell>
          <cell r="J213">
            <v>0</v>
          </cell>
          <cell r="K213">
            <v>0</v>
          </cell>
          <cell r="L213">
            <v>0</v>
          </cell>
          <cell r="M213">
            <v>0</v>
          </cell>
          <cell r="N213">
            <v>0</v>
          </cell>
          <cell r="O213">
            <v>0</v>
          </cell>
          <cell r="P213">
            <v>0</v>
          </cell>
          <cell r="Q213">
            <v>0</v>
          </cell>
          <cell r="R213">
            <v>0</v>
          </cell>
          <cell r="S213">
            <v>0</v>
          </cell>
          <cell r="T213">
            <v>48</v>
          </cell>
          <cell r="U213">
            <v>50</v>
          </cell>
          <cell r="V213">
            <v>52</v>
          </cell>
        </row>
        <row r="214">
          <cell r="B214" t="str">
            <v>EXPR</v>
          </cell>
          <cell r="C214" t="str">
            <v>End of Year # Stores</v>
          </cell>
          <cell r="D214" t="str">
            <v>NA</v>
          </cell>
          <cell r="E214">
            <v>1234</v>
          </cell>
          <cell r="F214">
            <v>1187</v>
          </cell>
          <cell r="G214">
            <v>1136</v>
          </cell>
          <cell r="H214">
            <v>1106</v>
          </cell>
          <cell r="I214">
            <v>1031</v>
          </cell>
          <cell r="J214">
            <v>956</v>
          </cell>
          <cell r="K214">
            <v>884</v>
          </cell>
          <cell r="L214">
            <v>743</v>
          </cell>
          <cell r="M214">
            <v>658</v>
          </cell>
          <cell r="N214">
            <v>587</v>
          </cell>
          <cell r="O214">
            <v>581</v>
          </cell>
          <cell r="P214">
            <v>573</v>
          </cell>
          <cell r="Q214">
            <v>591</v>
          </cell>
          <cell r="R214">
            <v>609</v>
          </cell>
          <cell r="S214">
            <v>625</v>
          </cell>
          <cell r="T214">
            <v>632</v>
          </cell>
          <cell r="U214">
            <v>647</v>
          </cell>
          <cell r="V214">
            <v>657</v>
          </cell>
          <cell r="W214" t="str">
            <v xml:space="preserve">Est. Renewal + New </v>
          </cell>
        </row>
        <row r="215">
          <cell r="C215" t="str">
            <v>New Store Openings</v>
          </cell>
          <cell r="D215" t="str">
            <v>NA</v>
          </cell>
          <cell r="E215">
            <v>4</v>
          </cell>
          <cell r="F215">
            <v>9</v>
          </cell>
          <cell r="G215">
            <v>4</v>
          </cell>
          <cell r="H215">
            <v>16</v>
          </cell>
          <cell r="I215">
            <v>21</v>
          </cell>
          <cell r="J215">
            <v>7</v>
          </cell>
          <cell r="K215">
            <v>15</v>
          </cell>
          <cell r="L215">
            <v>17</v>
          </cell>
          <cell r="M215">
            <v>2</v>
          </cell>
          <cell r="N215">
            <v>2</v>
          </cell>
          <cell r="O215">
            <v>4</v>
          </cell>
          <cell r="P215">
            <v>7</v>
          </cell>
          <cell r="Q215">
            <v>23</v>
          </cell>
          <cell r="R215">
            <v>27</v>
          </cell>
          <cell r="S215">
            <v>28</v>
          </cell>
          <cell r="T215">
            <v>16</v>
          </cell>
          <cell r="U215">
            <v>20</v>
          </cell>
          <cell r="V215">
            <v>15</v>
          </cell>
          <cell r="W215" t="str">
            <v>Stores as % of Total</v>
          </cell>
          <cell r="Y215">
            <v>660</v>
          </cell>
          <cell r="Z215">
            <v>581</v>
          </cell>
          <cell r="AA215">
            <v>582</v>
          </cell>
        </row>
        <row r="216">
          <cell r="C216" t="str">
            <v>Store Closings</v>
          </cell>
          <cell r="D216" t="str">
            <v>NA</v>
          </cell>
          <cell r="E216" t="str">
            <v>NA</v>
          </cell>
          <cell r="F216" t="str">
            <v>NA</v>
          </cell>
          <cell r="G216" t="str">
            <v>NA</v>
          </cell>
          <cell r="H216" t="str">
            <v>NA</v>
          </cell>
          <cell r="I216" t="str">
            <v>NA</v>
          </cell>
          <cell r="J216" t="str">
            <v>NA</v>
          </cell>
          <cell r="K216">
            <v>0</v>
          </cell>
          <cell r="L216">
            <v>0</v>
          </cell>
          <cell r="M216">
            <v>0</v>
          </cell>
          <cell r="N216">
            <v>0</v>
          </cell>
          <cell r="O216">
            <v>10</v>
          </cell>
          <cell r="P216">
            <v>6</v>
          </cell>
          <cell r="Q216">
            <v>5</v>
          </cell>
          <cell r="R216">
            <v>9</v>
          </cell>
          <cell r="S216">
            <v>12</v>
          </cell>
          <cell r="T216">
            <v>9</v>
          </cell>
          <cell r="U216">
            <v>5</v>
          </cell>
          <cell r="V216">
            <v>5</v>
          </cell>
        </row>
        <row r="217">
          <cell r="C217" t="str">
            <v xml:space="preserve">Stores Up for Negotation as a % of Total </v>
          </cell>
          <cell r="T217">
            <v>3.6392405063291139E-2</v>
          </cell>
          <cell r="U217">
            <v>5.4095826893353939E-2</v>
          </cell>
          <cell r="V217">
            <v>4.8706240487062402E-2</v>
          </cell>
          <cell r="W217">
            <v>0.13919447244370747</v>
          </cell>
        </row>
        <row r="218">
          <cell r="C218" t="str">
            <v>Gross Square Footage</v>
          </cell>
          <cell r="D218" t="str">
            <v>NA</v>
          </cell>
          <cell r="E218" t="str">
            <v>NA</v>
          </cell>
          <cell r="F218" t="str">
            <v>NA</v>
          </cell>
          <cell r="G218" t="str">
            <v>NA</v>
          </cell>
          <cell r="H218" t="str">
            <v>NA</v>
          </cell>
          <cell r="I218" t="str">
            <v>NA</v>
          </cell>
          <cell r="J218" t="str">
            <v>NA</v>
          </cell>
          <cell r="K218">
            <v>6.867</v>
          </cell>
          <cell r="L218">
            <v>6.4770000000000003</v>
          </cell>
          <cell r="M218">
            <v>5.7770000000000001</v>
          </cell>
          <cell r="N218">
            <v>5.1420000000000003</v>
          </cell>
          <cell r="O218">
            <v>5.032</v>
          </cell>
          <cell r="P218">
            <v>4.9945069999999996</v>
          </cell>
          <cell r="Q218">
            <v>5.1280000000000001</v>
          </cell>
          <cell r="R218">
            <v>5.2670000000000003</v>
          </cell>
          <cell r="S218">
            <v>5.4062000000000001</v>
          </cell>
          <cell r="T218">
            <v>5.4691999999999998</v>
          </cell>
          <cell r="U218">
            <v>5.6041999999999996</v>
          </cell>
          <cell r="V218">
            <v>5.6941999999999995</v>
          </cell>
        </row>
        <row r="219">
          <cell r="B219" t="str">
            <v>GES</v>
          </cell>
          <cell r="C219" t="str">
            <v>End of Year # Stores</v>
          </cell>
          <cell r="D219" t="str">
            <v>NA</v>
          </cell>
          <cell r="E219" t="str">
            <v>NA</v>
          </cell>
          <cell r="F219" t="str">
            <v>NA</v>
          </cell>
          <cell r="G219" t="str">
            <v>NA</v>
          </cell>
          <cell r="H219" t="str">
            <v>NA</v>
          </cell>
          <cell r="I219" t="str">
            <v>NA</v>
          </cell>
          <cell r="J219" t="str">
            <v>NA</v>
          </cell>
          <cell r="K219" t="str">
            <v>NA</v>
          </cell>
          <cell r="L219" t="str">
            <v>NA</v>
          </cell>
          <cell r="M219" t="str">
            <v>NA</v>
          </cell>
          <cell r="N219">
            <v>413</v>
          </cell>
          <cell r="O219">
            <v>486</v>
          </cell>
          <cell r="P219">
            <v>544</v>
          </cell>
          <cell r="Q219">
            <v>649</v>
          </cell>
          <cell r="R219">
            <v>734</v>
          </cell>
          <cell r="S219">
            <v>837</v>
          </cell>
          <cell r="T219">
            <v>837</v>
          </cell>
          <cell r="U219">
            <v>837</v>
          </cell>
          <cell r="V219">
            <v>837</v>
          </cell>
          <cell r="W219" t="str">
            <v xml:space="preserve">Est. Renewal + New </v>
          </cell>
        </row>
        <row r="220">
          <cell r="C220" t="str">
            <v>New Store Openings</v>
          </cell>
          <cell r="D220" t="str">
            <v>NA</v>
          </cell>
          <cell r="E220" t="str">
            <v>NA</v>
          </cell>
          <cell r="F220" t="str">
            <v>NA</v>
          </cell>
          <cell r="G220" t="str">
            <v>NA</v>
          </cell>
          <cell r="H220" t="str">
            <v>NA</v>
          </cell>
          <cell r="I220" t="str">
            <v>NA</v>
          </cell>
          <cell r="J220" t="str">
            <v>NA</v>
          </cell>
          <cell r="K220" t="str">
            <v>NA</v>
          </cell>
          <cell r="L220" t="str">
            <v>NA</v>
          </cell>
          <cell r="M220" t="str">
            <v>NA</v>
          </cell>
          <cell r="N220" t="str">
            <v>NA</v>
          </cell>
          <cell r="O220">
            <v>73</v>
          </cell>
          <cell r="P220">
            <v>58</v>
          </cell>
          <cell r="Q220">
            <v>105</v>
          </cell>
          <cell r="R220">
            <v>85</v>
          </cell>
          <cell r="S220">
            <v>103</v>
          </cell>
          <cell r="T220">
            <v>0</v>
          </cell>
          <cell r="U220">
            <v>0</v>
          </cell>
          <cell r="V220">
            <v>0</v>
          </cell>
          <cell r="W220" t="str">
            <v>Stores as % of Total</v>
          </cell>
        </row>
        <row r="221">
          <cell r="C221" t="str">
            <v>Store Closings</v>
          </cell>
          <cell r="D221">
            <v>-6508</v>
          </cell>
          <cell r="E221">
            <v>-9054</v>
          </cell>
          <cell r="F221">
            <v>-11600</v>
          </cell>
          <cell r="G221">
            <v>-13673</v>
          </cell>
          <cell r="H221">
            <v>-13848</v>
          </cell>
          <cell r="I221">
            <v>-14455</v>
          </cell>
          <cell r="J221">
            <v>-15854</v>
          </cell>
          <cell r="K221">
            <v>-16267</v>
          </cell>
          <cell r="L221">
            <v>-16015</v>
          </cell>
          <cell r="M221">
            <v>-15916</v>
          </cell>
          <cell r="N221">
            <v>-15732</v>
          </cell>
          <cell r="O221">
            <v>-14526</v>
          </cell>
          <cell r="P221">
            <v>-14197</v>
          </cell>
          <cell r="Q221">
            <v>-14664</v>
          </cell>
          <cell r="R221">
            <v>-14549</v>
          </cell>
          <cell r="S221">
            <v>-15651</v>
          </cell>
          <cell r="T221">
            <v>-15557.613676301589</v>
          </cell>
          <cell r="U221">
            <v>-16123.430031544121</v>
          </cell>
          <cell r="V221">
            <v>-16480.247519048262</v>
          </cell>
        </row>
        <row r="222">
          <cell r="C222" t="str">
            <v>Stores Up for Negotiation as a % of Total</v>
          </cell>
          <cell r="S222" t="str">
            <v>NA</v>
          </cell>
          <cell r="T222" t="str">
            <v>NA</v>
          </cell>
          <cell r="U222" t="str">
            <v>NA</v>
          </cell>
          <cell r="V222" t="str">
            <v>NA</v>
          </cell>
          <cell r="W222">
            <v>0</v>
          </cell>
        </row>
        <row r="223">
          <cell r="C223" t="str">
            <v>Gross Square Footage</v>
          </cell>
          <cell r="D223">
            <v>9.2418280423096411E-2</v>
          </cell>
          <cell r="E223">
            <v>0.20605216943141902</v>
          </cell>
          <cell r="F223">
            <v>7.6963951833128208E-2</v>
          </cell>
          <cell r="G223">
            <v>9.8632819651960579E-2</v>
          </cell>
          <cell r="H223">
            <v>-7.0239366803548364E-4</v>
          </cell>
          <cell r="I223">
            <v>-1.364751715485446E-3</v>
          </cell>
          <cell r="J223">
            <v>0.11019013468117667</v>
          </cell>
          <cell r="K223">
            <v>4.7067975609023982E-2</v>
          </cell>
          <cell r="L223">
            <v>-2.005022203512774E-2</v>
          </cell>
          <cell r="M223">
            <v>-2.8279756009248036E-2</v>
          </cell>
          <cell r="N223">
            <v>-2.7967456994279494E-2</v>
          </cell>
          <cell r="O223">
            <v>-8.1101168564105541E-2</v>
          </cell>
          <cell r="P223">
            <v>-1.1379140965551482E-2</v>
          </cell>
          <cell r="Q223">
            <v>4.6469551086676386E-2</v>
          </cell>
          <cell r="R223">
            <v>-4.1257834560385342E-3</v>
          </cell>
          <cell r="S223">
            <v>6.4818376524268917E-2</v>
          </cell>
          <cell r="T223">
            <v>-1.1116159396982295E-2</v>
          </cell>
          <cell r="U223">
            <v>-1.3273353469245297E-2</v>
          </cell>
          <cell r="V223">
            <v>-1.6032368173021672E-2</v>
          </cell>
        </row>
        <row r="224">
          <cell r="B224" t="str">
            <v>GPS</v>
          </cell>
          <cell r="C224" t="str">
            <v>End of Year # Stores</v>
          </cell>
          <cell r="D224">
            <v>2130</v>
          </cell>
          <cell r="E224">
            <v>2466</v>
          </cell>
          <cell r="F224">
            <v>3018</v>
          </cell>
          <cell r="G224">
            <v>2848</v>
          </cell>
          <cell r="H224">
            <v>3097</v>
          </cell>
          <cell r="I224">
            <v>3117</v>
          </cell>
          <cell r="J224">
            <v>3022</v>
          </cell>
          <cell r="K224">
            <v>2994</v>
          </cell>
          <cell r="L224">
            <v>3053</v>
          </cell>
          <cell r="M224">
            <v>3131</v>
          </cell>
          <cell r="N224">
            <v>3167</v>
          </cell>
          <cell r="O224">
            <v>3149</v>
          </cell>
          <cell r="P224">
            <v>3095</v>
          </cell>
          <cell r="Q224">
            <v>3068</v>
          </cell>
          <cell r="R224">
            <v>3072</v>
          </cell>
          <cell r="S224">
            <v>3131</v>
          </cell>
          <cell r="T224">
            <v>3211</v>
          </cell>
          <cell r="U224">
            <v>3338</v>
          </cell>
          <cell r="V224">
            <v>3465</v>
          </cell>
          <cell r="W224" t="str">
            <v xml:space="preserve">Est. Renewal + New </v>
          </cell>
        </row>
        <row r="225">
          <cell r="C225" t="str">
            <v>New Store Openings</v>
          </cell>
          <cell r="D225">
            <v>298</v>
          </cell>
          <cell r="E225">
            <v>356</v>
          </cell>
          <cell r="F225">
            <v>570</v>
          </cell>
          <cell r="G225">
            <v>731</v>
          </cell>
          <cell r="H225">
            <v>324</v>
          </cell>
          <cell r="I225">
            <v>115</v>
          </cell>
          <cell r="J225">
            <v>35</v>
          </cell>
          <cell r="K225">
            <v>130</v>
          </cell>
          <cell r="L225">
            <v>198</v>
          </cell>
          <cell r="M225">
            <v>194</v>
          </cell>
          <cell r="N225">
            <v>214</v>
          </cell>
          <cell r="O225">
            <v>101</v>
          </cell>
          <cell r="P225">
            <v>47</v>
          </cell>
          <cell r="Q225">
            <v>71</v>
          </cell>
          <cell r="R225">
            <v>102</v>
          </cell>
          <cell r="S225">
            <v>148</v>
          </cell>
          <cell r="T225">
            <v>160</v>
          </cell>
          <cell r="U225">
            <v>160</v>
          </cell>
          <cell r="V225">
            <v>160</v>
          </cell>
          <cell r="W225" t="str">
            <v>Stores as % of Total</v>
          </cell>
        </row>
        <row r="226">
          <cell r="C226" t="str">
            <v>Store Closings</v>
          </cell>
          <cell r="D226">
            <v>22</v>
          </cell>
          <cell r="E226">
            <v>20</v>
          </cell>
          <cell r="F226">
            <v>18</v>
          </cell>
          <cell r="G226">
            <v>73</v>
          </cell>
          <cell r="H226">
            <v>75</v>
          </cell>
          <cell r="I226">
            <v>95</v>
          </cell>
          <cell r="J226">
            <v>130</v>
          </cell>
          <cell r="K226">
            <v>158</v>
          </cell>
          <cell r="L226">
            <v>139</v>
          </cell>
          <cell r="M226">
            <v>116</v>
          </cell>
          <cell r="N226">
            <v>178</v>
          </cell>
          <cell r="O226">
            <v>119</v>
          </cell>
          <cell r="P226">
            <v>101</v>
          </cell>
          <cell r="Q226">
            <v>98</v>
          </cell>
          <cell r="R226">
            <v>98</v>
          </cell>
          <cell r="S226">
            <v>89</v>
          </cell>
          <cell r="T226">
            <v>80</v>
          </cell>
          <cell r="U226">
            <v>33</v>
          </cell>
          <cell r="V226">
            <v>33</v>
          </cell>
        </row>
        <row r="227">
          <cell r="C227" t="str">
            <v>Stores Up for Negotiation as a % of Total</v>
          </cell>
          <cell r="T227">
            <v>0.15</v>
          </cell>
          <cell r="U227">
            <v>0.15</v>
          </cell>
          <cell r="V227">
            <v>0.15</v>
          </cell>
          <cell r="W227">
            <v>0.45</v>
          </cell>
        </row>
        <row r="228">
          <cell r="C228" t="str">
            <v>Gross Square Footage</v>
          </cell>
          <cell r="D228">
            <v>15.312700000000001</v>
          </cell>
          <cell r="E228">
            <v>18.757000000000001</v>
          </cell>
          <cell r="F228">
            <v>23.978099999999998</v>
          </cell>
          <cell r="G228">
            <v>31.373437000000003</v>
          </cell>
          <cell r="H228">
            <v>36.333391999999996</v>
          </cell>
          <cell r="I228">
            <v>37.251519999999999</v>
          </cell>
          <cell r="J228">
            <v>36.518203999999997</v>
          </cell>
          <cell r="K228">
            <v>36.590928999999996</v>
          </cell>
          <cell r="L228">
            <v>37.765228999999998</v>
          </cell>
          <cell r="M228">
            <v>38.9</v>
          </cell>
          <cell r="N228">
            <v>39.6</v>
          </cell>
          <cell r="O228">
            <v>39.5</v>
          </cell>
          <cell r="P228">
            <v>38.799999999999997</v>
          </cell>
          <cell r="Q228">
            <v>38.200000000000003</v>
          </cell>
          <cell r="R228">
            <v>37.200000000000003</v>
          </cell>
          <cell r="S228">
            <v>36.6</v>
          </cell>
          <cell r="T228">
            <v>37.045000000000002</v>
          </cell>
          <cell r="U228">
            <v>37.109800000000007</v>
          </cell>
          <cell r="V228">
            <v>37.174600000000005</v>
          </cell>
        </row>
        <row r="229">
          <cell r="B229" t="str">
            <v>JCG</v>
          </cell>
          <cell r="C229" t="str">
            <v>End of Year # Stores</v>
          </cell>
          <cell r="F229">
            <v>123</v>
          </cell>
          <cell r="G229">
            <v>146</v>
          </cell>
          <cell r="H229">
            <v>177</v>
          </cell>
          <cell r="I229">
            <v>194</v>
          </cell>
          <cell r="J229">
            <v>196</v>
          </cell>
          <cell r="K229">
            <v>197</v>
          </cell>
          <cell r="L229">
            <v>203</v>
          </cell>
          <cell r="M229">
            <v>227</v>
          </cell>
          <cell r="N229">
            <v>260</v>
          </cell>
          <cell r="O229">
            <v>300</v>
          </cell>
          <cell r="P229">
            <v>321</v>
          </cell>
          <cell r="Q229">
            <v>335</v>
          </cell>
          <cell r="R229">
            <v>366</v>
          </cell>
          <cell r="S229">
            <v>400</v>
          </cell>
          <cell r="T229">
            <v>435</v>
          </cell>
          <cell r="U229">
            <v>471</v>
          </cell>
          <cell r="V229">
            <v>8.88624888199654</v>
          </cell>
          <cell r="W229" t="str">
            <v xml:space="preserve">Est. Renewal + New </v>
          </cell>
        </row>
        <row r="230">
          <cell r="C230" t="str">
            <v>New Store Openings</v>
          </cell>
          <cell r="F230">
            <v>13</v>
          </cell>
          <cell r="G230">
            <v>23</v>
          </cell>
          <cell r="H230">
            <v>31</v>
          </cell>
          <cell r="I230">
            <v>17</v>
          </cell>
          <cell r="J230">
            <v>2</v>
          </cell>
          <cell r="K230">
            <v>1</v>
          </cell>
          <cell r="L230">
            <v>6</v>
          </cell>
          <cell r="M230">
            <v>24</v>
          </cell>
          <cell r="N230">
            <v>33</v>
          </cell>
          <cell r="O230">
            <v>40</v>
          </cell>
          <cell r="P230">
            <v>21</v>
          </cell>
          <cell r="Q230">
            <v>14</v>
          </cell>
          <cell r="R230">
            <v>31</v>
          </cell>
          <cell r="S230">
            <v>34</v>
          </cell>
          <cell r="T230">
            <v>35</v>
          </cell>
          <cell r="U230">
            <v>36</v>
          </cell>
          <cell r="W230" t="str">
            <v>Stores as % of Total</v>
          </cell>
        </row>
        <row r="231">
          <cell r="C231" t="str">
            <v xml:space="preserve">Stores Up for Negotation as a % of Total </v>
          </cell>
          <cell r="S231">
            <v>0.1275</v>
          </cell>
          <cell r="T231">
            <v>8.5057471264367815E-2</v>
          </cell>
          <cell r="U231">
            <v>7.8556263269639062E-2</v>
          </cell>
          <cell r="W231">
            <v>0.16361373453400688</v>
          </cell>
        </row>
        <row r="232">
          <cell r="B232" t="str">
            <v>KORS</v>
          </cell>
          <cell r="C232" t="str">
            <v>End of Year # Stores</v>
          </cell>
          <cell r="D232">
            <v>0</v>
          </cell>
          <cell r="E232">
            <v>0</v>
          </cell>
          <cell r="F232">
            <v>0</v>
          </cell>
          <cell r="G232">
            <v>0</v>
          </cell>
          <cell r="H232">
            <v>0</v>
          </cell>
          <cell r="I232">
            <v>0</v>
          </cell>
          <cell r="J232">
            <v>0</v>
          </cell>
          <cell r="K232">
            <v>0</v>
          </cell>
          <cell r="L232">
            <v>0</v>
          </cell>
          <cell r="M232">
            <v>0</v>
          </cell>
          <cell r="N232">
            <v>0</v>
          </cell>
          <cell r="O232">
            <v>74</v>
          </cell>
          <cell r="P232">
            <v>106</v>
          </cell>
          <cell r="Q232">
            <v>166</v>
          </cell>
          <cell r="R232">
            <v>237</v>
          </cell>
          <cell r="S232">
            <v>307</v>
          </cell>
          <cell r="T232">
            <v>379</v>
          </cell>
          <cell r="U232">
            <v>444</v>
          </cell>
          <cell r="V232">
            <v>504</v>
          </cell>
          <cell r="W232" t="str">
            <v xml:space="preserve">Est. Renewal + New </v>
          </cell>
        </row>
        <row r="233">
          <cell r="C233" t="str">
            <v>New Store Openings</v>
          </cell>
          <cell r="D233">
            <v>0</v>
          </cell>
          <cell r="E233">
            <v>0</v>
          </cell>
          <cell r="F233">
            <v>0</v>
          </cell>
          <cell r="G233">
            <v>0</v>
          </cell>
          <cell r="H233">
            <v>0</v>
          </cell>
          <cell r="I233">
            <v>0</v>
          </cell>
          <cell r="J233">
            <v>0</v>
          </cell>
          <cell r="K233">
            <v>0</v>
          </cell>
          <cell r="L233">
            <v>0</v>
          </cell>
          <cell r="M233">
            <v>0</v>
          </cell>
          <cell r="N233">
            <v>0</v>
          </cell>
          <cell r="O233">
            <v>74</v>
          </cell>
          <cell r="P233">
            <v>32</v>
          </cell>
          <cell r="Q233">
            <v>60</v>
          </cell>
          <cell r="R233">
            <v>71</v>
          </cell>
          <cell r="S233">
            <v>70</v>
          </cell>
          <cell r="T233">
            <v>72</v>
          </cell>
          <cell r="U233">
            <v>65</v>
          </cell>
          <cell r="V233">
            <v>60</v>
          </cell>
          <cell r="W233" t="str">
            <v>Stores as % of Total</v>
          </cell>
        </row>
        <row r="234">
          <cell r="C234" t="str">
            <v>Store Closings</v>
          </cell>
          <cell r="D234">
            <v>0</v>
          </cell>
          <cell r="E234">
            <v>0</v>
          </cell>
          <cell r="F234">
            <v>0</v>
          </cell>
          <cell r="G234">
            <v>0</v>
          </cell>
          <cell r="H234">
            <v>0</v>
          </cell>
          <cell r="I234">
            <v>0</v>
          </cell>
          <cell r="J234">
            <v>0</v>
          </cell>
          <cell r="K234">
            <v>0</v>
          </cell>
          <cell r="L234">
            <v>0</v>
          </cell>
          <cell r="M234">
            <v>0</v>
          </cell>
          <cell r="N234">
            <v>0</v>
          </cell>
          <cell r="O234">
            <v>0</v>
          </cell>
          <cell r="P234">
            <v>0</v>
          </cell>
          <cell r="Q234">
            <v>0</v>
          </cell>
          <cell r="R234">
            <v>0</v>
          </cell>
          <cell r="S234">
            <v>0</v>
          </cell>
          <cell r="T234">
            <v>0</v>
          </cell>
          <cell r="U234">
            <v>0</v>
          </cell>
          <cell r="V234">
            <v>0</v>
          </cell>
        </row>
        <row r="235">
          <cell r="C235" t="str">
            <v xml:space="preserve">Stores Up for Negotation as a % of Total </v>
          </cell>
          <cell r="T235">
            <v>0.18997361477572558</v>
          </cell>
          <cell r="U235">
            <v>0.1463963963963964</v>
          </cell>
          <cell r="V235">
            <v>0.11904761904761904</v>
          </cell>
          <cell r="W235">
            <v>0.45541763021974102</v>
          </cell>
        </row>
        <row r="236">
          <cell r="C236" t="str">
            <v>Gross Square Footage</v>
          </cell>
          <cell r="D236">
            <v>0</v>
          </cell>
          <cell r="E236">
            <v>0</v>
          </cell>
          <cell r="F236">
            <v>0</v>
          </cell>
          <cell r="G236">
            <v>0</v>
          </cell>
          <cell r="H236">
            <v>0</v>
          </cell>
          <cell r="I236">
            <v>0</v>
          </cell>
          <cell r="J236">
            <v>0</v>
          </cell>
          <cell r="K236">
            <v>0</v>
          </cell>
          <cell r="L236">
            <v>0</v>
          </cell>
          <cell r="M236">
            <v>0</v>
          </cell>
          <cell r="N236">
            <v>0</v>
          </cell>
          <cell r="O236">
            <v>0.186362</v>
          </cell>
          <cell r="P236">
            <v>0.26346800000000004</v>
          </cell>
          <cell r="Q236">
            <v>0.37071299999999996</v>
          </cell>
          <cell r="R236">
            <v>0.53605600000000009</v>
          </cell>
          <cell r="S236">
            <v>0.67179600000000006</v>
          </cell>
          <cell r="T236">
            <v>0.71599999999999997</v>
          </cell>
          <cell r="U236">
            <v>0.75420299999999996</v>
          </cell>
          <cell r="V236">
            <v>0.79125199999999996</v>
          </cell>
        </row>
        <row r="237">
          <cell r="B237" t="str">
            <v>LTD</v>
          </cell>
          <cell r="C237" t="str">
            <v>End of Year # Stores</v>
          </cell>
          <cell r="D237">
            <v>5640</v>
          </cell>
          <cell r="E237">
            <v>5382</v>
          </cell>
          <cell r="F237">
            <v>5023</v>
          </cell>
          <cell r="G237">
            <v>5129</v>
          </cell>
          <cell r="H237">
            <v>4614</v>
          </cell>
          <cell r="I237">
            <v>4036</v>
          </cell>
          <cell r="J237">
            <v>3911</v>
          </cell>
          <cell r="K237">
            <v>3779</v>
          </cell>
          <cell r="L237">
            <v>3590</v>
          </cell>
          <cell r="M237">
            <v>3766</v>
          </cell>
          <cell r="N237">
            <v>2926</v>
          </cell>
          <cell r="O237">
            <v>3014</v>
          </cell>
          <cell r="P237">
            <v>2971</v>
          </cell>
          <cell r="Q237">
            <v>2968</v>
          </cell>
          <cell r="R237">
            <v>2941</v>
          </cell>
          <cell r="S237">
            <v>2876</v>
          </cell>
          <cell r="T237">
            <v>2908</v>
          </cell>
          <cell r="U237">
            <v>2923</v>
          </cell>
          <cell r="V237">
            <v>2938</v>
          </cell>
          <cell r="W237" t="str">
            <v xml:space="preserve">Est. Renewal + New </v>
          </cell>
        </row>
        <row r="238">
          <cell r="C238" t="str">
            <v>New Store Openings</v>
          </cell>
          <cell r="D238">
            <v>315</v>
          </cell>
          <cell r="E238">
            <v>251</v>
          </cell>
          <cell r="F238">
            <v>295</v>
          </cell>
          <cell r="G238">
            <v>330</v>
          </cell>
          <cell r="H238">
            <v>282</v>
          </cell>
          <cell r="I238">
            <v>108</v>
          </cell>
          <cell r="J238">
            <v>25</v>
          </cell>
          <cell r="K238">
            <v>39</v>
          </cell>
          <cell r="L238">
            <v>50</v>
          </cell>
          <cell r="M238">
            <v>343</v>
          </cell>
          <cell r="N238">
            <v>129</v>
          </cell>
          <cell r="O238">
            <v>146</v>
          </cell>
          <cell r="P238">
            <v>59</v>
          </cell>
          <cell r="Q238">
            <v>43</v>
          </cell>
          <cell r="R238">
            <v>40</v>
          </cell>
          <cell r="S238">
            <v>48</v>
          </cell>
          <cell r="T238">
            <v>80</v>
          </cell>
          <cell r="U238">
            <v>55</v>
          </cell>
          <cell r="V238">
            <v>55</v>
          </cell>
          <cell r="W238" t="str">
            <v>Stores as % of Total</v>
          </cell>
        </row>
        <row r="239">
          <cell r="C239" t="str">
            <v>Store Closings</v>
          </cell>
          <cell r="D239">
            <v>304</v>
          </cell>
          <cell r="E239">
            <v>350</v>
          </cell>
          <cell r="F239">
            <v>303</v>
          </cell>
          <cell r="G239">
            <v>224</v>
          </cell>
          <cell r="H239">
            <v>146</v>
          </cell>
          <cell r="I239">
            <v>174</v>
          </cell>
          <cell r="J239">
            <v>150</v>
          </cell>
          <cell r="K239">
            <v>171</v>
          </cell>
          <cell r="L239">
            <v>239</v>
          </cell>
          <cell r="M239">
            <v>167</v>
          </cell>
          <cell r="N239">
            <v>45</v>
          </cell>
          <cell r="O239">
            <v>58</v>
          </cell>
          <cell r="P239">
            <v>102</v>
          </cell>
          <cell r="Q239">
            <v>46</v>
          </cell>
          <cell r="R239">
            <v>67</v>
          </cell>
          <cell r="S239">
            <v>113</v>
          </cell>
          <cell r="T239">
            <v>48</v>
          </cell>
          <cell r="U239">
            <v>40</v>
          </cell>
          <cell r="V239">
            <v>40</v>
          </cell>
        </row>
        <row r="240">
          <cell r="C240" t="str">
            <v xml:space="preserve">Stores Up for Negotation as a % of Total </v>
          </cell>
          <cell r="T240">
            <v>3.6107290233837692E-2</v>
          </cell>
          <cell r="U240">
            <v>3.215874101950051E-2</v>
          </cell>
          <cell r="V240">
            <v>3.5738597685500341E-2</v>
          </cell>
          <cell r="W240">
            <v>0.10400462893883855</v>
          </cell>
        </row>
        <row r="241">
          <cell r="C241" t="str">
            <v>Gross Square Footage</v>
          </cell>
          <cell r="D241">
            <v>35.5</v>
          </cell>
          <cell r="E241">
            <v>32.895000000000003</v>
          </cell>
          <cell r="F241">
            <v>29.49</v>
          </cell>
          <cell r="G241">
            <v>29.03</v>
          </cell>
          <cell r="H241">
            <v>25.182500000000001</v>
          </cell>
          <cell r="I241">
            <v>20.37125</v>
          </cell>
          <cell r="J241">
            <v>20.047499999999999</v>
          </cell>
          <cell r="K241">
            <v>19.751249999999999</v>
          </cell>
          <cell r="L241">
            <v>19.164999999999999</v>
          </cell>
          <cell r="M241">
            <v>18.463750000000001</v>
          </cell>
          <cell r="N241">
            <v>12.887499999999999</v>
          </cell>
          <cell r="O241">
            <v>13.6225</v>
          </cell>
          <cell r="P241">
            <v>13.6675</v>
          </cell>
          <cell r="Q241">
            <v>13.71875</v>
          </cell>
          <cell r="R241">
            <v>13.6775</v>
          </cell>
          <cell r="S241">
            <v>13.561249999999999</v>
          </cell>
          <cell r="T241">
            <v>13.93375</v>
          </cell>
          <cell r="U241">
            <v>14.506425620000002</v>
          </cell>
          <cell r="V241">
            <v>14.705800620000002</v>
          </cell>
        </row>
        <row r="242">
          <cell r="B242" t="str">
            <v>LULU</v>
          </cell>
          <cell r="C242" t="str">
            <v>End of Year # Stores</v>
          </cell>
          <cell r="D242">
            <v>0</v>
          </cell>
          <cell r="E242">
            <v>0</v>
          </cell>
          <cell r="F242">
            <v>0</v>
          </cell>
          <cell r="G242">
            <v>0</v>
          </cell>
          <cell r="H242">
            <v>0</v>
          </cell>
          <cell r="I242">
            <v>12</v>
          </cell>
          <cell r="J242">
            <v>17</v>
          </cell>
          <cell r="K242">
            <v>24</v>
          </cell>
          <cell r="L242">
            <v>37</v>
          </cell>
          <cell r="M242">
            <v>51</v>
          </cell>
          <cell r="N242">
            <v>81</v>
          </cell>
          <cell r="O242">
            <v>113</v>
          </cell>
          <cell r="P242">
            <v>124</v>
          </cell>
          <cell r="Q242">
            <v>133</v>
          </cell>
          <cell r="R242">
            <v>174</v>
          </cell>
          <cell r="S242">
            <v>211</v>
          </cell>
          <cell r="T242">
            <v>254</v>
          </cell>
          <cell r="U242">
            <v>293</v>
          </cell>
          <cell r="V242">
            <v>332</v>
          </cell>
          <cell r="W242" t="str">
            <v xml:space="preserve">Est. Renewal + New </v>
          </cell>
        </row>
        <row r="243">
          <cell r="C243" t="str">
            <v>New Store Openings</v>
          </cell>
          <cell r="D243">
            <v>0</v>
          </cell>
          <cell r="E243">
            <v>0</v>
          </cell>
          <cell r="F243">
            <v>0</v>
          </cell>
          <cell r="G243">
            <v>0</v>
          </cell>
          <cell r="H243">
            <v>0</v>
          </cell>
          <cell r="I243">
            <v>12</v>
          </cell>
          <cell r="J243">
            <v>5</v>
          </cell>
          <cell r="K243">
            <v>7</v>
          </cell>
          <cell r="L243">
            <v>13</v>
          </cell>
          <cell r="M243">
            <v>14</v>
          </cell>
          <cell r="N243">
            <v>30</v>
          </cell>
          <cell r="O243">
            <v>33</v>
          </cell>
          <cell r="P243">
            <v>12</v>
          </cell>
          <cell r="Q243">
            <v>10</v>
          </cell>
          <cell r="R243">
            <v>42</v>
          </cell>
          <cell r="S243">
            <v>38</v>
          </cell>
          <cell r="T243">
            <v>44</v>
          </cell>
          <cell r="U243">
            <v>40</v>
          </cell>
          <cell r="V243">
            <v>40</v>
          </cell>
          <cell r="W243" t="str">
            <v>Stores as % of Total</v>
          </cell>
        </row>
        <row r="244">
          <cell r="C244" t="str">
            <v>Store Closings</v>
          </cell>
          <cell r="G244">
            <v>0</v>
          </cell>
          <cell r="H244">
            <v>0</v>
          </cell>
          <cell r="I244">
            <v>0</v>
          </cell>
          <cell r="J244">
            <v>0</v>
          </cell>
          <cell r="K244">
            <v>0</v>
          </cell>
          <cell r="L244">
            <v>0</v>
          </cell>
          <cell r="M244">
            <v>0</v>
          </cell>
          <cell r="N244">
            <v>0</v>
          </cell>
          <cell r="O244">
            <v>1</v>
          </cell>
          <cell r="P244">
            <v>1</v>
          </cell>
          <cell r="Q244">
            <v>1</v>
          </cell>
          <cell r="R244">
            <v>1</v>
          </cell>
          <cell r="S244">
            <v>1</v>
          </cell>
          <cell r="T244">
            <v>1</v>
          </cell>
          <cell r="U244">
            <v>1</v>
          </cell>
          <cell r="V244">
            <v>1</v>
          </cell>
        </row>
        <row r="245">
          <cell r="C245" t="str">
            <v xml:space="preserve">Stores Up for Negotation as a % of Total </v>
          </cell>
          <cell r="T245">
            <v>0.19291338582677164</v>
          </cell>
          <cell r="U245">
            <v>0.16040955631399317</v>
          </cell>
          <cell r="V245">
            <v>0.15963855421686746</v>
          </cell>
          <cell r="W245">
            <v>0.51296149635763233</v>
          </cell>
        </row>
        <row r="246">
          <cell r="C246" t="str">
            <v>Gross Square Footage</v>
          </cell>
          <cell r="F246" t="str">
            <v>NA</v>
          </cell>
          <cell r="G246" t="str">
            <v>NA</v>
          </cell>
          <cell r="H246" t="str">
            <v>NA</v>
          </cell>
          <cell r="I246" t="str">
            <v>NA</v>
          </cell>
          <cell r="J246" t="str">
            <v>NA</v>
          </cell>
          <cell r="K246" t="str">
            <v>NA</v>
          </cell>
          <cell r="L246">
            <v>7.8299999999999995E-2</v>
          </cell>
          <cell r="M246">
            <v>0.11890000000000001</v>
          </cell>
          <cell r="N246">
            <v>0.2059</v>
          </cell>
          <cell r="O246">
            <v>0.28839999999999999</v>
          </cell>
          <cell r="P246">
            <v>0.31416000000000005</v>
          </cell>
          <cell r="Q246">
            <v>0.374</v>
          </cell>
          <cell r="R246">
            <v>0.49399999999999999</v>
          </cell>
          <cell r="S246">
            <v>0.60199999999999998</v>
          </cell>
          <cell r="T246">
            <v>0.72468246445497619</v>
          </cell>
          <cell r="U246">
            <v>0.83868246445497618</v>
          </cell>
          <cell r="V246">
            <v>0.95168246445497617</v>
          </cell>
        </row>
        <row r="247">
          <cell r="B247" t="str">
            <v>PLCE</v>
          </cell>
          <cell r="C247" t="str">
            <v>End of Year # Stores</v>
          </cell>
          <cell r="D247">
            <v>155</v>
          </cell>
          <cell r="E247">
            <v>209</v>
          </cell>
          <cell r="F247">
            <v>293</v>
          </cell>
          <cell r="G247">
            <v>400</v>
          </cell>
          <cell r="H247">
            <v>520</v>
          </cell>
          <cell r="I247">
            <v>643</v>
          </cell>
          <cell r="J247">
            <v>691</v>
          </cell>
          <cell r="K247">
            <v>750</v>
          </cell>
          <cell r="L247">
            <v>802</v>
          </cell>
          <cell r="M247">
            <v>866</v>
          </cell>
          <cell r="N247">
            <v>904</v>
          </cell>
          <cell r="O247">
            <v>917</v>
          </cell>
          <cell r="P247">
            <v>947</v>
          </cell>
          <cell r="Q247">
            <v>995</v>
          </cell>
          <cell r="R247">
            <v>1049</v>
          </cell>
          <cell r="S247">
            <v>1095</v>
          </cell>
          <cell r="T247">
            <v>1140</v>
          </cell>
          <cell r="U247">
            <v>1135</v>
          </cell>
          <cell r="V247">
            <v>1105</v>
          </cell>
          <cell r="W247" t="str">
            <v xml:space="preserve">Est. Renewal + New </v>
          </cell>
        </row>
        <row r="248">
          <cell r="C248" t="str">
            <v>New Store Openings</v>
          </cell>
          <cell r="D248">
            <v>47</v>
          </cell>
          <cell r="E248">
            <v>54</v>
          </cell>
          <cell r="F248">
            <v>84</v>
          </cell>
          <cell r="G248">
            <v>108</v>
          </cell>
          <cell r="H248">
            <v>121</v>
          </cell>
          <cell r="I248">
            <v>126</v>
          </cell>
          <cell r="J248">
            <v>53</v>
          </cell>
          <cell r="K248">
            <v>62</v>
          </cell>
          <cell r="L248">
            <v>70</v>
          </cell>
          <cell r="M248">
            <v>88</v>
          </cell>
          <cell r="N248">
            <v>69</v>
          </cell>
          <cell r="O248">
            <v>40</v>
          </cell>
          <cell r="P248">
            <v>45</v>
          </cell>
          <cell r="Q248">
            <v>67</v>
          </cell>
          <cell r="R248">
            <v>88</v>
          </cell>
          <cell r="S248">
            <v>64</v>
          </cell>
          <cell r="T248">
            <v>55</v>
          </cell>
          <cell r="U248">
            <v>25</v>
          </cell>
          <cell r="V248">
            <v>0</v>
          </cell>
          <cell r="W248" t="str">
            <v>Stores as % of Total</v>
          </cell>
        </row>
        <row r="249">
          <cell r="C249" t="str">
            <v>Store Closings</v>
          </cell>
          <cell r="D249">
            <v>0</v>
          </cell>
          <cell r="E249">
            <v>0</v>
          </cell>
          <cell r="F249">
            <v>0</v>
          </cell>
          <cell r="G249">
            <v>1</v>
          </cell>
          <cell r="H249">
            <v>1</v>
          </cell>
          <cell r="I249">
            <v>3</v>
          </cell>
          <cell r="J249">
            <v>5</v>
          </cell>
          <cell r="K249">
            <v>3</v>
          </cell>
          <cell r="L249">
            <v>7</v>
          </cell>
          <cell r="M249">
            <v>13</v>
          </cell>
          <cell r="N249">
            <v>24</v>
          </cell>
          <cell r="O249">
            <v>14</v>
          </cell>
          <cell r="P249">
            <v>6</v>
          </cell>
          <cell r="Q249">
            <v>19</v>
          </cell>
          <cell r="R249">
            <v>34</v>
          </cell>
          <cell r="S249">
            <v>18</v>
          </cell>
          <cell r="T249">
            <v>10</v>
          </cell>
          <cell r="U249">
            <v>30</v>
          </cell>
          <cell r="V249">
            <v>30</v>
          </cell>
        </row>
        <row r="250">
          <cell r="C250" t="str">
            <v xml:space="preserve">Stores Up for Negotation as a % of Total </v>
          </cell>
          <cell r="T250">
            <v>9.4736842105263161E-2</v>
          </cell>
          <cell r="U250">
            <v>7.6651982378854622E-2</v>
          </cell>
          <cell r="V250">
            <v>6.3348416289592757E-2</v>
          </cell>
          <cell r="W250">
            <v>0.23473724077371055</v>
          </cell>
        </row>
        <row r="251">
          <cell r="C251" t="str">
            <v>Gross Square Footage</v>
          </cell>
          <cell r="D251">
            <v>0.63906499999999999</v>
          </cell>
          <cell r="E251">
            <v>0.84749499999999989</v>
          </cell>
          <cell r="F251">
            <v>1.2130000000000001</v>
          </cell>
          <cell r="G251">
            <v>1.6679999999999999</v>
          </cell>
          <cell r="H251">
            <v>2.2400000000000002</v>
          </cell>
          <cell r="I251">
            <v>2.8340000000000001</v>
          </cell>
          <cell r="J251">
            <v>3.081</v>
          </cell>
          <cell r="K251">
            <v>3.3959999999999999</v>
          </cell>
          <cell r="L251">
            <v>3.6379999999999999</v>
          </cell>
          <cell r="M251">
            <v>4.024</v>
          </cell>
          <cell r="N251">
            <v>4.2779999999999996</v>
          </cell>
          <cell r="O251">
            <v>4.5100509999999998</v>
          </cell>
          <cell r="P251">
            <v>4.7015260000000003</v>
          </cell>
          <cell r="Q251">
            <v>4.9186930000000002</v>
          </cell>
          <cell r="R251">
            <v>5.1427430000000003</v>
          </cell>
          <cell r="S251">
            <v>5.3267430000000004</v>
          </cell>
          <cell r="T251">
            <v>5.4617430000000002</v>
          </cell>
          <cell r="U251">
            <v>5.4467430000000006</v>
          </cell>
          <cell r="V251">
            <v>5.3567430000000007</v>
          </cell>
        </row>
        <row r="252">
          <cell r="B252" t="str">
            <v>ROST</v>
          </cell>
          <cell r="C252" t="str">
            <v>End of Year # Stores</v>
          </cell>
          <cell r="D252">
            <v>325</v>
          </cell>
          <cell r="E252">
            <v>349</v>
          </cell>
          <cell r="F252">
            <v>378</v>
          </cell>
          <cell r="G252">
            <v>409</v>
          </cell>
          <cell r="H252">
            <v>452</v>
          </cell>
          <cell r="I252">
            <v>507</v>
          </cell>
          <cell r="J252">
            <v>568</v>
          </cell>
          <cell r="K252">
            <v>649</v>
          </cell>
          <cell r="L252">
            <v>734</v>
          </cell>
          <cell r="M252">
            <v>797</v>
          </cell>
          <cell r="N252">
            <v>890</v>
          </cell>
          <cell r="O252">
            <v>956</v>
          </cell>
          <cell r="P252">
            <v>1005</v>
          </cell>
          <cell r="Q252">
            <v>1055</v>
          </cell>
          <cell r="R252">
            <v>1125</v>
          </cell>
          <cell r="S252">
            <v>1199</v>
          </cell>
          <cell r="T252">
            <v>1271</v>
          </cell>
          <cell r="U252">
            <v>1343</v>
          </cell>
          <cell r="V252">
            <v>1415</v>
          </cell>
          <cell r="W252" t="str">
            <v xml:space="preserve">Est. Renewal + New </v>
          </cell>
        </row>
        <row r="253">
          <cell r="C253" t="str">
            <v>New Store Openings</v>
          </cell>
          <cell r="D253">
            <v>17</v>
          </cell>
          <cell r="E253">
            <v>26</v>
          </cell>
          <cell r="F253">
            <v>34</v>
          </cell>
          <cell r="G253">
            <v>34</v>
          </cell>
          <cell r="H253">
            <v>45</v>
          </cell>
          <cell r="I253">
            <v>60</v>
          </cell>
          <cell r="J253">
            <v>66</v>
          </cell>
          <cell r="K253">
            <v>84</v>
          </cell>
          <cell r="L253">
            <v>86</v>
          </cell>
          <cell r="M253">
            <v>66</v>
          </cell>
          <cell r="N253">
            <v>97</v>
          </cell>
          <cell r="O253">
            <v>77</v>
          </cell>
          <cell r="P253">
            <v>56</v>
          </cell>
          <cell r="Q253">
            <v>56</v>
          </cell>
          <cell r="R253">
            <v>78</v>
          </cell>
          <cell r="S253">
            <v>82</v>
          </cell>
          <cell r="T253">
            <v>82</v>
          </cell>
          <cell r="U253">
            <v>82</v>
          </cell>
          <cell r="V253">
            <v>82</v>
          </cell>
          <cell r="W253" t="str">
            <v>Stores as % of Total</v>
          </cell>
        </row>
        <row r="254">
          <cell r="C254" t="str">
            <v>Store Closings</v>
          </cell>
          <cell r="D254">
            <v>1</v>
          </cell>
          <cell r="E254">
            <v>2</v>
          </cell>
          <cell r="F254">
            <v>5</v>
          </cell>
          <cell r="G254">
            <v>3</v>
          </cell>
          <cell r="H254">
            <v>2</v>
          </cell>
          <cell r="I254">
            <v>5</v>
          </cell>
          <cell r="J254">
            <v>5</v>
          </cell>
          <cell r="K254">
            <v>3</v>
          </cell>
          <cell r="L254">
            <v>1</v>
          </cell>
          <cell r="M254">
            <v>3</v>
          </cell>
          <cell r="N254">
            <v>4</v>
          </cell>
          <cell r="O254">
            <v>11</v>
          </cell>
          <cell r="P254">
            <v>7</v>
          </cell>
          <cell r="Q254">
            <v>6</v>
          </cell>
          <cell r="R254">
            <v>8</v>
          </cell>
          <cell r="S254">
            <v>8</v>
          </cell>
          <cell r="T254">
            <v>10</v>
          </cell>
          <cell r="U254">
            <v>10</v>
          </cell>
          <cell r="V254">
            <v>10</v>
          </cell>
        </row>
        <row r="255">
          <cell r="C255" t="str">
            <v xml:space="preserve">Stores Up for Negotation as a % of Total </v>
          </cell>
          <cell r="T255">
            <v>0.11644374508261211</v>
          </cell>
          <cell r="U255">
            <v>0.12360387192851824</v>
          </cell>
          <cell r="V255">
            <v>0.11872791519434629</v>
          </cell>
          <cell r="W255">
            <v>0.35877553220547664</v>
          </cell>
        </row>
        <row r="256">
          <cell r="C256" t="str">
            <v>Gross Square Footage</v>
          </cell>
          <cell r="D256">
            <v>8.9644999999999975</v>
          </cell>
          <cell r="E256">
            <v>9.7712500000000002</v>
          </cell>
          <cell r="F256">
            <v>10.692500000000001</v>
          </cell>
          <cell r="G256">
            <v>11.6625</v>
          </cell>
          <cell r="H256">
            <v>13.105</v>
          </cell>
          <cell r="I256">
            <v>14.803750000000001</v>
          </cell>
          <cell r="J256">
            <v>16.651250000000001</v>
          </cell>
          <cell r="K256">
            <v>19.06625</v>
          </cell>
          <cell r="L256">
            <v>21.64875</v>
          </cell>
          <cell r="M256">
            <v>23.302499999999998</v>
          </cell>
          <cell r="N256">
            <v>26.375</v>
          </cell>
          <cell r="O256">
            <v>28.125</v>
          </cell>
          <cell r="P256">
            <v>29.625</v>
          </cell>
          <cell r="Q256">
            <v>31</v>
          </cell>
          <cell r="R256">
            <v>32.952300000000001</v>
          </cell>
          <cell r="S256">
            <v>35.0105</v>
          </cell>
          <cell r="T256">
            <v>37.010100000000001</v>
          </cell>
          <cell r="U256">
            <v>39.009700000000002</v>
          </cell>
          <cell r="V256">
            <v>41.009300000000003</v>
          </cell>
        </row>
        <row r="257">
          <cell r="B257" t="str">
            <v>TEA</v>
          </cell>
          <cell r="C257" t="str">
            <v>End of Year # Stores</v>
          </cell>
          <cell r="D257">
            <v>0</v>
          </cell>
          <cell r="E257">
            <v>0</v>
          </cell>
          <cell r="F257">
            <v>0</v>
          </cell>
          <cell r="G257">
            <v>0</v>
          </cell>
          <cell r="H257">
            <v>0</v>
          </cell>
          <cell r="I257">
            <v>0</v>
          </cell>
          <cell r="J257">
            <v>0</v>
          </cell>
          <cell r="K257">
            <v>0</v>
          </cell>
          <cell r="L257">
            <v>0</v>
          </cell>
          <cell r="M257">
            <v>47</v>
          </cell>
          <cell r="N257">
            <v>59</v>
          </cell>
          <cell r="O257">
            <v>87</v>
          </cell>
          <cell r="P257">
            <v>108</v>
          </cell>
          <cell r="Q257">
            <v>146</v>
          </cell>
          <cell r="R257">
            <v>200</v>
          </cell>
          <cell r="S257">
            <v>306</v>
          </cell>
          <cell r="T257">
            <v>386</v>
          </cell>
          <cell r="U257">
            <v>466</v>
          </cell>
          <cell r="V257">
            <v>546</v>
          </cell>
          <cell r="W257" t="str">
            <v xml:space="preserve">Est. Renewal + New </v>
          </cell>
        </row>
        <row r="258">
          <cell r="C258" t="str">
            <v>New Store Openings</v>
          </cell>
          <cell r="D258">
            <v>0</v>
          </cell>
          <cell r="E258">
            <v>0</v>
          </cell>
          <cell r="F258">
            <v>0</v>
          </cell>
          <cell r="G258">
            <v>0</v>
          </cell>
          <cell r="H258">
            <v>0</v>
          </cell>
          <cell r="I258">
            <v>0</v>
          </cell>
          <cell r="J258">
            <v>0</v>
          </cell>
          <cell r="K258">
            <v>0</v>
          </cell>
          <cell r="L258">
            <v>0</v>
          </cell>
          <cell r="M258">
            <v>47</v>
          </cell>
          <cell r="N258">
            <v>12</v>
          </cell>
          <cell r="O258">
            <v>28</v>
          </cell>
          <cell r="P258">
            <v>21</v>
          </cell>
          <cell r="Q258">
            <v>38</v>
          </cell>
          <cell r="R258">
            <v>54</v>
          </cell>
          <cell r="S258">
            <v>106</v>
          </cell>
          <cell r="T258">
            <v>80</v>
          </cell>
          <cell r="U258">
            <v>80</v>
          </cell>
          <cell r="V258">
            <v>80</v>
          </cell>
          <cell r="W258" t="str">
            <v>Stores as % of Total</v>
          </cell>
        </row>
        <row r="259">
          <cell r="C259" t="str">
            <v>Store Closings</v>
          </cell>
          <cell r="D259">
            <v>0</v>
          </cell>
          <cell r="E259">
            <v>0</v>
          </cell>
          <cell r="F259">
            <v>0</v>
          </cell>
          <cell r="G259">
            <v>0</v>
          </cell>
          <cell r="H259">
            <v>0</v>
          </cell>
          <cell r="I259">
            <v>0</v>
          </cell>
          <cell r="J259">
            <v>0</v>
          </cell>
          <cell r="K259">
            <v>0</v>
          </cell>
          <cell r="L259">
            <v>0</v>
          </cell>
          <cell r="M259">
            <v>0</v>
          </cell>
          <cell r="N259">
            <v>0</v>
          </cell>
          <cell r="O259">
            <v>0</v>
          </cell>
          <cell r="P259">
            <v>0</v>
          </cell>
          <cell r="Q259">
            <v>0</v>
          </cell>
          <cell r="R259">
            <v>0</v>
          </cell>
          <cell r="S259">
            <v>0</v>
          </cell>
          <cell r="T259">
            <v>0</v>
          </cell>
          <cell r="U259">
            <v>0</v>
          </cell>
          <cell r="V259">
            <v>0</v>
          </cell>
        </row>
        <row r="260">
          <cell r="C260" t="str">
            <v xml:space="preserve">Stores Up for Negotation as a % of Total </v>
          </cell>
          <cell r="T260">
            <v>0.20725388601036268</v>
          </cell>
          <cell r="U260">
            <v>0.17167381974248927</v>
          </cell>
          <cell r="V260">
            <v>0.14652014652014653</v>
          </cell>
          <cell r="W260">
            <v>0.52544785227299851</v>
          </cell>
        </row>
        <row r="261">
          <cell r="C261" t="str">
            <v>Gross Square Footage</v>
          </cell>
          <cell r="D261">
            <v>0</v>
          </cell>
          <cell r="E261">
            <v>0</v>
          </cell>
          <cell r="F261">
            <v>0</v>
          </cell>
          <cell r="G261">
            <v>0</v>
          </cell>
          <cell r="H261">
            <v>0</v>
          </cell>
          <cell r="I261">
            <v>0</v>
          </cell>
          <cell r="J261">
            <v>0</v>
          </cell>
          <cell r="K261">
            <v>0</v>
          </cell>
          <cell r="L261">
            <v>0</v>
          </cell>
          <cell r="M261">
            <v>4.2999999999999997E-2</v>
          </cell>
          <cell r="N261">
            <v>5.3999999999999999E-2</v>
          </cell>
          <cell r="O261">
            <v>7.6999999999999999E-2</v>
          </cell>
          <cell r="P261">
            <v>9.5000000000000001E-2</v>
          </cell>
          <cell r="Q261">
            <v>0.13</v>
          </cell>
          <cell r="R261">
            <v>0.18021999999999999</v>
          </cell>
          <cell r="S261">
            <v>0.27879999999999999</v>
          </cell>
          <cell r="T261">
            <v>0.35320000000000007</v>
          </cell>
          <cell r="U261">
            <v>0.42760000000000004</v>
          </cell>
          <cell r="V261">
            <v>0.502</v>
          </cell>
        </row>
        <row r="262">
          <cell r="B262" t="str">
            <v>TIF</v>
          </cell>
          <cell r="C262" t="str">
            <v>End of Year # Stores</v>
          </cell>
          <cell r="D262">
            <v>96</v>
          </cell>
          <cell r="E262">
            <v>104</v>
          </cell>
          <cell r="F262">
            <v>110</v>
          </cell>
          <cell r="G262">
            <v>119</v>
          </cell>
          <cell r="H262">
            <v>126</v>
          </cell>
          <cell r="I262">
            <v>131</v>
          </cell>
          <cell r="J262">
            <v>141</v>
          </cell>
          <cell r="K262">
            <v>151</v>
          </cell>
          <cell r="L262">
            <v>154</v>
          </cell>
          <cell r="M262">
            <v>167</v>
          </cell>
          <cell r="N262">
            <v>184</v>
          </cell>
          <cell r="O262">
            <v>210</v>
          </cell>
          <cell r="P262">
            <v>224</v>
          </cell>
          <cell r="Q262">
            <v>233</v>
          </cell>
          <cell r="R262">
            <v>248</v>
          </cell>
          <cell r="S262">
            <v>276</v>
          </cell>
          <cell r="T262">
            <v>298</v>
          </cell>
          <cell r="U262">
            <v>320</v>
          </cell>
          <cell r="V262">
            <v>342</v>
          </cell>
          <cell r="W262" t="str">
            <v xml:space="preserve">Est. Renewal + New </v>
          </cell>
        </row>
        <row r="263">
          <cell r="C263" t="str">
            <v>New Store Openings</v>
          </cell>
          <cell r="D263">
            <v>15</v>
          </cell>
          <cell r="E263">
            <v>8</v>
          </cell>
          <cell r="F263">
            <v>6</v>
          </cell>
          <cell r="G263">
            <v>9</v>
          </cell>
          <cell r="H263">
            <v>7</v>
          </cell>
          <cell r="I263">
            <v>6</v>
          </cell>
          <cell r="J263">
            <v>10</v>
          </cell>
          <cell r="K263">
            <v>10</v>
          </cell>
          <cell r="L263">
            <v>6</v>
          </cell>
          <cell r="M263">
            <v>13</v>
          </cell>
          <cell r="N263">
            <v>17</v>
          </cell>
          <cell r="O263">
            <v>22</v>
          </cell>
          <cell r="P263">
            <v>14</v>
          </cell>
          <cell r="Q263">
            <v>10</v>
          </cell>
          <cell r="R263">
            <v>15</v>
          </cell>
          <cell r="S263">
            <v>28</v>
          </cell>
          <cell r="T263">
            <v>22</v>
          </cell>
          <cell r="U263">
            <v>22</v>
          </cell>
          <cell r="V263">
            <v>22</v>
          </cell>
          <cell r="W263" t="str">
            <v>Stores as % of Total</v>
          </cell>
        </row>
        <row r="264">
          <cell r="C264" t="str">
            <v>Store Closings</v>
          </cell>
          <cell r="D264">
            <v>0</v>
          </cell>
          <cell r="E264">
            <v>0</v>
          </cell>
          <cell r="F264">
            <v>0</v>
          </cell>
          <cell r="G264">
            <v>0</v>
          </cell>
          <cell r="H264">
            <v>0</v>
          </cell>
          <cell r="I264">
            <v>1</v>
          </cell>
          <cell r="J264">
            <v>0</v>
          </cell>
          <cell r="K264">
            <v>0</v>
          </cell>
          <cell r="L264">
            <v>3</v>
          </cell>
          <cell r="M264">
            <v>0</v>
          </cell>
          <cell r="N264">
            <v>0</v>
          </cell>
          <cell r="O264">
            <v>0</v>
          </cell>
          <cell r="P264">
            <v>0</v>
          </cell>
          <cell r="Q264">
            <v>1</v>
          </cell>
          <cell r="R264">
            <v>0</v>
          </cell>
          <cell r="S264">
            <v>0</v>
          </cell>
          <cell r="T264">
            <v>0</v>
          </cell>
          <cell r="U264">
            <v>0</v>
          </cell>
          <cell r="V264">
            <v>0</v>
          </cell>
        </row>
        <row r="265">
          <cell r="C265" t="str">
            <v xml:space="preserve">Stores Up for Negotation as a % of Total </v>
          </cell>
          <cell r="T265">
            <v>0.10738255033557047</v>
          </cell>
          <cell r="U265">
            <v>0.1</v>
          </cell>
          <cell r="V265">
            <v>8.1871345029239762E-2</v>
          </cell>
          <cell r="W265">
            <v>0.28925389536481022</v>
          </cell>
        </row>
        <row r="266">
          <cell r="C266" t="str">
            <v>Gross Square Footage</v>
          </cell>
          <cell r="D266">
            <v>0.43045</v>
          </cell>
          <cell r="E266">
            <v>0.47145000000000004</v>
          </cell>
          <cell r="F266">
            <v>0.51644999999999996</v>
          </cell>
          <cell r="G266">
            <v>0.56045</v>
          </cell>
          <cell r="H266">
            <v>0.60899999999999999</v>
          </cell>
          <cell r="I266">
            <v>0.64200000000000002</v>
          </cell>
          <cell r="J266">
            <v>0.67199999999999993</v>
          </cell>
          <cell r="K266">
            <v>0.72499999999999998</v>
          </cell>
          <cell r="L266">
            <v>0.745</v>
          </cell>
          <cell r="M266">
            <v>0.79200000000000004</v>
          </cell>
          <cell r="N266">
            <v>0.86</v>
          </cell>
          <cell r="O266">
            <v>0.93500000000000005</v>
          </cell>
          <cell r="P266">
            <v>0.98220000000000007</v>
          </cell>
          <cell r="Q266">
            <v>1.0390999999999999</v>
          </cell>
          <cell r="R266">
            <v>1.0667</v>
          </cell>
          <cell r="S266">
            <v>1.1520000000000001</v>
          </cell>
          <cell r="T266">
            <v>1.2075</v>
          </cell>
          <cell r="U266">
            <v>1.2594000000000001</v>
          </cell>
          <cell r="V266">
            <v>1.3113000000000001</v>
          </cell>
        </row>
        <row r="267">
          <cell r="B267" t="str">
            <v>TJX</v>
          </cell>
          <cell r="C267" t="str">
            <v>End of Year # Stores</v>
          </cell>
          <cell r="D267">
            <v>1171</v>
          </cell>
          <cell r="E267">
            <v>1246</v>
          </cell>
          <cell r="F267">
            <v>1357</v>
          </cell>
          <cell r="G267">
            <v>1493</v>
          </cell>
          <cell r="H267">
            <v>1665</v>
          </cell>
          <cell r="I267">
            <v>1843</v>
          </cell>
          <cell r="J267">
            <v>2062</v>
          </cell>
          <cell r="K267">
            <v>2224</v>
          </cell>
          <cell r="L267">
            <v>2381</v>
          </cell>
          <cell r="M267">
            <v>2466</v>
          </cell>
          <cell r="N267">
            <v>2563</v>
          </cell>
          <cell r="O267">
            <v>2652</v>
          </cell>
          <cell r="P267">
            <v>2743</v>
          </cell>
          <cell r="Q267">
            <v>2859</v>
          </cell>
          <cell r="R267">
            <v>2905</v>
          </cell>
          <cell r="S267">
            <v>3050</v>
          </cell>
          <cell r="T267">
            <v>3200</v>
          </cell>
          <cell r="U267">
            <v>3357</v>
          </cell>
          <cell r="V267">
            <v>3514</v>
          </cell>
          <cell r="W267" t="str">
            <v xml:space="preserve">Est. Renewal + New </v>
          </cell>
        </row>
        <row r="268">
          <cell r="C268" t="str">
            <v>New Store Openings</v>
          </cell>
          <cell r="D268">
            <v>35</v>
          </cell>
          <cell r="E268">
            <v>75</v>
          </cell>
          <cell r="F268">
            <v>111</v>
          </cell>
          <cell r="G268">
            <v>136</v>
          </cell>
          <cell r="H268">
            <v>172</v>
          </cell>
          <cell r="I268">
            <v>178</v>
          </cell>
          <cell r="J268">
            <v>219</v>
          </cell>
          <cell r="K268">
            <v>162</v>
          </cell>
          <cell r="L268">
            <v>157</v>
          </cell>
          <cell r="M268">
            <v>85</v>
          </cell>
          <cell r="N268">
            <v>97</v>
          </cell>
          <cell r="O268">
            <v>123</v>
          </cell>
          <cell r="P268">
            <v>91</v>
          </cell>
          <cell r="Q268">
            <v>116</v>
          </cell>
          <cell r="R268">
            <v>46</v>
          </cell>
          <cell r="S268">
            <v>145</v>
          </cell>
          <cell r="T268">
            <v>150</v>
          </cell>
          <cell r="U268">
            <v>157</v>
          </cell>
          <cell r="V268">
            <v>157</v>
          </cell>
          <cell r="W268" t="str">
            <v>Stores as % of Total</v>
          </cell>
        </row>
        <row r="269">
          <cell r="C269" t="str">
            <v>Store Closings</v>
          </cell>
          <cell r="D269">
            <v>0</v>
          </cell>
          <cell r="E269">
            <v>0</v>
          </cell>
          <cell r="F269">
            <v>0</v>
          </cell>
          <cell r="G269">
            <v>0</v>
          </cell>
          <cell r="H269">
            <v>0</v>
          </cell>
          <cell r="I269">
            <v>0</v>
          </cell>
          <cell r="J269">
            <v>0</v>
          </cell>
          <cell r="K269">
            <v>0</v>
          </cell>
          <cell r="L269">
            <v>0</v>
          </cell>
          <cell r="M269">
            <v>0</v>
          </cell>
          <cell r="N269">
            <v>0</v>
          </cell>
          <cell r="O269">
            <v>-34</v>
          </cell>
          <cell r="P269">
            <v>0</v>
          </cell>
          <cell r="Q269">
            <v>0</v>
          </cell>
          <cell r="R269">
            <v>0</v>
          </cell>
          <cell r="S269">
            <v>0</v>
          </cell>
          <cell r="T269">
            <v>0</v>
          </cell>
          <cell r="U269">
            <v>0</v>
          </cell>
          <cell r="V269">
            <v>0</v>
          </cell>
        </row>
        <row r="270">
          <cell r="C270" t="str">
            <v xml:space="preserve">Stores Up for Negotation as a % of Total </v>
          </cell>
          <cell r="T270">
            <v>0.1153125</v>
          </cell>
          <cell r="U270">
            <v>9.5025320226392609E-2</v>
          </cell>
          <cell r="V270">
            <v>8.9356858281161064E-2</v>
          </cell>
          <cell r="W270">
            <v>0.29969467850755366</v>
          </cell>
        </row>
        <row r="271">
          <cell r="C271" t="str">
            <v>Gross Square Footage</v>
          </cell>
          <cell r="D271">
            <v>35.017000000000003</v>
          </cell>
          <cell r="E271">
            <v>37.126000000000005</v>
          </cell>
          <cell r="F271">
            <v>40.164999999999999</v>
          </cell>
          <cell r="G271">
            <v>43.978999999999999</v>
          </cell>
          <cell r="H271">
            <v>48.988999999999997</v>
          </cell>
          <cell r="I271">
            <v>53.826000000000001</v>
          </cell>
          <cell r="J271">
            <v>60.49</v>
          </cell>
          <cell r="K271">
            <v>64.709434678384909</v>
          </cell>
          <cell r="L271">
            <v>70.575000000000003</v>
          </cell>
          <cell r="M271">
            <v>73.7</v>
          </cell>
          <cell r="N271">
            <v>76.239999999999995</v>
          </cell>
          <cell r="O271">
            <v>78</v>
          </cell>
          <cell r="P271">
            <v>80.7</v>
          </cell>
          <cell r="Q271">
            <v>84.1</v>
          </cell>
          <cell r="R271">
            <v>85.3</v>
          </cell>
          <cell r="S271">
            <v>89.1</v>
          </cell>
          <cell r="T271">
            <v>93.5014751119229</v>
          </cell>
          <cell r="U271">
            <v>98.067991049235928</v>
          </cell>
          <cell r="V271">
            <v>102.55106830134042</v>
          </cell>
        </row>
        <row r="272">
          <cell r="B272" t="str">
            <v>TLB</v>
          </cell>
          <cell r="C272" t="str">
            <v>End of Year # Stores</v>
          </cell>
          <cell r="D272">
            <v>385</v>
          </cell>
          <cell r="E272">
            <v>406</v>
          </cell>
          <cell r="F272">
            <v>425</v>
          </cell>
          <cell r="G272">
            <v>443</v>
          </cell>
          <cell r="H272">
            <v>468</v>
          </cell>
          <cell r="I272">
            <v>495</v>
          </cell>
          <cell r="J272">
            <v>523</v>
          </cell>
          <cell r="K272">
            <v>552</v>
          </cell>
          <cell r="L272">
            <v>565</v>
          </cell>
          <cell r="M272">
            <v>584</v>
          </cell>
          <cell r="N272">
            <v>596</v>
          </cell>
          <cell r="O272">
            <v>587</v>
          </cell>
          <cell r="P272">
            <v>580</v>
          </cell>
          <cell r="Q272">
            <v>568</v>
          </cell>
          <cell r="R272">
            <v>502</v>
          </cell>
          <cell r="S272">
            <v>487</v>
          </cell>
          <cell r="T272">
            <v>487</v>
          </cell>
          <cell r="U272">
            <v>492</v>
          </cell>
          <cell r="V272">
            <v>497</v>
          </cell>
          <cell r="W272" t="str">
            <v xml:space="preserve">Est. Renewal + New </v>
          </cell>
        </row>
        <row r="273">
          <cell r="C273" t="str">
            <v>New Store Openings</v>
          </cell>
          <cell r="D273">
            <v>42</v>
          </cell>
          <cell r="E273">
            <v>21</v>
          </cell>
          <cell r="F273">
            <v>19</v>
          </cell>
          <cell r="G273">
            <v>18</v>
          </cell>
          <cell r="H273">
            <v>25</v>
          </cell>
          <cell r="I273">
            <v>27</v>
          </cell>
          <cell r="J273">
            <v>28</v>
          </cell>
          <cell r="K273">
            <v>29</v>
          </cell>
          <cell r="L273">
            <v>13</v>
          </cell>
          <cell r="M273">
            <v>19</v>
          </cell>
          <cell r="N273">
            <v>12</v>
          </cell>
          <cell r="O273">
            <v>0</v>
          </cell>
          <cell r="P273">
            <v>23</v>
          </cell>
          <cell r="Q273">
            <v>11</v>
          </cell>
          <cell r="R273">
            <v>17</v>
          </cell>
          <cell r="S273">
            <v>10</v>
          </cell>
          <cell r="T273">
            <v>10</v>
          </cell>
          <cell r="U273">
            <v>10</v>
          </cell>
          <cell r="V273">
            <v>10</v>
          </cell>
          <cell r="W273" t="str">
            <v>Stores as % of Total</v>
          </cell>
        </row>
        <row r="274">
          <cell r="C274" t="str">
            <v>Store Closings</v>
          </cell>
          <cell r="D274">
            <v>0</v>
          </cell>
          <cell r="E274">
            <v>0</v>
          </cell>
          <cell r="F274">
            <v>0</v>
          </cell>
          <cell r="G274">
            <v>0</v>
          </cell>
          <cell r="H274">
            <v>0</v>
          </cell>
          <cell r="I274">
            <v>0</v>
          </cell>
          <cell r="J274">
            <v>0</v>
          </cell>
          <cell r="K274">
            <v>0</v>
          </cell>
          <cell r="L274">
            <v>0</v>
          </cell>
          <cell r="M274">
            <v>0</v>
          </cell>
          <cell r="N274">
            <v>0</v>
          </cell>
          <cell r="O274">
            <v>9</v>
          </cell>
          <cell r="P274">
            <v>30</v>
          </cell>
          <cell r="Q274">
            <v>23</v>
          </cell>
          <cell r="R274">
            <v>83</v>
          </cell>
          <cell r="S274">
            <v>25</v>
          </cell>
          <cell r="T274">
            <v>10</v>
          </cell>
          <cell r="U274">
            <v>5</v>
          </cell>
          <cell r="V274">
            <v>5</v>
          </cell>
        </row>
        <row r="275">
          <cell r="C275" t="str">
            <v xml:space="preserve">Stores Up for Negotation as a % of Total </v>
          </cell>
          <cell r="T275">
            <v>7.8028747433264892E-2</v>
          </cell>
          <cell r="U275">
            <v>7.926829268292683E-2</v>
          </cell>
          <cell r="V275">
            <v>4.6277665995975853E-2</v>
          </cell>
          <cell r="W275">
            <v>0.20357470611216757</v>
          </cell>
        </row>
        <row r="276">
          <cell r="C276" t="str">
            <v>Gross Square Footage</v>
          </cell>
          <cell r="D276">
            <v>2.5437400000000001</v>
          </cell>
          <cell r="E276">
            <v>2.7048299999999998</v>
          </cell>
          <cell r="F276">
            <v>2.828948</v>
          </cell>
          <cell r="G276">
            <v>2.9967269999999999</v>
          </cell>
          <cell r="H276">
            <v>3.294467</v>
          </cell>
          <cell r="I276">
            <v>3.6110330000000004</v>
          </cell>
          <cell r="J276">
            <v>3.9305100000000004</v>
          </cell>
          <cell r="K276">
            <v>4.203074</v>
          </cell>
          <cell r="L276">
            <v>3.9878990000000001</v>
          </cell>
          <cell r="M276">
            <v>5.0563150000000006</v>
          </cell>
          <cell r="N276">
            <v>4.2145130000000002</v>
          </cell>
          <cell r="O276">
            <v>4.2075279999999999</v>
          </cell>
          <cell r="P276">
            <v>4.1718799999999998</v>
          </cell>
          <cell r="Q276">
            <v>4.0542310000000006</v>
          </cell>
          <cell r="R276">
            <v>3.5655850000000004</v>
          </cell>
          <cell r="S276">
            <v>3.4342350000000006</v>
          </cell>
          <cell r="T276">
            <v>3.4101350000000008</v>
          </cell>
          <cell r="U276">
            <v>3.4217850000000007</v>
          </cell>
          <cell r="V276">
            <v>3.4334350000000007</v>
          </cell>
        </row>
        <row r="277">
          <cell r="B277" t="str">
            <v>URBN</v>
          </cell>
          <cell r="C277" t="str">
            <v>End of Year # Stores</v>
          </cell>
          <cell r="D277">
            <v>35</v>
          </cell>
          <cell r="E277">
            <v>46</v>
          </cell>
          <cell r="F277">
            <v>57</v>
          </cell>
          <cell r="G277">
            <v>68</v>
          </cell>
          <cell r="H277">
            <v>80</v>
          </cell>
          <cell r="I277">
            <v>93</v>
          </cell>
          <cell r="J277">
            <v>114</v>
          </cell>
          <cell r="K277">
            <v>142</v>
          </cell>
          <cell r="L277">
            <v>175</v>
          </cell>
          <cell r="M277">
            <v>207</v>
          </cell>
          <cell r="N277">
            <v>245</v>
          </cell>
          <cell r="O277">
            <v>294</v>
          </cell>
          <cell r="P277">
            <v>327</v>
          </cell>
          <cell r="Q277">
            <v>372</v>
          </cell>
          <cell r="R277">
            <v>429</v>
          </cell>
          <cell r="S277">
            <v>480</v>
          </cell>
          <cell r="T277">
            <v>517</v>
          </cell>
          <cell r="U277">
            <v>568</v>
          </cell>
          <cell r="V277">
            <v>619</v>
          </cell>
          <cell r="W277" t="str">
            <v xml:space="preserve">Est. Renewal + New </v>
          </cell>
        </row>
        <row r="278">
          <cell r="C278" t="str">
            <v>New Store Openings</v>
          </cell>
          <cell r="D278">
            <v>3</v>
          </cell>
          <cell r="E278">
            <v>11</v>
          </cell>
          <cell r="F278">
            <v>13</v>
          </cell>
          <cell r="G278">
            <v>11</v>
          </cell>
          <cell r="H278">
            <v>12</v>
          </cell>
          <cell r="I278">
            <v>13</v>
          </cell>
          <cell r="J278">
            <v>21</v>
          </cell>
          <cell r="K278">
            <v>28</v>
          </cell>
          <cell r="L278">
            <v>33</v>
          </cell>
          <cell r="M278">
            <v>32</v>
          </cell>
          <cell r="N278">
            <v>38</v>
          </cell>
          <cell r="O278">
            <v>49</v>
          </cell>
          <cell r="P278">
            <v>33</v>
          </cell>
          <cell r="Q278">
            <v>45</v>
          </cell>
          <cell r="R278">
            <v>57</v>
          </cell>
          <cell r="S278">
            <v>49</v>
          </cell>
          <cell r="T278">
            <v>37</v>
          </cell>
          <cell r="U278">
            <v>51</v>
          </cell>
          <cell r="V278">
            <v>51</v>
          </cell>
          <cell r="W278" t="str">
            <v>Stores as % of Total</v>
          </cell>
        </row>
        <row r="279">
          <cell r="C279" t="str">
            <v>Store Closings</v>
          </cell>
          <cell r="D279">
            <v>1</v>
          </cell>
          <cell r="E279">
            <v>0</v>
          </cell>
          <cell r="F279">
            <v>2</v>
          </cell>
          <cell r="G279">
            <v>0</v>
          </cell>
          <cell r="H279">
            <v>0</v>
          </cell>
          <cell r="I279">
            <v>0</v>
          </cell>
          <cell r="J279">
            <v>0</v>
          </cell>
          <cell r="K279">
            <v>0</v>
          </cell>
          <cell r="L279">
            <v>0</v>
          </cell>
          <cell r="M279">
            <v>0</v>
          </cell>
          <cell r="N279">
            <v>0</v>
          </cell>
          <cell r="O279">
            <v>0</v>
          </cell>
          <cell r="P279">
            <v>0</v>
          </cell>
          <cell r="Q279">
            <v>0</v>
          </cell>
          <cell r="R279">
            <v>0</v>
          </cell>
          <cell r="S279">
            <v>-2</v>
          </cell>
          <cell r="T279">
            <v>0</v>
          </cell>
          <cell r="U279">
            <v>0</v>
          </cell>
          <cell r="V279">
            <v>0</v>
          </cell>
        </row>
        <row r="280">
          <cell r="C280" t="str">
            <v xml:space="preserve">Stores Up for Negotation as a % of Total </v>
          </cell>
          <cell r="T280">
            <v>0.11218568665377177</v>
          </cell>
          <cell r="U280">
            <v>0.13908450704225353</v>
          </cell>
          <cell r="V280">
            <v>0.13570274636510501</v>
          </cell>
          <cell r="W280">
            <v>0.38697294006113037</v>
          </cell>
        </row>
        <row r="281">
          <cell r="C281" t="str">
            <v>Gross Square Footage</v>
          </cell>
          <cell r="D281">
            <v>0.44773066666666667</v>
          </cell>
          <cell r="E281">
            <v>0.55796400000000002</v>
          </cell>
          <cell r="F281">
            <v>0.69685466666666673</v>
          </cell>
          <cell r="G281">
            <v>0.84262133333333333</v>
          </cell>
          <cell r="H281">
            <v>0.99933333333333341</v>
          </cell>
          <cell r="I281">
            <v>1.1349066666666665</v>
          </cell>
          <cell r="J281">
            <v>1.3449199999999999</v>
          </cell>
          <cell r="K281">
            <v>1.6447626666666668</v>
          </cell>
          <cell r="L281">
            <v>1.9426666666666668</v>
          </cell>
          <cell r="M281">
            <v>2.3146666666666662</v>
          </cell>
          <cell r="N281">
            <v>2.6860360000000001</v>
          </cell>
          <cell r="O281">
            <v>3.047228</v>
          </cell>
          <cell r="P281">
            <v>3.3461946666666664</v>
          </cell>
          <cell r="Q281">
            <v>0.11676706595272801</v>
          </cell>
          <cell r="R281">
            <v>9.4863149331535057E-2</v>
          </cell>
          <cell r="S281">
            <v>2295.9241510084089</v>
          </cell>
          <cell r="T281">
            <v>-0.99948653071889548</v>
          </cell>
          <cell r="U281">
            <v>5.5374159999999994</v>
          </cell>
        </row>
        <row r="285">
          <cell r="Q285">
            <v>11.891783239173689</v>
          </cell>
          <cell r="R285">
            <v>12.077802008784207</v>
          </cell>
          <cell r="S285">
            <v>147.50269035343581</v>
          </cell>
          <cell r="T285">
            <v>15.689227061509351</v>
          </cell>
        </row>
        <row r="287">
          <cell r="S287">
            <v>574.36918675210222</v>
          </cell>
          <cell r="T287">
            <v>0.19859898343402019</v>
          </cell>
        </row>
      </sheetData>
      <sheetData sheetId="12">
        <row r="2">
          <cell r="O2" t="str">
            <v>2013-2015e</v>
          </cell>
        </row>
        <row r="3">
          <cell r="C3" t="str">
            <v>Store Closings</v>
          </cell>
          <cell r="F3">
            <v>2007</v>
          </cell>
          <cell r="G3">
            <v>2008</v>
          </cell>
          <cell r="H3">
            <v>2009</v>
          </cell>
          <cell r="I3">
            <v>2010</v>
          </cell>
          <cell r="J3">
            <v>2011</v>
          </cell>
          <cell r="K3">
            <v>2012</v>
          </cell>
          <cell r="L3" t="str">
            <v>2013E</v>
          </cell>
          <cell r="M3" t="str">
            <v>2014E</v>
          </cell>
          <cell r="N3" t="str">
            <v>2015E</v>
          </cell>
          <cell r="O3" t="str">
            <v>closings</v>
          </cell>
          <cell r="S3" t="str">
            <v>Check:</v>
          </cell>
        </row>
        <row r="4">
          <cell r="C4" t="str">
            <v>TLB</v>
          </cell>
          <cell r="D4" t="str">
            <v>End of Period</v>
          </cell>
          <cell r="E4">
            <v>584</v>
          </cell>
          <cell r="F4">
            <v>596</v>
          </cell>
          <cell r="G4">
            <v>587</v>
          </cell>
          <cell r="H4">
            <v>580</v>
          </cell>
          <cell r="I4">
            <v>568</v>
          </cell>
          <cell r="J4">
            <v>502</v>
          </cell>
          <cell r="K4">
            <v>487</v>
          </cell>
          <cell r="L4">
            <v>487</v>
          </cell>
          <cell r="M4">
            <v>492</v>
          </cell>
        </row>
        <row r="5">
          <cell r="D5" t="str">
            <v>Closings</v>
          </cell>
          <cell r="E5">
            <v>0</v>
          </cell>
          <cell r="F5">
            <v>0</v>
          </cell>
          <cell r="G5">
            <v>9</v>
          </cell>
          <cell r="H5">
            <v>30</v>
          </cell>
          <cell r="I5">
            <v>23</v>
          </cell>
          <cell r="J5">
            <v>83</v>
          </cell>
          <cell r="K5">
            <v>25</v>
          </cell>
          <cell r="L5">
            <v>10</v>
          </cell>
          <cell r="M5">
            <v>5</v>
          </cell>
          <cell r="O5">
            <v>40</v>
          </cell>
        </row>
        <row r="6">
          <cell r="D6" t="str">
            <v>as a % of stores</v>
          </cell>
          <cell r="F6">
            <v>0</v>
          </cell>
          <cell r="G6">
            <v>1.5100671140939598E-2</v>
          </cell>
          <cell r="H6">
            <v>5.1107325383304938E-2</v>
          </cell>
          <cell r="I6">
            <v>3.9655172413793106E-2</v>
          </cell>
          <cell r="J6">
            <v>0.14612676056338028</v>
          </cell>
          <cell r="K6">
            <v>4.9800796812749001E-2</v>
          </cell>
          <cell r="L6">
            <v>2.0533880903490759E-2</v>
          </cell>
          <cell r="M6">
            <v>1.0266940451745379E-2</v>
          </cell>
        </row>
        <row r="7">
          <cell r="D7" t="str">
            <v>'11-'13 closings as % '10 ending stores (or '11 begin store cnt)</v>
          </cell>
          <cell r="O7">
            <v>7.9681274900398405E-2</v>
          </cell>
        </row>
        <row r="8">
          <cell r="C8" t="str">
            <v>ANF</v>
          </cell>
          <cell r="D8" t="str">
            <v>End of Period</v>
          </cell>
          <cell r="E8">
            <v>944</v>
          </cell>
          <cell r="F8">
            <v>1035</v>
          </cell>
          <cell r="G8">
            <v>1125</v>
          </cell>
          <cell r="H8">
            <v>1097</v>
          </cell>
          <cell r="I8">
            <v>1069</v>
          </cell>
          <cell r="J8">
            <v>1041</v>
          </cell>
          <cell r="K8">
            <v>1041</v>
          </cell>
          <cell r="L8">
            <v>1026</v>
          </cell>
          <cell r="M8">
            <v>961</v>
          </cell>
          <cell r="N8">
            <v>932</v>
          </cell>
          <cell r="S8">
            <v>1097</v>
          </cell>
          <cell r="T8">
            <v>1069</v>
          </cell>
          <cell r="U8">
            <v>1041</v>
          </cell>
          <cell r="V8">
            <v>1041</v>
          </cell>
          <cell r="W8">
            <v>1014</v>
          </cell>
          <cell r="X8">
            <v>981</v>
          </cell>
        </row>
        <row r="9">
          <cell r="D9" t="str">
            <v>Closings</v>
          </cell>
          <cell r="E9">
            <v>13</v>
          </cell>
          <cell r="F9">
            <v>6</v>
          </cell>
          <cell r="G9">
            <v>10</v>
          </cell>
          <cell r="H9">
            <v>51</v>
          </cell>
          <cell r="I9">
            <v>65</v>
          </cell>
          <cell r="J9">
            <v>74</v>
          </cell>
          <cell r="K9">
            <v>47</v>
          </cell>
          <cell r="L9">
            <v>50</v>
          </cell>
          <cell r="M9">
            <v>66</v>
          </cell>
          <cell r="N9">
            <v>59</v>
          </cell>
          <cell r="O9">
            <v>175</v>
          </cell>
        </row>
        <row r="10">
          <cell r="D10" t="str">
            <v>as a % of stores</v>
          </cell>
          <cell r="F10">
            <v>6.3559322033898309E-3</v>
          </cell>
          <cell r="G10">
            <v>9.6618357487922701E-3</v>
          </cell>
          <cell r="H10">
            <v>4.5333333333333337E-2</v>
          </cell>
          <cell r="I10">
            <v>5.9252506836827715E-2</v>
          </cell>
          <cell r="J10">
            <v>6.9223573433115054E-2</v>
          </cell>
          <cell r="K10">
            <v>4.5148895292987511E-2</v>
          </cell>
          <cell r="L10">
            <v>4.8030739673390971E-2</v>
          </cell>
          <cell r="M10">
            <v>6.4327485380116955E-2</v>
          </cell>
          <cell r="N10">
            <v>6.1394380853277836E-2</v>
          </cell>
        </row>
        <row r="11">
          <cell r="D11" t="str">
            <v>'11-'13 closings as % '10 ending stores (or '11 begin store cnt)</v>
          </cell>
          <cell r="O11">
            <v>0.16810758885686838</v>
          </cell>
          <cell r="Q11">
            <v>0.117898687528788</v>
          </cell>
        </row>
        <row r="12">
          <cell r="C12" t="str">
            <v>ARO</v>
          </cell>
          <cell r="D12" t="str">
            <v>End of Period</v>
          </cell>
          <cell r="E12">
            <v>742</v>
          </cell>
          <cell r="F12">
            <v>828</v>
          </cell>
          <cell r="G12">
            <v>914</v>
          </cell>
          <cell r="H12">
            <v>952</v>
          </cell>
          <cell r="I12">
            <v>1012</v>
          </cell>
          <cell r="J12">
            <v>1057</v>
          </cell>
          <cell r="K12">
            <v>1095</v>
          </cell>
          <cell r="L12">
            <v>1151</v>
          </cell>
          <cell r="M12">
            <v>860</v>
          </cell>
          <cell r="N12">
            <v>806</v>
          </cell>
        </row>
        <row r="13">
          <cell r="D13" t="str">
            <v>Closings</v>
          </cell>
          <cell r="E13">
            <v>-3</v>
          </cell>
          <cell r="F13">
            <v>-2</v>
          </cell>
          <cell r="G13">
            <v>-2</v>
          </cell>
          <cell r="H13">
            <v>-15</v>
          </cell>
          <cell r="I13">
            <v>-8</v>
          </cell>
          <cell r="J13">
            <v>2</v>
          </cell>
          <cell r="K13">
            <v>10</v>
          </cell>
          <cell r="L13">
            <v>18</v>
          </cell>
          <cell r="M13">
            <v>248</v>
          </cell>
          <cell r="N13">
            <v>55</v>
          </cell>
          <cell r="O13">
            <v>321</v>
          </cell>
        </row>
        <row r="14">
          <cell r="D14" t="str">
            <v>as a % of stores</v>
          </cell>
          <cell r="F14">
            <v>-2.6954177897574125E-3</v>
          </cell>
          <cell r="G14">
            <v>-2.4154589371980675E-3</v>
          </cell>
          <cell r="H14">
            <v>-1.6411378555798686E-2</v>
          </cell>
          <cell r="I14">
            <v>-8.4033613445378148E-3</v>
          </cell>
          <cell r="J14">
            <v>1.976284584980237E-3</v>
          </cell>
          <cell r="K14">
            <v>9.4607379375591296E-3</v>
          </cell>
          <cell r="L14">
            <v>1.643835616438356E-2</v>
          </cell>
          <cell r="M14">
            <v>0.21546481320590791</v>
          </cell>
          <cell r="N14">
            <v>6.3953488372093026E-2</v>
          </cell>
        </row>
        <row r="15">
          <cell r="D15" t="str">
            <v>'10-'12 closings as % '09 ending stores (or '10 begin store cnt)</v>
          </cell>
          <cell r="O15">
            <v>0.29315068493150687</v>
          </cell>
        </row>
        <row r="16">
          <cell r="C16" t="str">
            <v>PLCE</v>
          </cell>
          <cell r="D16" t="str">
            <v>End of Period</v>
          </cell>
          <cell r="E16">
            <v>866</v>
          </cell>
          <cell r="F16">
            <v>904</v>
          </cell>
          <cell r="G16">
            <v>917</v>
          </cell>
          <cell r="H16">
            <v>947</v>
          </cell>
          <cell r="I16">
            <v>995</v>
          </cell>
          <cell r="J16">
            <v>1049</v>
          </cell>
          <cell r="K16">
            <v>1095</v>
          </cell>
          <cell r="L16">
            <v>1140</v>
          </cell>
          <cell r="M16">
            <v>1112</v>
          </cell>
          <cell r="N16">
            <v>1092</v>
          </cell>
        </row>
        <row r="17">
          <cell r="D17" t="str">
            <v>Closings</v>
          </cell>
          <cell r="E17">
            <v>13</v>
          </cell>
          <cell r="F17">
            <v>24</v>
          </cell>
          <cell r="G17">
            <v>14</v>
          </cell>
          <cell r="H17">
            <v>6</v>
          </cell>
          <cell r="I17">
            <v>19</v>
          </cell>
          <cell r="J17">
            <v>34</v>
          </cell>
          <cell r="K17">
            <v>18</v>
          </cell>
          <cell r="L17">
            <v>38</v>
          </cell>
          <cell r="M17">
            <v>30</v>
          </cell>
          <cell r="N17">
            <v>20</v>
          </cell>
          <cell r="O17">
            <v>88</v>
          </cell>
        </row>
        <row r="18">
          <cell r="D18" t="str">
            <v>as a % of stores</v>
          </cell>
          <cell r="F18">
            <v>2.771362586605081E-2</v>
          </cell>
          <cell r="G18">
            <v>1.5486725663716814E-2</v>
          </cell>
          <cell r="H18">
            <v>6.5430752453653216E-3</v>
          </cell>
          <cell r="I18">
            <v>2.0063357972544878E-2</v>
          </cell>
          <cell r="J18">
            <v>3.4170854271356785E-2</v>
          </cell>
          <cell r="K18">
            <v>1.7159199237368923E-2</v>
          </cell>
          <cell r="L18">
            <v>3.4703196347031964E-2</v>
          </cell>
          <cell r="M18">
            <v>2.6315789473684209E-2</v>
          </cell>
          <cell r="N18">
            <v>1.7985611510791366E-2</v>
          </cell>
        </row>
        <row r="19">
          <cell r="D19" t="str">
            <v>'10-'12 closings as % '09 ending stores (or '10 begin store cnt)</v>
          </cell>
          <cell r="O19">
            <v>8.0365296803652966E-2</v>
          </cell>
        </row>
        <row r="20">
          <cell r="C20" t="str">
            <v>ANN</v>
          </cell>
          <cell r="D20" t="str">
            <v>End of Period</v>
          </cell>
          <cell r="E20">
            <v>869</v>
          </cell>
          <cell r="F20">
            <v>929</v>
          </cell>
          <cell r="G20">
            <v>935</v>
          </cell>
          <cell r="H20">
            <v>907</v>
          </cell>
          <cell r="I20">
            <v>896</v>
          </cell>
          <cell r="J20">
            <v>953</v>
          </cell>
          <cell r="K20">
            <v>984</v>
          </cell>
          <cell r="L20">
            <v>1019</v>
          </cell>
          <cell r="M20">
            <v>1030</v>
          </cell>
          <cell r="N20">
            <v>1035</v>
          </cell>
          <cell r="S20">
            <v>907</v>
          </cell>
          <cell r="T20">
            <v>896</v>
          </cell>
          <cell r="U20">
            <v>953</v>
          </cell>
        </row>
        <row r="21">
          <cell r="D21" t="str">
            <v>Closings</v>
          </cell>
          <cell r="E21">
            <v>25</v>
          </cell>
          <cell r="F21">
            <v>17</v>
          </cell>
          <cell r="G21">
            <v>60</v>
          </cell>
          <cell r="H21">
            <v>42</v>
          </cell>
          <cell r="I21">
            <v>45</v>
          </cell>
          <cell r="J21">
            <v>19</v>
          </cell>
          <cell r="K21">
            <v>32</v>
          </cell>
          <cell r="L21">
            <v>30</v>
          </cell>
          <cell r="M21">
            <v>45</v>
          </cell>
          <cell r="N21">
            <v>35</v>
          </cell>
          <cell r="O21">
            <v>110</v>
          </cell>
        </row>
        <row r="22">
          <cell r="D22" t="str">
            <v>as a % of stores</v>
          </cell>
          <cell r="F22">
            <v>1.9562715765247412E-2</v>
          </cell>
          <cell r="G22">
            <v>6.4585575888051666E-2</v>
          </cell>
          <cell r="H22">
            <v>4.4919786096256686E-2</v>
          </cell>
          <cell r="I22">
            <v>4.9614112458654908E-2</v>
          </cell>
          <cell r="J22">
            <v>2.1205357142857144E-2</v>
          </cell>
          <cell r="K22">
            <v>3.3578174186778595E-2</v>
          </cell>
          <cell r="L22">
            <v>3.048780487804878E-2</v>
          </cell>
          <cell r="M22">
            <v>4.4160942100098133E-2</v>
          </cell>
          <cell r="N22">
            <v>3.3980582524271843E-2</v>
          </cell>
        </row>
        <row r="23">
          <cell r="D23" t="str">
            <v>'11-'13 closings as % '10 ending stores (or '11 begin store cnt)</v>
          </cell>
          <cell r="O23">
            <v>0.11178861788617886</v>
          </cell>
        </row>
        <row r="24">
          <cell r="C24" t="str">
            <v>AEO</v>
          </cell>
          <cell r="D24" t="str">
            <v>End of Period</v>
          </cell>
          <cell r="E24">
            <v>0</v>
          </cell>
          <cell r="F24">
            <v>987</v>
          </cell>
          <cell r="G24">
            <v>1098</v>
          </cell>
          <cell r="H24">
            <v>1103</v>
          </cell>
          <cell r="I24">
            <v>1077</v>
          </cell>
          <cell r="J24">
            <v>1069</v>
          </cell>
          <cell r="K24">
            <v>1044</v>
          </cell>
          <cell r="L24">
            <v>1054</v>
          </cell>
          <cell r="M24">
            <v>-21</v>
          </cell>
          <cell r="N24">
            <v>-20</v>
          </cell>
        </row>
        <row r="25">
          <cell r="D25" t="str">
            <v>Closings</v>
          </cell>
          <cell r="E25">
            <v>8</v>
          </cell>
          <cell r="F25">
            <v>4</v>
          </cell>
          <cell r="G25">
            <v>11</v>
          </cell>
          <cell r="H25">
            <v>24</v>
          </cell>
          <cell r="I25">
            <v>51</v>
          </cell>
          <cell r="J25">
            <v>29</v>
          </cell>
          <cell r="K25">
            <v>41</v>
          </cell>
          <cell r="L25">
            <v>40</v>
          </cell>
          <cell r="M25">
            <v>49</v>
          </cell>
          <cell r="N25">
            <v>50</v>
          </cell>
          <cell r="O25">
            <v>139</v>
          </cell>
        </row>
        <row r="26">
          <cell r="D26" t="str">
            <v>as a % of stores</v>
          </cell>
          <cell r="F26" t="e">
            <v>#DIV/0!</v>
          </cell>
          <cell r="G26">
            <v>1.1144883485309016E-2</v>
          </cell>
          <cell r="H26">
            <v>2.185792349726776E-2</v>
          </cell>
          <cell r="I26">
            <v>4.6237533998186767E-2</v>
          </cell>
          <cell r="J26">
            <v>2.6926648096564532E-2</v>
          </cell>
          <cell r="K26">
            <v>3.8353601496725911E-2</v>
          </cell>
          <cell r="L26">
            <v>3.8314176245210725E-2</v>
          </cell>
          <cell r="M26">
            <v>4.6489563567362426E-2</v>
          </cell>
          <cell r="N26">
            <v>-2.3809523809523809</v>
          </cell>
        </row>
        <row r="27">
          <cell r="D27" t="str">
            <v>'11-'13 closings as % '10 ending stores (or '11 begin store cnt)</v>
          </cell>
          <cell r="O27">
            <v>0.13314176245210729</v>
          </cell>
        </row>
        <row r="28">
          <cell r="C28" t="str">
            <v>GPS</v>
          </cell>
          <cell r="D28" t="str">
            <v>End of Period</v>
          </cell>
          <cell r="E28">
            <v>3131</v>
          </cell>
          <cell r="F28">
            <v>3167</v>
          </cell>
          <cell r="G28">
            <v>3149</v>
          </cell>
          <cell r="H28">
            <v>3095</v>
          </cell>
          <cell r="I28">
            <v>3068</v>
          </cell>
          <cell r="J28">
            <v>3072</v>
          </cell>
          <cell r="K28">
            <v>3131</v>
          </cell>
          <cell r="L28">
            <v>3211</v>
          </cell>
          <cell r="M28">
            <v>3280</v>
          </cell>
          <cell r="N28">
            <v>3260</v>
          </cell>
          <cell r="S28">
            <v>3095</v>
          </cell>
          <cell r="T28">
            <v>3068</v>
          </cell>
          <cell r="U28">
            <v>3072</v>
          </cell>
        </row>
        <row r="29">
          <cell r="D29" t="str">
            <v>Closings</v>
          </cell>
          <cell r="E29">
            <v>116</v>
          </cell>
          <cell r="F29">
            <v>178</v>
          </cell>
          <cell r="G29">
            <v>119</v>
          </cell>
          <cell r="H29">
            <v>101</v>
          </cell>
          <cell r="I29">
            <v>98</v>
          </cell>
          <cell r="J29">
            <v>98</v>
          </cell>
          <cell r="K29">
            <v>89</v>
          </cell>
          <cell r="L29">
            <v>80</v>
          </cell>
          <cell r="M29">
            <v>53</v>
          </cell>
          <cell r="N29">
            <v>170</v>
          </cell>
          <cell r="O29">
            <v>303</v>
          </cell>
        </row>
        <row r="30">
          <cell r="D30" t="str">
            <v>as a % of stores</v>
          </cell>
          <cell r="F30">
            <v>5.6850846374960073E-2</v>
          </cell>
          <cell r="G30">
            <v>3.7574992106094093E-2</v>
          </cell>
          <cell r="H30">
            <v>3.207367418228009E-2</v>
          </cell>
          <cell r="I30">
            <v>3.1663974151857836E-2</v>
          </cell>
          <cell r="J30">
            <v>3.1942633637548894E-2</v>
          </cell>
          <cell r="K30">
            <v>2.8971354166666668E-2</v>
          </cell>
          <cell r="L30">
            <v>2.5550942190993294E-2</v>
          </cell>
          <cell r="M30">
            <v>1.6505761445032699E-2</v>
          </cell>
          <cell r="N30">
            <v>5.1829268292682924E-2</v>
          </cell>
        </row>
        <row r="31">
          <cell r="D31" t="str">
            <v>'11-'13 closings as % '10 ending stores (or '11 begin store cnt)</v>
          </cell>
          <cell r="O31">
            <v>9.6774193548387094E-2</v>
          </cell>
        </row>
        <row r="32">
          <cell r="C32" t="str">
            <v>LTD</v>
          </cell>
          <cell r="D32" t="str">
            <v>End of Period</v>
          </cell>
          <cell r="E32">
            <v>3766</v>
          </cell>
          <cell r="F32">
            <v>2926</v>
          </cell>
          <cell r="G32">
            <v>3014</v>
          </cell>
          <cell r="H32">
            <v>2971</v>
          </cell>
          <cell r="I32">
            <v>2968</v>
          </cell>
          <cell r="J32">
            <v>2941</v>
          </cell>
          <cell r="K32">
            <v>2876</v>
          </cell>
          <cell r="L32">
            <v>2908</v>
          </cell>
          <cell r="M32">
            <v>2916</v>
          </cell>
          <cell r="N32">
            <v>2935</v>
          </cell>
        </row>
        <row r="33">
          <cell r="D33" t="str">
            <v>Closings</v>
          </cell>
          <cell r="E33">
            <v>167</v>
          </cell>
          <cell r="F33">
            <v>45</v>
          </cell>
          <cell r="G33">
            <v>58</v>
          </cell>
          <cell r="H33">
            <v>102</v>
          </cell>
          <cell r="I33">
            <v>46</v>
          </cell>
          <cell r="J33">
            <v>67</v>
          </cell>
          <cell r="K33">
            <v>113</v>
          </cell>
          <cell r="L33">
            <v>48</v>
          </cell>
          <cell r="M33">
            <v>47</v>
          </cell>
          <cell r="N33">
            <v>47</v>
          </cell>
          <cell r="O33">
            <v>142</v>
          </cell>
        </row>
        <row r="34">
          <cell r="D34" t="str">
            <v>as a % of stores</v>
          </cell>
          <cell r="F34">
            <v>1.1949017525225704E-2</v>
          </cell>
          <cell r="G34">
            <v>1.9822282980177717E-2</v>
          </cell>
          <cell r="H34">
            <v>3.3842070338420703E-2</v>
          </cell>
          <cell r="I34">
            <v>1.5483002356109055E-2</v>
          </cell>
          <cell r="J34">
            <v>2.257412398921833E-2</v>
          </cell>
          <cell r="K34">
            <v>3.8422305338320299E-2</v>
          </cell>
          <cell r="L34">
            <v>1.6689847009735744E-2</v>
          </cell>
          <cell r="M34">
            <v>1.6162310866574967E-2</v>
          </cell>
          <cell r="N34">
            <v>1.6117969821673524E-2</v>
          </cell>
        </row>
        <row r="35">
          <cell r="D35" t="str">
            <v>'11-'13 closings as % '10 ending stores (or '11 begin store cnt)</v>
          </cell>
          <cell r="O35">
            <v>4.9374130737134911E-2</v>
          </cell>
        </row>
        <row r="38">
          <cell r="C38" t="str">
            <v>LULU</v>
          </cell>
          <cell r="D38" t="str">
            <v>End of Period</v>
          </cell>
          <cell r="E38">
            <v>7</v>
          </cell>
          <cell r="F38">
            <v>7</v>
          </cell>
          <cell r="G38">
            <v>5</v>
          </cell>
          <cell r="H38">
            <v>0</v>
          </cell>
          <cell r="I38">
            <v>0</v>
          </cell>
          <cell r="J38">
            <v>0</v>
          </cell>
          <cell r="K38">
            <v>1</v>
          </cell>
          <cell r="L38">
            <v>2</v>
          </cell>
          <cell r="M38">
            <v>1</v>
          </cell>
          <cell r="N38">
            <v>1</v>
          </cell>
        </row>
        <row r="39">
          <cell r="D39" t="str">
            <v>Closings</v>
          </cell>
          <cell r="E39">
            <v>0</v>
          </cell>
          <cell r="F39">
            <v>0</v>
          </cell>
          <cell r="G39">
            <v>1</v>
          </cell>
          <cell r="H39">
            <v>1</v>
          </cell>
          <cell r="I39">
            <v>1</v>
          </cell>
          <cell r="J39">
            <v>1</v>
          </cell>
          <cell r="K39">
            <v>1</v>
          </cell>
          <cell r="L39">
            <v>1</v>
          </cell>
          <cell r="M39">
            <v>1</v>
          </cell>
          <cell r="N39">
            <v>1</v>
          </cell>
          <cell r="O39">
            <v>3</v>
          </cell>
        </row>
        <row r="40">
          <cell r="D40" t="str">
            <v>as a % of stores</v>
          </cell>
          <cell r="F40">
            <v>0</v>
          </cell>
          <cell r="G40">
            <v>0.14285714285714285</v>
          </cell>
          <cell r="H40">
            <v>0.2</v>
          </cell>
          <cell r="I40" t="e">
            <v>#DIV/0!</v>
          </cell>
          <cell r="J40" t="e">
            <v>#DIV/0!</v>
          </cell>
          <cell r="K40" t="e">
            <v>#DIV/0!</v>
          </cell>
          <cell r="L40">
            <v>1</v>
          </cell>
          <cell r="M40">
            <v>0.5</v>
          </cell>
          <cell r="N40">
            <v>1</v>
          </cell>
        </row>
        <row r="41">
          <cell r="D41" t="str">
            <v>'11-'13 closings as % '10 ending stores (or '11 begin store cnt)</v>
          </cell>
          <cell r="O41">
            <v>3</v>
          </cell>
        </row>
        <row r="42">
          <cell r="D42" t="str">
            <v>Average</v>
          </cell>
          <cell r="O42">
            <v>0.117898687528788</v>
          </cell>
        </row>
        <row r="44">
          <cell r="C44" t="str">
            <v>CHS</v>
          </cell>
          <cell r="D44" t="str">
            <v>End of Period</v>
          </cell>
          <cell r="E44">
            <v>920</v>
          </cell>
          <cell r="F44">
            <v>1038</v>
          </cell>
          <cell r="G44">
            <v>1076</v>
          </cell>
          <cell r="H44">
            <v>1080</v>
          </cell>
          <cell r="I44">
            <v>1151</v>
          </cell>
          <cell r="J44">
            <v>1256</v>
          </cell>
          <cell r="K44">
            <v>1357</v>
          </cell>
          <cell r="L44">
            <v>1485</v>
          </cell>
          <cell r="M44">
            <v>1588</v>
          </cell>
          <cell r="N44">
            <v>-2</v>
          </cell>
        </row>
        <row r="45">
          <cell r="D45" t="str">
            <v>Closings</v>
          </cell>
          <cell r="E45">
            <v>6</v>
          </cell>
          <cell r="F45">
            <v>18</v>
          </cell>
          <cell r="G45">
            <v>11</v>
          </cell>
          <cell r="H45">
            <v>26</v>
          </cell>
          <cell r="I45">
            <v>9</v>
          </cell>
          <cell r="J45">
            <v>32</v>
          </cell>
          <cell r="K45">
            <v>24</v>
          </cell>
          <cell r="L45">
            <v>17</v>
          </cell>
          <cell r="M45">
            <v>-5</v>
          </cell>
          <cell r="N45">
            <v>-2</v>
          </cell>
          <cell r="O45">
            <v>10</v>
          </cell>
        </row>
        <row r="46">
          <cell r="D46" t="str">
            <v>as a % of stores</v>
          </cell>
          <cell r="F46">
            <v>1.9565217391304349E-2</v>
          </cell>
          <cell r="G46">
            <v>1.0597302504816955E-2</v>
          </cell>
          <cell r="H46">
            <v>2.4163568773234202E-2</v>
          </cell>
          <cell r="I46">
            <v>8.3333333333333332E-3</v>
          </cell>
          <cell r="J46">
            <v>2.780191138140747E-2</v>
          </cell>
          <cell r="K46">
            <v>1.9108280254777069E-2</v>
          </cell>
          <cell r="L46">
            <v>1.2527634487840826E-2</v>
          </cell>
          <cell r="M46">
            <v>-3.3670033670033669E-3</v>
          </cell>
          <cell r="N46">
            <v>-1.2594458438287153E-3</v>
          </cell>
        </row>
        <row r="47">
          <cell r="D47" t="str">
            <v>'10-'12 closings as % '09 ending stores (or '10 begin store cnt)</v>
          </cell>
          <cell r="O47">
            <v>7.9617834394904458E-3</v>
          </cell>
        </row>
        <row r="48">
          <cell r="C48" t="str">
            <v>COH</v>
          </cell>
          <cell r="D48" t="str">
            <v>End of Period</v>
          </cell>
          <cell r="E48">
            <v>422</v>
          </cell>
          <cell r="F48">
            <v>489</v>
          </cell>
          <cell r="G48">
            <v>548</v>
          </cell>
          <cell r="H48">
            <v>624</v>
          </cell>
          <cell r="I48">
            <v>665</v>
          </cell>
          <cell r="J48">
            <v>723</v>
          </cell>
          <cell r="K48">
            <v>832</v>
          </cell>
          <cell r="L48">
            <v>912</v>
          </cell>
          <cell r="M48">
            <v>983</v>
          </cell>
          <cell r="N48">
            <v>1054</v>
          </cell>
        </row>
        <row r="49">
          <cell r="D49" t="str">
            <v>Closings</v>
          </cell>
          <cell r="E49">
            <v>6</v>
          </cell>
          <cell r="F49">
            <v>3</v>
          </cell>
          <cell r="G49">
            <v>1</v>
          </cell>
          <cell r="H49">
            <v>9</v>
          </cell>
          <cell r="I49">
            <v>11</v>
          </cell>
          <cell r="J49">
            <v>7</v>
          </cell>
          <cell r="K49">
            <v>5</v>
          </cell>
          <cell r="L49">
            <v>3</v>
          </cell>
          <cell r="M49">
            <v>3</v>
          </cell>
          <cell r="N49">
            <v>3</v>
          </cell>
          <cell r="O49">
            <v>11</v>
          </cell>
        </row>
        <row r="50">
          <cell r="D50" t="str">
            <v>as a % of stores</v>
          </cell>
          <cell r="F50">
            <v>7.1090047393364926E-3</v>
          </cell>
          <cell r="G50">
            <v>2.0449897750511249E-3</v>
          </cell>
          <cell r="H50">
            <v>1.6423357664233577E-2</v>
          </cell>
          <cell r="I50">
            <v>1.7628205128205128E-2</v>
          </cell>
          <cell r="J50">
            <v>1.0526315789473684E-2</v>
          </cell>
          <cell r="K50">
            <v>6.9156293222683261E-3</v>
          </cell>
          <cell r="L50">
            <v>3.605769230769231E-3</v>
          </cell>
          <cell r="M50">
            <v>3.2894736842105261E-3</v>
          </cell>
          <cell r="N50">
            <v>3.0518819938962359E-3</v>
          </cell>
        </row>
        <row r="51">
          <cell r="D51" t="str">
            <v>'10-'12 closings as % '09 ending stores (or '10 begin store cnt)</v>
          </cell>
          <cell r="O51">
            <v>1.5214384508990318E-2</v>
          </cell>
        </row>
        <row r="52">
          <cell r="C52" t="str">
            <v>JCG</v>
          </cell>
          <cell r="D52" t="str">
            <v>End of Period</v>
          </cell>
          <cell r="E52">
            <v>227</v>
          </cell>
          <cell r="F52">
            <v>260</v>
          </cell>
          <cell r="G52">
            <v>300</v>
          </cell>
          <cell r="H52">
            <v>321</v>
          </cell>
          <cell r="I52">
            <v>335</v>
          </cell>
          <cell r="J52">
            <v>366</v>
          </cell>
          <cell r="K52">
            <v>400</v>
          </cell>
          <cell r="L52">
            <v>435</v>
          </cell>
          <cell r="M52">
            <v>471</v>
          </cell>
          <cell r="N52">
            <v>8.88624888199654</v>
          </cell>
        </row>
        <row r="53">
          <cell r="D53" t="str">
            <v>Closings</v>
          </cell>
          <cell r="E53">
            <v>5</v>
          </cell>
          <cell r="F53">
            <v>4</v>
          </cell>
          <cell r="G53">
            <v>4</v>
          </cell>
          <cell r="H53">
            <v>3</v>
          </cell>
          <cell r="I53">
            <v>1</v>
          </cell>
          <cell r="J53">
            <v>4</v>
          </cell>
          <cell r="K53">
            <v>3</v>
          </cell>
          <cell r="L53">
            <v>3</v>
          </cell>
          <cell r="M53">
            <v>3</v>
          </cell>
          <cell r="N53" t="e">
            <v>#REF!</v>
          </cell>
          <cell r="O53">
            <v>9</v>
          </cell>
        </row>
        <row r="54">
          <cell r="D54" t="str">
            <v>as a % of stores</v>
          </cell>
          <cell r="F54">
            <v>1.7621145374449341E-2</v>
          </cell>
          <cell r="G54">
            <v>1.5384615384615385E-2</v>
          </cell>
          <cell r="H54">
            <v>0.01</v>
          </cell>
          <cell r="I54">
            <v>3.1152647975077881E-3</v>
          </cell>
          <cell r="J54">
            <v>1.1940298507462687E-2</v>
          </cell>
          <cell r="K54">
            <v>8.1967213114754103E-3</v>
          </cell>
          <cell r="L54">
            <v>7.4999999999999997E-3</v>
          </cell>
          <cell r="M54">
            <v>6.8965517241379309E-3</v>
          </cell>
          <cell r="N54" t="e">
            <v>#REF!</v>
          </cell>
        </row>
        <row r="55">
          <cell r="D55" t="str">
            <v>'09-'11 closings as % '08 ending stores (or '09 begin store cnt)</v>
          </cell>
          <cell r="O55">
            <v>2.4590163934426229E-2</v>
          </cell>
        </row>
        <row r="56">
          <cell r="C56" t="str">
            <v>ROST</v>
          </cell>
          <cell r="D56" t="str">
            <v>End of Period</v>
          </cell>
          <cell r="E56">
            <v>797</v>
          </cell>
          <cell r="F56">
            <v>890</v>
          </cell>
          <cell r="G56">
            <v>956</v>
          </cell>
          <cell r="H56">
            <v>1005</v>
          </cell>
          <cell r="I56">
            <v>1055</v>
          </cell>
          <cell r="J56">
            <v>1125</v>
          </cell>
          <cell r="K56">
            <v>1199</v>
          </cell>
          <cell r="L56">
            <v>1276</v>
          </cell>
          <cell r="M56">
            <v>1362</v>
          </cell>
          <cell r="N56">
            <v>1446</v>
          </cell>
        </row>
        <row r="57">
          <cell r="D57" t="str">
            <v>Closings</v>
          </cell>
          <cell r="E57">
            <v>3</v>
          </cell>
          <cell r="F57">
            <v>4</v>
          </cell>
          <cell r="G57">
            <v>11</v>
          </cell>
          <cell r="H57">
            <v>7</v>
          </cell>
          <cell r="I57">
            <v>6</v>
          </cell>
          <cell r="J57">
            <v>8</v>
          </cell>
          <cell r="K57">
            <v>8</v>
          </cell>
          <cell r="L57">
            <v>11</v>
          </cell>
          <cell r="M57">
            <v>9</v>
          </cell>
          <cell r="N57">
            <v>10</v>
          </cell>
          <cell r="O57">
            <v>28</v>
          </cell>
        </row>
        <row r="58">
          <cell r="D58" t="str">
            <v>as a % of stores</v>
          </cell>
          <cell r="F58">
            <v>5.018820577164366E-3</v>
          </cell>
          <cell r="G58">
            <v>1.2359550561797753E-2</v>
          </cell>
          <cell r="H58">
            <v>7.3221757322175732E-3</v>
          </cell>
          <cell r="I58">
            <v>5.9701492537313433E-3</v>
          </cell>
          <cell r="J58">
            <v>7.5829383886255926E-3</v>
          </cell>
          <cell r="K58">
            <v>7.1111111111111115E-3</v>
          </cell>
          <cell r="L58">
            <v>9.1743119266055051E-3</v>
          </cell>
          <cell r="M58">
            <v>7.0532915360501571E-3</v>
          </cell>
          <cell r="N58">
            <v>7.3421439060205578E-3</v>
          </cell>
        </row>
        <row r="59">
          <cell r="D59" t="str">
            <v>'10-'12 closings as % '09 ending stores (or '10 begin store cnt)</v>
          </cell>
          <cell r="O59">
            <v>2.4888888888888887E-2</v>
          </cell>
        </row>
        <row r="60">
          <cell r="C60" t="str">
            <v>TJX</v>
          </cell>
          <cell r="D60" t="str">
            <v>End of Period</v>
          </cell>
          <cell r="E60">
            <v>2466</v>
          </cell>
          <cell r="F60">
            <v>2563</v>
          </cell>
          <cell r="G60">
            <v>2652</v>
          </cell>
          <cell r="H60">
            <v>2743</v>
          </cell>
          <cell r="I60">
            <v>2859</v>
          </cell>
          <cell r="J60">
            <v>2905</v>
          </cell>
          <cell r="K60">
            <v>3050</v>
          </cell>
          <cell r="L60">
            <v>3219</v>
          </cell>
          <cell r="M60">
            <v>3395</v>
          </cell>
          <cell r="N60">
            <v>3614</v>
          </cell>
        </row>
        <row r="61">
          <cell r="D61" t="str">
            <v>Closings</v>
          </cell>
          <cell r="E61">
            <v>0</v>
          </cell>
          <cell r="F61">
            <v>0</v>
          </cell>
          <cell r="G61">
            <v>-34</v>
          </cell>
          <cell r="H61">
            <v>0</v>
          </cell>
          <cell r="I61">
            <v>0</v>
          </cell>
          <cell r="J61">
            <v>0</v>
          </cell>
          <cell r="K61">
            <v>0</v>
          </cell>
          <cell r="L61">
            <v>0</v>
          </cell>
          <cell r="M61">
            <v>0</v>
          </cell>
          <cell r="N61">
            <v>0</v>
          </cell>
          <cell r="O61">
            <v>0</v>
          </cell>
        </row>
        <row r="62">
          <cell r="D62" t="str">
            <v>as a % of stores</v>
          </cell>
          <cell r="F62">
            <v>0</v>
          </cell>
          <cell r="G62">
            <v>-1.3265704252828716E-2</v>
          </cell>
          <cell r="H62">
            <v>0</v>
          </cell>
          <cell r="I62">
            <v>0</v>
          </cell>
          <cell r="J62">
            <v>0</v>
          </cell>
          <cell r="K62">
            <v>0</v>
          </cell>
          <cell r="L62">
            <v>0</v>
          </cell>
          <cell r="M62">
            <v>0</v>
          </cell>
          <cell r="N62">
            <v>0</v>
          </cell>
        </row>
        <row r="63">
          <cell r="D63" t="str">
            <v>'10-'12 closings as % '09 ending stores (or '10 begin store cnt)</v>
          </cell>
          <cell r="O63">
            <v>0</v>
          </cell>
        </row>
        <row r="64">
          <cell r="C64" t="str">
            <v>TIF</v>
          </cell>
          <cell r="D64" t="str">
            <v>End of Period</v>
          </cell>
          <cell r="E64">
            <v>167</v>
          </cell>
          <cell r="F64">
            <v>184</v>
          </cell>
          <cell r="G64">
            <v>210</v>
          </cell>
          <cell r="H64">
            <v>224</v>
          </cell>
          <cell r="I64">
            <v>233</v>
          </cell>
          <cell r="J64">
            <v>248</v>
          </cell>
          <cell r="K64">
            <v>276</v>
          </cell>
          <cell r="L64">
            <v>298</v>
          </cell>
          <cell r="M64">
            <v>295</v>
          </cell>
          <cell r="N64">
            <v>307</v>
          </cell>
        </row>
        <row r="65">
          <cell r="D65" t="str">
            <v>Closings</v>
          </cell>
          <cell r="E65">
            <v>0</v>
          </cell>
          <cell r="F65">
            <v>0</v>
          </cell>
          <cell r="G65">
            <v>0</v>
          </cell>
          <cell r="H65">
            <v>0</v>
          </cell>
          <cell r="I65">
            <v>1</v>
          </cell>
          <cell r="J65">
            <v>0</v>
          </cell>
          <cell r="K65">
            <v>0</v>
          </cell>
          <cell r="L65">
            <v>0</v>
          </cell>
          <cell r="M65">
            <v>0</v>
          </cell>
          <cell r="N65">
            <v>0</v>
          </cell>
          <cell r="O65">
            <v>0</v>
          </cell>
        </row>
        <row r="66">
          <cell r="D66" t="str">
            <v>as a % of stores</v>
          </cell>
          <cell r="F66">
            <v>0</v>
          </cell>
          <cell r="G66">
            <v>0</v>
          </cell>
          <cell r="H66">
            <v>0</v>
          </cell>
          <cell r="I66">
            <v>4.464285714285714E-3</v>
          </cell>
          <cell r="J66">
            <v>0</v>
          </cell>
          <cell r="K66">
            <v>0</v>
          </cell>
          <cell r="L66">
            <v>0</v>
          </cell>
          <cell r="M66">
            <v>0</v>
          </cell>
          <cell r="N66">
            <v>0</v>
          </cell>
        </row>
        <row r="67">
          <cell r="D67" t="str">
            <v>'10-'12 closings as % '09 ending stores (or '10 begin store cnt)</v>
          </cell>
          <cell r="O67">
            <v>0</v>
          </cell>
        </row>
        <row r="68">
          <cell r="C68" t="str">
            <v>URBN</v>
          </cell>
          <cell r="D68" t="str">
            <v>End of Period</v>
          </cell>
          <cell r="E68">
            <v>0</v>
          </cell>
          <cell r="F68">
            <v>245</v>
          </cell>
          <cell r="G68">
            <v>294</v>
          </cell>
          <cell r="H68">
            <v>327</v>
          </cell>
          <cell r="I68">
            <v>372</v>
          </cell>
          <cell r="J68">
            <v>429</v>
          </cell>
          <cell r="K68">
            <v>0</v>
          </cell>
          <cell r="L68">
            <v>1</v>
          </cell>
          <cell r="M68">
            <v>0</v>
          </cell>
          <cell r="N68">
            <v>2</v>
          </cell>
        </row>
        <row r="69">
          <cell r="D69" t="str">
            <v>Closings</v>
          </cell>
          <cell r="E69">
            <v>0</v>
          </cell>
          <cell r="F69">
            <v>0</v>
          </cell>
          <cell r="G69">
            <v>0</v>
          </cell>
          <cell r="H69">
            <v>0</v>
          </cell>
          <cell r="I69">
            <v>0</v>
          </cell>
          <cell r="J69">
            <v>0</v>
          </cell>
          <cell r="K69">
            <v>-2</v>
          </cell>
          <cell r="L69">
            <v>0</v>
          </cell>
          <cell r="M69">
            <v>-3</v>
          </cell>
          <cell r="N69">
            <v>-3</v>
          </cell>
          <cell r="O69">
            <v>-5</v>
          </cell>
        </row>
        <row r="70">
          <cell r="D70" t="str">
            <v>as a % of stores</v>
          </cell>
          <cell r="F70" t="e">
            <v>#DIV/0!</v>
          </cell>
          <cell r="G70">
            <v>0</v>
          </cell>
          <cell r="H70">
            <v>0</v>
          </cell>
          <cell r="I70">
            <v>0</v>
          </cell>
          <cell r="J70">
            <v>0</v>
          </cell>
          <cell r="K70">
            <v>-4.662004662004662E-3</v>
          </cell>
          <cell r="L70" t="e">
            <v>#DIV/0!</v>
          </cell>
          <cell r="M70">
            <v>-3</v>
          </cell>
          <cell r="N70" t="e">
            <v>#DIV/0!</v>
          </cell>
        </row>
        <row r="71">
          <cell r="D71" t="str">
            <v>'10-'12 closings as % '09 ending stores (or '10 begin store cnt)</v>
          </cell>
          <cell r="O71">
            <v>-1.1655011655011656E-2</v>
          </cell>
        </row>
        <row r="72">
          <cell r="C72" t="str">
            <v>EXPR</v>
          </cell>
          <cell r="D72" t="str">
            <v>End of Period</v>
          </cell>
          <cell r="E72">
            <v>658</v>
          </cell>
          <cell r="F72">
            <v>587</v>
          </cell>
          <cell r="G72">
            <v>581</v>
          </cell>
          <cell r="H72">
            <v>573</v>
          </cell>
          <cell r="I72">
            <v>591</v>
          </cell>
          <cell r="J72">
            <v>609</v>
          </cell>
          <cell r="K72">
            <v>625</v>
          </cell>
          <cell r="L72">
            <v>632</v>
          </cell>
          <cell r="M72">
            <v>629</v>
          </cell>
          <cell r="N72">
            <v>629</v>
          </cell>
        </row>
        <row r="73">
          <cell r="D73" t="str">
            <v>Closings</v>
          </cell>
          <cell r="E73" t="e">
            <v>#REF!</v>
          </cell>
          <cell r="F73" t="e">
            <v>#REF!</v>
          </cell>
          <cell r="G73">
            <v>10</v>
          </cell>
          <cell r="H73">
            <v>6</v>
          </cell>
          <cell r="I73">
            <v>5</v>
          </cell>
          <cell r="J73">
            <v>9</v>
          </cell>
          <cell r="K73">
            <v>12</v>
          </cell>
          <cell r="L73">
            <v>9</v>
          </cell>
          <cell r="M73">
            <v>5</v>
          </cell>
          <cell r="N73">
            <v>5</v>
          </cell>
          <cell r="O73">
            <v>26</v>
          </cell>
        </row>
        <row r="74">
          <cell r="D74" t="str">
            <v>as a % of stores</v>
          </cell>
          <cell r="F74" t="e">
            <v>#REF!</v>
          </cell>
          <cell r="G74">
            <v>1.7035775127768313E-2</v>
          </cell>
          <cell r="H74">
            <v>1.0327022375215147E-2</v>
          </cell>
          <cell r="I74">
            <v>8.7260034904013961E-3</v>
          </cell>
          <cell r="J74">
            <v>1.5228426395939087E-2</v>
          </cell>
          <cell r="K74">
            <v>1.9704433497536946E-2</v>
          </cell>
          <cell r="L74">
            <v>1.44E-2</v>
          </cell>
          <cell r="M74">
            <v>7.9113924050632917E-3</v>
          </cell>
          <cell r="N74">
            <v>7.9491255961844191E-3</v>
          </cell>
        </row>
        <row r="75">
          <cell r="D75" t="str">
            <v>'10-'12 closings as % '09 ending stores (or '10 begin store cnt)</v>
          </cell>
          <cell r="O75">
            <v>4.2692939244663386E-2</v>
          </cell>
        </row>
        <row r="90">
          <cell r="J90">
            <v>0</v>
          </cell>
          <cell r="K90">
            <v>1</v>
          </cell>
          <cell r="L90">
            <v>2</v>
          </cell>
          <cell r="M90">
            <v>3</v>
          </cell>
          <cell r="N90">
            <v>4</v>
          </cell>
        </row>
        <row r="92">
          <cell r="C92" t="str">
            <v>Store Openings</v>
          </cell>
          <cell r="I92">
            <v>2010</v>
          </cell>
          <cell r="J92">
            <v>2011</v>
          </cell>
          <cell r="K92">
            <v>2012</v>
          </cell>
          <cell r="L92" t="str">
            <v>2013E</v>
          </cell>
          <cell r="M92" t="str">
            <v>2014E</v>
          </cell>
          <cell r="N92" t="str">
            <v>2015E</v>
          </cell>
        </row>
        <row r="93">
          <cell r="C93" t="str">
            <v>KORS</v>
          </cell>
          <cell r="D93" t="str">
            <v>End of Year # Stores</v>
          </cell>
          <cell r="I93">
            <v>106</v>
          </cell>
          <cell r="J93">
            <v>166</v>
          </cell>
          <cell r="K93">
            <v>237</v>
          </cell>
          <cell r="L93">
            <v>303</v>
          </cell>
          <cell r="M93">
            <v>405</v>
          </cell>
          <cell r="N93">
            <v>526</v>
          </cell>
        </row>
        <row r="94">
          <cell r="D94" t="str">
            <v>New Store Openings</v>
          </cell>
          <cell r="I94">
            <v>32</v>
          </cell>
          <cell r="J94">
            <v>60</v>
          </cell>
          <cell r="K94">
            <v>71</v>
          </cell>
          <cell r="L94">
            <v>66</v>
          </cell>
          <cell r="M94">
            <v>102</v>
          </cell>
          <cell r="N94">
            <v>121</v>
          </cell>
        </row>
        <row r="95">
          <cell r="D95" t="str">
            <v>Gross Square Footage</v>
          </cell>
          <cell r="I95">
            <v>5.6603773584905674E-4</v>
          </cell>
          <cell r="J95">
            <v>4.265324118147954E-4</v>
          </cell>
          <cell r="K95">
            <v>3.4961665288653766E-4</v>
          </cell>
          <cell r="L95">
            <v>1.6521559532391717E-4</v>
          </cell>
          <cell r="M95">
            <v>3.1550113710201424E-4</v>
          </cell>
          <cell r="N95">
            <v>2.5679716471858416E-4</v>
          </cell>
        </row>
        <row r="96">
          <cell r="D96" t="str">
            <v>y/y chg. square footage</v>
          </cell>
          <cell r="J96">
            <v>-0.24645940579386161</v>
          </cell>
          <cell r="K96">
            <v>-0.18032805197851021</v>
          </cell>
          <cell r="L96">
            <v>-0.52743785526276077</v>
          </cell>
          <cell r="M96">
            <v>0.90963290410600384</v>
          </cell>
          <cell r="N96">
            <v>-0.18606580287680141</v>
          </cell>
        </row>
        <row r="97">
          <cell r="C97" t="str">
            <v>LULU</v>
          </cell>
          <cell r="D97" t="str">
            <v>End of Year # Stores</v>
          </cell>
          <cell r="I97">
            <v>0</v>
          </cell>
          <cell r="J97">
            <v>0</v>
          </cell>
          <cell r="K97">
            <v>1</v>
          </cell>
          <cell r="L97">
            <v>2</v>
          </cell>
          <cell r="M97">
            <v>1</v>
          </cell>
          <cell r="N97">
            <v>1</v>
          </cell>
        </row>
        <row r="98">
          <cell r="D98" t="str">
            <v>New Store Openings</v>
          </cell>
          <cell r="I98">
            <v>1</v>
          </cell>
          <cell r="J98">
            <v>1</v>
          </cell>
          <cell r="K98">
            <v>2</v>
          </cell>
          <cell r="L98">
            <v>2</v>
          </cell>
          <cell r="M98">
            <v>0</v>
          </cell>
          <cell r="N98">
            <v>1</v>
          </cell>
        </row>
        <row r="99">
          <cell r="D99" t="str">
            <v>Gross Square Footage</v>
          </cell>
          <cell r="I99">
            <v>1</v>
          </cell>
          <cell r="J99">
            <v>0.434</v>
          </cell>
          <cell r="K99">
            <v>0.54800000000000004</v>
          </cell>
          <cell r="L99">
            <v>0.67100000000000004</v>
          </cell>
          <cell r="M99">
            <v>0</v>
          </cell>
          <cell r="N99">
            <v>0</v>
          </cell>
        </row>
        <row r="100">
          <cell r="D100" t="str">
            <v>y/y chg. square footage</v>
          </cell>
          <cell r="J100">
            <v>-0.56600000000000006</v>
          </cell>
          <cell r="K100">
            <v>0.26267281105990792</v>
          </cell>
          <cell r="L100">
            <v>0.22445255474452552</v>
          </cell>
          <cell r="M100">
            <v>-1</v>
          </cell>
          <cell r="N100" t="e">
            <v>#DIV/0!</v>
          </cell>
        </row>
        <row r="101">
          <cell r="C101" t="str">
            <v>TEA</v>
          </cell>
          <cell r="D101" t="str">
            <v>End of Year # Stores</v>
          </cell>
          <cell r="I101">
            <v>146</v>
          </cell>
          <cell r="J101">
            <v>200</v>
          </cell>
          <cell r="K101">
            <v>260</v>
          </cell>
          <cell r="L101">
            <v>340</v>
          </cell>
          <cell r="M101">
            <v>420</v>
          </cell>
          <cell r="N101">
            <v>420</v>
          </cell>
        </row>
        <row r="102">
          <cell r="D102" t="str">
            <v>New Store Openings</v>
          </cell>
          <cell r="I102">
            <v>38</v>
          </cell>
          <cell r="J102">
            <v>54</v>
          </cell>
          <cell r="K102">
            <v>60</v>
          </cell>
          <cell r="L102">
            <v>80</v>
          </cell>
          <cell r="M102">
            <v>80</v>
          </cell>
          <cell r="N102">
            <v>80</v>
          </cell>
        </row>
        <row r="103">
          <cell r="D103" t="str">
            <v>Gross Square Footage</v>
          </cell>
          <cell r="I103">
            <v>0.13</v>
          </cell>
          <cell r="J103">
            <v>0.18021999999999999</v>
          </cell>
          <cell r="K103">
            <v>0.23602000000000001</v>
          </cell>
          <cell r="L103">
            <v>0.30002000000000001</v>
          </cell>
          <cell r="M103">
            <v>0.36401999999999995</v>
          </cell>
          <cell r="N103">
            <v>0.36401999999999995</v>
          </cell>
        </row>
        <row r="104">
          <cell r="D104" t="str">
            <v>y/y chg. square footage</v>
          </cell>
          <cell r="J104">
            <v>0.38630769230769224</v>
          </cell>
          <cell r="K104">
            <v>0.30962157363222742</v>
          </cell>
          <cell r="L104">
            <v>0.27116346072366748</v>
          </cell>
          <cell r="M104">
            <v>0.21331911205919596</v>
          </cell>
          <cell r="N104">
            <v>0</v>
          </cell>
        </row>
        <row r="105">
          <cell r="C105" t="str">
            <v>URBN</v>
          </cell>
          <cell r="D105" t="str">
            <v>End of Year # Stores</v>
          </cell>
          <cell r="I105">
            <v>372</v>
          </cell>
          <cell r="J105">
            <v>429</v>
          </cell>
          <cell r="K105">
            <v>0</v>
          </cell>
          <cell r="L105">
            <v>1</v>
          </cell>
          <cell r="M105">
            <v>0</v>
          </cell>
          <cell r="N105">
            <v>2</v>
          </cell>
        </row>
        <row r="106">
          <cell r="D106" t="str">
            <v>New Store Openings</v>
          </cell>
          <cell r="I106">
            <v>45</v>
          </cell>
          <cell r="J106">
            <v>57</v>
          </cell>
          <cell r="K106">
            <v>49</v>
          </cell>
          <cell r="L106">
            <v>37</v>
          </cell>
          <cell r="M106">
            <v>38</v>
          </cell>
          <cell r="N106">
            <v>33</v>
          </cell>
        </row>
        <row r="107">
          <cell r="D107" t="str">
            <v>Gross Square Footage</v>
          </cell>
          <cell r="I107">
            <v>4.951378557939913</v>
          </cell>
          <cell r="J107">
            <v>3.9141679999999996</v>
          </cell>
          <cell r="K107">
            <v>4.2913493333333328</v>
          </cell>
          <cell r="L107">
            <v>4.6583493333333319</v>
          </cell>
          <cell r="M107">
            <v>5.8610094607379377</v>
          </cell>
          <cell r="N107">
            <v>5.6772816399286983</v>
          </cell>
        </row>
        <row r="108">
          <cell r="D108" t="str">
            <v>y/y chg. square footage</v>
          </cell>
          <cell r="J108">
            <v>-0.20947914723196981</v>
          </cell>
          <cell r="K108">
            <v>9.6363092573781506E-2</v>
          </cell>
          <cell r="L108">
            <v>8.5520886670610308E-2</v>
          </cell>
          <cell r="M108">
            <v>0.25817302253371999</v>
          </cell>
          <cell r="N108">
            <v>-3.1347470438327307E-2</v>
          </cell>
        </row>
        <row r="111">
          <cell r="L111">
            <v>-7.2488137949208317E-2</v>
          </cell>
        </row>
      </sheetData>
      <sheetData sheetId="13">
        <row r="1">
          <cell r="K1" t="str">
            <v>Rent Expense as a % of Sales Relative to Sales Productivity</v>
          </cell>
        </row>
        <row r="2">
          <cell r="B2">
            <v>2</v>
          </cell>
          <cell r="C2">
            <v>42</v>
          </cell>
          <cell r="D2">
            <v>23</v>
          </cell>
          <cell r="F2">
            <v>41</v>
          </cell>
          <cell r="G2">
            <v>21</v>
          </cell>
        </row>
        <row r="3">
          <cell r="C3" t="str">
            <v>2012A</v>
          </cell>
          <cell r="D3" t="str">
            <v>2012A</v>
          </cell>
          <cell r="F3" t="str">
            <v>2012A</v>
          </cell>
          <cell r="G3" t="str">
            <v>2012A</v>
          </cell>
        </row>
        <row r="4">
          <cell r="A4" t="str">
            <v>2012</v>
          </cell>
          <cell r="C4" t="str">
            <v>Total Sales per</v>
          </cell>
          <cell r="D4" t="str">
            <v>Rent as %</v>
          </cell>
          <cell r="F4" t="str">
            <v>Sales per</v>
          </cell>
          <cell r="G4" t="str">
            <v>Rent as %</v>
          </cell>
        </row>
        <row r="5">
          <cell r="C5" t="str">
            <v>Square Ft</v>
          </cell>
          <cell r="D5" t="str">
            <v>of Revenue</v>
          </cell>
          <cell r="F5" t="str">
            <v>Square Ft</v>
          </cell>
          <cell r="G5" t="str">
            <v>of Revenue</v>
          </cell>
        </row>
        <row r="6">
          <cell r="A6" t="str">
            <v>AEO2012</v>
          </cell>
          <cell r="B6" t="str">
            <v>AEO</v>
          </cell>
          <cell r="C6">
            <v>556.41489592799871</v>
          </cell>
          <cell r="D6">
            <v>0.10946507309679895</v>
          </cell>
          <cell r="F6">
            <v>477.65316270123833</v>
          </cell>
          <cell r="G6">
            <v>0.12645528685503399</v>
          </cell>
          <cell r="J6">
            <v>1</v>
          </cell>
          <cell r="AL6" t="str">
            <v>AEO</v>
          </cell>
          <cell r="AM6">
            <v>556.41489592799871</v>
          </cell>
          <cell r="AN6">
            <v>0.10946507309679895</v>
          </cell>
        </row>
        <row r="7">
          <cell r="A7" t="str">
            <v>ANF2012</v>
          </cell>
          <cell r="B7" t="str">
            <v>ANF</v>
          </cell>
          <cell r="C7">
            <v>574.6052968644251</v>
          </cell>
          <cell r="D7">
            <v>0.13179221890549467</v>
          </cell>
          <cell r="F7">
            <v>574.6052968644251</v>
          </cell>
          <cell r="G7">
            <v>0.15602665073739372</v>
          </cell>
          <cell r="J7">
            <v>2</v>
          </cell>
          <cell r="AL7" t="str">
            <v>ANF</v>
          </cell>
          <cell r="AM7">
            <v>574.6052968644251</v>
          </cell>
          <cell r="AN7">
            <v>0.13179221890549467</v>
          </cell>
        </row>
        <row r="8">
          <cell r="A8" t="str">
            <v>ANN2012</v>
          </cell>
          <cell r="B8" t="str">
            <v>ANN</v>
          </cell>
          <cell r="C8">
            <v>416.54038699269682</v>
          </cell>
          <cell r="D8">
            <v>0.12403994259756541</v>
          </cell>
          <cell r="F8">
            <v>416.54038699269682</v>
          </cell>
          <cell r="G8">
            <v>0.14313320399313553</v>
          </cell>
          <cell r="J8">
            <v>3</v>
          </cell>
          <cell r="AL8" t="str">
            <v>ANN</v>
          </cell>
          <cell r="AM8">
            <v>416.54038699269682</v>
          </cell>
          <cell r="AN8">
            <v>0.12403994259756541</v>
          </cell>
        </row>
        <row r="9">
          <cell r="A9" t="str">
            <v>ARO2012</v>
          </cell>
          <cell r="B9" t="str">
            <v>ARO</v>
          </cell>
          <cell r="C9">
            <v>602.39488381222384</v>
          </cell>
          <cell r="D9">
            <v>8.7383988118237624E-2</v>
          </cell>
          <cell r="F9">
            <v>602.39488381222384</v>
          </cell>
          <cell r="G9">
            <v>9.6125698305994267E-2</v>
          </cell>
          <cell r="J9">
            <v>4</v>
          </cell>
          <cell r="AL9" t="str">
            <v>ARO</v>
          </cell>
          <cell r="AM9">
            <v>602.39488381222384</v>
          </cell>
          <cell r="AN9">
            <v>8.7383988118237624E-2</v>
          </cell>
        </row>
        <row r="10">
          <cell r="A10" t="str">
            <v>CHS2012</v>
          </cell>
          <cell r="B10" t="str">
            <v>CHS</v>
          </cell>
          <cell r="C10">
            <v>4990793.7258014008</v>
          </cell>
          <cell r="D10">
            <v>7.9812262960484798E-2</v>
          </cell>
          <cell r="F10">
            <v>624.2786762617161</v>
          </cell>
          <cell r="G10">
            <v>9.2956103365497214E-2</v>
          </cell>
          <cell r="J10">
            <v>5</v>
          </cell>
          <cell r="AL10" t="str">
            <v>CHS</v>
          </cell>
          <cell r="AM10">
            <v>4990793.7258014008</v>
          </cell>
          <cell r="AN10">
            <v>7.9812262960484798E-2</v>
          </cell>
        </row>
        <row r="11">
          <cell r="A11" t="str">
            <v>COH2012</v>
          </cell>
          <cell r="B11" t="str">
            <v>COH</v>
          </cell>
          <cell r="C11">
            <v>2191.0094270103577</v>
          </cell>
          <cell r="D11">
            <v>3.4982012079537157E-5</v>
          </cell>
          <cell r="F11">
            <v>1943.2337028269992</v>
          </cell>
          <cell r="G11">
            <v>3.9442460333284837E-5</v>
          </cell>
          <cell r="J11">
            <v>6</v>
          </cell>
          <cell r="AL11" t="str">
            <v>COH</v>
          </cell>
          <cell r="AM11">
            <v>2191.0094270103577</v>
          </cell>
          <cell r="AN11">
            <v>3.4982012079537157E-5</v>
          </cell>
        </row>
        <row r="12">
          <cell r="A12" t="str">
            <v>EXPR2012</v>
          </cell>
          <cell r="B12" t="str">
            <v>EXPR</v>
          </cell>
          <cell r="C12">
            <v>402.51639620732294</v>
          </cell>
          <cell r="D12">
            <v>0.13382112027127621</v>
          </cell>
          <cell r="F12">
            <v>347.29789753775805</v>
          </cell>
          <cell r="G12">
            <v>0.15509795898538264</v>
          </cell>
          <cell r="J12">
            <v>7</v>
          </cell>
          <cell r="AL12" t="str">
            <v>EXPR</v>
          </cell>
          <cell r="AM12">
            <v>402.51639620732294</v>
          </cell>
          <cell r="AN12">
            <v>0.13382112027127621</v>
          </cell>
        </row>
        <row r="13">
          <cell r="A13" t="str">
            <v>GPS2012</v>
          </cell>
          <cell r="B13" t="str">
            <v>GPS</v>
          </cell>
          <cell r="C13">
            <v>422.42914979757086</v>
          </cell>
          <cell r="D13">
            <v>0.11351964730688134</v>
          </cell>
          <cell r="F13">
            <v>374.73684210526318</v>
          </cell>
          <cell r="G13">
            <v>0.11645883586785527</v>
          </cell>
          <cell r="J13">
            <v>8</v>
          </cell>
          <cell r="AL13" t="str">
            <v>GPS</v>
          </cell>
          <cell r="AM13">
            <v>422.42914979757086</v>
          </cell>
          <cell r="AN13">
            <v>0.11351964730688134</v>
          </cell>
        </row>
        <row r="14">
          <cell r="A14" t="str">
            <v>KORS2012</v>
          </cell>
          <cell r="B14" t="str">
            <v>KORS</v>
          </cell>
          <cell r="C14">
            <v>5992094.4345859783</v>
          </cell>
          <cell r="D14">
            <v>6.4530410344054365E-2</v>
          </cell>
          <cell r="F14">
            <v>5992094.4345859783</v>
          </cell>
          <cell r="G14">
            <v>6.7208427178607824E-2</v>
          </cell>
          <cell r="J14">
            <v>9</v>
          </cell>
          <cell r="AL14" t="str">
            <v>KORS</v>
          </cell>
          <cell r="AM14">
            <v>5992094.4345859783</v>
          </cell>
          <cell r="AN14">
            <v>6.4530410344054365E-2</v>
          </cell>
        </row>
        <row r="15">
          <cell r="A15" t="str">
            <v>LTD2012</v>
          </cell>
          <cell r="B15" t="str">
            <v>LTD</v>
          </cell>
          <cell r="C15">
            <v>767.91335872607954</v>
          </cell>
          <cell r="D15">
            <v>-9.6206576184754474E-3</v>
          </cell>
          <cell r="F15">
            <v>604.88091413886457</v>
          </cell>
          <cell r="G15">
            <v>-1.1349604379189139E-2</v>
          </cell>
          <cell r="J15">
            <v>10</v>
          </cell>
          <cell r="AL15" t="str">
            <v>LTD</v>
          </cell>
          <cell r="AM15">
            <v>767.91335872607954</v>
          </cell>
          <cell r="AN15">
            <v>-9.6206576184754474E-3</v>
          </cell>
        </row>
        <row r="16">
          <cell r="A16" t="str">
            <v>LULU2012</v>
          </cell>
          <cell r="B16" t="str">
            <v>LULU</v>
          </cell>
          <cell r="C16">
            <v>2500.6532846715327</v>
          </cell>
          <cell r="D16">
            <v>6.0150705144203197E-2</v>
          </cell>
          <cell r="F16" t="e">
            <v>#N/A</v>
          </cell>
          <cell r="G16">
            <v>6.0150705144203197E-2</v>
          </cell>
          <cell r="J16">
            <v>11</v>
          </cell>
          <cell r="AL16" t="str">
            <v>LULU</v>
          </cell>
          <cell r="AM16">
            <v>2500.6532846715327</v>
          </cell>
          <cell r="AN16">
            <v>6.0150705144203197E-2</v>
          </cell>
        </row>
        <row r="17">
          <cell r="A17" t="str">
            <v>PLCE2012</v>
          </cell>
          <cell r="B17" t="str">
            <v>PLCE</v>
          </cell>
          <cell r="C17">
            <v>345.6685457146607</v>
          </cell>
          <cell r="D17">
            <v>0.14313360258106445</v>
          </cell>
          <cell r="F17">
            <v>304.58910098878653</v>
          </cell>
          <cell r="G17">
            <v>0.16243780255590382</v>
          </cell>
          <cell r="J17">
            <v>12</v>
          </cell>
          <cell r="AL17" t="str">
            <v>PLCE</v>
          </cell>
          <cell r="AM17">
            <v>345.6685457146607</v>
          </cell>
          <cell r="AN17">
            <v>0.14313360258106445</v>
          </cell>
        </row>
        <row r="18">
          <cell r="A18" t="str">
            <v>ROST2012</v>
          </cell>
          <cell r="B18" t="str">
            <v>ROST</v>
          </cell>
          <cell r="C18">
            <v>286.07017368325023</v>
          </cell>
          <cell r="D18">
            <v>5.4542007485805309E-2</v>
          </cell>
          <cell r="F18">
            <v>286.07017368325023</v>
          </cell>
          <cell r="G18">
            <v>5.4542007485805309E-2</v>
          </cell>
          <cell r="J18">
            <v>13</v>
          </cell>
          <cell r="AL18" t="str">
            <v>TIF</v>
          </cell>
          <cell r="AM18">
            <v>3420.2451886239687</v>
          </cell>
          <cell r="AN18">
            <v>8.6018880675675216E-2</v>
          </cell>
        </row>
        <row r="19">
          <cell r="A19" t="str">
            <v>TIF2012</v>
          </cell>
          <cell r="B19" t="str">
            <v>TIF</v>
          </cell>
          <cell r="C19">
            <v>3420.2451886239687</v>
          </cell>
          <cell r="D19">
            <v>8.6018880675675216E-2</v>
          </cell>
          <cell r="F19">
            <v>3365.8830179294127</v>
          </cell>
          <cell r="G19">
            <v>9.2356361645005838E-2</v>
          </cell>
          <cell r="J19">
            <v>14</v>
          </cell>
          <cell r="AL19" t="str">
            <v>URBN</v>
          </cell>
          <cell r="AM19">
            <v>651.29281792331381</v>
          </cell>
          <cell r="AN19">
            <v>9.4505110512804441E-2</v>
          </cell>
        </row>
        <row r="20">
          <cell r="A20" t="str">
            <v>TJX2012</v>
          </cell>
          <cell r="B20" t="str">
            <v>TJX</v>
          </cell>
          <cell r="C20">
            <v>296.7703211009175</v>
          </cell>
          <cell r="D20">
            <v>6.0213525023907991E-2</v>
          </cell>
          <cell r="F20">
            <v>296.7703211009175</v>
          </cell>
          <cell r="G20">
            <v>6.0213525023907991E-2</v>
          </cell>
          <cell r="J20">
            <v>15</v>
          </cell>
        </row>
        <row r="21">
          <cell r="A21" t="str">
            <v>URBN2012</v>
          </cell>
          <cell r="B21" t="str">
            <v>URBN</v>
          </cell>
          <cell r="C21">
            <v>651.29281792331381</v>
          </cell>
          <cell r="D21">
            <v>9.4505110512804441E-2</v>
          </cell>
          <cell r="F21">
            <v>616.65546066008153</v>
          </cell>
          <cell r="G21">
            <v>9.9813434990348712E-2</v>
          </cell>
          <cell r="J21">
            <v>16</v>
          </cell>
        </row>
        <row r="24">
          <cell r="B24" t="str">
            <v>max</v>
          </cell>
          <cell r="C24">
            <v>5992094.4345859783</v>
          </cell>
          <cell r="D24">
            <v>0.14313360258106445</v>
          </cell>
          <cell r="AL24" t="str">
            <v>ROST</v>
          </cell>
          <cell r="AM24">
            <v>286.07017368325023</v>
          </cell>
          <cell r="AN24">
            <v>5.4542007485805309E-2</v>
          </cell>
        </row>
        <row r="25">
          <cell r="B25" t="str">
            <v>min</v>
          </cell>
          <cell r="C25">
            <v>286.07017368325023</v>
          </cell>
          <cell r="D25">
            <v>-9.6206576184754474E-3</v>
          </cell>
          <cell r="AL25" t="str">
            <v>TJX</v>
          </cell>
          <cell r="AM25">
            <v>296.7703211009175</v>
          </cell>
          <cell r="AN25">
            <v>6.0213525023907991E-2</v>
          </cell>
        </row>
        <row r="27">
          <cell r="K27" t="str">
            <v>Rent Per Square Foot Relative to Sales Productivity</v>
          </cell>
        </row>
        <row r="29">
          <cell r="B29">
            <v>2</v>
          </cell>
          <cell r="C29">
            <v>42</v>
          </cell>
          <cell r="D29">
            <v>39</v>
          </cell>
        </row>
        <row r="30">
          <cell r="C30" t="str">
            <v>Sales per</v>
          </cell>
          <cell r="D30" t="str">
            <v>Rent per</v>
          </cell>
          <cell r="AV30" t="str">
            <v>AEO</v>
          </cell>
          <cell r="AW30">
            <v>477.65316270123833</v>
          </cell>
          <cell r="AX30">
            <v>0.12645528685503399</v>
          </cell>
        </row>
        <row r="31">
          <cell r="C31" t="str">
            <v>Square Ft</v>
          </cell>
          <cell r="D31" t="str">
            <v>Square Ft</v>
          </cell>
          <cell r="AV31" t="str">
            <v>ANF</v>
          </cell>
          <cell r="AW31">
            <v>574.6052968644251</v>
          </cell>
          <cell r="AX31">
            <v>0.15602665073739372</v>
          </cell>
        </row>
        <row r="32">
          <cell r="A32" t="str">
            <v>AEO2012</v>
          </cell>
          <cell r="B32" t="str">
            <v>AEO</v>
          </cell>
          <cell r="C32">
            <v>556.41489592799871</v>
          </cell>
          <cell r="D32">
            <v>60.907997254906157</v>
          </cell>
          <cell r="G32">
            <v>0.99168537411331648</v>
          </cell>
          <cell r="J32">
            <v>1</v>
          </cell>
          <cell r="AV32" t="str">
            <v>ANN</v>
          </cell>
          <cell r="AW32">
            <v>416.54038699269682</v>
          </cell>
          <cell r="AX32">
            <v>0.14313320399313553</v>
          </cell>
        </row>
        <row r="33">
          <cell r="A33" t="str">
            <v>ANF2012</v>
          </cell>
          <cell r="B33" t="str">
            <v>ANF</v>
          </cell>
          <cell r="C33">
            <v>574.6052968644251</v>
          </cell>
          <cell r="D33">
            <v>75.728507068613069</v>
          </cell>
          <cell r="J33">
            <v>2</v>
          </cell>
          <cell r="AV33" t="str">
            <v>ARO</v>
          </cell>
          <cell r="AW33">
            <v>602.39488381222384</v>
          </cell>
          <cell r="AX33">
            <v>9.6125698305994267E-2</v>
          </cell>
        </row>
        <row r="34">
          <cell r="A34" t="str">
            <v>ANN2012</v>
          </cell>
          <cell r="B34" t="str">
            <v>ANN</v>
          </cell>
          <cell r="C34">
            <v>416.54038699269682</v>
          </cell>
          <cell r="D34">
            <v>51.667645692141797</v>
          </cell>
          <cell r="J34">
            <v>3</v>
          </cell>
          <cell r="AV34" t="str">
            <v>CHS</v>
          </cell>
          <cell r="AW34">
            <v>624.2786762617161</v>
          </cell>
          <cell r="AX34">
            <v>9.2956103365497214E-2</v>
          </cell>
        </row>
        <row r="35">
          <cell r="A35" t="str">
            <v>ARO2012</v>
          </cell>
          <cell r="B35" t="str">
            <v>ARO</v>
          </cell>
          <cell r="C35">
            <v>602.39488381222384</v>
          </cell>
          <cell r="D35">
            <v>52.639667369534507</v>
          </cell>
          <cell r="J35">
            <v>4</v>
          </cell>
          <cell r="AV35" t="str">
            <v>COH</v>
          </cell>
          <cell r="AW35">
            <v>1943.2337028269992</v>
          </cell>
          <cell r="AX35">
            <v>3.9442460333284837E-5</v>
          </cell>
        </row>
        <row r="36">
          <cell r="A36" t="str">
            <v>CHS2012</v>
          </cell>
          <cell r="B36" t="str">
            <v>CHS</v>
          </cell>
          <cell r="C36">
            <v>4990793.7258014008</v>
          </cell>
          <cell r="D36">
            <v>398326.54122519906</v>
          </cell>
          <cell r="J36">
            <v>5</v>
          </cell>
          <cell r="AV36" t="str">
            <v>EXPR</v>
          </cell>
          <cell r="AW36">
            <v>347.29789753775805</v>
          </cell>
          <cell r="AX36">
            <v>0.15509795898538264</v>
          </cell>
        </row>
        <row r="37">
          <cell r="A37" t="str">
            <v>COH2012</v>
          </cell>
          <cell r="B37" t="str">
            <v>COH</v>
          </cell>
          <cell r="C37">
            <v>2191.0094270103577</v>
          </cell>
          <cell r="D37">
            <v>7.6645918242056119E-2</v>
          </cell>
          <cell r="J37">
            <v>6</v>
          </cell>
          <cell r="AV37" t="str">
            <v>GPS</v>
          </cell>
          <cell r="AW37">
            <v>374.73684210526318</v>
          </cell>
          <cell r="AX37">
            <v>0.11645883586785527</v>
          </cell>
        </row>
        <row r="38">
          <cell r="A38" t="str">
            <v>EXPR2012</v>
          </cell>
          <cell r="B38" t="str">
            <v>EXPR</v>
          </cell>
          <cell r="C38">
            <v>402.51639620732294</v>
          </cell>
          <cell r="D38">
            <v>53.865195068020832</v>
          </cell>
          <cell r="J38">
            <v>7</v>
          </cell>
          <cell r="AV38" t="str">
            <v>KORS</v>
          </cell>
          <cell r="AW38">
            <v>5992094.4345859783</v>
          </cell>
          <cell r="AX38">
            <v>6.7208427178607824E-2</v>
          </cell>
        </row>
        <row r="39">
          <cell r="A39" t="str">
            <v>GPS2012</v>
          </cell>
          <cell r="B39" t="str">
            <v>GPS</v>
          </cell>
          <cell r="C39">
            <v>422.42914979757086</v>
          </cell>
          <cell r="D39">
            <v>47.954008097165996</v>
          </cell>
          <cell r="J39">
            <v>8</v>
          </cell>
          <cell r="AV39" t="str">
            <v>LTD</v>
          </cell>
          <cell r="AW39">
            <v>604.88091413886457</v>
          </cell>
          <cell r="AX39">
            <v>-1.1349604379189139E-2</v>
          </cell>
        </row>
        <row r="40">
          <cell r="A40" t="str">
            <v>KORS2012</v>
          </cell>
          <cell r="B40" t="str">
            <v>KORS</v>
          </cell>
          <cell r="C40">
            <v>5992094.4345859783</v>
          </cell>
          <cell r="D40">
            <v>402719.24245421297</v>
          </cell>
          <cell r="J40">
            <v>9</v>
          </cell>
          <cell r="AV40" t="str">
            <v>LULU</v>
          </cell>
          <cell r="AW40" t="e">
            <v>#N/A</v>
          </cell>
          <cell r="AX40">
            <v>6.0150705144203197E-2</v>
          </cell>
        </row>
        <row r="41">
          <cell r="A41" t="str">
            <v>LTD2012</v>
          </cell>
          <cell r="B41" t="str">
            <v>LTD</v>
          </cell>
          <cell r="C41">
            <v>767.91335872607954</v>
          </cell>
          <cell r="D41">
            <v>-7.387831504957127</v>
          </cell>
          <cell r="J41">
            <v>10</v>
          </cell>
          <cell r="AV41" t="str">
            <v>PLCE</v>
          </cell>
          <cell r="AW41">
            <v>304.58910098878653</v>
          </cell>
          <cell r="AX41">
            <v>0.16243780255590382</v>
          </cell>
        </row>
        <row r="42">
          <cell r="A42" t="str">
            <v>LULU2012</v>
          </cell>
          <cell r="B42" t="str">
            <v>LULU</v>
          </cell>
          <cell r="C42">
            <v>2500.6532846715327</v>
          </cell>
          <cell r="D42">
            <v>150.41605839416056</v>
          </cell>
          <cell r="J42">
            <v>11</v>
          </cell>
          <cell r="AV42" t="str">
            <v>TIF</v>
          </cell>
          <cell r="AW42">
            <v>3365.8830179294127</v>
          </cell>
          <cell r="AX42">
            <v>9.2356361645005838E-2</v>
          </cell>
        </row>
        <row r="43">
          <cell r="A43" t="str">
            <v>PLCE2012</v>
          </cell>
          <cell r="B43" t="str">
            <v>PLCE</v>
          </cell>
          <cell r="C43">
            <v>345.6685457146607</v>
          </cell>
          <cell r="D43">
            <v>49.476784247096752</v>
          </cell>
          <cell r="J43">
            <v>12</v>
          </cell>
          <cell r="AV43" t="str">
            <v>URBN</v>
          </cell>
          <cell r="AW43">
            <v>616.65546066008153</v>
          </cell>
          <cell r="AX43">
            <v>9.9813434990348712E-2</v>
          </cell>
        </row>
        <row r="44">
          <cell r="A44" t="str">
            <v>ROST2012</v>
          </cell>
          <cell r="B44" t="str">
            <v>ROST</v>
          </cell>
          <cell r="C44">
            <v>286.07017368325023</v>
          </cell>
          <cell r="D44">
            <v>15.602841554497461</v>
          </cell>
          <cell r="J44">
            <v>13</v>
          </cell>
        </row>
        <row r="45">
          <cell r="A45" t="str">
            <v>TIF2012</v>
          </cell>
          <cell r="B45" t="str">
            <v>TIF</v>
          </cell>
          <cell r="C45">
            <v>3420.2451886239687</v>
          </cell>
          <cell r="D45">
            <v>294.20566276179744</v>
          </cell>
          <cell r="J45">
            <v>14</v>
          </cell>
        </row>
        <row r="46">
          <cell r="A46" t="str">
            <v>TJX2012</v>
          </cell>
          <cell r="B46" t="str">
            <v>TJX</v>
          </cell>
          <cell r="C46">
            <v>296.7703211009175</v>
          </cell>
          <cell r="D46">
            <v>17.869587155963305</v>
          </cell>
          <cell r="J46">
            <v>15</v>
          </cell>
        </row>
        <row r="47">
          <cell r="A47" t="str">
            <v>URBN2012</v>
          </cell>
          <cell r="B47" t="str">
            <v>URBN</v>
          </cell>
          <cell r="C47">
            <v>651.29281792331381</v>
          </cell>
          <cell r="D47">
            <v>61.550499734038588</v>
          </cell>
          <cell r="J47">
            <v>16</v>
          </cell>
          <cell r="AV47" t="str">
            <v>TJX</v>
          </cell>
          <cell r="AW47">
            <v>296.7703211009175</v>
          </cell>
          <cell r="AX47">
            <v>6.0213525023907991E-2</v>
          </cell>
        </row>
        <row r="48">
          <cell r="C48" t="str">
            <v>max</v>
          </cell>
          <cell r="D48">
            <v>402719.24245421297</v>
          </cell>
          <cell r="AV48" t="str">
            <v>ROST</v>
          </cell>
          <cell r="AW48">
            <v>286.07017368325023</v>
          </cell>
          <cell r="AX48">
            <v>5.4542007485805309E-2</v>
          </cell>
        </row>
        <row r="49">
          <cell r="C49" t="str">
            <v>min</v>
          </cell>
          <cell r="D49">
            <v>-7.387831504957127</v>
          </cell>
        </row>
        <row r="52">
          <cell r="D52">
            <v>50123.14730926395</v>
          </cell>
          <cell r="I52">
            <v>4</v>
          </cell>
        </row>
        <row r="53">
          <cell r="D53">
            <v>33233.868010578008</v>
          </cell>
          <cell r="K53">
            <v>8</v>
          </cell>
          <cell r="L53">
            <v>0.625</v>
          </cell>
        </row>
        <row r="54">
          <cell r="K54">
            <v>5</v>
          </cell>
        </row>
        <row r="58">
          <cell r="B58" t="str">
            <v>AEO</v>
          </cell>
          <cell r="C58">
            <v>556.41489592799871</v>
          </cell>
          <cell r="D58">
            <v>60.907997254906157</v>
          </cell>
          <cell r="G58">
            <v>0.83441541839588385</v>
          </cell>
        </row>
        <row r="59">
          <cell r="B59" t="str">
            <v>ANF</v>
          </cell>
          <cell r="C59">
            <v>573.42437500905748</v>
          </cell>
          <cell r="D59">
            <v>75.572870756940176</v>
          </cell>
        </row>
        <row r="60">
          <cell r="B60" t="str">
            <v>ANN</v>
          </cell>
          <cell r="C60">
            <v>416.54038699269688</v>
          </cell>
          <cell r="D60">
            <v>51.667645692141797</v>
          </cell>
        </row>
        <row r="61">
          <cell r="B61" t="str">
            <v>ARO</v>
          </cell>
          <cell r="C61">
            <v>599.52955766762716</v>
          </cell>
          <cell r="D61">
            <v>52.389283743760188</v>
          </cell>
        </row>
        <row r="62">
          <cell r="B62" t="str">
            <v>CHS</v>
          </cell>
          <cell r="C62">
            <v>655.73204488974068</v>
          </cell>
          <cell r="D62">
            <v>52.335478675118473</v>
          </cell>
        </row>
        <row r="63">
          <cell r="B63" t="str">
            <v>COH</v>
          </cell>
          <cell r="C63">
            <v>2191.0094270103577</v>
          </cell>
          <cell r="D63">
            <v>145.08335272952749</v>
          </cell>
        </row>
        <row r="64">
          <cell r="B64" t="str">
            <v>EXPR</v>
          </cell>
          <cell r="C64">
            <v>402.51639620732294</v>
          </cell>
          <cell r="D64">
            <v>53.865195068020832</v>
          </cell>
        </row>
        <row r="65">
          <cell r="B65" t="str">
            <v>GPS</v>
          </cell>
          <cell r="C65">
            <v>424.14634146341456</v>
          </cell>
          <cell r="D65">
            <v>48.148943089430887</v>
          </cell>
        </row>
        <row r="66">
          <cell r="B66" t="str">
            <v>KORS</v>
          </cell>
          <cell r="C66">
            <v>1719.6195990428828</v>
          </cell>
          <cell r="D66">
            <v>233.01601264001974</v>
          </cell>
        </row>
        <row r="67">
          <cell r="B67" t="str">
            <v>LTD</v>
          </cell>
          <cell r="C67">
            <v>767.91335872607954</v>
          </cell>
          <cell r="D67">
            <v>56.613390849433259</v>
          </cell>
        </row>
        <row r="68">
          <cell r="B68" t="str">
            <v>LULU</v>
          </cell>
          <cell r="C68">
            <v>2500.6532846715322</v>
          </cell>
          <cell r="D68">
            <v>150.41605839416056</v>
          </cell>
        </row>
        <row r="69">
          <cell r="B69" t="str">
            <v>PLCE</v>
          </cell>
          <cell r="C69">
            <v>345.6685457146607</v>
          </cell>
          <cell r="D69">
            <v>49.476784247096752</v>
          </cell>
        </row>
        <row r="70">
          <cell r="B70" t="str">
            <v>TIF</v>
          </cell>
          <cell r="C70">
            <v>3420.4894758191731</v>
          </cell>
          <cell r="D70">
            <v>294.20566276179744</v>
          </cell>
        </row>
        <row r="71">
          <cell r="B71" t="str">
            <v>URBN</v>
          </cell>
          <cell r="C71">
            <v>649.80887279121066</v>
          </cell>
          <cell r="D71">
            <v>61.410259335334239</v>
          </cell>
        </row>
        <row r="72">
          <cell r="O72" t="str">
            <v>blah</v>
          </cell>
        </row>
        <row r="73">
          <cell r="O73" t="str">
            <v>hello</v>
          </cell>
        </row>
        <row r="74">
          <cell r="O74" t="str">
            <v>blah</v>
          </cell>
        </row>
        <row r="76">
          <cell r="B76" t="str">
            <v>TJX</v>
          </cell>
          <cell r="C76">
            <v>296.7703211009175</v>
          </cell>
          <cell r="D76">
            <v>17.869587155963305</v>
          </cell>
        </row>
        <row r="78">
          <cell r="B78" t="str">
            <v>ROST</v>
          </cell>
          <cell r="C78">
            <v>286.07017368325023</v>
          </cell>
          <cell r="D78">
            <v>15.602841554497461</v>
          </cell>
        </row>
      </sheetData>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Tables"/>
      <sheetName val="URBN Sales"/>
      <sheetName val="JWN Variance Chart"/>
      <sheetName val="JCP Variance Chart"/>
      <sheetName val="COH Variance Chart Data"/>
      <sheetName val="TJX Variance Chart Data"/>
      <sheetName val="SKS Variance Chart Data"/>
      <sheetName val="KSS Variance Chart Data"/>
      <sheetName val="M Variance Chart Data"/>
      <sheetName val="LTD Variance Chart Data"/>
      <sheetName val="VS. Consensus"/>
    </sheetNames>
    <sheetDataSet>
      <sheetData sheetId="0"/>
      <sheetData sheetId="1">
        <row r="1">
          <cell r="A1" t="str">
            <v>COH</v>
          </cell>
        </row>
        <row r="2">
          <cell r="A2" t="str">
            <v>As a % of Sales</v>
          </cell>
          <cell r="B2" t="str">
            <v>3Q10</v>
          </cell>
          <cell r="C2" t="str">
            <v>3Q09</v>
          </cell>
          <cell r="D2" t="str">
            <v>MS Estimate</v>
          </cell>
          <cell r="F2" t="str">
            <v>y/y∆ (bp)</v>
          </cell>
          <cell r="G2" t="str">
            <v>∆ vs 
Est. (bp)</v>
          </cell>
          <cell r="J2" t="str">
            <v>FQ1</v>
          </cell>
          <cell r="K2" t="str">
            <v>FQ2</v>
          </cell>
          <cell r="L2" t="str">
            <v>FQ3</v>
          </cell>
          <cell r="M2" t="str">
            <v>FY1</v>
          </cell>
          <cell r="N2" t="str">
            <v>FY2</v>
          </cell>
        </row>
        <row r="3">
          <cell r="A3" t="str">
            <v>Gross Income</v>
          </cell>
          <cell r="B3">
            <v>0.74116245487364618</v>
          </cell>
          <cell r="C3">
            <v>0.7096030889032745</v>
          </cell>
          <cell r="D3">
            <v>0.72560308890327452</v>
          </cell>
          <cell r="F3">
            <v>315.59365970371675</v>
          </cell>
          <cell r="G3">
            <v>155.59365970371664</v>
          </cell>
          <cell r="I3" t="str">
            <v>Consensus</v>
          </cell>
          <cell r="J3">
            <v>0.72</v>
          </cell>
          <cell r="K3">
            <v>0.42599999999999999</v>
          </cell>
          <cell r="M3">
            <v>2.081</v>
          </cell>
          <cell r="N3">
            <v>2.2749999999999999</v>
          </cell>
        </row>
        <row r="4">
          <cell r="A4" t="str">
            <v>SG&amp;A Expense</v>
          </cell>
          <cell r="B4">
            <v>0.44097833935018049</v>
          </cell>
          <cell r="C4">
            <v>0.44101067790723286</v>
          </cell>
          <cell r="D4">
            <v>0.43692237117798643</v>
          </cell>
          <cell r="F4">
            <v>-0.32338557052369321</v>
          </cell>
          <cell r="G4">
            <v>40.559681721940578</v>
          </cell>
          <cell r="I4" t="str">
            <v>MS Est.</v>
          </cell>
          <cell r="J4">
            <v>0.7264395435116795</v>
          </cell>
          <cell r="K4">
            <v>0.44398364879993413</v>
          </cell>
          <cell r="L4">
            <v>0.52239948825870619</v>
          </cell>
          <cell r="M4">
            <v>2.1327424509456789</v>
          </cell>
          <cell r="N4">
            <v>2.3543180587690742</v>
          </cell>
        </row>
        <row r="5">
          <cell r="A5" t="str">
            <v>Operating Income</v>
          </cell>
          <cell r="B5">
            <v>0.30018411552346569</v>
          </cell>
          <cell r="C5">
            <v>0.26859241099604159</v>
          </cell>
          <cell r="D5">
            <v>0.28868071772528814</v>
          </cell>
          <cell r="F5">
            <v>315.91704527424105</v>
          </cell>
          <cell r="G5">
            <v>115.03397798177551</v>
          </cell>
          <cell r="I5" t="str">
            <v>MS/C</v>
          </cell>
          <cell r="J5">
            <v>6.4395435116795241E-3</v>
          </cell>
          <cell r="K5">
            <v>1.7983648799934138E-2</v>
          </cell>
          <cell r="L5">
            <v>0.52239948825870619</v>
          </cell>
          <cell r="M5">
            <v>5.1742450945678975E-2</v>
          </cell>
          <cell r="N5">
            <v>7.9318058769074273E-2</v>
          </cell>
        </row>
        <row r="6">
          <cell r="A6" t="str">
            <v>Interest Expense</v>
          </cell>
          <cell r="B6">
            <v>-1.2515042117930205E-4</v>
          </cell>
          <cell r="C6">
            <v>1.6352699344135126E-4</v>
          </cell>
          <cell r="D6">
            <v>-1.7061939941546975E-3</v>
          </cell>
          <cell r="F6">
            <v>-2.8867741462065335</v>
          </cell>
          <cell r="G6">
            <v>15.810435729753955</v>
          </cell>
          <cell r="I6" t="str">
            <v>M Guidance</v>
          </cell>
          <cell r="J6">
            <v>0.67</v>
          </cell>
          <cell r="K6" t="str">
            <v>NA</v>
          </cell>
          <cell r="L6" t="str">
            <v>NA</v>
          </cell>
          <cell r="M6">
            <v>2.25</v>
          </cell>
          <cell r="N6" t="str">
            <v>NA</v>
          </cell>
        </row>
        <row r="7">
          <cell r="A7" t="str">
            <v>Earnings b4 Taxes</v>
          </cell>
          <cell r="B7">
            <v>0.30030926594464497</v>
          </cell>
          <cell r="C7">
            <v>0.26842888400260023</v>
          </cell>
          <cell r="D7">
            <v>0.29038691171944286</v>
          </cell>
          <cell r="F7">
            <v>318.80381942044733</v>
          </cell>
          <cell r="G7">
            <v>99.223542252021019</v>
          </cell>
          <cell r="I7" t="str">
            <v>N Guidance</v>
          </cell>
        </row>
        <row r="8">
          <cell r="A8" t="str">
            <v>Net Income</v>
          </cell>
          <cell r="B8">
            <v>0.19009265944645004</v>
          </cell>
          <cell r="C8">
            <v>0.16642588105235703</v>
          </cell>
          <cell r="D8">
            <v>0.182943754383249</v>
          </cell>
          <cell r="F8">
            <v>236.66778394093006</v>
          </cell>
          <cell r="G8">
            <v>71.48905063201039</v>
          </cell>
        </row>
        <row r="10">
          <cell r="A10" t="str">
            <v>EPS</v>
          </cell>
          <cell r="B10">
            <v>0.50314371257485024</v>
          </cell>
          <cell r="C10">
            <v>0.38320548925642983</v>
          </cell>
          <cell r="D10">
            <v>0.46802614782621577</v>
          </cell>
          <cell r="F10">
            <v>0.11993822331842041</v>
          </cell>
          <cell r="G10">
            <v>3.5117564748634478E-2</v>
          </cell>
        </row>
        <row r="12">
          <cell r="A12" t="str">
            <v>EPS Upsides/Downsides</v>
          </cell>
        </row>
        <row r="13">
          <cell r="A13" t="str">
            <v>Revenues</v>
          </cell>
          <cell r="B13">
            <v>1.3795699767058796E-2</v>
          </cell>
        </row>
        <row r="14">
          <cell r="A14" t="str">
            <v>Operating Margin</v>
          </cell>
          <cell r="B14">
            <v>1.8744559330757776E-2</v>
          </cell>
        </row>
        <row r="15">
          <cell r="A15" t="str">
            <v>Interest Expense</v>
          </cell>
          <cell r="B15">
            <v>-2.5705300518566792E-3</v>
          </cell>
        </row>
        <row r="16">
          <cell r="A16" t="str">
            <v>Tax Rate</v>
          </cell>
          <cell r="B16">
            <v>2.376385526818688E-3</v>
          </cell>
        </row>
        <row r="17">
          <cell r="A17" t="str">
            <v>Share Count</v>
          </cell>
          <cell r="B17">
            <v>3.11827661271602E-3</v>
          </cell>
        </row>
        <row r="18">
          <cell r="A18" t="str">
            <v>Total</v>
          </cell>
          <cell r="B18">
            <v>3.5464391185494604E-2</v>
          </cell>
        </row>
        <row r="20">
          <cell r="A20" t="str">
            <v>M</v>
          </cell>
        </row>
        <row r="21">
          <cell r="A21" t="str">
            <v>As a % of Sales</v>
          </cell>
          <cell r="B21" t="str">
            <v>4Q09</v>
          </cell>
          <cell r="C21" t="str">
            <v>4Q08</v>
          </cell>
          <cell r="D21" t="str">
            <v>MS Est.</v>
          </cell>
          <cell r="F21" t="str">
            <v>y/y∆ (bp)</v>
          </cell>
          <cell r="G21" t="str">
            <v>∆ vs MS
Est. (bp)</v>
          </cell>
          <cell r="J21" t="str">
            <v>FQ1</v>
          </cell>
          <cell r="K21" t="str">
            <v>FQ2</v>
          </cell>
          <cell r="M21" t="str">
            <v>FY1</v>
          </cell>
          <cell r="N21" t="str">
            <v>FY2</v>
          </cell>
        </row>
        <row r="22">
          <cell r="A22" t="str">
            <v>Same Store Sales</v>
          </cell>
          <cell r="B22">
            <v>-8.0000000000000002E-3</v>
          </cell>
          <cell r="C22">
            <v>-7.0000000000000007E-2</v>
          </cell>
          <cell r="D22">
            <v>-5.8421857088268997E-3</v>
          </cell>
          <cell r="F22">
            <v>620.00000000000011</v>
          </cell>
          <cell r="G22">
            <v>-21.578142911731003</v>
          </cell>
        </row>
        <row r="23">
          <cell r="A23" t="str">
            <v>Gross Income</v>
          </cell>
          <cell r="B23">
            <v>0.41686839087781885</v>
          </cell>
          <cell r="C23">
            <v>0.39349634484497104</v>
          </cell>
          <cell r="D23">
            <v>0.4229823306319937</v>
          </cell>
          <cell r="F23">
            <v>233.72046032847814</v>
          </cell>
          <cell r="G23">
            <v>-61.139397541748465</v>
          </cell>
          <cell r="I23" t="str">
            <v>Consensus</v>
          </cell>
          <cell r="J23">
            <v>-7.0000000000000007E-2</v>
          </cell>
          <cell r="K23">
            <v>1.1399999999999999</v>
          </cell>
          <cell r="M23">
            <v>1.1499999999999999</v>
          </cell>
          <cell r="N23">
            <v>1.47</v>
          </cell>
          <cell r="P23" t="str">
            <v>Bloomberg as of 8/11/09</v>
          </cell>
        </row>
        <row r="24">
          <cell r="A24" t="str">
            <v>SG&amp;A Expense</v>
          </cell>
          <cell r="B24">
            <v>0.2818193400433176</v>
          </cell>
          <cell r="C24">
            <v>0.28434585328963952</v>
          </cell>
          <cell r="D24">
            <v>0.29238058846006876</v>
          </cell>
          <cell r="F24">
            <v>-25.265132463219153</v>
          </cell>
          <cell r="G24">
            <v>-105.61248416751157</v>
          </cell>
          <cell r="I24" t="str">
            <v>MS Est.</v>
          </cell>
          <cell r="J24">
            <v>1.3152087854175281</v>
          </cell>
          <cell r="K24">
            <v>1.22</v>
          </cell>
          <cell r="M24">
            <v>1.25</v>
          </cell>
          <cell r="N24">
            <v>1.36</v>
          </cell>
        </row>
        <row r="25">
          <cell r="A25" t="str">
            <v>Operating Income</v>
          </cell>
          <cell r="B25">
            <v>0.13504905083450122</v>
          </cell>
          <cell r="C25">
            <v>0.10915049155533149</v>
          </cell>
          <cell r="D25">
            <v>0.13060174217192488</v>
          </cell>
          <cell r="F25">
            <v>258.98559279169729</v>
          </cell>
          <cell r="G25">
            <v>44.473086625763379</v>
          </cell>
          <cell r="I25" t="str">
            <v>MS/C</v>
          </cell>
          <cell r="K25">
            <v>8.0000000000000071E-2</v>
          </cell>
          <cell r="M25">
            <v>0.10000000000000009</v>
          </cell>
          <cell r="N25">
            <v>-0.10999999999999988</v>
          </cell>
        </row>
        <row r="26">
          <cell r="A26" t="str">
            <v>Interest Expense</v>
          </cell>
          <cell r="B26">
            <v>1.7709262326411009E-2</v>
          </cell>
          <cell r="C26">
            <v>1.8023695487774136E-2</v>
          </cell>
          <cell r="D26">
            <v>1.6762872564004581E-2</v>
          </cell>
          <cell r="F26">
            <v>-3.1443316136312709</v>
          </cell>
          <cell r="G26">
            <v>9.4638976240642858</v>
          </cell>
          <cell r="I26" t="str">
            <v>MG</v>
          </cell>
        </row>
        <row r="27">
          <cell r="A27" t="str">
            <v>Earnings b4 Taxes</v>
          </cell>
          <cell r="B27">
            <v>9.3642502229583383E-2</v>
          </cell>
          <cell r="C27">
            <v>6.3524073607259895E-2</v>
          </cell>
          <cell r="D27">
            <v>8.9001269302226765E-2</v>
          </cell>
          <cell r="F27">
            <v>301.18428622323489</v>
          </cell>
          <cell r="G27">
            <v>46.412329273566172</v>
          </cell>
          <cell r="I27" t="str">
            <v>NMG</v>
          </cell>
        </row>
        <row r="28">
          <cell r="A28" t="str">
            <v>Tax Rate</v>
          </cell>
          <cell r="B28">
            <v>0.37893593919652552</v>
          </cell>
          <cell r="C28">
            <v>0.38035961272475793</v>
          </cell>
          <cell r="D28">
            <v>0.40020087706019697</v>
          </cell>
          <cell r="F28">
            <v>-14.236735282324165</v>
          </cell>
          <cell r="G28">
            <v>-212.64937863671452</v>
          </cell>
        </row>
        <row r="29">
          <cell r="A29" t="str">
            <v>Net Income</v>
          </cell>
          <cell r="B29">
            <v>5.6695120397502866E-2</v>
          </cell>
          <cell r="C29">
            <v>5.6000000000000001E-2</v>
          </cell>
          <cell r="D29">
            <v>5.6070438993390141E-2</v>
          </cell>
          <cell r="F29">
            <v>6.9512039750286441</v>
          </cell>
          <cell r="G29">
            <v>6.2468140411272435</v>
          </cell>
        </row>
        <row r="31">
          <cell r="A31" t="str">
            <v>EPS</v>
          </cell>
          <cell r="B31">
            <v>1.3487385050695591</v>
          </cell>
          <cell r="C31">
            <v>1.2932312985703269</v>
          </cell>
          <cell r="D31">
            <v>1.3152087854175281</v>
          </cell>
          <cell r="F31">
            <v>5.5507206499232131E-2</v>
          </cell>
          <cell r="G31">
            <v>3.3529719652030998E-2</v>
          </cell>
        </row>
        <row r="33">
          <cell r="A33" t="str">
            <v>EPS Upsides/Downsides</v>
          </cell>
        </row>
        <row r="34">
          <cell r="A34" t="str">
            <v>Sales Variance</v>
          </cell>
          <cell r="B34">
            <v>-3.436359757770527E-4</v>
          </cell>
        </row>
        <row r="35">
          <cell r="A35" t="str">
            <v>Gross Margin</v>
          </cell>
          <cell r="B35">
            <v>-7.028610225707739E-2</v>
          </cell>
        </row>
        <row r="36">
          <cell r="A36" t="str">
            <v>SG&amp;A</v>
          </cell>
          <cell r="B36">
            <v>0.12141254510649906</v>
          </cell>
        </row>
        <row r="37">
          <cell r="A37" t="str">
            <v>Operating Margin</v>
          </cell>
          <cell r="B37">
            <v>5.1126442849421666E-2</v>
          </cell>
        </row>
        <row r="38">
          <cell r="A38" t="str">
            <v>Interest Expense</v>
          </cell>
          <cell r="B38">
            <v>-1.0827872995755723E-2</v>
          </cell>
        </row>
        <row r="39">
          <cell r="A39" t="str">
            <v>Tax Rate</v>
          </cell>
          <cell r="B39">
            <v>1.3911813251584314E-4</v>
          </cell>
        </row>
        <row r="40">
          <cell r="A40" t="str">
            <v>Shares</v>
          </cell>
          <cell r="B40">
            <v>-6.7117318972655937E-3</v>
          </cell>
        </row>
        <row r="41">
          <cell r="A41" t="str">
            <v>Total</v>
          </cell>
          <cell r="B41">
            <v>3.3382320113139144E-2</v>
          </cell>
        </row>
        <row r="43">
          <cell r="A43" t="str">
            <v>JCP</v>
          </cell>
        </row>
        <row r="44">
          <cell r="A44" t="str">
            <v>As a % of Sales</v>
          </cell>
          <cell r="B44" t="str">
            <v>2Q09</v>
          </cell>
          <cell r="C44" t="str">
            <v>2Q08</v>
          </cell>
          <cell r="D44" t="str">
            <v>MS Est.</v>
          </cell>
          <cell r="F44" t="str">
            <v>y/y∆ (bp)</v>
          </cell>
          <cell r="G44" t="str">
            <v>∆ vs MS
Est. (bp)</v>
          </cell>
          <cell r="J44" t="str">
            <v>FQ1</v>
          </cell>
          <cell r="K44" t="str">
            <v>FQ2</v>
          </cell>
          <cell r="L44" t="str">
            <v>FY1</v>
          </cell>
          <cell r="M44" t="str">
            <v>FY2</v>
          </cell>
        </row>
        <row r="45">
          <cell r="A45" t="str">
            <v>Gross Income</v>
          </cell>
          <cell r="B45">
            <v>0.39052747901801327</v>
          </cell>
          <cell r="C45">
            <v>0.40880043961122103</v>
          </cell>
          <cell r="D45">
            <v>0.37998198198198196</v>
          </cell>
          <cell r="F45">
            <v>-182.72960593207765</v>
          </cell>
          <cell r="G45">
            <v>105.45497036031304</v>
          </cell>
          <cell r="I45" t="str">
            <v>Consensus</v>
          </cell>
          <cell r="J45">
            <v>-0.01</v>
          </cell>
          <cell r="K45">
            <v>0.13</v>
          </cell>
          <cell r="L45">
            <v>0.88</v>
          </cell>
          <cell r="M45">
            <v>1.36</v>
          </cell>
          <cell r="N45" t="str">
            <v>Bloomberg</v>
          </cell>
          <cell r="O45">
            <v>40038</v>
          </cell>
        </row>
        <row r="46">
          <cell r="A46" t="str">
            <v>SG&amp;A Expense</v>
          </cell>
          <cell r="B46">
            <v>0.3160165321976135</v>
          </cell>
          <cell r="C46">
            <v>0.33123431892985855</v>
          </cell>
          <cell r="D46">
            <v>0.27389189189189189</v>
          </cell>
          <cell r="F46">
            <v>-152.17786732245054</v>
          </cell>
          <cell r="G46">
            <v>421.24640305721607</v>
          </cell>
          <cell r="I46" t="str">
            <v>MS Est.</v>
          </cell>
          <cell r="J46">
            <v>0.8553594903233469</v>
          </cell>
          <cell r="K46">
            <v>0.13</v>
          </cell>
          <cell r="L46">
            <v>0.87</v>
          </cell>
          <cell r="M46">
            <v>1.33</v>
          </cell>
        </row>
        <row r="47">
          <cell r="A47" t="str">
            <v>Operating Income</v>
          </cell>
          <cell r="B47">
            <v>2.7892927545231563E-2</v>
          </cell>
          <cell r="C47">
            <v>3.1873435876103265E-2</v>
          </cell>
          <cell r="D47">
            <v>6.9661501885608032E-2</v>
          </cell>
          <cell r="F47">
            <v>-39.805083308717023</v>
          </cell>
          <cell r="G47">
            <v>-417.68574340376466</v>
          </cell>
          <cell r="I47" t="str">
            <v>MS/C</v>
          </cell>
          <cell r="J47">
            <v>0.86535949032334691</v>
          </cell>
          <cell r="K47">
            <v>0</v>
          </cell>
          <cell r="L47">
            <v>-1.0000000000000009E-2</v>
          </cell>
          <cell r="M47">
            <v>-3.0000000000000027E-2</v>
          </cell>
        </row>
        <row r="48">
          <cell r="A48" t="str">
            <v>Interest Expense</v>
          </cell>
          <cell r="B48">
            <v>0</v>
          </cell>
          <cell r="C48">
            <v>0</v>
          </cell>
          <cell r="D48">
            <v>0</v>
          </cell>
          <cell r="F48">
            <v>0</v>
          </cell>
          <cell r="G48">
            <v>0</v>
          </cell>
          <cell r="I48" t="str">
            <v>MG</v>
          </cell>
        </row>
        <row r="49">
          <cell r="A49" t="str">
            <v>Earnings b4 Taxes</v>
          </cell>
          <cell r="B49">
            <v>138.16690201280809</v>
          </cell>
          <cell r="C49">
            <v>77.36492887791303</v>
          </cell>
          <cell r="D49">
            <v>20.474558308592531</v>
          </cell>
          <cell r="F49">
            <v>608019.73134895065</v>
          </cell>
          <cell r="G49">
            <v>1176923.4370421555</v>
          </cell>
          <cell r="I49" t="str">
            <v>MGN</v>
          </cell>
        </row>
        <row r="50">
          <cell r="A50" t="str">
            <v>Tax Rate</v>
          </cell>
          <cell r="B50">
            <v>0</v>
          </cell>
          <cell r="C50">
            <v>0</v>
          </cell>
          <cell r="D50">
            <v>0</v>
          </cell>
          <cell r="F50">
            <v>0</v>
          </cell>
          <cell r="G50">
            <v>0</v>
          </cell>
        </row>
        <row r="51">
          <cell r="A51" t="str">
            <v>Net Income</v>
          </cell>
          <cell r="B51">
            <v>85.658406517953949</v>
          </cell>
          <cell r="C51">
            <v>47.152740872066616</v>
          </cell>
          <cell r="D51">
            <v>10.820352277453523</v>
          </cell>
          <cell r="F51">
            <v>385056.65645887336</v>
          </cell>
          <cell r="G51">
            <v>748380.54240500426</v>
          </cell>
        </row>
        <row r="53">
          <cell r="A53" t="str">
            <v>EPS</v>
          </cell>
          <cell r="B53">
            <v>0.14074219483202524</v>
          </cell>
          <cell r="C53">
            <v>0.19354741634065173</v>
          </cell>
          <cell r="D53">
            <v>0.8553594903233469</v>
          </cell>
          <cell r="F53">
            <v>-5.2805221508626488E-2</v>
          </cell>
          <cell r="G53">
            <v>-0.71461729549132169</v>
          </cell>
        </row>
        <row r="55">
          <cell r="A55" t="str">
            <v>EPS Upsides/Downsides</v>
          </cell>
        </row>
        <row r="56">
          <cell r="A56" t="str">
            <v>Gross Margin</v>
          </cell>
          <cell r="B56">
            <v>-9.617582778843134E-2</v>
          </cell>
        </row>
        <row r="57">
          <cell r="A57" t="str">
            <v>Operating Expenses</v>
          </cell>
          <cell r="B57">
            <v>0.14882953124199277</v>
          </cell>
        </row>
        <row r="58">
          <cell r="A58" t="str">
            <v>Real Estate + Other Exp. (Inc.)</v>
          </cell>
          <cell r="B58">
            <v>-5.5156676128457718E-2</v>
          </cell>
        </row>
        <row r="59">
          <cell r="A59" t="str">
            <v>Operating Income</v>
          </cell>
          <cell r="B59">
            <v>-2.5029726748962895E-3</v>
          </cell>
        </row>
        <row r="60">
          <cell r="A60" t="str">
            <v>LIFO Charge</v>
          </cell>
          <cell r="B60">
            <v>0</v>
          </cell>
        </row>
        <row r="61">
          <cell r="A61" t="str">
            <v>Interest Expense</v>
          </cell>
          <cell r="B61">
            <v>2.3887504428639367E-3</v>
          </cell>
        </row>
        <row r="62">
          <cell r="A62" t="str">
            <v>Tax Rate</v>
          </cell>
          <cell r="B62">
            <v>4.3826380109566214E-3</v>
          </cell>
        </row>
        <row r="63">
          <cell r="A63" t="str">
            <v>Shares</v>
          </cell>
          <cell r="B63">
            <v>1.3564864172863622E-3</v>
          </cell>
        </row>
        <row r="64">
          <cell r="A64" t="str">
            <v>Total</v>
          </cell>
          <cell r="B64">
            <v>5.6249021962106304E-3</v>
          </cell>
        </row>
        <row r="66">
          <cell r="A66" t="str">
            <v>KSS</v>
          </cell>
        </row>
        <row r="67">
          <cell r="A67" t="str">
            <v>As a % of Sales</v>
          </cell>
          <cell r="B67" t="str">
            <v>4Q09</v>
          </cell>
          <cell r="C67" t="str">
            <v>4Q08</v>
          </cell>
          <cell r="D67" t="str">
            <v>MS Est.</v>
          </cell>
          <cell r="F67" t="str">
            <v>y/y∆ (bp)</v>
          </cell>
          <cell r="G67" t="str">
            <v>∆ vs MS
Est. (bp)</v>
          </cell>
          <cell r="J67" t="str">
            <v>FQ1</v>
          </cell>
          <cell r="K67" t="str">
            <v>FQ2</v>
          </cell>
          <cell r="L67" t="str">
            <v>FY1</v>
          </cell>
          <cell r="M67" t="str">
            <v>FY2</v>
          </cell>
        </row>
        <row r="68">
          <cell r="A68" t="str">
            <v>Gross Income</v>
          </cell>
          <cell r="B68">
            <v>0.36430834213305174</v>
          </cell>
          <cell r="C68">
            <v>0.34804202483285579</v>
          </cell>
          <cell r="D68">
            <v>0.35754202483285574</v>
          </cell>
          <cell r="F68">
            <v>162.66317300195954</v>
          </cell>
          <cell r="G68">
            <v>67.663173001960004</v>
          </cell>
          <cell r="I68" t="str">
            <v>Consensus</v>
          </cell>
          <cell r="J68">
            <v>0.60699999999999998</v>
          </cell>
          <cell r="K68">
            <v>1.232</v>
          </cell>
          <cell r="L68">
            <v>3.0419999999999998</v>
          </cell>
          <cell r="M68">
            <v>3.4220000000000002</v>
          </cell>
          <cell r="N68" t="str">
            <v>Bloomberg</v>
          </cell>
          <cell r="O68">
            <v>40128</v>
          </cell>
        </row>
        <row r="69">
          <cell r="A69" t="str">
            <v>SG&amp;A Expense</v>
          </cell>
          <cell r="B69">
            <v>0.20943329813445971</v>
          </cell>
          <cell r="C69">
            <v>0.21050620821394461</v>
          </cell>
          <cell r="D69">
            <v>0.20550620821394461</v>
          </cell>
          <cell r="F69">
            <v>-10.72910079484901</v>
          </cell>
          <cell r="G69">
            <v>39.270899205151032</v>
          </cell>
          <cell r="I69" t="str">
            <v>MS Est.</v>
          </cell>
          <cell r="J69">
            <v>1.37</v>
          </cell>
          <cell r="K69">
            <v>1.27</v>
          </cell>
          <cell r="L69">
            <v>3.08</v>
          </cell>
          <cell r="M69">
            <v>3.59</v>
          </cell>
        </row>
        <row r="70">
          <cell r="A70" t="str">
            <v>Operating Income</v>
          </cell>
          <cell r="B70">
            <v>0.12706793382611756</v>
          </cell>
          <cell r="C70">
            <v>0.10945558739255014</v>
          </cell>
          <cell r="D70">
            <v>0.12398231433098438</v>
          </cell>
          <cell r="F70">
            <v>176.12346433567419</v>
          </cell>
          <cell r="G70">
            <v>30.856194951331823</v>
          </cell>
          <cell r="I70" t="str">
            <v>MS/C</v>
          </cell>
          <cell r="J70">
            <v>0.76300000000000012</v>
          </cell>
          <cell r="K70">
            <v>3.8000000000000034E-2</v>
          </cell>
          <cell r="L70">
            <v>3.8000000000000256E-2</v>
          </cell>
          <cell r="M70">
            <v>0.16799999999999971</v>
          </cell>
        </row>
        <row r="71">
          <cell r="A71" t="str">
            <v>Interest Expense</v>
          </cell>
          <cell r="B71">
            <v>5.4558254135867656E-3</v>
          </cell>
          <cell r="C71">
            <v>5.7306590257879654E-3</v>
          </cell>
          <cell r="D71">
            <v>5.8271922900633606E-3</v>
          </cell>
          <cell r="F71">
            <v>-2.7483361220119984</v>
          </cell>
          <cell r="G71">
            <v>-3.7136687647659499</v>
          </cell>
          <cell r="I71" t="str">
            <v>MG</v>
          </cell>
        </row>
        <row r="72">
          <cell r="A72" t="str">
            <v>Earnings b4 Taxes</v>
          </cell>
          <cell r="B72">
            <v>0.1216121084125308</v>
          </cell>
          <cell r="C72">
            <v>0.10372492836676218</v>
          </cell>
          <cell r="D72">
            <v>0.11815512204092102</v>
          </cell>
          <cell r="F72">
            <v>178.87180045768613</v>
          </cell>
          <cell r="G72">
            <v>34.5698637160978</v>
          </cell>
        </row>
        <row r="73">
          <cell r="A73" t="str">
            <v>Net Income</v>
          </cell>
          <cell r="B73">
            <v>7.5853572685674053E-2</v>
          </cell>
          <cell r="C73">
            <v>6.4183381088825209E-2</v>
          </cell>
          <cell r="D73">
            <v>7.3610641031493798E-2</v>
          </cell>
          <cell r="F73">
            <v>116.70191596848845</v>
          </cell>
          <cell r="G73">
            <v>22.429316541802553</v>
          </cell>
        </row>
        <row r="75">
          <cell r="A75" t="str">
            <v>EPS</v>
          </cell>
          <cell r="B75">
            <v>1.4</v>
          </cell>
          <cell r="C75">
            <v>1.1000000000000001</v>
          </cell>
          <cell r="D75">
            <v>1.37</v>
          </cell>
          <cell r="F75">
            <v>0.29999999999999982</v>
          </cell>
          <cell r="G75">
            <v>2.9999999999999805E-2</v>
          </cell>
        </row>
        <row r="77">
          <cell r="A77" t="str">
            <v>EPS Upsides/Downsides</v>
          </cell>
        </row>
        <row r="78">
          <cell r="A78" t="str">
            <v>Reported Sales Variance</v>
          </cell>
          <cell r="B78">
            <v>0</v>
          </cell>
        </row>
        <row r="79">
          <cell r="A79" t="str">
            <v>Gross Margin</v>
          </cell>
          <cell r="B79">
            <v>7.7857794189564164E-2</v>
          </cell>
        </row>
        <row r="80">
          <cell r="A80" t="str">
            <v>SG&amp;A Expenses</v>
          </cell>
          <cell r="B80">
            <v>-4.5187735843620652E-2</v>
          </cell>
        </row>
        <row r="81">
          <cell r="A81" t="str">
            <v>Preopening Expense</v>
          </cell>
          <cell r="B81">
            <v>2.835153269306672E-3</v>
          </cell>
        </row>
        <row r="82">
          <cell r="A82" t="str">
            <v>Depreciation/Amortization</v>
          </cell>
          <cell r="B82">
            <v>0</v>
          </cell>
        </row>
        <row r="83">
          <cell r="A83" t="str">
            <v>Interest Expense, Net</v>
          </cell>
          <cell r="B83">
            <v>4.2731968594937973E-3</v>
          </cell>
        </row>
        <row r="84">
          <cell r="A84" t="str">
            <v>Tax Rate</v>
          </cell>
          <cell r="B84">
            <v>1.6461038961039123E-3</v>
          </cell>
        </row>
        <row r="85">
          <cell r="A85" t="str">
            <v>Shares</v>
          </cell>
          <cell r="B85">
            <v>-8.4967320261439827E-3</v>
          </cell>
        </row>
        <row r="86">
          <cell r="A86" t="str">
            <v>Total</v>
          </cell>
          <cell r="B86">
            <v>3.2927780344703908E-2</v>
          </cell>
        </row>
        <row r="88">
          <cell r="A88" t="str">
            <v>JWN</v>
          </cell>
        </row>
        <row r="89">
          <cell r="A89" t="str">
            <v>As a % of Sales</v>
          </cell>
          <cell r="B89" t="str">
            <v>3Q08</v>
          </cell>
          <cell r="C89" t="str">
            <v>3Q07</v>
          </cell>
          <cell r="D89" t="str">
            <v>MS Est.</v>
          </cell>
          <cell r="F89" t="str">
            <v>y/y∆ (bp)</v>
          </cell>
          <cell r="G89" t="str">
            <v>∆ vs MS
Est. (bp)</v>
          </cell>
          <cell r="J89" t="str">
            <v>FQ1</v>
          </cell>
          <cell r="K89" t="str">
            <v>FQ2</v>
          </cell>
          <cell r="L89" t="str">
            <v>FY1</v>
          </cell>
          <cell r="M89" t="str">
            <v>FY2</v>
          </cell>
        </row>
        <row r="90">
          <cell r="A90" t="str">
            <v>Gross Income</v>
          </cell>
          <cell r="B90">
            <v>0</v>
          </cell>
          <cell r="C90">
            <v>0</v>
          </cell>
          <cell r="D90">
            <v>0</v>
          </cell>
          <cell r="F90">
            <v>0</v>
          </cell>
          <cell r="G90">
            <v>0</v>
          </cell>
          <cell r="I90" t="str">
            <v>Consensus</v>
          </cell>
          <cell r="J90">
            <v>0.38200000000000001</v>
          </cell>
          <cell r="K90">
            <v>0.59599999999999997</v>
          </cell>
          <cell r="L90">
            <v>1.806</v>
          </cell>
          <cell r="M90">
            <v>2.1389999999999998</v>
          </cell>
          <cell r="N90" t="str">
            <v>Bloomberg</v>
          </cell>
          <cell r="O90">
            <v>40128</v>
          </cell>
        </row>
        <row r="91">
          <cell r="A91" t="str">
            <v>SG&amp;A Expense</v>
          </cell>
          <cell r="B91">
            <v>0</v>
          </cell>
          <cell r="C91">
            <v>0</v>
          </cell>
          <cell r="D91">
            <v>0</v>
          </cell>
          <cell r="F91">
            <v>0</v>
          </cell>
          <cell r="G91">
            <v>0</v>
          </cell>
          <cell r="I91" t="str">
            <v>MS Est.</v>
          </cell>
          <cell r="J91">
            <v>0</v>
          </cell>
          <cell r="K91">
            <v>0.2</v>
          </cell>
          <cell r="L91">
            <v>1.8</v>
          </cell>
          <cell r="M91">
            <v>1.07</v>
          </cell>
        </row>
        <row r="92">
          <cell r="A92" t="str">
            <v>Operating Income</v>
          </cell>
          <cell r="B92">
            <v>0</v>
          </cell>
          <cell r="C92">
            <v>0</v>
          </cell>
          <cell r="D92">
            <v>0</v>
          </cell>
          <cell r="F92">
            <v>0</v>
          </cell>
          <cell r="G92">
            <v>0</v>
          </cell>
          <cell r="I92" t="str">
            <v>MS/C</v>
          </cell>
          <cell r="J92">
            <v>-0.38200000000000001</v>
          </cell>
          <cell r="K92">
            <v>-0.39599999999999996</v>
          </cell>
          <cell r="L92">
            <v>-6.0000000000000053E-3</v>
          </cell>
          <cell r="M92">
            <v>-1.0689999999999997</v>
          </cell>
        </row>
        <row r="93">
          <cell r="A93" t="str">
            <v>Interest Expense</v>
          </cell>
          <cell r="B93">
            <v>0</v>
          </cell>
          <cell r="C93">
            <v>0</v>
          </cell>
          <cell r="D93">
            <v>0</v>
          </cell>
          <cell r="F93">
            <v>0</v>
          </cell>
          <cell r="G93">
            <v>0</v>
          </cell>
          <cell r="I93" t="str">
            <v>MG</v>
          </cell>
        </row>
        <row r="94">
          <cell r="A94" t="str">
            <v>Service &amp; Other</v>
          </cell>
          <cell r="B94">
            <v>0</v>
          </cell>
          <cell r="C94">
            <v>0</v>
          </cell>
          <cell r="D94">
            <v>0</v>
          </cell>
          <cell r="F94">
            <v>0</v>
          </cell>
          <cell r="G94">
            <v>0</v>
          </cell>
          <cell r="I94" t="str">
            <v>New</v>
          </cell>
        </row>
        <row r="95">
          <cell r="A95" t="str">
            <v>Earnings b4 Taxes</v>
          </cell>
          <cell r="B95">
            <v>0</v>
          </cell>
          <cell r="C95">
            <v>0</v>
          </cell>
          <cell r="D95">
            <v>0</v>
          </cell>
          <cell r="F95">
            <v>0</v>
          </cell>
          <cell r="G95">
            <v>0</v>
          </cell>
        </row>
        <row r="96">
          <cell r="A96" t="str">
            <v>Tax Rate</v>
          </cell>
          <cell r="B96">
            <v>0</v>
          </cell>
          <cell r="C96">
            <v>0</v>
          </cell>
          <cell r="D96">
            <v>0</v>
          </cell>
          <cell r="F96">
            <v>0</v>
          </cell>
          <cell r="G96">
            <v>0</v>
          </cell>
        </row>
        <row r="97">
          <cell r="A97" t="str">
            <v>Net Income</v>
          </cell>
          <cell r="B97">
            <v>0</v>
          </cell>
          <cell r="C97">
            <v>0</v>
          </cell>
          <cell r="D97">
            <v>0</v>
          </cell>
          <cell r="F97">
            <v>0</v>
          </cell>
          <cell r="G97">
            <v>0</v>
          </cell>
        </row>
        <row r="99">
          <cell r="A99" t="str">
            <v>EPS</v>
          </cell>
          <cell r="B99">
            <v>0</v>
          </cell>
          <cell r="C99">
            <v>0</v>
          </cell>
          <cell r="D99">
            <v>0</v>
          </cell>
          <cell r="F99">
            <v>0</v>
          </cell>
          <cell r="G99">
            <v>0</v>
          </cell>
        </row>
        <row r="101">
          <cell r="A101" t="str">
            <v>EPS Upsides/Downsides</v>
          </cell>
        </row>
        <row r="102">
          <cell r="A102">
            <v>0</v>
          </cell>
          <cell r="B102">
            <v>0</v>
          </cell>
        </row>
        <row r="103">
          <cell r="A103" t="str">
            <v>Source: Company data, Morgan Stanley Research  E = Morgan Stanley Research Estimate</v>
          </cell>
          <cell r="B103">
            <v>0</v>
          </cell>
        </row>
        <row r="104">
          <cell r="A104" t="str">
            <v>EPS Upsides/Downsides</v>
          </cell>
          <cell r="B104">
            <v>0</v>
          </cell>
        </row>
        <row r="105">
          <cell r="A105" t="str">
            <v>Reported Sales Variance</v>
          </cell>
          <cell r="B105">
            <v>-2.1583430631226738E-3</v>
          </cell>
        </row>
        <row r="106">
          <cell r="A106" t="str">
            <v>Gross Margin</v>
          </cell>
          <cell r="B106">
            <v>9.3948964248107891E-2</v>
          </cell>
        </row>
        <row r="107">
          <cell r="A107" t="str">
            <v>Total SG&amp;A</v>
          </cell>
          <cell r="B107">
            <v>-0.13372107319019222</v>
          </cell>
        </row>
        <row r="108">
          <cell r="A108" t="str">
            <v>Operating Margin</v>
          </cell>
          <cell r="B108">
            <v>0</v>
          </cell>
        </row>
        <row r="109">
          <cell r="A109" t="str">
            <v>Tax Rate</v>
          </cell>
          <cell r="B109">
            <v>9.3948964248107891E-2</v>
          </cell>
        </row>
        <row r="110">
          <cell r="A110" t="str">
            <v>Shares</v>
          </cell>
          <cell r="B110">
            <v>-0.13372107319019222</v>
          </cell>
        </row>
        <row r="111">
          <cell r="A111" t="str">
            <v>Total</v>
          </cell>
          <cell r="B111">
            <v>-4.1930452005207008E-2</v>
          </cell>
        </row>
        <row r="113">
          <cell r="A113" t="str">
            <v>SKS</v>
          </cell>
        </row>
        <row r="114">
          <cell r="A114" t="str">
            <v>As a % of Sales</v>
          </cell>
          <cell r="B114" t="str">
            <v>3Q09</v>
          </cell>
          <cell r="C114" t="str">
            <v>3Q08</v>
          </cell>
          <cell r="D114" t="str">
            <v>MS Est.</v>
          </cell>
          <cell r="F114" t="str">
            <v>y/y∆ (bp)</v>
          </cell>
          <cell r="G114" t="str">
            <v>∆ vs MS
Est. (bp)</v>
          </cell>
          <cell r="J114" t="str">
            <v>FQ1</v>
          </cell>
          <cell r="K114" t="str">
            <v>FQ2</v>
          </cell>
          <cell r="L114" t="str">
            <v>FY1</v>
          </cell>
          <cell r="M114" t="str">
            <v>FY2</v>
          </cell>
        </row>
        <row r="115">
          <cell r="A115" t="str">
            <v>Gross Income</v>
          </cell>
          <cell r="B115">
            <v>0.3907231769028765</v>
          </cell>
          <cell r="C115">
            <v>0.33156390807654762</v>
          </cell>
          <cell r="D115">
            <v>0.39027636388805009</v>
          </cell>
          <cell r="F115">
            <v>591.59268826328878</v>
          </cell>
          <cell r="G115">
            <v>4.4681301482640823</v>
          </cell>
          <cell r="I115" t="str">
            <v>Consensus</v>
          </cell>
          <cell r="J115">
            <v>-0.113</v>
          </cell>
          <cell r="K115">
            <v>-3.7999999999999999E-2</v>
          </cell>
          <cell r="L115">
            <v>-0.57499999999999996</v>
          </cell>
          <cell r="M115">
            <v>-0.34899999999999998</v>
          </cell>
          <cell r="N115" t="str">
            <v>Bloomberg</v>
          </cell>
          <cell r="O115">
            <v>40133</v>
          </cell>
        </row>
        <row r="116">
          <cell r="A116" t="str">
            <v>SG&amp;A Expense</v>
          </cell>
          <cell r="B116">
            <v>0.2428184106076488</v>
          </cell>
          <cell r="C116">
            <v>0.272497270340676</v>
          </cell>
          <cell r="D116">
            <v>0.2548642423756452</v>
          </cell>
          <cell r="F116">
            <v>-296.78859733027195</v>
          </cell>
          <cell r="G116">
            <v>-120.45831767996395</v>
          </cell>
          <cell r="I116" t="str">
            <v>MS Est.</v>
          </cell>
          <cell r="J116">
            <v>-1.5781525121147805E-2</v>
          </cell>
          <cell r="K116">
            <v>-7.0000000000000007E-2</v>
          </cell>
          <cell r="L116">
            <v>-0.59</v>
          </cell>
          <cell r="M116">
            <v>-0.35</v>
          </cell>
        </row>
        <row r="117">
          <cell r="A117" t="str">
            <v>Other Operating Expenses</v>
          </cell>
          <cell r="B117">
            <v>0.1287210309271713</v>
          </cell>
          <cell r="C117">
            <v>0.14260560872785277</v>
          </cell>
          <cell r="D117">
            <v>0.11997295045879695</v>
          </cell>
          <cell r="F117">
            <v>-138.84577800681475</v>
          </cell>
          <cell r="G117">
            <v>87.480804683743443</v>
          </cell>
          <cell r="I117" t="str">
            <v>MS/C</v>
          </cell>
          <cell r="J117">
            <v>9.7218474878852199E-2</v>
          </cell>
          <cell r="K117">
            <v>-3.2000000000000008E-2</v>
          </cell>
          <cell r="L117">
            <v>-1.5000000000000013E-2</v>
          </cell>
          <cell r="M117">
            <v>-1.0000000000000009E-3</v>
          </cell>
        </row>
        <row r="118">
          <cell r="A118" t="str">
            <v>Operating Income</v>
          </cell>
          <cell r="B118">
            <v>1.8221202599182782E-2</v>
          </cell>
          <cell r="C118">
            <v>-8.4795773424491586E-2</v>
          </cell>
          <cell r="D118">
            <v>1.4627638389771777E-2</v>
          </cell>
          <cell r="F118">
            <v>1030.1697602367437</v>
          </cell>
          <cell r="G118">
            <v>35.935642094110044</v>
          </cell>
        </row>
        <row r="119">
          <cell r="A119" t="str">
            <v>Interest Expense</v>
          </cell>
          <cell r="B119">
            <v>2.0676050365587218E-2</v>
          </cell>
          <cell r="C119">
            <v>2.2905626388730099E-2</v>
          </cell>
          <cell r="D119">
            <v>2.0468421239228773E-2</v>
          </cell>
          <cell r="F119">
            <v>-22.295760231428805</v>
          </cell>
          <cell r="G119">
            <v>2.0762912635844537</v>
          </cell>
        </row>
        <row r="120">
          <cell r="A120" t="str">
            <v>Earnings b4 Taxes</v>
          </cell>
          <cell r="B120">
            <v>5.6698146463637996E-5</v>
          </cell>
          <cell r="C120">
            <v>5.6698146463637996E-5</v>
          </cell>
          <cell r="D120">
            <v>5.6698146463637996E-5</v>
          </cell>
          <cell r="F120">
            <v>0</v>
          </cell>
          <cell r="G120">
            <v>0</v>
          </cell>
        </row>
        <row r="121">
          <cell r="A121" t="str">
            <v>Net Income</v>
          </cell>
          <cell r="B121">
            <v>-1.5571584659782067E-3</v>
          </cell>
          <cell r="C121">
            <v>-6.6810020735004902E-2</v>
          </cell>
          <cell r="D121">
            <v>-3.6564382174707932E-3</v>
          </cell>
          <cell r="F121">
            <v>652.52862269026696</v>
          </cell>
          <cell r="G121">
            <v>20.992797514925869</v>
          </cell>
        </row>
        <row r="123">
          <cell r="A123" t="str">
            <v>EPS</v>
          </cell>
          <cell r="B123">
            <v>-6.6533490389486675E-3</v>
          </cell>
          <cell r="C123">
            <v>-0.25767632111798916</v>
          </cell>
          <cell r="D123">
            <v>-1.5781525121147805E-2</v>
          </cell>
          <cell r="F123">
            <v>0.25102297207904051</v>
          </cell>
          <cell r="G123">
            <v>9.1281760821991381E-3</v>
          </cell>
        </row>
        <row r="125">
          <cell r="A125" t="str">
            <v>EPS Upsides/Downsides</v>
          </cell>
        </row>
        <row r="126">
          <cell r="A126" t="str">
            <v>Reported Sales Variance</v>
          </cell>
          <cell r="B126">
            <v>7.3141706523534907E-4</v>
          </cell>
        </row>
        <row r="127">
          <cell r="A127" t="str">
            <v>Gross Margin</v>
          </cell>
          <cell r="B127">
            <v>9.0502516031737673E-2</v>
          </cell>
        </row>
        <row r="128">
          <cell r="A128" t="str">
            <v>SG&amp;A Expenses</v>
          </cell>
          <cell r="B128">
            <v>9.135785673203356E-2</v>
          </cell>
        </row>
        <row r="129">
          <cell r="A129" t="str">
            <v>Other Operating Expenses</v>
          </cell>
          <cell r="B129">
            <v>0.14148159111000269</v>
          </cell>
        </row>
        <row r="130">
          <cell r="A130" t="str">
            <v>Operating Margin</v>
          </cell>
          <cell r="B130">
            <v>0.3233419638737739</v>
          </cell>
        </row>
        <row r="131">
          <cell r="A131" t="str">
            <v>Interest Expense, Net</v>
          </cell>
          <cell r="B131">
            <v>-2.9209222303217691E-2</v>
          </cell>
        </row>
        <row r="132">
          <cell r="A132" t="str">
            <v>Other (Income)</v>
          </cell>
          <cell r="B132">
            <v>-1.1491989190871084E-3</v>
          </cell>
        </row>
        <row r="133">
          <cell r="A133" t="str">
            <v>Tax Rate</v>
          </cell>
          <cell r="B133">
            <v>0.11636249147294966</v>
          </cell>
        </row>
        <row r="134">
          <cell r="A134" t="str">
            <v>Shares</v>
          </cell>
          <cell r="B134">
            <v>0</v>
          </cell>
        </row>
        <row r="135">
          <cell r="A135" t="str">
            <v>Total</v>
          </cell>
          <cell r="B135">
            <v>0.40934603412441872</v>
          </cell>
        </row>
        <row r="137">
          <cell r="A137" t="str">
            <v>LTD</v>
          </cell>
        </row>
        <row r="138">
          <cell r="A138" t="str">
            <v>As a % of Sales</v>
          </cell>
          <cell r="B138" t="str">
            <v>4Q09</v>
          </cell>
          <cell r="C138" t="str">
            <v>4Q08</v>
          </cell>
          <cell r="D138" t="str">
            <v>MS Est.</v>
          </cell>
          <cell r="F138" t="str">
            <v>y/y∆ (bp)</v>
          </cell>
          <cell r="G138" t="str">
            <v>∆ vs MS
Est. (bp)</v>
          </cell>
          <cell r="J138" t="str">
            <v>FQ1</v>
          </cell>
          <cell r="K138" t="str">
            <v>FQ2</v>
          </cell>
          <cell r="L138" t="str">
            <v>FQ3</v>
          </cell>
          <cell r="M138" t="str">
            <v>FY1</v>
          </cell>
          <cell r="N138" t="str">
            <v>FY2</v>
          </cell>
        </row>
        <row r="139">
          <cell r="A139" t="str">
            <v>Gross Income</v>
          </cell>
          <cell r="B139">
            <v>0.35943311437115333</v>
          </cell>
          <cell r="C139">
            <v>0.31784386724838393</v>
          </cell>
          <cell r="D139">
            <v>0.35784386724838391</v>
          </cell>
          <cell r="F139">
            <v>415.89247122769399</v>
          </cell>
          <cell r="G139">
            <v>15.892471227694216</v>
          </cell>
          <cell r="I139" t="str">
            <v>Consensus</v>
          </cell>
          <cell r="J139">
            <v>0.98499999999999999</v>
          </cell>
          <cell r="K139">
            <v>7.5999999999999998E-2</v>
          </cell>
          <cell r="M139">
            <v>0.98299999999999998</v>
          </cell>
          <cell r="N139">
            <v>1.202</v>
          </cell>
          <cell r="O139" t="str">
            <v>Bloomberg 2/24</v>
          </cell>
        </row>
        <row r="140">
          <cell r="A140" t="str">
            <v>SG&amp;A Expense</v>
          </cell>
          <cell r="B140">
            <v>0.26366684338267576</v>
          </cell>
          <cell r="C140">
            <v>0.28004500251269832</v>
          </cell>
          <cell r="D140">
            <v>0.26902521392184064</v>
          </cell>
          <cell r="F140">
            <v>-163.78159130022553</v>
          </cell>
          <cell r="G140">
            <v>-53.583705391648806</v>
          </cell>
          <cell r="I140" t="str">
            <v>MS Est.</v>
          </cell>
          <cell r="J140">
            <v>0.225114276362679</v>
          </cell>
          <cell r="K140" t="str">
            <v>none</v>
          </cell>
          <cell r="M140">
            <v>1.1010266280936629</v>
          </cell>
          <cell r="N140">
            <v>1.2665067931582552</v>
          </cell>
        </row>
        <row r="141">
          <cell r="A141" t="str">
            <v>Operating Income</v>
          </cell>
          <cell r="B141">
            <v>9.5766270988477592E-2</v>
          </cell>
          <cell r="C141">
            <v>3.779886473568559E-2</v>
          </cell>
          <cell r="D141">
            <v>8.8818653326543262E-2</v>
          </cell>
          <cell r="F141">
            <v>579.67406252792</v>
          </cell>
          <cell r="G141">
            <v>69.476176619343306</v>
          </cell>
          <cell r="I141" t="str">
            <v>MS/C</v>
          </cell>
          <cell r="J141">
            <v>-0.75988572363732099</v>
          </cell>
          <cell r="K141" t="e">
            <v>#VALUE!</v>
          </cell>
          <cell r="L141">
            <v>0</v>
          </cell>
          <cell r="M141">
            <v>0</v>
          </cell>
          <cell r="N141">
            <v>0</v>
          </cell>
        </row>
        <row r="142">
          <cell r="A142" t="str">
            <v>Interest Expense</v>
          </cell>
          <cell r="B142">
            <v>3.1643210377647633E-2</v>
          </cell>
          <cell r="C142">
            <v>3.5762043127987642E-2</v>
          </cell>
          <cell r="D142">
            <v>3.1378458603900941E-2</v>
          </cell>
          <cell r="F142">
            <v>-41.188327503400082</v>
          </cell>
          <cell r="G142">
            <v>2.6475177374669228</v>
          </cell>
          <cell r="I142" t="str">
            <v>MGT Guid</v>
          </cell>
          <cell r="J142" t="str">
            <v>$0.00-$(0.04)</v>
          </cell>
        </row>
        <row r="143">
          <cell r="A143" t="str">
            <v>Other Expense (Income)</v>
          </cell>
          <cell r="B143">
            <v>-7.3910090208000262E-3</v>
          </cell>
          <cell r="C143">
            <v>1.628761729547883E-4</v>
          </cell>
          <cell r="D143">
            <v>-3.6241263266891016E-3</v>
          </cell>
          <cell r="F143">
            <v>-75.538851937548145</v>
          </cell>
          <cell r="G143">
            <v>-37.668826941109245</v>
          </cell>
        </row>
        <row r="144">
          <cell r="A144" t="str">
            <v>Tax Rate</v>
          </cell>
          <cell r="B144">
            <v>0.40006660295948787</v>
          </cell>
          <cell r="C144">
            <v>0.195484070522735</v>
          </cell>
          <cell r="D144">
            <v>0.38</v>
          </cell>
          <cell r="F144">
            <v>2045.8253243675288</v>
          </cell>
          <cell r="G144">
            <v>200.66602959487867</v>
          </cell>
        </row>
        <row r="145">
          <cell r="A145" t="str">
            <v>Net Income</v>
          </cell>
          <cell r="B145">
            <v>4.2903678730295505E-2</v>
          </cell>
          <cell r="C145">
            <v>1.5076189532220727E-3</v>
          </cell>
          <cell r="D145">
            <v>3.7859879050585479E-2</v>
          </cell>
          <cell r="F145">
            <v>413.9605977707343</v>
          </cell>
          <cell r="G145">
            <v>50.437996797100261</v>
          </cell>
        </row>
        <row r="147">
          <cell r="A147" t="str">
            <v>EPS</v>
          </cell>
          <cell r="B147">
            <v>0.24893510925268417</v>
          </cell>
          <cell r="C147">
            <v>8.04553257961238E-3</v>
          </cell>
          <cell r="D147">
            <v>0.225114276362679</v>
          </cell>
          <cell r="F147">
            <v>0.24088957667307179</v>
          </cell>
          <cell r="G147">
            <v>2.3820832890005167E-2</v>
          </cell>
        </row>
        <row r="149">
          <cell r="A149" t="str">
            <v>EPS Upsides/Downsides</v>
          </cell>
        </row>
        <row r="150">
          <cell r="A150" t="str">
            <v>Gross Margin</v>
          </cell>
          <cell r="B150">
            <v>5.555265989990261E-3</v>
          </cell>
        </row>
        <row r="151">
          <cell r="A151" t="str">
            <v>SG&amp;A</v>
          </cell>
          <cell r="B151">
            <v>1.8634632007562379E-2</v>
          </cell>
        </row>
        <row r="152">
          <cell r="A152" t="str">
            <v>Operating Margin</v>
          </cell>
          <cell r="B152">
            <v>2.418989799755264E-2</v>
          </cell>
        </row>
        <row r="153">
          <cell r="A153" t="str">
            <v>Interest Expense, Net</v>
          </cell>
          <cell r="B153">
            <v>-9.2361681188376816E-4</v>
          </cell>
        </row>
        <row r="154">
          <cell r="A154" t="str">
            <v>Other expense (income)</v>
          </cell>
          <cell r="B154">
            <v>1.3112471077827939E-2</v>
          </cell>
        </row>
        <row r="155">
          <cell r="A155" t="str">
            <v>Tax Rate</v>
          </cell>
          <cell r="B155">
            <v>-8.3263942709177457E-3</v>
          </cell>
        </row>
        <row r="156">
          <cell r="A156" t="str">
            <v>Shares</v>
          </cell>
          <cell r="B156">
            <v>-6.1742795380068938E-3</v>
          </cell>
        </row>
        <row r="157">
          <cell r="A157" t="str">
            <v>Total</v>
          </cell>
          <cell r="B157">
            <v>2.1878078454572167E-2</v>
          </cell>
        </row>
        <row r="159">
          <cell r="A159" t="str">
            <v>GPS</v>
          </cell>
          <cell r="J159" t="str">
            <v>4Q09</v>
          </cell>
          <cell r="K159" t="str">
            <v>1Q10</v>
          </cell>
        </row>
        <row r="160">
          <cell r="A160" t="str">
            <v>As a % of Sales</v>
          </cell>
          <cell r="B160" t="str">
            <v>4Q09</v>
          </cell>
          <cell r="C160" t="str">
            <v>4Q08</v>
          </cell>
          <cell r="D160" t="str">
            <v>MS Est.</v>
          </cell>
          <cell r="F160" t="str">
            <v>y/y∆ (bp)</v>
          </cell>
          <cell r="G160" t="str">
            <v>∆ vs MS
Est. (bp)</v>
          </cell>
          <cell r="J160" t="str">
            <v>FQ1</v>
          </cell>
          <cell r="K160" t="str">
            <v>FQ2</v>
          </cell>
          <cell r="L160" t="str">
            <v>FQ3</v>
          </cell>
          <cell r="M160" t="str">
            <v>FY1</v>
          </cell>
          <cell r="N160" t="str">
            <v>FY2</v>
          </cell>
        </row>
        <row r="161">
          <cell r="A161" t="str">
            <v>Gross Income</v>
          </cell>
          <cell r="B161">
            <v>0.3922743753062225</v>
          </cell>
          <cell r="C161">
            <v>0.34027437530622245</v>
          </cell>
          <cell r="D161">
            <v>0.42196995226060091</v>
          </cell>
          <cell r="F161">
            <v>520.00000000000045</v>
          </cell>
          <cell r="G161">
            <v>-296.95576954378413</v>
          </cell>
          <cell r="I161" t="str">
            <v>Consensus</v>
          </cell>
          <cell r="J161">
            <v>0.5</v>
          </cell>
          <cell r="K161">
            <v>0.35399999999999998</v>
          </cell>
          <cell r="M161">
            <v>1.5029999999999999</v>
          </cell>
          <cell r="N161">
            <v>1.6339999999999999</v>
          </cell>
        </row>
        <row r="162">
          <cell r="A162" t="str">
            <v>SG&amp;A Expense</v>
          </cell>
          <cell r="B162">
            <v>0.25777315041646254</v>
          </cell>
          <cell r="C162">
            <v>0.24277315041646252</v>
          </cell>
          <cell r="D162">
            <v>0.2828268744734625</v>
          </cell>
          <cell r="F162">
            <v>150.00000000000014</v>
          </cell>
          <cell r="G162">
            <v>-250.5372405699996</v>
          </cell>
          <cell r="I162" t="str">
            <v>MS Est.</v>
          </cell>
          <cell r="J162">
            <v>0.50455187729779205</v>
          </cell>
          <cell r="K162">
            <v>0.43607954545454547</v>
          </cell>
          <cell r="M162">
            <v>1.5717170524816499</v>
          </cell>
          <cell r="N162">
            <v>1.6307831306006146</v>
          </cell>
        </row>
        <row r="163">
          <cell r="A163" t="str">
            <v>Operating Income</v>
          </cell>
          <cell r="B163">
            <v>0.13450122488975996</v>
          </cell>
          <cell r="C163">
            <v>9.7501224889759916E-2</v>
          </cell>
          <cell r="D163">
            <v>0.13914307778713844</v>
          </cell>
          <cell r="F163">
            <v>370.00000000000045</v>
          </cell>
          <cell r="G163">
            <v>-46.418528973784788</v>
          </cell>
          <cell r="I163" t="str">
            <v>MS/C</v>
          </cell>
          <cell r="J163">
            <v>4.5518772977920507E-3</v>
          </cell>
          <cell r="K163">
            <v>8.2079545454545488E-2</v>
          </cell>
          <cell r="M163">
            <v>6.8717052481650054E-2</v>
          </cell>
          <cell r="N163">
            <v>-3.2168693993852582E-3</v>
          </cell>
        </row>
        <row r="164">
          <cell r="A164" t="str">
            <v>Interest Expense</v>
          </cell>
          <cell r="B164">
            <v>0</v>
          </cell>
          <cell r="C164">
            <v>0</v>
          </cell>
          <cell r="D164">
            <v>0</v>
          </cell>
          <cell r="F164">
            <v>0</v>
          </cell>
          <cell r="G164">
            <v>0</v>
          </cell>
          <cell r="I164" t="str">
            <v>Guidance</v>
          </cell>
          <cell r="J164" t="str">
            <v>$0.33-$0.35</v>
          </cell>
        </row>
        <row r="165">
          <cell r="A165" t="str">
            <v>Earnings b4 Taxes</v>
          </cell>
          <cell r="B165">
            <v>0.13450122488975996</v>
          </cell>
          <cell r="C165">
            <v>9.8236158745712884E-2</v>
          </cell>
          <cell r="D165">
            <v>0.13949061485667194</v>
          </cell>
          <cell r="F165">
            <v>362.6506614404708</v>
          </cell>
          <cell r="G165">
            <v>-49.893899669119776</v>
          </cell>
        </row>
        <row r="166">
          <cell r="A166" t="str">
            <v>Tax Rate</v>
          </cell>
          <cell r="B166">
            <v>0.39</v>
          </cell>
          <cell r="C166">
            <v>0.3940149625935162</v>
          </cell>
          <cell r="D166">
            <v>0.39</v>
          </cell>
          <cell r="F166">
            <v>-40.149625935161914</v>
          </cell>
          <cell r="G166">
            <v>0</v>
          </cell>
        </row>
        <row r="167">
          <cell r="A167" t="str">
            <v>Net Income</v>
          </cell>
          <cell r="B167">
            <v>0.39</v>
          </cell>
          <cell r="C167">
            <v>0.3940149625935162</v>
          </cell>
          <cell r="D167">
            <v>8.5089275062569872E-2</v>
          </cell>
          <cell r="F167">
            <v>-40.149625935161914</v>
          </cell>
          <cell r="G167">
            <v>3049.1072493743018</v>
          </cell>
        </row>
        <row r="169">
          <cell r="A169" t="str">
            <v>EPS</v>
          </cell>
          <cell r="B169">
            <v>0.50455187729779205</v>
          </cell>
          <cell r="C169">
            <v>0.34219263456090654</v>
          </cell>
          <cell r="D169">
            <v>0.43995659234339185</v>
          </cell>
          <cell r="F169">
            <v>0.16235924273688551</v>
          </cell>
          <cell r="G169">
            <v>6.4595284954400201E-2</v>
          </cell>
        </row>
        <row r="171">
          <cell r="A171" t="str">
            <v>EPS Upsides/Downsides</v>
          </cell>
        </row>
        <row r="172">
          <cell r="A172" t="str">
            <v>Sales</v>
          </cell>
          <cell r="B172">
            <v>0</v>
          </cell>
        </row>
        <row r="173">
          <cell r="A173" t="str">
            <v>Gross Margin</v>
          </cell>
          <cell r="B173">
            <v>0</v>
          </cell>
        </row>
        <row r="174">
          <cell r="A174" t="str">
            <v>SG&amp;A Expenses</v>
          </cell>
          <cell r="B174">
            <v>0</v>
          </cell>
        </row>
        <row r="175">
          <cell r="A175" t="str">
            <v>Operating Margin</v>
          </cell>
          <cell r="B175" t="e">
            <v>#REF!</v>
          </cell>
        </row>
        <row r="176">
          <cell r="A176" t="str">
            <v>Interest Expense</v>
          </cell>
          <cell r="B176">
            <v>0</v>
          </cell>
        </row>
        <row r="177">
          <cell r="A177" t="str">
            <v>Interest Income</v>
          </cell>
          <cell r="B177">
            <v>0</v>
          </cell>
        </row>
        <row r="178">
          <cell r="A178" t="str">
            <v>Tax Rate</v>
          </cell>
          <cell r="B178">
            <v>0</v>
          </cell>
        </row>
        <row r="179">
          <cell r="A179" t="str">
            <v>Shares</v>
          </cell>
          <cell r="B179">
            <v>0</v>
          </cell>
        </row>
        <row r="180">
          <cell r="A180" t="str">
            <v>Total</v>
          </cell>
          <cell r="B180">
            <v>0</v>
          </cell>
        </row>
        <row r="182">
          <cell r="A182" t="str">
            <v>ROST</v>
          </cell>
        </row>
        <row r="183">
          <cell r="A183" t="str">
            <v>As a % of Sales</v>
          </cell>
          <cell r="B183" t="str">
            <v>2Q09</v>
          </cell>
          <cell r="C183" t="str">
            <v>2Q08</v>
          </cell>
          <cell r="D183" t="str">
            <v>MS Est.</v>
          </cell>
          <cell r="F183" t="str">
            <v>y/y∆ (bp)</v>
          </cell>
          <cell r="G183" t="str">
            <v>∆ vs MS
Est. (bp)</v>
          </cell>
          <cell r="J183" t="str">
            <v>FQ1</v>
          </cell>
          <cell r="K183" t="str">
            <v>FQ2</v>
          </cell>
          <cell r="L183" t="str">
            <v>FY1</v>
          </cell>
          <cell r="M183" t="str">
            <v>FY2</v>
          </cell>
        </row>
        <row r="184">
          <cell r="A184" t="str">
            <v>Gross Income</v>
          </cell>
          <cell r="B184">
            <v>0</v>
          </cell>
          <cell r="C184">
            <v>0</v>
          </cell>
          <cell r="D184">
            <v>0</v>
          </cell>
          <cell r="F184">
            <v>0</v>
          </cell>
          <cell r="G184">
            <v>0</v>
          </cell>
          <cell r="I184" t="str">
            <v>Consensus</v>
          </cell>
          <cell r="J184">
            <v>0.82</v>
          </cell>
          <cell r="K184">
            <v>0.56000000000000005</v>
          </cell>
          <cell r="L184">
            <v>3</v>
          </cell>
          <cell r="M184">
            <v>3.27</v>
          </cell>
          <cell r="N184" t="str">
            <v>Bloomberg</v>
          </cell>
          <cell r="O184">
            <v>40045</v>
          </cell>
        </row>
        <row r="185">
          <cell r="A185" t="str">
            <v>SG&amp;A Expense</v>
          </cell>
          <cell r="B185">
            <v>0</v>
          </cell>
          <cell r="C185">
            <v>0</v>
          </cell>
          <cell r="D185">
            <v>0</v>
          </cell>
          <cell r="F185">
            <v>0</v>
          </cell>
          <cell r="G185">
            <v>0</v>
          </cell>
          <cell r="I185" t="str">
            <v>MS Est.</v>
          </cell>
          <cell r="J185">
            <v>0</v>
          </cell>
          <cell r="K185">
            <v>0.56000000000000005</v>
          </cell>
          <cell r="L185">
            <v>3.03</v>
          </cell>
          <cell r="M185">
            <v>3.43</v>
          </cell>
        </row>
        <row r="186">
          <cell r="A186" t="str">
            <v>Operating Income</v>
          </cell>
          <cell r="B186">
            <v>0</v>
          </cell>
          <cell r="C186">
            <v>0</v>
          </cell>
          <cell r="D186">
            <v>0</v>
          </cell>
          <cell r="F186">
            <v>0</v>
          </cell>
          <cell r="G186">
            <v>0</v>
          </cell>
          <cell r="I186" t="str">
            <v>MS/C</v>
          </cell>
          <cell r="J186">
            <v>-0.82</v>
          </cell>
          <cell r="K186">
            <v>0</v>
          </cell>
          <cell r="L186">
            <v>2.9999999999999805E-2</v>
          </cell>
          <cell r="M186">
            <v>0.16000000000000014</v>
          </cell>
        </row>
        <row r="187">
          <cell r="A187" t="str">
            <v>Interest Expense</v>
          </cell>
          <cell r="B187">
            <v>0</v>
          </cell>
          <cell r="C187">
            <v>0</v>
          </cell>
          <cell r="D187">
            <v>0</v>
          </cell>
          <cell r="F187">
            <v>0</v>
          </cell>
          <cell r="G187">
            <v>0</v>
          </cell>
          <cell r="I187" t="str">
            <v>Guidance</v>
          </cell>
          <cell r="J187" t="str">
            <v>0.81-0.82</v>
          </cell>
        </row>
        <row r="188">
          <cell r="A188" t="str">
            <v>Earnings b4 Taxes</v>
          </cell>
          <cell r="B188">
            <v>0</v>
          </cell>
          <cell r="C188">
            <v>0</v>
          </cell>
          <cell r="D188">
            <v>0</v>
          </cell>
          <cell r="F188">
            <v>0</v>
          </cell>
          <cell r="G188">
            <v>0</v>
          </cell>
          <cell r="I188" t="str">
            <v>N Guidance</v>
          </cell>
        </row>
        <row r="189">
          <cell r="A189" t="str">
            <v>Tax Rate</v>
          </cell>
          <cell r="B189">
            <v>0</v>
          </cell>
          <cell r="C189">
            <v>0</v>
          </cell>
          <cell r="D189">
            <v>0</v>
          </cell>
          <cell r="F189">
            <v>0</v>
          </cell>
          <cell r="G189">
            <v>0</v>
          </cell>
        </row>
        <row r="190">
          <cell r="A190" t="str">
            <v>Net Income</v>
          </cell>
          <cell r="B190">
            <v>0</v>
          </cell>
          <cell r="C190">
            <v>0</v>
          </cell>
          <cell r="D190">
            <v>0</v>
          </cell>
          <cell r="F190">
            <v>0</v>
          </cell>
          <cell r="G190">
            <v>0</v>
          </cell>
        </row>
        <row r="192">
          <cell r="A192" t="str">
            <v>EPS</v>
          </cell>
          <cell r="B192">
            <v>0</v>
          </cell>
          <cell r="C192">
            <v>0</v>
          </cell>
          <cell r="D192">
            <v>0</v>
          </cell>
          <cell r="F192">
            <v>0</v>
          </cell>
          <cell r="G192">
            <v>0</v>
          </cell>
        </row>
        <row r="194">
          <cell r="A194" t="str">
            <v>EPS Upsides/Downsides</v>
          </cell>
        </row>
        <row r="195">
          <cell r="A195" t="str">
            <v>Gross Margin</v>
          </cell>
          <cell r="B195">
            <v>-9.3079415940881156E-3</v>
          </cell>
        </row>
        <row r="196">
          <cell r="A196" t="str">
            <v>SG&amp;A</v>
          </cell>
          <cell r="B196">
            <v>-4.1553199556378624E-3</v>
          </cell>
        </row>
        <row r="197">
          <cell r="A197" t="str">
            <v>Interest Expense, Net</v>
          </cell>
          <cell r="B197">
            <v>1.4972157034199365E-3</v>
          </cell>
        </row>
        <row r="198">
          <cell r="A198" t="str">
            <v>Tax Rate</v>
          </cell>
          <cell r="B198">
            <v>6.994656953981741E-3</v>
          </cell>
        </row>
        <row r="199">
          <cell r="A199" t="str">
            <v>Shares</v>
          </cell>
          <cell r="B199">
            <v>4.7205651805766191E-3</v>
          </cell>
        </row>
        <row r="200">
          <cell r="A200" t="str">
            <v>Total</v>
          </cell>
          <cell r="B200">
            <v>-2.508237117476806E-4</v>
          </cell>
        </row>
        <row r="202">
          <cell r="A202" t="str">
            <v>TJX</v>
          </cell>
        </row>
        <row r="203">
          <cell r="A203" t="str">
            <v>As a % of Sales</v>
          </cell>
          <cell r="B203" t="str">
            <v>3Q09</v>
          </cell>
          <cell r="C203" t="str">
            <v>3Q08</v>
          </cell>
          <cell r="D203" t="str">
            <v>MS Est.</v>
          </cell>
          <cell r="F203" t="str">
            <v>y/y∆ (bp)</v>
          </cell>
          <cell r="G203" t="str">
            <v>∆ vs MS
Est. (bp)</v>
          </cell>
          <cell r="J203" t="str">
            <v>FQ1</v>
          </cell>
          <cell r="K203" t="str">
            <v>FQ2</v>
          </cell>
          <cell r="L203" t="str">
            <v>FY1</v>
          </cell>
          <cell r="M203" t="str">
            <v>FY2</v>
          </cell>
        </row>
        <row r="204">
          <cell r="A204" t="str">
            <v>Gross Income</v>
          </cell>
          <cell r="B204">
            <v>0</v>
          </cell>
          <cell r="C204">
            <v>0</v>
          </cell>
          <cell r="D204">
            <v>0</v>
          </cell>
          <cell r="F204">
            <v>0</v>
          </cell>
          <cell r="G204">
            <v>0</v>
          </cell>
          <cell r="I204" t="str">
            <v>Consensus</v>
          </cell>
          <cell r="J204">
            <v>0.78400000000000003</v>
          </cell>
          <cell r="K204">
            <v>0.70599999999999996</v>
          </cell>
          <cell r="L204">
            <v>2.5819999999999999</v>
          </cell>
          <cell r="M204">
            <v>2.8839999999999999</v>
          </cell>
          <cell r="N204" t="str">
            <v>Bloomberg</v>
          </cell>
          <cell r="O204">
            <v>40133</v>
          </cell>
        </row>
        <row r="205">
          <cell r="A205" t="str">
            <v>SG&amp;A Expense</v>
          </cell>
          <cell r="B205">
            <v>0</v>
          </cell>
          <cell r="C205">
            <v>0</v>
          </cell>
          <cell r="D205">
            <v>0</v>
          </cell>
          <cell r="F205">
            <v>0</v>
          </cell>
          <cell r="G205">
            <v>0</v>
          </cell>
          <cell r="I205" t="str">
            <v>MS Est.</v>
          </cell>
          <cell r="J205">
            <v>0</v>
          </cell>
          <cell r="K205">
            <v>0.81</v>
          </cell>
          <cell r="L205">
            <v>2.7</v>
          </cell>
          <cell r="M205">
            <v>3.13</v>
          </cell>
        </row>
        <row r="206">
          <cell r="A206" t="str">
            <v>Operating Income</v>
          </cell>
          <cell r="B206">
            <v>0</v>
          </cell>
          <cell r="C206">
            <v>0</v>
          </cell>
          <cell r="D206">
            <v>0</v>
          </cell>
          <cell r="F206">
            <v>0</v>
          </cell>
          <cell r="G206">
            <v>0</v>
          </cell>
          <cell r="I206" t="str">
            <v>MS/C</v>
          </cell>
          <cell r="J206">
            <v>-0.78400000000000003</v>
          </cell>
          <cell r="K206">
            <v>0.10400000000000009</v>
          </cell>
          <cell r="L206">
            <v>0.11800000000000033</v>
          </cell>
          <cell r="M206">
            <v>0.246</v>
          </cell>
        </row>
        <row r="207">
          <cell r="A207" t="str">
            <v>Interest Expense</v>
          </cell>
          <cell r="B207">
            <v>0</v>
          </cell>
          <cell r="C207">
            <v>0</v>
          </cell>
          <cell r="D207">
            <v>0</v>
          </cell>
          <cell r="F207">
            <v>0</v>
          </cell>
          <cell r="G207">
            <v>0</v>
          </cell>
          <cell r="I207" t="str">
            <v>Mgt</v>
          </cell>
        </row>
        <row r="208">
          <cell r="A208" t="str">
            <v>Earnings b4 Taxes</v>
          </cell>
          <cell r="B208">
            <v>0</v>
          </cell>
          <cell r="C208">
            <v>0</v>
          </cell>
          <cell r="D208">
            <v>0</v>
          </cell>
          <cell r="F208">
            <v>0</v>
          </cell>
          <cell r="G208">
            <v>0</v>
          </cell>
          <cell r="I208" t="str">
            <v>New Guide</v>
          </cell>
        </row>
        <row r="209">
          <cell r="A209" t="str">
            <v>Tax Rate</v>
          </cell>
          <cell r="B209">
            <v>0</v>
          </cell>
          <cell r="C209">
            <v>0</v>
          </cell>
          <cell r="D209">
            <v>0</v>
          </cell>
          <cell r="F209">
            <v>0</v>
          </cell>
          <cell r="G209">
            <v>0</v>
          </cell>
        </row>
        <row r="210">
          <cell r="A210" t="str">
            <v>Net Income</v>
          </cell>
          <cell r="B210">
            <v>0</v>
          </cell>
          <cell r="C210">
            <v>0</v>
          </cell>
          <cell r="D210">
            <v>0</v>
          </cell>
          <cell r="F210">
            <v>0</v>
          </cell>
          <cell r="G210">
            <v>0</v>
          </cell>
        </row>
        <row r="212">
          <cell r="A212" t="str">
            <v>EPS</v>
          </cell>
          <cell r="B212">
            <v>0</v>
          </cell>
          <cell r="C212">
            <v>0</v>
          </cell>
          <cell r="D212">
            <v>0</v>
          </cell>
          <cell r="F212">
            <v>0</v>
          </cell>
          <cell r="G212">
            <v>0</v>
          </cell>
        </row>
        <row r="214">
          <cell r="A214" t="str">
            <v>EPS Upsides/Downsides</v>
          </cell>
        </row>
        <row r="215">
          <cell r="A215" t="str">
            <v>Reported Sales Variance</v>
          </cell>
          <cell r="B215">
            <v>-9.2385306540772958E-3</v>
          </cell>
        </row>
        <row r="216">
          <cell r="A216" t="str">
            <v>Gross Margin</v>
          </cell>
          <cell r="B216">
            <v>0.12327703340832144</v>
          </cell>
        </row>
        <row r="217">
          <cell r="A217" t="str">
            <v>SG&amp;A</v>
          </cell>
          <cell r="B217">
            <v>-9.2623490996430774E-2</v>
          </cell>
        </row>
        <row r="218">
          <cell r="A218" t="str">
            <v>Interest Expense, Net</v>
          </cell>
          <cell r="B218">
            <v>-1.7995738165169045E-3</v>
          </cell>
        </row>
        <row r="219">
          <cell r="A219" t="str">
            <v>Tax Rate</v>
          </cell>
          <cell r="B219">
            <v>1.0237504860645822E-2</v>
          </cell>
        </row>
        <row r="220">
          <cell r="A220" t="str">
            <v>Shares</v>
          </cell>
          <cell r="B220">
            <v>4.3935790474023406E-3</v>
          </cell>
        </row>
        <row r="221">
          <cell r="A221" t="str">
            <v>Total</v>
          </cell>
          <cell r="B221">
            <v>3.4246521849344624E-2</v>
          </cell>
        </row>
        <row r="223">
          <cell r="A223" t="str">
            <v>URBN</v>
          </cell>
        </row>
        <row r="224">
          <cell r="A224" t="str">
            <v>As a % of Sales</v>
          </cell>
          <cell r="B224" t="str">
            <v>4Q09</v>
          </cell>
          <cell r="C224" t="str">
            <v>4Q08</v>
          </cell>
          <cell r="D224" t="str">
            <v>MS Estimate</v>
          </cell>
          <cell r="F224" t="str">
            <v>y/y∆ (bp)</v>
          </cell>
          <cell r="G224" t="str">
            <v>∆ vs 
Est. (bp)</v>
          </cell>
          <cell r="J224" t="str">
            <v>FQ1</v>
          </cell>
          <cell r="K224" t="str">
            <v>FQ2</v>
          </cell>
          <cell r="L224" t="str">
            <v>FY1</v>
          </cell>
          <cell r="M224" t="str">
            <v>FY2</v>
          </cell>
        </row>
        <row r="225">
          <cell r="A225" t="str">
            <v>Gross Income</v>
          </cell>
          <cell r="B225">
            <v>0.41744081917711845</v>
          </cell>
          <cell r="C225">
            <v>0.34028633398808855</v>
          </cell>
          <cell r="D225">
            <v>0.39338633398808853</v>
          </cell>
          <cell r="F225">
            <v>771.54485189029901</v>
          </cell>
          <cell r="G225">
            <v>240.54485189029919</v>
          </cell>
          <cell r="I225" t="str">
            <v>Consensus</v>
          </cell>
          <cell r="J225">
            <v>0.40300000000000002</v>
          </cell>
          <cell r="K225">
            <v>0.25900000000000001</v>
          </cell>
          <cell r="L225">
            <v>1.234</v>
          </cell>
          <cell r="M225">
            <v>1.5580000000000001</v>
          </cell>
          <cell r="N225" t="str">
            <v>updated 3/3/2010</v>
          </cell>
        </row>
        <row r="226">
          <cell r="A226" t="str">
            <v>SG&amp;A Expense</v>
          </cell>
          <cell r="B226">
            <v>0.21580375637433241</v>
          </cell>
          <cell r="C226">
            <v>0.21590779368522153</v>
          </cell>
          <cell r="D226">
            <v>0.21140779368522153</v>
          </cell>
          <cell r="F226">
            <v>-1.0403731088912127</v>
          </cell>
          <cell r="G226">
            <v>43.959626891108826</v>
          </cell>
          <cell r="I226" t="str">
            <v>MS Est.</v>
          </cell>
          <cell r="J226">
            <v>0.40309878685263067</v>
          </cell>
          <cell r="K226">
            <v>0.38</v>
          </cell>
          <cell r="L226">
            <v>1.21</v>
          </cell>
          <cell r="M226">
            <v>1.5</v>
          </cell>
          <cell r="N226" t="str">
            <v>updated 3/3/2010</v>
          </cell>
        </row>
        <row r="227">
          <cell r="A227" t="str">
            <v>Operating Income</v>
          </cell>
          <cell r="B227">
            <v>0.20163706280278604</v>
          </cell>
          <cell r="C227">
            <v>0.12437854030286699</v>
          </cell>
          <cell r="D227">
            <v>0.18197854030286698</v>
          </cell>
          <cell r="F227">
            <v>772.58522499919047</v>
          </cell>
          <cell r="G227">
            <v>196.58522499919061</v>
          </cell>
          <cell r="I227" t="str">
            <v>MS/C</v>
          </cell>
          <cell r="J227">
            <v>9.8786852630650124E-5</v>
          </cell>
          <cell r="K227">
            <v>-0.25900000000000001</v>
          </cell>
          <cell r="L227">
            <v>-1.234</v>
          </cell>
          <cell r="M227">
            <v>-1.5580000000000001</v>
          </cell>
        </row>
        <row r="228">
          <cell r="A228" t="str">
            <v>Other Expenses (Income)</v>
          </cell>
          <cell r="B228">
            <v>-9.7707194478099143E-4</v>
          </cell>
          <cell r="C228">
            <v>-5.8120997169725901E-3</v>
          </cell>
          <cell r="D228">
            <v>-5.8120997169725901E-3</v>
          </cell>
          <cell r="F228">
            <v>48.350277721915987</v>
          </cell>
          <cell r="G228">
            <v>48.350277721915987</v>
          </cell>
          <cell r="I228" t="str">
            <v>Guidance</v>
          </cell>
          <cell r="J228" t="str">
            <v>NA</v>
          </cell>
          <cell r="K228" t="str">
            <v>NA</v>
          </cell>
          <cell r="L228" t="str">
            <v>NA</v>
          </cell>
          <cell r="M228" t="str">
            <v>NA</v>
          </cell>
        </row>
        <row r="229">
          <cell r="A229" t="str">
            <v>Income Before Taxes</v>
          </cell>
          <cell r="B229">
            <v>0.20261413474756704</v>
          </cell>
          <cell r="C229">
            <v>0.1301906400198396</v>
          </cell>
          <cell r="D229">
            <v>0.18779064001983956</v>
          </cell>
          <cell r="F229">
            <v>724.23494727727439</v>
          </cell>
          <cell r="G229">
            <v>148.23494727727481</v>
          </cell>
        </row>
        <row r="230">
          <cell r="A230" t="str">
            <v>Tax Rate</v>
          </cell>
          <cell r="B230">
            <v>0.34856630072880074</v>
          </cell>
          <cell r="C230">
            <v>0.38704703161141057</v>
          </cell>
          <cell r="D230">
            <v>0.374</v>
          </cell>
          <cell r="F230">
            <v>-384.80730882609839</v>
          </cell>
          <cell r="G230">
            <v>-254.33699271199262</v>
          </cell>
        </row>
        <row r="231">
          <cell r="A231" t="str">
            <v>Net Income</v>
          </cell>
          <cell r="B231">
            <v>0.13198967532324082</v>
          </cell>
          <cell r="C231">
            <v>7.9800739256570954E-2</v>
          </cell>
          <cell r="D231">
            <v>0.11755694065241959</v>
          </cell>
          <cell r="F231">
            <v>521.88936066669874</v>
          </cell>
          <cell r="G231">
            <v>144.32734670821233</v>
          </cell>
        </row>
        <row r="233">
          <cell r="A233" t="str">
            <v>EPS</v>
          </cell>
          <cell r="B233">
            <v>0.45049458331518716</v>
          </cell>
          <cell r="C233">
            <v>0.2383991529512581</v>
          </cell>
          <cell r="D233">
            <v>0.40309878685263067</v>
          </cell>
          <cell r="F233">
            <v>0.21209543036392906</v>
          </cell>
          <cell r="G233">
            <v>4.7395796462556483E-2</v>
          </cell>
        </row>
        <row r="235">
          <cell r="A235" t="str">
            <v>EPS Upsides/Downsides</v>
          </cell>
        </row>
        <row r="236">
          <cell r="A236" t="str">
            <v>Sales</v>
          </cell>
          <cell r="B236" t="e">
            <v>#REF!</v>
          </cell>
        </row>
        <row r="237">
          <cell r="A237" t="str">
            <v>Gross Margin</v>
          </cell>
          <cell r="B237">
            <v>5.3483017340296916E-2</v>
          </cell>
        </row>
        <row r="238">
          <cell r="A238" t="str">
            <v>SG&amp;A</v>
          </cell>
          <cell r="B238">
            <v>-9.7740336939839308E-3</v>
          </cell>
        </row>
        <row r="239">
          <cell r="A239" t="str">
            <v>Other Expenses (Income)</v>
          </cell>
          <cell r="B239">
            <v>-1.0750256018734979E-2</v>
          </cell>
        </row>
        <row r="240">
          <cell r="A240" t="str">
            <v>Tax Rate</v>
          </cell>
          <cell r="B240">
            <v>1.7588503278478228E-2</v>
          </cell>
        </row>
        <row r="241">
          <cell r="A241" t="str">
            <v>Shares</v>
          </cell>
          <cell r="B241">
            <v>-2.0935642207525196E-3</v>
          </cell>
        </row>
        <row r="242">
          <cell r="A242" t="str">
            <v>Total</v>
          </cell>
          <cell r="B242">
            <v>4.8453666685303709E-2</v>
          </cell>
        </row>
        <row r="243">
          <cell r="A243" t="str">
            <v>AEO</v>
          </cell>
        </row>
        <row r="244">
          <cell r="A244" t="str">
            <v>AEO</v>
          </cell>
          <cell r="B244" t="str">
            <v>3Q09</v>
          </cell>
          <cell r="C244" t="str">
            <v>3Q08</v>
          </cell>
          <cell r="D244" t="str">
            <v>MS Estimate</v>
          </cell>
          <cell r="F244" t="str">
            <v>y/y∆ (bp)</v>
          </cell>
          <cell r="G244" t="str">
            <v>∆ vs 
Est. (bp)</v>
          </cell>
          <cell r="J244" t="str">
            <v>FQ1</v>
          </cell>
          <cell r="K244" t="str">
            <v>FQ2</v>
          </cell>
          <cell r="M244" t="str">
            <v>FY1</v>
          </cell>
          <cell r="N244" t="str">
            <v>FY2</v>
          </cell>
        </row>
        <row r="245">
          <cell r="A245" t="str">
            <v>As a % of Sales</v>
          </cell>
          <cell r="B245" t="str">
            <v>4Q09</v>
          </cell>
          <cell r="C245" t="str">
            <v>4Q08</v>
          </cell>
          <cell r="D245" t="str">
            <v>MS Estimate</v>
          </cell>
          <cell r="F245" t="str">
            <v>y/y∆ (bp)</v>
          </cell>
          <cell r="G245" t="str">
            <v>∆ vs 
Est. (bp)</v>
          </cell>
          <cell r="I245" t="str">
            <v>Consensus</v>
          </cell>
          <cell r="J245" t="str">
            <v>FQ1</v>
          </cell>
          <cell r="K245" t="str">
            <v>FQ2</v>
          </cell>
          <cell r="M245" t="str">
            <v>FY1</v>
          </cell>
          <cell r="N245" t="str">
            <v>FY2</v>
          </cell>
          <cell r="O245" t="str">
            <v>updated 11/23/2009</v>
          </cell>
        </row>
        <row r="246">
          <cell r="A246" t="str">
            <v>Gross Income</v>
          </cell>
          <cell r="B246">
            <v>0.38593867923135189</v>
          </cell>
          <cell r="C246">
            <v>0.34406978028044605</v>
          </cell>
          <cell r="D246">
            <v>0.38593867923135189</v>
          </cell>
          <cell r="F246">
            <v>418.68898950905844</v>
          </cell>
          <cell r="G246">
            <v>0</v>
          </cell>
          <cell r="I246" t="str">
            <v>Consensus</v>
          </cell>
          <cell r="J246">
            <v>0.20516677394692481</v>
          </cell>
          <cell r="K246">
            <v>0.34</v>
          </cell>
          <cell r="M246">
            <v>0.77</v>
          </cell>
          <cell r="N246">
            <v>0.97</v>
          </cell>
        </row>
        <row r="247">
          <cell r="A247" t="str">
            <v>SG&amp;A</v>
          </cell>
          <cell r="B247">
            <v>0.26707126698025407</v>
          </cell>
          <cell r="C247">
            <v>0.27777851385668545</v>
          </cell>
          <cell r="D247">
            <v>0.26707126698025407</v>
          </cell>
          <cell r="F247">
            <v>-107.07246876431375</v>
          </cell>
          <cell r="G247">
            <v>0</v>
          </cell>
          <cell r="I247" t="str">
            <v>MS Est.</v>
          </cell>
          <cell r="J247">
            <v>-4.8332260530751792E-3</v>
          </cell>
          <cell r="K247">
            <v>1.8000000000000016E-2</v>
          </cell>
          <cell r="M247">
            <v>2.200000000000002E-2</v>
          </cell>
          <cell r="N247">
            <v>-6.2000000000000055E-2</v>
          </cell>
        </row>
        <row r="248">
          <cell r="A248" t="str">
            <v>Operating Income</v>
          </cell>
          <cell r="B248">
            <v>0.11886741225109779</v>
          </cell>
          <cell r="C248">
            <v>6.6291266423760653E-2</v>
          </cell>
          <cell r="D248">
            <v>0.11886741225109779</v>
          </cell>
          <cell r="F248">
            <v>525.76145827337132</v>
          </cell>
          <cell r="G248">
            <v>0</v>
          </cell>
          <cell r="I248" t="str">
            <v>MS/C</v>
          </cell>
          <cell r="J248" t="str">
            <v>0.20-0.21 op.</v>
          </cell>
        </row>
        <row r="249">
          <cell r="A249" t="str">
            <v>Interest and Other Income, net</v>
          </cell>
          <cell r="B249">
            <v>-4.7111590699647102E-4</v>
          </cell>
          <cell r="C249">
            <v>3.207463840123661E-3</v>
          </cell>
          <cell r="D249">
            <v>-4.7111590699647102E-4</v>
          </cell>
          <cell r="F249">
            <v>-36.78579747120132</v>
          </cell>
          <cell r="G249">
            <v>0</v>
          </cell>
          <cell r="I249" t="str">
            <v>M Guidance</v>
          </cell>
        </row>
        <row r="250">
          <cell r="A250" t="str">
            <v>Income Before Taxes</v>
          </cell>
          <cell r="B250">
            <v>0.11839629634410131</v>
          </cell>
          <cell r="C250">
            <v>6.9498730263884312E-2</v>
          </cell>
          <cell r="D250">
            <v>0.11839629634410131</v>
          </cell>
          <cell r="F250">
            <v>488.97566080217001</v>
          </cell>
          <cell r="G250">
            <v>0</v>
          </cell>
        </row>
        <row r="251">
          <cell r="A251" t="str">
            <v>Tax Rate</v>
          </cell>
          <cell r="B251">
            <v>0.38</v>
          </cell>
          <cell r="C251">
            <v>0.3856064818492333</v>
          </cell>
          <cell r="D251">
            <v>0.38</v>
          </cell>
          <cell r="F251">
            <v>-56.064818492332911</v>
          </cell>
          <cell r="G251">
            <v>0</v>
          </cell>
        </row>
        <row r="252">
          <cell r="A252" t="str">
            <v>Net Income</v>
          </cell>
          <cell r="B252">
            <v>7.340570373334282E-2</v>
          </cell>
          <cell r="C252">
            <v>4.2699569393839044E-2</v>
          </cell>
          <cell r="D252">
            <v>7.340570373334282E-2</v>
          </cell>
          <cell r="F252">
            <v>307.06134339503774</v>
          </cell>
          <cell r="G252">
            <v>0</v>
          </cell>
        </row>
        <row r="253">
          <cell r="A253" t="str">
            <v>EPS</v>
          </cell>
          <cell r="B253">
            <v>0.20516677394692481</v>
          </cell>
          <cell r="C253">
            <v>0.30139292156616848</v>
          </cell>
          <cell r="D253">
            <v>0.20516677394692481</v>
          </cell>
          <cell r="F253">
            <v>-9.6226147619243668E-2</v>
          </cell>
          <cell r="G253">
            <v>0</v>
          </cell>
        </row>
        <row r="254">
          <cell r="A254" t="str">
            <v>EPS</v>
          </cell>
          <cell r="B254">
            <v>0.33751528617009335</v>
          </cell>
          <cell r="C254">
            <v>0.18721951927964575</v>
          </cell>
          <cell r="D254">
            <v>0.33751528617009335</v>
          </cell>
          <cell r="F254">
            <v>0.1502957668904476</v>
          </cell>
          <cell r="G254">
            <v>0</v>
          </cell>
        </row>
        <row r="255">
          <cell r="A255" t="str">
            <v>EPS Upsides/Downsides</v>
          </cell>
        </row>
        <row r="256">
          <cell r="A256" t="str">
            <v>EPS Upsides/Downsides</v>
          </cell>
          <cell r="B256">
            <v>0</v>
          </cell>
        </row>
        <row r="257">
          <cell r="A257" t="str">
            <v>Gross Margin</v>
          </cell>
          <cell r="B257">
            <v>0</v>
          </cell>
        </row>
        <row r="258">
          <cell r="A258" t="str">
            <v>SG&amp;A</v>
          </cell>
          <cell r="B258">
            <v>0</v>
          </cell>
        </row>
        <row r="259">
          <cell r="A259" t="str">
            <v>Interest and Other Income, net</v>
          </cell>
          <cell r="B259">
            <v>0</v>
          </cell>
        </row>
        <row r="260">
          <cell r="A260" t="str">
            <v>Tax Rate</v>
          </cell>
          <cell r="B260">
            <v>0</v>
          </cell>
        </row>
        <row r="261">
          <cell r="A261" t="str">
            <v>Shares</v>
          </cell>
          <cell r="B261">
            <v>0</v>
          </cell>
        </row>
        <row r="262">
          <cell r="A262" t="str">
            <v>Total</v>
          </cell>
          <cell r="B262">
            <v>0</v>
          </cell>
        </row>
        <row r="263">
          <cell r="A263" t="str">
            <v>ANF</v>
          </cell>
          <cell r="I263" t="str">
            <v>From Bloomberg</v>
          </cell>
        </row>
        <row r="264">
          <cell r="A264" t="str">
            <v>ANF</v>
          </cell>
          <cell r="B264" t="str">
            <v>3Q09</v>
          </cell>
          <cell r="C264" t="str">
            <v>3Q08</v>
          </cell>
          <cell r="D264" t="str">
            <v>MS Est.</v>
          </cell>
          <cell r="F264" t="str">
            <v>y/y∆ (bp)</v>
          </cell>
          <cell r="G264" t="str">
            <v>∆ vs MS
Est. (bp)</v>
          </cell>
          <cell r="I264" t="str">
            <v>From Bloomberg</v>
          </cell>
          <cell r="J264" t="str">
            <v>FQ1</v>
          </cell>
          <cell r="K264" t="str">
            <v>FQ2</v>
          </cell>
          <cell r="M264" t="str">
            <v>FY1</v>
          </cell>
          <cell r="N264" t="str">
            <v>FY2</v>
          </cell>
          <cell r="O264" t="str">
            <v>FY3</v>
          </cell>
        </row>
        <row r="265">
          <cell r="A265" t="str">
            <v>As a % of Sales</v>
          </cell>
          <cell r="B265" t="str">
            <v>4Q09</v>
          </cell>
          <cell r="C265" t="str">
            <v>4Q08</v>
          </cell>
          <cell r="D265" t="str">
            <v>MS Est.</v>
          </cell>
          <cell r="F265" t="str">
            <v>y/y∆ (bp)</v>
          </cell>
          <cell r="G265" t="str">
            <v>∆ vs MS
Est. (bp)</v>
          </cell>
          <cell r="I265" t="str">
            <v>Consensus</v>
          </cell>
          <cell r="J265" t="str">
            <v>FQ1</v>
          </cell>
          <cell r="K265" t="str">
            <v>FQ2</v>
          </cell>
          <cell r="M265" t="str">
            <v>FY1</v>
          </cell>
          <cell r="N265" t="str">
            <v>FY2</v>
          </cell>
          <cell r="O265" t="str">
            <v>FY3</v>
          </cell>
          <cell r="P265">
            <v>40129</v>
          </cell>
        </row>
        <row r="266">
          <cell r="A266" t="str">
            <v>Gross Income</v>
          </cell>
          <cell r="B266">
            <v>0.63520055214206117</v>
          </cell>
          <cell r="C266">
            <v>0.64625120691184512</v>
          </cell>
          <cell r="D266">
            <v>0.6389308385648651</v>
          </cell>
          <cell r="F266">
            <v>-110.50654769783952</v>
          </cell>
          <cell r="G266">
            <v>-37.302864228039297</v>
          </cell>
          <cell r="I266" t="str">
            <v>Consensus</v>
          </cell>
          <cell r="J266">
            <v>0.86899999999999999</v>
          </cell>
          <cell r="K266">
            <v>-0.30550645974206669</v>
          </cell>
          <cell r="M266">
            <v>0.89300000000000002</v>
          </cell>
          <cell r="N266">
            <v>1.6679999999999999</v>
          </cell>
          <cell r="O266">
            <v>2.238</v>
          </cell>
          <cell r="P266">
            <v>40225</v>
          </cell>
        </row>
        <row r="267">
          <cell r="A267" t="str">
            <v>SG&amp;A Expense</v>
          </cell>
          <cell r="B267">
            <v>0.50553157028219287</v>
          </cell>
          <cell r="C267">
            <v>0.49192146483158294</v>
          </cell>
          <cell r="D267">
            <v>0.50634691694515288</v>
          </cell>
          <cell r="F267">
            <v>136.10105450609922</v>
          </cell>
          <cell r="G267">
            <v>-8.1534666296001479</v>
          </cell>
          <cell r="I267" t="str">
            <v>MS Est.</v>
          </cell>
          <cell r="J267">
            <v>0.91479700159346322</v>
          </cell>
          <cell r="K267">
            <v>-1.3135064597420667</v>
          </cell>
        </row>
        <row r="268">
          <cell r="A268" t="str">
            <v>Other Operating Expense</v>
          </cell>
          <cell r="B268">
            <v>-7.7650319287258102E-3</v>
          </cell>
          <cell r="C268">
            <v>-5.5372656653843921E-3</v>
          </cell>
          <cell r="D268">
            <v>-6.4792049741721819E-3</v>
          </cell>
          <cell r="F268">
            <v>-22.277662633414181</v>
          </cell>
          <cell r="G268">
            <v>-12.858269545536283</v>
          </cell>
          <cell r="I268" t="str">
            <v>MS/C</v>
          </cell>
          <cell r="J268">
            <v>4.5797001593463227E-2</v>
          </cell>
        </row>
        <row r="269">
          <cell r="A269" t="str">
            <v>Operating Income</v>
          </cell>
          <cell r="B269">
            <v>0.13743401378859399</v>
          </cell>
          <cell r="C269">
            <v>0.15986700774564663</v>
          </cell>
          <cell r="D269">
            <v>0.1390631265938844</v>
          </cell>
          <cell r="F269">
            <v>-224.32993957052645</v>
          </cell>
          <cell r="G269">
            <v>-16.291128052904057</v>
          </cell>
          <cell r="I269" t="str">
            <v>Guidance</v>
          </cell>
        </row>
        <row r="270">
          <cell r="A270" t="str">
            <v>Interest Expense (Income)</v>
          </cell>
          <cell r="B270">
            <v>1.1677462710645722E-3</v>
          </cell>
          <cell r="C270">
            <v>-1.4467648645149055E-3</v>
          </cell>
          <cell r="D270">
            <v>4.1688385501705005E-4</v>
          </cell>
          <cell r="F270">
            <v>26.145111355794779</v>
          </cell>
          <cell r="G270">
            <v>7.5086241604752209</v>
          </cell>
          <cell r="I270" t="str">
            <v>P Guidance</v>
          </cell>
        </row>
        <row r="271">
          <cell r="A271" t="str">
            <v>Earnings Before Taxes</v>
          </cell>
          <cell r="B271">
            <v>0.13626626751752943</v>
          </cell>
          <cell r="C271">
            <v>0.16131377261016155</v>
          </cell>
          <cell r="D271">
            <v>0.13864624273886736</v>
          </cell>
          <cell r="F271">
            <v>-250.47505092632122</v>
          </cell>
          <cell r="G271">
            <v>-23.799752213379264</v>
          </cell>
          <cell r="I271" t="str">
            <v>Consensus Comp</v>
          </cell>
        </row>
        <row r="272">
          <cell r="A272" t="str">
            <v>Tax Rate</v>
          </cell>
          <cell r="B272">
            <v>0.36083845574860479</v>
          </cell>
          <cell r="C272">
            <v>0.44367265418599672</v>
          </cell>
          <cell r="D272">
            <v>0.38500000000000001</v>
          </cell>
          <cell r="F272">
            <v>-828.34198437391922</v>
          </cell>
          <cell r="G272">
            <v>-241.61544251395216</v>
          </cell>
          <cell r="I272" t="str">
            <v>Consensus Comp</v>
          </cell>
        </row>
        <row r="273">
          <cell r="A273" t="str">
            <v>Net Income</v>
          </cell>
          <cell r="B273">
            <v>5.0704547372784445E-2</v>
          </cell>
          <cell r="C273">
            <v>6.974548561442645E-2</v>
          </cell>
          <cell r="D273">
            <v>7.2438837812268814E-2</v>
          </cell>
          <cell r="F273">
            <v>-190.40938241642004</v>
          </cell>
          <cell r="G273">
            <v>-217.34290439484369</v>
          </cell>
          <cell r="I273" t="str">
            <v>MS Est.</v>
          </cell>
        </row>
        <row r="274">
          <cell r="A274" t="str">
            <v>EPS</v>
          </cell>
          <cell r="B274">
            <v>0.29675419812915488</v>
          </cell>
          <cell r="C274">
            <v>0.71954597662320108</v>
          </cell>
          <cell r="D274">
            <v>0.20607553553155786</v>
          </cell>
          <cell r="F274">
            <v>-0.4227917784940462</v>
          </cell>
          <cell r="G274">
            <v>9.0678662597597021E-2</v>
          </cell>
        </row>
        <row r="275">
          <cell r="A275" t="str">
            <v>EPS</v>
          </cell>
          <cell r="B275">
            <v>0.91479700159346322</v>
          </cell>
          <cell r="C275">
            <v>0.9973146910195102</v>
          </cell>
          <cell r="D275">
            <v>0.91348144252652552</v>
          </cell>
          <cell r="F275">
            <v>-8.2517689426046981E-2</v>
          </cell>
          <cell r="G275">
            <v>1.3155590669376993E-3</v>
          </cell>
        </row>
        <row r="276">
          <cell r="A276" t="str">
            <v>EPS Upsides/Downsides</v>
          </cell>
        </row>
        <row r="277">
          <cell r="A277" t="str">
            <v>EPS Upsides/Downsides</v>
          </cell>
          <cell r="B277">
            <v>3.9594538117740255E-3</v>
          </cell>
          <cell r="I277" t="str">
            <v>running tally</v>
          </cell>
        </row>
        <row r="278">
          <cell r="A278" t="str">
            <v>Gross Margin</v>
          </cell>
          <cell r="B278">
            <v>-9.3823838608346158E-2</v>
          </cell>
          <cell r="I278">
            <v>-9.3823838608346158E-2</v>
          </cell>
        </row>
        <row r="279">
          <cell r="A279" t="str">
            <v>Stores and Distribution</v>
          </cell>
          <cell r="B279">
            <v>7.3388432416435279E-2</v>
          </cell>
          <cell r="I279">
            <v>-2.0435406191910879E-2</v>
          </cell>
        </row>
        <row r="280">
          <cell r="A280" t="str">
            <v>Marketing, General and Administrative Expenses</v>
          </cell>
          <cell r="B280">
            <v>-1.3406211970566307E-2</v>
          </cell>
          <cell r="I280">
            <v>-3.3841618162477188E-2</v>
          </cell>
        </row>
        <row r="281">
          <cell r="A281" t="str">
            <v>Other Operating Expense (Income)</v>
          </cell>
          <cell r="B281">
            <v>7.9346580895232471E-3</v>
          </cell>
          <cell r="I281">
            <v>-2.5906960072953941E-2</v>
          </cell>
        </row>
        <row r="282">
          <cell r="A282" t="str">
            <v>Operating Margin</v>
          </cell>
          <cell r="B282">
            <v>-1.1770010098571454E-2</v>
          </cell>
        </row>
        <row r="283">
          <cell r="A283" t="str">
            <v>Interest Expense, Net</v>
          </cell>
          <cell r="B283">
            <v>-4.9958905404242308E-3</v>
          </cell>
          <cell r="I283">
            <v>-3.090285061337817E-2</v>
          </cell>
        </row>
        <row r="284">
          <cell r="A284" t="str">
            <v>Tax Rate</v>
          </cell>
          <cell r="B284">
            <v>3.4581098368381503E-2</v>
          </cell>
          <cell r="I284">
            <v>3.6782477550033332E-3</v>
          </cell>
        </row>
        <row r="285">
          <cell r="A285" t="str">
            <v>Shares</v>
          </cell>
          <cell r="B285">
            <v>-3.5496818885781822E-3</v>
          </cell>
          <cell r="I285">
            <v>1.28565866425151E-4</v>
          </cell>
        </row>
        <row r="286">
          <cell r="A286" t="str">
            <v>Total</v>
          </cell>
          <cell r="B286">
            <v>1.28565866425151E-4</v>
          </cell>
        </row>
        <row r="287">
          <cell r="A287" t="str">
            <v>ARO</v>
          </cell>
        </row>
        <row r="288">
          <cell r="A288" t="str">
            <v>ARO</v>
          </cell>
          <cell r="B288" t="str">
            <v>3Q09</v>
          </cell>
          <cell r="C288" t="str">
            <v>3Q08</v>
          </cell>
          <cell r="D288" t="str">
            <v>MS Est.</v>
          </cell>
          <cell r="F288" t="str">
            <v>y/y∆ (bp)</v>
          </cell>
          <cell r="G288" t="str">
            <v>∆ vs MS
Est. (bp)</v>
          </cell>
          <cell r="J288" t="str">
            <v>FQ1</v>
          </cell>
          <cell r="K288" t="str">
            <v>FQ2</v>
          </cell>
          <cell r="L288" t="str">
            <v>FQ3</v>
          </cell>
          <cell r="M288" t="str">
            <v>FY1</v>
          </cell>
          <cell r="N288" t="str">
            <v>FY2</v>
          </cell>
        </row>
        <row r="289">
          <cell r="A289" t="str">
            <v>As a % of Sales</v>
          </cell>
          <cell r="B289" t="str">
            <v>3Q09</v>
          </cell>
          <cell r="C289" t="str">
            <v>3Q08</v>
          </cell>
          <cell r="D289" t="str">
            <v>MS Est.</v>
          </cell>
          <cell r="F289" t="str">
            <v>y/y∆ (bp)</v>
          </cell>
          <cell r="G289" t="str">
            <v>∆ vs MS
Est. (bp)</v>
          </cell>
          <cell r="I289" t="str">
            <v>Consensus</v>
          </cell>
          <cell r="J289" t="str">
            <v>FQ1</v>
          </cell>
          <cell r="K289" t="str">
            <v>FQ2</v>
          </cell>
          <cell r="L289" t="str">
            <v>FQ3</v>
          </cell>
          <cell r="M289" t="str">
            <v>FY1</v>
          </cell>
          <cell r="N289" t="str">
            <v>FY2</v>
          </cell>
        </row>
        <row r="290">
          <cell r="A290" t="str">
            <v>Gross Income</v>
          </cell>
          <cell r="B290">
            <v>0.39257147284965077</v>
          </cell>
          <cell r="C290">
            <v>0.35982922472756235</v>
          </cell>
          <cell r="D290">
            <v>0.39528365206998789</v>
          </cell>
          <cell r="F290">
            <v>327.42248122088426</v>
          </cell>
          <cell r="G290">
            <v>-27.121792203371186</v>
          </cell>
          <cell r="I290" t="str">
            <v>Consensus</v>
          </cell>
          <cell r="J290">
            <v>0.30712970000000001</v>
          </cell>
          <cell r="K290">
            <v>0.59615390000000001</v>
          </cell>
          <cell r="M290">
            <v>2.1453759999999997</v>
          </cell>
          <cell r="N290">
            <v>2.394126</v>
          </cell>
          <cell r="O290" t="str">
            <v>linked to working2</v>
          </cell>
        </row>
        <row r="291">
          <cell r="A291" t="str">
            <v>SG&amp;A Expense</v>
          </cell>
          <cell r="B291">
            <v>0.20646029325265305</v>
          </cell>
          <cell r="C291">
            <v>0.21385080398392656</v>
          </cell>
          <cell r="D291">
            <v>0.2117429985550526</v>
          </cell>
          <cell r="F291">
            <v>-73.905107312735026</v>
          </cell>
          <cell r="G291">
            <v>-52.827053023995482</v>
          </cell>
          <cell r="I291" t="str">
            <v>MS Est.</v>
          </cell>
          <cell r="J291">
            <v>0.92113662102337024</v>
          </cell>
          <cell r="K291">
            <v>1.3135602997739202</v>
          </cell>
          <cell r="M291">
            <v>3.2066781689519406</v>
          </cell>
          <cell r="N291">
            <v>3.5479305986742777</v>
          </cell>
          <cell r="O291" t="str">
            <v>linked to working2</v>
          </cell>
        </row>
        <row r="292">
          <cell r="A292" t="str">
            <v>Operating Income</v>
          </cell>
          <cell r="B292">
            <v>0.18611117959699769</v>
          </cell>
          <cell r="C292">
            <v>0.14597842074363579</v>
          </cell>
          <cell r="D292">
            <v>0.18354065351493529</v>
          </cell>
          <cell r="F292">
            <v>401.32758853361901</v>
          </cell>
          <cell r="G292">
            <v>25.705260820624019</v>
          </cell>
          <cell r="I292" t="str">
            <v>MS/C</v>
          </cell>
          <cell r="J292">
            <v>0.61400692102337029</v>
          </cell>
          <cell r="K292">
            <v>0.71740639977392018</v>
          </cell>
          <cell r="M292">
            <v>1.0613021689519408</v>
          </cell>
          <cell r="N292">
            <v>1.1538045986742778</v>
          </cell>
        </row>
        <row r="293">
          <cell r="A293" t="str">
            <v>Interest Expense (Income), Net</v>
          </cell>
          <cell r="B293">
            <v>-4.7548772713344299E-5</v>
          </cell>
          <cell r="C293">
            <v>-4.3565120519794122E-4</v>
          </cell>
          <cell r="D293">
            <v>-2.9837499988074993E-4</v>
          </cell>
          <cell r="F293">
            <v>3.8810243248459693</v>
          </cell>
          <cell r="G293">
            <v>2.5082622716740564</v>
          </cell>
          <cell r="I293" t="str">
            <v>M Guidance</v>
          </cell>
          <cell r="J293" t="str">
            <v>$0.61-$0.62</v>
          </cell>
        </row>
        <row r="294">
          <cell r="A294" t="str">
            <v>Income Before Taxes</v>
          </cell>
          <cell r="B294">
            <v>0.18615872836971104</v>
          </cell>
          <cell r="C294">
            <v>0.14641407194883371</v>
          </cell>
          <cell r="D294">
            <v>0.18383902851481601</v>
          </cell>
          <cell r="F294">
            <v>397.44656420877322</v>
          </cell>
          <cell r="G294">
            <v>23.196998548950244</v>
          </cell>
        </row>
        <row r="295">
          <cell r="A295" t="str">
            <v>Tax Provision (Benefit)</v>
          </cell>
          <cell r="B295">
            <v>0.40752828546562242</v>
          </cell>
          <cell r="C295">
            <v>0.39575215721835749</v>
          </cell>
          <cell r="D295">
            <v>0.39900000000000002</v>
          </cell>
          <cell r="F295">
            <v>117.76128247264927</v>
          </cell>
          <cell r="G295">
            <v>85.282854656223989</v>
          </cell>
        </row>
        <row r="296">
          <cell r="A296" t="str">
            <v>Net Income (Pre-Extraordinary)</v>
          </cell>
          <cell r="B296">
            <v>0.11029378097274217</v>
          </cell>
          <cell r="C296">
            <v>8.8470387127958974E-2</v>
          </cell>
          <cell r="D296">
            <v>0.11048725613740441</v>
          </cell>
          <cell r="F296">
            <v>218.23393844783197</v>
          </cell>
          <cell r="G296">
            <v>-1.9347516466224068</v>
          </cell>
        </row>
        <row r="297">
          <cell r="A297" t="str">
            <v>Diluted EPS (Pre-Extraordinary)</v>
          </cell>
          <cell r="B297">
            <v>0.92113662102337024</v>
          </cell>
          <cell r="C297">
            <v>0.6304289980190988</v>
          </cell>
          <cell r="D297">
            <v>0.92709190651576245</v>
          </cell>
          <cell r="F297">
            <v>0.29070762300427144</v>
          </cell>
          <cell r="G297">
            <v>-5.9552854923922149E-3</v>
          </cell>
        </row>
        <row r="298">
          <cell r="A298" t="str">
            <v>EPS Upsides/Downsides</v>
          </cell>
        </row>
        <row r="299">
          <cell r="A299" t="str">
            <v>EPS Upsides/Downsides</v>
          </cell>
          <cell r="B299">
            <v>-1.3419303182105114E-2</v>
          </cell>
        </row>
        <row r="300">
          <cell r="A300" t="str">
            <v>SG&amp;A</v>
          </cell>
          <cell r="B300">
            <v>-1.3419303182105114E-2</v>
          </cell>
        </row>
        <row r="301">
          <cell r="A301" t="str">
            <v>Operating Income</v>
          </cell>
          <cell r="B301">
            <v>2.613773586311971E-2</v>
          </cell>
        </row>
        <row r="302">
          <cell r="A302" t="str">
            <v>Tax Rate</v>
          </cell>
          <cell r="B302">
            <v>-1.2410206745309426E-3</v>
          </cell>
        </row>
        <row r="303">
          <cell r="A303" t="str">
            <v>Shares</v>
          </cell>
          <cell r="B303">
            <v>-1.3259225485726153E-2</v>
          </cell>
        </row>
        <row r="304">
          <cell r="A304" t="str">
            <v>EPS</v>
          </cell>
          <cell r="B304">
            <v>-4.3937840004031337E-3</v>
          </cell>
        </row>
        <row r="305">
          <cell r="A305" t="str">
            <v>Total</v>
          </cell>
          <cell r="B305">
            <v>-6.1755974796456337E-3</v>
          </cell>
        </row>
        <row r="306">
          <cell r="A306" t="str">
            <v>TGT</v>
          </cell>
        </row>
        <row r="307">
          <cell r="A307" t="str">
            <v>TGT</v>
          </cell>
          <cell r="B307" t="str">
            <v>4Q07</v>
          </cell>
          <cell r="C307" t="str">
            <v>4Q06</v>
          </cell>
          <cell r="D307" t="str">
            <v>MS Est.</v>
          </cell>
          <cell r="F307" t="str">
            <v>y/y∆ (bp)</v>
          </cell>
          <cell r="G307" t="str">
            <v>∆ vs MS
Est. (bp)</v>
          </cell>
        </row>
        <row r="308">
          <cell r="A308" t="str">
            <v>As a % of Sales</v>
          </cell>
          <cell r="B308" t="str">
            <v>4Q07</v>
          </cell>
          <cell r="C308" t="str">
            <v>4Q06</v>
          </cell>
          <cell r="D308" t="str">
            <v>MS Est.</v>
          </cell>
          <cell r="F308" t="str">
            <v>y/y∆ (bp)</v>
          </cell>
          <cell r="G308" t="str">
            <v>∆ vs MS
Est. (bp)</v>
          </cell>
        </row>
        <row r="309">
          <cell r="A309" t="str">
            <v>Gross Income</v>
          </cell>
          <cell r="B309">
            <v>0.30149999999999999</v>
          </cell>
          <cell r="C309">
            <v>0.30722922829415122</v>
          </cell>
          <cell r="D309">
            <v>0.30149999999999999</v>
          </cell>
          <cell r="F309">
            <v>-57.29228294151234</v>
          </cell>
          <cell r="G309">
            <v>0</v>
          </cell>
        </row>
        <row r="310">
          <cell r="A310" t="str">
            <v>SG&amp;A Expense</v>
          </cell>
          <cell r="B310">
            <v>0.20180000000000001</v>
          </cell>
          <cell r="C310">
            <v>0.19731174425242617</v>
          </cell>
          <cell r="D310">
            <v>0.20180000000000001</v>
          </cell>
          <cell r="F310">
            <v>44.882557475738324</v>
          </cell>
          <cell r="G310">
            <v>0</v>
          </cell>
        </row>
        <row r="311">
          <cell r="A311" t="str">
            <v>Operating Income</v>
          </cell>
          <cell r="B311">
            <v>7.8299999999999981E-2</v>
          </cell>
          <cell r="C311">
            <v>8.9054958742020865E-2</v>
          </cell>
          <cell r="D311">
            <v>7.8299999999999981E-2</v>
          </cell>
          <cell r="F311">
            <v>-107.54958742020884</v>
          </cell>
          <cell r="G311">
            <v>0</v>
          </cell>
        </row>
        <row r="312">
          <cell r="A312" t="str">
            <v>Interest Expense (Income)</v>
          </cell>
          <cell r="B312">
            <v>8.9523397104446754E-3</v>
          </cell>
          <cell r="C312">
            <v>7.8883180237687475E-3</v>
          </cell>
          <cell r="D312">
            <v>8.9523397104446754E-3</v>
          </cell>
          <cell r="F312">
            <v>10.64021686675928</v>
          </cell>
          <cell r="G312">
            <v>0</v>
          </cell>
        </row>
        <row r="313">
          <cell r="A313" t="str">
            <v>Earnings Before Taxes</v>
          </cell>
          <cell r="B313">
            <v>8.2896011892450883E-2</v>
          </cell>
          <cell r="C313">
            <v>9.367377653225388E-2</v>
          </cell>
          <cell r="D313">
            <v>6.0257749178857754E-2</v>
          </cell>
          <cell r="F313">
            <v>-18.254847645429173</v>
          </cell>
          <cell r="G313">
            <v>-20.000000000000018</v>
          </cell>
        </row>
        <row r="314">
          <cell r="A314" t="str">
            <v>Tax Rate</v>
          </cell>
          <cell r="B314">
            <v>0.38100000000000001</v>
          </cell>
          <cell r="C314">
            <v>0.38282548476454292</v>
          </cell>
          <cell r="D314">
            <v>0.38300000000000001</v>
          </cell>
          <cell r="F314">
            <v>-18.254847645429173</v>
          </cell>
          <cell r="G314">
            <v>-20.000000000000018</v>
          </cell>
        </row>
        <row r="315">
          <cell r="A315" t="str">
            <v>Net Income</v>
          </cell>
          <cell r="B315">
            <v>5.1312631361427101E-2</v>
          </cell>
          <cell r="C315">
            <v>5.781306762156832E-2</v>
          </cell>
          <cell r="D315">
            <v>3.7179031243355233E-2</v>
          </cell>
          <cell r="F315">
            <v>-65.004362601412197</v>
          </cell>
          <cell r="G315">
            <v>141.33600118071868</v>
          </cell>
        </row>
        <row r="316">
          <cell r="A316" t="str">
            <v>EPS</v>
          </cell>
          <cell r="B316">
            <v>1.1961704077679793</v>
          </cell>
          <cell r="C316">
            <v>1.287266004159926</v>
          </cell>
          <cell r="D316">
            <v>1.1961704077679793</v>
          </cell>
          <cell r="F316">
            <v>-9.1095596391946643E-2</v>
          </cell>
          <cell r="G316">
            <v>0</v>
          </cell>
        </row>
        <row r="317">
          <cell r="A317" t="str">
            <v>EPS</v>
          </cell>
          <cell r="B317">
            <v>1.1961704077679793</v>
          </cell>
          <cell r="C317">
            <v>1.287266004159926</v>
          </cell>
          <cell r="D317">
            <v>1.1961704077679793</v>
          </cell>
          <cell r="F317">
            <v>-9.1095596391946643E-2</v>
          </cell>
          <cell r="G317">
            <v>0</v>
          </cell>
        </row>
        <row r="318">
          <cell r="A318" t="str">
            <v>EPS Upsides/Downsides</v>
          </cell>
        </row>
        <row r="319">
          <cell r="A319" t="str">
            <v>EPS Upsides/Downsides</v>
          </cell>
          <cell r="B319">
            <v>2.2495220971553489E-4</v>
          </cell>
        </row>
        <row r="320">
          <cell r="A320" t="str">
            <v>Gross Income</v>
          </cell>
          <cell r="B320">
            <v>2.2495220971553489E-4</v>
          </cell>
        </row>
        <row r="321">
          <cell r="A321" t="str">
            <v>SG&amp;A Expense</v>
          </cell>
          <cell r="B321">
            <v>1.5056502792900478E-4</v>
          </cell>
        </row>
        <row r="322">
          <cell r="A322" t="str">
            <v>Operating Income</v>
          </cell>
          <cell r="B322">
            <v>5.8420424612691138E-5</v>
          </cell>
        </row>
        <row r="323">
          <cell r="A323" t="str">
            <v>Interest Expense (Income)</v>
          </cell>
          <cell r="B323">
            <v>6.6794315090834546E-6</v>
          </cell>
        </row>
        <row r="324">
          <cell r="A324" t="str">
            <v>Earnings Before Taxes</v>
          </cell>
        </row>
        <row r="325">
          <cell r="A325" t="str">
            <v>Tax Rate</v>
          </cell>
          <cell r="B325">
            <v>6.6794315090834546E-6</v>
          </cell>
        </row>
        <row r="326">
          <cell r="A326" t="str">
            <v>Total</v>
          </cell>
          <cell r="B326">
            <v>6.6794315090834546E-6</v>
          </cell>
        </row>
        <row r="327">
          <cell r="A327" t="str">
            <v>shares</v>
          </cell>
          <cell r="B327">
            <v>829.63621578113214</v>
          </cell>
        </row>
        <row r="328">
          <cell r="A328" t="str">
            <v>shares</v>
          </cell>
          <cell r="B328">
            <v>829.63621578113214</v>
          </cell>
        </row>
      </sheetData>
      <sheetData sheetId="2"/>
      <sheetData sheetId="3"/>
      <sheetData sheetId="4"/>
      <sheetData sheetId="5">
        <row r="1">
          <cell r="A1" t="str">
            <v>COH</v>
          </cell>
        </row>
        <row r="2">
          <cell r="B2" t="str">
            <v>3Q10</v>
          </cell>
          <cell r="C2" t="str">
            <v>MS Estimate</v>
          </cell>
          <cell r="D2" t="str">
            <v>FC Consensus</v>
          </cell>
          <cell r="E2" t="str">
            <v>Management Guidance</v>
          </cell>
          <cell r="F2" t="str">
            <v>3Q09</v>
          </cell>
          <cell r="H2" t="str">
            <v>y/y∆ (bp)</v>
          </cell>
          <cell r="I2" t="str">
            <v>∆ vs 
Est. (bp)</v>
          </cell>
        </row>
        <row r="3">
          <cell r="A3" t="str">
            <v>Sales</v>
          </cell>
          <cell r="B3">
            <v>0</v>
          </cell>
          <cell r="C3">
            <v>0</v>
          </cell>
          <cell r="D3">
            <v>659.173</v>
          </cell>
          <cell r="E3">
            <v>655</v>
          </cell>
          <cell r="F3">
            <v>0</v>
          </cell>
          <cell r="H3">
            <v>0</v>
          </cell>
          <cell r="I3">
            <v>0</v>
          </cell>
        </row>
        <row r="4">
          <cell r="A4" t="str">
            <v>EPS</v>
          </cell>
          <cell r="B4">
            <v>1.9105951722867136</v>
          </cell>
          <cell r="C4">
            <v>0.43855628046027123</v>
          </cell>
          <cell r="D4">
            <v>0.36</v>
          </cell>
          <cell r="F4">
            <v>0</v>
          </cell>
          <cell r="H4" t="e">
            <v>#DIV/0!</v>
          </cell>
          <cell r="I4">
            <v>1.4720388918264424</v>
          </cell>
        </row>
        <row r="5">
          <cell r="A5" t="str">
            <v>Operating Margin</v>
          </cell>
          <cell r="B5">
            <v>0</v>
          </cell>
          <cell r="C5">
            <v>0</v>
          </cell>
          <cell r="F5">
            <v>0</v>
          </cell>
          <cell r="H5">
            <v>0</v>
          </cell>
          <cell r="I5">
            <v>0</v>
          </cell>
        </row>
        <row r="6">
          <cell r="A6" t="str">
            <v>SG&amp;A Ratio</v>
          </cell>
          <cell r="B6">
            <v>0</v>
          </cell>
          <cell r="C6">
            <v>0</v>
          </cell>
          <cell r="F6">
            <v>0</v>
          </cell>
          <cell r="H6">
            <v>0</v>
          </cell>
          <cell r="I6">
            <v>0</v>
          </cell>
        </row>
        <row r="7">
          <cell r="A7" t="str">
            <v>Gross Margin</v>
          </cell>
          <cell r="B7">
            <v>-1.2409999999999997</v>
          </cell>
          <cell r="C7">
            <v>0</v>
          </cell>
          <cell r="F7">
            <v>0</v>
          </cell>
          <cell r="H7">
            <v>-12409.999999999996</v>
          </cell>
          <cell r="I7">
            <v>-12409.999999999996</v>
          </cell>
        </row>
        <row r="17">
          <cell r="B17" t="str">
            <v>Floating rate note, no commission after</v>
          </cell>
          <cell r="D17" t="str">
            <v>50K</v>
          </cell>
        </row>
        <row r="18">
          <cell r="B18" t="str">
            <v>Floating Rate Taxable MARS</v>
          </cell>
          <cell r="D18" t="str">
            <v>250K</v>
          </cell>
        </row>
      </sheetData>
      <sheetData sheetId="6">
        <row r="1">
          <cell r="A1" t="str">
            <v>TJX</v>
          </cell>
        </row>
        <row r="2">
          <cell r="A2" t="str">
            <v>FY08</v>
          </cell>
          <cell r="B2" t="str">
            <v>MS Estimate</v>
          </cell>
          <cell r="C2" t="str">
            <v>FC Consensus</v>
          </cell>
          <cell r="D2" t="str">
            <v>Management Guidance</v>
          </cell>
        </row>
        <row r="3">
          <cell r="A3" t="str">
            <v>Sales</v>
          </cell>
          <cell r="B3">
            <v>18626.920587592856</v>
          </cell>
          <cell r="C3">
            <v>18779.7</v>
          </cell>
          <cell r="D3">
            <v>18800</v>
          </cell>
        </row>
        <row r="4">
          <cell r="A4" t="str">
            <v>EPS</v>
          </cell>
          <cell r="B4">
            <v>1.859054126788775</v>
          </cell>
          <cell r="C4">
            <v>1.86</v>
          </cell>
          <cell r="D4">
            <v>1.84</v>
          </cell>
        </row>
        <row r="25">
          <cell r="A25" t="str">
            <v>Segment Profit Margin</v>
          </cell>
        </row>
        <row r="26">
          <cell r="B26" t="str">
            <v>1Q10</v>
          </cell>
          <cell r="C26" t="str">
            <v>1Q09</v>
          </cell>
          <cell r="D26" t="str">
            <v xml:space="preserve">y/y ∆ bps </v>
          </cell>
        </row>
        <row r="27">
          <cell r="A27" t="str">
            <v>Marmaxx</v>
          </cell>
          <cell r="B27">
            <v>0.14292234211059399</v>
          </cell>
          <cell r="C27">
            <v>0.11253751732714293</v>
          </cell>
          <cell r="D27">
            <v>303.84824783451057</v>
          </cell>
        </row>
        <row r="28">
          <cell r="A28" t="str">
            <v>Winners/HomeSense</v>
          </cell>
          <cell r="B28">
            <v>9.7944497097286837E-2</v>
          </cell>
          <cell r="C28">
            <v>4.6515850334361418E-2</v>
          </cell>
          <cell r="D28">
            <v>514.28646762925416</v>
          </cell>
        </row>
        <row r="29">
          <cell r="A29" t="str">
            <v>TK Maxx</v>
          </cell>
          <cell r="B29">
            <v>1.1338405403307196E-2</v>
          </cell>
          <cell r="C29">
            <v>2.2098094327688129E-2</v>
          </cell>
          <cell r="D29">
            <v>-107.59688924380933</v>
          </cell>
        </row>
        <row r="30">
          <cell r="A30" t="str">
            <v>HomeGoods</v>
          </cell>
          <cell r="B30">
            <v>8.8813479222594902E-2</v>
          </cell>
          <cell r="C30">
            <v>3.9737684839051282E-2</v>
          </cell>
          <cell r="D30">
            <v>490.75794383543621</v>
          </cell>
        </row>
        <row r="31">
          <cell r="A31" t="str">
            <v>AJ Wright</v>
          </cell>
          <cell r="B31">
            <v>4.6295989667847801E-2</v>
          </cell>
          <cell r="C31">
            <v>2.4599484932606441E-2</v>
          </cell>
          <cell r="D31">
            <v>216.96504735241359</v>
          </cell>
        </row>
        <row r="33">
          <cell r="A33" t="str">
            <v>Total (Pre-Corp. Expenses)</v>
          </cell>
          <cell r="B33">
            <v>0.11543015704050999</v>
          </cell>
          <cell r="C33">
            <v>8.7197167623898078E-2</v>
          </cell>
          <cell r="D33">
            <v>282.32989416611912</v>
          </cell>
        </row>
        <row r="46">
          <cell r="A46" t="str">
            <v>KSS Guidance</v>
          </cell>
        </row>
        <row r="47">
          <cell r="A47" t="str">
            <v>3Q09</v>
          </cell>
          <cell r="B47" t="str">
            <v>KSS</v>
          </cell>
          <cell r="C47" t="str">
            <v>MS Estimate</v>
          </cell>
        </row>
        <row r="48">
          <cell r="A48" t="str">
            <v>EPS</v>
          </cell>
          <cell r="B48" t="str">
            <v>$0.40-$0.44</v>
          </cell>
          <cell r="C48">
            <v>0.49</v>
          </cell>
        </row>
        <row r="49">
          <cell r="A49" t="str">
            <v>SSS</v>
          </cell>
          <cell r="B49" t="str">
            <v>(5)%-(3)%</v>
          </cell>
          <cell r="C49">
            <v>-1.2999999999999999E-2</v>
          </cell>
        </row>
        <row r="50">
          <cell r="A50" t="str">
            <v>Gross Margin</v>
          </cell>
          <cell r="B50" t="str">
            <v>+10-20 bps</v>
          </cell>
          <cell r="C50" t="str">
            <v>+30 bps</v>
          </cell>
        </row>
        <row r="51">
          <cell r="A51" t="str">
            <v>SG&amp;A</v>
          </cell>
          <cell r="B51" t="str">
            <v>+3-4%</v>
          </cell>
          <cell r="C51" t="str">
            <v>+2.8%</v>
          </cell>
        </row>
        <row r="53">
          <cell r="A53" t="str">
            <v>4Q09</v>
          </cell>
          <cell r="B53" t="str">
            <v>KSS</v>
          </cell>
          <cell r="C53" t="str">
            <v>MS Estimate</v>
          </cell>
        </row>
        <row r="54">
          <cell r="A54" t="str">
            <v>EPS</v>
          </cell>
          <cell r="B54" t="str">
            <v>$0.99-$1.06</v>
          </cell>
          <cell r="C54">
            <v>1.19</v>
          </cell>
        </row>
        <row r="55">
          <cell r="A55" t="str">
            <v>SSS</v>
          </cell>
          <cell r="B55" t="str">
            <v>(5)%-(3)%</v>
          </cell>
          <cell r="C55">
            <v>1.4999999999999999E-2</v>
          </cell>
        </row>
        <row r="56">
          <cell r="A56" t="str">
            <v>Gross Margin</v>
          </cell>
          <cell r="B56" t="str">
            <v>+20-30 bps</v>
          </cell>
          <cell r="C56" t="str">
            <v>+30 bps</v>
          </cell>
        </row>
        <row r="57">
          <cell r="A57" t="str">
            <v>SG&amp;A</v>
          </cell>
          <cell r="B57" t="str">
            <v>+3-4%</v>
          </cell>
          <cell r="C57" t="str">
            <v>+2.4%</v>
          </cell>
        </row>
        <row r="72">
          <cell r="B72" t="str">
            <v>1Q07</v>
          </cell>
          <cell r="C72" t="str">
            <v>2Q07</v>
          </cell>
          <cell r="D72" t="str">
            <v>3Q07</v>
          </cell>
          <cell r="E72" t="str">
            <v>4Q07</v>
          </cell>
        </row>
        <row r="73">
          <cell r="A73" t="str">
            <v>Comp Growth</v>
          </cell>
          <cell r="B73">
            <v>0.02</v>
          </cell>
          <cell r="C73">
            <v>0</v>
          </cell>
          <cell r="D73">
            <v>0.01</v>
          </cell>
          <cell r="E73">
            <v>0.04</v>
          </cell>
        </row>
        <row r="74">
          <cell r="A74" t="str">
            <v>Y/Y Operating Margin Expansion</v>
          </cell>
          <cell r="B74">
            <v>-4.8252690757108478</v>
          </cell>
          <cell r="C74">
            <v>0</v>
          </cell>
          <cell r="D74">
            <v>6.3212983778726528</v>
          </cell>
          <cell r="E74">
            <v>-35.848527742219083</v>
          </cell>
        </row>
      </sheetData>
      <sheetData sheetId="7"/>
      <sheetData sheetId="8"/>
      <sheetData sheetId="9">
        <row r="1">
          <cell r="A1" t="str">
            <v>FD</v>
          </cell>
        </row>
        <row r="2">
          <cell r="A2" t="str">
            <v>FY07</v>
          </cell>
          <cell r="B2" t="str">
            <v>MS Estimate</v>
          </cell>
          <cell r="C2" t="str">
            <v>FC Consensus</v>
          </cell>
          <cell r="D2" t="str">
            <v>Management Guidance</v>
          </cell>
        </row>
        <row r="3">
          <cell r="A3" t="str">
            <v>Sales</v>
          </cell>
          <cell r="B3">
            <v>18626.920587592856</v>
          </cell>
          <cell r="C3">
            <v>18779.7</v>
          </cell>
          <cell r="D3">
            <v>18800</v>
          </cell>
        </row>
        <row r="4">
          <cell r="A4" t="str">
            <v>EPS</v>
          </cell>
          <cell r="B4">
            <v>2.5210916050242727</v>
          </cell>
          <cell r="C4">
            <v>2.84</v>
          </cell>
          <cell r="D4">
            <v>1.84</v>
          </cell>
        </row>
        <row r="26">
          <cell r="A26" t="str">
            <v>FD</v>
          </cell>
        </row>
        <row r="27">
          <cell r="B27" t="str">
            <v>+ or- from 0</v>
          </cell>
          <cell r="C27" t="str">
            <v>N +1</v>
          </cell>
        </row>
        <row r="28">
          <cell r="A28" t="str">
            <v>Management Guidance</v>
          </cell>
          <cell r="B28">
            <v>2.4500000000000002</v>
          </cell>
          <cell r="C28">
            <v>0.15</v>
          </cell>
        </row>
        <row r="30">
          <cell r="B30" t="str">
            <v>Actual</v>
          </cell>
          <cell r="C30" t="str">
            <v>Axis</v>
          </cell>
        </row>
        <row r="31">
          <cell r="A31" t="str">
            <v>Morgan Stanley Estimate</v>
          </cell>
          <cell r="B31">
            <v>2.9</v>
          </cell>
          <cell r="C31">
            <v>50</v>
          </cell>
        </row>
        <row r="32">
          <cell r="A32" t="str">
            <v>Consensus</v>
          </cell>
          <cell r="B32">
            <v>2.84</v>
          </cell>
          <cell r="C32">
            <v>50</v>
          </cell>
        </row>
        <row r="50">
          <cell r="B50" t="str">
            <v>1Q06</v>
          </cell>
          <cell r="C50" t="str">
            <v>2Q06</v>
          </cell>
          <cell r="D50" t="str">
            <v>3Q06</v>
          </cell>
          <cell r="E50" t="str">
            <v>4Q06</v>
          </cell>
        </row>
        <row r="51">
          <cell r="A51" t="str">
            <v>FD Legacy Comp Growth</v>
          </cell>
          <cell r="B51">
            <v>0</v>
          </cell>
          <cell r="C51">
            <v>4.5999999999999999E-2</v>
          </cell>
          <cell r="D51">
            <v>5.8999999999999997E-2</v>
          </cell>
          <cell r="E51">
            <v>6.0999999999999999E-2</v>
          </cell>
        </row>
        <row r="52">
          <cell r="A52" t="str">
            <v>Operating Margin Expansion</v>
          </cell>
          <cell r="B52">
            <v>0</v>
          </cell>
          <cell r="C52">
            <v>0</v>
          </cell>
          <cell r="D52">
            <v>0</v>
          </cell>
          <cell r="E52">
            <v>0</v>
          </cell>
        </row>
      </sheetData>
      <sheetData sheetId="10">
        <row r="1">
          <cell r="A1" t="str">
            <v>LTD</v>
          </cell>
        </row>
        <row r="2">
          <cell r="A2" t="str">
            <v>FY08</v>
          </cell>
          <cell r="B2" t="str">
            <v>MS Estimate</v>
          </cell>
          <cell r="C2" t="str">
            <v>FC Consensus</v>
          </cell>
          <cell r="D2" t="str">
            <v>Management Guidance</v>
          </cell>
        </row>
        <row r="3">
          <cell r="A3" t="str">
            <v>Sales</v>
          </cell>
          <cell r="B3">
            <v>9042.7010000000009</v>
          </cell>
          <cell r="C3">
            <v>9635.4</v>
          </cell>
          <cell r="D3">
            <v>0</v>
          </cell>
        </row>
        <row r="4">
          <cell r="A4" t="str">
            <v>EPS</v>
          </cell>
          <cell r="B4">
            <v>0</v>
          </cell>
          <cell r="C4">
            <v>0</v>
          </cell>
          <cell r="D4">
            <v>0</v>
          </cell>
        </row>
        <row r="25">
          <cell r="A25" t="str">
            <v>Segment Profit Margin</v>
          </cell>
        </row>
        <row r="26">
          <cell r="F26" t="str">
            <v>bps ∆</v>
          </cell>
        </row>
        <row r="27">
          <cell r="B27" t="str">
            <v>1Q10</v>
          </cell>
          <cell r="C27" t="str">
            <v>1Q09</v>
          </cell>
          <cell r="D27" t="str">
            <v>MS Est.</v>
          </cell>
          <cell r="F27" t="str">
            <v>1Q09</v>
          </cell>
          <cell r="G27" t="str">
            <v>MS Est.</v>
          </cell>
        </row>
        <row r="28">
          <cell r="A28" t="str">
            <v>Victoria's Secret</v>
          </cell>
          <cell r="B28">
            <v>0.13238659563759983</v>
          </cell>
          <cell r="C28">
            <v>7.7521804896170138E-2</v>
          </cell>
          <cell r="D28">
            <v>0.14252180489617014</v>
          </cell>
          <cell r="F28">
            <v>548.64790741429692</v>
          </cell>
          <cell r="G28">
            <v>-101.3520925857031</v>
          </cell>
        </row>
        <row r="29">
          <cell r="A29" t="str">
            <v>Bath &amp; Body Works</v>
          </cell>
          <cell r="B29">
            <v>8.7683705624808289E-2</v>
          </cell>
          <cell r="C29">
            <v>9.8268193902651124E-3</v>
          </cell>
          <cell r="D29">
            <v>2.2326819390265113E-2</v>
          </cell>
          <cell r="F29">
            <v>778.56886234543174</v>
          </cell>
          <cell r="G29">
            <v>653.56886234543174</v>
          </cell>
        </row>
        <row r="30">
          <cell r="A30" t="str">
            <v>Apparel Total</v>
          </cell>
          <cell r="B30" t="str">
            <v>NA</v>
          </cell>
          <cell r="C30" t="str">
            <v>NA</v>
          </cell>
          <cell r="D30" t="str">
            <v>NA</v>
          </cell>
          <cell r="F30" t="str">
            <v>NA</v>
          </cell>
          <cell r="G30" t="str">
            <v>NA</v>
          </cell>
        </row>
        <row r="31">
          <cell r="A31" t="str">
            <v>Other</v>
          </cell>
          <cell r="B31">
            <v>-8.4426574604243854E-2</v>
          </cell>
          <cell r="C31">
            <v>-0.13145813191874914</v>
          </cell>
          <cell r="D31">
            <v>-7.6458131918749145E-2</v>
          </cell>
          <cell r="F31">
            <v>470.31557314505284</v>
          </cell>
          <cell r="G31">
            <v>-79.684426854947091</v>
          </cell>
        </row>
        <row r="32">
          <cell r="A32" t="str">
            <v>Total</v>
          </cell>
          <cell r="B32">
            <v>9.5766270988477564E-2</v>
          </cell>
          <cell r="C32">
            <v>3.779886473568559E-2</v>
          </cell>
          <cell r="D32">
            <v>8.881865332654329E-2</v>
          </cell>
          <cell r="F32">
            <v>579.67406252791977</v>
          </cell>
          <cell r="G32">
            <v>69.476176619342738</v>
          </cell>
        </row>
        <row r="37">
          <cell r="A37" t="str">
            <v>TJX</v>
          </cell>
        </row>
        <row r="38">
          <cell r="B38" t="str">
            <v>+ or- from 0</v>
          </cell>
          <cell r="C38" t="str">
            <v>N +1</v>
          </cell>
        </row>
        <row r="39">
          <cell r="A39" t="str">
            <v>Management Guidance</v>
          </cell>
          <cell r="B39">
            <v>1.75</v>
          </cell>
          <cell r="C39">
            <v>0.05</v>
          </cell>
        </row>
        <row r="41">
          <cell r="B41" t="str">
            <v>Actual</v>
          </cell>
          <cell r="C41" t="str">
            <v>Axis</v>
          </cell>
        </row>
        <row r="42">
          <cell r="A42" t="str">
            <v>Morgan Stanley Estimate</v>
          </cell>
          <cell r="B42">
            <v>1.98</v>
          </cell>
          <cell r="C42">
            <v>50</v>
          </cell>
        </row>
        <row r="43">
          <cell r="A43" t="str">
            <v>Consensus</v>
          </cell>
          <cell r="B43">
            <v>1.9</v>
          </cell>
          <cell r="C43">
            <v>50</v>
          </cell>
        </row>
        <row r="58">
          <cell r="X58" t="str">
            <v>2/24/12010</v>
          </cell>
        </row>
        <row r="60">
          <cell r="X60" t="str">
            <v>LTD Guidance</v>
          </cell>
        </row>
        <row r="61">
          <cell r="Y61" t="str">
            <v>1Q10 (Mgmt Guidance)</v>
          </cell>
          <cell r="Z61" t="str">
            <v>FY10 (Mgmt Guidance)</v>
          </cell>
          <cell r="AA61" t="str">
            <v>FY10 (MS estimate)</v>
          </cell>
        </row>
        <row r="62">
          <cell r="X62" t="str">
            <v>Comps</v>
          </cell>
          <cell r="Y62" t="str">
            <v>+2 to +4%</v>
          </cell>
          <cell r="Z62" t="str">
            <v>flat to +LSD</v>
          </cell>
          <cell r="AA62">
            <v>-1.2E-2</v>
          </cell>
        </row>
        <row r="63">
          <cell r="X63" t="str">
            <v>Gross margin rate</v>
          </cell>
          <cell r="Y63" t="str">
            <v>Up from 31.8% LY</v>
          </cell>
          <cell r="Z63" t="str">
            <v>Up from 35.1% LY</v>
          </cell>
          <cell r="AA63">
            <v>0.35899999999999999</v>
          </cell>
        </row>
        <row r="64">
          <cell r="X64" t="str">
            <v>SG&amp;A expense</v>
          </cell>
          <cell r="Y64" t="str">
            <v>About flat as % of sales</v>
          </cell>
          <cell r="Z64" t="str">
            <v>About flat as % of sales</v>
          </cell>
          <cell r="AA64" t="str">
            <v>Flat y/y as % of sales</v>
          </cell>
        </row>
        <row r="65">
          <cell r="X65" t="str">
            <v>Interest expense</v>
          </cell>
          <cell r="Y65" t="str">
            <v>Approx. $61 million</v>
          </cell>
          <cell r="Z65" t="str">
            <v>Approx. $215 million</v>
          </cell>
          <cell r="AA65" t="str">
            <v>$244 million</v>
          </cell>
        </row>
        <row r="66">
          <cell r="X66" t="str">
            <v>Interest income and other income</v>
          </cell>
          <cell r="Y66" t="str">
            <v>About $7 million</v>
          </cell>
          <cell r="Z66" t="str">
            <v>About $40 million</v>
          </cell>
          <cell r="AA66" t="str">
            <v>$14 million</v>
          </cell>
        </row>
        <row r="67">
          <cell r="X67" t="str">
            <v xml:space="preserve">Tax rate </v>
          </cell>
          <cell r="Y67" t="str">
            <v xml:space="preserve">About 38% </v>
          </cell>
          <cell r="Z67" t="str">
            <v xml:space="preserve">About 38% </v>
          </cell>
          <cell r="AA67">
            <v>0.39</v>
          </cell>
        </row>
        <row r="68">
          <cell r="X68" t="str">
            <v>Weighted avg. shares outstanding</v>
          </cell>
          <cell r="Y68" t="str">
            <v>Approx. 330 million</v>
          </cell>
          <cell r="Z68" t="str">
            <v>Approx. 330 million</v>
          </cell>
          <cell r="AA68" t="str">
            <v>318 million</v>
          </cell>
        </row>
        <row r="69">
          <cell r="X69" t="str">
            <v>Earnings per share</v>
          </cell>
          <cell r="Y69" t="str">
            <v>$0.05 - $0.10</v>
          </cell>
          <cell r="Z69" t="str">
            <v>$1.40 - $1.60</v>
          </cell>
          <cell r="AA69">
            <v>1.41</v>
          </cell>
        </row>
        <row r="70">
          <cell r="X70" t="str">
            <v>Capital expenditures</v>
          </cell>
          <cell r="Y70" t="str">
            <v>N/A</v>
          </cell>
          <cell r="Z70" t="str">
            <v>$250 - $300 million</v>
          </cell>
          <cell r="AA70" t="str">
            <v>$225 million</v>
          </cell>
        </row>
        <row r="71">
          <cell r="X71" t="str">
            <v>Depreciation and amortization</v>
          </cell>
          <cell r="Y71" t="str">
            <v>N/A</v>
          </cell>
          <cell r="Z71" t="str">
            <v>About $350 million</v>
          </cell>
          <cell r="AA71" t="str">
            <v>$340 million</v>
          </cell>
        </row>
        <row r="72">
          <cell r="X72" t="str">
            <v>Free cash flow</v>
          </cell>
          <cell r="Y72" t="str">
            <v>N/A</v>
          </cell>
          <cell r="Z72" t="str">
            <v>$500 - $600 million</v>
          </cell>
          <cell r="AA72" t="str">
            <v>$529 million</v>
          </cell>
        </row>
      </sheetData>
      <sheetData sheetId="1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lative Risk Reward Chart"/>
      <sheetName val="LIZ Drivers"/>
      <sheetName val="UA Driver"/>
      <sheetName val="UA Drivers"/>
      <sheetName val="Sheet1"/>
      <sheetName val="MW-Cache"/>
      <sheetName val="__FDSCACHE__"/>
      <sheetName val="Scenario Inputs2"/>
      <sheetName val="Scenario Inputs"/>
      <sheetName val="LIZ"/>
      <sheetName val="R5010 (2)"/>
    </sheetNames>
    <sheetDataSet>
      <sheetData sheetId="0"/>
      <sheetData sheetId="1"/>
      <sheetData sheetId="2"/>
      <sheetData sheetId="3"/>
      <sheetData sheetId="4"/>
      <sheetData sheetId="5"/>
      <sheetData sheetId="6"/>
      <sheetData sheetId="7"/>
      <sheetData sheetId="8">
        <row r="1">
          <cell r="B1">
            <v>39782</v>
          </cell>
          <cell r="C1" t="str">
            <v>Bear</v>
          </cell>
          <cell r="D1" t="str">
            <v>Base</v>
          </cell>
          <cell r="E1" t="str">
            <v>Bull</v>
          </cell>
          <cell r="G1" t="str">
            <v>SOTP</v>
          </cell>
          <cell r="K1" t="str">
            <v>P/E as of today</v>
          </cell>
        </row>
        <row r="2">
          <cell r="A2" t="str">
            <v>LIZ.N</v>
          </cell>
          <cell r="B2" t="str">
            <v>LIZ</v>
          </cell>
          <cell r="K2" t="str">
            <v>LIZ</v>
          </cell>
          <cell r="L2" t="e">
            <v>#VALUE!</v>
          </cell>
        </row>
        <row r="3">
          <cell r="B3" t="str">
            <v>Current Price</v>
          </cell>
          <cell r="D3" t="str">
            <v>#Calc</v>
          </cell>
          <cell r="K3" t="str">
            <v>JNY</v>
          </cell>
          <cell r="L3" t="e">
            <v>#VALUE!</v>
          </cell>
        </row>
        <row r="4">
          <cell r="B4" t="str">
            <v>Net Debt</v>
          </cell>
          <cell r="D4">
            <v>798.01300000000015</v>
          </cell>
          <cell r="K4" t="str">
            <v>WRC</v>
          </cell>
          <cell r="L4" t="e">
            <v>#VALUE!</v>
          </cell>
        </row>
        <row r="5">
          <cell r="B5" t="str">
            <v>Shares</v>
          </cell>
          <cell r="D5">
            <v>93.703999999999994</v>
          </cell>
          <cell r="K5" t="str">
            <v>PVH</v>
          </cell>
          <cell r="L5" t="e">
            <v>#VALUE!</v>
          </cell>
        </row>
        <row r="7">
          <cell r="B7" t="str">
            <v>Revenue</v>
          </cell>
          <cell r="C7">
            <v>-6.6357108530112452E-2</v>
          </cell>
          <cell r="D7">
            <v>-3.3845973767718252E-2</v>
          </cell>
          <cell r="E7">
            <v>-1.4128768261478464E-2</v>
          </cell>
          <cell r="K7" t="str">
            <v>GES</v>
          </cell>
          <cell r="L7" t="e">
            <v>#VALUE!</v>
          </cell>
        </row>
        <row r="8">
          <cell r="B8" t="str">
            <v>Gross Margin</v>
          </cell>
          <cell r="C8">
            <v>-128.72476703079562</v>
          </cell>
          <cell r="D8">
            <v>-90.996036928954197</v>
          </cell>
          <cell r="E8">
            <v>-39.295245448067732</v>
          </cell>
          <cell r="K8" t="str">
            <v>UA</v>
          </cell>
          <cell r="L8" t="e">
            <v>#VALUE!</v>
          </cell>
        </row>
        <row r="9">
          <cell r="B9" t="str">
            <v>Expense Ratio</v>
          </cell>
          <cell r="C9">
            <v>-16.156522960027452</v>
          </cell>
          <cell r="D9">
            <v>-39.565286944746589</v>
          </cell>
          <cell r="E9">
            <v>-82.030885314070545</v>
          </cell>
          <cell r="G9" t="e">
            <v>#VALUE!</v>
          </cell>
          <cell r="K9" t="str">
            <v>RL</v>
          </cell>
          <cell r="L9" t="e">
            <v>#VALUE!</v>
          </cell>
        </row>
        <row r="10">
          <cell r="B10" t="str">
            <v>Operating Margin</v>
          </cell>
          <cell r="C10">
            <v>-112.56824407076829</v>
          </cell>
          <cell r="D10">
            <v>-51.430749984207672</v>
          </cell>
          <cell r="E10">
            <v>42.735639866002749</v>
          </cell>
        </row>
        <row r="12">
          <cell r="B12" t="str">
            <v>P/E Valuation</v>
          </cell>
          <cell r="J12" t="str">
            <v>Liz Claiborne: Base Case Assumptions</v>
          </cell>
        </row>
        <row r="13">
          <cell r="B13" t="str">
            <v>EPS</v>
          </cell>
          <cell r="C13">
            <v>0.39172173589738984</v>
          </cell>
          <cell r="D13">
            <v>0.59632293685253845</v>
          </cell>
          <cell r="E13">
            <v>0.94772161341348582</v>
          </cell>
          <cell r="J13">
            <v>0.59632293685253845</v>
          </cell>
        </row>
        <row r="14">
          <cell r="B14" t="str">
            <v>P/E</v>
          </cell>
          <cell r="C14">
            <v>7</v>
          </cell>
          <cell r="D14">
            <v>9</v>
          </cell>
          <cell r="E14">
            <v>11</v>
          </cell>
        </row>
        <row r="15">
          <cell r="B15" t="str">
            <v>Scenario Price</v>
          </cell>
          <cell r="C15">
            <v>2.7420521512817291</v>
          </cell>
          <cell r="D15">
            <v>5.3669064316728461</v>
          </cell>
          <cell r="E15">
            <v>10.424937747548345</v>
          </cell>
        </row>
        <row r="16">
          <cell r="B16" t="str">
            <v>Ups/Downs</v>
          </cell>
          <cell r="C16" t="e">
            <v>#VALUE!</v>
          </cell>
          <cell r="D16" t="e">
            <v>#VALUE!</v>
          </cell>
          <cell r="E16" t="e">
            <v>#VALUE!</v>
          </cell>
        </row>
        <row r="18">
          <cell r="B18" t="str">
            <v>EBITDA Valuation</v>
          </cell>
        </row>
        <row r="19">
          <cell r="B19" t="str">
            <v>EBITDA</v>
          </cell>
          <cell r="C19">
            <v>286.15685640708614</v>
          </cell>
          <cell r="D19">
            <v>317.84754729244861</v>
          </cell>
          <cell r="E19">
            <v>365.73937752847428</v>
          </cell>
          <cell r="J19">
            <v>317.84754729244861</v>
          </cell>
        </row>
        <row r="20">
          <cell r="B20" t="str">
            <v>EV/EBITDA</v>
          </cell>
          <cell r="C20">
            <v>11</v>
          </cell>
          <cell r="D20">
            <v>0</v>
          </cell>
          <cell r="E20">
            <v>9</v>
          </cell>
          <cell r="G20">
            <v>3.7973007645817578</v>
          </cell>
        </row>
        <row r="21">
          <cell r="B21" t="str">
            <v>EV</v>
          </cell>
          <cell r="C21">
            <v>3147.7254204779474</v>
          </cell>
          <cell r="D21">
            <v>0</v>
          </cell>
          <cell r="E21">
            <v>3291.6543977562687</v>
          </cell>
        </row>
        <row r="22">
          <cell r="B22" t="str">
            <v>Implied Equity</v>
          </cell>
          <cell r="C22">
            <v>25.075903061533634</v>
          </cell>
          <cell r="D22">
            <v>-8.516317339708019</v>
          </cell>
          <cell r="E22">
            <v>26.611899147915448</v>
          </cell>
        </row>
        <row r="23">
          <cell r="B23" t="str">
            <v>Ups/Downs</v>
          </cell>
          <cell r="C23" t="e">
            <v>#VALUE!</v>
          </cell>
          <cell r="D23" t="e">
            <v>#VALUE!</v>
          </cell>
          <cell r="E23" t="e">
            <v>#VALUE!</v>
          </cell>
        </row>
        <row r="25">
          <cell r="B25" t="str">
            <v>Residual Income</v>
          </cell>
        </row>
        <row r="26">
          <cell r="B26" t="str">
            <v>Val-Cur</v>
          </cell>
          <cell r="J26">
            <v>23.757622379140592</v>
          </cell>
        </row>
        <row r="28">
          <cell r="B28" t="str">
            <v>FCF Valuation</v>
          </cell>
        </row>
        <row r="29">
          <cell r="B29" t="str">
            <v>FCF Per Share</v>
          </cell>
          <cell r="C29">
            <v>1.6651496506062415</v>
          </cell>
          <cell r="D29">
            <v>1.7526412115393128</v>
          </cell>
          <cell r="E29">
            <v>2.0397844788766752</v>
          </cell>
          <cell r="J29">
            <v>1.7526412115393128</v>
          </cell>
        </row>
        <row r="30">
          <cell r="B30" t="str">
            <v>Yield</v>
          </cell>
          <cell r="C30">
            <v>0.11971761675992125</v>
          </cell>
          <cell r="D30">
            <v>-1.1129962159385136</v>
          </cell>
          <cell r="E30">
            <v>0.11014895708475064</v>
          </cell>
        </row>
        <row r="32">
          <cell r="C32" t="str">
            <v>Trough</v>
          </cell>
          <cell r="D32" t="str">
            <v>5-Yr.</v>
          </cell>
          <cell r="E32" t="str">
            <v>Peak</v>
          </cell>
          <cell r="G32" t="str">
            <v>New Trough</v>
          </cell>
        </row>
        <row r="33">
          <cell r="B33" t="str">
            <v>P/E</v>
          </cell>
          <cell r="C33">
            <v>4.1204470316534083</v>
          </cell>
          <cell r="D33">
            <v>12.532633475042442</v>
          </cell>
          <cell r="E33">
            <v>20.621219484196743</v>
          </cell>
          <cell r="G33">
            <v>3.1204470316534083</v>
          </cell>
        </row>
        <row r="34">
          <cell r="B34" t="str">
            <v>EV/EBITDA</v>
          </cell>
          <cell r="C34">
            <v>299.1585</v>
          </cell>
          <cell r="D34">
            <v>323.00270076643244</v>
          </cell>
          <cell r="E34">
            <v>315.34630000000004</v>
          </cell>
          <cell r="G34">
            <v>298.6585</v>
          </cell>
        </row>
        <row r="36">
          <cell r="B36" t="str">
            <v>Recession</v>
          </cell>
          <cell r="C36" t="str">
            <v>Trough</v>
          </cell>
          <cell r="D36" t="str">
            <v>Mean</v>
          </cell>
          <cell r="E36" t="str">
            <v>Peak</v>
          </cell>
          <cell r="G36" t="str">
            <v>Average</v>
          </cell>
        </row>
        <row r="37">
          <cell r="B37" t="str">
            <v>P/E</v>
          </cell>
          <cell r="C37">
            <v>38.83488257972796</v>
          </cell>
          <cell r="D37">
            <v>0</v>
          </cell>
          <cell r="E37">
            <v>119.38721139465103</v>
          </cell>
          <cell r="G37">
            <v>19.41744128986398</v>
          </cell>
        </row>
        <row r="38">
          <cell r="B38" t="str">
            <v>EV/EBITDA</v>
          </cell>
          <cell r="C38">
            <v>11.594471180832928</v>
          </cell>
          <cell r="D38">
            <v>0</v>
          </cell>
          <cell r="E38">
            <v>11.010880043757094</v>
          </cell>
          <cell r="G38">
            <v>5.7972355904164639</v>
          </cell>
        </row>
        <row r="40">
          <cell r="B40" t="str">
            <v>Price Targets</v>
          </cell>
          <cell r="C40">
            <v>2.5</v>
          </cell>
          <cell r="D40">
            <v>5</v>
          </cell>
          <cell r="E40">
            <v>10.5</v>
          </cell>
          <cell r="O40">
            <v>2.5</v>
          </cell>
          <cell r="P40">
            <v>5</v>
          </cell>
          <cell r="Q40">
            <v>10.5</v>
          </cell>
        </row>
        <row r="41">
          <cell r="B41" t="str">
            <v>Ups/Downs</v>
          </cell>
          <cell r="C41" t="e">
            <v>#VALUE!</v>
          </cell>
          <cell r="D41" t="e">
            <v>#VALUE!</v>
          </cell>
          <cell r="E41" t="e">
            <v>#VALUE!</v>
          </cell>
        </row>
        <row r="42">
          <cell r="C42">
            <v>6.3820813881384062</v>
          </cell>
          <cell r="D42">
            <v>8.3847185660685462</v>
          </cell>
          <cell r="E42">
            <v>11.079202849644105</v>
          </cell>
        </row>
        <row r="43">
          <cell r="A43" t="str">
            <v>JNY.N</v>
          </cell>
          <cell r="B43" t="str">
            <v>JNY</v>
          </cell>
        </row>
        <row r="44">
          <cell r="B44" t="str">
            <v>Current Price</v>
          </cell>
          <cell r="D44" t="str">
            <v>#Calc</v>
          </cell>
        </row>
        <row r="45">
          <cell r="B45" t="str">
            <v>Net Debt</v>
          </cell>
          <cell r="D45">
            <v>582.83067580048032</v>
          </cell>
        </row>
        <row r="46">
          <cell r="B46" t="str">
            <v>Shares</v>
          </cell>
          <cell r="D46">
            <v>83</v>
          </cell>
        </row>
        <row r="48">
          <cell r="B48" t="str">
            <v>Revenue</v>
          </cell>
          <cell r="C48">
            <v>-2.307901574014426E-2</v>
          </cell>
          <cell r="D48">
            <v>1.7273526849326259E-5</v>
          </cell>
          <cell r="E48">
            <v>3.4790577670898548E-2</v>
          </cell>
          <cell r="G48" t="e">
            <v>#VALUE!</v>
          </cell>
        </row>
        <row r="49">
          <cell r="B49" t="str">
            <v>Gross Margin</v>
          </cell>
          <cell r="C49">
            <v>-117.78645744805694</v>
          </cell>
          <cell r="D49">
            <v>-59.059756967107525</v>
          </cell>
          <cell r="E49">
            <v>28.286142070195751</v>
          </cell>
        </row>
        <row r="50">
          <cell r="B50" t="str">
            <v>Expense Ratio</v>
          </cell>
          <cell r="C50">
            <v>-17.859818164190354</v>
          </cell>
          <cell r="D50">
            <v>-16.397089142762276</v>
          </cell>
          <cell r="E50">
            <v>-45.122434328145332</v>
          </cell>
        </row>
        <row r="51">
          <cell r="B51" t="str">
            <v>Operating Margin</v>
          </cell>
          <cell r="C51">
            <v>-99.926639283867488</v>
          </cell>
          <cell r="D51">
            <v>-42.662667824345732</v>
          </cell>
          <cell r="E51">
            <v>73.408576398340188</v>
          </cell>
        </row>
        <row r="53">
          <cell r="B53" t="str">
            <v>P/E Valuation</v>
          </cell>
          <cell r="J53" t="str">
            <v>Jones New York: Base Case Assumptions</v>
          </cell>
        </row>
        <row r="54">
          <cell r="B54" t="str">
            <v>EPS</v>
          </cell>
          <cell r="C54">
            <v>0.61728823323972237</v>
          </cell>
          <cell r="D54">
            <v>0.79672999545315148</v>
          </cell>
          <cell r="E54">
            <v>1.1656862274518387</v>
          </cell>
          <cell r="J54">
            <v>0.79672999545315148</v>
          </cell>
        </row>
        <row r="55">
          <cell r="B55" t="str">
            <v>P/E</v>
          </cell>
          <cell r="C55">
            <v>7</v>
          </cell>
          <cell r="D55">
            <v>9</v>
          </cell>
          <cell r="E55">
            <v>11</v>
          </cell>
        </row>
        <row r="56">
          <cell r="B56" t="str">
            <v>Scenario Price</v>
          </cell>
          <cell r="C56">
            <v>4.3210176326780569</v>
          </cell>
          <cell r="D56">
            <v>7.1705699590783638</v>
          </cell>
          <cell r="E56">
            <v>12.822548501970225</v>
          </cell>
        </row>
        <row r="57">
          <cell r="B57" t="str">
            <v>Ups/Downs</v>
          </cell>
          <cell r="C57" t="e">
            <v>#VALUE!</v>
          </cell>
          <cell r="D57" t="e">
            <v>#VALUE!</v>
          </cell>
          <cell r="E57" t="e">
            <v>#VALUE!</v>
          </cell>
        </row>
        <row r="59">
          <cell r="B59" t="str">
            <v>EBITDA Valuation</v>
          </cell>
        </row>
        <row r="60">
          <cell r="B60" t="str">
            <v>EBITDA</v>
          </cell>
          <cell r="C60">
            <v>221.06983294688666</v>
          </cell>
          <cell r="D60">
            <v>245.04954641820538</v>
          </cell>
          <cell r="E60">
            <v>294.16843447832446</v>
          </cell>
          <cell r="J60">
            <v>245.04954641820538</v>
          </cell>
        </row>
        <row r="61">
          <cell r="B61" t="str">
            <v>EV/EBITDA</v>
          </cell>
          <cell r="C61">
            <v>11</v>
          </cell>
          <cell r="D61">
            <v>0</v>
          </cell>
          <cell r="E61">
            <v>9</v>
          </cell>
          <cell r="G61">
            <v>4.3145065738565203</v>
          </cell>
        </row>
        <row r="62">
          <cell r="B62" t="str">
            <v>EV</v>
          </cell>
          <cell r="C62">
            <v>2431.7681624157531</v>
          </cell>
          <cell r="D62">
            <v>0</v>
          </cell>
          <cell r="E62">
            <v>2647.51591030492</v>
          </cell>
        </row>
        <row r="63">
          <cell r="B63" t="str">
            <v>Implied Equity</v>
          </cell>
          <cell r="C63">
            <v>22.276355260424975</v>
          </cell>
          <cell r="D63">
            <v>-7.022056334945546</v>
          </cell>
          <cell r="E63">
            <v>24.875725716920964</v>
          </cell>
        </row>
        <row r="64">
          <cell r="B64" t="str">
            <v>Ups/Downs</v>
          </cell>
          <cell r="C64" t="e">
            <v>#VALUE!</v>
          </cell>
          <cell r="D64" t="e">
            <v>#VALUE!</v>
          </cell>
          <cell r="E64" t="e">
            <v>#VALUE!</v>
          </cell>
        </row>
        <row r="66">
          <cell r="B66" t="str">
            <v>Residual Income</v>
          </cell>
        </row>
        <row r="67">
          <cell r="B67" t="str">
            <v>Val-Cur</v>
          </cell>
          <cell r="J67">
            <v>11.026665131182027</v>
          </cell>
        </row>
        <row r="69">
          <cell r="B69" t="str">
            <v>FCF Valuation</v>
          </cell>
        </row>
        <row r="70">
          <cell r="B70" t="str">
            <v>FCF Per Share</v>
          </cell>
          <cell r="C70">
            <v>1.4983974074057604</v>
          </cell>
          <cell r="D70">
            <v>1.6912537539147832</v>
          </cell>
          <cell r="E70">
            <v>2.0737124321978539</v>
          </cell>
          <cell r="J70">
            <v>1.6912537539147832</v>
          </cell>
        </row>
        <row r="71">
          <cell r="B71" t="str">
            <v>Yield</v>
          </cell>
          <cell r="C71">
            <v>0.11267258713316833</v>
          </cell>
          <cell r="D71">
            <v>22.775738775349954</v>
          </cell>
          <cell r="E71">
            <v>0.11001630579463952</v>
          </cell>
        </row>
        <row r="73">
          <cell r="C73" t="str">
            <v>Trough</v>
          </cell>
          <cell r="D73" t="str">
            <v>5-Yr.</v>
          </cell>
          <cell r="E73" t="str">
            <v>Peak</v>
          </cell>
          <cell r="G73" t="str">
            <v>New Trough</v>
          </cell>
        </row>
        <row r="74">
          <cell r="B74" t="str">
            <v>P/E</v>
          </cell>
          <cell r="C74">
            <v>6.4271182083309695</v>
          </cell>
          <cell r="D74">
            <v>12.392891578887301</v>
          </cell>
          <cell r="E74">
            <v>24.731174680467745</v>
          </cell>
          <cell r="G74">
            <v>5.4271182083309695</v>
          </cell>
          <cell r="J74">
            <v>9.4100048936091358</v>
          </cell>
        </row>
        <row r="75">
          <cell r="B75" t="str">
            <v>EV/EBITDA</v>
          </cell>
          <cell r="C75">
            <v>239.84399999999999</v>
          </cell>
          <cell r="D75">
            <v>255.64028263804386</v>
          </cell>
          <cell r="E75">
            <v>253.69650000000001</v>
          </cell>
          <cell r="G75">
            <v>239.34399999999999</v>
          </cell>
        </row>
        <row r="77">
          <cell r="B77" t="str">
            <v>Recession</v>
          </cell>
          <cell r="C77" t="str">
            <v>Trough</v>
          </cell>
          <cell r="D77" t="str">
            <v>Mean</v>
          </cell>
          <cell r="E77" t="str">
            <v>Peak</v>
          </cell>
          <cell r="G77" t="str">
            <v>Average</v>
          </cell>
        </row>
        <row r="78">
          <cell r="B78" t="str">
            <v>P/E</v>
          </cell>
          <cell r="C78">
            <v>32.655768648507156</v>
          </cell>
          <cell r="D78">
            <v>0</v>
          </cell>
          <cell r="E78">
            <v>132.64806136481181</v>
          </cell>
          <cell r="G78">
            <v>16.327884324253578</v>
          </cell>
        </row>
        <row r="79">
          <cell r="B79" t="str">
            <v>EV/EBITDA</v>
          </cell>
          <cell r="C79">
            <v>11.977090922263137</v>
          </cell>
          <cell r="D79">
            <v>0</v>
          </cell>
          <cell r="E79">
            <v>10.060946589376625</v>
          </cell>
          <cell r="G79">
            <v>5.9885454611315687</v>
          </cell>
        </row>
        <row r="81">
          <cell r="B81" t="str">
            <v>Price Targets</v>
          </cell>
          <cell r="C81">
            <v>4</v>
          </cell>
          <cell r="D81">
            <v>7</v>
          </cell>
          <cell r="E81">
            <v>13</v>
          </cell>
          <cell r="O81">
            <v>4</v>
          </cell>
          <cell r="P81">
            <v>7</v>
          </cell>
          <cell r="Q81">
            <v>13</v>
          </cell>
        </row>
        <row r="82">
          <cell r="B82" t="str">
            <v>Ups/Downs</v>
          </cell>
          <cell r="C82" t="e">
            <v>#VALUE!</v>
          </cell>
          <cell r="D82" t="e">
            <v>#VALUE!</v>
          </cell>
          <cell r="E82" t="e">
            <v>#VALUE!</v>
          </cell>
        </row>
        <row r="84">
          <cell r="A84" t="str">
            <v>WRC.N</v>
          </cell>
          <cell r="B84" t="str">
            <v>WRC</v>
          </cell>
        </row>
        <row r="85">
          <cell r="B85" t="str">
            <v>Current Price</v>
          </cell>
          <cell r="D85" t="str">
            <v>#Calc</v>
          </cell>
        </row>
        <row r="86">
          <cell r="B86" t="str">
            <v>Net Debt</v>
          </cell>
          <cell r="D86">
            <v>146.34019599656796</v>
          </cell>
        </row>
        <row r="87">
          <cell r="B87" t="str">
            <v>Shares</v>
          </cell>
          <cell r="D87">
            <v>46.780639000000001</v>
          </cell>
        </row>
        <row r="89">
          <cell r="B89" t="str">
            <v>Revenue</v>
          </cell>
          <cell r="C89">
            <v>-0.11976989950304207</v>
          </cell>
          <cell r="D89">
            <v>-2.5755049553264464E-2</v>
          </cell>
          <cell r="E89">
            <v>2.641037255466161E-3</v>
          </cell>
        </row>
        <row r="90">
          <cell r="B90" t="str">
            <v>Gross Margin</v>
          </cell>
          <cell r="C90">
            <v>-119.65735385759734</v>
          </cell>
          <cell r="D90">
            <v>-57.860654104995859</v>
          </cell>
          <cell r="E90">
            <v>-14.807151827720411</v>
          </cell>
        </row>
        <row r="91">
          <cell r="B91" t="str">
            <v>Expense Ratio</v>
          </cell>
          <cell r="C91">
            <v>77.998922105267937</v>
          </cell>
          <cell r="D91">
            <v>34.705478862581685</v>
          </cell>
          <cell r="E91">
            <v>31.128711896627472</v>
          </cell>
        </row>
        <row r="92">
          <cell r="B92" t="str">
            <v>Operating Margin</v>
          </cell>
          <cell r="C92">
            <v>-179.68581022683421</v>
          </cell>
          <cell r="D92">
            <v>-68.16021575468082</v>
          </cell>
          <cell r="E92">
            <v>-19.916157281824887</v>
          </cell>
        </row>
        <row r="94">
          <cell r="B94" t="str">
            <v>P/E Valuation</v>
          </cell>
          <cell r="J94" t="str">
            <v>Warnaco: Base Case Assumptions</v>
          </cell>
        </row>
        <row r="95">
          <cell r="B95" t="str">
            <v>EPS</v>
          </cell>
          <cell r="C95">
            <v>1.87</v>
          </cell>
          <cell r="D95">
            <v>2.4700000000000002</v>
          </cell>
          <cell r="E95">
            <v>2.74</v>
          </cell>
          <cell r="G95" t="e">
            <v>#VALUE!</v>
          </cell>
          <cell r="J95">
            <v>2.4618117734226126</v>
          </cell>
        </row>
        <row r="96">
          <cell r="B96" t="str">
            <v>P/E</v>
          </cell>
          <cell r="C96">
            <v>7</v>
          </cell>
          <cell r="D96">
            <v>9</v>
          </cell>
          <cell r="E96">
            <v>11</v>
          </cell>
        </row>
        <row r="97">
          <cell r="B97" t="str">
            <v>Scenario Price</v>
          </cell>
          <cell r="C97">
            <v>13.09</v>
          </cell>
          <cell r="D97">
            <v>22.23</v>
          </cell>
          <cell r="E97">
            <v>30.14</v>
          </cell>
        </row>
        <row r="98">
          <cell r="B98" t="str">
            <v>Ups/Downs</v>
          </cell>
          <cell r="C98" t="e">
            <v>#VALUE!</v>
          </cell>
          <cell r="D98" t="e">
            <v>#VALUE!</v>
          </cell>
          <cell r="E98" t="e">
            <v>#VALUE!</v>
          </cell>
        </row>
        <row r="100">
          <cell r="B100" t="str">
            <v>EBITDA Valuation</v>
          </cell>
        </row>
        <row r="101">
          <cell r="B101" t="str">
            <v>EBITDA</v>
          </cell>
          <cell r="C101">
            <v>273.64127016791991</v>
          </cell>
          <cell r="D101">
            <v>319.82543010478742</v>
          </cell>
          <cell r="E101">
            <v>339.57970290961413</v>
          </cell>
          <cell r="J101">
            <v>267.61990748481674</v>
          </cell>
        </row>
        <row r="102">
          <cell r="B102" t="str">
            <v>EV/EBITDA</v>
          </cell>
          <cell r="C102">
            <v>14</v>
          </cell>
          <cell r="D102">
            <v>0</v>
          </cell>
          <cell r="E102">
            <v>9</v>
          </cell>
          <cell r="G102">
            <v>4.8720627293441439</v>
          </cell>
        </row>
        <row r="103">
          <cell r="B103" t="str">
            <v>EV</v>
          </cell>
          <cell r="C103">
            <v>3830.9777823508789</v>
          </cell>
          <cell r="D103">
            <v>0</v>
          </cell>
          <cell r="E103">
            <v>3056.2173261865273</v>
          </cell>
        </row>
        <row r="104">
          <cell r="B104" t="str">
            <v>Implied Equity</v>
          </cell>
          <cell r="C104">
            <v>78.764156820395527</v>
          </cell>
          <cell r="D104">
            <v>-3.1282213993820811</v>
          </cell>
          <cell r="E104">
            <v>62.202594756988233</v>
          </cell>
        </row>
        <row r="105">
          <cell r="B105" t="str">
            <v>Ups/Downs</v>
          </cell>
          <cell r="C105" t="e">
            <v>#VALUE!</v>
          </cell>
          <cell r="D105" t="e">
            <v>#VALUE!</v>
          </cell>
          <cell r="E105" t="e">
            <v>#VALUE!</v>
          </cell>
        </row>
        <row r="107">
          <cell r="B107" t="str">
            <v>Residual Income</v>
          </cell>
        </row>
        <row r="108">
          <cell r="B108" t="str">
            <v>Val-Cur</v>
          </cell>
          <cell r="J108">
            <v>47.247361694811161</v>
          </cell>
        </row>
        <row r="110">
          <cell r="B110" t="str">
            <v>FCF Valuation</v>
          </cell>
        </row>
        <row r="111">
          <cell r="B111" t="str">
            <v>FCF Per Share</v>
          </cell>
          <cell r="C111">
            <v>3.979414945933359</v>
          </cell>
          <cell r="D111">
            <v>3.8835532092131673</v>
          </cell>
          <cell r="E111">
            <v>3.935765790688011</v>
          </cell>
          <cell r="J111">
            <v>3.4887129180590786</v>
          </cell>
        </row>
        <row r="112">
          <cell r="B112" t="str">
            <v>Yield</v>
          </cell>
          <cell r="C112">
            <v>8.6646376901905423E-2</v>
          </cell>
          <cell r="D112">
            <v>0.40661692195380583</v>
          </cell>
          <cell r="E112">
            <v>8.5242694361047575E-2</v>
          </cell>
        </row>
        <row r="114">
          <cell r="C114" t="str">
            <v>Trough</v>
          </cell>
          <cell r="D114" t="str">
            <v>5-Yr.</v>
          </cell>
          <cell r="E114" t="str">
            <v>Peak</v>
          </cell>
        </row>
        <row r="115">
          <cell r="B115" t="str">
            <v>P/E</v>
          </cell>
          <cell r="C115">
            <v>5.8995804573471604</v>
          </cell>
          <cell r="D115">
            <v>15.225137406424947</v>
          </cell>
          <cell r="E115">
            <v>19.74418957856701</v>
          </cell>
          <cell r="G115">
            <v>4.8995804573471604</v>
          </cell>
          <cell r="J115">
            <v>10.562358931886054</v>
          </cell>
        </row>
        <row r="116">
          <cell r="B116" t="str">
            <v>EV/EBITDA</v>
          </cell>
          <cell r="C116">
            <v>274.86070000000001</v>
          </cell>
          <cell r="D116">
            <v>271.92733993753131</v>
          </cell>
          <cell r="E116">
            <v>268.14100000000002</v>
          </cell>
          <cell r="G116">
            <v>274.36070000000001</v>
          </cell>
        </row>
        <row r="118">
          <cell r="B118" t="str">
            <v>Recession</v>
          </cell>
          <cell r="C118" t="str">
            <v>Trough</v>
          </cell>
          <cell r="D118" t="str">
            <v>Mean</v>
          </cell>
          <cell r="E118" t="str">
            <v>Peak</v>
          </cell>
          <cell r="G118" t="str">
            <v>Average</v>
          </cell>
        </row>
        <row r="119">
          <cell r="B119" t="str">
            <v>P/E</v>
          </cell>
          <cell r="C119">
            <v>33.220998804772435</v>
          </cell>
          <cell r="D119">
            <v>0</v>
          </cell>
          <cell r="E119">
            <v>134.16903974985749</v>
          </cell>
          <cell r="G119">
            <v>16.610499402386218</v>
          </cell>
        </row>
        <row r="120">
          <cell r="B120" t="str">
            <v>EV/EBITDA</v>
          </cell>
          <cell r="C120" t="str">
            <v>-</v>
          </cell>
          <cell r="D120">
            <v>0</v>
          </cell>
          <cell r="E120" t="str">
            <v>-</v>
          </cell>
          <cell r="G120">
            <v>0</v>
          </cell>
        </row>
        <row r="122">
          <cell r="B122" t="str">
            <v>Price Targets</v>
          </cell>
          <cell r="C122">
            <v>13.3143286066726</v>
          </cell>
          <cell r="D122">
            <v>22</v>
          </cell>
          <cell r="E122">
            <v>30.153107432493702</v>
          </cell>
          <cell r="O122">
            <v>13.3143286066726</v>
          </cell>
          <cell r="P122">
            <v>22</v>
          </cell>
          <cell r="Q122">
            <v>30.153107432493702</v>
          </cell>
        </row>
        <row r="123">
          <cell r="B123" t="str">
            <v>Ups/Downs</v>
          </cell>
          <cell r="C123" t="e">
            <v>#VALUE!</v>
          </cell>
          <cell r="D123" t="e">
            <v>#VALUE!</v>
          </cell>
          <cell r="E123" t="e">
            <v>#VALUE!</v>
          </cell>
        </row>
        <row r="124">
          <cell r="C124">
            <v>7.1199618217500529</v>
          </cell>
          <cell r="D124">
            <v>8.9068825910931171</v>
          </cell>
          <cell r="E124">
            <v>11.004783734486752</v>
          </cell>
        </row>
        <row r="125">
          <cell r="A125" t="str">
            <v>PVH.N</v>
          </cell>
          <cell r="B125" t="str">
            <v>PVH</v>
          </cell>
        </row>
        <row r="126">
          <cell r="B126" t="str">
            <v>Current Price</v>
          </cell>
          <cell r="D126" t="str">
            <v>#Calc</v>
          </cell>
        </row>
        <row r="127">
          <cell r="B127" t="str">
            <v>Net Debt</v>
          </cell>
          <cell r="D127">
            <v>202.00699999999949</v>
          </cell>
        </row>
        <row r="128">
          <cell r="B128" t="str">
            <v>Shares</v>
          </cell>
          <cell r="D128">
            <v>52.293999999999997</v>
          </cell>
        </row>
        <row r="130">
          <cell r="B130" t="str">
            <v>Revenue</v>
          </cell>
          <cell r="C130">
            <v>-6.8117249220791765E-2</v>
          </cell>
          <cell r="D130">
            <v>-3.1739824302132846E-2</v>
          </cell>
          <cell r="E130">
            <v>-1.1084924771722404E-2</v>
          </cell>
          <cell r="H130">
            <v>-7.6285701523983507E-2</v>
          </cell>
          <cell r="I130">
            <v>-3.4224458929715929E-2</v>
          </cell>
          <cell r="J130">
            <v>-5.6435284573952416E-4</v>
          </cell>
          <cell r="L130">
            <v>-7.3434977884946129E-2</v>
          </cell>
          <cell r="M130">
            <v>-1.8574336102211375E-2</v>
          </cell>
          <cell r="N130">
            <v>-1.4657847626209475E-2</v>
          </cell>
        </row>
        <row r="131">
          <cell r="B131" t="str">
            <v>Gross Margin</v>
          </cell>
          <cell r="C131">
            <v>-115.21074728246039</v>
          </cell>
          <cell r="D131">
            <v>-74.588543265898807</v>
          </cell>
          <cell r="E131">
            <v>-42.450498013919535</v>
          </cell>
          <cell r="H131">
            <v>-166.11433040271356</v>
          </cell>
          <cell r="I131">
            <v>-96.33603105782818</v>
          </cell>
          <cell r="J131">
            <v>-128.25676583740182</v>
          </cell>
        </row>
        <row r="132">
          <cell r="B132" t="str">
            <v>Expense Ratio</v>
          </cell>
          <cell r="C132">
            <v>71.983136258124134</v>
          </cell>
          <cell r="D132">
            <v>50.455743705470901</v>
          </cell>
          <cell r="E132">
            <v>31.931965238854442</v>
          </cell>
        </row>
        <row r="133">
          <cell r="B133" t="str">
            <v>Operating Margin</v>
          </cell>
          <cell r="C133">
            <v>-187.19388354058384</v>
          </cell>
          <cell r="D133">
            <v>-125.04428697136902</v>
          </cell>
          <cell r="E133">
            <v>-61.293027348627291</v>
          </cell>
        </row>
        <row r="135">
          <cell r="B135" t="str">
            <v>P/E Valuation</v>
          </cell>
          <cell r="J135" t="str">
            <v>Phillips-Van Heusen: Base Case Assumptions</v>
          </cell>
        </row>
        <row r="136">
          <cell r="B136" t="str">
            <v>EPS</v>
          </cell>
          <cell r="C136">
            <v>2.6975367948907065</v>
          </cell>
          <cell r="D136">
            <v>3.0202804920565067</v>
          </cell>
          <cell r="E136">
            <v>3.3219712718979792</v>
          </cell>
          <cell r="J136">
            <v>2.5625646500915376</v>
          </cell>
        </row>
        <row r="137">
          <cell r="B137" t="str">
            <v>P/E</v>
          </cell>
          <cell r="C137">
            <v>5</v>
          </cell>
          <cell r="D137">
            <v>8</v>
          </cell>
          <cell r="E137">
            <v>11</v>
          </cell>
        </row>
        <row r="138">
          <cell r="B138" t="str">
            <v>Scenario Price</v>
          </cell>
          <cell r="C138">
            <v>13.487683974453532</v>
          </cell>
          <cell r="D138">
            <v>24.162243936452054</v>
          </cell>
          <cell r="E138">
            <v>36.541683990877772</v>
          </cell>
        </row>
        <row r="139">
          <cell r="B139" t="str">
            <v>Ups/Downs</v>
          </cell>
          <cell r="C139" t="e">
            <v>#VALUE!</v>
          </cell>
          <cell r="D139" t="e">
            <v>#VALUE!</v>
          </cell>
          <cell r="E139" t="e">
            <v>#VALUE!</v>
          </cell>
        </row>
        <row r="141">
          <cell r="B141" t="str">
            <v>EBITDA Valuation</v>
          </cell>
        </row>
        <row r="142">
          <cell r="B142" t="str">
            <v>EBITDA</v>
          </cell>
          <cell r="C142">
            <v>302.38773729897332</v>
          </cell>
          <cell r="D142">
            <v>329.01846757906344</v>
          </cell>
          <cell r="E142">
            <v>353.74714620418871</v>
          </cell>
          <cell r="J142">
            <v>296.11657850148913</v>
          </cell>
        </row>
        <row r="143">
          <cell r="B143" t="str">
            <v>EV/EBITDA</v>
          </cell>
          <cell r="C143">
            <v>11</v>
          </cell>
          <cell r="D143">
            <v>0</v>
          </cell>
          <cell r="E143">
            <v>8</v>
          </cell>
          <cell r="G143">
            <v>4.5459145076988214</v>
          </cell>
        </row>
        <row r="144">
          <cell r="B144" t="str">
            <v>EV</v>
          </cell>
          <cell r="C144">
            <v>3326.2651102887066</v>
          </cell>
          <cell r="D144">
            <v>0</v>
          </cell>
          <cell r="E144">
            <v>2829.9771696335097</v>
          </cell>
        </row>
        <row r="145">
          <cell r="B145" t="str">
            <v>Implied Equity</v>
          </cell>
          <cell r="C145">
            <v>59.744102770656426</v>
          </cell>
          <cell r="D145">
            <v>-3.8629097028339676</v>
          </cell>
          <cell r="E145">
            <v>50.253760845097148</v>
          </cell>
        </row>
        <row r="146">
          <cell r="B146" t="str">
            <v>Ups/Downs</v>
          </cell>
          <cell r="C146" t="e">
            <v>#VALUE!</v>
          </cell>
          <cell r="D146" t="e">
            <v>#VALUE!</v>
          </cell>
          <cell r="E146" t="e">
            <v>#VALUE!</v>
          </cell>
        </row>
        <row r="148">
          <cell r="B148" t="str">
            <v>Residual Income</v>
          </cell>
        </row>
        <row r="149">
          <cell r="B149" t="str">
            <v>Val-Cur</v>
          </cell>
          <cell r="J149">
            <v>28.280014890537061</v>
          </cell>
        </row>
        <row r="151">
          <cell r="B151" t="str">
            <v>FCF Valuation</v>
          </cell>
        </row>
        <row r="152">
          <cell r="B152" t="str">
            <v>FCF Per Share</v>
          </cell>
          <cell r="C152">
            <v>3.1023693610209668</v>
          </cell>
          <cell r="D152">
            <v>3.5516863295785646</v>
          </cell>
          <cell r="E152">
            <v>3.943845867944578</v>
          </cell>
          <cell r="J152">
            <v>3.28539002263462</v>
          </cell>
        </row>
        <row r="153">
          <cell r="B153" t="str">
            <v>Yield</v>
          </cell>
          <cell r="C153">
            <v>8.4727397730142831E-2</v>
          </cell>
          <cell r="D153">
            <v>0.34993131190446175</v>
          </cell>
          <cell r="E153">
            <v>9.0876793716481663E-2</v>
          </cell>
        </row>
        <row r="155">
          <cell r="C155" t="str">
            <v>Trough</v>
          </cell>
          <cell r="D155" t="str">
            <v>5-Yr.</v>
          </cell>
          <cell r="E155" t="str">
            <v>Peak</v>
          </cell>
        </row>
        <row r="156">
          <cell r="B156" t="str">
            <v>P/E</v>
          </cell>
          <cell r="C156">
            <v>5.2061818093456127</v>
          </cell>
          <cell r="D156">
            <v>15.259176673924259</v>
          </cell>
          <cell r="E156">
            <v>20.669431279620856</v>
          </cell>
          <cell r="J156">
            <v>10.232679241634935</v>
          </cell>
        </row>
        <row r="157">
          <cell r="B157" t="str">
            <v>EV/EBITDA</v>
          </cell>
          <cell r="C157">
            <v>295.50900000000001</v>
          </cell>
          <cell r="D157">
            <v>328.76022298543529</v>
          </cell>
          <cell r="E157">
            <v>326.46520000000004</v>
          </cell>
        </row>
        <row r="159">
          <cell r="B159" t="str">
            <v>Recession</v>
          </cell>
          <cell r="C159" t="str">
            <v>Trough</v>
          </cell>
          <cell r="D159" t="str">
            <v>Mean</v>
          </cell>
          <cell r="E159" t="str">
            <v>Peak</v>
          </cell>
          <cell r="G159" t="str">
            <v>Average</v>
          </cell>
          <cell r="O159">
            <v>11</v>
          </cell>
          <cell r="P159">
            <v>22</v>
          </cell>
          <cell r="Q159">
            <v>31</v>
          </cell>
        </row>
        <row r="160">
          <cell r="B160" t="str">
            <v>P/E</v>
          </cell>
          <cell r="C160">
            <v>27.942809263417701</v>
          </cell>
          <cell r="D160">
            <v>0</v>
          </cell>
          <cell r="E160">
            <v>133.11565080531253</v>
          </cell>
          <cell r="G160">
            <v>13.97140463170885</v>
          </cell>
        </row>
        <row r="161">
          <cell r="B161" t="str">
            <v>EV/EBITDA</v>
          </cell>
          <cell r="C161">
            <v>10.881526792662877</v>
          </cell>
          <cell r="D161">
            <v>0</v>
          </cell>
          <cell r="E161">
            <v>9.0106642080704216</v>
          </cell>
          <cell r="G161">
            <v>5.4407633963314384</v>
          </cell>
        </row>
        <row r="163">
          <cell r="B163" t="str">
            <v>Price Targets</v>
          </cell>
          <cell r="C163">
            <v>11</v>
          </cell>
          <cell r="D163">
            <v>22</v>
          </cell>
          <cell r="E163">
            <v>31</v>
          </cell>
        </row>
        <row r="164">
          <cell r="B164" t="str">
            <v>Ups/Downs</v>
          </cell>
          <cell r="C164" t="e">
            <v>#VALUE!</v>
          </cell>
          <cell r="D164" t="e">
            <v>#VALUE!</v>
          </cell>
          <cell r="E164" t="e">
            <v>#VALUE!</v>
          </cell>
        </row>
        <row r="165">
          <cell r="C165">
            <v>4.077794238371335</v>
          </cell>
          <cell r="D165">
            <v>7.284091678856031</v>
          </cell>
          <cell r="E165">
            <v>9.3318085746986075</v>
          </cell>
        </row>
        <row r="166">
          <cell r="A166" t="str">
            <v>GES.N</v>
          </cell>
          <cell r="B166" t="str">
            <v>GES</v>
          </cell>
        </row>
        <row r="167">
          <cell r="B167" t="str">
            <v>Current Price</v>
          </cell>
          <cell r="D167" t="str">
            <v>#Calc</v>
          </cell>
        </row>
        <row r="168">
          <cell r="B168" t="str">
            <v>Net Debt</v>
          </cell>
          <cell r="D168">
            <v>-235.60499999999982</v>
          </cell>
        </row>
        <row r="169">
          <cell r="B169" t="str">
            <v>Shares</v>
          </cell>
          <cell r="D169">
            <v>93.893000000000001</v>
          </cell>
        </row>
        <row r="171">
          <cell r="B171" t="str">
            <v>Revenue</v>
          </cell>
          <cell r="C171">
            <v>5.0019061343269389E-3</v>
          </cell>
          <cell r="D171">
            <v>6.2067972955618389E-2</v>
          </cell>
          <cell r="E171">
            <v>8.6505074929410508E-2</v>
          </cell>
        </row>
        <row r="172">
          <cell r="B172" t="str">
            <v>Gross Margin</v>
          </cell>
          <cell r="C172">
            <v>-132.46959365692589</v>
          </cell>
          <cell r="D172">
            <v>-92.045492314125624</v>
          </cell>
          <cell r="E172">
            <v>-56.354346649143963</v>
          </cell>
        </row>
        <row r="173">
          <cell r="B173" t="str">
            <v>Expense Ratio</v>
          </cell>
          <cell r="C173">
            <v>43.820169861799044</v>
          </cell>
          <cell r="D173">
            <v>20.392820435544689</v>
          </cell>
          <cell r="E173">
            <v>9.2980880347370842E-2</v>
          </cell>
        </row>
        <row r="174">
          <cell r="B174" t="str">
            <v>Operating Margin</v>
          </cell>
          <cell r="C174">
            <v>-176.28976351872521</v>
          </cell>
          <cell r="D174">
            <v>-112.43831274967059</v>
          </cell>
          <cell r="E174">
            <v>-56.447327529490224</v>
          </cell>
        </row>
        <row r="176">
          <cell r="B176" t="str">
            <v>P/E Valuation</v>
          </cell>
          <cell r="J176" t="str">
            <v>Guess?: Base Case Assumptions</v>
          </cell>
        </row>
        <row r="177">
          <cell r="B177" t="str">
            <v>EPS</v>
          </cell>
          <cell r="C177">
            <v>2.2579131220645636</v>
          </cell>
          <cell r="D177">
            <v>2.5106239184555692</v>
          </cell>
          <cell r="E177">
            <v>2.6827665053331833</v>
          </cell>
          <cell r="J177">
            <v>2.5106239184555692</v>
          </cell>
        </row>
        <row r="178">
          <cell r="B178" t="str">
            <v>P/E</v>
          </cell>
          <cell r="C178">
            <v>6</v>
          </cell>
          <cell r="D178">
            <v>9</v>
          </cell>
          <cell r="E178">
            <v>12</v>
          </cell>
        </row>
        <row r="179">
          <cell r="B179" t="str">
            <v>Scenario Price</v>
          </cell>
          <cell r="C179">
            <v>13.547478732387383</v>
          </cell>
          <cell r="D179">
            <v>22.595615266100122</v>
          </cell>
          <cell r="E179">
            <v>32.193198063998196</v>
          </cell>
        </row>
        <row r="180">
          <cell r="B180" t="str">
            <v>Ups/Downs</v>
          </cell>
          <cell r="C180" t="e">
            <v>#VALUE!</v>
          </cell>
          <cell r="D180" t="e">
            <v>#VALUE!</v>
          </cell>
          <cell r="E180" t="e">
            <v>#VALUE!</v>
          </cell>
        </row>
        <row r="182">
          <cell r="B182" t="str">
            <v>EBITDA Valuation</v>
          </cell>
        </row>
        <row r="183">
          <cell r="B183" t="str">
            <v>EBITDA</v>
          </cell>
          <cell r="C183">
            <v>395.95327325664459</v>
          </cell>
          <cell r="D183">
            <v>432.95762994659856</v>
          </cell>
          <cell r="E183">
            <v>458.02811179010723</v>
          </cell>
          <cell r="J183">
            <v>432.95762994659856</v>
          </cell>
        </row>
        <row r="184">
          <cell r="B184" t="str">
            <v>EV/EBITDA</v>
          </cell>
          <cell r="C184">
            <v>12</v>
          </cell>
          <cell r="D184">
            <v>0</v>
          </cell>
          <cell r="E184">
            <v>9</v>
          </cell>
          <cell r="G184">
            <v>4.642892656853105</v>
          </cell>
        </row>
        <row r="185">
          <cell r="B185" t="str">
            <v>EV</v>
          </cell>
          <cell r="C185">
            <v>4751.4392790797356</v>
          </cell>
          <cell r="D185">
            <v>0</v>
          </cell>
          <cell r="E185">
            <v>4122.2530061109646</v>
          </cell>
        </row>
        <row r="186">
          <cell r="B186" t="str">
            <v>Implied Equity</v>
          </cell>
          <cell r="C186">
            <v>53.114122235733603</v>
          </cell>
          <cell r="D186">
            <v>2.5092924925180773</v>
          </cell>
          <cell r="E186">
            <v>46.413023400157243</v>
          </cell>
        </row>
        <row r="187">
          <cell r="B187" t="str">
            <v>Ups/Downs</v>
          </cell>
          <cell r="C187" t="e">
            <v>#VALUE!</v>
          </cell>
          <cell r="D187" t="e">
            <v>#VALUE!</v>
          </cell>
          <cell r="E187" t="e">
            <v>#VALUE!</v>
          </cell>
        </row>
        <row r="189">
          <cell r="B189" t="str">
            <v>Residual Income</v>
          </cell>
        </row>
        <row r="190">
          <cell r="B190" t="str">
            <v>Val-Cur</v>
          </cell>
          <cell r="J190">
            <v>44.100114552712384</v>
          </cell>
        </row>
        <row r="192">
          <cell r="B192" t="str">
            <v>FCF Valuation</v>
          </cell>
        </row>
        <row r="193">
          <cell r="B193" t="str">
            <v>FCF Per Share</v>
          </cell>
          <cell r="C193">
            <v>1.9620268022792264</v>
          </cell>
          <cell r="D193">
            <v>2.0333858335373303</v>
          </cell>
          <cell r="E193">
            <v>2.1215188246551513</v>
          </cell>
          <cell r="J193">
            <v>2.0333858335373303</v>
          </cell>
        </row>
        <row r="194">
          <cell r="B194" t="str">
            <v>Yield</v>
          </cell>
          <cell r="C194">
            <v>5.8865276974596217E-2</v>
          </cell>
          <cell r="D194">
            <v>0.16199110174697171</v>
          </cell>
          <cell r="E194">
            <v>5.3978394715806746E-2</v>
          </cell>
        </row>
        <row r="196">
          <cell r="C196" t="str">
            <v>Trough</v>
          </cell>
          <cell r="D196" t="str">
            <v>5-Yr.</v>
          </cell>
          <cell r="E196" t="str">
            <v>Peak</v>
          </cell>
          <cell r="O196">
            <v>10</v>
          </cell>
          <cell r="P196">
            <v>22</v>
          </cell>
          <cell r="Q196">
            <v>28</v>
          </cell>
        </row>
        <row r="197">
          <cell r="B197" t="str">
            <v>P/E</v>
          </cell>
          <cell r="C197">
            <v>2.7960526315789473</v>
          </cell>
          <cell r="D197">
            <v>21.424835061443098</v>
          </cell>
          <cell r="E197">
            <v>48.75</v>
          </cell>
          <cell r="J197">
            <v>12.110443846511023</v>
          </cell>
        </row>
        <row r="198">
          <cell r="B198" t="str">
            <v>EV/EBITDA</v>
          </cell>
          <cell r="C198">
            <v>418.6037</v>
          </cell>
          <cell r="D198">
            <v>418.89366514622878</v>
          </cell>
          <cell r="E198">
            <v>412.87130000000002</v>
          </cell>
        </row>
        <row r="200">
          <cell r="B200" t="str">
            <v>Recession</v>
          </cell>
          <cell r="C200" t="str">
            <v>Trough</v>
          </cell>
          <cell r="D200" t="str">
            <v>Mean</v>
          </cell>
          <cell r="E200" t="str">
            <v>Peak</v>
          </cell>
          <cell r="G200" t="str">
            <v>Average</v>
          </cell>
        </row>
        <row r="201">
          <cell r="B201" t="str">
            <v>P/E</v>
          </cell>
          <cell r="C201">
            <v>13.053715703642743</v>
          </cell>
          <cell r="D201">
            <v>0</v>
          </cell>
          <cell r="E201">
            <v>309.44987810540982</v>
          </cell>
          <cell r="G201">
            <v>6.5268578518213713</v>
          </cell>
        </row>
        <row r="202">
          <cell r="B202" t="str">
            <v>EV/EBITDA</v>
          </cell>
          <cell r="C202">
            <v>11.247450128851238</v>
          </cell>
          <cell r="D202">
            <v>0</v>
          </cell>
          <cell r="E202">
            <v>11.620803986217455</v>
          </cell>
          <cell r="G202">
            <v>5.6237250644256189</v>
          </cell>
        </row>
        <row r="204">
          <cell r="B204" t="str">
            <v>Price Targets</v>
          </cell>
          <cell r="C204">
            <v>10</v>
          </cell>
          <cell r="D204">
            <v>22</v>
          </cell>
          <cell r="E204">
            <v>28</v>
          </cell>
        </row>
        <row r="205">
          <cell r="B205" t="str">
            <v>Ups/Downs</v>
          </cell>
          <cell r="C205" t="e">
            <v>#VALUE!</v>
          </cell>
          <cell r="D205" t="e">
            <v>#VALUE!</v>
          </cell>
          <cell r="E205" t="e">
            <v>#VALUE!</v>
          </cell>
        </row>
        <row r="206">
          <cell r="C206">
            <v>4.4288683662267392</v>
          </cell>
          <cell r="D206">
            <v>8.762762052204728</v>
          </cell>
          <cell r="E206">
            <v>10.436987320490857</v>
          </cell>
        </row>
        <row r="207">
          <cell r="A207" t="str">
            <v>UA.N</v>
          </cell>
          <cell r="B207" t="str">
            <v>UA</v>
          </cell>
        </row>
        <row r="208">
          <cell r="B208" t="str">
            <v>Current Price</v>
          </cell>
          <cell r="D208" t="str">
            <v>#Calc</v>
          </cell>
        </row>
        <row r="209">
          <cell r="B209" t="str">
            <v>Net Debt</v>
          </cell>
          <cell r="D209">
            <v>-2.5880000000000081</v>
          </cell>
        </row>
        <row r="210">
          <cell r="B210" t="str">
            <v>Shares</v>
          </cell>
          <cell r="D210">
            <v>49.933999999999997</v>
          </cell>
        </row>
        <row r="212">
          <cell r="B212" t="str">
            <v>Revenue</v>
          </cell>
          <cell r="C212">
            <v>0.14236773121139379</v>
          </cell>
          <cell r="D212">
            <v>0.18755186841098626</v>
          </cell>
          <cell r="E212">
            <v>0.22117037202345236</v>
          </cell>
        </row>
        <row r="213">
          <cell r="B213" t="str">
            <v>Gross Margin</v>
          </cell>
          <cell r="C213">
            <v>-166.35202649946334</v>
          </cell>
          <cell r="D213">
            <v>-81.868290295997738</v>
          </cell>
          <cell r="E213">
            <v>-11.871325705416492</v>
          </cell>
        </row>
        <row r="214">
          <cell r="B214" t="str">
            <v>Expense Ratio</v>
          </cell>
          <cell r="C214">
            <v>31.875640145483942</v>
          </cell>
          <cell r="D214">
            <v>-18.306369319854298</v>
          </cell>
          <cell r="E214">
            <v>-146.78806714331915</v>
          </cell>
        </row>
        <row r="215">
          <cell r="B215" t="str">
            <v>Operating Margin</v>
          </cell>
          <cell r="C215">
            <v>-198.22766664494756</v>
          </cell>
          <cell r="D215">
            <v>-63.561920976143718</v>
          </cell>
          <cell r="E215">
            <v>134.91674143790212</v>
          </cell>
        </row>
        <row r="217">
          <cell r="B217" t="str">
            <v>P/E Valuation</v>
          </cell>
          <cell r="J217" t="str">
            <v>Under Armour: Base Case Assumptions</v>
          </cell>
        </row>
        <row r="218">
          <cell r="B218" t="str">
            <v>EPS</v>
          </cell>
          <cell r="C218">
            <v>0.99906466248783032</v>
          </cell>
          <cell r="D218">
            <v>1.2018850185316137</v>
          </cell>
          <cell r="E218">
            <v>1.5504235836780593</v>
          </cell>
          <cell r="J218">
            <v>1.2018850185316137</v>
          </cell>
        </row>
        <row r="219">
          <cell r="B219" t="str">
            <v>P/E</v>
          </cell>
          <cell r="C219">
            <v>14</v>
          </cell>
          <cell r="D219">
            <v>18</v>
          </cell>
          <cell r="E219">
            <v>20</v>
          </cell>
        </row>
        <row r="220">
          <cell r="B220" t="str">
            <v>Scenario Price</v>
          </cell>
          <cell r="C220">
            <v>13.986905274829624</v>
          </cell>
          <cell r="D220">
            <v>21.633930333569047</v>
          </cell>
          <cell r="E220">
            <v>31.008471673561186</v>
          </cell>
        </row>
        <row r="221">
          <cell r="B221" t="str">
            <v>Ups/Downs</v>
          </cell>
          <cell r="C221" t="e">
            <v>#VALUE!</v>
          </cell>
          <cell r="D221" t="e">
            <v>#VALUE!</v>
          </cell>
          <cell r="E221" t="e">
            <v>#VALUE!</v>
          </cell>
        </row>
        <row r="223">
          <cell r="B223" t="str">
            <v>EBITDA Valuation</v>
          </cell>
        </row>
        <row r="224">
          <cell r="B224" t="str">
            <v>EBITDA</v>
          </cell>
          <cell r="C224">
            <v>119.58353719373952</v>
          </cell>
          <cell r="D224">
            <v>137.30870701109214</v>
          </cell>
          <cell r="E224">
            <v>167.54865976843155</v>
          </cell>
          <cell r="J224">
            <v>137.30870701109214</v>
          </cell>
        </row>
        <row r="225">
          <cell r="B225" t="str">
            <v>EV/EBITDA</v>
          </cell>
          <cell r="C225">
            <v>20</v>
          </cell>
          <cell r="D225">
            <v>0</v>
          </cell>
          <cell r="E225">
            <v>18</v>
          </cell>
          <cell r="I225" t="str">
            <v>LULU</v>
          </cell>
          <cell r="J225">
            <v>5.9734860572920985</v>
          </cell>
        </row>
        <row r="226">
          <cell r="B226" t="str">
            <v>EV</v>
          </cell>
          <cell r="C226">
            <v>2391.6707438747903</v>
          </cell>
          <cell r="D226">
            <v>0</v>
          </cell>
          <cell r="E226">
            <v>3015.8758758317681</v>
          </cell>
          <cell r="I226" t="str">
            <v>JCG</v>
          </cell>
          <cell r="J226">
            <v>0</v>
          </cell>
        </row>
        <row r="227">
          <cell r="B227" t="str">
            <v>Implied Equity</v>
          </cell>
          <cell r="C227">
            <v>47.948466853742751</v>
          </cell>
          <cell r="D227">
            <v>5.1828413505827856E-2</v>
          </cell>
          <cell r="E227">
            <v>60.449070289417399</v>
          </cell>
          <cell r="I227" t="str">
            <v>HIBB</v>
          </cell>
          <cell r="J227">
            <v>3.6649423212155883</v>
          </cell>
        </row>
        <row r="228">
          <cell r="B228" t="str">
            <v>Ups/Downs</v>
          </cell>
          <cell r="C228" t="e">
            <v>#VALUE!</v>
          </cell>
          <cell r="D228" t="e">
            <v>#VALUE!</v>
          </cell>
          <cell r="E228" t="e">
            <v>#VALUE!</v>
          </cell>
        </row>
        <row r="230">
          <cell r="B230" t="str">
            <v>Residual Income</v>
          </cell>
        </row>
        <row r="231">
          <cell r="B231" t="str">
            <v>Val-Cur</v>
          </cell>
          <cell r="J231">
            <v>28.532794139999851</v>
          </cell>
        </row>
        <row r="233">
          <cell r="B233" t="str">
            <v>FCF Valuation</v>
          </cell>
        </row>
        <row r="234">
          <cell r="B234" t="str">
            <v>FCF Per Share</v>
          </cell>
          <cell r="C234">
            <v>0.4343387735004669</v>
          </cell>
          <cell r="D234">
            <v>0.42456773940421655</v>
          </cell>
          <cell r="E234">
            <v>0.60593286020249848</v>
          </cell>
          <cell r="J234">
            <v>0.42456773940421655</v>
          </cell>
        </row>
        <row r="235">
          <cell r="B235" t="str">
            <v>Yield</v>
          </cell>
          <cell r="C235">
            <v>1.4025548198816596E-2</v>
          </cell>
          <cell r="D235">
            <v>3.9156364723598631E-2</v>
          </cell>
          <cell r="E235">
            <v>1.325058266813635E-2</v>
          </cell>
        </row>
        <row r="237">
          <cell r="C237" t="str">
            <v>Trough</v>
          </cell>
          <cell r="D237" t="str">
            <v>5-Yr.</v>
          </cell>
          <cell r="E237" t="str">
            <v>Peak</v>
          </cell>
          <cell r="O237">
            <v>14</v>
          </cell>
          <cell r="P237">
            <v>22</v>
          </cell>
          <cell r="Q237">
            <v>31</v>
          </cell>
        </row>
        <row r="238">
          <cell r="B238" t="str">
            <v>P/E</v>
          </cell>
          <cell r="C238">
            <v>12.428356703450484</v>
          </cell>
          <cell r="D238">
            <v>44.41327296284517</v>
          </cell>
          <cell r="E238">
            <v>87.068181818181827</v>
          </cell>
          <cell r="J238">
            <v>28.420814833147826</v>
          </cell>
        </row>
        <row r="239">
          <cell r="B239" t="str">
            <v>EV/EBITDA</v>
          </cell>
          <cell r="C239">
            <v>140.03810000000001</v>
          </cell>
          <cell r="D239">
            <v>117.12529688969684</v>
          </cell>
          <cell r="E239">
            <v>118.35556000000001</v>
          </cell>
        </row>
        <row r="241">
          <cell r="B241" t="str">
            <v>Price Targets</v>
          </cell>
          <cell r="C241">
            <v>14</v>
          </cell>
          <cell r="D241">
            <v>22</v>
          </cell>
          <cell r="E241">
            <v>31</v>
          </cell>
        </row>
        <row r="242">
          <cell r="B242" t="str">
            <v>Ups/Downs</v>
          </cell>
          <cell r="C242" t="e">
            <v>#VALUE!</v>
          </cell>
          <cell r="D242" t="e">
            <v>#VALUE!</v>
          </cell>
          <cell r="E242" t="e">
            <v>#VALUE!</v>
          </cell>
        </row>
        <row r="243">
          <cell r="C243">
            <v>14.013106984624766</v>
          </cell>
          <cell r="D243">
            <v>18.304579606856397</v>
          </cell>
          <cell r="E243">
            <v>19.994535897382903</v>
          </cell>
        </row>
        <row r="244">
          <cell r="A244" t="str">
            <v>RL.N</v>
          </cell>
          <cell r="B244" t="str">
            <v>RL</v>
          </cell>
        </row>
        <row r="245">
          <cell r="B245" t="str">
            <v>Current Price</v>
          </cell>
          <cell r="D245" t="str">
            <v>#Calc</v>
          </cell>
        </row>
        <row r="246">
          <cell r="B246" t="str">
            <v>Net Debt</v>
          </cell>
          <cell r="D246">
            <v>-240.9999999999996</v>
          </cell>
        </row>
        <row r="247">
          <cell r="B247" t="str">
            <v>Shares</v>
          </cell>
          <cell r="D247">
            <v>102.1</v>
          </cell>
        </row>
        <row r="249">
          <cell r="B249" t="str">
            <v>Revenue</v>
          </cell>
          <cell r="C249">
            <v>-1.2219431833004668E-2</v>
          </cell>
          <cell r="D249">
            <v>9.7264391571743047E-3</v>
          </cell>
          <cell r="E249">
            <v>4.8279300510463141E-2</v>
          </cell>
        </row>
        <row r="250">
          <cell r="B250" t="str">
            <v>Gross Margin</v>
          </cell>
          <cell r="C250">
            <v>-52.400778001017166</v>
          </cell>
          <cell r="D250">
            <v>39.903577506641419</v>
          </cell>
          <cell r="E250">
            <v>72.31350123189317</v>
          </cell>
        </row>
        <row r="251">
          <cell r="B251" t="str">
            <v>Expense Ratio</v>
          </cell>
          <cell r="C251">
            <v>162.99489485176565</v>
          </cell>
          <cell r="D251">
            <v>139.69425994722619</v>
          </cell>
          <cell r="E251">
            <v>121.14643072228759</v>
          </cell>
        </row>
        <row r="252">
          <cell r="B252" t="str">
            <v>Operating Margin</v>
          </cell>
          <cell r="C252">
            <v>-191.34202325536199</v>
          </cell>
          <cell r="D252">
            <v>-74.157682659594656</v>
          </cell>
          <cell r="E252">
            <v>-20.585567856334919</v>
          </cell>
        </row>
        <row r="254">
          <cell r="B254" t="str">
            <v>P/E Valuation</v>
          </cell>
          <cell r="J254" t="str">
            <v>Ralph Lauren: Base Case Assumptions</v>
          </cell>
        </row>
        <row r="255">
          <cell r="B255" t="str">
            <v>EPS</v>
          </cell>
          <cell r="C255">
            <v>3.3923540743442406</v>
          </cell>
          <cell r="D255">
            <v>3.8195556979500398</v>
          </cell>
          <cell r="E255">
            <v>4.1322311197207835</v>
          </cell>
          <cell r="J255">
            <v>3.8195556979500398</v>
          </cell>
        </row>
        <row r="256">
          <cell r="B256" t="str">
            <v>P/E</v>
          </cell>
          <cell r="C256">
            <v>8</v>
          </cell>
          <cell r="D256">
            <v>11</v>
          </cell>
          <cell r="E256">
            <v>15</v>
          </cell>
          <cell r="G256" t="e">
            <v>#VALUE!</v>
          </cell>
        </row>
        <row r="257">
          <cell r="B257" t="str">
            <v>Scenario Price</v>
          </cell>
          <cell r="C257">
            <v>27.138832594753925</v>
          </cell>
          <cell r="D257">
            <v>42.015112677450439</v>
          </cell>
          <cell r="E257">
            <v>61.983466795811751</v>
          </cell>
        </row>
        <row r="258">
          <cell r="B258" t="str">
            <v>Ups/Downs</v>
          </cell>
          <cell r="C258" t="e">
            <v>#VALUE!</v>
          </cell>
          <cell r="D258" t="e">
            <v>#VALUE!</v>
          </cell>
          <cell r="E258" t="e">
            <v>#VALUE!</v>
          </cell>
        </row>
        <row r="260">
          <cell r="B260" t="str">
            <v>EBITDA Valuation</v>
          </cell>
        </row>
        <row r="261">
          <cell r="B261" t="str">
            <v>EBITDA</v>
          </cell>
          <cell r="C261">
            <v>772.82752298635683</v>
          </cell>
          <cell r="D261">
            <v>843.29338043227006</v>
          </cell>
          <cell r="E261">
            <v>895.18188415629652</v>
          </cell>
          <cell r="J261">
            <v>843.29338043227006</v>
          </cell>
        </row>
        <row r="262">
          <cell r="B262" t="str">
            <v>EV/EBITDA</v>
          </cell>
          <cell r="C262">
            <v>15</v>
          </cell>
          <cell r="D262">
            <v>0</v>
          </cell>
          <cell r="E262">
            <v>11</v>
          </cell>
          <cell r="G262">
            <v>6.2532186038063315</v>
          </cell>
        </row>
        <row r="263">
          <cell r="B263" t="str">
            <v>EV</v>
          </cell>
          <cell r="C263">
            <v>11592.412844795352</v>
          </cell>
          <cell r="D263">
            <v>0</v>
          </cell>
          <cell r="E263">
            <v>9847.000725719261</v>
          </cell>
        </row>
        <row r="264">
          <cell r="B264" t="str">
            <v>Implied Equity</v>
          </cell>
          <cell r="C264">
            <v>115.9002237492199</v>
          </cell>
          <cell r="D264">
            <v>2.360430950048968</v>
          </cell>
          <cell r="E264">
            <v>98.805100153959472</v>
          </cell>
        </row>
        <row r="265">
          <cell r="B265" t="str">
            <v>Ups/Downs</v>
          </cell>
          <cell r="C265" t="e">
            <v>#VALUE!</v>
          </cell>
          <cell r="D265" t="e">
            <v>#VALUE!</v>
          </cell>
          <cell r="E265" t="e">
            <v>#VALUE!</v>
          </cell>
        </row>
        <row r="267">
          <cell r="B267" t="str">
            <v>Residual Income</v>
          </cell>
        </row>
        <row r="268">
          <cell r="B268" t="str">
            <v>Val-Cur</v>
          </cell>
          <cell r="J268">
            <v>58.077356023997737</v>
          </cell>
        </row>
        <row r="270">
          <cell r="B270" t="str">
            <v>FCF Valuation</v>
          </cell>
        </row>
        <row r="271">
          <cell r="B271" t="str">
            <v>FCF Per Share</v>
          </cell>
          <cell r="C271">
            <v>5.3375916719245931</v>
          </cell>
          <cell r="D271">
            <v>5.6935077768655109</v>
          </cell>
          <cell r="E271">
            <v>5.7274157838770998</v>
          </cell>
          <cell r="J271">
            <v>5.6935077768655109</v>
          </cell>
        </row>
        <row r="272">
          <cell r="B272" t="str">
            <v>Yield</v>
          </cell>
          <cell r="C272">
            <v>7.4631248392592789E-2</v>
          </cell>
          <cell r="D272">
            <v>0.25660565759637294</v>
          </cell>
          <cell r="E272">
            <v>7.1241580076601946E-2</v>
          </cell>
        </row>
        <row r="273">
          <cell r="O273">
            <v>25.684165401014301</v>
          </cell>
          <cell r="P273">
            <v>43</v>
          </cell>
          <cell r="Q273">
            <v>71.837292762706198</v>
          </cell>
        </row>
        <row r="274">
          <cell r="C274" t="str">
            <v>Trough</v>
          </cell>
          <cell r="D274" t="str">
            <v>5-Yr.</v>
          </cell>
          <cell r="E274" t="str">
            <v>Peak</v>
          </cell>
        </row>
        <row r="275">
          <cell r="B275" t="str">
            <v>P/E</v>
          </cell>
          <cell r="C275">
            <v>7.8445747800586503</v>
          </cell>
          <cell r="D275">
            <v>16.682633413664135</v>
          </cell>
          <cell r="E275">
            <v>26.298497977869165</v>
          </cell>
          <cell r="J275">
            <v>12.263604096861393</v>
          </cell>
        </row>
        <row r="276">
          <cell r="B276" t="str">
            <v>EV/EBITDA</v>
          </cell>
          <cell r="C276">
            <v>860.82420000000002</v>
          </cell>
          <cell r="D276">
            <v>862.34718055699659</v>
          </cell>
          <cell r="E276">
            <v>821.79550000000006</v>
          </cell>
        </row>
        <row r="278">
          <cell r="B278" t="str">
            <v>Recession</v>
          </cell>
          <cell r="C278" t="str">
            <v>Trough</v>
          </cell>
          <cell r="D278" t="str">
            <v>Mean</v>
          </cell>
          <cell r="E278" t="str">
            <v>Peak</v>
          </cell>
          <cell r="G278" t="str">
            <v>Average</v>
          </cell>
        </row>
        <row r="279">
          <cell r="B279" t="str">
            <v>P/E</v>
          </cell>
          <cell r="C279">
            <v>33.450534727436931</v>
          </cell>
          <cell r="D279">
            <v>0</v>
          </cell>
          <cell r="E279">
            <v>170.30555199737367</v>
          </cell>
          <cell r="G279">
            <v>16.725267363718466</v>
          </cell>
        </row>
        <row r="280">
          <cell r="B280" t="str">
            <v>EV/EBITDA</v>
          </cell>
          <cell r="C280">
            <v>13.227056805898966</v>
          </cell>
          <cell r="D280">
            <v>0</v>
          </cell>
          <cell r="E280">
            <v>10.280584766378455</v>
          </cell>
          <cell r="G280">
            <v>6.6135284029494832</v>
          </cell>
        </row>
        <row r="283">
          <cell r="B283" t="str">
            <v>Price Targets</v>
          </cell>
          <cell r="C283">
            <v>25.684165401014301</v>
          </cell>
          <cell r="D283">
            <v>43</v>
          </cell>
          <cell r="E283">
            <v>71.837292762706198</v>
          </cell>
        </row>
        <row r="284">
          <cell r="B284" t="str">
            <v>Ups/Downs</v>
          </cell>
          <cell r="C284" t="e">
            <v>#VALUE!</v>
          </cell>
          <cell r="D284" t="e">
            <v>#VALUE!</v>
          </cell>
          <cell r="E284" t="e">
            <v>#VALUE!</v>
          </cell>
        </row>
        <row r="285">
          <cell r="C285">
            <v>7.571192404489552</v>
          </cell>
          <cell r="D285">
            <v>11.257853897268248</v>
          </cell>
          <cell r="E285">
            <v>17.384626048593397</v>
          </cell>
        </row>
      </sheetData>
      <sheetData sheetId="9">
        <row r="1">
          <cell r="R1" t="str">
            <v>SmartCharts</v>
          </cell>
          <cell r="BN1" t="str">
            <v>.</v>
          </cell>
        </row>
        <row r="2">
          <cell r="BN2" t="str">
            <v>.</v>
          </cell>
        </row>
        <row r="3">
          <cell r="BN3" t="str">
            <v>.</v>
          </cell>
        </row>
        <row r="9">
          <cell r="D9" t="str">
            <v>Input values in white cells:</v>
          </cell>
        </row>
        <row r="10">
          <cell r="AF10">
            <v>6130.6740333953476</v>
          </cell>
        </row>
        <row r="11">
          <cell r="C11" t="str">
            <v>Base case:</v>
          </cell>
          <cell r="D11">
            <v>22</v>
          </cell>
          <cell r="AF11">
            <v>0.1</v>
          </cell>
        </row>
        <row r="13">
          <cell r="C13" t="str">
            <v>Current price:</v>
          </cell>
          <cell r="D13">
            <v>14.15</v>
          </cell>
          <cell r="AE13">
            <v>-4.9399999999999977</v>
          </cell>
        </row>
        <row r="14">
          <cell r="AE14">
            <v>6170.7696480537052</v>
          </cell>
        </row>
        <row r="15">
          <cell r="C15" t="str">
            <v>Price target:</v>
          </cell>
          <cell r="D15">
            <v>22</v>
          </cell>
        </row>
        <row r="17">
          <cell r="AE17" t="str">
            <v>Bear</v>
          </cell>
          <cell r="AG17" t="str">
            <v>Base</v>
          </cell>
          <cell r="AJ17" t="str">
            <v>Bull</v>
          </cell>
        </row>
        <row r="18">
          <cell r="E18" t="str">
            <v>Input your Bull/Bear data below:</v>
          </cell>
          <cell r="AD18">
            <v>6165.9792177678301</v>
          </cell>
          <cell r="AE18">
            <v>6165.9792177678301</v>
          </cell>
          <cell r="AG18">
            <v>40</v>
          </cell>
          <cell r="AJ18">
            <v>6130.6740333953476</v>
          </cell>
          <cell r="AL18">
            <v>6130.6740333953476</v>
          </cell>
        </row>
        <row r="19">
          <cell r="E19" t="str">
            <v>(Input "to Bear" values as negatives)</v>
          </cell>
          <cell r="AE19" t="str">
            <v>bear_labels</v>
          </cell>
          <cell r="AF19" t="str">
            <v>-bear</v>
          </cell>
          <cell r="AG19" t="str">
            <v>-space1</v>
          </cell>
          <cell r="AH19" t="str">
            <v>+space1</v>
          </cell>
          <cell r="AI19" t="str">
            <v>+bull</v>
          </cell>
          <cell r="AJ19" t="str">
            <v>bull_labels</v>
          </cell>
        </row>
        <row r="20">
          <cell r="D20" t="str">
            <v>to Bear</v>
          </cell>
          <cell r="E20" t="str">
            <v>to Bull</v>
          </cell>
        </row>
        <row r="21">
          <cell r="C21" t="str">
            <v>Global Expansion</v>
          </cell>
          <cell r="D21">
            <v>6170.7696480537052</v>
          </cell>
          <cell r="E21">
            <v>6125.839446330172</v>
          </cell>
          <cell r="AE21">
            <v>-613.06740333953474</v>
          </cell>
          <cell r="AF21">
            <v>6170.7696480537052</v>
          </cell>
          <cell r="AG21">
            <v>0</v>
          </cell>
          <cell r="AH21">
            <v>0</v>
          </cell>
          <cell r="AI21">
            <v>6125.839446330172</v>
          </cell>
          <cell r="AJ21">
            <v>613.06740333953474</v>
          </cell>
          <cell r="AK21">
            <v>6738.9068496697064</v>
          </cell>
        </row>
        <row r="22">
          <cell r="C22" t="str">
            <v>Margin Strength</v>
          </cell>
          <cell r="D22">
            <v>0.14956971412449871</v>
          </cell>
          <cell r="E22">
            <v>-0.10541293482405914</v>
          </cell>
          <cell r="AE22">
            <v>-613.06740333953474</v>
          </cell>
          <cell r="AF22">
            <v>0.14956971412449871</v>
          </cell>
          <cell r="AG22">
            <v>6170.7696480537052</v>
          </cell>
          <cell r="AH22">
            <v>6125.839446330172</v>
          </cell>
          <cell r="AI22">
            <v>-0.10541293482405914</v>
          </cell>
          <cell r="AJ22">
            <v>613.06740333953474</v>
          </cell>
          <cell r="AK22">
            <v>6738.8014367348824</v>
          </cell>
        </row>
        <row r="23">
          <cell r="C23" t="str">
            <v>Multiple</v>
          </cell>
          <cell r="D23">
            <v>-4.9399999999999977</v>
          </cell>
          <cell r="E23">
            <v>4.9400000000000013</v>
          </cell>
          <cell r="AE23">
            <v>-613.06740333953474</v>
          </cell>
          <cell r="AF23">
            <v>-4.9399999999999977</v>
          </cell>
          <cell r="AG23">
            <v>6170.9192177678297</v>
          </cell>
          <cell r="AH23">
            <v>6125.734033395348</v>
          </cell>
          <cell r="AI23">
            <v>4.9400000000000013</v>
          </cell>
          <cell r="AJ23">
            <v>613.06740333953474</v>
          </cell>
          <cell r="AK23">
            <v>6743.741436734882</v>
          </cell>
          <cell r="AN23" t="str">
            <v/>
          </cell>
        </row>
        <row r="24">
          <cell r="AE24">
            <v>-613.06740333953474</v>
          </cell>
          <cell r="AF24">
            <v>0</v>
          </cell>
          <cell r="AG24">
            <v>6165.9792177678301</v>
          </cell>
          <cell r="AH24">
            <v>6130.6740333953476</v>
          </cell>
          <cell r="AI24">
            <v>0</v>
          </cell>
          <cell r="AJ24" t="str">
            <v/>
          </cell>
          <cell r="AK24">
            <v>6130.6740333953476</v>
          </cell>
          <cell r="AN24" t="str">
            <v/>
          </cell>
        </row>
        <row r="25">
          <cell r="AE25">
            <v>-613.06740333953474</v>
          </cell>
          <cell r="AF25">
            <v>0</v>
          </cell>
          <cell r="AG25">
            <v>6165.9792177678301</v>
          </cell>
          <cell r="AH25">
            <v>6130.6740333953476</v>
          </cell>
          <cell r="AI25">
            <v>0</v>
          </cell>
          <cell r="AJ25" t="str">
            <v/>
          </cell>
          <cell r="AK25">
            <v>6130.6740333953476</v>
          </cell>
          <cell r="AN25" t="str">
            <v>Current
14.15</v>
          </cell>
        </row>
        <row r="26">
          <cell r="AE26">
            <v>-613.06740333953474</v>
          </cell>
          <cell r="AF26">
            <v>0</v>
          </cell>
          <cell r="AG26">
            <v>6165.9792177678301</v>
          </cell>
          <cell r="AH26">
            <v>6130.6740333953476</v>
          </cell>
          <cell r="AI26">
            <v>0</v>
          </cell>
          <cell r="AJ26" t="str">
            <v/>
          </cell>
          <cell r="AK26">
            <v>6130.6740333953476</v>
          </cell>
          <cell r="AN26" t="str">
            <v/>
          </cell>
        </row>
        <row r="27">
          <cell r="D27">
            <v>6187.9792177678301</v>
          </cell>
          <cell r="E27">
            <v>6152.6740333953476</v>
          </cell>
          <cell r="AG27">
            <v>0</v>
          </cell>
          <cell r="AH27">
            <v>6130.6740333953476</v>
          </cell>
          <cell r="AN27" t="str">
            <v/>
          </cell>
        </row>
        <row r="28">
          <cell r="D28" t="str">
            <v>BEAR</v>
          </cell>
          <cell r="E28" t="str">
            <v>BULL</v>
          </cell>
          <cell r="AN28" t="str">
            <v/>
          </cell>
        </row>
        <row r="30">
          <cell r="C30" t="str">
            <v>Select currency here:</v>
          </cell>
          <cell r="AE30" t="str">
            <v>-space1</v>
          </cell>
          <cell r="AF30" t="str">
            <v>-bear</v>
          </cell>
          <cell r="AG30" t="str">
            <v>bear_labels</v>
          </cell>
          <cell r="AH30" t="str">
            <v>+space1</v>
          </cell>
          <cell r="AI30" t="str">
            <v>+bull</v>
          </cell>
          <cell r="AJ30" t="str">
            <v>bull_labels</v>
          </cell>
          <cell r="AK30" t="str">
            <v>Bear 6187.98</v>
          </cell>
          <cell r="AL30" t="str">
            <v>Target  22.00</v>
          </cell>
          <cell r="AM30" t="str">
            <v>Bull 6152.67</v>
          </cell>
          <cell r="AN30" t="str">
            <v>Current
14.15</v>
          </cell>
          <cell r="AP30" t="str">
            <v/>
          </cell>
        </row>
        <row r="32">
          <cell r="E32" t="str">
            <v/>
          </cell>
          <cell r="AD32" t="str">
            <v>Global Expansion</v>
          </cell>
          <cell r="AE32">
            <v>0</v>
          </cell>
          <cell r="AF32">
            <v>6170.7696480537052</v>
          </cell>
          <cell r="AH32">
            <v>0</v>
          </cell>
          <cell r="AI32">
            <v>6125.839446330172</v>
          </cell>
          <cell r="AJ32">
            <v>613.06740333953474</v>
          </cell>
          <cell r="AK32">
            <v>6165.9792177678301</v>
          </cell>
          <cell r="AL32">
            <v>0</v>
          </cell>
          <cell r="AM32">
            <v>6130.6740333953476</v>
          </cell>
          <cell r="AN32">
            <v>-7.85</v>
          </cell>
          <cell r="AP32">
            <v>0</v>
          </cell>
        </row>
        <row r="33">
          <cell r="D33" t="str">
            <v>other currency</v>
          </cell>
          <cell r="AD33" t="str">
            <v>Margin Strength</v>
          </cell>
          <cell r="AE33">
            <v>6170.7696480537052</v>
          </cell>
          <cell r="AF33">
            <v>0.14956971412449871</v>
          </cell>
          <cell r="AH33">
            <v>6125.839446330172</v>
          </cell>
          <cell r="AI33">
            <v>-0.10541293482405914</v>
          </cell>
          <cell r="AJ33">
            <v>613.06740333953474</v>
          </cell>
          <cell r="AK33">
            <v>6165.9792177678301</v>
          </cell>
          <cell r="AL33">
            <v>0</v>
          </cell>
          <cell r="AM33">
            <v>6130.6740333953476</v>
          </cell>
          <cell r="AN33">
            <v>-7.85</v>
          </cell>
        </row>
        <row r="34">
          <cell r="AD34" t="str">
            <v>Multiple</v>
          </cell>
          <cell r="AE34">
            <v>6170.9192177678297</v>
          </cell>
          <cell r="AF34">
            <v>-4.9399999999999977</v>
          </cell>
          <cell r="AH34">
            <v>6125.734033395348</v>
          </cell>
          <cell r="AI34">
            <v>4.9400000000000013</v>
          </cell>
          <cell r="AJ34">
            <v>613.06740333953474</v>
          </cell>
          <cell r="AK34">
            <v>6165.9792177678301</v>
          </cell>
          <cell r="AL34">
            <v>0</v>
          </cell>
          <cell r="AM34">
            <v>6130.6740333953476</v>
          </cell>
          <cell r="AN34">
            <v>-7.85</v>
          </cell>
        </row>
        <row r="35">
          <cell r="AD35" t="str">
            <v/>
          </cell>
          <cell r="AE35">
            <v>6165.9792177678301</v>
          </cell>
          <cell r="AF35" t="str">
            <v/>
          </cell>
          <cell r="AH35">
            <v>6130.6740333953476</v>
          </cell>
          <cell r="AI35">
            <v>0</v>
          </cell>
          <cell r="AJ35" t="str">
            <v/>
          </cell>
          <cell r="AK35">
            <v>6165.9792177678301</v>
          </cell>
          <cell r="AL35">
            <v>0</v>
          </cell>
          <cell r="AM35">
            <v>6130.6740333953476</v>
          </cell>
          <cell r="AN35">
            <v>-7.85</v>
          </cell>
        </row>
        <row r="36">
          <cell r="AD36" t="str">
            <v/>
          </cell>
          <cell r="AE36">
            <v>6165.9792177678301</v>
          </cell>
          <cell r="AF36" t="str">
            <v/>
          </cell>
          <cell r="AH36">
            <v>6130.6740333953476</v>
          </cell>
          <cell r="AI36">
            <v>0</v>
          </cell>
          <cell r="AJ36" t="str">
            <v/>
          </cell>
          <cell r="AK36">
            <v>6165.9792177678301</v>
          </cell>
          <cell r="AL36">
            <v>0</v>
          </cell>
          <cell r="AM36">
            <v>6130.6740333953476</v>
          </cell>
          <cell r="AN36">
            <v>-7.85</v>
          </cell>
        </row>
        <row r="37">
          <cell r="AD37" t="str">
            <v/>
          </cell>
          <cell r="AE37">
            <v>6165.9792177678301</v>
          </cell>
          <cell r="AF37" t="str">
            <v/>
          </cell>
          <cell r="AH37">
            <v>6130.6740333953476</v>
          </cell>
          <cell r="AI37">
            <v>0</v>
          </cell>
          <cell r="AJ37" t="str">
            <v/>
          </cell>
          <cell r="AK37">
            <v>6165.9792177678301</v>
          </cell>
          <cell r="AL37">
            <v>0</v>
          </cell>
          <cell r="AM37">
            <v>6130.6740333953476</v>
          </cell>
          <cell r="AN37">
            <v>-7.85</v>
          </cell>
        </row>
        <row r="38">
          <cell r="H38" t="str">
            <v>click here for link to SmartChart FAQ</v>
          </cell>
          <cell r="AK38">
            <v>6165.9792177678301</v>
          </cell>
          <cell r="AL38">
            <v>0</v>
          </cell>
          <cell r="AM38">
            <v>6130.6740333953476</v>
          </cell>
          <cell r="AN38">
            <v>-7.85</v>
          </cell>
        </row>
        <row r="39">
          <cell r="AK39">
            <v>6165.9792177678301</v>
          </cell>
          <cell r="AL39">
            <v>0</v>
          </cell>
          <cell r="AM39">
            <v>6130.6740333953476</v>
          </cell>
          <cell r="AN39">
            <v>-7.85</v>
          </cell>
        </row>
        <row r="40">
          <cell r="G40" t="str">
            <v>Do not change the width of the exhibit or font sizes (they are optimized for export to Word).</v>
          </cell>
        </row>
        <row r="41">
          <cell r="AC41">
            <v>1</v>
          </cell>
          <cell r="AD41" t="str">
            <v>U.S. Dollars</v>
          </cell>
          <cell r="AE41">
            <v>1</v>
          </cell>
          <cell r="AG41" t="str">
            <v>All values are in U.S. Dollars</v>
          </cell>
        </row>
        <row r="42">
          <cell r="G42" t="str">
            <v>Do not delete any rows or columns (some gray cells are used for calculations).</v>
          </cell>
          <cell r="AC42">
            <v>2</v>
          </cell>
          <cell r="AD42" t="str">
            <v>Euros</v>
          </cell>
        </row>
        <row r="43">
          <cell r="AC43">
            <v>3</v>
          </cell>
          <cell r="AD43" t="str">
            <v>Japanese Yen</v>
          </cell>
        </row>
        <row r="44">
          <cell r="G44" t="str">
            <v>You can move the worksheet into another workbook (please use MOVE; do not COPY)</v>
          </cell>
          <cell r="AC44">
            <v>4</v>
          </cell>
          <cell r="AD44" t="str">
            <v>Other (input below)</v>
          </cell>
        </row>
        <row r="46">
          <cell r="G46" t="str">
            <v>Color palette may be affected after moving the worksheet to another workbook. See instructions in FAQ on the intranet</v>
          </cell>
        </row>
        <row r="49">
          <cell r="L49" t="str">
            <v>Bear</v>
          </cell>
          <cell r="M49" t="str">
            <v>Base</v>
          </cell>
          <cell r="N49" t="str">
            <v>Bull</v>
          </cell>
          <cell r="AK49" t="str">
            <v>s</v>
          </cell>
        </row>
        <row r="50">
          <cell r="J50" t="str">
            <v>Revenues</v>
          </cell>
          <cell r="L50">
            <v>212.3175238670191</v>
          </cell>
          <cell r="M50">
            <v>2022.5584557033394</v>
          </cell>
          <cell r="N50">
            <v>225.49813096701911</v>
          </cell>
        </row>
        <row r="51">
          <cell r="J51" t="str">
            <v>Gross Margin</v>
          </cell>
          <cell r="L51">
            <v>-23.812190517260888</v>
          </cell>
          <cell r="M51">
            <v>-23.812726947840115</v>
          </cell>
          <cell r="N51">
            <v>-23.813105010484797</v>
          </cell>
        </row>
        <row r="52">
          <cell r="J52" t="str">
            <v>Gross Profit</v>
          </cell>
          <cell r="L52">
            <v>-5055.7453284745443</v>
          </cell>
          <cell r="M52">
            <v>-48162.632241708801</v>
          </cell>
          <cell r="N52">
            <v>-5369.8106723856799</v>
          </cell>
        </row>
        <row r="53">
          <cell r="J53" t="str">
            <v>Expense Ratio</v>
          </cell>
          <cell r="L53">
            <v>6.6772102905653528</v>
          </cell>
          <cell r="M53">
            <v>0.90403084684786683</v>
          </cell>
          <cell r="N53">
            <v>7.2977144793772037</v>
          </cell>
        </row>
        <row r="54">
          <cell r="J54" t="str">
            <v>Expenses</v>
          </cell>
          <cell r="L54">
            <v>1417.6887552322148</v>
          </cell>
          <cell r="M54">
            <v>1828.4552335088038</v>
          </cell>
          <cell r="N54">
            <v>1645.6209754305123</v>
          </cell>
        </row>
        <row r="55">
          <cell r="J55" t="str">
            <v>Operating Margin</v>
          </cell>
          <cell r="L55">
            <v>2</v>
          </cell>
          <cell r="M55">
            <v>2</v>
          </cell>
          <cell r="N55">
            <v>2</v>
          </cell>
        </row>
        <row r="56">
          <cell r="J56" t="str">
            <v>Operating Profit</v>
          </cell>
          <cell r="L56">
            <v>-6473.4340837067593</v>
          </cell>
          <cell r="M56">
            <v>-49991.087475217602</v>
          </cell>
          <cell r="N56">
            <v>-7015.4316478161927</v>
          </cell>
        </row>
        <row r="57">
          <cell r="J57" t="str">
            <v>Other Expenses</v>
          </cell>
          <cell r="L57">
            <v>21</v>
          </cell>
          <cell r="M57">
            <v>21</v>
          </cell>
          <cell r="N57">
            <v>21</v>
          </cell>
        </row>
        <row r="58">
          <cell r="J58" t="str">
            <v>PBT</v>
          </cell>
          <cell r="L58">
            <v>-6494.4340837067593</v>
          </cell>
          <cell r="M58">
            <v>-50012.087475217602</v>
          </cell>
          <cell r="N58">
            <v>-7036.4316478161927</v>
          </cell>
        </row>
        <row r="59">
          <cell r="J59" t="str">
            <v>Taxes</v>
          </cell>
          <cell r="L59">
            <v>-1883.3858842749623</v>
          </cell>
          <cell r="M59">
            <v>-14503.505367813121</v>
          </cell>
          <cell r="N59">
            <v>-2040.5651778666981</v>
          </cell>
        </row>
        <row r="60">
          <cell r="J60" t="str">
            <v>Net Income</v>
          </cell>
          <cell r="L60">
            <v>-4611.048199431797</v>
          </cell>
          <cell r="M60">
            <v>-35508.58210740448</v>
          </cell>
          <cell r="N60">
            <v>-4995.8664699494948</v>
          </cell>
        </row>
        <row r="61">
          <cell r="J61" t="str">
            <v>EPS</v>
          </cell>
          <cell r="L61">
            <v>1.87</v>
          </cell>
          <cell r="M61">
            <v>2.4700000000000002</v>
          </cell>
          <cell r="N61">
            <v>2.74</v>
          </cell>
        </row>
        <row r="62">
          <cell r="L62">
            <v>-101.34818620303524</v>
          </cell>
          <cell r="M62">
            <v>-768.52777903632079</v>
          </cell>
          <cell r="N62">
            <v>-110.52020819742835</v>
          </cell>
        </row>
        <row r="63">
          <cell r="J63" t="str">
            <v>Tax Rate</v>
          </cell>
          <cell r="L63">
            <v>0.29000000000000031</v>
          </cell>
          <cell r="M63">
            <v>0.29000000000000031</v>
          </cell>
          <cell r="N63">
            <v>0.29000000000000031</v>
          </cell>
        </row>
        <row r="64">
          <cell r="J64" t="str">
            <v>Shares</v>
          </cell>
          <cell r="L64">
            <v>46.352354977810265</v>
          </cell>
          <cell r="M64">
            <v>46.352354977810265</v>
          </cell>
          <cell r="N64">
            <v>46.352354977810265</v>
          </cell>
        </row>
        <row r="66">
          <cell r="J66" t="str">
            <v>Revenues</v>
          </cell>
          <cell r="L66">
            <v>685.6410720059672</v>
          </cell>
          <cell r="M66">
            <v>0</v>
          </cell>
          <cell r="N66">
            <v>680.64882737001915</v>
          </cell>
        </row>
        <row r="67">
          <cell r="J67" t="str">
            <v>Gross Margin</v>
          </cell>
          <cell r="L67">
            <v>1.6618857124944302E-2</v>
          </cell>
          <cell r="M67">
            <v>0</v>
          </cell>
          <cell r="N67">
            <v>-1.1712548313784349E-2</v>
          </cell>
        </row>
        <row r="68">
          <cell r="J68" t="str">
            <v>Expenses</v>
          </cell>
          <cell r="L68">
            <v>-178.85565820979414</v>
          </cell>
          <cell r="M68">
            <v>0</v>
          </cell>
          <cell r="N68">
            <v>-198.0791530264415</v>
          </cell>
        </row>
        <row r="69">
          <cell r="J69" t="str">
            <v>Operating Profit</v>
          </cell>
          <cell r="L69">
            <v>506.80203265329806</v>
          </cell>
          <cell r="M69">
            <v>0</v>
          </cell>
          <cell r="N69">
            <v>482.55796179526385</v>
          </cell>
        </row>
        <row r="70">
          <cell r="J70" t="str">
            <v>Other</v>
          </cell>
          <cell r="L70">
            <v>-507.40203265329808</v>
          </cell>
          <cell r="M70">
            <v>0</v>
          </cell>
          <cell r="N70">
            <v>-482.28796179526387</v>
          </cell>
        </row>
        <row r="71">
          <cell r="J71" t="str">
            <v>TOTAL</v>
          </cell>
          <cell r="L71">
            <v>-0.60000000000002274</v>
          </cell>
          <cell r="M71">
            <v>0</v>
          </cell>
          <cell r="N71">
            <v>0.26999999999998181</v>
          </cell>
        </row>
        <row r="72">
          <cell r="L72">
            <v>-0.60000000000000009</v>
          </cell>
          <cell r="N72">
            <v>0.27</v>
          </cell>
        </row>
        <row r="74">
          <cell r="J74" t="str">
            <v>Multiple</v>
          </cell>
          <cell r="L74">
            <v>7</v>
          </cell>
          <cell r="M74">
            <v>9</v>
          </cell>
          <cell r="N74">
            <v>11</v>
          </cell>
        </row>
        <row r="75">
          <cell r="J75" t="str">
            <v>Target</v>
          </cell>
          <cell r="L75">
            <v>13.3143286066726</v>
          </cell>
          <cell r="M75">
            <v>22</v>
          </cell>
          <cell r="N75">
            <v>30.153107432493702</v>
          </cell>
        </row>
        <row r="77">
          <cell r="J77" t="str">
            <v>Drivers</v>
          </cell>
        </row>
        <row r="78">
          <cell r="J78" t="str">
            <v>Revenues</v>
          </cell>
          <cell r="L78">
            <v>6170.7696480537052</v>
          </cell>
          <cell r="N78">
            <v>6125.839446330172</v>
          </cell>
        </row>
        <row r="79">
          <cell r="J79" t="str">
            <v>Gross Margin</v>
          </cell>
          <cell r="L79">
            <v>0.14956971412449871</v>
          </cell>
          <cell r="N79">
            <v>-0.10541293482405914</v>
          </cell>
        </row>
        <row r="80">
          <cell r="J80" t="str">
            <v>Expenses</v>
          </cell>
          <cell r="L80">
            <v>-1609.7009238881474</v>
          </cell>
          <cell r="N80">
            <v>-1782.7123772379734</v>
          </cell>
        </row>
        <row r="81">
          <cell r="J81" t="str">
            <v>Operating Profit</v>
          </cell>
          <cell r="L81">
            <v>4561.2182938796823</v>
          </cell>
          <cell r="N81">
            <v>4343.0216561573743</v>
          </cell>
        </row>
        <row r="82">
          <cell r="J82" t="str">
            <v>Other</v>
          </cell>
          <cell r="L82">
            <v>-4566.6182938796828</v>
          </cell>
          <cell r="N82">
            <v>-4340.5916561573749</v>
          </cell>
        </row>
        <row r="83">
          <cell r="J83" t="str">
            <v>TOTAL</v>
          </cell>
          <cell r="L83">
            <v>-5.4000000000005457</v>
          </cell>
          <cell r="N83">
            <v>2.4299999999993815</v>
          </cell>
        </row>
        <row r="84">
          <cell r="J84" t="str">
            <v>Multiple</v>
          </cell>
          <cell r="L84">
            <v>-4.9399999999999977</v>
          </cell>
          <cell r="N84">
            <v>4.9400000000000013</v>
          </cell>
        </row>
        <row r="85">
          <cell r="J85" t="str">
            <v>TOTAL</v>
          </cell>
          <cell r="L85">
            <v>-10.340000000000543</v>
          </cell>
          <cell r="N85">
            <v>7.3699999999993828</v>
          </cell>
        </row>
        <row r="86">
          <cell r="J86" t="str">
            <v>Check</v>
          </cell>
          <cell r="L86">
            <v>-8.6856713933274001</v>
          </cell>
          <cell r="N86">
            <v>8.1531074324937016</v>
          </cell>
        </row>
      </sheetData>
      <sheetData sheetId="10"/>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000"/>
      <sheetName val="traffic"/>
      <sheetName val="SGA core info"/>
      <sheetName val="Sensitivity 2"/>
      <sheetName val="Sensitivity 2 summary table"/>
      <sheetName val="2 year comp"/>
      <sheetName val="Sensitivity 1 scrap "/>
      <sheetName val="Overlaps Summary"/>
      <sheetName val="Merchandise margins at Gap"/>
      <sheetName val="operating margins at Gap"/>
    </sheetNames>
    <sheetDataSet>
      <sheetData sheetId="0">
        <row r="1">
          <cell r="N1" t="str">
            <v>SmartCharts</v>
          </cell>
          <cell r="AW1" t="str">
            <v>.</v>
          </cell>
        </row>
        <row r="2">
          <cell r="AW2" t="str">
            <v>.</v>
          </cell>
        </row>
        <row r="3">
          <cell r="AW3" t="str">
            <v>.</v>
          </cell>
        </row>
        <row r="4">
          <cell r="AW4" t="str">
            <v>.</v>
          </cell>
        </row>
        <row r="5">
          <cell r="C5" t="str">
            <v>Define value axis here:</v>
          </cell>
        </row>
        <row r="6">
          <cell r="C6" t="str">
            <v>Gap, Inc. SG&amp;A per Sqaure Foot</v>
          </cell>
        </row>
        <row r="10">
          <cell r="C10" t="str">
            <v>Input your data here:</v>
          </cell>
          <cell r="AW10" t="str">
            <v>.</v>
          </cell>
        </row>
        <row r="11">
          <cell r="C11" t="str">
            <v>Q104</v>
          </cell>
          <cell r="D11">
            <v>113.55540448674371</v>
          </cell>
        </row>
        <row r="12">
          <cell r="C12" t="str">
            <v>Q204</v>
          </cell>
          <cell r="D12">
            <v>116.44808743169398</v>
          </cell>
          <cell r="AW12" t="str">
            <v>.</v>
          </cell>
        </row>
        <row r="13">
          <cell r="C13" t="str">
            <v>Q304</v>
          </cell>
          <cell r="D13">
            <v>117.67918088737201</v>
          </cell>
          <cell r="AW13" t="str">
            <v>.</v>
          </cell>
        </row>
        <row r="14">
          <cell r="C14" t="str">
            <v>Q404</v>
          </cell>
          <cell r="D14">
            <v>117.21691678035471</v>
          </cell>
          <cell r="AW14" t="str">
            <v>.</v>
          </cell>
        </row>
        <row r="15">
          <cell r="C15" t="str">
            <v>Q105</v>
          </cell>
          <cell r="D15">
            <v>117.46766507828454</v>
          </cell>
          <cell r="AW15" t="str">
            <v>.</v>
          </cell>
        </row>
        <row r="16">
          <cell r="C16" t="str">
            <v>Q205</v>
          </cell>
          <cell r="D16">
            <v>116.88346883468836</v>
          </cell>
          <cell r="AW16" t="str">
            <v>.</v>
          </cell>
        </row>
        <row r="17">
          <cell r="C17" t="str">
            <v>Q305</v>
          </cell>
          <cell r="D17">
            <v>113.89784946236558</v>
          </cell>
          <cell r="AW17" t="str">
            <v>.</v>
          </cell>
        </row>
        <row r="18">
          <cell r="C18" t="str">
            <v>Q405</v>
          </cell>
          <cell r="D18">
            <v>111.6</v>
          </cell>
          <cell r="AW18" t="str">
            <v>.</v>
          </cell>
        </row>
        <row r="19">
          <cell r="C19" t="str">
            <v>Q106</v>
          </cell>
          <cell r="D19">
            <v>110.34391534391536</v>
          </cell>
          <cell r="AW19" t="str">
            <v>.</v>
          </cell>
        </row>
        <row r="20">
          <cell r="C20" t="str">
            <v>Q206</v>
          </cell>
          <cell r="D20">
            <v>111.0761154855643</v>
          </cell>
          <cell r="AW20" t="str">
            <v>.</v>
          </cell>
        </row>
        <row r="21">
          <cell r="C21" t="str">
            <v>Q306</v>
          </cell>
          <cell r="D21">
            <v>114.17374265186153</v>
          </cell>
          <cell r="AW21" t="str">
            <v>.</v>
          </cell>
        </row>
        <row r="22">
          <cell r="C22" t="str">
            <v>Q406</v>
          </cell>
          <cell r="D22">
            <v>116.05962410887879</v>
          </cell>
          <cell r="AW22" t="str">
            <v>.</v>
          </cell>
        </row>
        <row r="23">
          <cell r="C23" t="str">
            <v>Q107</v>
          </cell>
          <cell r="D23">
            <v>116.37709137709138</v>
          </cell>
          <cell r="AW23" t="str">
            <v>.</v>
          </cell>
        </row>
        <row r="24">
          <cell r="C24" t="str">
            <v>Q207</v>
          </cell>
          <cell r="D24">
            <v>114.25463851567497</v>
          </cell>
          <cell r="AW24" t="str">
            <v>.</v>
          </cell>
        </row>
        <row r="25">
          <cell r="C25" t="str">
            <v>Q307</v>
          </cell>
          <cell r="D25">
            <v>111.47040101845958</v>
          </cell>
          <cell r="AW25" t="str">
            <v>.</v>
          </cell>
        </row>
        <row r="26">
          <cell r="C26" t="str">
            <v>Q407</v>
          </cell>
          <cell r="D26">
            <v>110.20925808497147</v>
          </cell>
          <cell r="AW26" t="str">
            <v>.</v>
          </cell>
        </row>
        <row r="27">
          <cell r="C27" t="str">
            <v>Q108</v>
          </cell>
          <cell r="D27">
            <v>107.58686039166139</v>
          </cell>
          <cell r="AW27" t="str">
            <v>.</v>
          </cell>
        </row>
        <row r="28">
          <cell r="C28" t="str">
            <v>Q208</v>
          </cell>
          <cell r="D28">
            <v>105.94833018273472</v>
          </cell>
          <cell r="AW28" t="str">
            <v>.</v>
          </cell>
        </row>
        <row r="29">
          <cell r="C29" t="str">
            <v>Q308</v>
          </cell>
          <cell r="D29">
            <v>103.60201511335012</v>
          </cell>
          <cell r="AW29" t="str">
            <v>.</v>
          </cell>
        </row>
        <row r="30">
          <cell r="C30" t="str">
            <v>Q408</v>
          </cell>
          <cell r="D30">
            <v>98.273471959672349</v>
          </cell>
          <cell r="AW30" t="str">
            <v>.</v>
          </cell>
        </row>
        <row r="31">
          <cell r="C31" t="str">
            <v>Q109</v>
          </cell>
          <cell r="D31">
            <v>96.616161616161619</v>
          </cell>
          <cell r="AW31" t="str">
            <v>.</v>
          </cell>
        </row>
        <row r="32">
          <cell r="C32" t="str">
            <v>Q209</v>
          </cell>
          <cell r="D32">
            <v>95.423514538558791</v>
          </cell>
          <cell r="AW32" t="str">
            <v>.</v>
          </cell>
        </row>
        <row r="33">
          <cell r="C33" t="str">
            <v>Q309E</v>
          </cell>
          <cell r="D33">
            <v>96.496514758303874</v>
          </cell>
          <cell r="AW33" t="str">
            <v>.</v>
          </cell>
        </row>
        <row r="34">
          <cell r="C34" t="str">
            <v>Q409E</v>
          </cell>
          <cell r="D34">
            <v>98.614359976164863</v>
          </cell>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1"/>
      <sheetData sheetId="2"/>
      <sheetData sheetId="3"/>
      <sheetData sheetId="4"/>
      <sheetData sheetId="5"/>
      <sheetData sheetId="6"/>
      <sheetData sheetId="7"/>
      <sheetData sheetId="8"/>
      <sheetData sheetId="9"/>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Cache"/>
      <sheetName val="MS vs Street"/>
      <sheetName val="Quarterly Data -ModelLinked"/>
      <sheetName val="Summary Cheat Sheet"/>
      <sheetName val="Coverage Universe Comp"/>
      <sheetName val="EBITDA"/>
      <sheetName val="__FDSCACHE__"/>
      <sheetName val="MS vs Consensus Estimates"/>
      <sheetName val="Revenue Growth"/>
      <sheetName val="Operating Margin"/>
      <sheetName val="EPS"/>
      <sheetName val="EPS Growth"/>
      <sheetName val="Relative Risk Reward Chart"/>
      <sheetName val="Earnings Snapshot"/>
      <sheetName val="For 2010 report - Q data"/>
      <sheetName val="For 2010 Report - misc calc"/>
      <sheetName val="GPS Report"/>
      <sheetName val="CHSG&amp;A Growth less Sales Growth"/>
    </sheetNames>
    <sheetDataSet>
      <sheetData sheetId="0"/>
      <sheetData sheetId="1"/>
      <sheetData sheetId="2"/>
      <sheetData sheetId="3"/>
      <sheetData sheetId="4">
        <row r="1">
          <cell r="C1" t="str">
            <v>KSS.N</v>
          </cell>
          <cell r="D1" t="str">
            <v>JCP.N</v>
          </cell>
          <cell r="E1" t="str">
            <v>M.N</v>
          </cell>
          <cell r="F1" t="str">
            <v>JWN.N</v>
          </cell>
          <cell r="G1" t="str">
            <v>SKS.N</v>
          </cell>
          <cell r="H1" t="str">
            <v>ROST.O</v>
          </cell>
          <cell r="I1" t="str">
            <v>TJX.N</v>
          </cell>
          <cell r="M1" t="str">
            <v>ANF.N</v>
          </cell>
          <cell r="N1" t="str">
            <v>ARO.N</v>
          </cell>
          <cell r="O1" t="str">
            <v>AEO.N</v>
          </cell>
          <cell r="P1" t="str">
            <v>COH.N</v>
          </cell>
          <cell r="Q1" t="str">
            <v>GPS.N</v>
          </cell>
          <cell r="R1" t="str">
            <v>LTD.N</v>
          </cell>
          <cell r="S1" t="str">
            <v>URBN.O</v>
          </cell>
        </row>
        <row r="2">
          <cell r="C2" t="str">
            <v>Base Case - Dept Stores</v>
          </cell>
          <cell r="M2" t="str">
            <v>Base Case - Specialty</v>
          </cell>
        </row>
        <row r="3">
          <cell r="B3">
            <v>40284</v>
          </cell>
          <cell r="C3" t="str">
            <v>KSS</v>
          </cell>
          <cell r="D3" t="str">
            <v>JCP</v>
          </cell>
          <cell r="E3" t="str">
            <v>M</v>
          </cell>
          <cell r="F3" t="str">
            <v>JWN</v>
          </cell>
          <cell r="G3" t="str">
            <v>SKS</v>
          </cell>
          <cell r="H3" t="str">
            <v>ROST</v>
          </cell>
          <cell r="I3" t="str">
            <v>TJX</v>
          </cell>
          <cell r="J3" t="str">
            <v>Average</v>
          </cell>
          <cell r="K3" t="str">
            <v>Total</v>
          </cell>
          <cell r="M3" t="str">
            <v>ANF</v>
          </cell>
          <cell r="N3" t="str">
            <v>ARO</v>
          </cell>
          <cell r="O3" t="str">
            <v>AEO</v>
          </cell>
          <cell r="P3" t="str">
            <v>COH</v>
          </cell>
          <cell r="Q3" t="str">
            <v>GPS</v>
          </cell>
          <cell r="R3" t="str">
            <v>LTD</v>
          </cell>
          <cell r="S3" t="str">
            <v>URBN</v>
          </cell>
          <cell r="T3" t="str">
            <v>Average</v>
          </cell>
          <cell r="U3" t="str">
            <v>Total</v>
          </cell>
        </row>
        <row r="4">
          <cell r="B4" t="str">
            <v>Current Price</v>
          </cell>
          <cell r="C4" t="str">
            <v>#Calc</v>
          </cell>
          <cell r="D4" t="str">
            <v>#Calc</v>
          </cell>
          <cell r="E4" t="str">
            <v>#Calc</v>
          </cell>
          <cell r="F4" t="str">
            <v>#Calc</v>
          </cell>
          <cell r="G4" t="str">
            <v>#Calc</v>
          </cell>
          <cell r="H4" t="str">
            <v>#Calc</v>
          </cell>
          <cell r="I4" t="str">
            <v>#Calc</v>
          </cell>
          <cell r="M4" t="str">
            <v>#Calc</v>
          </cell>
          <cell r="N4" t="str">
            <v>#Calc</v>
          </cell>
          <cell r="O4" t="str">
            <v>#Calc</v>
          </cell>
          <cell r="P4" t="str">
            <v>#Calc</v>
          </cell>
          <cell r="Q4" t="str">
            <v>#Calc</v>
          </cell>
          <cell r="R4" t="str">
            <v>#Calc</v>
          </cell>
          <cell r="S4" t="str">
            <v>#Calc</v>
          </cell>
        </row>
        <row r="5">
          <cell r="B5" t="str">
            <v>Market Cap ($M)</v>
          </cell>
          <cell r="C5" t="e">
            <v>#VALUE!</v>
          </cell>
          <cell r="D5" t="e">
            <v>#VALUE!</v>
          </cell>
          <cell r="E5" t="e">
            <v>#VALUE!</v>
          </cell>
          <cell r="F5" t="e">
            <v>#VALUE!</v>
          </cell>
          <cell r="G5" t="e">
            <v>#VALUE!</v>
          </cell>
          <cell r="H5" t="e">
            <v>#VALUE!</v>
          </cell>
          <cell r="I5" t="e">
            <v>#VALUE!</v>
          </cell>
          <cell r="J5" t="e">
            <v>#VALUE!</v>
          </cell>
          <cell r="K5" t="e">
            <v>#VALUE!</v>
          </cell>
          <cell r="M5" t="e">
            <v>#VALUE!</v>
          </cell>
          <cell r="N5" t="e">
            <v>#VALUE!</v>
          </cell>
          <cell r="O5" t="e">
            <v>#VALUE!</v>
          </cell>
          <cell r="P5" t="e">
            <v>#VALUE!</v>
          </cell>
          <cell r="Q5" t="e">
            <v>#VALUE!</v>
          </cell>
          <cell r="R5" t="e">
            <v>#VALUE!</v>
          </cell>
          <cell r="S5" t="e">
            <v>#VALUE!</v>
          </cell>
          <cell r="T5" t="e">
            <v>#VALUE!</v>
          </cell>
          <cell r="U5" t="e">
            <v>#VALUE!</v>
          </cell>
        </row>
        <row r="6">
          <cell r="B6" t="str">
            <v>Shares Outstanding (Last Reported)</v>
          </cell>
          <cell r="C6">
            <v>307</v>
          </cell>
          <cell r="D6">
            <v>232.85</v>
          </cell>
          <cell r="E6">
            <v>422.35</v>
          </cell>
          <cell r="F6">
            <v>219.65</v>
          </cell>
          <cell r="G6">
            <v>146.84450000000001</v>
          </cell>
          <cell r="H6">
            <v>125.05625000000001</v>
          </cell>
          <cell r="I6">
            <v>427.38150000000002</v>
          </cell>
          <cell r="M6">
            <v>88.354749999999996</v>
          </cell>
          <cell r="N6">
            <v>101.02475</v>
          </cell>
          <cell r="O6">
            <v>209.096</v>
          </cell>
          <cell r="P6">
            <v>321.38099999999997</v>
          </cell>
          <cell r="Q6">
            <v>698.5</v>
          </cell>
          <cell r="R6">
            <v>326.76499999999999</v>
          </cell>
          <cell r="S6">
            <v>171.22537274999999</v>
          </cell>
        </row>
        <row r="7">
          <cell r="B7" t="str">
            <v>EV ($M)</v>
          </cell>
          <cell r="C7" t="e">
            <v>#VALUE!</v>
          </cell>
          <cell r="D7" t="e">
            <v>#VALUE!</v>
          </cell>
          <cell r="E7" t="e">
            <v>#VALUE!</v>
          </cell>
          <cell r="F7" t="e">
            <v>#VALUE!</v>
          </cell>
          <cell r="G7" t="e">
            <v>#VALUE!</v>
          </cell>
          <cell r="H7" t="e">
            <v>#VALUE!</v>
          </cell>
          <cell r="I7" t="e">
            <v>#VALUE!</v>
          </cell>
          <cell r="J7" t="e">
            <v>#VALUE!</v>
          </cell>
          <cell r="K7" t="e">
            <v>#VALUE!</v>
          </cell>
          <cell r="M7" t="e">
            <v>#VALUE!</v>
          </cell>
          <cell r="N7" t="e">
            <v>#VALUE!</v>
          </cell>
          <cell r="O7" t="e">
            <v>#VALUE!</v>
          </cell>
          <cell r="P7" t="e">
            <v>#VALUE!</v>
          </cell>
          <cell r="Q7" t="e">
            <v>#VALUE!</v>
          </cell>
          <cell r="R7" t="e">
            <v>#VALUE!</v>
          </cell>
          <cell r="S7" t="e">
            <v>#VALUE!</v>
          </cell>
          <cell r="T7" t="e">
            <v>#VALUE!</v>
          </cell>
          <cell r="U7" t="e">
            <v>#VALUE!</v>
          </cell>
        </row>
        <row r="9">
          <cell r="B9" t="str">
            <v>P/E (CY2010)</v>
          </cell>
          <cell r="C9" t="e">
            <v>#VALUE!</v>
          </cell>
          <cell r="D9" t="e">
            <v>#VALUE!</v>
          </cell>
          <cell r="E9" t="e">
            <v>#VALUE!</v>
          </cell>
          <cell r="F9" t="e">
            <v>#VALUE!</v>
          </cell>
          <cell r="G9" t="e">
            <v>#VALUE!</v>
          </cell>
          <cell r="H9" t="e">
            <v>#VALUE!</v>
          </cell>
          <cell r="I9" t="e">
            <v>#VALUE!</v>
          </cell>
          <cell r="J9" t="e">
            <v>#VALUE!</v>
          </cell>
          <cell r="M9" t="e">
            <v>#VALUE!</v>
          </cell>
          <cell r="N9" t="e">
            <v>#VALUE!</v>
          </cell>
          <cell r="O9" t="e">
            <v>#VALUE!</v>
          </cell>
          <cell r="P9" t="e">
            <v>#VALUE!</v>
          </cell>
          <cell r="Q9" t="e">
            <v>#VALUE!</v>
          </cell>
          <cell r="R9" t="e">
            <v>#VALUE!</v>
          </cell>
          <cell r="S9" t="e">
            <v>#VALUE!</v>
          </cell>
          <cell r="T9" t="e">
            <v>#VALUE!</v>
          </cell>
        </row>
        <row r="10">
          <cell r="B10" t="str">
            <v>EV/EBITDA (CY2009)</v>
          </cell>
          <cell r="C10" t="e">
            <v>#VALUE!</v>
          </cell>
          <cell r="D10" t="e">
            <v>#VALUE!</v>
          </cell>
          <cell r="E10" t="e">
            <v>#VALUE!</v>
          </cell>
          <cell r="F10" t="e">
            <v>#VALUE!</v>
          </cell>
          <cell r="G10" t="e">
            <v>#VALUE!</v>
          </cell>
          <cell r="H10" t="e">
            <v>#VALUE!</v>
          </cell>
          <cell r="I10" t="e">
            <v>#VALUE!</v>
          </cell>
          <cell r="J10" t="e">
            <v>#VALUE!</v>
          </cell>
          <cell r="M10" t="e">
            <v>#VALUE!</v>
          </cell>
          <cell r="N10" t="e">
            <v>#VALUE!</v>
          </cell>
          <cell r="O10" t="e">
            <v>#VALUE!</v>
          </cell>
          <cell r="P10" t="e">
            <v>#VALUE!</v>
          </cell>
          <cell r="Q10" t="e">
            <v>#VALUE!</v>
          </cell>
          <cell r="R10" t="e">
            <v>#VALUE!</v>
          </cell>
          <cell r="S10" t="e">
            <v>#VALUE!</v>
          </cell>
          <cell r="T10" t="e">
            <v>#VALUE!</v>
          </cell>
        </row>
        <row r="11">
          <cell r="D11" t="str">
            <v xml:space="preserve"> </v>
          </cell>
        </row>
        <row r="12">
          <cell r="B12" t="str">
            <v>Targets</v>
          </cell>
        </row>
        <row r="13">
          <cell r="A13" t="str">
            <v>mscalc:targetPrice</v>
          </cell>
          <cell r="B13" t="str">
            <v>Price</v>
          </cell>
          <cell r="C13">
            <v>68</v>
          </cell>
          <cell r="D13">
            <v>24</v>
          </cell>
          <cell r="E13">
            <v>19</v>
          </cell>
          <cell r="F13" t="str">
            <v>NA</v>
          </cell>
          <cell r="G13" t="str">
            <v>NA</v>
          </cell>
          <cell r="H13" t="str">
            <v>NA</v>
          </cell>
          <cell r="I13" t="str">
            <v>NA</v>
          </cell>
          <cell r="M13" t="str">
            <v>NA</v>
          </cell>
          <cell r="N13" t="str">
            <v>NA</v>
          </cell>
          <cell r="O13" t="str">
            <v>NA</v>
          </cell>
          <cell r="P13">
            <v>42</v>
          </cell>
          <cell r="Q13">
            <v>16</v>
          </cell>
          <cell r="R13" t="str">
            <v>NA</v>
          </cell>
          <cell r="S13" t="str">
            <v>NA</v>
          </cell>
        </row>
        <row r="14">
          <cell r="A14" t="str">
            <v>mstag:met_12monthIntrinsicValueEstimate</v>
          </cell>
          <cell r="B14" t="str">
            <v>Upside/Downside</v>
          </cell>
          <cell r="C14" t="str">
            <v>NA</v>
          </cell>
          <cell r="D14" t="str">
            <v>NA</v>
          </cell>
          <cell r="E14" t="str">
            <v>NA</v>
          </cell>
          <cell r="F14" t="str">
            <v>NA</v>
          </cell>
          <cell r="G14" t="str">
            <v>NA</v>
          </cell>
          <cell r="H14" t="str">
            <v>NA</v>
          </cell>
          <cell r="I14" t="str">
            <v>NA</v>
          </cell>
          <cell r="J14" t="e">
            <v>#DIV/0!</v>
          </cell>
          <cell r="M14" t="str">
            <v>NA</v>
          </cell>
          <cell r="N14" t="str">
            <v>NA</v>
          </cell>
          <cell r="O14" t="str">
            <v>NA</v>
          </cell>
          <cell r="P14" t="str">
            <v>NA</v>
          </cell>
          <cell r="Q14" t="str">
            <v>NA</v>
          </cell>
          <cell r="R14" t="str">
            <v>NA</v>
          </cell>
          <cell r="S14" t="str">
            <v>NA</v>
          </cell>
          <cell r="T14" t="e">
            <v>#DIV/0!</v>
          </cell>
        </row>
        <row r="15">
          <cell r="B15" t="str">
            <v>P/E (FY2)</v>
          </cell>
          <cell r="C15">
            <v>14.870279459655178</v>
          </cell>
          <cell r="D15">
            <v>12.352957473773571</v>
          </cell>
          <cell r="E15">
            <v>9.1099989074795964</v>
          </cell>
          <cell r="F15" t="str">
            <v>NA</v>
          </cell>
          <cell r="G15" t="str">
            <v>NA</v>
          </cell>
          <cell r="H15" t="str">
            <v>NA</v>
          </cell>
          <cell r="I15" t="str">
            <v>NA</v>
          </cell>
          <cell r="J15">
            <v>12.111078613636115</v>
          </cell>
          <cell r="M15" t="str">
            <v>NA</v>
          </cell>
          <cell r="N15" t="str">
            <v>NA</v>
          </cell>
          <cell r="O15" t="str">
            <v>NA</v>
          </cell>
          <cell r="P15">
            <v>17.331798540137708</v>
          </cell>
          <cell r="Q15">
            <v>9.0673458792338248</v>
          </cell>
          <cell r="R15" t="str">
            <v>NA</v>
          </cell>
          <cell r="S15" t="str">
            <v>NA</v>
          </cell>
          <cell r="T15">
            <v>13.199572209685766</v>
          </cell>
        </row>
        <row r="16">
          <cell r="B16" t="str">
            <v>EV/EBITDA</v>
          </cell>
          <cell r="C16">
            <v>6.8730446650247607</v>
          </cell>
          <cell r="D16">
            <v>4.1445790823667163</v>
          </cell>
          <cell r="E16">
            <v>4.9543727752284275</v>
          </cell>
          <cell r="F16" t="str">
            <v>NA</v>
          </cell>
          <cell r="G16" t="str">
            <v>NA</v>
          </cell>
          <cell r="H16" t="str">
            <v>NA</v>
          </cell>
          <cell r="I16" t="str">
            <v>NA</v>
          </cell>
          <cell r="J16">
            <v>5.3239988408733012</v>
          </cell>
          <cell r="M16" t="str">
            <v>NA</v>
          </cell>
          <cell r="N16" t="str">
            <v>NA</v>
          </cell>
          <cell r="O16" t="str">
            <v>NA</v>
          </cell>
          <cell r="P16">
            <v>9.3913558314434322</v>
          </cell>
          <cell r="Q16">
            <v>3.6693619326464884</v>
          </cell>
          <cell r="R16" t="str">
            <v>NA</v>
          </cell>
          <cell r="S16" t="str">
            <v>NA</v>
          </cell>
          <cell r="T16">
            <v>6.5303588820449603</v>
          </cell>
        </row>
        <row r="18">
          <cell r="B18" t="str">
            <v>FY Reference</v>
          </cell>
        </row>
        <row r="19">
          <cell r="B19" t="str">
            <v>FY(10)</v>
          </cell>
          <cell r="C19">
            <v>1999</v>
          </cell>
          <cell r="D19">
            <v>1999</v>
          </cell>
          <cell r="E19">
            <v>1999</v>
          </cell>
          <cell r="F19">
            <v>1999</v>
          </cell>
          <cell r="G19">
            <v>1999</v>
          </cell>
          <cell r="H19">
            <v>1999</v>
          </cell>
          <cell r="I19">
            <v>2000</v>
          </cell>
          <cell r="M19">
            <v>1999</v>
          </cell>
          <cell r="N19">
            <v>1999</v>
          </cell>
          <cell r="O19">
            <v>1999</v>
          </cell>
          <cell r="P19">
            <v>1999</v>
          </cell>
          <cell r="Q19">
            <v>1999</v>
          </cell>
          <cell r="R19">
            <v>1999</v>
          </cell>
          <cell r="S19">
            <v>1999</v>
          </cell>
        </row>
        <row r="20">
          <cell r="B20" t="str">
            <v>FY(9)</v>
          </cell>
          <cell r="C20">
            <v>2000</v>
          </cell>
          <cell r="D20">
            <v>2000</v>
          </cell>
          <cell r="E20">
            <v>2000</v>
          </cell>
          <cell r="F20">
            <v>2000</v>
          </cell>
          <cell r="G20">
            <v>2000</v>
          </cell>
          <cell r="H20">
            <v>2000</v>
          </cell>
          <cell r="I20">
            <v>2001</v>
          </cell>
          <cell r="M20">
            <v>2000</v>
          </cell>
          <cell r="N20">
            <v>2000</v>
          </cell>
          <cell r="O20">
            <v>2000</v>
          </cell>
          <cell r="P20">
            <v>2000</v>
          </cell>
          <cell r="Q20">
            <v>2000</v>
          </cell>
          <cell r="R20">
            <v>2000</v>
          </cell>
          <cell r="S20">
            <v>2000</v>
          </cell>
        </row>
        <row r="21">
          <cell r="B21" t="str">
            <v>FY(8)</v>
          </cell>
          <cell r="C21">
            <v>2001</v>
          </cell>
          <cell r="D21">
            <v>2001</v>
          </cell>
          <cell r="E21">
            <v>2001</v>
          </cell>
          <cell r="F21">
            <v>2001</v>
          </cell>
          <cell r="G21">
            <v>2001</v>
          </cell>
          <cell r="H21">
            <v>2001</v>
          </cell>
          <cell r="I21">
            <v>2002</v>
          </cell>
          <cell r="M21">
            <v>2001</v>
          </cell>
          <cell r="N21">
            <v>2001</v>
          </cell>
          <cell r="O21">
            <v>2001</v>
          </cell>
          <cell r="P21">
            <v>2001</v>
          </cell>
          <cell r="Q21">
            <v>2001</v>
          </cell>
          <cell r="R21">
            <v>2001</v>
          </cell>
          <cell r="S21">
            <v>2001</v>
          </cell>
        </row>
        <row r="22">
          <cell r="B22" t="str">
            <v>FY(7)</v>
          </cell>
          <cell r="C22">
            <v>2002</v>
          </cell>
          <cell r="D22">
            <v>2002</v>
          </cell>
          <cell r="E22">
            <v>2002</v>
          </cell>
          <cell r="F22">
            <v>2002</v>
          </cell>
          <cell r="G22">
            <v>2002</v>
          </cell>
          <cell r="H22">
            <v>2002</v>
          </cell>
          <cell r="I22">
            <v>2003</v>
          </cell>
          <cell r="M22">
            <v>2002</v>
          </cell>
          <cell r="N22">
            <v>2002</v>
          </cell>
          <cell r="O22">
            <v>2002</v>
          </cell>
          <cell r="P22">
            <v>2002</v>
          </cell>
          <cell r="Q22">
            <v>2002</v>
          </cell>
          <cell r="R22">
            <v>2002</v>
          </cell>
          <cell r="S22">
            <v>2002</v>
          </cell>
        </row>
        <row r="23">
          <cell r="B23" t="str">
            <v>FY(6)</v>
          </cell>
          <cell r="C23">
            <v>2003</v>
          </cell>
          <cell r="D23">
            <v>2003</v>
          </cell>
          <cell r="E23">
            <v>2003</v>
          </cell>
          <cell r="F23">
            <v>2003</v>
          </cell>
          <cell r="G23">
            <v>2003</v>
          </cell>
          <cell r="H23">
            <v>2003</v>
          </cell>
          <cell r="I23">
            <v>2004</v>
          </cell>
          <cell r="M23">
            <v>2003</v>
          </cell>
          <cell r="N23">
            <v>2003</v>
          </cell>
          <cell r="O23">
            <v>2003</v>
          </cell>
          <cell r="P23">
            <v>2003</v>
          </cell>
          <cell r="Q23">
            <v>2003</v>
          </cell>
          <cell r="R23">
            <v>2003</v>
          </cell>
          <cell r="S23">
            <v>2003</v>
          </cell>
        </row>
        <row r="24">
          <cell r="B24" t="str">
            <v>FY(5)</v>
          </cell>
          <cell r="C24">
            <v>2004</v>
          </cell>
          <cell r="D24">
            <v>2004</v>
          </cell>
          <cell r="E24">
            <v>2004</v>
          </cell>
          <cell r="F24">
            <v>2004</v>
          </cell>
          <cell r="G24">
            <v>2004</v>
          </cell>
          <cell r="H24">
            <v>2004</v>
          </cell>
          <cell r="I24">
            <v>2005</v>
          </cell>
          <cell r="M24">
            <v>2004</v>
          </cell>
          <cell r="N24">
            <v>2004</v>
          </cell>
          <cell r="O24">
            <v>2004</v>
          </cell>
          <cell r="P24">
            <v>2004</v>
          </cell>
          <cell r="Q24">
            <v>2004</v>
          </cell>
          <cell r="R24">
            <v>2004</v>
          </cell>
          <cell r="S24">
            <v>2004</v>
          </cell>
        </row>
        <row r="25">
          <cell r="B25" t="str">
            <v>FY(4)</v>
          </cell>
          <cell r="C25">
            <v>2005</v>
          </cell>
          <cell r="D25">
            <v>2005</v>
          </cell>
          <cell r="E25">
            <v>2005</v>
          </cell>
          <cell r="F25">
            <v>2005</v>
          </cell>
          <cell r="G25">
            <v>2005</v>
          </cell>
          <cell r="H25">
            <v>2005</v>
          </cell>
          <cell r="I25">
            <v>2006</v>
          </cell>
          <cell r="M25">
            <v>2005</v>
          </cell>
          <cell r="N25">
            <v>2005</v>
          </cell>
          <cell r="O25">
            <v>2005</v>
          </cell>
          <cell r="P25">
            <v>2005</v>
          </cell>
          <cell r="Q25">
            <v>2005</v>
          </cell>
          <cell r="R25">
            <v>2005</v>
          </cell>
          <cell r="S25">
            <v>2005</v>
          </cell>
        </row>
        <row r="26">
          <cell r="B26" t="str">
            <v>FY(3)</v>
          </cell>
          <cell r="C26">
            <v>2006</v>
          </cell>
          <cell r="D26">
            <v>2006</v>
          </cell>
          <cell r="E26">
            <v>2006</v>
          </cell>
          <cell r="F26">
            <v>2006</v>
          </cell>
          <cell r="G26">
            <v>2006</v>
          </cell>
          <cell r="H26">
            <v>2006</v>
          </cell>
          <cell r="I26">
            <v>2007</v>
          </cell>
          <cell r="M26">
            <v>2006</v>
          </cell>
          <cell r="N26">
            <v>2006</v>
          </cell>
          <cell r="O26">
            <v>2006</v>
          </cell>
          <cell r="P26">
            <v>2006</v>
          </cell>
          <cell r="Q26">
            <v>2006</v>
          </cell>
          <cell r="R26">
            <v>2006</v>
          </cell>
          <cell r="S26">
            <v>2006</v>
          </cell>
        </row>
        <row r="27">
          <cell r="B27" t="str">
            <v>FY(2)</v>
          </cell>
          <cell r="C27">
            <v>2007</v>
          </cell>
          <cell r="D27">
            <v>2007</v>
          </cell>
          <cell r="E27">
            <v>2007</v>
          </cell>
          <cell r="F27">
            <v>2007</v>
          </cell>
          <cell r="G27">
            <v>2007</v>
          </cell>
          <cell r="H27">
            <v>2007</v>
          </cell>
          <cell r="I27">
            <v>2008</v>
          </cell>
          <cell r="M27">
            <v>2007</v>
          </cell>
          <cell r="N27">
            <v>2007</v>
          </cell>
          <cell r="O27">
            <v>2007</v>
          </cell>
          <cell r="P27">
            <v>2007</v>
          </cell>
          <cell r="Q27">
            <v>2007</v>
          </cell>
          <cell r="R27">
            <v>2007</v>
          </cell>
          <cell r="S27">
            <v>2007</v>
          </cell>
        </row>
        <row r="28">
          <cell r="B28" t="str">
            <v>FY(1)</v>
          </cell>
          <cell r="C28">
            <v>2008</v>
          </cell>
          <cell r="D28">
            <v>2008</v>
          </cell>
          <cell r="E28">
            <v>2008</v>
          </cell>
          <cell r="F28">
            <v>2008</v>
          </cell>
          <cell r="G28">
            <v>2008</v>
          </cell>
          <cell r="H28">
            <v>2008</v>
          </cell>
          <cell r="I28">
            <v>2009</v>
          </cell>
          <cell r="M28">
            <v>2008</v>
          </cell>
          <cell r="N28">
            <v>2008</v>
          </cell>
          <cell r="O28">
            <v>2008</v>
          </cell>
          <cell r="P28">
            <v>2008</v>
          </cell>
          <cell r="Q28">
            <v>2008</v>
          </cell>
          <cell r="R28">
            <v>2008</v>
          </cell>
          <cell r="S28">
            <v>2008</v>
          </cell>
        </row>
        <row r="29">
          <cell r="A29" t="str">
            <v>mscalc:lastActualYearCalc</v>
          </cell>
          <cell r="B29" t="str">
            <v>FY0</v>
          </cell>
          <cell r="C29">
            <v>2009</v>
          </cell>
          <cell r="D29">
            <v>2009</v>
          </cell>
          <cell r="E29">
            <v>2009</v>
          </cell>
          <cell r="F29">
            <v>2009</v>
          </cell>
          <cell r="G29">
            <v>2009</v>
          </cell>
          <cell r="H29">
            <v>2009</v>
          </cell>
          <cell r="I29">
            <v>2010</v>
          </cell>
          <cell r="M29">
            <v>2009</v>
          </cell>
          <cell r="N29">
            <v>2009</v>
          </cell>
          <cell r="O29">
            <v>2009</v>
          </cell>
          <cell r="P29">
            <v>2009</v>
          </cell>
          <cell r="Q29">
            <v>2009</v>
          </cell>
          <cell r="R29">
            <v>2009</v>
          </cell>
          <cell r="S29">
            <v>2009</v>
          </cell>
        </row>
        <row r="30">
          <cell r="B30" t="str">
            <v>FY1</v>
          </cell>
          <cell r="C30">
            <v>2010</v>
          </cell>
          <cell r="D30">
            <v>2010</v>
          </cell>
          <cell r="E30">
            <v>2010</v>
          </cell>
          <cell r="F30">
            <v>2010</v>
          </cell>
          <cell r="G30">
            <v>2010</v>
          </cell>
          <cell r="H30">
            <v>2010</v>
          </cell>
          <cell r="I30">
            <v>2011</v>
          </cell>
          <cell r="M30">
            <v>2010</v>
          </cell>
          <cell r="N30">
            <v>2010</v>
          </cell>
          <cell r="O30">
            <v>2010</v>
          </cell>
          <cell r="P30">
            <v>2010</v>
          </cell>
          <cell r="Q30">
            <v>2010</v>
          </cell>
          <cell r="R30">
            <v>2010</v>
          </cell>
          <cell r="S30">
            <v>2010</v>
          </cell>
        </row>
        <row r="31">
          <cell r="B31" t="str">
            <v>FY2</v>
          </cell>
          <cell r="C31">
            <v>2011</v>
          </cell>
          <cell r="D31">
            <v>2011</v>
          </cell>
          <cell r="E31">
            <v>2011</v>
          </cell>
          <cell r="F31">
            <v>2011</v>
          </cell>
          <cell r="G31">
            <v>2011</v>
          </cell>
          <cell r="H31">
            <v>2011</v>
          </cell>
          <cell r="I31">
            <v>2012</v>
          </cell>
          <cell r="M31">
            <v>2011</v>
          </cell>
          <cell r="N31">
            <v>2011</v>
          </cell>
          <cell r="O31">
            <v>2011</v>
          </cell>
          <cell r="P31">
            <v>2011</v>
          </cell>
          <cell r="Q31">
            <v>2011</v>
          </cell>
          <cell r="R31">
            <v>2011</v>
          </cell>
          <cell r="S31">
            <v>2011</v>
          </cell>
        </row>
        <row r="32">
          <cell r="B32" t="str">
            <v>FQ(3)</v>
          </cell>
          <cell r="C32" t="str">
            <v>2009Q1</v>
          </cell>
          <cell r="D32" t="str">
            <v>2009Q1</v>
          </cell>
          <cell r="E32" t="str">
            <v>2009Q1</v>
          </cell>
          <cell r="F32" t="str">
            <v>2009Q1</v>
          </cell>
          <cell r="G32" t="str">
            <v>2009Q1</v>
          </cell>
          <cell r="H32" t="str">
            <v>2009Q1</v>
          </cell>
          <cell r="I32" t="str">
            <v>2010Q1</v>
          </cell>
          <cell r="M32" t="str">
            <v>2009Q1</v>
          </cell>
          <cell r="N32" t="str">
            <v>2009Q1</v>
          </cell>
          <cell r="O32" t="str">
            <v>2009Q1</v>
          </cell>
          <cell r="P32" t="str">
            <v>2009Q3</v>
          </cell>
          <cell r="Q32" t="str">
            <v>2009Q1</v>
          </cell>
          <cell r="R32" t="str">
            <v>2009Q1</v>
          </cell>
          <cell r="S32" t="str">
            <v>2009Q1</v>
          </cell>
        </row>
        <row r="33">
          <cell r="B33" t="str">
            <v>FQ(2)</v>
          </cell>
          <cell r="C33" t="str">
            <v>2009Q2</v>
          </cell>
          <cell r="D33" t="str">
            <v>2009Q2</v>
          </cell>
          <cell r="E33" t="str">
            <v>2009Q2</v>
          </cell>
          <cell r="F33" t="str">
            <v>2009Q2</v>
          </cell>
          <cell r="G33" t="str">
            <v>2009Q2</v>
          </cell>
          <cell r="H33" t="str">
            <v>2009Q2</v>
          </cell>
          <cell r="I33" t="str">
            <v>2010Q2</v>
          </cell>
          <cell r="M33" t="str">
            <v>2009Q2</v>
          </cell>
          <cell r="N33" t="str">
            <v>2009Q2</v>
          </cell>
          <cell r="O33" t="str">
            <v>2009Q2</v>
          </cell>
          <cell r="P33" t="str">
            <v>2009Q4</v>
          </cell>
          <cell r="Q33" t="str">
            <v>2009Q2</v>
          </cell>
          <cell r="R33" t="str">
            <v>2009Q2</v>
          </cell>
          <cell r="S33" t="str">
            <v>2009Q2</v>
          </cell>
        </row>
        <row r="34">
          <cell r="B34" t="str">
            <v>FQ(1)</v>
          </cell>
          <cell r="C34" t="str">
            <v>2009Q3</v>
          </cell>
          <cell r="D34" t="str">
            <v>2009Q3</v>
          </cell>
          <cell r="E34" t="str">
            <v>2009Q3</v>
          </cell>
          <cell r="F34" t="str">
            <v>2009Q3</v>
          </cell>
          <cell r="G34" t="str">
            <v>2009Q3</v>
          </cell>
          <cell r="H34" t="str">
            <v>2009Q3</v>
          </cell>
          <cell r="I34" t="str">
            <v>2010Q3</v>
          </cell>
          <cell r="M34" t="str">
            <v>2009Q3</v>
          </cell>
          <cell r="N34" t="str">
            <v>2009Q3</v>
          </cell>
          <cell r="O34" t="str">
            <v>2009Q3</v>
          </cell>
          <cell r="P34" t="str">
            <v>2010Q1</v>
          </cell>
          <cell r="Q34" t="str">
            <v>2009Q3</v>
          </cell>
          <cell r="R34" t="str">
            <v>2009Q3</v>
          </cell>
          <cell r="S34" t="str">
            <v>2009Q3</v>
          </cell>
        </row>
        <row r="35">
          <cell r="A35" t="str">
            <v>mscalc:lastActualPeriodCalc</v>
          </cell>
          <cell r="B35" t="str">
            <v>Last Reported Q</v>
          </cell>
          <cell r="C35" t="str">
            <v>2009FY</v>
          </cell>
          <cell r="D35" t="str">
            <v>2009FY</v>
          </cell>
          <cell r="E35" t="str">
            <v>2009FY</v>
          </cell>
          <cell r="F35" t="str">
            <v>2009FY</v>
          </cell>
          <cell r="G35" t="str">
            <v>2009FY</v>
          </cell>
          <cell r="H35" t="str">
            <v>2009FY</v>
          </cell>
          <cell r="I35" t="str">
            <v>2010FY</v>
          </cell>
          <cell r="M35" t="str">
            <v>2009FY</v>
          </cell>
          <cell r="N35" t="str">
            <v>2009FY</v>
          </cell>
          <cell r="O35" t="str">
            <v>2009FY</v>
          </cell>
          <cell r="P35" t="str">
            <v>2010Q2</v>
          </cell>
          <cell r="Q35" t="str">
            <v>2009FY</v>
          </cell>
          <cell r="R35" t="str">
            <v>2009FY</v>
          </cell>
          <cell r="S35" t="str">
            <v>2009FY</v>
          </cell>
        </row>
        <row r="36">
          <cell r="C36" t="str">
            <v>2009Q4</v>
          </cell>
          <cell r="D36" t="str">
            <v>2009Q4</v>
          </cell>
          <cell r="E36" t="str">
            <v>2009Q4</v>
          </cell>
          <cell r="F36" t="str">
            <v>2009Q4</v>
          </cell>
          <cell r="G36" t="str">
            <v>2009Q4</v>
          </cell>
          <cell r="H36" t="str">
            <v>2009Q4</v>
          </cell>
          <cell r="I36" t="str">
            <v>2010Q4</v>
          </cell>
          <cell r="M36" t="str">
            <v>2009Q4</v>
          </cell>
          <cell r="N36" t="str">
            <v>2009Q4</v>
          </cell>
          <cell r="O36" t="str">
            <v>2009Q4</v>
          </cell>
          <cell r="P36" t="str">
            <v>2010Q2</v>
          </cell>
          <cell r="Q36" t="str">
            <v>2009Q4</v>
          </cell>
          <cell r="R36" t="str">
            <v>2009Q4</v>
          </cell>
          <cell r="S36" t="str">
            <v>2009Q4</v>
          </cell>
        </row>
        <row r="38">
          <cell r="A38" t="str">
            <v>mstag:numberOfStores</v>
          </cell>
          <cell r="B38" t="str">
            <v>Number of Stores</v>
          </cell>
        </row>
        <row r="39">
          <cell r="B39" t="str">
            <v>FY(5)</v>
          </cell>
          <cell r="C39">
            <v>542</v>
          </cell>
          <cell r="D39">
            <v>1017</v>
          </cell>
          <cell r="E39">
            <v>459</v>
          </cell>
          <cell r="F39">
            <v>181</v>
          </cell>
          <cell r="G39">
            <v>386</v>
          </cell>
          <cell r="H39">
            <v>649</v>
          </cell>
          <cell r="I39">
            <v>2224</v>
          </cell>
          <cell r="J39">
            <v>779.71428571428567</v>
          </cell>
          <cell r="K39">
            <v>5458</v>
          </cell>
          <cell r="M39">
            <v>788</v>
          </cell>
          <cell r="N39">
            <v>561</v>
          </cell>
          <cell r="O39">
            <v>846</v>
          </cell>
          <cell r="P39">
            <v>350</v>
          </cell>
          <cell r="Q39">
            <v>2994</v>
          </cell>
          <cell r="R39">
            <v>3779</v>
          </cell>
          <cell r="S39">
            <v>142</v>
          </cell>
          <cell r="T39">
            <v>1351.4285714285713</v>
          </cell>
          <cell r="U39">
            <v>9460</v>
          </cell>
        </row>
        <row r="40">
          <cell r="B40" t="str">
            <v>FY(4)</v>
          </cell>
          <cell r="C40">
            <v>637</v>
          </cell>
          <cell r="D40">
            <v>1019</v>
          </cell>
          <cell r="E40">
            <v>868</v>
          </cell>
          <cell r="F40">
            <v>187</v>
          </cell>
          <cell r="G40">
            <v>163</v>
          </cell>
          <cell r="H40">
            <v>734</v>
          </cell>
          <cell r="I40">
            <v>2381</v>
          </cell>
          <cell r="J40">
            <v>855.57142857142856</v>
          </cell>
          <cell r="K40">
            <v>5989</v>
          </cell>
          <cell r="M40">
            <v>851</v>
          </cell>
          <cell r="N40">
            <v>671</v>
          </cell>
          <cell r="O40">
            <v>869</v>
          </cell>
          <cell r="P40">
            <v>378</v>
          </cell>
          <cell r="Q40">
            <v>3053</v>
          </cell>
          <cell r="R40">
            <v>3590</v>
          </cell>
          <cell r="S40">
            <v>175</v>
          </cell>
          <cell r="T40">
            <v>1369.5714285714287</v>
          </cell>
          <cell r="U40">
            <v>9587</v>
          </cell>
        </row>
        <row r="41">
          <cell r="B41" t="str">
            <v>FY(3)</v>
          </cell>
          <cell r="C41">
            <v>732</v>
          </cell>
          <cell r="D41">
            <v>1033</v>
          </cell>
          <cell r="E41">
            <v>858</v>
          </cell>
          <cell r="F41">
            <v>191</v>
          </cell>
          <cell r="G41">
            <v>166</v>
          </cell>
          <cell r="H41">
            <v>797</v>
          </cell>
          <cell r="I41">
            <v>2466</v>
          </cell>
          <cell r="J41">
            <v>891.85714285714289</v>
          </cell>
          <cell r="K41">
            <v>6243</v>
          </cell>
          <cell r="M41">
            <v>930</v>
          </cell>
          <cell r="N41">
            <v>742</v>
          </cell>
          <cell r="O41">
            <v>911</v>
          </cell>
          <cell r="P41">
            <v>422</v>
          </cell>
          <cell r="Q41">
            <v>3131</v>
          </cell>
          <cell r="R41">
            <v>3766</v>
          </cell>
          <cell r="S41">
            <v>207</v>
          </cell>
          <cell r="T41">
            <v>1444.1428571428571</v>
          </cell>
          <cell r="U41">
            <v>10109</v>
          </cell>
        </row>
        <row r="42">
          <cell r="B42" t="str">
            <v>FY(2)</v>
          </cell>
          <cell r="C42">
            <v>817</v>
          </cell>
          <cell r="D42">
            <v>1067</v>
          </cell>
          <cell r="E42">
            <v>853</v>
          </cell>
          <cell r="F42">
            <v>156</v>
          </cell>
          <cell r="G42">
            <v>177</v>
          </cell>
          <cell r="H42">
            <v>890</v>
          </cell>
          <cell r="I42">
            <v>2563</v>
          </cell>
          <cell r="J42">
            <v>931.85714285714289</v>
          </cell>
          <cell r="K42">
            <v>6523</v>
          </cell>
          <cell r="M42">
            <v>1035</v>
          </cell>
          <cell r="N42">
            <v>828</v>
          </cell>
          <cell r="O42">
            <v>987</v>
          </cell>
          <cell r="P42">
            <v>489</v>
          </cell>
          <cell r="Q42">
            <v>3167</v>
          </cell>
          <cell r="R42">
            <v>2926</v>
          </cell>
          <cell r="S42">
            <v>245</v>
          </cell>
          <cell r="T42">
            <v>1382.4285714285713</v>
          </cell>
          <cell r="U42">
            <v>9677</v>
          </cell>
        </row>
        <row r="43">
          <cell r="B43" t="str">
            <v>FY(1)</v>
          </cell>
          <cell r="C43">
            <v>929</v>
          </cell>
          <cell r="D43">
            <v>1093</v>
          </cell>
          <cell r="E43">
            <v>847</v>
          </cell>
          <cell r="F43">
            <v>169</v>
          </cell>
          <cell r="G43">
            <v>181</v>
          </cell>
          <cell r="H43">
            <v>956</v>
          </cell>
          <cell r="I43">
            <v>2652</v>
          </cell>
          <cell r="J43">
            <v>975.28571428571433</v>
          </cell>
          <cell r="K43">
            <v>6827</v>
          </cell>
          <cell r="M43">
            <v>1097</v>
          </cell>
          <cell r="N43">
            <v>914</v>
          </cell>
          <cell r="O43">
            <v>1098</v>
          </cell>
          <cell r="P43">
            <v>548</v>
          </cell>
          <cell r="Q43">
            <v>3149</v>
          </cell>
          <cell r="R43">
            <v>3014</v>
          </cell>
          <cell r="S43">
            <v>294</v>
          </cell>
          <cell r="T43">
            <v>1444.8571428571429</v>
          </cell>
          <cell r="U43">
            <v>10114</v>
          </cell>
        </row>
        <row r="44">
          <cell r="B44" t="str">
            <v>FY0</v>
          </cell>
          <cell r="C44">
            <v>1004</v>
          </cell>
          <cell r="D44">
            <v>1108</v>
          </cell>
          <cell r="E44">
            <v>850</v>
          </cell>
          <cell r="F44">
            <v>184</v>
          </cell>
          <cell r="G44">
            <v>108</v>
          </cell>
          <cell r="H44">
            <v>1005</v>
          </cell>
          <cell r="I44">
            <v>2743</v>
          </cell>
          <cell r="J44">
            <v>1000.2857142857143</v>
          </cell>
          <cell r="K44">
            <v>7002</v>
          </cell>
          <cell r="M44">
            <v>1096</v>
          </cell>
          <cell r="N44">
            <v>953</v>
          </cell>
          <cell r="O44">
            <v>1103</v>
          </cell>
          <cell r="P44">
            <v>624</v>
          </cell>
          <cell r="Q44">
            <v>3095</v>
          </cell>
          <cell r="R44">
            <v>2971</v>
          </cell>
          <cell r="S44">
            <v>327</v>
          </cell>
          <cell r="T44">
            <v>1452.7142857142858</v>
          </cell>
          <cell r="U44">
            <v>10169</v>
          </cell>
        </row>
        <row r="45">
          <cell r="B45" t="str">
            <v>FY1</v>
          </cell>
          <cell r="C45">
            <v>1058</v>
          </cell>
          <cell r="D45">
            <v>1110</v>
          </cell>
          <cell r="E45">
            <v>852</v>
          </cell>
          <cell r="F45">
            <v>203</v>
          </cell>
          <cell r="G45">
            <v>110</v>
          </cell>
          <cell r="H45">
            <v>1051</v>
          </cell>
          <cell r="I45">
            <v>2871</v>
          </cell>
          <cell r="J45">
            <v>1036.4285714285713</v>
          </cell>
          <cell r="K45">
            <v>7255</v>
          </cell>
          <cell r="M45">
            <v>1135</v>
          </cell>
          <cell r="N45">
            <v>1005</v>
          </cell>
          <cell r="O45">
            <v>1093.00001</v>
          </cell>
          <cell r="P45">
            <v>680</v>
          </cell>
          <cell r="Q45">
            <v>3050</v>
          </cell>
          <cell r="R45">
            <v>2945</v>
          </cell>
          <cell r="S45">
            <v>377</v>
          </cell>
          <cell r="T45">
            <v>1469.2857157142857</v>
          </cell>
          <cell r="U45">
            <v>10285.00001</v>
          </cell>
        </row>
        <row r="46">
          <cell r="B46" t="str">
            <v>FY2</v>
          </cell>
          <cell r="C46">
            <v>1088</v>
          </cell>
          <cell r="D46">
            <v>1115</v>
          </cell>
          <cell r="E46">
            <v>852</v>
          </cell>
          <cell r="F46">
            <v>219</v>
          </cell>
          <cell r="G46">
            <v>115</v>
          </cell>
          <cell r="H46">
            <v>1106</v>
          </cell>
          <cell r="I46">
            <v>3000.1950000000002</v>
          </cell>
          <cell r="J46">
            <v>1070.7421428571429</v>
          </cell>
          <cell r="K46">
            <v>7495.1949999999997</v>
          </cell>
          <cell r="M46">
            <v>1209</v>
          </cell>
          <cell r="N46">
            <v>1093</v>
          </cell>
          <cell r="O46">
            <v>1183.00001</v>
          </cell>
          <cell r="P46">
            <v>721</v>
          </cell>
          <cell r="Q46">
            <v>3073</v>
          </cell>
          <cell r="R46">
            <v>2977</v>
          </cell>
          <cell r="S46">
            <v>428</v>
          </cell>
          <cell r="T46">
            <v>1526.2857157142857</v>
          </cell>
          <cell r="U46">
            <v>10684.00001</v>
          </cell>
        </row>
        <row r="48">
          <cell r="A48" t="str">
            <v>mstag:floorspace</v>
          </cell>
          <cell r="B48" t="str">
            <v>Avg Selling Sq Ft (in thousands)</v>
          </cell>
        </row>
        <row r="49">
          <cell r="B49" t="str">
            <v>FY(5)</v>
          </cell>
          <cell r="C49">
            <v>49200.978000000003</v>
          </cell>
          <cell r="D49">
            <v>101300</v>
          </cell>
          <cell r="E49">
            <v>156400</v>
          </cell>
          <cell r="F49">
            <v>19304.5</v>
          </cell>
          <cell r="G49">
            <v>7500</v>
          </cell>
          <cell r="H49">
            <v>15253</v>
          </cell>
          <cell r="I49">
            <v>65507.999999999993</v>
          </cell>
          <cell r="J49">
            <v>59209.496857142854</v>
          </cell>
          <cell r="K49">
            <v>414466.478</v>
          </cell>
          <cell r="M49">
            <v>5590</v>
          </cell>
          <cell r="N49">
            <v>1978.4060000000002</v>
          </cell>
          <cell r="O49">
            <v>4540.0950000000003</v>
          </cell>
          <cell r="P49">
            <v>782.26300000000003</v>
          </cell>
          <cell r="Q49">
            <v>36600</v>
          </cell>
          <cell r="R49">
            <v>10311</v>
          </cell>
          <cell r="S49">
            <v>1749.8590000000002</v>
          </cell>
          <cell r="T49">
            <v>8793.0889999999999</v>
          </cell>
          <cell r="U49">
            <v>61551.623</v>
          </cell>
        </row>
        <row r="50">
          <cell r="B50" t="str">
            <v>FY(4)</v>
          </cell>
          <cell r="C50">
            <v>56625</v>
          </cell>
          <cell r="D50">
            <v>101400</v>
          </cell>
          <cell r="E50">
            <v>156400</v>
          </cell>
          <cell r="F50">
            <v>19770.5</v>
          </cell>
          <cell r="G50">
            <v>7500</v>
          </cell>
          <cell r="H50">
            <v>17319</v>
          </cell>
          <cell r="I50">
            <v>70575</v>
          </cell>
          <cell r="J50">
            <v>61369.928571428572</v>
          </cell>
          <cell r="K50">
            <v>429589.5</v>
          </cell>
          <cell r="M50">
            <v>6025</v>
          </cell>
          <cell r="N50">
            <v>2373.4749999999999</v>
          </cell>
          <cell r="O50">
            <v>4772.4870000000001</v>
          </cell>
          <cell r="P50">
            <v>904.83600000000001</v>
          </cell>
          <cell r="Q50">
            <v>37800</v>
          </cell>
          <cell r="R50">
            <v>10311</v>
          </cell>
          <cell r="S50">
            <v>2113.5439999999999</v>
          </cell>
          <cell r="T50">
            <v>9185.7631428571422</v>
          </cell>
          <cell r="U50">
            <v>64300.341999999997</v>
          </cell>
        </row>
        <row r="51">
          <cell r="B51" t="str">
            <v>FY(3)</v>
          </cell>
          <cell r="C51">
            <v>62357</v>
          </cell>
          <cell r="D51">
            <v>103100</v>
          </cell>
          <cell r="E51">
            <v>156400</v>
          </cell>
          <cell r="F51">
            <v>20120</v>
          </cell>
          <cell r="G51">
            <v>7500</v>
          </cell>
          <cell r="H51">
            <v>18642</v>
          </cell>
          <cell r="I51">
            <v>73987</v>
          </cell>
          <cell r="J51">
            <v>63158</v>
          </cell>
          <cell r="K51">
            <v>442106</v>
          </cell>
          <cell r="M51">
            <v>6693</v>
          </cell>
          <cell r="N51">
            <v>2626</v>
          </cell>
          <cell r="O51">
            <v>5173.0650000000005</v>
          </cell>
          <cell r="P51">
            <v>1038.7150000000001</v>
          </cell>
          <cell r="Q51">
            <v>39000</v>
          </cell>
          <cell r="R51">
            <v>10311</v>
          </cell>
          <cell r="S51">
            <v>2497.6379999999999</v>
          </cell>
          <cell r="T51">
            <v>9619.9168571428581</v>
          </cell>
          <cell r="U51">
            <v>67339.418000000005</v>
          </cell>
        </row>
        <row r="52">
          <cell r="B52" t="str">
            <v>FY(2)</v>
          </cell>
          <cell r="C52">
            <v>69889</v>
          </cell>
          <cell r="D52">
            <v>106600</v>
          </cell>
          <cell r="E52">
            <v>154961</v>
          </cell>
          <cell r="F52">
            <v>20336</v>
          </cell>
          <cell r="G52">
            <v>7539</v>
          </cell>
          <cell r="H52">
            <v>21100</v>
          </cell>
          <cell r="I52">
            <v>76420</v>
          </cell>
          <cell r="J52">
            <v>65263.571428571428</v>
          </cell>
          <cell r="K52">
            <v>456845</v>
          </cell>
          <cell r="M52">
            <v>7337</v>
          </cell>
          <cell r="N52">
            <v>2935.2140000000004</v>
          </cell>
          <cell r="O52">
            <v>5709.9319999999998</v>
          </cell>
          <cell r="P52">
            <v>1223.971</v>
          </cell>
          <cell r="Q52">
            <v>39600</v>
          </cell>
          <cell r="R52">
            <v>10311</v>
          </cell>
          <cell r="S52">
            <v>2886.54</v>
          </cell>
          <cell r="T52">
            <v>10000.522428571427</v>
          </cell>
          <cell r="U52">
            <v>70003.656999999992</v>
          </cell>
        </row>
        <row r="53">
          <cell r="B53" t="str">
            <v>FY(1)</v>
          </cell>
          <cell r="C53">
            <v>74992</v>
          </cell>
          <cell r="D53">
            <v>109197.56326148099</v>
          </cell>
          <cell r="E53">
            <v>154091</v>
          </cell>
          <cell r="F53">
            <v>21189</v>
          </cell>
          <cell r="G53">
            <v>7519.0955555555602</v>
          </cell>
          <cell r="H53">
            <v>22500</v>
          </cell>
          <cell r="I53">
            <v>79073.679282091311</v>
          </cell>
          <cell r="J53">
            <v>66937.476871303981</v>
          </cell>
          <cell r="K53">
            <v>468562.33809912787</v>
          </cell>
          <cell r="M53">
            <v>7760</v>
          </cell>
          <cell r="N53">
            <v>3284.614</v>
          </cell>
          <cell r="O53">
            <v>6328.1669999999995</v>
          </cell>
          <cell r="P53">
            <v>1466.11089781022</v>
          </cell>
          <cell r="Q53">
            <v>39500</v>
          </cell>
          <cell r="R53">
            <v>10898.300000000001</v>
          </cell>
          <cell r="S53">
            <v>3360.65564146934</v>
          </cell>
          <cell r="T53">
            <v>10371.121077039936</v>
          </cell>
          <cell r="U53">
            <v>72597.847539279552</v>
          </cell>
        </row>
        <row r="54">
          <cell r="B54" t="str">
            <v>FY0</v>
          </cell>
          <cell r="C54">
            <v>78396</v>
          </cell>
          <cell r="D54">
            <v>110696.15745079701</v>
          </cell>
          <cell r="E54">
            <v>154400</v>
          </cell>
          <cell r="F54">
            <v>22324.5</v>
          </cell>
          <cell r="G54">
            <v>7493.0555555555602</v>
          </cell>
          <cell r="H54">
            <v>23700</v>
          </cell>
          <cell r="I54">
            <v>81786.991806476799</v>
          </cell>
          <cell r="J54">
            <v>68399.529258975628</v>
          </cell>
          <cell r="K54">
            <v>478796.70481282938</v>
          </cell>
          <cell r="M54">
            <v>7847</v>
          </cell>
          <cell r="N54">
            <v>3428.3760000000002</v>
          </cell>
          <cell r="O54">
            <v>6403.8589999999995</v>
          </cell>
          <cell r="P54">
            <v>1690.6890000000001</v>
          </cell>
          <cell r="Q54">
            <v>38800</v>
          </cell>
          <cell r="R54">
            <v>10933</v>
          </cell>
          <cell r="S54">
            <v>3725.8392204614397</v>
          </cell>
          <cell r="T54">
            <v>10404.10903149449</v>
          </cell>
          <cell r="U54">
            <v>72828.763220461435</v>
          </cell>
        </row>
        <row r="55">
          <cell r="B55" t="str">
            <v>FY1</v>
          </cell>
          <cell r="C55">
            <v>80394.312948484498</v>
          </cell>
          <cell r="D55">
            <v>110895.97000937199</v>
          </cell>
          <cell r="E55">
            <v>154944.94117647098</v>
          </cell>
          <cell r="F55">
            <v>23264.098000000002</v>
          </cell>
          <cell r="G55">
            <v>7551.3888888888896</v>
          </cell>
          <cell r="H55">
            <v>24784.776119402999</v>
          </cell>
          <cell r="I55">
            <v>85603.5193133047</v>
          </cell>
          <cell r="J55">
            <v>69634.143779417718</v>
          </cell>
          <cell r="K55">
            <v>487439.00645592407</v>
          </cell>
          <cell r="M55">
            <v>8152.8011747302498</v>
          </cell>
          <cell r="N55">
            <v>3618.09221262458</v>
          </cell>
          <cell r="O55">
            <v>6280.8787298091502</v>
          </cell>
          <cell r="P55">
            <v>1842.77425430213</v>
          </cell>
          <cell r="Q55">
            <v>37816.534659180201</v>
          </cell>
          <cell r="R55">
            <v>10859.0659181791</v>
          </cell>
          <cell r="S55">
            <v>4200.5989247116004</v>
          </cell>
          <cell r="T55">
            <v>10395.820839076714</v>
          </cell>
          <cell r="U55">
            <v>72770.745873537002</v>
          </cell>
        </row>
        <row r="56">
          <cell r="B56" t="str">
            <v>FY2</v>
          </cell>
          <cell r="C56">
            <v>83743.799999999988</v>
          </cell>
          <cell r="D56">
            <v>111395.50140581101</v>
          </cell>
          <cell r="E56">
            <v>154854.22437271001</v>
          </cell>
          <cell r="F56">
            <v>24215.196</v>
          </cell>
          <cell r="G56">
            <v>7861.1111111111095</v>
          </cell>
          <cell r="H56">
            <v>26081.791044776099</v>
          </cell>
          <cell r="I56">
            <v>89455.677682403402</v>
          </cell>
          <cell r="J56">
            <v>71086.757373830231</v>
          </cell>
          <cell r="K56">
            <v>497607.3016168116</v>
          </cell>
          <cell r="M56">
            <v>8723.3097210784999</v>
          </cell>
          <cell r="N56">
            <v>3975.45267116279</v>
          </cell>
          <cell r="O56">
            <v>6672.4837929733894</v>
          </cell>
          <cell r="P56">
            <v>1947.45216540507</v>
          </cell>
          <cell r="Q56">
            <v>36516.200309858395</v>
          </cell>
          <cell r="R56">
            <v>11000.1225990071</v>
          </cell>
          <cell r="S56">
            <v>4686.6820919247102</v>
          </cell>
          <cell r="T56">
            <v>10503.100478772851</v>
          </cell>
          <cell r="U56">
            <v>73521.70335140996</v>
          </cell>
        </row>
        <row r="58">
          <cell r="B58" t="str">
            <v>Square Footage Growth</v>
          </cell>
        </row>
        <row r="59">
          <cell r="B59" t="str">
            <v>FY(4)</v>
          </cell>
          <cell r="C59">
            <v>0.15089175666386145</v>
          </cell>
          <cell r="D59">
            <v>9.8716683119448589E-4</v>
          </cell>
          <cell r="E59">
            <v>0</v>
          </cell>
          <cell r="F59">
            <v>2.4139449351187503E-2</v>
          </cell>
          <cell r="G59">
            <v>0</v>
          </cell>
          <cell r="H59">
            <v>0.13544876417753882</v>
          </cell>
          <cell r="I59">
            <v>7.7349331379373609E-2</v>
          </cell>
          <cell r="J59">
            <v>3.6487925568735591E-2</v>
          </cell>
          <cell r="K59">
            <v>3.6487925568735591E-2</v>
          </cell>
          <cell r="M59">
            <v>7.7817531305903298E-2</v>
          </cell>
          <cell r="N59">
            <v>0.19969055896514654</v>
          </cell>
          <cell r="O59">
            <v>5.1186594113118655E-2</v>
          </cell>
          <cell r="P59">
            <v>0.15669026912943607</v>
          </cell>
          <cell r="Q59">
            <v>3.2786885245901676E-2</v>
          </cell>
          <cell r="R59">
            <v>0</v>
          </cell>
          <cell r="S59">
            <v>0.20783674570351085</v>
          </cell>
          <cell r="T59">
            <v>4.4657132761551921E-2</v>
          </cell>
          <cell r="U59">
            <v>4.4657132761551921E-2</v>
          </cell>
        </row>
        <row r="60">
          <cell r="B60" t="str">
            <v>FY(3)</v>
          </cell>
          <cell r="C60">
            <v>0.10122737306843277</v>
          </cell>
          <cell r="D60">
            <v>1.6765285996055201E-2</v>
          </cell>
          <cell r="E60">
            <v>0</v>
          </cell>
          <cell r="F60">
            <v>1.7677853367390917E-2</v>
          </cell>
          <cell r="G60">
            <v>0</v>
          </cell>
          <cell r="H60">
            <v>7.6390091806686211E-2</v>
          </cell>
          <cell r="I60">
            <v>4.8345731491321375E-2</v>
          </cell>
          <cell r="J60">
            <v>2.9135954207446968E-2</v>
          </cell>
          <cell r="K60">
            <v>2.9135954207446968E-2</v>
          </cell>
          <cell r="M60">
            <v>0.11087136929460573</v>
          </cell>
          <cell r="N60">
            <v>0.10639463234287283</v>
          </cell>
          <cell r="O60">
            <v>8.3934854091797462E-2</v>
          </cell>
          <cell r="P60">
            <v>0.14795940921890827</v>
          </cell>
          <cell r="Q60">
            <v>3.1746031746031855E-2</v>
          </cell>
          <cell r="R60">
            <v>0</v>
          </cell>
          <cell r="S60">
            <v>0.18172983387145014</v>
          </cell>
          <cell r="T60">
            <v>4.7263761054334941E-2</v>
          </cell>
          <cell r="U60">
            <v>4.7263761054334719E-2</v>
          </cell>
        </row>
        <row r="61">
          <cell r="B61" t="str">
            <v>FY(2)</v>
          </cell>
          <cell r="C61">
            <v>0.1207883637763203</v>
          </cell>
          <cell r="D61">
            <v>3.3947623666343407E-2</v>
          </cell>
          <cell r="E61">
            <v>-9.200767263427112E-3</v>
          </cell>
          <cell r="F61">
            <v>1.0735586481113391E-2</v>
          </cell>
          <cell r="G61">
            <v>5.2000000000000934E-3</v>
          </cell>
          <cell r="H61">
            <v>0.13185280549297285</v>
          </cell>
          <cell r="I61">
            <v>3.2884155324583997E-2</v>
          </cell>
          <cell r="J61">
            <v>3.3338158722116429E-2</v>
          </cell>
          <cell r="K61">
            <v>3.3338158722116429E-2</v>
          </cell>
          <cell r="M61">
            <v>9.6219931271477765E-2</v>
          </cell>
          <cell r="N61">
            <v>0.1177509520182789</v>
          </cell>
          <cell r="O61">
            <v>0.1037812206109916</v>
          </cell>
          <cell r="P61">
            <v>0.17835113577834139</v>
          </cell>
          <cell r="Q61">
            <v>1.538461538461533E-2</v>
          </cell>
          <cell r="R61">
            <v>0</v>
          </cell>
          <cell r="S61">
            <v>0.15570791283604746</v>
          </cell>
          <cell r="T61">
            <v>3.9564330656970847E-2</v>
          </cell>
          <cell r="U61">
            <v>3.956433065697107E-2</v>
          </cell>
        </row>
        <row r="62">
          <cell r="B62" t="str">
            <v>FY(1)</v>
          </cell>
          <cell r="C62">
            <v>7.3015782168867727E-2</v>
          </cell>
          <cell r="D62">
            <v>2.4367385192129332E-2</v>
          </cell>
          <cell r="E62">
            <v>-5.614315860119623E-3</v>
          </cell>
          <cell r="F62">
            <v>4.1945318646734897E-2</v>
          </cell>
          <cell r="G62">
            <v>-2.6401969020347638E-3</v>
          </cell>
          <cell r="H62">
            <v>6.6350710900473953E-2</v>
          </cell>
          <cell r="I62">
            <v>3.4724931720639951E-2</v>
          </cell>
          <cell r="J62">
            <v>2.5648388620052476E-2</v>
          </cell>
          <cell r="K62">
            <v>2.5648388620052476E-2</v>
          </cell>
          <cell r="M62">
            <v>5.7652991685975152E-2</v>
          </cell>
          <cell r="N62">
            <v>0.11903731721094246</v>
          </cell>
          <cell r="O62">
            <v>0.10827361867006458</v>
          </cell>
          <cell r="P62">
            <v>0.19783140107912689</v>
          </cell>
          <cell r="Q62">
            <v>-2.525252525252486E-3</v>
          </cell>
          <cell r="R62">
            <v>5.6958587915818093E-2</v>
          </cell>
          <cell r="S62">
            <v>0.16425050110836503</v>
          </cell>
          <cell r="T62">
            <v>3.7057928834768772E-2</v>
          </cell>
          <cell r="U62">
            <v>3.7057928834768772E-2</v>
          </cell>
        </row>
        <row r="63">
          <cell r="B63" t="str">
            <v>FY0</v>
          </cell>
          <cell r="C63">
            <v>4.5391508427565563E-2</v>
          </cell>
          <cell r="D63">
            <v>1.3723696248858053E-2</v>
          </cell>
          <cell r="E63">
            <v>2.0053085514404323E-3</v>
          </cell>
          <cell r="F63">
            <v>5.3589126433526868E-2</v>
          </cell>
          <cell r="G63">
            <v>-3.4631824808716294E-3</v>
          </cell>
          <cell r="H63">
            <v>5.3333333333333233E-2</v>
          </cell>
          <cell r="I63">
            <v>3.4313725490196179E-2</v>
          </cell>
          <cell r="J63">
            <v>2.1842060023903098E-2</v>
          </cell>
          <cell r="K63">
            <v>2.1842060023903098E-2</v>
          </cell>
          <cell r="M63">
            <v>1.1211340206185527E-2</v>
          </cell>
          <cell r="N63">
            <v>4.3768308848467496E-2</v>
          </cell>
          <cell r="O63">
            <v>1.196112555183837E-2</v>
          </cell>
          <cell r="P63">
            <v>0.15317947811806687</v>
          </cell>
          <cell r="Q63">
            <v>-1.7721518987341756E-2</v>
          </cell>
          <cell r="R63">
            <v>3.1839828230089129E-3</v>
          </cell>
          <cell r="S63">
            <v>0.10866438515325982</v>
          </cell>
          <cell r="T63">
            <v>3.1807510691959084E-3</v>
          </cell>
          <cell r="U63">
            <v>3.1807510691959084E-3</v>
          </cell>
        </row>
        <row r="64">
          <cell r="B64" t="str">
            <v>FY1</v>
          </cell>
          <cell r="C64">
            <v>2.5489986076898008E-2</v>
          </cell>
          <cell r="D64">
            <v>1.8050541516203555E-3</v>
          </cell>
          <cell r="E64">
            <v>3.5294117647084455E-3</v>
          </cell>
          <cell r="F64">
            <v>4.2088199063808895E-2</v>
          </cell>
          <cell r="G64">
            <v>7.7849860982386332E-3</v>
          </cell>
          <cell r="H64">
            <v>4.5771144278607512E-2</v>
          </cell>
          <cell r="I64">
            <v>4.6664236237695444E-2</v>
          </cell>
          <cell r="J64">
            <v>1.8050044113133712E-2</v>
          </cell>
          <cell r="K64">
            <v>1.8050044113133934E-2</v>
          </cell>
          <cell r="M64">
            <v>3.897045682811906E-2</v>
          </cell>
          <cell r="N64">
            <v>5.5337049560660656E-2</v>
          </cell>
          <cell r="O64">
            <v>-1.9204087752533128E-2</v>
          </cell>
          <cell r="P64">
            <v>8.9954600936144935E-2</v>
          </cell>
          <cell r="Q64">
            <v>-2.5347044866489643E-2</v>
          </cell>
          <cell r="R64">
            <v>-6.7624697540382694E-3</v>
          </cell>
          <cell r="S64">
            <v>0.12742356182276771</v>
          </cell>
          <cell r="T64">
            <v>-7.9662683202252893E-4</v>
          </cell>
          <cell r="U64">
            <v>-7.9662683202252893E-4</v>
          </cell>
        </row>
        <row r="65">
          <cell r="A65" t="str">
            <v>mstag:comparableStoreSalesGrowth</v>
          </cell>
          <cell r="B65" t="str">
            <v>FY2</v>
          </cell>
          <cell r="C65">
            <v>4.16632337372147E-2</v>
          </cell>
          <cell r="D65">
            <v>4.5045045045082333E-3</v>
          </cell>
          <cell r="E65">
            <v>-5.8547767401873063E-4</v>
          </cell>
          <cell r="F65">
            <v>4.0882651027346784E-2</v>
          </cell>
          <cell r="G65">
            <v>4.1015265771564779E-2</v>
          </cell>
          <cell r="H65">
            <v>5.2331113225497994E-2</v>
          </cell>
          <cell r="I65">
            <v>4.4999999999999929E-2</v>
          </cell>
          <cell r="J65">
            <v>2.0860651335270264E-2</v>
          </cell>
          <cell r="K65">
            <v>2.0860651335270264E-2</v>
          </cell>
          <cell r="M65">
            <v>6.997699736828511E-2</v>
          </cell>
          <cell r="N65">
            <v>9.877041201196457E-2</v>
          </cell>
          <cell r="O65">
            <v>6.2348769974760909E-2</v>
          </cell>
          <cell r="P65">
            <v>5.6804522235189392E-2</v>
          </cell>
          <cell r="Q65">
            <v>-3.4385338610240401E-2</v>
          </cell>
          <cell r="R65">
            <v>1.2989761908697606E-2</v>
          </cell>
          <cell r="S65">
            <v>0.11571758597411974</v>
          </cell>
          <cell r="T65">
            <v>1.0319496782099646E-2</v>
          </cell>
          <cell r="U65">
            <v>1.0319496782099646E-2</v>
          </cell>
        </row>
        <row r="66">
          <cell r="B66" t="str">
            <v>4-Yr. Compounded</v>
          </cell>
          <cell r="C66">
            <v>6.5577468319250709E-2</v>
          </cell>
          <cell r="D66">
            <v>1.8390348330118655E-2</v>
          </cell>
          <cell r="E66">
            <v>-2.3340200577479653E-3</v>
          </cell>
          <cell r="F66">
            <v>3.696610404122036E-2</v>
          </cell>
          <cell r="G66">
            <v>1.7085791092168456E-3</v>
          </cell>
          <cell r="H66">
            <v>7.3799318905135358E-2</v>
          </cell>
          <cell r="I66">
            <v>3.7132038387335253E-2</v>
          </cell>
          <cell r="J66">
            <v>2.4704085493136851E-2</v>
          </cell>
          <cell r="K66">
            <v>2.4704085493136851E-2</v>
          </cell>
          <cell r="M66">
            <v>5.0561561442880043E-2</v>
          </cell>
          <cell r="N66">
            <v>8.3418450725379456E-2</v>
          </cell>
          <cell r="O66">
            <v>4.9707060147659243E-2</v>
          </cell>
          <cell r="P66">
            <v>0.15410130787375076</v>
          </cell>
          <cell r="Q66">
            <v>-7.6742053354557083E-3</v>
          </cell>
          <cell r="R66">
            <v>1.3031431848396169E-2</v>
          </cell>
          <cell r="S66">
            <v>0.13879468332198019</v>
          </cell>
          <cell r="T66">
            <v>1.9581312682365848E-2</v>
          </cell>
          <cell r="U66">
            <v>1.9581312682365848E-2</v>
          </cell>
        </row>
        <row r="67">
          <cell r="B67" t="str">
            <v>FY(4)</v>
          </cell>
          <cell r="C67">
            <v>5.4574854495884903E-3</v>
          </cell>
          <cell r="D67">
            <v>4.9000000000000002E-2</v>
          </cell>
          <cell r="E67">
            <v>2.5999999999999999E-2</v>
          </cell>
          <cell r="F67">
            <v>9.6205540192385405E-2</v>
          </cell>
          <cell r="G67">
            <v>5.2999999999999999E-2</v>
          </cell>
          <cell r="H67">
            <v>-0.01</v>
          </cell>
          <cell r="I67">
            <v>0.05</v>
          </cell>
          <cell r="J67">
            <v>3.8523289377424837E-2</v>
          </cell>
          <cell r="M67">
            <v>0.02</v>
          </cell>
          <cell r="N67">
            <v>8.6999999999999994E-2</v>
          </cell>
          <cell r="O67">
            <v>0.214</v>
          </cell>
          <cell r="P67">
            <v>0.182</v>
          </cell>
          <cell r="Q67">
            <v>0</v>
          </cell>
          <cell r="R67">
            <v>0.04</v>
          </cell>
          <cell r="S67">
            <v>0.216</v>
          </cell>
          <cell r="T67">
            <v>0.10842857142857143</v>
          </cell>
        </row>
        <row r="68">
          <cell r="A68" t="str">
            <v>mstag:comparableStoreSalesGrowth</v>
          </cell>
          <cell r="B68" t="str">
            <v>Comp Store Sales</v>
          </cell>
          <cell r="C68">
            <v>3.68908761248153E-2</v>
          </cell>
          <cell r="D68">
            <v>2.9000000000000001E-2</v>
          </cell>
          <cell r="E68">
            <v>1.2999999999999999E-2</v>
          </cell>
          <cell r="F68">
            <v>6.01637300954651E-2</v>
          </cell>
          <cell r="G68">
            <v>0.04</v>
          </cell>
          <cell r="H68">
            <v>0.06</v>
          </cell>
          <cell r="I68">
            <v>0.02</v>
          </cell>
          <cell r="J68">
            <v>3.700780088861149E-2</v>
          </cell>
          <cell r="M68">
            <v>0.26</v>
          </cell>
          <cell r="N68">
            <v>3.5000000000000003E-2</v>
          </cell>
          <cell r="O68">
            <v>0.155</v>
          </cell>
          <cell r="P68">
            <v>0.20699999999999999</v>
          </cell>
          <cell r="Q68">
            <v>-0.05</v>
          </cell>
          <cell r="R68">
            <v>-0.01</v>
          </cell>
          <cell r="S68">
            <v>0.109</v>
          </cell>
          <cell r="T68">
            <v>0.10085714285714285</v>
          </cell>
          <cell r="W68">
            <v>5.2356020942408377E-2</v>
          </cell>
        </row>
        <row r="69">
          <cell r="B69" t="str">
            <v>FY(5)</v>
          </cell>
          <cell r="C69">
            <v>5.4574854495884903E-3</v>
          </cell>
          <cell r="D69">
            <v>4.9000000000000002E-2</v>
          </cell>
          <cell r="E69">
            <v>2.5999999999999999E-2</v>
          </cell>
          <cell r="F69">
            <v>9.6205540192385405E-2</v>
          </cell>
          <cell r="G69">
            <v>5.2999999999999999E-2</v>
          </cell>
          <cell r="H69">
            <v>-0.01</v>
          </cell>
          <cell r="I69">
            <v>0.05</v>
          </cell>
          <cell r="J69">
            <v>3.8523289377424837E-2</v>
          </cell>
          <cell r="M69">
            <v>0.02</v>
          </cell>
          <cell r="N69">
            <v>8.6999999999999994E-2</v>
          </cell>
          <cell r="O69">
            <v>0.214</v>
          </cell>
          <cell r="P69">
            <v>0.16900000000000001</v>
          </cell>
          <cell r="Q69">
            <v>0</v>
          </cell>
          <cell r="R69">
            <v>0.04</v>
          </cell>
          <cell r="S69">
            <v>0.216</v>
          </cell>
          <cell r="T69">
            <v>0.10657142857142857</v>
          </cell>
        </row>
        <row r="70">
          <cell r="B70" t="str">
            <v>FY(4)</v>
          </cell>
          <cell r="C70">
            <v>3.68908761248153E-2</v>
          </cell>
          <cell r="D70">
            <v>2.9000000000000001E-2</v>
          </cell>
          <cell r="E70">
            <v>1.2999999999999999E-2</v>
          </cell>
          <cell r="F70">
            <v>6.01637300954651E-2</v>
          </cell>
          <cell r="G70">
            <v>0.04</v>
          </cell>
          <cell r="H70">
            <v>0.06</v>
          </cell>
          <cell r="I70">
            <v>0.02</v>
          </cell>
          <cell r="J70">
            <v>3.700780088861149E-2</v>
          </cell>
          <cell r="M70">
            <v>0.26</v>
          </cell>
          <cell r="N70">
            <v>3.5000000000000003E-2</v>
          </cell>
          <cell r="O70">
            <v>0.155</v>
          </cell>
          <cell r="P70">
            <v>0.182</v>
          </cell>
          <cell r="Q70">
            <v>-0.05</v>
          </cell>
          <cell r="R70">
            <v>-0.01</v>
          </cell>
          <cell r="S70">
            <v>0.109</v>
          </cell>
          <cell r="T70">
            <v>9.7285714285714295E-2</v>
          </cell>
        </row>
        <row r="71">
          <cell r="B71" t="str">
            <v>FY(3)</v>
          </cell>
          <cell r="C71">
            <v>5.8999999999999997E-2</v>
          </cell>
          <cell r="D71">
            <v>3.6999999999999998E-2</v>
          </cell>
          <cell r="E71">
            <v>4.3999999999999997E-2</v>
          </cell>
          <cell r="F71">
            <v>7.4999999999999997E-2</v>
          </cell>
          <cell r="G71">
            <v>4.9000000000000002E-2</v>
          </cell>
          <cell r="H71">
            <v>0.04</v>
          </cell>
          <cell r="I71">
            <v>0.04</v>
          </cell>
          <cell r="J71">
            <v>4.9142857142857141E-2</v>
          </cell>
          <cell r="M71">
            <v>0.01</v>
          </cell>
          <cell r="N71">
            <v>2.0075199121431499E-2</v>
          </cell>
          <cell r="O71">
            <v>0.12</v>
          </cell>
          <cell r="P71">
            <v>0.20699999999999999</v>
          </cell>
          <cell r="Q71">
            <v>-7.0000000000000007E-2</v>
          </cell>
          <cell r="R71">
            <v>7.0000000000000007E-2</v>
          </cell>
          <cell r="S71">
            <v>-6.2E-2</v>
          </cell>
          <cell r="T71">
            <v>4.2153599874490209E-2</v>
          </cell>
        </row>
        <row r="72">
          <cell r="B72" t="str">
            <v>FY(2)</v>
          </cell>
          <cell r="C72">
            <v>-7.9988102247825297E-3</v>
          </cell>
          <cell r="D72">
            <v>-1.0999999999999999E-2</v>
          </cell>
          <cell r="E72">
            <v>-1.2999999999999999E-2</v>
          </cell>
          <cell r="F72">
            <v>3.9E-2</v>
          </cell>
          <cell r="G72">
            <v>0.117894805327276</v>
          </cell>
          <cell r="H72">
            <v>0.01</v>
          </cell>
          <cell r="I72">
            <v>0.04</v>
          </cell>
          <cell r="J72">
            <v>2.4985142157499068E-2</v>
          </cell>
          <cell r="M72">
            <v>-0.01</v>
          </cell>
          <cell r="N72">
            <v>3.3000000000000002E-2</v>
          </cell>
          <cell r="O72">
            <v>0.01</v>
          </cell>
          <cell r="P72">
            <v>0.223</v>
          </cell>
          <cell r="Q72">
            <v>-0.04</v>
          </cell>
          <cell r="R72">
            <v>-0.02</v>
          </cell>
          <cell r="S72">
            <v>5.5E-2</v>
          </cell>
          <cell r="T72">
            <v>3.5857142857142858E-2</v>
          </cell>
        </row>
        <row r="73">
          <cell r="B73" t="str">
            <v>FY(1)</v>
          </cell>
          <cell r="C73">
            <v>-6.9000000000000006E-2</v>
          </cell>
          <cell r="D73">
            <v>-8.5000000000000006E-2</v>
          </cell>
          <cell r="E73">
            <v>-4.4999999999999998E-2</v>
          </cell>
          <cell r="F73">
            <v>-9.0392473766734996E-2</v>
          </cell>
          <cell r="G73">
            <v>-6.0999999999999999E-2</v>
          </cell>
          <cell r="H73">
            <v>0.02</v>
          </cell>
          <cell r="I73">
            <v>-7.2019165762476399E-3</v>
          </cell>
          <cell r="J73">
            <v>-4.8227770048997518E-2</v>
          </cell>
          <cell r="M73">
            <v>-0.13</v>
          </cell>
          <cell r="N73">
            <v>0.08</v>
          </cell>
          <cell r="O73">
            <v>-9.97396193878715E-2</v>
          </cell>
          <cell r="P73">
            <v>9.8000000000000004E-2</v>
          </cell>
          <cell r="Q73">
            <v>-0.12</v>
          </cell>
          <cell r="R73">
            <v>-8.4306869759510406E-2</v>
          </cell>
          <cell r="S73">
            <v>7.8E-2</v>
          </cell>
          <cell r="T73">
            <v>-2.5435212735340273E-2</v>
          </cell>
        </row>
        <row r="74">
          <cell r="B74" t="str">
            <v>FY0</v>
          </cell>
          <cell r="C74">
            <v>6.5541130581591696E-3</v>
          </cell>
          <cell r="D74">
            <v>-6.3078925007644296E-2</v>
          </cell>
          <cell r="E74">
            <v>-5.2999999999999999E-2</v>
          </cell>
          <cell r="F74">
            <v>-3.4224630661177001E-2</v>
          </cell>
          <cell r="G74">
            <v>-0.14699999999999999</v>
          </cell>
          <cell r="H74">
            <v>6.1429424489502199E-2</v>
          </cell>
          <cell r="I74">
            <v>5.67421533164396E-2</v>
          </cell>
          <cell r="J74">
            <v>-2.4653980686388625E-2</v>
          </cell>
          <cell r="M74">
            <v>-0.23</v>
          </cell>
          <cell r="N74">
            <v>0.102299627147601</v>
          </cell>
          <cell r="O74">
            <v>-3.6220023152869797E-2</v>
          </cell>
          <cell r="P74">
            <v>-6.8000000000000005E-2</v>
          </cell>
          <cell r="Q74">
            <v>-2.9938719447770702E-2</v>
          </cell>
          <cell r="R74">
            <v>-3.8209678879894897E-2</v>
          </cell>
          <cell r="S74">
            <v>-2.3256719605994101E-2</v>
          </cell>
          <cell r="T74">
            <v>-4.6189359134132642E-2</v>
          </cell>
        </row>
        <row r="75">
          <cell r="B75" t="str">
            <v>FY1</v>
          </cell>
          <cell r="C75">
            <v>5.2404169492854501E-2</v>
          </cell>
          <cell r="D75">
            <v>1.86033499008923E-2</v>
          </cell>
          <cell r="E75">
            <v>4.3679773152782701E-2</v>
          </cell>
          <cell r="F75">
            <v>3.97315603069179E-2</v>
          </cell>
          <cell r="G75">
            <v>4.2591937598611899E-2</v>
          </cell>
          <cell r="H75">
            <v>5.2923780943401597E-2</v>
          </cell>
          <cell r="I75">
            <v>3.8739178634559598E-2</v>
          </cell>
          <cell r="J75">
            <v>4.1239107147145793E-2</v>
          </cell>
          <cell r="M75">
            <v>-4.3817488406315802E-2</v>
          </cell>
          <cell r="N75">
            <v>3.6299681250220303E-2</v>
          </cell>
          <cell r="O75">
            <v>3.3506756084832397E-2</v>
          </cell>
          <cell r="P75">
            <v>2.1792814193442801E-2</v>
          </cell>
          <cell r="Q75">
            <v>6.4617414056954703E-3</v>
          </cell>
          <cell r="R75">
            <v>6.9899914522689399E-2</v>
          </cell>
          <cell r="S75">
            <v>6.5643552140244005E-2</v>
          </cell>
          <cell r="T75">
            <v>2.7112424455829794E-2</v>
          </cell>
        </row>
        <row r="76">
          <cell r="B76" t="str">
            <v>FY2</v>
          </cell>
          <cell r="C76">
            <v>0.04</v>
          </cell>
          <cell r="D76">
            <v>0.02</v>
          </cell>
          <cell r="E76">
            <v>0.01</v>
          </cell>
          <cell r="F76">
            <v>0.02</v>
          </cell>
          <cell r="G76">
            <v>0.02</v>
          </cell>
          <cell r="H76">
            <v>0.02</v>
          </cell>
          <cell r="I76">
            <v>0.02</v>
          </cell>
          <cell r="J76">
            <v>2.1428571428571429E-2</v>
          </cell>
          <cell r="M76">
            <v>1.04505589012915E-2</v>
          </cell>
          <cell r="N76">
            <v>0.03</v>
          </cell>
          <cell r="O76">
            <v>0.04</v>
          </cell>
          <cell r="P76">
            <v>0.04</v>
          </cell>
          <cell r="Q76">
            <v>-3.10077885527596E-2</v>
          </cell>
          <cell r="R76">
            <v>1.82099005897415E-2</v>
          </cell>
          <cell r="S76">
            <v>5.1020186507036699E-2</v>
          </cell>
          <cell r="T76">
            <v>2.2667551063615732E-2</v>
          </cell>
        </row>
        <row r="77">
          <cell r="B77" t="str">
            <v>FQ(3)</v>
          </cell>
          <cell r="C77">
            <v>-4.2000000000000003E-2</v>
          </cell>
          <cell r="D77">
            <v>-7.4999999999999997E-2</v>
          </cell>
          <cell r="E77">
            <v>-0.09</v>
          </cell>
          <cell r="F77">
            <v>-0.13200000000000001</v>
          </cell>
          <cell r="G77">
            <v>-0.27600000000000002</v>
          </cell>
          <cell r="H77">
            <v>0.03</v>
          </cell>
          <cell r="I77">
            <v>-3.9548952924792102E-2</v>
          </cell>
          <cell r="J77">
            <v>-8.9221278989256012E-2</v>
          </cell>
          <cell r="M77">
            <v>-0.3</v>
          </cell>
          <cell r="N77">
            <v>0.11</v>
          </cell>
          <cell r="O77">
            <v>-0.1</v>
          </cell>
          <cell r="P77">
            <v>-4.2000000000000003E-2</v>
          </cell>
          <cell r="Q77">
            <v>-0.08</v>
          </cell>
          <cell r="R77">
            <v>-7.0000000000000007E-2</v>
          </cell>
          <cell r="S77">
            <v>-9.6000000000000002E-2</v>
          </cell>
          <cell r="T77">
            <v>-8.2571428571428587E-2</v>
          </cell>
        </row>
        <row r="78">
          <cell r="B78" t="str">
            <v>FQ(2)</v>
          </cell>
          <cell r="C78">
            <v>-2.3E-2</v>
          </cell>
          <cell r="D78">
            <v>-9.5000000000000001E-2</v>
          </cell>
          <cell r="E78">
            <v>-9.5000000000000001E-2</v>
          </cell>
          <cell r="F78">
            <v>-9.8000000000000004E-2</v>
          </cell>
          <cell r="G78">
            <v>-0.155</v>
          </cell>
          <cell r="H78">
            <v>0.03</v>
          </cell>
          <cell r="I78">
            <v>-5.3891204011856202E-3</v>
          </cell>
          <cell r="J78">
            <v>-6.3055588628740791E-2</v>
          </cell>
          <cell r="M78">
            <v>-0.3</v>
          </cell>
          <cell r="N78">
            <v>0.12</v>
          </cell>
          <cell r="O78">
            <v>-0.1</v>
          </cell>
          <cell r="P78">
            <v>-6.0999999999999999E-2</v>
          </cell>
          <cell r="Q78">
            <v>-0.08</v>
          </cell>
          <cell r="R78">
            <v>-0.09</v>
          </cell>
          <cell r="S78">
            <v>-0.06</v>
          </cell>
          <cell r="T78">
            <v>-8.1571428571428559E-2</v>
          </cell>
        </row>
        <row r="79">
          <cell r="A79" t="str">
            <v>mstag:revenueNet</v>
          </cell>
          <cell r="B79" t="str">
            <v>FQ(1)</v>
          </cell>
          <cell r="C79">
            <v>2.4E-2</v>
          </cell>
          <cell r="D79">
            <v>-4.5999999999999999E-2</v>
          </cell>
          <cell r="E79">
            <v>-3.5999999999999997E-2</v>
          </cell>
          <cell r="F79">
            <v>-1.2E-2</v>
          </cell>
          <cell r="G79">
            <v>-0.10100000000000001</v>
          </cell>
          <cell r="H79">
            <v>0.08</v>
          </cell>
          <cell r="I79">
            <v>7.6835872094774701E-2</v>
          </cell>
          <cell r="J79">
            <v>-2.0234468436036118E-3</v>
          </cell>
          <cell r="M79">
            <v>-0.22</v>
          </cell>
          <cell r="N79">
            <v>0.1</v>
          </cell>
          <cell r="O79">
            <v>-0.04</v>
          </cell>
          <cell r="P79">
            <v>-1.0999999999999999E-2</v>
          </cell>
          <cell r="Q79">
            <v>0</v>
          </cell>
          <cell r="R79">
            <v>-0.02</v>
          </cell>
          <cell r="S79">
            <v>-0.02</v>
          </cell>
          <cell r="T79">
            <v>-3.0142857142857141E-2</v>
          </cell>
        </row>
        <row r="80">
          <cell r="B80" t="str">
            <v>Last Reported Q</v>
          </cell>
          <cell r="C80">
            <v>6.5541130581591696E-3</v>
          </cell>
          <cell r="D80">
            <v>-6.3078925007644296E-2</v>
          </cell>
          <cell r="E80">
            <v>-5.2999999999999999E-2</v>
          </cell>
          <cell r="F80">
            <v>-3.4224630661177001E-2</v>
          </cell>
          <cell r="G80">
            <v>-0.14699999999999999</v>
          </cell>
          <cell r="H80">
            <v>6.1429424489502199E-2</v>
          </cell>
          <cell r="I80">
            <v>5.67421533164396E-2</v>
          </cell>
          <cell r="J80">
            <v>-2.4653980686388625E-2</v>
          </cell>
          <cell r="K80">
            <v>29178.162</v>
          </cell>
          <cell r="M80">
            <v>-0.23</v>
          </cell>
          <cell r="N80">
            <v>0.102299627147601</v>
          </cell>
          <cell r="O80">
            <v>-3.6220023152869797E-2</v>
          </cell>
          <cell r="P80">
            <v>3.2000000000000001E-2</v>
          </cell>
          <cell r="Q80">
            <v>-2.9938719447770702E-2</v>
          </cell>
          <cell r="R80">
            <v>-3.8209678879894897E-2</v>
          </cell>
          <cell r="S80">
            <v>-2.3256719605994101E-2</v>
          </cell>
          <cell r="T80">
            <v>-3.1903644848418358E-2</v>
          </cell>
          <cell r="U80">
            <v>11475.175999999999</v>
          </cell>
        </row>
        <row r="81">
          <cell r="B81" t="str">
            <v>FY(9)</v>
          </cell>
          <cell r="C81">
            <v>4556.9799999999996</v>
          </cell>
          <cell r="D81">
            <v>31743</v>
          </cell>
          <cell r="E81">
            <v>16029</v>
          </cell>
          <cell r="F81">
            <v>5149</v>
          </cell>
          <cell r="G81" t="str">
            <v>NA</v>
          </cell>
          <cell r="H81">
            <v>2468.6379999999999</v>
          </cell>
          <cell r="I81">
            <v>8795.3469999999998</v>
          </cell>
          <cell r="K81">
            <v>68741.964999999997</v>
          </cell>
          <cell r="M81">
            <v>1030.8579999999999</v>
          </cell>
          <cell r="N81" t="str">
            <v>NA</v>
          </cell>
          <cell r="O81">
            <v>832.10400000000004</v>
          </cell>
          <cell r="P81">
            <v>549</v>
          </cell>
          <cell r="Q81" t="str">
            <v>NA</v>
          </cell>
          <cell r="R81">
            <v>9766</v>
          </cell>
          <cell r="S81">
            <v>278.113</v>
          </cell>
          <cell r="U81">
            <v>12456.074999999999</v>
          </cell>
        </row>
        <row r="82">
          <cell r="A82" t="str">
            <v>mstag:revenueNet</v>
          </cell>
          <cell r="B82" t="str">
            <v>Revenue</v>
          </cell>
          <cell r="C82">
            <v>6152.2</v>
          </cell>
          <cell r="D82">
            <v>31846</v>
          </cell>
          <cell r="E82">
            <v>16638</v>
          </cell>
          <cell r="F82">
            <v>5528.5370000000003</v>
          </cell>
          <cell r="G82" t="str">
            <v>NA</v>
          </cell>
          <cell r="H82">
            <v>2709.0390000000002</v>
          </cell>
          <cell r="I82">
            <v>9579.0059999999994</v>
          </cell>
          <cell r="K82">
            <v>72452.781999999992</v>
          </cell>
          <cell r="M82">
            <v>1237.604</v>
          </cell>
          <cell r="N82" t="str">
            <v>NA</v>
          </cell>
          <cell r="O82">
            <v>1058.454</v>
          </cell>
          <cell r="P82">
            <v>600.49099999999999</v>
          </cell>
          <cell r="Q82">
            <v>13673.38</v>
          </cell>
          <cell r="R82">
            <v>9080</v>
          </cell>
          <cell r="S82">
            <v>295.33300000000003</v>
          </cell>
          <cell r="U82">
            <v>25945.261999999999</v>
          </cell>
        </row>
        <row r="83">
          <cell r="B83" t="str">
            <v>FY(10)</v>
          </cell>
          <cell r="C83">
            <v>4556.9799999999996</v>
          </cell>
          <cell r="D83">
            <v>31743</v>
          </cell>
          <cell r="E83">
            <v>16029</v>
          </cell>
          <cell r="F83">
            <v>5149</v>
          </cell>
          <cell r="G83" t="str">
            <v>NA</v>
          </cell>
          <cell r="H83">
            <v>2468.6379999999999</v>
          </cell>
          <cell r="I83">
            <v>8795.3469999999998</v>
          </cell>
          <cell r="K83">
            <v>68741.964999999997</v>
          </cell>
          <cell r="M83">
            <v>1030.8579999999999</v>
          </cell>
          <cell r="N83">
            <v>232.10029573498414</v>
          </cell>
          <cell r="O83">
            <v>832.10400000000004</v>
          </cell>
          <cell r="P83">
            <v>507.78100000000001</v>
          </cell>
          <cell r="Q83">
            <v>11635</v>
          </cell>
          <cell r="R83">
            <v>9766</v>
          </cell>
          <cell r="S83">
            <v>278.113</v>
          </cell>
          <cell r="U83">
            <v>24281.956295734984</v>
          </cell>
        </row>
        <row r="84">
          <cell r="B84" t="str">
            <v>FY(9)</v>
          </cell>
          <cell r="C84">
            <v>6152.2</v>
          </cell>
          <cell r="D84">
            <v>31846</v>
          </cell>
          <cell r="E84">
            <v>16638</v>
          </cell>
          <cell r="F84">
            <v>5528.5370000000003</v>
          </cell>
          <cell r="G84" t="str">
            <v>NA</v>
          </cell>
          <cell r="H84">
            <v>2709.0390000000002</v>
          </cell>
          <cell r="I84">
            <v>9579.0059999999994</v>
          </cell>
          <cell r="K84">
            <v>72452.781999999992</v>
          </cell>
          <cell r="M84">
            <v>1237.604</v>
          </cell>
          <cell r="N84">
            <v>309.60581176788753</v>
          </cell>
          <cell r="O84">
            <v>1058.454</v>
          </cell>
          <cell r="P84">
            <v>549</v>
          </cell>
          <cell r="Q84">
            <v>13673.38</v>
          </cell>
          <cell r="R84">
            <v>9080</v>
          </cell>
          <cell r="S84">
            <v>295.33300000000003</v>
          </cell>
          <cell r="U84">
            <v>26203.376811767885</v>
          </cell>
        </row>
        <row r="85">
          <cell r="B85" t="str">
            <v>FY(8)</v>
          </cell>
          <cell r="C85">
            <v>7488.6459999999997</v>
          </cell>
          <cell r="D85">
            <v>17840</v>
          </cell>
          <cell r="E85">
            <v>15785</v>
          </cell>
          <cell r="F85">
            <v>5634.13</v>
          </cell>
          <cell r="G85" t="str">
            <v>NA</v>
          </cell>
          <cell r="H85">
            <v>2986.596</v>
          </cell>
          <cell r="I85">
            <v>10708.998</v>
          </cell>
          <cell r="K85">
            <v>60443.369999999995</v>
          </cell>
          <cell r="M85">
            <v>1364.8530000000001</v>
          </cell>
          <cell r="N85">
            <v>412.99283302035195</v>
          </cell>
          <cell r="O85">
            <v>1271.248</v>
          </cell>
          <cell r="P85">
            <v>600.49099999999999</v>
          </cell>
          <cell r="Q85">
            <v>13847.873</v>
          </cell>
          <cell r="R85">
            <v>8423</v>
          </cell>
          <cell r="S85">
            <v>348.95800000000003</v>
          </cell>
          <cell r="U85">
            <v>26269.41583302035</v>
          </cell>
        </row>
        <row r="86">
          <cell r="B86" t="str">
            <v>FY(7)</v>
          </cell>
          <cell r="C86">
            <v>9120.2870000000003</v>
          </cell>
          <cell r="D86">
            <v>17384</v>
          </cell>
          <cell r="E86">
            <v>15571</v>
          </cell>
          <cell r="F86">
            <v>5944.6559999999999</v>
          </cell>
          <cell r="G86" t="str">
            <v>NA</v>
          </cell>
          <cell r="H86">
            <v>3531.3490000000002</v>
          </cell>
          <cell r="I86">
            <v>11981.207</v>
          </cell>
          <cell r="K86">
            <v>63532.499000000003</v>
          </cell>
          <cell r="M86">
            <v>1595.7570000000001</v>
          </cell>
          <cell r="N86">
            <v>550.904</v>
          </cell>
          <cell r="O86">
            <v>1382.923</v>
          </cell>
          <cell r="P86">
            <v>719.4</v>
          </cell>
          <cell r="Q86">
            <v>14455.105</v>
          </cell>
          <cell r="R86">
            <v>8444.6380000000008</v>
          </cell>
          <cell r="S86">
            <v>422.75400000000002</v>
          </cell>
          <cell r="U86">
            <v>27571.481</v>
          </cell>
        </row>
        <row r="87">
          <cell r="B87" t="str">
            <v>FY(6)</v>
          </cell>
          <cell r="C87">
            <v>10282.093999999999</v>
          </cell>
          <cell r="D87">
            <v>17513</v>
          </cell>
          <cell r="E87">
            <v>15412</v>
          </cell>
          <cell r="F87">
            <v>6448.5720000000001</v>
          </cell>
          <cell r="G87">
            <v>2441.989</v>
          </cell>
          <cell r="H87">
            <v>3920.5830000000001</v>
          </cell>
          <cell r="I87">
            <v>13327.938</v>
          </cell>
          <cell r="K87">
            <v>69346.175999999992</v>
          </cell>
          <cell r="M87">
            <v>1707.809</v>
          </cell>
          <cell r="N87">
            <v>734.86800000000005</v>
          </cell>
          <cell r="O87">
            <v>1435.4359999999999</v>
          </cell>
          <cell r="P87">
            <v>926.40599999999995</v>
          </cell>
          <cell r="Q87">
            <v>15853.771000000001</v>
          </cell>
          <cell r="R87">
            <v>8933.973</v>
          </cell>
          <cell r="S87">
            <v>548.36099999999999</v>
          </cell>
          <cell r="U87">
            <v>30140.624</v>
          </cell>
        </row>
        <row r="88">
          <cell r="B88" t="str">
            <v>FY(5)</v>
          </cell>
          <cell r="C88">
            <v>11700.7</v>
          </cell>
          <cell r="D88">
            <v>18096</v>
          </cell>
          <cell r="E88">
            <v>15776</v>
          </cell>
          <cell r="F88">
            <v>7131.4129999999996</v>
          </cell>
          <cell r="G88">
            <v>2766.9769999999999</v>
          </cell>
          <cell r="H88">
            <v>4239.99</v>
          </cell>
          <cell r="I88">
            <v>14913.483</v>
          </cell>
          <cell r="K88">
            <v>74624.562999999995</v>
          </cell>
          <cell r="M88">
            <v>2021.2539999999999</v>
          </cell>
          <cell r="N88">
            <v>964.21199999999999</v>
          </cell>
          <cell r="O88">
            <v>1881.241</v>
          </cell>
          <cell r="P88">
            <v>1272.3</v>
          </cell>
          <cell r="Q88">
            <v>16267</v>
          </cell>
          <cell r="R88">
            <v>9408.3119999999999</v>
          </cell>
          <cell r="S88">
            <v>827.75</v>
          </cell>
          <cell r="U88">
            <v>32642.069000000003</v>
          </cell>
        </row>
        <row r="89">
          <cell r="B89" t="str">
            <v>FY(4)</v>
          </cell>
          <cell r="C89">
            <v>13402.2</v>
          </cell>
          <cell r="D89">
            <v>18781</v>
          </cell>
          <cell r="E89">
            <v>22390</v>
          </cell>
          <cell r="F89">
            <v>7722.6120000000001</v>
          </cell>
          <cell r="G89">
            <v>2778.3330000000001</v>
          </cell>
          <cell r="H89">
            <v>4944.1790000000001</v>
          </cell>
          <cell r="I89">
            <v>15955.942999999999</v>
          </cell>
          <cell r="K89">
            <v>85974.266999999993</v>
          </cell>
          <cell r="M89">
            <v>2768.1640000000002</v>
          </cell>
          <cell r="N89">
            <v>1204.347</v>
          </cell>
          <cell r="O89">
            <v>2321.962</v>
          </cell>
          <cell r="P89">
            <v>1651.704</v>
          </cell>
          <cell r="Q89">
            <v>16023</v>
          </cell>
          <cell r="R89">
            <v>9669.5</v>
          </cell>
          <cell r="S89">
            <v>1092.107</v>
          </cell>
          <cell r="U89">
            <v>34730.784</v>
          </cell>
        </row>
        <row r="90">
          <cell r="B90" t="str">
            <v>FY(3)</v>
          </cell>
          <cell r="C90">
            <v>15585.300999999999</v>
          </cell>
          <cell r="D90">
            <v>19903.088</v>
          </cell>
          <cell r="E90">
            <v>26970</v>
          </cell>
          <cell r="F90">
            <v>8560.6980000000003</v>
          </cell>
          <cell r="G90">
            <v>2940.0030000000002</v>
          </cell>
          <cell r="H90">
            <v>5570.21</v>
          </cell>
          <cell r="I90">
            <v>17404.636999999999</v>
          </cell>
          <cell r="K90">
            <v>96933.937000000005</v>
          </cell>
          <cell r="M90">
            <v>3284.1759999999999</v>
          </cell>
          <cell r="N90">
            <v>1413.2080000000001</v>
          </cell>
          <cell r="O90">
            <v>2794.4090000000001</v>
          </cell>
          <cell r="P90">
            <v>2035.085</v>
          </cell>
          <cell r="Q90">
            <v>15923</v>
          </cell>
          <cell r="R90">
            <v>10670.652</v>
          </cell>
          <cell r="S90">
            <v>1224.7170000000001</v>
          </cell>
          <cell r="U90">
            <v>37345.246999999996</v>
          </cell>
        </row>
        <row r="91">
          <cell r="B91" t="str">
            <v>FY(2)</v>
          </cell>
          <cell r="C91">
            <v>16473.7</v>
          </cell>
          <cell r="D91">
            <v>19860.93</v>
          </cell>
          <cell r="E91">
            <v>26313</v>
          </cell>
          <cell r="F91">
            <v>8827.8140000000003</v>
          </cell>
          <cell r="G91">
            <v>3264.6329999999998</v>
          </cell>
          <cell r="H91">
            <v>5975.2120000000004</v>
          </cell>
          <cell r="I91">
            <v>18336.725999999999</v>
          </cell>
          <cell r="K91">
            <v>99052.014999999999</v>
          </cell>
          <cell r="M91">
            <v>3699.6559999999999</v>
          </cell>
          <cell r="N91">
            <v>1583.183</v>
          </cell>
          <cell r="O91">
            <v>3055.4189999999999</v>
          </cell>
          <cell r="P91">
            <v>2612.4560000000001</v>
          </cell>
          <cell r="Q91">
            <v>15763</v>
          </cell>
          <cell r="R91">
            <v>10086.293</v>
          </cell>
          <cell r="S91">
            <v>1507.7239999999999</v>
          </cell>
          <cell r="U91">
            <v>38307.731</v>
          </cell>
        </row>
        <row r="92">
          <cell r="B92" t="str">
            <v>FY(1)</v>
          </cell>
          <cell r="C92">
            <v>16388.900000000001</v>
          </cell>
          <cell r="D92">
            <v>18486.4729787059</v>
          </cell>
          <cell r="E92">
            <v>24892</v>
          </cell>
          <cell r="F92">
            <v>8291</v>
          </cell>
          <cell r="G92">
            <v>3036.8879999999999</v>
          </cell>
          <cell r="H92">
            <v>6486.1390000000001</v>
          </cell>
          <cell r="I92">
            <v>18999.505000000001</v>
          </cell>
          <cell r="K92">
            <v>96580.904978705905</v>
          </cell>
          <cell r="M92">
            <v>3484.0569999999998</v>
          </cell>
          <cell r="N92">
            <v>1885.5309999999999</v>
          </cell>
          <cell r="O92">
            <v>2988.817</v>
          </cell>
          <cell r="P92">
            <v>3180.7570000000001</v>
          </cell>
          <cell r="Q92">
            <v>14526</v>
          </cell>
          <cell r="R92">
            <v>9042.7009999999991</v>
          </cell>
          <cell r="S92">
            <v>1834.6179999999999</v>
          </cell>
          <cell r="U92">
            <v>36942.481</v>
          </cell>
        </row>
        <row r="93">
          <cell r="B93" t="str">
            <v>FY0</v>
          </cell>
          <cell r="C93">
            <v>17177</v>
          </cell>
          <cell r="D93">
            <v>17557.479531695401</v>
          </cell>
          <cell r="E93">
            <v>23489</v>
          </cell>
          <cell r="F93">
            <v>8258</v>
          </cell>
          <cell r="G93">
            <v>2625.71</v>
          </cell>
          <cell r="H93">
            <v>7184.2129999999997</v>
          </cell>
          <cell r="I93">
            <v>20288.444</v>
          </cell>
          <cell r="K93">
            <v>96579.84653169541</v>
          </cell>
          <cell r="M93">
            <v>2928.625</v>
          </cell>
          <cell r="N93">
            <v>2230.105</v>
          </cell>
          <cell r="O93">
            <v>2990.558</v>
          </cell>
          <cell r="P93">
            <v>3230.4679999999998</v>
          </cell>
          <cell r="Q93">
            <v>14197</v>
          </cell>
          <cell r="R93">
            <v>8632.5365000000002</v>
          </cell>
          <cell r="S93">
            <v>1937.8150000000001</v>
          </cell>
          <cell r="U93">
            <v>36147.107500000006</v>
          </cell>
        </row>
        <row r="94">
          <cell r="B94" t="str">
            <v>FY1</v>
          </cell>
          <cell r="C94">
            <v>18498.109536433902</v>
          </cell>
          <cell r="D94">
            <v>17806.182108049401</v>
          </cell>
          <cell r="E94">
            <v>24544.575112720999</v>
          </cell>
          <cell r="F94">
            <v>8931.4666703660005</v>
          </cell>
          <cell r="G94">
            <v>2737.49293223829</v>
          </cell>
          <cell r="H94">
            <v>7803.8611769138997</v>
          </cell>
          <cell r="I94">
            <v>22056.154446994798</v>
          </cell>
          <cell r="K94">
            <v>102377.8419837173</v>
          </cell>
          <cell r="M94">
            <v>3162.7476001191799</v>
          </cell>
          <cell r="N94">
            <v>2430.26432838644</v>
          </cell>
          <cell r="O94">
            <v>2988.9123471029702</v>
          </cell>
          <cell r="P94">
            <v>3476.1003261498299</v>
          </cell>
          <cell r="Q94">
            <v>14057.709404797301</v>
          </cell>
          <cell r="R94">
            <v>9110.7464272638808</v>
          </cell>
          <cell r="S94">
            <v>2261.5106702375401</v>
          </cell>
          <cell r="U94">
            <v>37487.991104057146</v>
          </cell>
        </row>
        <row r="95">
          <cell r="B95" t="str">
            <v>FY2</v>
          </cell>
          <cell r="C95">
            <v>20039.552621656901</v>
          </cell>
          <cell r="D95">
            <v>18198.430040241499</v>
          </cell>
          <cell r="E95">
            <v>24750.731353234001</v>
          </cell>
          <cell r="F95">
            <v>9352.2268005773403</v>
          </cell>
          <cell r="G95">
            <v>2932.27969354073</v>
          </cell>
          <cell r="H95">
            <v>8161.2515621648599</v>
          </cell>
          <cell r="I95">
            <v>23509.655025051801</v>
          </cell>
          <cell r="K95">
            <v>106944.12709646713</v>
          </cell>
          <cell r="M95">
            <v>3416.94856393808</v>
          </cell>
          <cell r="N95">
            <v>2750.6661824206799</v>
          </cell>
          <cell r="O95">
            <v>3305.3180742735199</v>
          </cell>
          <cell r="P95">
            <v>3717.3890173600098</v>
          </cell>
          <cell r="Q95">
            <v>13508.772793591699</v>
          </cell>
          <cell r="R95">
            <v>9454.1724434505995</v>
          </cell>
          <cell r="S95">
            <v>2580.1207421026002</v>
          </cell>
          <cell r="U95">
            <v>38733.387817137183</v>
          </cell>
        </row>
        <row r="96">
          <cell r="B96" t="str">
            <v>FQ(3)</v>
          </cell>
          <cell r="C96">
            <v>3638</v>
          </cell>
          <cell r="D96">
            <v>3884.4351206486299</v>
          </cell>
          <cell r="E96">
            <v>5199</v>
          </cell>
          <cell r="F96">
            <v>1706</v>
          </cell>
          <cell r="G96">
            <v>621.26599999999996</v>
          </cell>
          <cell r="H96">
            <v>1691.5989999999999</v>
          </cell>
          <cell r="I96">
            <v>4354.2240000000002</v>
          </cell>
          <cell r="K96">
            <v>21094.524120648632</v>
          </cell>
          <cell r="M96">
            <v>601.72900000000004</v>
          </cell>
          <cell r="N96">
            <v>408.024</v>
          </cell>
          <cell r="O96">
            <v>612</v>
          </cell>
          <cell r="P96">
            <v>739.93899999999996</v>
          </cell>
          <cell r="Q96">
            <v>3127</v>
          </cell>
          <cell r="R96">
            <v>1725.2370000000001</v>
          </cell>
          <cell r="S96">
            <v>384.79599999999999</v>
          </cell>
          <cell r="U96">
            <v>7598.7250000000004</v>
          </cell>
        </row>
        <row r="97">
          <cell r="B97" t="str">
            <v>FQ(2)</v>
          </cell>
          <cell r="C97">
            <v>3806</v>
          </cell>
          <cell r="D97">
            <v>3942.65022008711</v>
          </cell>
          <cell r="E97">
            <v>5164</v>
          </cell>
          <cell r="F97">
            <v>2145</v>
          </cell>
          <cell r="G97">
            <v>561.69600000000003</v>
          </cell>
          <cell r="H97">
            <v>1768.636</v>
          </cell>
          <cell r="I97">
            <v>4747.5280000000002</v>
          </cell>
          <cell r="K97">
            <v>22135.510220087112</v>
          </cell>
          <cell r="M97">
            <v>637.221</v>
          </cell>
          <cell r="N97">
            <v>453.02</v>
          </cell>
          <cell r="O97">
            <v>657.596</v>
          </cell>
          <cell r="P97">
            <v>777.74400000000003</v>
          </cell>
          <cell r="Q97">
            <v>3245</v>
          </cell>
          <cell r="R97">
            <v>2066.61</v>
          </cell>
          <cell r="S97">
            <v>458.62599999999998</v>
          </cell>
          <cell r="U97">
            <v>8295.8170000000009</v>
          </cell>
        </row>
        <row r="98">
          <cell r="B98" t="str">
            <v>FQ(1)</v>
          </cell>
          <cell r="C98">
            <v>4051</v>
          </cell>
          <cell r="D98">
            <v>4180.3941909596297</v>
          </cell>
          <cell r="E98">
            <v>5277</v>
          </cell>
          <cell r="F98">
            <v>1868</v>
          </cell>
          <cell r="G98">
            <v>631.43399999999997</v>
          </cell>
          <cell r="H98">
            <v>1744.1389999999999</v>
          </cell>
          <cell r="I98">
            <v>5244.9459999999999</v>
          </cell>
          <cell r="K98">
            <v>22996.913190959629</v>
          </cell>
          <cell r="M98">
            <v>753.68399999999997</v>
          </cell>
          <cell r="N98">
            <v>567.83799999999997</v>
          </cell>
          <cell r="O98">
            <v>748.96199999999999</v>
          </cell>
          <cell r="P98">
            <v>761.43700000000001</v>
          </cell>
          <cell r="Q98">
            <v>3589</v>
          </cell>
          <cell r="R98">
            <v>1777.2895000000001</v>
          </cell>
          <cell r="S98">
            <v>505.9</v>
          </cell>
          <cell r="U98">
            <v>8704.1105000000007</v>
          </cell>
        </row>
        <row r="99">
          <cell r="B99" t="str">
            <v>Last Reported Q</v>
          </cell>
          <cell r="C99">
            <v>17177</v>
          </cell>
          <cell r="D99">
            <v>17557.479531695401</v>
          </cell>
          <cell r="E99">
            <v>23489</v>
          </cell>
          <cell r="F99">
            <v>8258</v>
          </cell>
          <cell r="G99">
            <v>2625.71</v>
          </cell>
          <cell r="H99">
            <v>7184.2129999999997</v>
          </cell>
          <cell r="I99">
            <v>20288.444</v>
          </cell>
          <cell r="K99">
            <v>96579.84653169541</v>
          </cell>
          <cell r="M99">
            <v>2928.625</v>
          </cell>
          <cell r="N99">
            <v>2230.105</v>
          </cell>
          <cell r="O99">
            <v>2990.558</v>
          </cell>
          <cell r="P99">
            <v>1065.0050000000001</v>
          </cell>
          <cell r="Q99">
            <v>14197</v>
          </cell>
          <cell r="R99">
            <v>8632.5365000000002</v>
          </cell>
          <cell r="S99">
            <v>1937.8150000000001</v>
          </cell>
          <cell r="U99">
            <v>33981.644500000002</v>
          </cell>
          <cell r="AA99" t="str">
            <v>Avg</v>
          </cell>
        </row>
        <row r="100">
          <cell r="B100" t="str">
            <v>LTM</v>
          </cell>
          <cell r="C100">
            <v>28672</v>
          </cell>
          <cell r="D100">
            <v>29564.959063390772</v>
          </cell>
          <cell r="E100">
            <v>39129</v>
          </cell>
          <cell r="F100">
            <v>13977</v>
          </cell>
          <cell r="G100">
            <v>4440.1059999999998</v>
          </cell>
          <cell r="H100">
            <v>12388.587</v>
          </cell>
          <cell r="I100">
            <v>34635.142</v>
          </cell>
          <cell r="K100">
            <v>162806.79406339076</v>
          </cell>
          <cell r="M100">
            <v>4921.259</v>
          </cell>
          <cell r="N100">
            <v>3658.9870000000001</v>
          </cell>
          <cell r="O100">
            <v>5009.116</v>
          </cell>
          <cell r="P100">
            <v>3344.125</v>
          </cell>
          <cell r="Q100">
            <v>24158</v>
          </cell>
          <cell r="R100">
            <v>14201.673000000001</v>
          </cell>
          <cell r="S100">
            <v>3287.1370000000002</v>
          </cell>
          <cell r="U100">
            <v>58580.297000000006</v>
          </cell>
          <cell r="X100" t="str">
            <v>% Chg Sales</v>
          </cell>
          <cell r="Y100" t="str">
            <v>GM</v>
          </cell>
          <cell r="Z100" t="str">
            <v>SG&amp;A</v>
          </cell>
          <cell r="AA100" t="str">
            <v>% Chg EPS</v>
          </cell>
          <cell r="AB100" t="str">
            <v>Y/Y Stock Return</v>
          </cell>
        </row>
        <row r="101">
          <cell r="B101" t="str">
            <v>FY1</v>
          </cell>
          <cell r="C101">
            <v>4.3222849199793689E-2</v>
          </cell>
          <cell r="D101">
            <v>-5.2735424999238778E-2</v>
          </cell>
          <cell r="E101">
            <v>-6.3459608302113168E-2</v>
          </cell>
          <cell r="F101">
            <v>-2.5871558510100034E-2</v>
          </cell>
          <cell r="G101">
            <v>-0.15055978898799161</v>
          </cell>
          <cell r="H101">
            <v>9.870750403746964E-2</v>
          </cell>
          <cell r="I101">
            <v>5.1592050593949557E-2</v>
          </cell>
          <cell r="K101">
            <v>-9.2860793391353891E-3</v>
          </cell>
          <cell r="M101">
            <v>-0.16119630832569265</v>
          </cell>
          <cell r="N101">
            <v>0.15716657972563697</v>
          </cell>
          <cell r="O101">
            <v>-1.2369922577250447E-2</v>
          </cell>
          <cell r="P101">
            <v>8.0404128485095816E-2</v>
          </cell>
          <cell r="Q101">
            <v>-1.7904211109190493E-2</v>
          </cell>
          <cell r="R101">
            <v>-6.1916819776748011E-2</v>
          </cell>
          <cell r="S101">
            <v>5.6907951718232486E-2</v>
          </cell>
          <cell r="U101">
            <v>-2.070623056639842E-2</v>
          </cell>
          <cell r="W101" t="str">
            <v>Dept Stores</v>
          </cell>
          <cell r="X101">
            <v>-3.5409089577638664E-2</v>
          </cell>
          <cell r="Y101">
            <v>157.63350500292728</v>
          </cell>
          <cell r="Z101">
            <v>140.95424200297856</v>
          </cell>
          <cell r="AA101">
            <v>-0.27193440625115911</v>
          </cell>
          <cell r="AB101">
            <v>0.55000000000000004</v>
          </cell>
        </row>
        <row r="102">
          <cell r="B102" t="str">
            <v>Revenue Growth</v>
          </cell>
          <cell r="C102">
            <v>6.2837928325937487E-2</v>
          </cell>
          <cell r="D102">
            <v>-2.2980410921283889E-3</v>
          </cell>
          <cell r="E102">
            <v>-1.7603372549021334E-2</v>
          </cell>
          <cell r="F102">
            <v>1.0432109608290219E-2</v>
          </cell>
          <cell r="G102">
            <v>1.6315182620068924E-2</v>
          </cell>
          <cell r="H102">
            <v>4.2812256217959366E-2</v>
          </cell>
          <cell r="I102">
            <v>6.590000000000007E-2</v>
          </cell>
          <cell r="K102">
            <v>2.4788718789983566E-2</v>
          </cell>
          <cell r="M102">
            <v>0.11024888457662718</v>
          </cell>
          <cell r="N102">
            <v>0.10712689289907362</v>
          </cell>
          <cell r="O102">
            <v>7.1732264728360029E-2</v>
          </cell>
          <cell r="P102">
            <v>7.0465151392704151E-2</v>
          </cell>
          <cell r="Q102">
            <v>-1.1298021641825362E-2</v>
          </cell>
          <cell r="R102">
            <v>7.6674865314052543E-3</v>
          </cell>
          <cell r="S102">
            <v>0.16454681980554886</v>
          </cell>
          <cell r="U102">
            <v>3.4225307407317107E-2</v>
          </cell>
          <cell r="W102" t="str">
            <v>Off-Price</v>
          </cell>
          <cell r="X102">
            <v>6.358301225388252E-2</v>
          </cell>
          <cell r="Y102">
            <v>182.45939169460684</v>
          </cell>
          <cell r="Z102">
            <v>-27.013836931441965</v>
          </cell>
          <cell r="AA102">
            <v>0.40811766300825936</v>
          </cell>
          <cell r="AB102">
            <v>0.61</v>
          </cell>
        </row>
        <row r="103">
          <cell r="B103" t="str">
            <v>FY(5)</v>
          </cell>
          <cell r="C103">
            <v>0.13796858888860597</v>
          </cell>
          <cell r="D103">
            <v>3.3289556329583636E-2</v>
          </cell>
          <cell r="E103">
            <v>2.361796003114458E-2</v>
          </cell>
          <cell r="F103">
            <v>0.10589026531765477</v>
          </cell>
          <cell r="G103">
            <v>0.13308331855712696</v>
          </cell>
          <cell r="H103">
            <v>8.1469261076732691E-2</v>
          </cell>
          <cell r="I103">
            <v>0.11896401378817933</v>
          </cell>
          <cell r="K103">
            <v>7.6116482616143122E-2</v>
          </cell>
          <cell r="M103">
            <v>0.18353633222450516</v>
          </cell>
          <cell r="N103">
            <v>0.31208870164437674</v>
          </cell>
          <cell r="O103">
            <v>0.31057114354105653</v>
          </cell>
          <cell r="P103">
            <v>0.37337193411959779</v>
          </cell>
          <cell r="Q103">
            <v>2.6065028944848523E-2</v>
          </cell>
          <cell r="R103">
            <v>5.3093847496517022E-2</v>
          </cell>
          <cell r="S103">
            <v>0.50949830494874737</v>
          </cell>
          <cell r="U103">
            <v>8.2992475537334798E-2</v>
          </cell>
          <cell r="W103" t="str">
            <v>Specialty</v>
          </cell>
          <cell r="X103">
            <v>-2.070623056639842E-2</v>
          </cell>
          <cell r="Y103">
            <v>78.241077287845656</v>
          </cell>
          <cell r="Z103">
            <v>115.90085133750428</v>
          </cell>
          <cell r="AA103">
            <v>-1.7056810027645159E-2</v>
          </cell>
          <cell r="AB103">
            <v>0.76</v>
          </cell>
        </row>
        <row r="104">
          <cell r="B104" t="str">
            <v>FY(4)</v>
          </cell>
          <cell r="C104">
            <v>0.14541865016622935</v>
          </cell>
          <cell r="D104">
            <v>3.7853669319186656E-2</v>
          </cell>
          <cell r="E104">
            <v>0.41924442190669375</v>
          </cell>
          <cell r="F104">
            <v>8.2900681814389365E-2</v>
          </cell>
          <cell r="G104">
            <v>4.1041179597807176E-3</v>
          </cell>
          <cell r="H104">
            <v>0.16608270302524297</v>
          </cell>
          <cell r="I104">
            <v>6.990050546877602E-2</v>
          </cell>
          <cell r="K104">
            <v>0.15209072648103805</v>
          </cell>
          <cell r="M104">
            <v>0.36952802567119236</v>
          </cell>
          <cell r="N104">
            <v>0.24904792721932512</v>
          </cell>
          <cell r="O104">
            <v>0.23427141977024735</v>
          </cell>
          <cell r="P104">
            <v>0.29820325394954028</v>
          </cell>
          <cell r="Q104">
            <v>-1.4999692629249384E-2</v>
          </cell>
          <cell r="R104">
            <v>2.7761409272991866E-2</v>
          </cell>
          <cell r="S104">
            <v>0.31936816671700385</v>
          </cell>
          <cell r="U104">
            <v>6.3988437742717785E-2</v>
          </cell>
        </row>
        <row r="105">
          <cell r="A105" t="str">
            <v>mstag:costOfSalesWithoutDepreciation</v>
          </cell>
          <cell r="B105" t="str">
            <v>FY(3)</v>
          </cell>
          <cell r="C105">
            <v>0.16289124173643121</v>
          </cell>
          <cell r="D105">
            <v>5.9745913423140395E-2</v>
          </cell>
          <cell r="E105">
            <v>0.20455560518088434</v>
          </cell>
          <cell r="F105">
            <v>0.10852364459071628</v>
          </cell>
          <cell r="G105">
            <v>5.8189569068934466E-2</v>
          </cell>
          <cell r="H105">
            <v>0.12661980887018864</v>
          </cell>
          <cell r="I105">
            <v>9.07933802470966E-2</v>
          </cell>
          <cell r="K105">
            <v>0.12747616679302443</v>
          </cell>
          <cell r="M105">
            <v>0.18640947573915412</v>
          </cell>
          <cell r="N105">
            <v>0.17342260992886604</v>
          </cell>
          <cell r="O105">
            <v>0.20346887675164371</v>
          </cell>
          <cell r="P105">
            <v>0.23211241239350389</v>
          </cell>
          <cell r="Q105">
            <v>-6.2410285215003247E-3</v>
          </cell>
          <cell r="R105">
            <v>0.10353710119447745</v>
          </cell>
          <cell r="S105">
            <v>0.12142583098542548</v>
          </cell>
          <cell r="U105">
            <v>7.5277972417783445E-2</v>
          </cell>
        </row>
        <row r="106">
          <cell r="B106" t="str">
            <v>FY(2)</v>
          </cell>
          <cell r="C106">
            <v>5.7002363958193802E-2</v>
          </cell>
          <cell r="D106">
            <v>-2.1181637743851178E-3</v>
          </cell>
          <cell r="E106">
            <v>-2.4360400444938812E-2</v>
          </cell>
          <cell r="F106">
            <v>3.1202595863094373E-2</v>
          </cell>
          <cell r="G106">
            <v>0.11041825467525013</v>
          </cell>
          <cell r="H106">
            <v>7.270856933580605E-2</v>
          </cell>
          <cell r="I106">
            <v>5.3554061483729987E-2</v>
          </cell>
          <cell r="K106">
            <v>2.1850737373846574E-2</v>
          </cell>
          <cell r="M106">
            <v>0.12650966330671687</v>
          </cell>
          <cell r="N106">
            <v>0.12027599617324558</v>
          </cell>
          <cell r="O106">
            <v>9.3404365645830545E-2</v>
          </cell>
          <cell r="P106">
            <v>0.283708542886415</v>
          </cell>
          <cell r="Q106">
            <v>-1.0048357721534895E-2</v>
          </cell>
          <cell r="R106">
            <v>-5.476319535113694E-2</v>
          </cell>
          <cell r="S106">
            <v>0.23107950653089637</v>
          </cell>
          <cell r="U106">
            <v>2.577259697867329E-2</v>
          </cell>
        </row>
        <row r="107">
          <cell r="B107" t="str">
            <v>FY(1)</v>
          </cell>
          <cell r="C107">
            <v>-5.147598900064887E-3</v>
          </cell>
          <cell r="D107">
            <v>-6.9204061506389691E-2</v>
          </cell>
          <cell r="E107">
            <v>-5.4003724394785846E-2</v>
          </cell>
          <cell r="F107">
            <v>-6.0809391770148324E-2</v>
          </cell>
          <cell r="G107">
            <v>-6.9761287103328296E-2</v>
          </cell>
          <cell r="H107">
            <v>8.5507761063540411E-2</v>
          </cell>
          <cell r="I107">
            <v>3.6144893041429649E-2</v>
          </cell>
          <cell r="K107">
            <v>-2.4947599716109714E-2</v>
          </cell>
          <cell r="M107">
            <v>-5.8275418038866378E-2</v>
          </cell>
          <cell r="N107">
            <v>0.1909747641302364</v>
          </cell>
          <cell r="O107">
            <v>-2.1797992353912776E-2</v>
          </cell>
          <cell r="P107">
            <v>0.21753514700343279</v>
          </cell>
          <cell r="Q107">
            <v>-7.8474909598426734E-2</v>
          </cell>
          <cell r="R107">
            <v>-0.10346635775899038</v>
          </cell>
          <cell r="S107">
            <v>0.21681289148411786</v>
          </cell>
          <cell r="U107">
            <v>-3.5639020228057872E-2</v>
          </cell>
          <cell r="X107" t="str">
            <v>2010 vs. 2009</v>
          </cell>
          <cell r="Y107" t="str">
            <v>2008 vs. 2007</v>
          </cell>
          <cell r="AE107" t="str">
            <v>2009 vs. 2008</v>
          </cell>
          <cell r="AL107" t="str">
            <v>2008 vs. 2007</v>
          </cell>
        </row>
        <row r="108">
          <cell r="B108" t="str">
            <v>FY0</v>
          </cell>
          <cell r="C108">
            <v>4.8087425025474362E-2</v>
          </cell>
          <cell r="D108">
            <v>-5.0252606220807183E-2</v>
          </cell>
          <cell r="E108">
            <v>-5.6363490278000916E-2</v>
          </cell>
          <cell r="F108">
            <v>-3.9802195151369402E-3</v>
          </cell>
          <cell r="G108">
            <v>-0.13539452228728877</v>
          </cell>
          <cell r="H108">
            <v>0.10762550725477826</v>
          </cell>
          <cell r="I108">
            <v>6.7840662164619481E-2</v>
          </cell>
          <cell r="K108">
            <v>-1.095917470150809E-5</v>
          </cell>
          <cell r="L108" t="str">
            <v>GM</v>
          </cell>
          <cell r="M108">
            <v>-0.1594210427670959</v>
          </cell>
          <cell r="N108">
            <v>0.1827463987598188</v>
          </cell>
          <cell r="O108">
            <v>5.8250471674914372E-4</v>
          </cell>
          <cell r="P108">
            <v>1.5628669527411265E-2</v>
          </cell>
          <cell r="Q108">
            <v>-2.2649043095139709E-2</v>
          </cell>
          <cell r="R108">
            <v>-4.5358626808516544E-2</v>
          </cell>
          <cell r="S108">
            <v>5.6249856918443086E-2</v>
          </cell>
          <cell r="T108" t="str">
            <v>SG&amp;A</v>
          </cell>
          <cell r="U108">
            <v>-2.1530051000093753E-2</v>
          </cell>
          <cell r="V108" t="str">
            <v>Y/Y Stock Return</v>
          </cell>
          <cell r="X108" t="str">
            <v>% Chg Sales</v>
          </cell>
          <cell r="Y108" t="str">
            <v>GM</v>
          </cell>
          <cell r="Z108" t="str">
            <v>SG&amp;A</v>
          </cell>
          <cell r="AA108" t="str">
            <v>% Chg NI</v>
          </cell>
          <cell r="AB108" t="str">
            <v>Y/Y Stock Return</v>
          </cell>
          <cell r="AC108" t="str">
            <v>Y/Y Stock Return</v>
          </cell>
          <cell r="AE108" t="str">
            <v>% Chg Sales</v>
          </cell>
          <cell r="AF108" t="str">
            <v>GM</v>
          </cell>
          <cell r="AG108" t="str">
            <v>SG&amp;A</v>
          </cell>
          <cell r="AH108" t="str">
            <v>% Chg NI</v>
          </cell>
          <cell r="AI108" t="str">
            <v>Y/Y Stock Return</v>
          </cell>
          <cell r="AL108" t="str">
            <v>% Chg Sales</v>
          </cell>
          <cell r="AM108" t="str">
            <v>GM</v>
          </cell>
          <cell r="AN108" t="str">
            <v>SG&amp;A</v>
          </cell>
          <cell r="AO108" t="str">
            <v>% Chg NI</v>
          </cell>
          <cell r="AP108" t="str">
            <v>Y/Y Stock Return</v>
          </cell>
        </row>
        <row r="109">
          <cell r="A109" t="str">
            <v>mstag:costOfSalesWithDepreciation</v>
          </cell>
          <cell r="B109" t="str">
            <v>FY1</v>
          </cell>
          <cell r="C109">
            <v>7.6911540806537948E-2</v>
          </cell>
          <cell r="D109">
            <v>1.4165050052032502E-2</v>
          </cell>
          <cell r="E109">
            <v>4.4939125238239175E-2</v>
          </cell>
          <cell r="F109">
            <v>8.1553241749334093E-2</v>
          </cell>
          <cell r="G109">
            <v>4.2572459349391245E-2</v>
          </cell>
          <cell r="H109">
            <v>8.6251364890475912E-2</v>
          </cell>
          <cell r="I109">
            <v>8.7128931474232285E-2</v>
          </cell>
          <cell r="K109">
            <v>6.003318145798775E-2</v>
          </cell>
          <cell r="L109">
            <v>57.00435109266364</v>
          </cell>
          <cell r="M109">
            <v>7.9942840110693636E-2</v>
          </cell>
          <cell r="N109">
            <v>8.975332030843397E-2</v>
          </cell>
          <cell r="O109">
            <v>-5.5028288935698999E-4</v>
          </cell>
          <cell r="P109">
            <v>7.6036142797213824E-2</v>
          </cell>
          <cell r="Q109">
            <v>-9.811269648707488E-3</v>
          </cell>
          <cell r="R109">
            <v>5.5396224187859611E-2</v>
          </cell>
          <cell r="S109">
            <v>0.16704157529874619</v>
          </cell>
          <cell r="T109">
            <v>137.26157467508881</v>
          </cell>
          <cell r="U109">
            <v>3.709518400765921E-2</v>
          </cell>
          <cell r="V109">
            <v>0.55000000000000004</v>
          </cell>
          <cell r="W109" t="str">
            <v>Dept Stores</v>
          </cell>
          <cell r="X109">
            <v>4.9620645014408327E-2</v>
          </cell>
          <cell r="Y109">
            <v>48.304398643647801</v>
          </cell>
          <cell r="Z109">
            <v>-60.114503171233572</v>
          </cell>
          <cell r="AA109">
            <v>0.30030313020429822</v>
          </cell>
          <cell r="AB109">
            <v>0.55000000000000004</v>
          </cell>
          <cell r="AC109">
            <v>0.55000000000000004</v>
          </cell>
          <cell r="AD109" t="str">
            <v>Dept Stores</v>
          </cell>
          <cell r="AE109">
            <v>-2.31697200211336E-2</v>
          </cell>
          <cell r="AF109">
            <v>114.94818829006145</v>
          </cell>
          <cell r="AG109">
            <v>141.27383060223303</v>
          </cell>
          <cell r="AH109">
            <v>-6.0407618341568714E-2</v>
          </cell>
          <cell r="AI109">
            <v>0.55000000000000004</v>
          </cell>
          <cell r="AK109" t="str">
            <v>Dept Stores</v>
          </cell>
          <cell r="AL109">
            <v>-4.7807622171526565E-2</v>
          </cell>
          <cell r="AM109">
            <v>-108.66064553076941</v>
          </cell>
          <cell r="AN109">
            <v>179.20699165687495</v>
          </cell>
          <cell r="AO109">
            <v>-0.37489659665696418</v>
          </cell>
          <cell r="AP109">
            <v>0.55000000000000004</v>
          </cell>
        </row>
        <row r="110">
          <cell r="B110" t="str">
            <v>FY2</v>
          </cell>
          <cell r="C110">
            <v>8.3329763086707365E-2</v>
          </cell>
          <cell r="D110">
            <v>2.2028749892138766E-2</v>
          </cell>
          <cell r="E110">
            <v>8.3992588816970137E-3</v>
          </cell>
          <cell r="F110">
            <v>4.7109858407398342E-2</v>
          </cell>
          <cell r="G110">
            <v>7.115516500828889E-2</v>
          </cell>
          <cell r="H110">
            <v>4.5796609799803267E-2</v>
          </cell>
          <cell r="I110">
            <v>6.5900000000002068E-2</v>
          </cell>
          <cell r="K110">
            <v>4.4602279402178313E-2</v>
          </cell>
          <cell r="L110" t="e">
            <v>#REF!</v>
          </cell>
          <cell r="M110">
            <v>8.0373458763930872E-2</v>
          </cell>
          <cell r="N110">
            <v>0.13183827384199343</v>
          </cell>
          <cell r="O110">
            <v>0.10585982137523331</v>
          </cell>
          <cell r="P110">
            <v>6.9413615422726949E-2</v>
          </cell>
          <cell r="Q110">
            <v>-3.9048794892450389E-2</v>
          </cell>
          <cell r="R110">
            <v>3.769460811235148E-2</v>
          </cell>
          <cell r="S110">
            <v>0.14088373583998814</v>
          </cell>
          <cell r="T110" t="e">
            <v>#REF!</v>
          </cell>
          <cell r="U110">
            <v>3.3221217686035365E-2</v>
          </cell>
          <cell r="V110">
            <v>0.76</v>
          </cell>
          <cell r="W110" t="str">
            <v>Specialty</v>
          </cell>
          <cell r="X110">
            <v>3.709518400765921E-2</v>
          </cell>
          <cell r="Y110">
            <v>94.718936271333448</v>
          </cell>
          <cell r="Z110">
            <v>-64.14043276116</v>
          </cell>
          <cell r="AA110">
            <v>0.15150826686137386</v>
          </cell>
          <cell r="AB110">
            <v>0.76</v>
          </cell>
          <cell r="AC110">
            <v>0.76</v>
          </cell>
          <cell r="AD110" t="str">
            <v>Specialty</v>
          </cell>
          <cell r="AE110">
            <v>-2.1530051000093753E-2</v>
          </cell>
          <cell r="AF110">
            <v>40.030898769839546</v>
          </cell>
          <cell r="AG110">
            <v>144.76387005440017</v>
          </cell>
          <cell r="AH110">
            <v>-3.4655015148206236E-2</v>
          </cell>
          <cell r="AI110">
            <v>0.76</v>
          </cell>
          <cell r="AK110" t="str">
            <v>Specialty</v>
          </cell>
          <cell r="AL110">
            <v>-3.5639020228057872E-2</v>
          </cell>
          <cell r="AM110">
            <v>0</v>
          </cell>
          <cell r="AN110">
            <v>62.129127811416666</v>
          </cell>
          <cell r="AO110">
            <v>-7.2139784257026163E-2</v>
          </cell>
          <cell r="AP110">
            <v>0.76</v>
          </cell>
        </row>
        <row r="111">
          <cell r="B111" t="str">
            <v>10-Yr. Compounded</v>
          </cell>
          <cell r="C111">
            <v>0.14189722963753648</v>
          </cell>
          <cell r="D111">
            <v>-5.749986698751286E-2</v>
          </cell>
          <cell r="E111">
            <v>3.8952780979517598E-2</v>
          </cell>
          <cell r="F111">
            <v>4.8371481992315113E-2</v>
          </cell>
          <cell r="G111" t="str">
            <v>NA</v>
          </cell>
          <cell r="H111">
            <v>0.11273610285110758</v>
          </cell>
          <cell r="I111">
            <v>8.7175298300664394E-2</v>
          </cell>
          <cell r="K111">
            <v>3.458566556673115E-2</v>
          </cell>
          <cell r="L111" t="e">
            <v>#REF!</v>
          </cell>
          <cell r="M111">
            <v>0.11006009826696972</v>
          </cell>
          <cell r="N111">
            <v>0.25390594587671522</v>
          </cell>
          <cell r="O111">
            <v>0.1364686551863461</v>
          </cell>
          <cell r="P111">
            <v>0.20325839306934901</v>
          </cell>
          <cell r="Q111">
            <v>2.0100638670918158E-2</v>
          </cell>
          <cell r="R111">
            <v>-1.226107165265633E-2</v>
          </cell>
          <cell r="S111">
            <v>0.21425276852939179</v>
          </cell>
          <cell r="T111" t="e">
            <v>#REF!</v>
          </cell>
          <cell r="U111">
            <v>4.0588417934013465E-2</v>
          </cell>
          <cell r="V111">
            <v>0.61</v>
          </cell>
          <cell r="W111" t="str">
            <v>Off-Price</v>
          </cell>
          <cell r="X111">
            <v>8.6899444196777198E-2</v>
          </cell>
          <cell r="Y111">
            <v>53.999551334442401</v>
          </cell>
          <cell r="Z111">
            <v>-26.34788368614624</v>
          </cell>
          <cell r="AA111">
            <v>0.16785798184105638</v>
          </cell>
          <cell r="AB111">
            <v>0.61</v>
          </cell>
          <cell r="AC111">
            <v>0.61</v>
          </cell>
          <cell r="AD111" t="str">
            <v>Off-Price</v>
          </cell>
          <cell r="AE111">
            <v>7.7965971744720308E-2</v>
          </cell>
          <cell r="AF111">
            <v>219.75066107665336</v>
          </cell>
          <cell r="AG111">
            <v>-20.315851925331586</v>
          </cell>
          <cell r="AH111">
            <v>0.39582196945041037</v>
          </cell>
          <cell r="AI111">
            <v>0.61</v>
          </cell>
          <cell r="AK111" t="str">
            <v>Off-Price</v>
          </cell>
          <cell r="AL111">
            <v>4.8276941147184615E-2</v>
          </cell>
          <cell r="AM111">
            <v>-216.83583107443198</v>
          </cell>
          <cell r="AN111">
            <v>17.44038581543747</v>
          </cell>
          <cell r="AO111">
            <v>1.9813150853928985E-2</v>
          </cell>
          <cell r="AP111">
            <v>0.61</v>
          </cell>
        </row>
        <row r="112">
          <cell r="B112" t="str">
            <v>5-Yr. Compounded</v>
          </cell>
          <cell r="C112">
            <v>6.6572177277572031E-2</v>
          </cell>
          <cell r="D112">
            <v>-1.0603386337421306E-2</v>
          </cell>
          <cell r="E112">
            <v>1.8545149635570857E-2</v>
          </cell>
          <cell r="F112">
            <v>2.9512711519935175E-2</v>
          </cell>
          <cell r="G112">
            <v>-2.9573372874684978E-3</v>
          </cell>
          <cell r="H112">
            <v>9.5577412654757277E-2</v>
          </cell>
          <cell r="I112">
            <v>6.6894468863567313E-2</v>
          </cell>
          <cell r="K112">
            <v>3.554147519379014E-2</v>
          </cell>
          <cell r="M112">
            <v>2.7009695794492306E-2</v>
          </cell>
          <cell r="N112">
            <v>0.150748388636057</v>
          </cell>
          <cell r="O112">
            <v>5.1796240644010894E-2</v>
          </cell>
          <cell r="P112">
            <v>0.1604649194425094</v>
          </cell>
          <cell r="Q112">
            <v>-2.5831357941118904E-2</v>
          </cell>
          <cell r="R112">
            <v>-1.1833814857948877E-2</v>
          </cell>
          <cell r="S112">
            <v>0.15671585931487209</v>
          </cell>
          <cell r="U112">
            <v>1.5396158985442998E-2</v>
          </cell>
        </row>
        <row r="113">
          <cell r="B113" t="str">
            <v>FY2</v>
          </cell>
          <cell r="C113">
            <v>6867.7744825180016</v>
          </cell>
          <cell r="D113">
            <v>7056.233101154201</v>
          </cell>
          <cell r="E113">
            <v>9364.9520392895975</v>
          </cell>
          <cell r="F113">
            <v>2869.9035458410099</v>
          </cell>
          <cell r="G113">
            <v>972.76116919244009</v>
          </cell>
          <cell r="H113">
            <v>1872.43915372229</v>
          </cell>
          <cell r="I113">
            <v>5542.9003991096997</v>
          </cell>
          <cell r="K113">
            <v>34546.963890827239</v>
          </cell>
          <cell r="M113">
            <v>2161.51789129181</v>
          </cell>
          <cell r="N113">
            <v>889.90785494402007</v>
          </cell>
          <cell r="O113">
            <v>1256.3330848648402</v>
          </cell>
          <cell r="P113">
            <v>2702.2788492776199</v>
          </cell>
          <cell r="Q113">
            <v>5740.2146486659603</v>
          </cell>
          <cell r="R113">
            <v>3045.5004101906898</v>
          </cell>
          <cell r="S113">
            <v>913.91993482507019</v>
          </cell>
          <cell r="U113">
            <v>16709.67267406001</v>
          </cell>
        </row>
        <row r="114">
          <cell r="A114" t="str">
            <v>mstag:costOfSalesWithoutDepreciation</v>
          </cell>
          <cell r="B114" t="str">
            <v>Gross Profit</v>
          </cell>
          <cell r="C114">
            <v>1822</v>
          </cell>
          <cell r="D114">
            <v>1996</v>
          </cell>
          <cell r="E114">
            <v>3122</v>
          </cell>
          <cell r="F114">
            <v>736</v>
          </cell>
          <cell r="G114">
            <v>173.73799999999994</v>
          </cell>
          <cell r="H114">
            <v>412.76600000000008</v>
          </cell>
          <cell r="I114">
            <v>1219.3129999999992</v>
          </cell>
          <cell r="K114">
            <v>9481.8169999999991</v>
          </cell>
          <cell r="M114">
            <v>642.61400000000003</v>
          </cell>
          <cell r="N114">
            <v>243.51700000000005</v>
          </cell>
          <cell r="O114">
            <v>311.62400000000002</v>
          </cell>
          <cell r="P114">
            <v>558.19299999999998</v>
          </cell>
          <cell r="Q114">
            <v>1389</v>
          </cell>
          <cell r="R114">
            <v>1024.6599999999999</v>
          </cell>
          <cell r="S114">
            <v>172.892</v>
          </cell>
          <cell r="U114">
            <v>4342.5</v>
          </cell>
        </row>
        <row r="115">
          <cell r="B115" t="str">
            <v>FY(5)</v>
          </cell>
          <cell r="C115">
            <v>4113.6750000000011</v>
          </cell>
          <cell r="D115">
            <v>6774</v>
          </cell>
          <cell r="E115">
            <v>6430</v>
          </cell>
          <cell r="F115">
            <v>2572.0249999999996</v>
          </cell>
          <cell r="G115">
            <v>1085.6799999999998</v>
          </cell>
          <cell r="H115">
            <v>953.38599999999997</v>
          </cell>
          <cell r="I115">
            <v>3566.2219999999998</v>
          </cell>
          <cell r="K115">
            <v>25494.988000000005</v>
          </cell>
          <cell r="M115">
            <v>1341.2249999999999</v>
          </cell>
          <cell r="N115">
            <v>324.60699999999997</v>
          </cell>
          <cell r="O115">
            <v>877.80799999999999</v>
          </cell>
          <cell r="P115">
            <v>955.01900000000001</v>
          </cell>
          <cell r="Q115">
            <v>6381</v>
          </cell>
          <cell r="R115">
            <v>3455.0739999999996</v>
          </cell>
          <cell r="S115">
            <v>338.75</v>
          </cell>
          <cell r="U115">
            <v>13673.483</v>
          </cell>
        </row>
        <row r="116">
          <cell r="B116" t="str">
            <v>FY(4)</v>
          </cell>
          <cell r="C116">
            <v>4760.6000000000004</v>
          </cell>
          <cell r="D116">
            <v>7190</v>
          </cell>
          <cell r="E116">
            <v>9118</v>
          </cell>
          <cell r="F116">
            <v>2834.5889999999999</v>
          </cell>
          <cell r="G116">
            <v>1023.5</v>
          </cell>
          <cell r="H116">
            <v>1091.5880000000002</v>
          </cell>
          <cell r="I116">
            <v>3748.271999999999</v>
          </cell>
          <cell r="K116">
            <v>29766.548999999999</v>
          </cell>
          <cell r="M116">
            <v>1854.1850000000002</v>
          </cell>
          <cell r="N116">
            <v>362.47500000000002</v>
          </cell>
          <cell r="O116">
            <v>1075.961</v>
          </cell>
          <cell r="P116">
            <v>1267.5509999999999</v>
          </cell>
          <cell r="Q116">
            <v>5870</v>
          </cell>
          <cell r="R116">
            <v>3450.1480000000001</v>
          </cell>
          <cell r="S116">
            <v>448.60599999999999</v>
          </cell>
          <cell r="U116">
            <v>14328.925999999999</v>
          </cell>
        </row>
        <row r="117">
          <cell r="B117" t="str">
            <v>FY(3)</v>
          </cell>
          <cell r="C117">
            <v>5667.5829999999987</v>
          </cell>
          <cell r="D117">
            <v>7809</v>
          </cell>
          <cell r="E117">
            <v>10951</v>
          </cell>
          <cell r="F117">
            <v>3206.7490000000007</v>
          </cell>
          <cell r="G117">
            <v>1135.7090000000001</v>
          </cell>
          <cell r="H117">
            <v>1252.683</v>
          </cell>
          <cell r="I117">
            <v>4190.9339999999993</v>
          </cell>
          <cell r="K117">
            <v>34213.657999999996</v>
          </cell>
          <cell r="M117">
            <v>2200.6669999999999</v>
          </cell>
          <cell r="N117">
            <v>448.01700000000005</v>
          </cell>
          <cell r="O117">
            <v>1340.4290000000001</v>
          </cell>
          <cell r="P117">
            <v>1581.571412546203</v>
          </cell>
          <cell r="Q117">
            <v>5657</v>
          </cell>
          <cell r="R117">
            <v>4013.5119999999997</v>
          </cell>
          <cell r="S117">
            <v>451.92100000000005</v>
          </cell>
          <cell r="U117">
            <v>15693.117412546204</v>
          </cell>
        </row>
        <row r="118">
          <cell r="A118" t="str">
            <v>mstag:costOfSalesWithDepreciation</v>
          </cell>
          <cell r="B118" t="str">
            <v>FY(2)</v>
          </cell>
          <cell r="C118">
            <v>6014.1</v>
          </cell>
          <cell r="D118">
            <v>7665</v>
          </cell>
          <cell r="E118">
            <v>10636</v>
          </cell>
          <cell r="F118">
            <v>3301.6360000000004</v>
          </cell>
          <cell r="G118">
            <v>1273.6319999999998</v>
          </cell>
          <cell r="H118">
            <v>1356.9920000000002</v>
          </cell>
          <cell r="I118">
            <v>4491.1141962548991</v>
          </cell>
          <cell r="K118">
            <v>34738.474196254901</v>
          </cell>
          <cell r="M118">
            <v>2488.1660000000002</v>
          </cell>
          <cell r="N118">
            <v>545.50299999999993</v>
          </cell>
          <cell r="O118">
            <v>1423.1379999999999</v>
          </cell>
          <cell r="P118">
            <v>2022.9860000000001</v>
          </cell>
          <cell r="Q118">
            <v>5694</v>
          </cell>
          <cell r="R118">
            <v>3463.5389999999998</v>
          </cell>
          <cell r="S118">
            <v>576.77199999999993</v>
          </cell>
          <cell r="U118">
            <v>16214.103999999999</v>
          </cell>
        </row>
        <row r="119">
          <cell r="B119" t="str">
            <v>FY(1)</v>
          </cell>
          <cell r="C119">
            <v>6055.2870000000021</v>
          </cell>
          <cell r="D119">
            <v>6916</v>
          </cell>
          <cell r="E119">
            <v>9883</v>
          </cell>
          <cell r="F119">
            <v>2861.5169999999998</v>
          </cell>
          <cell r="G119">
            <v>974.39399999999978</v>
          </cell>
          <cell r="H119">
            <v>1529.5630000000001</v>
          </cell>
          <cell r="I119">
            <v>4577.4170000000013</v>
          </cell>
          <cell r="K119">
            <v>32797.178000000007</v>
          </cell>
          <cell r="M119">
            <v>2331.0949999999998</v>
          </cell>
          <cell r="N119">
            <v>654.18200000000002</v>
          </cell>
          <cell r="O119">
            <v>1174.0509999999999</v>
          </cell>
          <cell r="P119">
            <v>2407.1030000000001</v>
          </cell>
          <cell r="Q119">
            <v>5447</v>
          </cell>
          <cell r="R119">
            <v>3006.3959999999988</v>
          </cell>
          <cell r="S119">
            <v>713.47799999999984</v>
          </cell>
          <cell r="U119">
            <v>15733.304999999998</v>
          </cell>
        </row>
        <row r="120">
          <cell r="B120" t="str">
            <v>FY0</v>
          </cell>
          <cell r="C120">
            <v>6497</v>
          </cell>
          <cell r="D120">
            <v>6910</v>
          </cell>
          <cell r="E120">
            <v>9516</v>
          </cell>
          <cell r="F120">
            <v>2930</v>
          </cell>
          <cell r="G120">
            <v>957.61300000000006</v>
          </cell>
          <cell r="H120">
            <v>1856.9349999999995</v>
          </cell>
          <cell r="I120">
            <v>5320.0149999999994</v>
          </cell>
          <cell r="K120">
            <v>33987.563000000002</v>
          </cell>
          <cell r="M120">
            <v>1883.596</v>
          </cell>
          <cell r="N120">
            <v>849.54700000000003</v>
          </cell>
          <cell r="O120">
            <v>1158.087</v>
          </cell>
          <cell r="P120">
            <v>2322.6099999999997</v>
          </cell>
          <cell r="Q120">
            <v>5724</v>
          </cell>
          <cell r="R120">
            <v>3028.0910000000003</v>
          </cell>
          <cell r="S120">
            <v>786.14499999999998</v>
          </cell>
          <cell r="U120">
            <v>15752.076000000001</v>
          </cell>
        </row>
        <row r="121">
          <cell r="B121" t="str">
            <v>FY1</v>
          </cell>
          <cell r="C121">
            <v>7101.2509991962015</v>
          </cell>
          <cell r="D121">
            <v>7052.195963943901</v>
          </cell>
          <cell r="E121">
            <v>9999.5034685626979</v>
          </cell>
          <cell r="F121">
            <v>3248.4832725953502</v>
          </cell>
          <cell r="G121">
            <v>1042.28930686739</v>
          </cell>
          <cell r="H121">
            <v>2065.3716729641901</v>
          </cell>
          <cell r="I121">
            <v>5885.310704664098</v>
          </cell>
          <cell r="J121">
            <v>0.33274507332440401</v>
          </cell>
          <cell r="K121">
            <v>36394.405388793828</v>
          </cell>
          <cell r="M121">
            <v>2032.8679729421399</v>
          </cell>
          <cell r="N121">
            <v>929.96868914735001</v>
          </cell>
          <cell r="O121">
            <v>1266.9787359654401</v>
          </cell>
          <cell r="P121">
            <v>2515.6925399197899</v>
          </cell>
          <cell r="Q121">
            <v>5761.9927510824509</v>
          </cell>
          <cell r="R121">
            <v>3280.7318835615306</v>
          </cell>
          <cell r="S121">
            <v>934.6473444801602</v>
          </cell>
          <cell r="T121">
            <v>0.45872835288662239</v>
          </cell>
          <cell r="U121">
            <v>16722.87991709886</v>
          </cell>
        </row>
        <row r="122">
          <cell r="B122" t="str">
            <v>FY2</v>
          </cell>
          <cell r="C122">
            <v>7753.115220443502</v>
          </cell>
          <cell r="D122">
            <v>7243.9438851044997</v>
          </cell>
          <cell r="E122">
            <v>10108.242618236802</v>
          </cell>
          <cell r="F122">
            <v>3410.8710864067007</v>
          </cell>
          <cell r="G122">
            <v>1152.43096073528</v>
          </cell>
          <cell r="H122">
            <v>2159.9586935625002</v>
          </cell>
          <cell r="I122">
            <v>6237.8881975639015</v>
          </cell>
          <cell r="J122">
            <v>0.33578685815822862</v>
          </cell>
          <cell r="K122">
            <v>38066.45066205319</v>
          </cell>
          <cell r="M122">
            <v>2223.0728258744202</v>
          </cell>
          <cell r="N122">
            <v>1021.1927511121598</v>
          </cell>
          <cell r="O122">
            <v>1425.8441936296099</v>
          </cell>
          <cell r="P122">
            <v>2690.3158544076095</v>
          </cell>
          <cell r="Q122">
            <v>5577.5201963543695</v>
          </cell>
          <cell r="R122">
            <v>3451.6686484513293</v>
          </cell>
          <cell r="S122">
            <v>1074.0643162897602</v>
          </cell>
          <cell r="T122">
            <v>0.48614174132266724</v>
          </cell>
          <cell r="U122">
            <v>17463.678786119261</v>
          </cell>
        </row>
        <row r="123">
          <cell r="B123" t="str">
            <v>FQ(3)</v>
          </cell>
          <cell r="C123">
            <v>1368</v>
          </cell>
          <cell r="D123">
            <v>1574</v>
          </cell>
          <cell r="E123">
            <v>1980</v>
          </cell>
          <cell r="F123">
            <v>599</v>
          </cell>
          <cell r="G123">
            <v>238.40799999999996</v>
          </cell>
          <cell r="H123">
            <v>422.88999999999987</v>
          </cell>
          <cell r="I123">
            <v>1080.8780000000002</v>
          </cell>
          <cell r="J123">
            <v>0.3337732364602749</v>
          </cell>
          <cell r="K123">
            <v>7263.1760000000013</v>
          </cell>
          <cell r="M123">
            <v>381.45200000000006</v>
          </cell>
          <cell r="N123">
            <v>150.29000000000002</v>
          </cell>
          <cell r="O123">
            <v>220.93900000000002</v>
          </cell>
          <cell r="P123">
            <v>525.06299999999999</v>
          </cell>
          <cell r="Q123">
            <v>1239</v>
          </cell>
          <cell r="R123">
            <v>548.35599999999999</v>
          </cell>
          <cell r="S123">
            <v>143.30499999999998</v>
          </cell>
          <cell r="T123">
            <v>0.47718374728426216</v>
          </cell>
          <cell r="U123">
            <v>3208.4050000000002</v>
          </cell>
        </row>
        <row r="124">
          <cell r="B124" t="str">
            <v>FQ(2)</v>
          </cell>
          <cell r="C124">
            <v>1520</v>
          </cell>
          <cell r="D124">
            <v>1520</v>
          </cell>
          <cell r="E124">
            <v>2143</v>
          </cell>
          <cell r="F124">
            <v>727</v>
          </cell>
          <cell r="G124">
            <v>168.17600000000004</v>
          </cell>
          <cell r="H124">
            <v>457.5</v>
          </cell>
          <cell r="I124">
            <v>1213.2260000000001</v>
          </cell>
          <cell r="J124">
            <v>0.34123040841955765</v>
          </cell>
          <cell r="K124">
            <v>7748.902</v>
          </cell>
          <cell r="M124">
            <v>424.51499999999999</v>
          </cell>
          <cell r="N124">
            <v>165.69200000000001</v>
          </cell>
          <cell r="O124">
            <v>248.83300000000003</v>
          </cell>
          <cell r="P124">
            <v>547.31799999999998</v>
          </cell>
          <cell r="Q124">
            <v>1288</v>
          </cell>
          <cell r="R124">
            <v>668.00900000000001</v>
          </cell>
          <cell r="S124">
            <v>187.09099999999995</v>
          </cell>
          <cell r="T124">
            <v>0.47674238848644357</v>
          </cell>
          <cell r="U124">
            <v>3529.4580000000001</v>
          </cell>
        </row>
        <row r="125">
          <cell r="B125" t="str">
            <v>FQ(1)</v>
          </cell>
          <cell r="C125">
            <v>1539</v>
          </cell>
          <cell r="D125">
            <v>1695.9999999999995</v>
          </cell>
          <cell r="E125">
            <v>2121</v>
          </cell>
          <cell r="F125">
            <v>658</v>
          </cell>
          <cell r="G125">
            <v>254.63499999999999</v>
          </cell>
          <cell r="H125">
            <v>459.28699999999981</v>
          </cell>
          <cell r="I125">
            <v>1442.7669999999998</v>
          </cell>
          <cell r="J125">
            <v>0.34162562690306364</v>
          </cell>
          <cell r="K125">
            <v>8170.6890000000003</v>
          </cell>
          <cell r="M125">
            <v>483.08699999999999</v>
          </cell>
          <cell r="N125">
            <v>222.91699999999997</v>
          </cell>
          <cell r="O125">
            <v>300.12799999999999</v>
          </cell>
          <cell r="P125">
            <v>550.178</v>
          </cell>
          <cell r="Q125">
            <v>1524</v>
          </cell>
          <cell r="R125">
            <v>562.74800000000005</v>
          </cell>
          <cell r="S125">
            <v>210.08799999999997</v>
          </cell>
          <cell r="T125">
            <v>0.47485611668511796</v>
          </cell>
          <cell r="U125">
            <v>3853.1459999999997</v>
          </cell>
        </row>
        <row r="126">
          <cell r="B126" t="str">
            <v>Last Reported Q</v>
          </cell>
          <cell r="C126">
            <v>6497</v>
          </cell>
          <cell r="D126">
            <v>6910</v>
          </cell>
          <cell r="E126">
            <v>9516</v>
          </cell>
          <cell r="F126">
            <v>2930</v>
          </cell>
          <cell r="G126">
            <v>957.61300000000006</v>
          </cell>
          <cell r="H126">
            <v>1856.9349999999995</v>
          </cell>
          <cell r="I126">
            <v>5320.0149999999994</v>
          </cell>
          <cell r="J126">
            <v>0.32606283340050934</v>
          </cell>
          <cell r="K126">
            <v>33987.563000000002</v>
          </cell>
          <cell r="M126">
            <v>1883.596</v>
          </cell>
          <cell r="N126">
            <v>849.54700000000003</v>
          </cell>
          <cell r="O126">
            <v>1158.087</v>
          </cell>
          <cell r="P126">
            <v>770.93900000000008</v>
          </cell>
          <cell r="Q126">
            <v>5724</v>
          </cell>
          <cell r="R126">
            <v>3028.0910000000003</v>
          </cell>
          <cell r="S126">
            <v>786.14499999999998</v>
          </cell>
          <cell r="T126">
            <v>0.46031035398215553</v>
          </cell>
          <cell r="U126">
            <v>14200.405000000001</v>
          </cell>
        </row>
        <row r="127">
          <cell r="B127" t="str">
            <v>LTM</v>
          </cell>
          <cell r="C127">
            <v>10924</v>
          </cell>
          <cell r="D127">
            <v>11700</v>
          </cell>
          <cell r="E127">
            <v>15760</v>
          </cell>
          <cell r="F127">
            <v>4914</v>
          </cell>
          <cell r="G127">
            <v>1618.8320000000001</v>
          </cell>
          <cell r="H127">
            <v>3196.6119999999992</v>
          </cell>
          <cell r="I127">
            <v>9056.8859999999986</v>
          </cell>
          <cell r="J127">
            <v>0.34253549494913577</v>
          </cell>
          <cell r="K127">
            <v>57170.33</v>
          </cell>
          <cell r="M127">
            <v>3172.65</v>
          </cell>
          <cell r="N127">
            <v>1388.4459999999999</v>
          </cell>
          <cell r="O127">
            <v>1927.9870000000001</v>
          </cell>
          <cell r="P127">
            <v>2393.4979999999996</v>
          </cell>
          <cell r="Q127">
            <v>9775</v>
          </cell>
          <cell r="R127">
            <v>4807.2040000000006</v>
          </cell>
          <cell r="S127">
            <v>1326.6289999999999</v>
          </cell>
          <cell r="T127">
            <v>0.4681344617109402</v>
          </cell>
          <cell r="U127">
            <v>24791.414000000001</v>
          </cell>
        </row>
        <row r="128">
          <cell r="B128" t="str">
            <v>FY2</v>
          </cell>
          <cell r="C128">
            <v>0.37793932721135309</v>
          </cell>
          <cell r="D128">
            <v>0.40387478302889063</v>
          </cell>
          <cell r="E128">
            <v>0.40891438601937197</v>
          </cell>
          <cell r="F128">
            <v>0.3516713781024392</v>
          </cell>
          <cell r="G128">
            <v>0.37153492972519664</v>
          </cell>
          <cell r="H128">
            <v>0.2519609544743126</v>
          </cell>
          <cell r="I128">
            <v>0.26027414700690904</v>
          </cell>
          <cell r="J128">
            <v>0.34659570079549618</v>
          </cell>
          <cell r="K128">
            <v>0.35233383234608834</v>
          </cell>
          <cell r="M128">
            <v>0.65560315511496348</v>
          </cell>
          <cell r="N128">
            <v>0.36839869294545086</v>
          </cell>
          <cell r="O128">
            <v>0.39712283400869647</v>
          </cell>
          <cell r="P128">
            <v>0.72327915689366484</v>
          </cell>
          <cell r="Q128">
            <v>0.40697041666330491</v>
          </cell>
          <cell r="R128">
            <v>0.35628857516161133</v>
          </cell>
          <cell r="S128">
            <v>0.40473278102974558</v>
          </cell>
          <cell r="T128">
            <v>0.47319937311677679</v>
          </cell>
          <cell r="U128">
            <v>0.44531795350216397</v>
          </cell>
        </row>
        <row r="129">
          <cell r="B129" t="str">
            <v>Gross Margin</v>
          </cell>
          <cell r="C129">
            <v>0.34804202483285579</v>
          </cell>
          <cell r="D129">
            <v>0.34657460701020493</v>
          </cell>
          <cell r="E129">
            <v>0.39349634484497104</v>
          </cell>
          <cell r="F129">
            <v>0.31986093003042154</v>
          </cell>
          <cell r="G129">
            <v>0.20794369872113266</v>
          </cell>
          <cell r="H129">
            <v>0.23802730158144345</v>
          </cell>
          <cell r="I129">
            <v>0.22663705094307168</v>
          </cell>
          <cell r="J129">
            <v>0.29722599399487154</v>
          </cell>
          <cell r="K129">
            <v>0.32495497751431268</v>
          </cell>
          <cell r="M129">
            <v>0.6439308385648651</v>
          </cell>
          <cell r="N129">
            <v>0.35291449341103193</v>
          </cell>
          <cell r="O129">
            <v>0.34406978028044605</v>
          </cell>
          <cell r="P129">
            <v>0.74175613165738463</v>
          </cell>
          <cell r="Q129">
            <v>0.34027437530622245</v>
          </cell>
          <cell r="R129">
            <v>0.3425693941564012</v>
          </cell>
          <cell r="S129">
            <v>0.34028633398808844</v>
          </cell>
          <cell r="T129">
            <v>0.44368590676634856</v>
          </cell>
          <cell r="U129">
            <v>1.0309375029018297E-2</v>
          </cell>
        </row>
        <row r="130">
          <cell r="B130" t="str">
            <v>FY(5)</v>
          </cell>
          <cell r="C130">
            <v>0.35157511943729869</v>
          </cell>
          <cell r="D130">
            <v>0.37433687002652521</v>
          </cell>
          <cell r="E130">
            <v>0.40758113590263689</v>
          </cell>
          <cell r="F130">
            <v>0.36066134439275915</v>
          </cell>
          <cell r="G130">
            <v>0.39237044615838867</v>
          </cell>
          <cell r="H130">
            <v>0.22485571899933726</v>
          </cell>
          <cell r="I130">
            <v>0.23912737219065458</v>
          </cell>
          <cell r="J130">
            <v>0.33578685815822862</v>
          </cell>
          <cell r="K130">
            <v>0.34164338087983182</v>
          </cell>
          <cell r="M130">
            <v>0.66356083896432605</v>
          </cell>
          <cell r="N130">
            <v>0.33665521690250688</v>
          </cell>
          <cell r="O130">
            <v>0.46661113594696269</v>
          </cell>
          <cell r="P130">
            <v>0.75062406665094716</v>
          </cell>
          <cell r="Q130">
            <v>0.39226655191491977</v>
          </cell>
          <cell r="R130">
            <v>0.3672363331488156</v>
          </cell>
          <cell r="S130">
            <v>0.40924192086982786</v>
          </cell>
          <cell r="T130">
            <v>0.48374229491404369</v>
          </cell>
          <cell r="U130">
            <v>0.41889143117735578</v>
          </cell>
        </row>
        <row r="131">
          <cell r="B131" t="str">
            <v>FY(4)</v>
          </cell>
          <cell r="C131">
            <v>0.35521033860112522</v>
          </cell>
          <cell r="D131">
            <v>0.3828337149246579</v>
          </cell>
          <cell r="E131">
            <v>0.4072353729343457</v>
          </cell>
          <cell r="F131">
            <v>0.36705055232607825</v>
          </cell>
          <cell r="G131">
            <v>0.36838636693297744</v>
          </cell>
          <cell r="H131">
            <v>0.22078245953473774</v>
          </cell>
          <cell r="I131">
            <v>0.23491384996800246</v>
          </cell>
          <cell r="J131">
            <v>0.3337732364602749</v>
          </cell>
          <cell r="K131">
            <v>0.34622626093456549</v>
          </cell>
          <cell r="M131">
            <v>0.66982483696775197</v>
          </cell>
          <cell r="N131">
            <v>0.30097222810369439</v>
          </cell>
          <cell r="O131">
            <v>0.46338441369841538</v>
          </cell>
          <cell r="P131">
            <v>0.76742019151131191</v>
          </cell>
          <cell r="Q131">
            <v>0.36634837421207017</v>
          </cell>
          <cell r="R131">
            <v>0.35680728062464451</v>
          </cell>
          <cell r="S131">
            <v>0.41077110576161496</v>
          </cell>
          <cell r="T131">
            <v>0.47650406155421482</v>
          </cell>
          <cell r="U131">
            <v>0.41257133728970818</v>
          </cell>
        </row>
        <row r="132">
          <cell r="B132" t="str">
            <v>FY(3)</v>
          </cell>
          <cell r="C132">
            <v>0.3636492487376406</v>
          </cell>
          <cell r="D132">
            <v>0.39235117686260546</v>
          </cell>
          <cell r="E132">
            <v>0.40604375231738971</v>
          </cell>
          <cell r="F132">
            <v>0.37458966546886718</v>
          </cell>
          <cell r="G132">
            <v>0.38629518405253327</v>
          </cell>
          <cell r="H132">
            <v>0.2248897258810709</v>
          </cell>
          <cell r="I132">
            <v>0.24079410561679623</v>
          </cell>
          <cell r="J132">
            <v>0.34123040841955765</v>
          </cell>
          <cell r="K132">
            <v>0.35295851028933234</v>
          </cell>
          <cell r="M132">
            <v>0.67008193227159563</v>
          </cell>
          <cell r="N132">
            <v>0.31702127358463866</v>
          </cell>
          <cell r="O132">
            <v>0.47968246595255026</v>
          </cell>
          <cell r="P132">
            <v>0.77715250839458938</v>
          </cell>
          <cell r="Q132">
            <v>0.35527224769201782</v>
          </cell>
          <cell r="R132">
            <v>0.37612621984111183</v>
          </cell>
          <cell r="S132">
            <v>0.36900034865197429</v>
          </cell>
          <cell r="T132">
            <v>0.47776242805549679</v>
          </cell>
          <cell r="U132">
            <v>0.42021726118309527</v>
          </cell>
        </row>
        <row r="133">
          <cell r="B133" t="str">
            <v>FY(2)</v>
          </cell>
          <cell r="C133">
            <v>0.36507281302925271</v>
          </cell>
          <cell r="D133">
            <v>0.38593358921258974</v>
          </cell>
          <cell r="E133">
            <v>0.40421084634971305</v>
          </cell>
          <cell r="F133">
            <v>0.37400380207376371</v>
          </cell>
          <cell r="G133">
            <v>0.39013022290713839</v>
          </cell>
          <cell r="H133">
            <v>0.22710357389829852</v>
          </cell>
          <cell r="I133">
            <v>0.24492454085068946</v>
          </cell>
          <cell r="J133">
            <v>0.34162562690306364</v>
          </cell>
          <cell r="K133">
            <v>0.35070941460660748</v>
          </cell>
          <cell r="M133">
            <v>0.67253982532430046</v>
          </cell>
          <cell r="N133">
            <v>0.34456092567946972</v>
          </cell>
          <cell r="O133">
            <v>0.46577507045678512</v>
          </cell>
          <cell r="P133">
            <v>0.77436175001607688</v>
          </cell>
          <cell r="Q133">
            <v>0.36122565501490833</v>
          </cell>
          <cell r="R133">
            <v>0.34339067881529911</v>
          </cell>
          <cell r="S133">
            <v>0.38254481589468625</v>
          </cell>
          <cell r="T133">
            <v>0.47777124588593223</v>
          </cell>
          <cell r="U133">
            <v>0.42325931546298057</v>
          </cell>
        </row>
        <row r="134">
          <cell r="B134" t="str">
            <v>FY(1)</v>
          </cell>
          <cell r="C134">
            <v>0.36947488849160109</v>
          </cell>
          <cell r="D134">
            <v>0.37411138446832803</v>
          </cell>
          <cell r="E134">
            <v>0.39703519202956772</v>
          </cell>
          <cell r="F134">
            <v>0.34513532746351461</v>
          </cell>
          <cell r="G134">
            <v>0.32085279404442962</v>
          </cell>
          <cell r="H134">
            <v>0.23582026225463254</v>
          </cell>
          <cell r="I134">
            <v>0.24092296088766529</v>
          </cell>
          <cell r="J134">
            <v>0.32619325851996273</v>
          </cell>
          <cell r="K134">
            <v>0.33958242581420323</v>
          </cell>
          <cell r="M134">
            <v>0.66907487449258152</v>
          </cell>
          <cell r="N134">
            <v>0.34694841930469456</v>
          </cell>
          <cell r="O134">
            <v>0.3928146152808954</v>
          </cell>
          <cell r="P134">
            <v>0.75677047948019927</v>
          </cell>
          <cell r="Q134">
            <v>0.37498278948093072</v>
          </cell>
          <cell r="R134">
            <v>0.33246659377546589</v>
          </cell>
          <cell r="S134">
            <v>0.38889730723235022</v>
          </cell>
          <cell r="T134">
            <v>0.46599358272101676</v>
          </cell>
          <cell r="U134">
            <v>0.42588652884466527</v>
          </cell>
        </row>
        <row r="135">
          <cell r="B135" t="str">
            <v>FY0</v>
          </cell>
          <cell r="C135">
            <v>0.37823834196891193</v>
          </cell>
          <cell r="D135">
            <v>0.39356446279921992</v>
          </cell>
          <cell r="E135">
            <v>0.4051258035676274</v>
          </cell>
          <cell r="F135">
            <v>0.3548074594332768</v>
          </cell>
          <cell r="G135">
            <v>0.36470630800811971</v>
          </cell>
          <cell r="H135">
            <v>0.25847437986596439</v>
          </cell>
          <cell r="I135">
            <v>0.26221897549166412</v>
          </cell>
          <cell r="J135">
            <v>0.34530510444782631</v>
          </cell>
          <cell r="K135">
            <v>0.3519115449085542</v>
          </cell>
          <cell r="M135">
            <v>0.6431673566946946</v>
          </cell>
          <cell r="N135">
            <v>0.38094484340423435</v>
          </cell>
          <cell r="O135">
            <v>0.38724779790259878</v>
          </cell>
          <cell r="P135">
            <v>0.71897013064360948</v>
          </cell>
          <cell r="Q135">
            <v>0.40318377121927168</v>
          </cell>
          <cell r="R135">
            <v>0.35077650699768259</v>
          </cell>
          <cell r="S135">
            <v>0.40568630132391376</v>
          </cell>
          <cell r="T135">
            <v>0.46999667259800076</v>
          </cell>
          <cell r="U135">
            <v>0.43577694287156998</v>
          </cell>
        </row>
        <row r="136">
          <cell r="A136" t="str">
            <v>Gross Margin Y/Y bps</v>
          </cell>
          <cell r="B136" t="str">
            <v>FY1</v>
          </cell>
          <cell r="C136">
            <v>0.38389063407855639</v>
          </cell>
          <cell r="D136">
            <v>0.39605323146481297</v>
          </cell>
          <cell r="E136">
            <v>0.40740177504153008</v>
          </cell>
          <cell r="F136">
            <v>0.36371218664159571</v>
          </cell>
          <cell r="G136">
            <v>0.38074593530189327</v>
          </cell>
          <cell r="H136">
            <v>0.26466022730826666</v>
          </cell>
          <cell r="I136">
            <v>0.26683303831625033</v>
          </cell>
          <cell r="J136">
            <v>0.351899575450415</v>
          </cell>
          <cell r="K136">
            <v>0.35549103872088045</v>
          </cell>
          <cell r="M136">
            <v>0.64275377929795485</v>
          </cell>
          <cell r="N136">
            <v>0.38266153944036096</v>
          </cell>
          <cell r="O136">
            <v>0.42389290445183864</v>
          </cell>
          <cell r="P136">
            <v>0.72371114291347305</v>
          </cell>
          <cell r="Q136">
            <v>0.40988133878454813</v>
          </cell>
          <cell r="R136">
            <v>0.36009474193507907</v>
          </cell>
          <cell r="S136">
            <v>0.41328451675268396</v>
          </cell>
          <cell r="T136">
            <v>0.47946856622513412</v>
          </cell>
          <cell r="U136">
            <v>0.44608631790058828</v>
          </cell>
        </row>
        <row r="137">
          <cell r="B137" t="str">
            <v>FY2</v>
          </cell>
          <cell r="C137">
            <v>0.38689063407855973</v>
          </cell>
          <cell r="D137">
            <v>0.39805323146481542</v>
          </cell>
          <cell r="E137">
            <v>0.40840177504152941</v>
          </cell>
          <cell r="F137">
            <v>0.36471218664159616</v>
          </cell>
          <cell r="G137">
            <v>0.39301536046301189</v>
          </cell>
          <cell r="H137">
            <v>0.26466022730826688</v>
          </cell>
          <cell r="I137">
            <v>0.26533303831625055</v>
          </cell>
          <cell r="J137">
            <v>0.35443806475914713</v>
          </cell>
          <cell r="K137">
            <v>0.35594708840548112</v>
          </cell>
          <cell r="M137">
            <v>0.65060178234357102</v>
          </cell>
          <cell r="N137">
            <v>0.37125288326098349</v>
          </cell>
          <cell r="O137">
            <v>0.43137881486428442</v>
          </cell>
          <cell r="P137">
            <v>0.72371114291347427</v>
          </cell>
          <cell r="Q137">
            <v>0.41288133878454431</v>
          </cell>
          <cell r="R137">
            <v>0.36509474193507874</v>
          </cell>
          <cell r="S137">
            <v>0.41628451675268513</v>
          </cell>
          <cell r="T137">
            <v>0.48160074583637452</v>
          </cell>
          <cell r="U137">
            <v>0.45086886973497936</v>
          </cell>
        </row>
        <row r="138">
          <cell r="B138" t="str">
            <v>FQ(3)</v>
          </cell>
          <cell r="C138">
            <v>0.3760307861462342</v>
          </cell>
          <cell r="D138">
            <v>0.4052069222711514</v>
          </cell>
          <cell r="E138">
            <v>0.38084246970571262</v>
          </cell>
          <cell r="F138">
            <v>0.35111371629542792</v>
          </cell>
          <cell r="G138">
            <v>0.38374544880936662</v>
          </cell>
          <cell r="H138">
            <v>0.24999423622265082</v>
          </cell>
          <cell r="I138">
            <v>0.24823665479773208</v>
          </cell>
          <cell r="J138">
            <v>0.34216717632118215</v>
          </cell>
          <cell r="K138">
            <v>0.34431570764330982</v>
          </cell>
          <cell r="M138">
            <v>0.63392656827242833</v>
          </cell>
          <cell r="N138">
            <v>0.36833617630335475</v>
          </cell>
          <cell r="O138">
            <v>0.36101143790849677</v>
          </cell>
          <cell r="P138">
            <v>0.7096030889032745</v>
          </cell>
          <cell r="Q138">
            <v>0.39622641509433965</v>
          </cell>
          <cell r="R138">
            <v>0.31784386724838382</v>
          </cell>
          <cell r="S138">
            <v>0.37241811245439138</v>
          </cell>
          <cell r="T138">
            <v>0.45133795231209556</v>
          </cell>
          <cell r="U138">
            <v>0.42222938716692604</v>
          </cell>
        </row>
        <row r="139">
          <cell r="B139" t="str">
            <v>FQ(2)</v>
          </cell>
          <cell r="C139">
            <v>0.39936941671045717</v>
          </cell>
          <cell r="D139">
            <v>0.3855274790180136</v>
          </cell>
          <cell r="E139">
            <v>0.41498838109992253</v>
          </cell>
          <cell r="F139">
            <v>0.33892773892773892</v>
          </cell>
          <cell r="G139">
            <v>0.29940750868797361</v>
          </cell>
          <cell r="H139">
            <v>0.25867391594426442</v>
          </cell>
          <cell r="I139">
            <v>0.25554899307597556</v>
          </cell>
          <cell r="J139">
            <v>0.33606334763776363</v>
          </cell>
          <cell r="K139">
            <v>0.35006656376812012</v>
          </cell>
          <cell r="M139">
            <v>0.66619744170389861</v>
          </cell>
          <cell r="N139">
            <v>0.36574985651847602</v>
          </cell>
          <cell r="O139">
            <v>0.37839798295610072</v>
          </cell>
          <cell r="P139">
            <v>0.70372513320578489</v>
          </cell>
          <cell r="Q139">
            <v>0.39691833590138675</v>
          </cell>
          <cell r="R139">
            <v>0.32323902429582746</v>
          </cell>
          <cell r="S139">
            <v>0.40793805846157866</v>
          </cell>
          <cell r="T139">
            <v>0.46316654757757902</v>
          </cell>
          <cell r="U139">
            <v>0.4254503203240862</v>
          </cell>
        </row>
        <row r="140">
          <cell r="A140" t="str">
            <v>mstag:sellingGeneralAndAdministrativeExpenses</v>
          </cell>
          <cell r="B140" t="str">
            <v>FQ(1)</v>
          </cell>
          <cell r="C140">
            <v>0.37990619600098741</v>
          </cell>
          <cell r="D140">
            <v>0.40570336732064843</v>
          </cell>
          <cell r="E140">
            <v>0.40193291642978968</v>
          </cell>
          <cell r="F140">
            <v>0.35224839400428265</v>
          </cell>
          <cell r="G140">
            <v>0.40326463256650735</v>
          </cell>
          <cell r="H140">
            <v>0.26333164959902844</v>
          </cell>
          <cell r="I140">
            <v>0.27507756991206389</v>
          </cell>
          <cell r="J140">
            <v>0.35449496083332965</v>
          </cell>
          <cell r="K140">
            <v>0.35529503164850834</v>
          </cell>
          <cell r="M140">
            <v>0.64096756730937632</v>
          </cell>
          <cell r="N140">
            <v>0.39257147284965077</v>
          </cell>
          <cell r="O140">
            <v>0.40072527044095696</v>
          </cell>
          <cell r="P140">
            <v>0.72255222690780718</v>
          </cell>
          <cell r="Q140">
            <v>0.42463081638339373</v>
          </cell>
          <cell r="R140">
            <v>0.31663271515417157</v>
          </cell>
          <cell r="S140">
            <v>0.41527574619490015</v>
          </cell>
          <cell r="T140">
            <v>0.47333654503432243</v>
          </cell>
          <cell r="U140">
            <v>0.44268119068571099</v>
          </cell>
        </row>
        <row r="141">
          <cell r="B141" t="str">
            <v>Last Reported Q</v>
          </cell>
          <cell r="C141">
            <v>0.37823834196891193</v>
          </cell>
          <cell r="D141">
            <v>0.39356446279921992</v>
          </cell>
          <cell r="E141">
            <v>0.4051258035676274</v>
          </cell>
          <cell r="F141">
            <v>0.3548074594332768</v>
          </cell>
          <cell r="G141">
            <v>0.36470630800811971</v>
          </cell>
          <cell r="H141">
            <v>0.25847437986596439</v>
          </cell>
          <cell r="I141">
            <v>0.26221897549166412</v>
          </cell>
          <cell r="J141">
            <v>0.34530510444782631</v>
          </cell>
          <cell r="K141">
            <v>0.3519115449085542</v>
          </cell>
          <cell r="M141">
            <v>0.6431673566946946</v>
          </cell>
          <cell r="N141">
            <v>0.38094484340423435</v>
          </cell>
          <cell r="O141">
            <v>0.38724779790259878</v>
          </cell>
          <cell r="P141">
            <v>0.72388298646485227</v>
          </cell>
          <cell r="Q141">
            <v>0.40318377121927168</v>
          </cell>
          <cell r="R141">
            <v>0.35077650699768259</v>
          </cell>
          <cell r="S141">
            <v>0.40568630132391376</v>
          </cell>
          <cell r="T141">
            <v>0.47069850914389255</v>
          </cell>
          <cell r="U141">
            <v>0.41788457294937564</v>
          </cell>
        </row>
        <row r="142">
          <cell r="B142" t="str">
            <v>LTM</v>
          </cell>
          <cell r="C142">
            <v>0.38099888392857145</v>
          </cell>
          <cell r="D142">
            <v>0.39573875190944169</v>
          </cell>
          <cell r="E142">
            <v>0.40277032380076161</v>
          </cell>
          <cell r="F142">
            <v>0.35157759175788794</v>
          </cell>
          <cell r="G142">
            <v>0.36459309755217562</v>
          </cell>
          <cell r="H142">
            <v>0.25802878084482106</v>
          </cell>
          <cell r="I142">
            <v>0.26149412062465338</v>
          </cell>
          <cell r="J142">
            <v>0.34502879291690175</v>
          </cell>
          <cell r="K142">
            <v>0.35115444861434991</v>
          </cell>
          <cell r="M142">
            <v>0.64468259036965947</v>
          </cell>
          <cell r="N142">
            <v>0.37946185651930436</v>
          </cell>
          <cell r="O142">
            <v>0.38489565823590433</v>
          </cell>
          <cell r="P142">
            <v>0.71573221694763189</v>
          </cell>
          <cell r="Q142">
            <v>0.4046278665452438</v>
          </cell>
          <cell r="R142">
            <v>0.33849561245354687</v>
          </cell>
          <cell r="S142">
            <v>0.40358190121068876</v>
          </cell>
          <cell r="T142">
            <v>0.46735395746885416</v>
          </cell>
          <cell r="U142">
            <v>0.42320396566101393</v>
          </cell>
        </row>
        <row r="143">
          <cell r="B143" t="str">
            <v>FY0</v>
          </cell>
          <cell r="C143">
            <v>3936.0219999999999</v>
          </cell>
          <cell r="D143">
            <v>5805</v>
          </cell>
          <cell r="E143">
            <v>8458</v>
          </cell>
          <cell r="F143">
            <v>2387.9659999999999</v>
          </cell>
          <cell r="G143">
            <v>763.44408199055204</v>
          </cell>
          <cell r="H143">
            <v>1038.6748406189799</v>
          </cell>
          <cell r="I143">
            <v>3142.6860000000001</v>
          </cell>
          <cell r="J143">
            <v>3647.3989889442191</v>
          </cell>
          <cell r="K143">
            <v>25531.792922609533</v>
          </cell>
          <cell r="M143">
            <v>1899.1166546239299</v>
          </cell>
          <cell r="N143">
            <v>405.88299999999998</v>
          </cell>
          <cell r="O143">
            <v>734.04100000000005</v>
          </cell>
          <cell r="P143">
            <v>1322.3320000000001</v>
          </cell>
          <cell r="Q143">
            <v>3899</v>
          </cell>
          <cell r="R143">
            <v>2288.8490000000002</v>
          </cell>
          <cell r="S143">
            <v>414.04300000000001</v>
          </cell>
          <cell r="T143">
            <v>1566.1806649462758</v>
          </cell>
          <cell r="U143">
            <v>10963.26465462393</v>
          </cell>
        </row>
        <row r="144">
          <cell r="B144" t="str">
            <v>Gross Margin Y/Y bps</v>
          </cell>
          <cell r="C144">
            <v>4113.7056954443497</v>
          </cell>
          <cell r="D144">
            <v>6287.7702622184797</v>
          </cell>
          <cell r="E144">
            <v>8138.20603779462</v>
          </cell>
          <cell r="F144">
            <v>2407.8401552619498</v>
          </cell>
          <cell r="G144">
            <v>662.84608804704499</v>
          </cell>
          <cell r="H144">
            <v>1126.7119614783401</v>
          </cell>
          <cell r="I144">
            <v>3237.4964959774902</v>
          </cell>
          <cell r="J144">
            <v>3710.6538137460398</v>
          </cell>
          <cell r="K144">
            <v>25974.576696222277</v>
          </cell>
          <cell r="M144">
            <v>1786.39824222727</v>
          </cell>
          <cell r="N144">
            <v>463.14226890431502</v>
          </cell>
          <cell r="O144">
            <v>740.46848990890896</v>
          </cell>
          <cell r="P144">
            <v>1438.1228808739399</v>
          </cell>
          <cell r="Q144">
            <v>3932.69367470526</v>
          </cell>
          <cell r="R144">
            <v>2141.0715781598301</v>
          </cell>
          <cell r="S144">
            <v>446.30350135266099</v>
          </cell>
          <cell r="T144">
            <v>1564.0286623045977</v>
          </cell>
          <cell r="U144">
            <v>10948.200636132184</v>
          </cell>
        </row>
        <row r="145">
          <cell r="B145" t="str">
            <v>FY(1)</v>
          </cell>
          <cell r="C145">
            <v>44.020754623483867</v>
          </cell>
          <cell r="D145">
            <v>-118.22204744261711</v>
          </cell>
          <cell r="E145">
            <v>-71.756543201453297</v>
          </cell>
          <cell r="F145">
            <v>-288.68474610249109</v>
          </cell>
          <cell r="G145">
            <v>-692.77428862708769</v>
          </cell>
          <cell r="H145">
            <v>87.166883563340178</v>
          </cell>
          <cell r="I145">
            <v>-40.015799630241652</v>
          </cell>
          <cell r="J145">
            <v>-154.32368383100953</v>
          </cell>
          <cell r="K145">
            <v>-111.26988792404258</v>
          </cell>
          <cell r="M145">
            <v>-34.64950831718938</v>
          </cell>
          <cell r="N145">
            <v>23.874936252248347</v>
          </cell>
          <cell r="O145">
            <v>-729.60455175889729</v>
          </cell>
          <cell r="P145">
            <v>-175.91270535877612</v>
          </cell>
          <cell r="Q145">
            <v>137.57134466022393</v>
          </cell>
          <cell r="R145">
            <v>-109.2408503983322</v>
          </cell>
          <cell r="S145">
            <v>63.524913376639681</v>
          </cell>
          <cell r="T145">
            <v>-117.77663164915472</v>
          </cell>
          <cell r="U145">
            <v>26.27213381684701</v>
          </cell>
        </row>
        <row r="146">
          <cell r="A146" t="str">
            <v>Gross Margin Y/Y bps</v>
          </cell>
          <cell r="B146" t="str">
            <v>FY0</v>
          </cell>
          <cell r="C146">
            <v>87.634534773108342</v>
          </cell>
          <cell r="D146">
            <v>194.53078330891881</v>
          </cell>
          <cell r="E146">
            <v>80.906115380596773</v>
          </cell>
          <cell r="F146">
            <v>96.72131969762188</v>
          </cell>
          <cell r="G146">
            <v>438.53513963690085</v>
          </cell>
          <cell r="H146">
            <v>226.54117611331847</v>
          </cell>
          <cell r="I146">
            <v>212.96014603998825</v>
          </cell>
          <cell r="J146">
            <v>191.11845927863621</v>
          </cell>
          <cell r="K146">
            <v>123.2911909435097</v>
          </cell>
          <cell r="M146">
            <v>-259.07517797886914</v>
          </cell>
          <cell r="N146">
            <v>339.96424099539792</v>
          </cell>
          <cell r="O146">
            <v>-55.668173782966178</v>
          </cell>
          <cell r="P146">
            <v>-378.00348836589779</v>
          </cell>
          <cell r="Q146">
            <v>282.0098173834096</v>
          </cell>
          <cell r="R146">
            <v>183.09913222216701</v>
          </cell>
          <cell r="S146">
            <v>167.88994091563535</v>
          </cell>
          <cell r="T146">
            <v>40.030898769839546</v>
          </cell>
          <cell r="U146">
            <v>98.904140269047147</v>
          </cell>
        </row>
        <row r="147">
          <cell r="B147" t="str">
            <v>FY1</v>
          </cell>
          <cell r="C147">
            <v>56.522921096444634</v>
          </cell>
          <cell r="D147">
            <v>24.887686655930551</v>
          </cell>
          <cell r="E147">
            <v>22.759714739026826</v>
          </cell>
          <cell r="F147">
            <v>89.047272083189185</v>
          </cell>
          <cell r="G147">
            <v>160.39627293773563</v>
          </cell>
          <cell r="H147">
            <v>61.858474423022727</v>
          </cell>
          <cell r="I147">
            <v>46.140628245862068</v>
          </cell>
          <cell r="J147">
            <v>65.94471002588736</v>
          </cell>
          <cell r="K147">
            <v>35.794938123262511</v>
          </cell>
          <cell r="M147">
            <v>-4.1357739673975047</v>
          </cell>
          <cell r="N147">
            <v>17.166960361266192</v>
          </cell>
          <cell r="O147">
            <v>366.45106549239858</v>
          </cell>
          <cell r="P147">
            <v>47.410122698635647</v>
          </cell>
          <cell r="Q147">
            <v>66.975675652764522</v>
          </cell>
          <cell r="R147">
            <v>93.18234937396474</v>
          </cell>
          <cell r="S147">
            <v>75.982154287702059</v>
          </cell>
          <cell r="T147">
            <v>94.718936271333448</v>
          </cell>
          <cell r="U147">
            <v>103.09375029018297</v>
          </cell>
        </row>
        <row r="148">
          <cell r="B148" t="str">
            <v>FY2</v>
          </cell>
          <cell r="C148">
            <v>30.000000000033332</v>
          </cell>
          <cell r="D148">
            <v>20.000000000024443</v>
          </cell>
          <cell r="E148">
            <v>9.9999999999933475</v>
          </cell>
          <cell r="F148">
            <v>10.00000000000445</v>
          </cell>
          <cell r="G148">
            <v>122.69425161118619</v>
          </cell>
          <cell r="H148">
            <v>2.2204460492503131E-12</v>
          </cell>
          <cell r="I148">
            <v>-14.999999999997794</v>
          </cell>
          <cell r="J148">
            <v>25.384893087320886</v>
          </cell>
          <cell r="K148">
            <v>4.5604968460066786</v>
          </cell>
          <cell r="M148">
            <v>78.4800304561617</v>
          </cell>
          <cell r="N148">
            <v>-114.08656179377475</v>
          </cell>
          <cell r="O148">
            <v>74.859104124457843</v>
          </cell>
          <cell r="P148">
            <v>1.2212453270876722E-11</v>
          </cell>
          <cell r="Q148">
            <v>29.999999999961723</v>
          </cell>
          <cell r="R148">
            <v>49.999999999996717</v>
          </cell>
          <cell r="S148">
            <v>30.000000000011685</v>
          </cell>
          <cell r="T148">
            <v>21.321796112403877</v>
          </cell>
          <cell r="U148">
            <v>47.825518343910801</v>
          </cell>
        </row>
        <row r="149">
          <cell r="B149" t="str">
            <v>Last Reported Q</v>
          </cell>
          <cell r="C149">
            <v>1027</v>
          </cell>
          <cell r="D149">
            <v>1586</v>
          </cell>
          <cell r="E149">
            <v>2033</v>
          </cell>
          <cell r="F149">
            <v>581</v>
          </cell>
          <cell r="G149">
            <v>162.55199999999999</v>
          </cell>
          <cell r="H149">
            <v>286.51100000000002</v>
          </cell>
          <cell r="I149">
            <v>864.09699999999998</v>
          </cell>
          <cell r="J149">
            <v>934.30857142857144</v>
          </cell>
          <cell r="K149">
            <v>6540.16</v>
          </cell>
          <cell r="M149">
            <v>448.09300000000002</v>
          </cell>
          <cell r="N149">
            <v>117.236</v>
          </cell>
          <cell r="O149">
            <v>193.26900000000001</v>
          </cell>
          <cell r="P149">
            <v>1322.3320000000001</v>
          </cell>
          <cell r="Q149">
            <v>1024</v>
          </cell>
          <cell r="R149">
            <v>503.863</v>
          </cell>
          <cell r="S149">
            <v>114.327</v>
          </cell>
          <cell r="T149">
            <v>531.87428571428575</v>
          </cell>
          <cell r="U149">
            <v>3723.12</v>
          </cell>
        </row>
        <row r="150">
          <cell r="A150" t="str">
            <v>mstag:sellingGeneralAndAdministrativeExpenses</v>
          </cell>
          <cell r="B150" t="str">
            <v>SG&amp;A</v>
          </cell>
          <cell r="C150">
            <v>4056</v>
          </cell>
          <cell r="D150">
            <v>6115</v>
          </cell>
          <cell r="E150">
            <v>8106</v>
          </cell>
          <cell r="F150">
            <v>2398</v>
          </cell>
          <cell r="G150">
            <v>667.96800000000007</v>
          </cell>
          <cell r="H150">
            <v>1100.011</v>
          </cell>
          <cell r="I150">
            <v>3229.5609999999997</v>
          </cell>
          <cell r="J150">
            <v>3667.5057142857145</v>
          </cell>
          <cell r="K150">
            <v>25672.54</v>
          </cell>
          <cell r="M150">
            <v>1803.8050000000001</v>
          </cell>
          <cell r="N150">
            <v>442.11900000000003</v>
          </cell>
          <cell r="O150">
            <v>733.92599999999993</v>
          </cell>
          <cell r="P150">
            <v>2317.0330000000004</v>
          </cell>
          <cell r="Q150">
            <v>3814</v>
          </cell>
          <cell r="R150">
            <v>2140.2979999999998</v>
          </cell>
          <cell r="S150">
            <v>429.86</v>
          </cell>
          <cell r="T150">
            <v>1668.7201428571429</v>
          </cell>
          <cell r="U150">
            <v>11681.041000000001</v>
          </cell>
        </row>
        <row r="151">
          <cell r="B151" t="str">
            <v>FY(5)</v>
          </cell>
          <cell r="C151">
            <v>2582.971</v>
          </cell>
          <cell r="D151">
            <v>5505</v>
          </cell>
          <cell r="E151">
            <v>4931</v>
          </cell>
          <cell r="F151">
            <v>2020.2329999999999</v>
          </cell>
          <cell r="G151">
            <v>796.57399999999996</v>
          </cell>
          <cell r="H151">
            <v>657.66800000000001</v>
          </cell>
          <cell r="I151">
            <v>2520.8139999999999</v>
          </cell>
          <cell r="J151">
            <v>2716.3228571428567</v>
          </cell>
          <cell r="K151">
            <v>19014.259999999998</v>
          </cell>
          <cell r="M151">
            <v>957.18</v>
          </cell>
          <cell r="N151">
            <v>183.977</v>
          </cell>
          <cell r="O151">
            <v>446.82900000000001</v>
          </cell>
          <cell r="P151">
            <v>578.82000000000005</v>
          </cell>
          <cell r="Q151">
            <v>4296</v>
          </cell>
          <cell r="R151">
            <v>2367.2660000000001</v>
          </cell>
          <cell r="S151">
            <v>190.38399999999999</v>
          </cell>
          <cell r="T151">
            <v>1288.6365714285714</v>
          </cell>
          <cell r="U151">
            <v>9020.4560000000001</v>
          </cell>
        </row>
        <row r="152">
          <cell r="B152" t="str">
            <v>FY(4)</v>
          </cell>
          <cell r="C152">
            <v>2963.5</v>
          </cell>
          <cell r="D152">
            <v>5614</v>
          </cell>
          <cell r="E152">
            <v>6980</v>
          </cell>
          <cell r="F152">
            <v>2100.6660000000002</v>
          </cell>
          <cell r="G152">
            <v>801.57593271205303</v>
          </cell>
          <cell r="H152">
            <v>766.14400000000001</v>
          </cell>
          <cell r="I152">
            <v>2689.3210009596</v>
          </cell>
          <cell r="J152">
            <v>3130.7438476673792</v>
          </cell>
          <cell r="K152">
            <v>21915.206933671656</v>
          </cell>
          <cell r="M152">
            <v>1268.431</v>
          </cell>
          <cell r="N152">
            <v>227.04400000000001</v>
          </cell>
          <cell r="O152">
            <v>542.29499999999996</v>
          </cell>
          <cell r="P152">
            <v>731.89099999999996</v>
          </cell>
          <cell r="Q152">
            <v>4185</v>
          </cell>
          <cell r="R152">
            <v>2493.951</v>
          </cell>
          <cell r="S152">
            <v>242.50700000000001</v>
          </cell>
          <cell r="T152">
            <v>1384.4455714285716</v>
          </cell>
          <cell r="U152">
            <v>9691.1190000000006</v>
          </cell>
        </row>
        <row r="153">
          <cell r="B153" t="str">
            <v>FY(3)</v>
          </cell>
          <cell r="C153">
            <v>3415.4940000000001</v>
          </cell>
          <cell r="D153">
            <v>5937</v>
          </cell>
          <cell r="E153">
            <v>8678</v>
          </cell>
          <cell r="F153">
            <v>2296.8629999999998</v>
          </cell>
          <cell r="G153">
            <v>749.86758829015298</v>
          </cell>
          <cell r="H153">
            <v>863.03300000000002</v>
          </cell>
          <cell r="I153">
            <v>2916.56</v>
          </cell>
          <cell r="J153">
            <v>3550.9739411843075</v>
          </cell>
          <cell r="K153">
            <v>24856.817588290152</v>
          </cell>
          <cell r="M153">
            <v>1512.6610000000001</v>
          </cell>
          <cell r="N153">
            <v>289.73599999999999</v>
          </cell>
          <cell r="O153">
            <v>665.60699999999997</v>
          </cell>
          <cell r="P153">
            <v>866.86556379972797</v>
          </cell>
          <cell r="Q153">
            <v>4477</v>
          </cell>
          <cell r="R153">
            <v>2837.4270000000001</v>
          </cell>
          <cell r="S153">
            <v>287.93200000000002</v>
          </cell>
          <cell r="T153">
            <v>1562.4612233999612</v>
          </cell>
          <cell r="U153">
            <v>10937.228563799728</v>
          </cell>
        </row>
        <row r="154">
          <cell r="B154" t="str">
            <v>FY(2)</v>
          </cell>
          <cell r="C154">
            <v>3696.9</v>
          </cell>
          <cell r="D154">
            <v>5829</v>
          </cell>
          <cell r="E154">
            <v>8554</v>
          </cell>
          <cell r="F154">
            <v>2359.7800000000002</v>
          </cell>
          <cell r="G154">
            <v>807.92702269720496</v>
          </cell>
          <cell r="H154">
            <v>935.90099999999995</v>
          </cell>
          <cell r="I154">
            <v>3033.4039100715199</v>
          </cell>
          <cell r="J154">
            <v>3602.4159903955324</v>
          </cell>
          <cell r="K154">
            <v>25216.911932768726</v>
          </cell>
          <cell r="M154">
            <v>1720.9580000000001</v>
          </cell>
          <cell r="N154">
            <v>345.80500000000001</v>
          </cell>
          <cell r="O154">
            <v>715.18</v>
          </cell>
          <cell r="P154">
            <v>1029.5889999999999</v>
          </cell>
          <cell r="Q154">
            <v>4345</v>
          </cell>
          <cell r="R154">
            <v>2602.4180000000001</v>
          </cell>
          <cell r="S154">
            <v>351.827</v>
          </cell>
          <cell r="T154">
            <v>1587.253857142857</v>
          </cell>
          <cell r="U154">
            <v>11110.776999999998</v>
          </cell>
        </row>
        <row r="155">
          <cell r="B155" t="str">
            <v>FY(1)</v>
          </cell>
          <cell r="C155">
            <v>3936.0219999999999</v>
          </cell>
          <cell r="D155">
            <v>5805</v>
          </cell>
          <cell r="E155">
            <v>8458</v>
          </cell>
          <cell r="F155">
            <v>2387.9659999999999</v>
          </cell>
          <cell r="G155">
            <v>763.44408199055204</v>
          </cell>
          <cell r="H155">
            <v>1038.6748406189799</v>
          </cell>
          <cell r="I155">
            <v>3142.6860000000001</v>
          </cell>
          <cell r="J155">
            <v>3647.3989889442191</v>
          </cell>
          <cell r="K155">
            <v>25531.792922609533</v>
          </cell>
          <cell r="M155">
            <v>1840.15625086369</v>
          </cell>
          <cell r="N155">
            <v>405.88299999999998</v>
          </cell>
          <cell r="O155">
            <v>734.04100000000005</v>
          </cell>
          <cell r="P155">
            <v>1227.874</v>
          </cell>
          <cell r="Q155">
            <v>3899</v>
          </cell>
          <cell r="R155">
            <v>2288.8490000000002</v>
          </cell>
          <cell r="S155">
            <v>414.04300000000001</v>
          </cell>
          <cell r="T155">
            <v>1544.2637501233842</v>
          </cell>
          <cell r="U155">
            <v>10809.846250863689</v>
          </cell>
        </row>
        <row r="156">
          <cell r="B156" t="str">
            <v>FY0</v>
          </cell>
          <cell r="C156">
            <v>4144</v>
          </cell>
          <cell r="D156">
            <v>6242</v>
          </cell>
          <cell r="E156">
            <v>8062</v>
          </cell>
          <cell r="F156">
            <v>2465</v>
          </cell>
          <cell r="G156">
            <v>663.38400000000001</v>
          </cell>
          <cell r="H156">
            <v>1130.8130000000001</v>
          </cell>
          <cell r="I156">
            <v>3328.944</v>
          </cell>
          <cell r="J156">
            <v>3719.4487142857142</v>
          </cell>
          <cell r="K156">
            <v>26036.141</v>
          </cell>
          <cell r="M156">
            <v>1746.019</v>
          </cell>
          <cell r="N156">
            <v>463.56200000000001</v>
          </cell>
          <cell r="O156">
            <v>756.25599999999997</v>
          </cell>
          <cell r="P156">
            <v>1322.3320000000001</v>
          </cell>
          <cell r="Q156">
            <v>3913</v>
          </cell>
          <cell r="R156">
            <v>2166.4029999999998</v>
          </cell>
          <cell r="S156">
            <v>447.161</v>
          </cell>
          <cell r="T156">
            <v>1544.9618571428571</v>
          </cell>
          <cell r="U156">
            <v>10814.733</v>
          </cell>
        </row>
        <row r="157">
          <cell r="B157" t="str">
            <v>FY1</v>
          </cell>
          <cell r="C157">
            <v>4394.4091829754097</v>
          </cell>
          <cell r="D157">
            <v>6246.8233738916697</v>
          </cell>
          <cell r="E157">
            <v>8248.0658741166299</v>
          </cell>
          <cell r="F157">
            <v>2590.3075410872998</v>
          </cell>
          <cell r="G157">
            <v>695.74853440064305</v>
          </cell>
          <cell r="H157">
            <v>1211.18901626811</v>
          </cell>
          <cell r="I157">
            <v>3551.2590335353202</v>
          </cell>
          <cell r="J157">
            <v>3848.2575080392967</v>
          </cell>
          <cell r="K157">
            <v>26937.802556275077</v>
          </cell>
          <cell r="M157">
            <v>1792.8121806045201</v>
          </cell>
          <cell r="N157">
            <v>504.30645509643699</v>
          </cell>
          <cell r="O157">
            <v>728.64913129426805</v>
          </cell>
          <cell r="P157">
            <v>1421.66648658546</v>
          </cell>
          <cell r="Q157">
            <v>3985.1203682867199</v>
          </cell>
          <cell r="R157">
            <v>2225.6272843379302</v>
          </cell>
          <cell r="S157">
            <v>506.13870145797398</v>
          </cell>
          <cell r="T157">
            <v>1594.9029439519013</v>
          </cell>
          <cell r="U157">
            <v>11164.320607663309</v>
          </cell>
        </row>
        <row r="158">
          <cell r="B158" t="str">
            <v>FY2</v>
          </cell>
          <cell r="C158">
            <v>4720.5151538554701</v>
          </cell>
          <cell r="D158">
            <v>6372.0902312446397</v>
          </cell>
          <cell r="E158">
            <v>8292.5927833133792</v>
          </cell>
          <cell r="F158">
            <v>2676.5791025920498</v>
          </cell>
          <cell r="G158">
            <v>736.52206639947497</v>
          </cell>
          <cell r="H158">
            <v>1266.65736703995</v>
          </cell>
          <cell r="I158">
            <v>3773.5321763327702</v>
          </cell>
          <cell r="J158">
            <v>3976.9269829682466</v>
          </cell>
          <cell r="K158">
            <v>27838.488880777728</v>
          </cell>
          <cell r="M158">
            <v>1906.1941041853299</v>
          </cell>
          <cell r="N158">
            <v>594.038263854913</v>
          </cell>
          <cell r="O158">
            <v>789.28825485253299</v>
          </cell>
          <cell r="P158">
            <v>1512.91471930996</v>
          </cell>
          <cell r="Q158">
            <v>3815.9974476101902</v>
          </cell>
          <cell r="R158">
            <v>2291.5018855364201</v>
          </cell>
          <cell r="S158">
            <v>564.28679678784999</v>
          </cell>
          <cell r="T158">
            <v>1639.1744960195995</v>
          </cell>
          <cell r="U158">
            <v>11474.221472137197</v>
          </cell>
        </row>
        <row r="159">
          <cell r="B159" t="str">
            <v>FQ(3)</v>
          </cell>
          <cell r="C159">
            <v>961</v>
          </cell>
          <cell r="D159">
            <v>1474</v>
          </cell>
          <cell r="E159">
            <v>1956</v>
          </cell>
          <cell r="F159">
            <v>539</v>
          </cell>
          <cell r="G159">
            <v>155.434</v>
          </cell>
          <cell r="H159">
            <v>272.02999999999997</v>
          </cell>
          <cell r="I159">
            <v>735.05700000000002</v>
          </cell>
          <cell r="J159">
            <v>870.36014285714282</v>
          </cell>
          <cell r="K159">
            <v>6092.5209999999997</v>
          </cell>
          <cell r="M159">
            <v>416.65499999999997</v>
          </cell>
          <cell r="N159">
            <v>94.146000000000001</v>
          </cell>
          <cell r="O159">
            <v>158.69200000000001</v>
          </cell>
          <cell r="P159">
            <v>326.32100000000003</v>
          </cell>
          <cell r="Q159">
            <v>886</v>
          </cell>
          <cell r="R159">
            <v>483.14400000000001</v>
          </cell>
          <cell r="S159">
            <v>97.185000000000002</v>
          </cell>
          <cell r="T159">
            <v>351.73471428571423</v>
          </cell>
          <cell r="U159">
            <v>2462.1429999999996</v>
          </cell>
        </row>
        <row r="160">
          <cell r="B160" t="str">
            <v>FQ(2)</v>
          </cell>
          <cell r="C160">
            <v>966</v>
          </cell>
          <cell r="D160">
            <v>1460</v>
          </cell>
          <cell r="E160">
            <v>1861</v>
          </cell>
          <cell r="F160">
            <v>608</v>
          </cell>
          <cell r="G160">
            <v>154.941</v>
          </cell>
          <cell r="H160">
            <v>286.15800000000002</v>
          </cell>
          <cell r="I160">
            <v>790.87599999999998</v>
          </cell>
          <cell r="J160">
            <v>875.28214285714296</v>
          </cell>
          <cell r="K160">
            <v>6126.9750000000004</v>
          </cell>
          <cell r="M160">
            <v>418.96199999999999</v>
          </cell>
          <cell r="N160">
            <v>100.682</v>
          </cell>
          <cell r="O160">
            <v>167.17500000000001</v>
          </cell>
          <cell r="P160">
            <v>327.63099999999997</v>
          </cell>
          <cell r="Q160">
            <v>913</v>
          </cell>
          <cell r="R160">
            <v>519.36599999999999</v>
          </cell>
          <cell r="S160">
            <v>108.65</v>
          </cell>
          <cell r="T160">
            <v>365.06657142857142</v>
          </cell>
          <cell r="U160">
            <v>2555.4659999999999</v>
          </cell>
        </row>
        <row r="161">
          <cell r="B161" t="str">
            <v>FQ(1)</v>
          </cell>
          <cell r="C161">
            <v>1027</v>
          </cell>
          <cell r="D161">
            <v>1586</v>
          </cell>
          <cell r="E161">
            <v>2033</v>
          </cell>
          <cell r="F161">
            <v>581</v>
          </cell>
          <cell r="G161">
            <v>162.55199999999999</v>
          </cell>
          <cell r="H161">
            <v>286.51100000000002</v>
          </cell>
          <cell r="I161">
            <v>864.09699999999998</v>
          </cell>
          <cell r="J161">
            <v>934.30857142857144</v>
          </cell>
          <cell r="K161">
            <v>6540.16</v>
          </cell>
          <cell r="M161">
            <v>437.22899999999998</v>
          </cell>
          <cell r="N161">
            <v>117.236</v>
          </cell>
          <cell r="O161">
            <v>193.26900000000001</v>
          </cell>
          <cell r="P161">
            <v>326.93099999999998</v>
          </cell>
          <cell r="Q161">
            <v>1024</v>
          </cell>
          <cell r="R161">
            <v>503.863</v>
          </cell>
          <cell r="S161">
            <v>114.327</v>
          </cell>
          <cell r="T161">
            <v>388.12214285714282</v>
          </cell>
          <cell r="U161">
            <v>2716.8549999999996</v>
          </cell>
        </row>
        <row r="162">
          <cell r="B162" t="str">
            <v>Last Reported Q</v>
          </cell>
          <cell r="C162">
            <v>4144</v>
          </cell>
          <cell r="D162">
            <v>6242</v>
          </cell>
          <cell r="E162">
            <v>8062</v>
          </cell>
          <cell r="F162">
            <v>2465</v>
          </cell>
          <cell r="G162">
            <v>663.38400000000001</v>
          </cell>
          <cell r="H162">
            <v>1130.8130000000001</v>
          </cell>
          <cell r="I162">
            <v>3328.944</v>
          </cell>
          <cell r="J162">
            <v>3719.4487142857142</v>
          </cell>
          <cell r="K162">
            <v>26036.141</v>
          </cell>
          <cell r="M162">
            <v>1746.019</v>
          </cell>
          <cell r="N162">
            <v>463.56200000000001</v>
          </cell>
          <cell r="O162">
            <v>756.25599999999997</v>
          </cell>
          <cell r="P162">
            <v>390.10199999999998</v>
          </cell>
          <cell r="Q162">
            <v>3913</v>
          </cell>
          <cell r="R162">
            <v>2166.4029999999998</v>
          </cell>
          <cell r="S162">
            <v>447.161</v>
          </cell>
          <cell r="T162">
            <v>1411.786142857143</v>
          </cell>
          <cell r="U162">
            <v>9882.5030000000006</v>
          </cell>
        </row>
        <row r="163">
          <cell r="B163" t="str">
            <v>LTM</v>
          </cell>
          <cell r="C163">
            <v>7098</v>
          </cell>
          <cell r="D163">
            <v>10762</v>
          </cell>
          <cell r="E163">
            <v>13912</v>
          </cell>
          <cell r="F163">
            <v>4193</v>
          </cell>
          <cell r="G163">
            <v>1136.3110000000001</v>
          </cell>
          <cell r="H163">
            <v>1975.5120000000002</v>
          </cell>
          <cell r="I163">
            <v>5718.9740000000002</v>
          </cell>
          <cell r="J163">
            <v>6399.399571428572</v>
          </cell>
          <cell r="K163">
            <v>44795.797000000006</v>
          </cell>
          <cell r="M163">
            <v>3018.8649999999998</v>
          </cell>
          <cell r="N163">
            <v>775.62599999999998</v>
          </cell>
          <cell r="O163">
            <v>1275.3919999999998</v>
          </cell>
          <cell r="P163">
            <v>1370.9850000000001</v>
          </cell>
          <cell r="Q163">
            <v>6736</v>
          </cell>
          <cell r="R163">
            <v>3672.7759999999998</v>
          </cell>
          <cell r="S163">
            <v>767.32300000000009</v>
          </cell>
          <cell r="T163">
            <v>2516.7095714285715</v>
          </cell>
          <cell r="U163">
            <v>17616.967000000001</v>
          </cell>
        </row>
        <row r="164">
          <cell r="B164" t="str">
            <v>Expense Ratio Y/Y bps</v>
          </cell>
        </row>
        <row r="165">
          <cell r="B165" t="str">
            <v>Expense Ratio</v>
          </cell>
          <cell r="C165">
            <v>157.51646442021732</v>
          </cell>
          <cell r="D165">
            <v>205.22599143587615</v>
          </cell>
          <cell r="E165">
            <v>147.01424492728543</v>
          </cell>
          <cell r="F165">
            <v>207.07126584412094</v>
          </cell>
          <cell r="G165">
            <v>42.49542357614655</v>
          </cell>
          <cell r="H165">
            <v>35.070234436621604</v>
          </cell>
          <cell r="I165">
            <v>-0.18946280574666519</v>
          </cell>
          <cell r="J165">
            <v>113.45773740493142</v>
          </cell>
          <cell r="K165">
            <v>97.851665616149333</v>
          </cell>
          <cell r="M165">
            <v>610.51345563298059</v>
          </cell>
          <cell r="N165">
            <v>-31.619890153258833</v>
          </cell>
          <cell r="O165">
            <v>115.26462868643839</v>
          </cell>
          <cell r="P165">
            <v>232.99399044565573</v>
          </cell>
          <cell r="Q165">
            <v>-72.302435491419232</v>
          </cell>
          <cell r="R165">
            <v>-48.996741320501137</v>
          </cell>
          <cell r="S165">
            <v>-76.662439658733987</v>
          </cell>
          <cell r="T165">
            <v>104.17008116302362</v>
          </cell>
          <cell r="U165">
            <v>38.080667608011986</v>
          </cell>
        </row>
        <row r="166">
          <cell r="B166" t="str">
            <v>FY(5)</v>
          </cell>
          <cell r="C166">
            <v>0.22075354465972119</v>
          </cell>
          <cell r="D166">
            <v>0.30421087533156499</v>
          </cell>
          <cell r="E166">
            <v>0.31256338742393508</v>
          </cell>
          <cell r="F166">
            <v>0.28328649595809413</v>
          </cell>
          <cell r="G166">
            <v>0.28788602145952064</v>
          </cell>
          <cell r="H166">
            <v>0.15511074318571508</v>
          </cell>
          <cell r="I166">
            <v>0.16902919324747948</v>
          </cell>
          <cell r="J166">
            <v>0.24754860875229007</v>
          </cell>
          <cell r="K166">
            <v>0.25479894602531877</v>
          </cell>
          <cell r="M166">
            <v>0.47355750440073341</v>
          </cell>
          <cell r="N166">
            <v>0.19080554898715221</v>
          </cell>
          <cell r="O166">
            <v>0.2375182127117153</v>
          </cell>
          <cell r="P166">
            <v>0.45493987267153979</v>
          </cell>
          <cell r="Q166">
            <v>0.26409294891498125</v>
          </cell>
          <cell r="R166">
            <v>0.25161431721226934</v>
          </cell>
          <cell r="S166">
            <v>0.23000181214134702</v>
          </cell>
          <cell r="T166">
            <v>0.30036145957710547</v>
          </cell>
          <cell r="U166">
            <v>0.27634449274646161</v>
          </cell>
        </row>
        <row r="167">
          <cell r="B167" t="str">
            <v>FY(4)</v>
          </cell>
          <cell r="C167">
            <v>0.22112041306651145</v>
          </cell>
          <cell r="D167">
            <v>0.2989191203876258</v>
          </cell>
          <cell r="E167">
            <v>0.311746315319339</v>
          </cell>
          <cell r="F167">
            <v>0.27201496074126219</v>
          </cell>
          <cell r="G167">
            <v>0.28850966846380655</v>
          </cell>
          <cell r="H167">
            <v>0.15495879093374249</v>
          </cell>
          <cell r="I167">
            <v>0.16854666633990859</v>
          </cell>
          <cell r="J167">
            <v>0.24511656217888514</v>
          </cell>
          <cell r="K167">
            <v>0.25490426029071767</v>
          </cell>
          <cell r="M167">
            <v>0.45822104470688874</v>
          </cell>
          <cell r="N167">
            <v>0.18852041811869835</v>
          </cell>
          <cell r="O167">
            <v>0.23355033372639172</v>
          </cell>
          <cell r="P167">
            <v>0.44311268847202645</v>
          </cell>
          <cell r="Q167">
            <v>0.26118704362478934</v>
          </cell>
          <cell r="R167">
            <v>0.25791933398831379</v>
          </cell>
          <cell r="S167">
            <v>0.22205424926312167</v>
          </cell>
          <cell r="T167">
            <v>0.29493787312860426</v>
          </cell>
          <cell r="U167">
            <v>0.2790354228686574</v>
          </cell>
        </row>
        <row r="168">
          <cell r="B168" t="str">
            <v>FY(3)</v>
          </cell>
          <cell r="C168">
            <v>0.21914841426546719</v>
          </cell>
          <cell r="D168">
            <v>0.29829542028855022</v>
          </cell>
          <cell r="E168">
            <v>0.32176492398961809</v>
          </cell>
          <cell r="F168">
            <v>0.2683032388246846</v>
          </cell>
          <cell r="G168">
            <v>0.2550567425577977</v>
          </cell>
          <cell r="H168">
            <v>0.15493724653110028</v>
          </cell>
          <cell r="I168">
            <v>0.16757373336772263</v>
          </cell>
          <cell r="J168">
            <v>0.24072567426070579</v>
          </cell>
          <cell r="K168">
            <v>0.25643049645543803</v>
          </cell>
          <cell r="M168">
            <v>0.46059072351786268</v>
          </cell>
          <cell r="N168">
            <v>0.20502006781733473</v>
          </cell>
          <cell r="O168">
            <v>0.23819240490565266</v>
          </cell>
          <cell r="P168">
            <v>0.42596037207277726</v>
          </cell>
          <cell r="Q168">
            <v>0.28116560949569802</v>
          </cell>
          <cell r="R168">
            <v>0.26590943083890284</v>
          </cell>
          <cell r="S168">
            <v>0.23510084370511716</v>
          </cell>
          <cell r="T168">
            <v>0.30170563605047784</v>
          </cell>
          <cell r="U168">
            <v>0.29286802049534522</v>
          </cell>
        </row>
        <row r="169">
          <cell r="B169" t="str">
            <v>FY(2)</v>
          </cell>
          <cell r="C169">
            <v>0.22441224497228915</v>
          </cell>
          <cell r="D169">
            <v>0.29349078819571894</v>
          </cell>
          <cell r="E169">
            <v>0.32508645916467144</v>
          </cell>
          <cell r="F169">
            <v>0.26731193022417554</v>
          </cell>
          <cell r="G169">
            <v>0.24747866688145498</v>
          </cell>
          <cell r="H169">
            <v>0.15663059319066835</v>
          </cell>
          <cell r="I169">
            <v>0.16542778193181926</v>
          </cell>
          <cell r="J169">
            <v>0.23997692350868541</v>
          </cell>
          <cell r="K169">
            <v>0.25458252346273547</v>
          </cell>
          <cell r="M169">
            <v>0.46516703174565421</v>
          </cell>
          <cell r="N169">
            <v>0.21842389666892584</v>
          </cell>
          <cell r="O169">
            <v>0.23406936986383864</v>
          </cell>
          <cell r="P169">
            <v>0.39410769023478287</v>
          </cell>
          <cell r="Q169">
            <v>0.27564549895324492</v>
          </cell>
          <cell r="R169">
            <v>0.25801530849837501</v>
          </cell>
          <cell r="S169">
            <v>0.23334973775041057</v>
          </cell>
          <cell r="T169">
            <v>0.29696836195931881</v>
          </cell>
          <cell r="U169">
            <v>0.29004007050169583</v>
          </cell>
        </row>
        <row r="170">
          <cell r="B170" t="str">
            <v>FY(1)</v>
          </cell>
          <cell r="C170">
            <v>0.24016389141431088</v>
          </cell>
          <cell r="D170">
            <v>0.31401338733930656</v>
          </cell>
          <cell r="E170">
            <v>0.33978788365739998</v>
          </cell>
          <cell r="F170">
            <v>0.28801905680858764</v>
          </cell>
          <cell r="G170">
            <v>0.2513902659533549</v>
          </cell>
          <cell r="H170">
            <v>0.16013761663433052</v>
          </cell>
          <cell r="I170">
            <v>0.16540883565124459</v>
          </cell>
          <cell r="J170">
            <v>0.25127441963693359</v>
          </cell>
          <cell r="K170">
            <v>0.2643565301882268</v>
          </cell>
          <cell r="M170">
            <v>0.528164794911131</v>
          </cell>
          <cell r="N170">
            <v>0.21526190765359995</v>
          </cell>
          <cell r="O170">
            <v>0.24559583273248248</v>
          </cell>
          <cell r="P170">
            <v>0.38603200433104445</v>
          </cell>
          <cell r="Q170">
            <v>0.26841525540410299</v>
          </cell>
          <cell r="R170">
            <v>0.25311563436632489</v>
          </cell>
          <cell r="S170">
            <v>0.22568349378453717</v>
          </cell>
          <cell r="T170">
            <v>0.30318127474046047</v>
          </cell>
          <cell r="U170">
            <v>0.29261289329386647</v>
          </cell>
        </row>
        <row r="171">
          <cell r="B171" t="str">
            <v>FY0</v>
          </cell>
          <cell r="C171">
            <v>0.2412528380974559</v>
          </cell>
          <cell r="D171">
            <v>0.35551799953585106</v>
          </cell>
          <cell r="E171">
            <v>0.34322448805824002</v>
          </cell>
          <cell r="F171">
            <v>0.2984984257689513</v>
          </cell>
          <cell r="G171">
            <v>0.25264937864425241</v>
          </cell>
          <cell r="H171">
            <v>0.15740248792734851</v>
          </cell>
          <cell r="I171">
            <v>0.16408079397316028</v>
          </cell>
          <cell r="J171">
            <v>0.25894663028646564</v>
          </cell>
          <cell r="K171">
            <v>0.26958151141248193</v>
          </cell>
          <cell r="M171">
            <v>0.59619070382858852</v>
          </cell>
          <cell r="N171">
            <v>0.20786554893155254</v>
          </cell>
          <cell r="O171">
            <v>0.25288123487322434</v>
          </cell>
          <cell r="P171">
            <v>0.40933140337561003</v>
          </cell>
          <cell r="Q171">
            <v>0.2756216101993379</v>
          </cell>
          <cell r="R171">
            <v>0.25095787315813839</v>
          </cell>
          <cell r="S171">
            <v>0.23075525785485199</v>
          </cell>
          <cell r="T171">
            <v>0.31765766174590049</v>
          </cell>
          <cell r="U171">
            <v>0.29918667766155282</v>
          </cell>
        </row>
        <row r="172">
          <cell r="B172" t="str">
            <v>FY1</v>
          </cell>
          <cell r="C172">
            <v>0.23755990709862407</v>
          </cell>
          <cell r="D172">
            <v>0.35082328912427285</v>
          </cell>
          <cell r="E172">
            <v>0.33604435343603933</v>
          </cell>
          <cell r="F172">
            <v>0.2900204005330686</v>
          </cell>
          <cell r="G172">
            <v>0.25415537194894949</v>
          </cell>
          <cell r="H172">
            <v>0.15520381370329353</v>
          </cell>
          <cell r="I172">
            <v>0.16100989145998601</v>
          </cell>
          <cell r="J172">
            <v>0.25497386104346204</v>
          </cell>
          <cell r="K172">
            <v>0.26312141410989504</v>
          </cell>
          <cell r="M172">
            <v>0.56685275187212625</v>
          </cell>
          <cell r="N172">
            <v>0.20751094817380147</v>
          </cell>
          <cell r="O172">
            <v>0.24378404137562537</v>
          </cell>
          <cell r="P172">
            <v>0.40898315733024737</v>
          </cell>
          <cell r="Q172">
            <v>0.2834829098776766</v>
          </cell>
          <cell r="R172">
            <v>0.2442859432107283</v>
          </cell>
          <cell r="S172">
            <v>0.22380557744828644</v>
          </cell>
          <cell r="T172">
            <v>0.31124361846978449</v>
          </cell>
          <cell r="U172">
            <v>0.29781058624011059</v>
          </cell>
        </row>
        <row r="173">
          <cell r="B173" t="str">
            <v>FY2</v>
          </cell>
          <cell r="C173">
            <v>0.23555990709862318</v>
          </cell>
          <cell r="D173">
            <v>0.35014505191680151</v>
          </cell>
          <cell r="E173">
            <v>0.33504435343603878</v>
          </cell>
          <cell r="F173">
            <v>0.28619698384846876</v>
          </cell>
          <cell r="G173">
            <v>0.25117728981375714</v>
          </cell>
          <cell r="H173">
            <v>0.15520381370329375</v>
          </cell>
          <cell r="I173">
            <v>0.16050989145998562</v>
          </cell>
          <cell r="J173">
            <v>0.25340532732528126</v>
          </cell>
          <cell r="K173">
            <v>0.26030872041871445</v>
          </cell>
          <cell r="M173">
            <v>0.55786444206476882</v>
          </cell>
          <cell r="N173">
            <v>0.21596159783087132</v>
          </cell>
          <cell r="O173">
            <v>0.23879343443399517</v>
          </cell>
          <cell r="P173">
            <v>0.4069831573302467</v>
          </cell>
          <cell r="Q173">
            <v>0.28248290987767782</v>
          </cell>
          <cell r="R173">
            <v>0.24237995437917609</v>
          </cell>
          <cell r="S173">
            <v>0.21870557744828625</v>
          </cell>
          <cell r="T173">
            <v>0.30902443905214605</v>
          </cell>
          <cell r="U173">
            <v>0.29623593800541625</v>
          </cell>
        </row>
        <row r="174">
          <cell r="B174" t="str">
            <v>FQ(3)</v>
          </cell>
          <cell r="C174">
            <v>0.26415612974161629</v>
          </cell>
          <cell r="D174">
            <v>0.37946315338480124</v>
          </cell>
          <cell r="E174">
            <v>0.37622619734564339</v>
          </cell>
          <cell r="F174">
            <v>0.31594372801875731</v>
          </cell>
          <cell r="G174">
            <v>0.25018912993790099</v>
          </cell>
          <cell r="H174">
            <v>0.16081234382380219</v>
          </cell>
          <cell r="I174">
            <v>0.16881469579883809</v>
          </cell>
          <cell r="J174">
            <v>0.27365791115019422</v>
          </cell>
          <cell r="K174">
            <v>0.28882002576376026</v>
          </cell>
          <cell r="M174">
            <v>0.69242964856272504</v>
          </cell>
          <cell r="N174">
            <v>0.23073642726898419</v>
          </cell>
          <cell r="O174">
            <v>0.25930065359477128</v>
          </cell>
          <cell r="P174">
            <v>0.44101067790723297</v>
          </cell>
          <cell r="Q174">
            <v>0.28333866325551649</v>
          </cell>
          <cell r="R174">
            <v>0.28004500251269826</v>
          </cell>
          <cell r="S174">
            <v>0.25256239669851038</v>
          </cell>
          <cell r="T174">
            <v>0.34848906711434841</v>
          </cell>
          <cell r="U174">
            <v>0.3240205429200293</v>
          </cell>
        </row>
        <row r="175">
          <cell r="B175" t="str">
            <v>FQ(2)</v>
          </cell>
          <cell r="C175">
            <v>0.25380977404098792</v>
          </cell>
          <cell r="D175">
            <v>0.37030928905677624</v>
          </cell>
          <cell r="E175">
            <v>0.3603795507358637</v>
          </cell>
          <cell r="F175">
            <v>0.28344988344988348</v>
          </cell>
          <cell r="G175">
            <v>0.27584494103572038</v>
          </cell>
          <cell r="H175">
            <v>0.1617958698115384</v>
          </cell>
          <cell r="I175">
            <v>0.16658690585921768</v>
          </cell>
          <cell r="J175">
            <v>0.26745374485571255</v>
          </cell>
          <cell r="K175">
            <v>0.27679393603676727</v>
          </cell>
          <cell r="M175">
            <v>0.65748303963617016</v>
          </cell>
          <cell r="N175">
            <v>0.22224625844333584</v>
          </cell>
          <cell r="O175">
            <v>0.254221436870054</v>
          </cell>
          <cell r="P175">
            <v>0.42125815178259163</v>
          </cell>
          <cell r="Q175">
            <v>0.28135593220338984</v>
          </cell>
          <cell r="R175">
            <v>0.25131301987312554</v>
          </cell>
          <cell r="S175">
            <v>0.23690327194707672</v>
          </cell>
          <cell r="T175">
            <v>0.33211158725082057</v>
          </cell>
          <cell r="U175">
            <v>0.30804271598565874</v>
          </cell>
        </row>
        <row r="176">
          <cell r="B176" t="str">
            <v>FQ(1)</v>
          </cell>
          <cell r="C176">
            <v>0.2535176499629721</v>
          </cell>
          <cell r="D176">
            <v>0.37939005929867253</v>
          </cell>
          <cell r="E176">
            <v>0.38525677468258479</v>
          </cell>
          <cell r="F176">
            <v>0.31102783725910066</v>
          </cell>
          <cell r="G176">
            <v>0.25743308089206474</v>
          </cell>
          <cell r="H176">
            <v>0.16427073759602878</v>
          </cell>
          <cell r="I176">
            <v>0.16474850265379282</v>
          </cell>
          <cell r="J176">
            <v>0.27366352033503094</v>
          </cell>
          <cell r="K176">
            <v>0.28439295072744886</v>
          </cell>
          <cell r="M176">
            <v>0.58012243858168677</v>
          </cell>
          <cell r="N176">
            <v>0.20646029325265305</v>
          </cell>
          <cell r="O176">
            <v>0.25804914000977353</v>
          </cell>
          <cell r="P176">
            <v>0.42936053803532004</v>
          </cell>
          <cell r="Q176">
            <v>0.2853162440791307</v>
          </cell>
          <cell r="R176">
            <v>0.28350080276736006</v>
          </cell>
          <cell r="S176">
            <v>0.22598734927851355</v>
          </cell>
          <cell r="T176">
            <v>0.32411382942920541</v>
          </cell>
          <cell r="U176">
            <v>0.31213470922732417</v>
          </cell>
        </row>
        <row r="177">
          <cell r="B177" t="str">
            <v>Last Reported Q</v>
          </cell>
          <cell r="C177">
            <v>0.2412528380974559</v>
          </cell>
          <cell r="D177">
            <v>0.35551799953585106</v>
          </cell>
          <cell r="E177">
            <v>0.34322448805824002</v>
          </cell>
          <cell r="F177">
            <v>0.2984984257689513</v>
          </cell>
          <cell r="G177">
            <v>0.25264937864425241</v>
          </cell>
          <cell r="H177">
            <v>0.15740248792734851</v>
          </cell>
          <cell r="I177">
            <v>0.16408079397316028</v>
          </cell>
          <cell r="J177">
            <v>0.25894663028646564</v>
          </cell>
          <cell r="K177">
            <v>0.26958151141248193</v>
          </cell>
          <cell r="M177">
            <v>0.59619070382858852</v>
          </cell>
          <cell r="N177">
            <v>0.20786554893155254</v>
          </cell>
          <cell r="O177">
            <v>0.25288123487322434</v>
          </cell>
          <cell r="P177">
            <v>0.3662912380693048</v>
          </cell>
          <cell r="Q177">
            <v>0.2756216101993379</v>
          </cell>
          <cell r="R177">
            <v>0.25095787315813839</v>
          </cell>
          <cell r="S177">
            <v>0.23075525785485199</v>
          </cell>
          <cell r="T177">
            <v>0.31150906670214262</v>
          </cell>
          <cell r="U177">
            <v>0.29081885663302726</v>
          </cell>
        </row>
        <row r="178">
          <cell r="B178" t="str">
            <v>LTM</v>
          </cell>
          <cell r="C178">
            <v>0.24755859375</v>
          </cell>
          <cell r="D178">
            <v>0.3640120041067873</v>
          </cell>
          <cell r="E178">
            <v>0.35554192542615454</v>
          </cell>
          <cell r="F178">
            <v>0.29999284538885312</v>
          </cell>
          <cell r="G178">
            <v>0.2559197911040863</v>
          </cell>
          <cell r="H178">
            <v>0.15946225344343146</v>
          </cell>
          <cell r="I178">
            <v>0.16512055876658455</v>
          </cell>
          <cell r="J178">
            <v>0.26394399599798529</v>
          </cell>
          <cell r="K178">
            <v>0.27514697563885587</v>
          </cell>
          <cell r="M178">
            <v>0.61343347301981055</v>
          </cell>
          <cell r="N178">
            <v>0.21197834263964316</v>
          </cell>
          <cell r="O178">
            <v>0.25461418741350766</v>
          </cell>
          <cell r="P178">
            <v>0.40996822786229586</v>
          </cell>
          <cell r="Q178">
            <v>0.27883102905869689</v>
          </cell>
          <cell r="R178">
            <v>0.25861572787938431</v>
          </cell>
          <cell r="S178">
            <v>0.23343201089580387</v>
          </cell>
          <cell r="T178">
            <v>0.32298185696702031</v>
          </cell>
          <cell r="U178">
            <v>0.30073195088102744</v>
          </cell>
        </row>
        <row r="179">
          <cell r="B179" t="str">
            <v>FY(1)</v>
          </cell>
          <cell r="C179">
            <v>1980.6181424947576</v>
          </cell>
          <cell r="D179">
            <v>1984.4633176922603</v>
          </cell>
          <cell r="E179">
            <v>2202.7236417983245</v>
          </cell>
          <cell r="F179">
            <v>1246.211643382778</v>
          </cell>
          <cell r="G179">
            <v>173.8130453674847</v>
          </cell>
          <cell r="H179">
            <v>482.08061137554455</v>
          </cell>
          <cell r="I179">
            <v>1671.8902989417663</v>
          </cell>
          <cell r="J179">
            <v>1391.6858144361308</v>
          </cell>
          <cell r="K179">
            <v>9741.8007010529163</v>
          </cell>
          <cell r="M179">
            <v>789.86515194133233</v>
          </cell>
          <cell r="N179">
            <v>215.33854842049243</v>
          </cell>
          <cell r="O179">
            <v>627.84877745647373</v>
          </cell>
          <cell r="P179">
            <v>1211.6714117526039</v>
          </cell>
          <cell r="Q179">
            <v>1644.5986291646034</v>
          </cell>
          <cell r="R179">
            <v>1068.359336648728</v>
          </cell>
          <cell r="S179">
            <v>255.22575446775724</v>
          </cell>
          <cell r="T179">
            <v>830.4153728359986</v>
          </cell>
          <cell r="U179">
            <v>5812.9076098519899</v>
          </cell>
        </row>
        <row r="180">
          <cell r="B180" t="str">
            <v>Expense Ratio Y/Y bps</v>
          </cell>
          <cell r="C180">
            <v>1705.1856268015219</v>
          </cell>
          <cell r="D180">
            <v>1232.8094973777047</v>
          </cell>
          <cell r="E180">
            <v>1553.8230857746548</v>
          </cell>
          <cell r="F180">
            <v>802.61653937056747</v>
          </cell>
          <cell r="G180">
            <v>-82.354512381842142</v>
          </cell>
          <cell r="H180">
            <v>551.23890722468843</v>
          </cell>
          <cell r="I180">
            <v>1684.3207963303021</v>
          </cell>
          <cell r="J180">
            <v>1063.9485629282283</v>
          </cell>
          <cell r="K180">
            <v>7447.6399404975982</v>
          </cell>
          <cell r="M180">
            <v>536.74816545626607</v>
          </cell>
          <cell r="N180">
            <v>272.88205450139014</v>
          </cell>
          <cell r="O180">
            <v>354.55073316454383</v>
          </cell>
          <cell r="P180">
            <v>1042.1427565666907</v>
          </cell>
          <cell r="Q180">
            <v>1921.1686440084529</v>
          </cell>
          <cell r="R180">
            <v>834.83801786001254</v>
          </cell>
          <cell r="S180">
            <v>323.59547798093331</v>
          </cell>
          <cell r="T180">
            <v>755.13226421975571</v>
          </cell>
          <cell r="U180">
            <v>5285.9258495382901</v>
          </cell>
        </row>
        <row r="181">
          <cell r="B181" t="str">
            <v>FY(1)</v>
          </cell>
          <cell r="C181">
            <v>157.51646442021732</v>
          </cell>
          <cell r="D181">
            <v>205.22599143587615</v>
          </cell>
          <cell r="E181">
            <v>147.01424492728543</v>
          </cell>
          <cell r="F181">
            <v>207.07126584412094</v>
          </cell>
          <cell r="G181">
            <v>39.115990718999186</v>
          </cell>
          <cell r="H181">
            <v>35.070234436621604</v>
          </cell>
          <cell r="I181">
            <v>-0.18946280574666519</v>
          </cell>
          <cell r="J181">
            <v>112.9749612824818</v>
          </cell>
          <cell r="K181">
            <v>97.740067254913356</v>
          </cell>
          <cell r="M181">
            <v>629.97763165476783</v>
          </cell>
          <cell r="N181">
            <v>-31.619890153258833</v>
          </cell>
          <cell r="O181">
            <v>115.26462868643839</v>
          </cell>
          <cell r="P181">
            <v>-80.75685903738416</v>
          </cell>
          <cell r="Q181">
            <v>-72.302435491419232</v>
          </cell>
          <cell r="R181">
            <v>-48.996741320501137</v>
          </cell>
          <cell r="S181">
            <v>-76.662439658733987</v>
          </cell>
          <cell r="T181">
            <v>62.129127811416666</v>
          </cell>
          <cell r="U181">
            <v>25.72822792170637</v>
          </cell>
        </row>
        <row r="182">
          <cell r="B182" t="str">
            <v>FY0</v>
          </cell>
          <cell r="C182">
            <v>10.8894668314502</v>
          </cell>
          <cell r="D182">
            <v>415.04612196544497</v>
          </cell>
          <cell r="E182">
            <v>34.36604400840038</v>
          </cell>
          <cell r="F182">
            <v>104.79368960363666</v>
          </cell>
          <cell r="G182">
            <v>12.591126908975125</v>
          </cell>
          <cell r="H182">
            <v>-27.351287069820039</v>
          </cell>
          <cell r="I182">
            <v>-13.280416780843129</v>
          </cell>
          <cell r="J182">
            <v>76.722106495320517</v>
          </cell>
          <cell r="K182">
            <v>52.249812242551322</v>
          </cell>
          <cell r="M182">
            <v>680.25908917457525</v>
          </cell>
          <cell r="N182">
            <v>-73.963587220474139</v>
          </cell>
          <cell r="O182">
            <v>72.854021407418585</v>
          </cell>
          <cell r="P182">
            <v>232.99399044565573</v>
          </cell>
          <cell r="Q182">
            <v>72.06354795234904</v>
          </cell>
          <cell r="R182">
            <v>-21.577612081865038</v>
          </cell>
          <cell r="S182">
            <v>50.717640703148156</v>
          </cell>
          <cell r="T182">
            <v>144.76387005440017</v>
          </cell>
          <cell r="U182">
            <v>65.737843676863534</v>
          </cell>
        </row>
        <row r="183">
          <cell r="B183" t="str">
            <v>FY1</v>
          </cell>
          <cell r="C183">
            <v>-36.929309988318337</v>
          </cell>
          <cell r="D183">
            <v>-46.947104115782068</v>
          </cell>
          <cell r="E183">
            <v>-71.801346222006842</v>
          </cell>
          <cell r="F183">
            <v>-84.780252358827028</v>
          </cell>
          <cell r="G183">
            <v>15.059933046970841</v>
          </cell>
          <cell r="H183">
            <v>-21.986742240549805</v>
          </cell>
          <cell r="I183">
            <v>-30.709025131742674</v>
          </cell>
          <cell r="J183">
            <v>-39.727692430036043</v>
          </cell>
          <cell r="K183">
            <v>-64.600973025868981</v>
          </cell>
          <cell r="M183">
            <v>-293.37951956462274</v>
          </cell>
          <cell r="N183">
            <v>-3.5460075775106681</v>
          </cell>
          <cell r="O183">
            <v>-90.971934975989655</v>
          </cell>
          <cell r="P183">
            <v>-3.4824604536265458</v>
          </cell>
          <cell r="Q183">
            <v>78.612996783387075</v>
          </cell>
          <cell r="R183">
            <v>-66.719299474100879</v>
          </cell>
          <cell r="S183">
            <v>-69.496804065655454</v>
          </cell>
          <cell r="T183">
            <v>-64.14043276116</v>
          </cell>
          <cell r="U183">
            <v>-13.760914214422382</v>
          </cell>
        </row>
        <row r="184">
          <cell r="B184" t="str">
            <v>FY2</v>
          </cell>
          <cell r="C184">
            <v>-20.0000000000089</v>
          </cell>
          <cell r="D184">
            <v>-6.7823720747134386</v>
          </cell>
          <cell r="E184">
            <v>-10.00000000000556</v>
          </cell>
          <cell r="F184">
            <v>-38.234166845998452</v>
          </cell>
          <cell r="G184">
            <v>-29.780821351923503</v>
          </cell>
          <cell r="H184">
            <v>2.2204460492503131E-12</v>
          </cell>
          <cell r="I184">
            <v>-5.0000000000038902</v>
          </cell>
          <cell r="J184">
            <v>-15.685337181807757</v>
          </cell>
          <cell r="K184">
            <v>-28.126936911805899</v>
          </cell>
          <cell r="M184">
            <v>-89.883098073574303</v>
          </cell>
          <cell r="N184">
            <v>84.506496570698474</v>
          </cell>
          <cell r="O184">
            <v>-49.906069416301989</v>
          </cell>
          <cell r="P184">
            <v>-20.000000000006679</v>
          </cell>
          <cell r="Q184">
            <v>-9.9999999999877964</v>
          </cell>
          <cell r="R184">
            <v>-19.059888315522134</v>
          </cell>
          <cell r="S184">
            <v>-51.000000000001876</v>
          </cell>
          <cell r="T184">
            <v>-22.191794176384395</v>
          </cell>
          <cell r="U184">
            <v>-15.746482346943314</v>
          </cell>
        </row>
        <row r="185">
          <cell r="B185" t="str">
            <v>FQ(1)</v>
          </cell>
          <cell r="C185">
            <v>399</v>
          </cell>
          <cell r="D185">
            <v>67.000000000000114</v>
          </cell>
          <cell r="E185">
            <v>282.00000000000017</v>
          </cell>
          <cell r="F185">
            <v>205.99999999999991</v>
          </cell>
          <cell r="G185">
            <v>-67.604999999999734</v>
          </cell>
          <cell r="H185">
            <v>171.34199999999998</v>
          </cell>
          <cell r="I185">
            <v>422.35000000000019</v>
          </cell>
          <cell r="J185">
            <v>211.44100000000009</v>
          </cell>
          <cell r="K185">
            <v>1480.0870000000007</v>
          </cell>
          <cell r="M185">
            <v>2.8660000000000005</v>
          </cell>
          <cell r="N185">
            <v>65.00999999999992</v>
          </cell>
          <cell r="O185">
            <v>46.316999999999979</v>
          </cell>
          <cell r="P185">
            <v>198.7420000000003</v>
          </cell>
          <cell r="Q185">
            <v>375.00000000000028</v>
          </cell>
          <cell r="R185">
            <v>148.643</v>
          </cell>
          <cell r="S185">
            <v>78.440999999999988</v>
          </cell>
          <cell r="T185">
            <v>130.71700000000007</v>
          </cell>
          <cell r="U185">
            <v>915.01900000000046</v>
          </cell>
        </row>
        <row r="186">
          <cell r="B186" t="str">
            <v>Operating Income</v>
          </cell>
          <cell r="C186">
            <v>338.99999999999983</v>
          </cell>
          <cell r="D186">
            <v>107.0000000000002</v>
          </cell>
          <cell r="E186">
            <v>88.000000000000256</v>
          </cell>
          <cell r="F186">
            <v>171.99999999999989</v>
          </cell>
          <cell r="G186">
            <v>15.793999999999976</v>
          </cell>
          <cell r="H186">
            <v>172.77600000000004</v>
          </cell>
          <cell r="I186">
            <v>578.6699999999995</v>
          </cell>
          <cell r="J186">
            <v>210.4628571428571</v>
          </cell>
          <cell r="K186">
            <v>1473.2399999999998</v>
          </cell>
          <cell r="M186">
            <v>40.445999999999977</v>
          </cell>
          <cell r="N186">
            <v>105.68100000000014</v>
          </cell>
          <cell r="O186">
            <v>70.301999999999992</v>
          </cell>
          <cell r="P186">
            <v>1042.1427565666907</v>
          </cell>
          <cell r="Q186">
            <v>499.99999999999989</v>
          </cell>
          <cell r="R186">
            <v>58.885000000000019</v>
          </cell>
          <cell r="S186">
            <v>95.76100000000018</v>
          </cell>
          <cell r="T186">
            <v>273.31682236667012</v>
          </cell>
          <cell r="U186">
            <v>1913.2177565666907</v>
          </cell>
        </row>
        <row r="187">
          <cell r="B187" t="str">
            <v>FY(10)</v>
          </cell>
          <cell r="C187">
            <v>485.50638863045646</v>
          </cell>
          <cell r="D187">
            <v>454.83386963538283</v>
          </cell>
          <cell r="E187">
            <v>1723.0596260973161</v>
          </cell>
          <cell r="F187">
            <v>738.45824411134856</v>
          </cell>
          <cell r="G187">
            <v>66.281727613653899</v>
          </cell>
          <cell r="H187">
            <v>287.05417646869847</v>
          </cell>
          <cell r="I187">
            <v>975.25368491205768</v>
          </cell>
          <cell r="J187">
            <v>867.71846902713219</v>
          </cell>
          <cell r="K187">
            <v>3470.8738761085287</v>
          </cell>
          <cell r="M187">
            <v>253.55646844534496</v>
          </cell>
          <cell r="N187">
            <v>394.35079233689953</v>
          </cell>
          <cell r="O187">
            <v>175.22153552145889</v>
          </cell>
          <cell r="P187">
            <v>26.474000000000014</v>
          </cell>
          <cell r="Q187">
            <v>1956.3945388687653</v>
          </cell>
          <cell r="R187">
            <v>1144.2814089708986</v>
          </cell>
          <cell r="S187">
            <v>39.337540426959102</v>
          </cell>
          <cell r="T187">
            <v>327.77419067293232</v>
          </cell>
          <cell r="U187">
            <v>1638.8709533646615</v>
          </cell>
        </row>
        <row r="188">
          <cell r="B188" t="str">
            <v>FY(9)</v>
          </cell>
          <cell r="C188">
            <v>693.91973802158805</v>
          </cell>
          <cell r="D188">
            <v>756.13092473995562</v>
          </cell>
          <cell r="E188">
            <v>1827.1086449770082</v>
          </cell>
          <cell r="F188">
            <v>266.29261150659278</v>
          </cell>
          <cell r="H188">
            <v>291.78555250618194</v>
          </cell>
          <cell r="I188">
            <v>1008.5619151459657</v>
          </cell>
          <cell r="J188">
            <v>807.29989781621543</v>
          </cell>
          <cell r="K188">
            <v>4843.7993868972926</v>
          </cell>
          <cell r="M188">
            <v>268.56767956932532</v>
          </cell>
          <cell r="O188">
            <v>166.83186574975571</v>
          </cell>
          <cell r="P188">
            <v>59.872573637159007</v>
          </cell>
          <cell r="R188">
            <v>1122.5496622628291</v>
          </cell>
          <cell r="S188">
            <v>24.391951260244909</v>
          </cell>
          <cell r="T188">
            <v>328.44274649586282</v>
          </cell>
          <cell r="U188">
            <v>1642.2137324793141</v>
          </cell>
        </row>
        <row r="189">
          <cell r="B189" t="str">
            <v>FY(8)</v>
          </cell>
          <cell r="C189">
            <v>912.830461606629</v>
          </cell>
          <cell r="D189">
            <v>799.96102171577115</v>
          </cell>
          <cell r="E189">
            <v>1432.933359721186</v>
          </cell>
          <cell r="F189">
            <v>290.62577110649232</v>
          </cell>
          <cell r="H189">
            <v>301.69612923432788</v>
          </cell>
          <cell r="I189">
            <v>1043.2810810232318</v>
          </cell>
          <cell r="J189">
            <v>796.88797073460637</v>
          </cell>
          <cell r="K189">
            <v>4781.3278244076382</v>
          </cell>
          <cell r="M189">
            <v>289.74730211917876</v>
          </cell>
          <cell r="O189">
            <v>159.35718223413812</v>
          </cell>
          <cell r="P189">
            <v>113.7959941939974</v>
          </cell>
          <cell r="Q189">
            <v>600.1907159357828</v>
          </cell>
          <cell r="R189">
            <v>966.11037711634867</v>
          </cell>
          <cell r="S189">
            <v>36.60963094345874</v>
          </cell>
          <cell r="T189">
            <v>360.96853375715074</v>
          </cell>
          <cell r="U189">
            <v>2165.8112025429045</v>
          </cell>
        </row>
        <row r="190">
          <cell r="B190" t="str">
            <v>FY(7)</v>
          </cell>
          <cell r="C190">
            <v>1156.5458318605124</v>
          </cell>
          <cell r="D190">
            <v>952.02102914901707</v>
          </cell>
          <cell r="E190">
            <v>1479.0339278923957</v>
          </cell>
          <cell r="F190">
            <v>365.97286870857812</v>
          </cell>
          <cell r="G190" t="str">
            <v>NA</v>
          </cell>
          <cell r="H190">
            <v>374.54772447620013</v>
          </cell>
          <cell r="I190">
            <v>1146.9885114400181</v>
          </cell>
          <cell r="J190">
            <v>912.51831558778701</v>
          </cell>
          <cell r="K190">
            <v>5475.1098935267219</v>
          </cell>
          <cell r="M190">
            <v>347.89566377000904</v>
          </cell>
          <cell r="N190" t="str">
            <v>NA</v>
          </cell>
          <cell r="O190">
            <v>169.11954156440302</v>
          </cell>
          <cell r="P190">
            <v>132.64145750097384</v>
          </cell>
          <cell r="Q190">
            <v>1262.4916241331193</v>
          </cell>
          <cell r="R190">
            <v>1071.3813754740067</v>
          </cell>
          <cell r="S190">
            <v>58.974819103510981</v>
          </cell>
          <cell r="T190">
            <v>507.08408025767045</v>
          </cell>
          <cell r="U190">
            <v>3042.5044815460228</v>
          </cell>
        </row>
        <row r="191">
          <cell r="B191" t="str">
            <v>FY(6)</v>
          </cell>
          <cell r="C191">
            <v>1110.9592223864277</v>
          </cell>
          <cell r="D191">
            <v>887.96830557822909</v>
          </cell>
          <cell r="E191">
            <v>1475.978670652361</v>
          </cell>
          <cell r="F191">
            <v>532.23532413226133</v>
          </cell>
          <cell r="G191" t="str">
            <v>NA</v>
          </cell>
          <cell r="H191">
            <v>421.06482424252988</v>
          </cell>
          <cell r="I191">
            <v>1219.1001386003595</v>
          </cell>
          <cell r="J191">
            <v>941.21774759869459</v>
          </cell>
          <cell r="K191">
            <v>5647.3064855921675</v>
          </cell>
          <cell r="M191">
            <v>369.2668365757271</v>
          </cell>
          <cell r="N191">
            <v>97.254885945739034</v>
          </cell>
          <cell r="O191">
            <v>158.77767171943319</v>
          </cell>
          <cell r="P191">
            <v>223.20367713801565</v>
          </cell>
          <cell r="Q191">
            <v>2114.0535915546652</v>
          </cell>
          <cell r="R191">
            <v>1185.4625330413942</v>
          </cell>
          <cell r="S191">
            <v>94.58352886198692</v>
          </cell>
          <cell r="T191">
            <v>606.08610354813743</v>
          </cell>
          <cell r="U191">
            <v>4242.6027248369619</v>
          </cell>
        </row>
        <row r="192">
          <cell r="B192" t="str">
            <v>FY(5)</v>
          </cell>
          <cell r="C192">
            <v>1327.2810663472981</v>
          </cell>
          <cell r="D192">
            <v>1363.3222942359873</v>
          </cell>
          <cell r="E192">
            <v>1534.031924074967</v>
          </cell>
          <cell r="F192">
            <v>779.85642988208429</v>
          </cell>
          <cell r="G192">
            <v>56.136268401386211</v>
          </cell>
          <cell r="H192">
            <v>336.38059571826591</v>
          </cell>
          <cell r="I192">
            <v>1301.661646187174</v>
          </cell>
          <cell r="J192">
            <v>956.95288926388037</v>
          </cell>
          <cell r="K192">
            <v>6698.6702248471629</v>
          </cell>
          <cell r="M192">
            <v>429.36043175478039</v>
          </cell>
          <cell r="N192">
            <v>151.96385778846152</v>
          </cell>
          <cell r="O192">
            <v>404.77580086465468</v>
          </cell>
          <cell r="P192">
            <v>397.9131168529151</v>
          </cell>
          <cell r="Q192">
            <v>2280.1902642154814</v>
          </cell>
          <cell r="R192">
            <v>1230.245379450329</v>
          </cell>
          <cell r="S192">
            <v>165.51726670602028</v>
          </cell>
          <cell r="T192">
            <v>722.85230251894893</v>
          </cell>
          <cell r="U192">
            <v>5059.9661176326426</v>
          </cell>
        </row>
        <row r="193">
          <cell r="B193" t="str">
            <v>FY(4)</v>
          </cell>
          <cell r="C193">
            <v>1565.4378204279326</v>
          </cell>
          <cell r="D193">
            <v>1738.7575625986995</v>
          </cell>
          <cell r="E193">
            <v>2215.3327716330614</v>
          </cell>
          <cell r="F193">
            <v>960.91185864544013</v>
          </cell>
          <cell r="G193">
            <v>-26.280904432310574</v>
          </cell>
          <cell r="H193">
            <v>369.61270424936185</v>
          </cell>
          <cell r="I193">
            <v>1321.0695433166463</v>
          </cell>
          <cell r="J193">
            <v>1163.5487652055474</v>
          </cell>
          <cell r="K193">
            <v>8144.8413564388311</v>
          </cell>
          <cell r="M193">
            <v>645.09067297176182</v>
          </cell>
          <cell r="N193">
            <v>148.87318131466253</v>
          </cell>
          <cell r="O193">
            <v>500.32993354617793</v>
          </cell>
          <cell r="P193">
            <v>574.46943808753178</v>
          </cell>
          <cell r="Q193">
            <v>1878.3884391216775</v>
          </cell>
          <cell r="R193">
            <v>1072.0481055115672</v>
          </cell>
          <cell r="S193">
            <v>219.24526081544155</v>
          </cell>
          <cell r="T193">
            <v>719.77786162411724</v>
          </cell>
          <cell r="U193">
            <v>5038.4450313688203</v>
          </cell>
        </row>
        <row r="194">
          <cell r="B194" t="str">
            <v>FY(3)</v>
          </cell>
          <cell r="C194">
            <v>1986.8854496897454</v>
          </cell>
          <cell r="D194">
            <v>2015.8491990278244</v>
          </cell>
          <cell r="E194">
            <v>2395.6367130314761</v>
          </cell>
          <cell r="F194">
            <v>1180.6253732754576</v>
          </cell>
          <cell r="G194">
            <v>105.98450218643146</v>
          </cell>
          <cell r="H194">
            <v>428.50716111120238</v>
          </cell>
          <cell r="I194">
            <v>1532.0897485636781</v>
          </cell>
          <cell r="J194">
            <v>1377.9397352694025</v>
          </cell>
          <cell r="K194">
            <v>9645.5781468858168</v>
          </cell>
          <cell r="M194">
            <v>751.22542850829609</v>
          </cell>
          <cell r="N194">
            <v>174.35257387578639</v>
          </cell>
          <cell r="O194">
            <v>624.34594845746699</v>
          </cell>
          <cell r="P194">
            <v>746.30143442651263</v>
          </cell>
          <cell r="Q194">
            <v>1451.1546513463388</v>
          </cell>
          <cell r="R194">
            <v>1270.23310915313</v>
          </cell>
          <cell r="S194">
            <v>182.36046176901246</v>
          </cell>
          <cell r="T194">
            <v>742.85337250522048</v>
          </cell>
          <cell r="U194">
            <v>5199.9736075365436</v>
          </cell>
        </row>
        <row r="195">
          <cell r="B195" t="str">
            <v>FY(2)</v>
          </cell>
          <cell r="C195">
            <v>1980.6181424947576</v>
          </cell>
          <cell r="D195">
            <v>1984.4633176922603</v>
          </cell>
          <cell r="E195">
            <v>2202.7236417983245</v>
          </cell>
          <cell r="F195">
            <v>1246.211643382778</v>
          </cell>
          <cell r="G195">
            <v>173.8130453674847</v>
          </cell>
          <cell r="H195">
            <v>482.08061137554455</v>
          </cell>
          <cell r="I195">
            <v>1671.8902989417663</v>
          </cell>
          <cell r="J195">
            <v>1391.6858144361308</v>
          </cell>
          <cell r="K195">
            <v>9741.8007010529163</v>
          </cell>
          <cell r="M195">
            <v>828.27815194133564</v>
          </cell>
          <cell r="N195">
            <v>215.33854842049243</v>
          </cell>
          <cell r="O195">
            <v>627.84877745647373</v>
          </cell>
          <cell r="P195">
            <v>1024.8933082993212</v>
          </cell>
          <cell r="Q195">
            <v>1644.5986291646034</v>
          </cell>
          <cell r="R195">
            <v>1068.359336648728</v>
          </cell>
          <cell r="S195">
            <v>255.22575446775724</v>
          </cell>
          <cell r="T195">
            <v>809.22035805695862</v>
          </cell>
          <cell r="U195">
            <v>5664.5425063987104</v>
          </cell>
        </row>
        <row r="196">
          <cell r="B196" t="str">
            <v>FY(1)</v>
          </cell>
          <cell r="C196">
            <v>1705.1856268015219</v>
          </cell>
          <cell r="D196">
            <v>1232.8094973777047</v>
          </cell>
          <cell r="E196">
            <v>1553.8230857746548</v>
          </cell>
          <cell r="F196">
            <v>798.68184271838584</v>
          </cell>
          <cell r="G196">
            <v>-78.277512381842001</v>
          </cell>
          <cell r="H196">
            <v>551.23890722468843</v>
          </cell>
          <cell r="I196">
            <v>1685.8577701460415</v>
          </cell>
          <cell r="J196">
            <v>1064.1884596658795</v>
          </cell>
          <cell r="K196">
            <v>7449.3192176611565</v>
          </cell>
          <cell r="M196">
            <v>565.02656921650953</v>
          </cell>
          <cell r="N196">
            <v>269.98135982676371</v>
          </cell>
          <cell r="O196">
            <v>354.04039646842591</v>
          </cell>
          <cell r="P196">
            <v>1211.6714117526039</v>
          </cell>
          <cell r="Q196">
            <v>1921.1686440084529</v>
          </cell>
          <cell r="R196">
            <v>834.83801786001254</v>
          </cell>
          <cell r="S196">
            <v>313.79271877126615</v>
          </cell>
          <cell r="T196">
            <v>781.50273112914783</v>
          </cell>
          <cell r="U196">
            <v>5470.5191179040348</v>
          </cell>
        </row>
        <row r="197">
          <cell r="B197" t="str">
            <v>FY0</v>
          </cell>
          <cell r="C197">
            <v>1917.1194702536768</v>
          </cell>
          <cell r="D197">
            <v>781.47518758588342</v>
          </cell>
          <cell r="E197">
            <v>1586.9995350025417</v>
          </cell>
          <cell r="F197">
            <v>853.57339587430897</v>
          </cell>
          <cell r="G197">
            <v>17.50706678990792</v>
          </cell>
          <cell r="H197">
            <v>781.03306781757033</v>
          </cell>
          <cell r="I197">
            <v>2201.0009309468269</v>
          </cell>
          <cell r="J197">
            <v>1162.6726648958168</v>
          </cell>
          <cell r="K197">
            <v>8138.7086542707166</v>
          </cell>
          <cell r="M197">
            <v>237.83213091594212</v>
          </cell>
          <cell r="N197">
            <v>403.73291383466682</v>
          </cell>
          <cell r="O197">
            <v>325.08544655232197</v>
          </cell>
          <cell r="P197">
            <v>1042.1427565666907</v>
          </cell>
          <cell r="Q197">
            <v>2237.9224510405411</v>
          </cell>
          <cell r="R197">
            <v>1023.0921257582751</v>
          </cell>
          <cell r="S197">
            <v>351.1769179604114</v>
          </cell>
          <cell r="T197">
            <v>802.99782037554985</v>
          </cell>
          <cell r="U197">
            <v>5620.9847426288488</v>
          </cell>
        </row>
        <row r="198">
          <cell r="B198" t="str">
            <v>FY1</v>
          </cell>
          <cell r="C198">
            <v>2251.8113812011547</v>
          </cell>
          <cell r="D198">
            <v>950.1012154893956</v>
          </cell>
          <cell r="E198">
            <v>1883.6398911998326</v>
          </cell>
          <cell r="F198">
            <v>1089.9505033320954</v>
          </cell>
          <cell r="G198">
            <v>73.509240114675933</v>
          </cell>
          <cell r="H198">
            <v>906.45911066223948</v>
          </cell>
          <cell r="I198">
            <v>2509.6654245613058</v>
          </cell>
          <cell r="J198">
            <v>1380.7338237943857</v>
          </cell>
          <cell r="K198">
            <v>9665.1367665606995</v>
          </cell>
          <cell r="M198">
            <v>349.32531972063566</v>
          </cell>
          <cell r="N198">
            <v>436.51131068441123</v>
          </cell>
          <cell r="O198">
            <v>451.53609929285483</v>
          </cell>
          <cell r="P198">
            <v>1133.0035071318157</v>
          </cell>
          <cell r="Q198">
            <v>2229.3598641723124</v>
          </cell>
          <cell r="R198">
            <v>1190.1195104238896</v>
          </cell>
          <cell r="S198">
            <v>442.80259153562491</v>
          </cell>
          <cell r="T198">
            <v>890.37974328022062</v>
          </cell>
          <cell r="U198">
            <v>6232.6582029615447</v>
          </cell>
        </row>
        <row r="199">
          <cell r="B199" t="str">
            <v>FY2</v>
          </cell>
          <cell r="C199">
            <v>2531.3005039312252</v>
          </cell>
          <cell r="D199">
            <v>1018.6683833273149</v>
          </cell>
          <cell r="E199">
            <v>1947.6346240361752</v>
          </cell>
          <cell r="F199">
            <v>1181.9016384231893</v>
          </cell>
          <cell r="G199">
            <v>122.76616566210181</v>
          </cell>
          <cell r="H199">
            <v>980.82856053693729</v>
          </cell>
          <cell r="I199">
            <v>2623.3346912949105</v>
          </cell>
          <cell r="J199">
            <v>1486.6335096016935</v>
          </cell>
          <cell r="K199">
            <v>10406.434567211854</v>
          </cell>
          <cell r="M199">
            <v>443.37392089506665</v>
          </cell>
          <cell r="N199">
            <v>431.7260319132667</v>
          </cell>
          <cell r="O199">
            <v>538.59539119682017</v>
          </cell>
          <cell r="P199">
            <v>1211.6901871378634</v>
          </cell>
          <cell r="Q199">
            <v>2165.2817026002863</v>
          </cell>
          <cell r="R199">
            <v>1262.8606520739111</v>
          </cell>
          <cell r="S199">
            <v>521.64599501463044</v>
          </cell>
          <cell r="T199">
            <v>939.31055440454918</v>
          </cell>
          <cell r="U199">
            <v>6575.1738808318441</v>
          </cell>
        </row>
        <row r="200">
          <cell r="B200" t="str">
            <v>FQ(3)</v>
          </cell>
          <cell r="C200">
            <v>250.99999999999989</v>
          </cell>
          <cell r="D200">
            <v>106.00000000000014</v>
          </cell>
          <cell r="E200">
            <v>23.999999999999979</v>
          </cell>
          <cell r="F200">
            <v>146.00000000000006</v>
          </cell>
          <cell r="G200">
            <v>2.3769999999999976</v>
          </cell>
          <cell r="H200">
            <v>150.86000000000007</v>
          </cell>
          <cell r="I200">
            <v>345.8210000000002</v>
          </cell>
          <cell r="J200">
            <v>146.57971428571432</v>
          </cell>
          <cell r="K200">
            <v>1026.0580000000002</v>
          </cell>
          <cell r="M200">
            <v>-33.879000000000005</v>
          </cell>
          <cell r="N200">
            <v>56.14400000000019</v>
          </cell>
          <cell r="O200">
            <v>27.352999999999973</v>
          </cell>
          <cell r="P200">
            <v>198.7420000000003</v>
          </cell>
          <cell r="Q200">
            <v>352.99999999999955</v>
          </cell>
          <cell r="R200">
            <v>65.212000000000018</v>
          </cell>
          <cell r="S200">
            <v>46.119999999999983</v>
          </cell>
          <cell r="T200">
            <v>101.81314285714286</v>
          </cell>
          <cell r="U200">
            <v>712.69200000000001</v>
          </cell>
        </row>
        <row r="201">
          <cell r="B201" t="str">
            <v>FQ(2)</v>
          </cell>
          <cell r="C201">
            <v>399</v>
          </cell>
          <cell r="D201">
            <v>67.000000000000114</v>
          </cell>
          <cell r="E201">
            <v>282.00000000000017</v>
          </cell>
          <cell r="F201">
            <v>205.99999999999991</v>
          </cell>
          <cell r="G201">
            <v>-67.604999999999734</v>
          </cell>
          <cell r="H201">
            <v>171.34199999999998</v>
          </cell>
          <cell r="I201">
            <v>422.35000000000019</v>
          </cell>
          <cell r="J201">
            <v>211.44100000000009</v>
          </cell>
          <cell r="K201">
            <v>1480.0870000000007</v>
          </cell>
          <cell r="M201">
            <v>8.8859999999999726</v>
          </cell>
          <cell r="N201">
            <v>65.00999999999992</v>
          </cell>
          <cell r="O201">
            <v>46.316999999999979</v>
          </cell>
          <cell r="P201">
            <v>219.68699999999981</v>
          </cell>
          <cell r="Q201">
            <v>375.00000000000028</v>
          </cell>
          <cell r="R201">
            <v>148.643</v>
          </cell>
          <cell r="S201">
            <v>78.440999999999988</v>
          </cell>
          <cell r="T201">
            <v>134.56914285714285</v>
          </cell>
          <cell r="U201">
            <v>941.98400000000004</v>
          </cell>
        </row>
        <row r="202">
          <cell r="B202" t="str">
            <v>FQ(1)</v>
          </cell>
          <cell r="C202">
            <v>338.99999999999983</v>
          </cell>
          <cell r="D202">
            <v>106.99999999999997</v>
          </cell>
          <cell r="E202">
            <v>88.000000000000256</v>
          </cell>
          <cell r="F202">
            <v>171.99999999999989</v>
          </cell>
          <cell r="G202">
            <v>15.793999999999976</v>
          </cell>
          <cell r="H202">
            <v>172.77600000000004</v>
          </cell>
          <cell r="I202">
            <v>578.6699999999995</v>
          </cell>
          <cell r="J202">
            <v>210.46285714285705</v>
          </cell>
          <cell r="K202">
            <v>1473.2399999999993</v>
          </cell>
          <cell r="M202">
            <v>45.396999999999963</v>
          </cell>
          <cell r="N202">
            <v>105.68100000000014</v>
          </cell>
          <cell r="O202">
            <v>70.301999999999992</v>
          </cell>
          <cell r="P202">
            <v>223.24699999999987</v>
          </cell>
          <cell r="Q202">
            <v>499.99999999999989</v>
          </cell>
          <cell r="R202">
            <v>58.885000000000019</v>
          </cell>
          <cell r="S202">
            <v>95.76100000000018</v>
          </cell>
          <cell r="T202">
            <v>157.03899999999999</v>
          </cell>
          <cell r="U202">
            <v>1099.2729999999999</v>
          </cell>
        </row>
        <row r="203">
          <cell r="B203" t="str">
            <v>Last Reported Q</v>
          </cell>
          <cell r="C203">
            <v>1917.1194702536768</v>
          </cell>
          <cell r="D203">
            <v>781.47518758588342</v>
          </cell>
          <cell r="E203">
            <v>1586.9995350025417</v>
          </cell>
          <cell r="F203">
            <v>853.57339587430897</v>
          </cell>
          <cell r="G203">
            <v>17.50706678990792</v>
          </cell>
          <cell r="H203">
            <v>781.03306781757033</v>
          </cell>
          <cell r="I203">
            <v>2201.0009309468269</v>
          </cell>
          <cell r="J203">
            <v>1162.6726648958168</v>
          </cell>
          <cell r="K203">
            <v>8138.7086542707166</v>
          </cell>
          <cell r="M203">
            <v>237.83213091594212</v>
          </cell>
          <cell r="N203">
            <v>403.73291383466682</v>
          </cell>
          <cell r="O203">
            <v>325.08544655232197</v>
          </cell>
          <cell r="P203">
            <v>380.83699999999959</v>
          </cell>
          <cell r="Q203">
            <v>2237.9224510405411</v>
          </cell>
          <cell r="R203">
            <v>1023.0921257582751</v>
          </cell>
          <cell r="S203">
            <v>351.1769179604114</v>
          </cell>
          <cell r="T203">
            <v>708.52556943745117</v>
          </cell>
          <cell r="U203">
            <v>4959.6789860621584</v>
          </cell>
        </row>
        <row r="204">
          <cell r="B204" t="str">
            <v>LTM</v>
          </cell>
          <cell r="C204">
            <v>3643.2917986624552</v>
          </cell>
          <cell r="D204">
            <v>2040.2485263565161</v>
          </cell>
          <cell r="E204">
            <v>5284.3343101031896</v>
          </cell>
          <cell r="F204">
            <v>1706.526191413946</v>
          </cell>
          <cell r="G204">
            <v>160.88197181609078</v>
          </cell>
          <cell r="H204">
            <v>1446.3537456975037</v>
          </cell>
          <cell r="I204">
            <v>3755.293062116757</v>
          </cell>
          <cell r="J204">
            <v>2576.7042294523512</v>
          </cell>
          <cell r="K204">
            <v>18036.929606166457</v>
          </cell>
          <cell r="M204">
            <v>676.34837726324224</v>
          </cell>
          <cell r="N204">
            <v>726.79863290245214</v>
          </cell>
          <cell r="O204">
            <v>579.50627913168728</v>
          </cell>
          <cell r="P204">
            <v>1195.8315056032586</v>
          </cell>
          <cell r="Q204">
            <v>3324.8616619452255</v>
          </cell>
          <cell r="R204">
            <v>2730.3149800887913</v>
          </cell>
          <cell r="S204">
            <v>662.80864971036158</v>
          </cell>
          <cell r="T204">
            <v>1413.7814409492883</v>
          </cell>
          <cell r="U204">
            <v>9896.4700866450185</v>
          </cell>
        </row>
        <row r="205">
          <cell r="B205" t="str">
            <v>FQ(1)</v>
          </cell>
          <cell r="C205">
            <v>0.104834471886495</v>
          </cell>
          <cell r="D205">
            <v>1.6993645456715101E-2</v>
          </cell>
          <cell r="E205">
            <v>5.4608830364058898E-2</v>
          </cell>
          <cell r="F205">
            <v>9.6037296037295994E-2</v>
          </cell>
          <cell r="G205">
            <v>-0.120358699367629</v>
          </cell>
          <cell r="H205">
            <v>9.6878046132726006E-2</v>
          </cell>
          <cell r="I205">
            <v>8.8962087216757899E-2</v>
          </cell>
          <cell r="J205">
            <v>4.8279382532345698E-2</v>
          </cell>
          <cell r="K205">
            <v>6.6864824225143879E-2</v>
          </cell>
          <cell r="M205">
            <v>4.4197088790501804E-3</v>
          </cell>
          <cell r="N205">
            <v>0.14350359807513999</v>
          </cell>
          <cell r="O205">
            <v>7.0433822590161704E-2</v>
          </cell>
          <cell r="P205">
            <v>0.26859241099604197</v>
          </cell>
          <cell r="Q205">
            <v>0.115562403697997</v>
          </cell>
          <cell r="R205">
            <v>7.1926004422701903E-2</v>
          </cell>
          <cell r="S205">
            <v>0.17103478651450199</v>
          </cell>
          <cell r="T205">
            <v>0.12078181931079925</v>
          </cell>
          <cell r="U205">
            <v>0.11065320313208579</v>
          </cell>
        </row>
        <row r="206">
          <cell r="B206" t="str">
            <v>Operating Margin</v>
          </cell>
          <cell r="C206">
            <v>8.3683041224388993E-2</v>
          </cell>
          <cell r="D206">
            <v>2.5601796602830601E-2</v>
          </cell>
          <cell r="E206">
            <v>1.6676141747204901E-2</v>
          </cell>
          <cell r="F206">
            <v>9.2077087794432494E-2</v>
          </cell>
          <cell r="G206">
            <v>2.50129071288527E-2</v>
          </cell>
          <cell r="H206">
            <v>9.9060912002999796E-2</v>
          </cell>
          <cell r="I206">
            <v>0.110329067258271</v>
          </cell>
          <cell r="J206">
            <v>6.4634421965568636E-2</v>
          </cell>
          <cell r="K206">
            <v>6.4065296636237681E-2</v>
          </cell>
          <cell r="M206">
            <v>5.2842888890921202E-2</v>
          </cell>
          <cell r="N206">
            <v>0.18611117959699799</v>
          </cell>
          <cell r="O206">
            <v>9.3865910420021306E-2</v>
          </cell>
          <cell r="P206">
            <v>0.32259807451016098</v>
          </cell>
          <cell r="Q206">
            <v>0.139314572304263</v>
          </cell>
          <cell r="R206">
            <v>3.3131912386811499E-2</v>
          </cell>
          <cell r="S206">
            <v>0.18928839691638699</v>
          </cell>
          <cell r="T206">
            <v>0.145307562146509</v>
          </cell>
          <cell r="U206">
            <v>0.17105426560082906</v>
          </cell>
        </row>
        <row r="207">
          <cell r="B207" t="str">
            <v>FY(10)</v>
          </cell>
          <cell r="C207">
            <v>0.10654125948116</v>
          </cell>
          <cell r="D207">
            <v>4.1285515537297798E-2</v>
          </cell>
          <cell r="E207">
            <v>0.107496389425249</v>
          </cell>
          <cell r="F207">
            <v>7.5295932389064305E-2</v>
          </cell>
          <cell r="G207" t="str">
            <v>NA</v>
          </cell>
          <cell r="H207">
            <v>0.11628038475819399</v>
          </cell>
          <cell r="I207">
            <v>0.11088291171594</v>
          </cell>
          <cell r="J207">
            <v>9.2963732217817521E-2</v>
          </cell>
          <cell r="K207">
            <v>5.049133925846503E-2</v>
          </cell>
          <cell r="M207">
            <v>0.24596643615836999</v>
          </cell>
          <cell r="N207" t="str">
            <v>NA</v>
          </cell>
          <cell r="O207">
            <v>0.210576485056506</v>
          </cell>
          <cell r="P207">
            <v>5.21366494610866E-2</v>
          </cell>
          <cell r="Q207" t="str">
            <v>NA</v>
          </cell>
          <cell r="R207">
            <v>0.117169916953809</v>
          </cell>
          <cell r="S207">
            <v>0.141444450374341</v>
          </cell>
          <cell r="T207">
            <v>0.15345878760082252</v>
          </cell>
          <cell r="U207">
            <v>6.7493365584078646E-2</v>
          </cell>
        </row>
        <row r="208">
          <cell r="B208" t="str">
            <v>FY(9)</v>
          </cell>
          <cell r="C208">
            <v>0.11279212932310199</v>
          </cell>
          <cell r="D208">
            <v>2.3743356300318898E-2</v>
          </cell>
          <cell r="E208">
            <v>0.10981540118866499</v>
          </cell>
          <cell r="F208">
            <v>4.8166922190552901E-2</v>
          </cell>
          <cell r="G208" t="str">
            <v>NA</v>
          </cell>
          <cell r="H208">
            <v>0.107708140232083</v>
          </cell>
          <cell r="I208">
            <v>0.105288786242118</v>
          </cell>
          <cell r="J208">
            <v>8.4585789246139964E-2</v>
          </cell>
          <cell r="K208">
            <v>6.6854567253156583E-2</v>
          </cell>
          <cell r="M208">
            <v>0.217006150246222</v>
          </cell>
          <cell r="N208" t="str">
            <v>NA</v>
          </cell>
          <cell r="O208">
            <v>0.15761843759838001</v>
          </cell>
          <cell r="P208">
            <v>0.109057511178796</v>
          </cell>
          <cell r="Q208">
            <v>0.119617483966938</v>
          </cell>
          <cell r="R208">
            <v>0.123628817429827</v>
          </cell>
          <cell r="S208">
            <v>8.2591350307093706E-2</v>
          </cell>
          <cell r="T208">
            <v>0.1349199584545428</v>
          </cell>
          <cell r="U208">
            <v>6.2671835934588374E-2</v>
          </cell>
        </row>
        <row r="209">
          <cell r="B209" t="str">
            <v>FY(8)</v>
          </cell>
          <cell r="C209">
            <v>0.121895261387256</v>
          </cell>
          <cell r="D209">
            <v>4.4840864445951298E-2</v>
          </cell>
          <cell r="E209">
            <v>9.0778166596210699E-2</v>
          </cell>
          <cell r="F209">
            <v>5.1583078684107803E-2</v>
          </cell>
          <cell r="G209" t="str">
            <v>NA</v>
          </cell>
          <cell r="H209">
            <v>0.101016719112437</v>
          </cell>
          <cell r="I209">
            <v>9.7420980097599405E-2</v>
          </cell>
          <cell r="J209">
            <v>8.4589178387260364E-2</v>
          </cell>
          <cell r="K209">
            <v>7.9104256172474144E-2</v>
          </cell>
          <cell r="M209">
            <v>0.21229194801138199</v>
          </cell>
          <cell r="N209" t="str">
            <v>NA</v>
          </cell>
          <cell r="O209">
            <v>0.125354912836943</v>
          </cell>
          <cell r="P209">
            <v>0.18950491213689699</v>
          </cell>
          <cell r="Q209">
            <v>4.3341725905182898E-2</v>
          </cell>
          <cell r="R209">
            <v>0.11469908311959499</v>
          </cell>
          <cell r="S209">
            <v>0.104911281424867</v>
          </cell>
          <cell r="T209">
            <v>0.13168397723914449</v>
          </cell>
          <cell r="U209">
            <v>8.2446112098941496E-2</v>
          </cell>
        </row>
        <row r="210">
          <cell r="B210" t="str">
            <v>FY(7)</v>
          </cell>
          <cell r="C210">
            <v>0.126810245320187</v>
          </cell>
          <cell r="D210">
            <v>5.4764210144329098E-2</v>
          </cell>
          <cell r="E210">
            <v>9.4986444537434697E-2</v>
          </cell>
          <cell r="F210">
            <v>6.1563338351046402E-2</v>
          </cell>
          <cell r="G210" t="str">
            <v>NA</v>
          </cell>
          <cell r="H210">
            <v>0.106063638704699</v>
          </cell>
          <cell r="I210">
            <v>9.5732300713944604E-2</v>
          </cell>
          <cell r="J210">
            <v>8.9986696295273463E-2</v>
          </cell>
          <cell r="K210">
            <v>8.6178097504502726E-2</v>
          </cell>
          <cell r="M210">
            <v>0.21801293290269699</v>
          </cell>
          <cell r="N210">
            <v>0.11287410012405499</v>
          </cell>
          <cell r="O210">
            <v>0.122291365147881</v>
          </cell>
          <cell r="P210">
            <v>0.18437789477477601</v>
          </cell>
          <cell r="Q210">
            <v>8.7338806887471199E-2</v>
          </cell>
          <cell r="R210">
            <v>0.12687120223199699</v>
          </cell>
          <cell r="S210">
            <v>0.13950150466586</v>
          </cell>
          <cell r="T210">
            <v>0.14160968667639101</v>
          </cell>
          <cell r="U210">
            <v>0.11034969363981655</v>
          </cell>
        </row>
        <row r="211">
          <cell r="B211" t="str">
            <v>FY(6)</v>
          </cell>
          <cell r="C211">
            <v>0.108047954277254</v>
          </cell>
          <cell r="D211">
            <v>5.0703380664547999E-2</v>
          </cell>
          <cell r="E211">
            <v>9.5768146292003697E-2</v>
          </cell>
          <cell r="F211">
            <v>8.2535377465315002E-2</v>
          </cell>
          <cell r="G211">
            <v>1.9157145659343199E-2</v>
          </cell>
          <cell r="H211">
            <v>0.107398523189671</v>
          </cell>
          <cell r="I211">
            <v>9.1469523537726499E-2</v>
          </cell>
          <cell r="J211">
            <v>7.929715015512305E-2</v>
          </cell>
          <cell r="K211">
            <v>8.1436451313366839E-2</v>
          </cell>
          <cell r="M211">
            <v>0.216222561525163</v>
          </cell>
          <cell r="N211">
            <v>0.13234334049889099</v>
          </cell>
          <cell r="O211">
            <v>0.110612853320826</v>
          </cell>
          <cell r="P211">
            <v>0.240935051303657</v>
          </cell>
          <cell r="Q211">
            <v>0.13334704983153001</v>
          </cell>
          <cell r="R211">
            <v>0.13269152851048399</v>
          </cell>
          <cell r="S211">
            <v>0.17248405496012101</v>
          </cell>
          <cell r="T211">
            <v>0.16266234856438172</v>
          </cell>
          <cell r="U211">
            <v>0.14076028169944199</v>
          </cell>
        </row>
        <row r="212">
          <cell r="A212">
            <v>2000</v>
          </cell>
          <cell r="B212" t="str">
            <v>FY(5)</v>
          </cell>
          <cell r="C212">
            <v>0.113436039411941</v>
          </cell>
          <cell r="D212">
            <v>7.5338323067859606E-2</v>
          </cell>
          <cell r="E212">
            <v>9.7238331901303696E-2</v>
          </cell>
          <cell r="F212">
            <v>0.109355106748422</v>
          </cell>
          <cell r="G212">
            <v>2.0287941822930301E-2</v>
          </cell>
          <cell r="H212">
            <v>7.93352332713676E-2</v>
          </cell>
          <cell r="I212">
            <v>8.7280861632871007E-2</v>
          </cell>
          <cell r="J212">
            <v>8.3181691122385035E-2</v>
          </cell>
          <cell r="K212">
            <v>8.9764950782320344E-2</v>
          </cell>
          <cell r="M212">
            <v>0.21242279879459999</v>
          </cell>
          <cell r="N212">
            <v>0.157604196782929</v>
          </cell>
          <cell r="O212">
            <v>0.21516424576365001</v>
          </cell>
          <cell r="P212">
            <v>0.31275101536816402</v>
          </cell>
          <cell r="Q212">
            <v>0.14017275860425901</v>
          </cell>
          <cell r="R212">
            <v>0.130761541438074</v>
          </cell>
          <cell r="S212">
            <v>0.19996045509637</v>
          </cell>
          <cell r="T212">
            <v>0.19554814454972089</v>
          </cell>
          <cell r="U212">
            <v>0.1550136456617576</v>
          </cell>
        </row>
        <row r="213">
          <cell r="A213">
            <v>2001</v>
          </cell>
          <cell r="B213" t="str">
            <v>FY(4)</v>
          </cell>
          <cell r="C213">
            <v>0.11680454107743</v>
          </cell>
          <cell r="D213">
            <v>9.2580669964256401E-2</v>
          </cell>
          <cell r="E213">
            <v>9.8942955410141198E-2</v>
          </cell>
          <cell r="F213">
            <v>0.124428348678587</v>
          </cell>
          <cell r="G213">
            <v>-9.4592348837632401E-3</v>
          </cell>
          <cell r="H213">
            <v>7.4757144563204897E-2</v>
          </cell>
          <cell r="I213">
            <v>8.2794827188631001E-2</v>
          </cell>
          <cell r="J213">
            <v>8.2978464571212468E-2</v>
          </cell>
          <cell r="K213">
            <v>9.473580456857901E-2</v>
          </cell>
          <cell r="M213">
            <v>0.233039181555631</v>
          </cell>
          <cell r="N213">
            <v>0.12361319562772401</v>
          </cell>
          <cell r="O213">
            <v>0.21547722725271901</v>
          </cell>
          <cell r="P213">
            <v>0.34780410902167203</v>
          </cell>
          <cell r="Q213">
            <v>0.117230758230149</v>
          </cell>
          <cell r="R213">
            <v>0.110869032060765</v>
          </cell>
          <cell r="S213">
            <v>0.20075437737826199</v>
          </cell>
          <cell r="T213">
            <v>0.19268398301813172</v>
          </cell>
          <cell r="U213">
            <v>0.14507144530249649</v>
          </cell>
        </row>
        <row r="214">
          <cell r="A214">
            <v>2002</v>
          </cell>
          <cell r="B214" t="str">
            <v>FY(3)</v>
          </cell>
          <cell r="C214">
            <v>0.12748457342528999</v>
          </cell>
          <cell r="D214">
            <v>0.10128323800949</v>
          </cell>
          <cell r="E214">
            <v>8.8825981202501902E-2</v>
          </cell>
          <cell r="F214">
            <v>0.13791227926454799</v>
          </cell>
          <cell r="G214">
            <v>3.6049113618738297E-2</v>
          </cell>
          <cell r="H214">
            <v>7.69283673526137E-2</v>
          </cell>
          <cell r="I214">
            <v>8.8027676105148195E-2</v>
          </cell>
          <cell r="J214">
            <v>9.3787318425475719E-2</v>
          </cell>
          <cell r="K214">
            <v>9.9506720199405665E-2</v>
          </cell>
          <cell r="M214">
            <v>0.22874091659773901</v>
          </cell>
          <cell r="N214">
            <v>0.123373610873832</v>
          </cell>
          <cell r="O214">
            <v>0.22342683138276001</v>
          </cell>
          <cell r="P214">
            <v>0.366717574168407</v>
          </cell>
          <cell r="Q214">
            <v>9.1135756537482807E-2</v>
          </cell>
          <cell r="R214">
            <v>0.119039877708797</v>
          </cell>
          <cell r="S214">
            <v>0.148900082034472</v>
          </cell>
          <cell r="T214">
            <v>0.18590494990049855</v>
          </cell>
          <cell r="U214">
            <v>0.13924057343994925</v>
          </cell>
        </row>
        <row r="215">
          <cell r="B215" t="str">
            <v>FY(2)</v>
          </cell>
          <cell r="C215">
            <v>0.120229101082013</v>
          </cell>
          <cell r="D215">
            <v>9.9917945317377396E-2</v>
          </cell>
          <cell r="E215">
            <v>8.3712371899757707E-2</v>
          </cell>
          <cell r="F215">
            <v>0.141168769910963</v>
          </cell>
          <cell r="G215">
            <v>5.3241220488638302E-2</v>
          </cell>
          <cell r="H215">
            <v>8.0680084886619E-2</v>
          </cell>
          <cell r="I215">
            <v>9.1177143561056995E-2</v>
          </cell>
          <cell r="J215">
            <v>9.5732376735203628E-2</v>
          </cell>
          <cell r="K215">
            <v>9.8350353610200822E-2</v>
          </cell>
          <cell r="M215">
            <v>0.22387977475239201</v>
          </cell>
          <cell r="N215">
            <v>0.13601620812028201</v>
          </cell>
          <cell r="O215">
            <v>0.20548696511230499</v>
          </cell>
          <cell r="P215">
            <v>0.39231026600996199</v>
          </cell>
          <cell r="Q215">
            <v>0.104332844583176</v>
          </cell>
          <cell r="R215">
            <v>0.10592190179769</v>
          </cell>
          <cell r="S215">
            <v>0.16927882985729301</v>
          </cell>
          <cell r="T215">
            <v>0.19103239860472856</v>
          </cell>
          <cell r="U215">
            <v>0.14786943414630094</v>
          </cell>
        </row>
        <row r="216">
          <cell r="B216" t="str">
            <v>FY(1)</v>
          </cell>
          <cell r="C216">
            <v>0.10404515414710699</v>
          </cell>
          <cell r="D216">
            <v>6.6687112181850305E-2</v>
          </cell>
          <cell r="E216">
            <v>6.2422589015533297E-2</v>
          </cell>
          <cell r="F216">
            <v>9.6331183538582305E-2</v>
          </cell>
          <cell r="G216">
            <v>-2.5775567746272501E-2</v>
          </cell>
          <cell r="H216">
            <v>8.4987217699881004E-2</v>
          </cell>
          <cell r="I216">
            <v>8.8731668016932094E-2</v>
          </cell>
          <cell r="J216">
            <v>6.8204193836230512E-2</v>
          </cell>
          <cell r="K216">
            <v>7.7130352208892403E-2</v>
          </cell>
          <cell r="M216">
            <v>0.162174892436177</v>
          </cell>
          <cell r="N216">
            <v>0.143185850472235</v>
          </cell>
          <cell r="O216">
            <v>0.11845502634267201</v>
          </cell>
          <cell r="P216">
            <v>0.380938063408366</v>
          </cell>
          <cell r="Q216">
            <v>0.13225723833184999</v>
          </cell>
          <cell r="R216">
            <v>9.2321754071047202E-2</v>
          </cell>
          <cell r="S216">
            <v>0.17103981252296999</v>
          </cell>
          <cell r="T216">
            <v>0.17148180536933103</v>
          </cell>
          <cell r="U216">
            <v>0.14808207163736606</v>
          </cell>
        </row>
        <row r="217">
          <cell r="B217" t="str">
            <v>FY0</v>
          </cell>
          <cell r="C217">
            <v>0.11160967981915799</v>
          </cell>
          <cell r="D217">
            <v>4.4509531460659599E-2</v>
          </cell>
          <cell r="E217">
            <v>6.7563520584211403E-2</v>
          </cell>
          <cell r="F217">
            <v>0.10336321093174</v>
          </cell>
          <cell r="G217">
            <v>6.6675553621336403E-3</v>
          </cell>
          <cell r="H217">
            <v>0.108715188123956</v>
          </cell>
          <cell r="I217">
            <v>0.10848544772318799</v>
          </cell>
          <cell r="J217">
            <v>7.8702019143578092E-2</v>
          </cell>
          <cell r="K217">
            <v>8.426922330633202E-2</v>
          </cell>
          <cell r="M217">
            <v>8.1209485992895E-2</v>
          </cell>
          <cell r="N217">
            <v>0.18103762550851499</v>
          </cell>
          <cell r="O217">
            <v>0.108703943060901</v>
          </cell>
          <cell r="P217">
            <v>0.32259807451016098</v>
          </cell>
          <cell r="Q217">
            <v>0.15763347545541601</v>
          </cell>
          <cell r="R217">
            <v>0.11851581812115999</v>
          </cell>
          <cell r="S217">
            <v>0.181223139443348</v>
          </cell>
          <cell r="T217">
            <v>0.16441736601319942</v>
          </cell>
          <cell r="U217">
            <v>0.15550303001779184</v>
          </cell>
        </row>
        <row r="218">
          <cell r="B218" t="str">
            <v>FY1</v>
          </cell>
          <cell r="C218">
            <v>0.12173197357092</v>
          </cell>
          <cell r="D218">
            <v>5.3357941063620601E-2</v>
          </cell>
          <cell r="E218">
            <v>7.6743634084078194E-2</v>
          </cell>
          <cell r="F218">
            <v>0.122034884477426</v>
          </cell>
          <cell r="G218">
            <v>2.6852759782130899E-2</v>
          </cell>
          <cell r="H218">
            <v>0.11615520703313</v>
          </cell>
          <cell r="I218">
            <v>0.11378526708237</v>
          </cell>
          <cell r="J218">
            <v>9.0094523870525106E-2</v>
          </cell>
          <cell r="K218">
            <v>9.4406529570118233E-2</v>
          </cell>
          <cell r="M218">
            <v>0.110449951715234</v>
          </cell>
          <cell r="N218">
            <v>0.17961474625858101</v>
          </cell>
          <cell r="O218">
            <v>0.151070371712476</v>
          </cell>
          <cell r="P218">
            <v>0.32594096856426003</v>
          </cell>
          <cell r="Q218">
            <v>0.15858628173175399</v>
          </cell>
          <cell r="R218">
            <v>0.13062810165174399</v>
          </cell>
          <cell r="S218">
            <v>0.195799470399631</v>
          </cell>
          <cell r="T218">
            <v>0.17886998457624004</v>
          </cell>
          <cell r="U218">
            <v>0.16625746057347451</v>
          </cell>
        </row>
        <row r="219">
          <cell r="B219" t="str">
            <v>FY2</v>
          </cell>
          <cell r="C219">
            <v>0.12631522029067799</v>
          </cell>
          <cell r="D219">
            <v>5.5975618834963901E-2</v>
          </cell>
          <cell r="E219">
            <v>7.8689982782334703E-2</v>
          </cell>
          <cell r="F219">
            <v>0.12637649445693799</v>
          </cell>
          <cell r="G219">
            <v>4.1867140413833298E-2</v>
          </cell>
          <cell r="H219">
            <v>0.12018114538755401</v>
          </cell>
          <cell r="I219">
            <v>0.111585418352566</v>
          </cell>
          <cell r="J219">
            <v>9.442728864555254E-2</v>
          </cell>
          <cell r="K219">
            <v>9.7307209378827392E-2</v>
          </cell>
          <cell r="M219">
            <v>0.12975727102665899</v>
          </cell>
          <cell r="N219">
            <v>0.156953262694106</v>
          </cell>
          <cell r="O219">
            <v>0.162948127561127</v>
          </cell>
          <cell r="P219">
            <v>0.32595194677751899</v>
          </cell>
          <cell r="Q219">
            <v>0.16028707682665699</v>
          </cell>
          <cell r="R219">
            <v>0.13357706976761999</v>
          </cell>
          <cell r="S219">
            <v>0.202178908336487</v>
          </cell>
          <cell r="T219">
            <v>0.18166480899859641</v>
          </cell>
          <cell r="U219">
            <v>0.16975468068720617</v>
          </cell>
        </row>
        <row r="220">
          <cell r="B220" t="str">
            <v>FQ(3)</v>
          </cell>
          <cell r="C220">
            <v>6.8993952721275398E-2</v>
          </cell>
          <cell r="D220">
            <v>2.72883950195312E-2</v>
          </cell>
          <cell r="E220">
            <v>4.6162723600692403E-3</v>
          </cell>
          <cell r="F220">
            <v>8.5580304806565102E-2</v>
          </cell>
          <cell r="G220">
            <v>3.82605840332482E-3</v>
          </cell>
          <cell r="H220">
            <v>8.9181892398848703E-2</v>
          </cell>
          <cell r="I220">
            <v>7.9421958998893996E-2</v>
          </cell>
          <cell r="J220">
            <v>5.1272690672644061E-2</v>
          </cell>
          <cell r="K220">
            <v>4.864096455229492E-2</v>
          </cell>
          <cell r="M220">
            <v>-5.6302754229894197E-2</v>
          </cell>
          <cell r="N220">
            <v>0.137599749034371</v>
          </cell>
          <cell r="O220">
            <v>4.4694444444444398E-2</v>
          </cell>
          <cell r="P220">
            <v>0.26859241099604197</v>
          </cell>
          <cell r="Q220">
            <v>0.11288775183882301</v>
          </cell>
          <cell r="R220">
            <v>3.7798864735685597E-2</v>
          </cell>
          <cell r="S220">
            <v>0.119855715755881</v>
          </cell>
          <cell r="T220">
            <v>9.5018026082193244E-2</v>
          </cell>
          <cell r="U220">
            <v>9.3790997831873113E-2</v>
          </cell>
        </row>
        <row r="221">
          <cell r="B221" t="str">
            <v>FQ(2)</v>
          </cell>
          <cell r="C221">
            <v>0.104834471886495</v>
          </cell>
          <cell r="D221">
            <v>1.6993645456715101E-2</v>
          </cell>
          <cell r="E221">
            <v>5.4608830364058898E-2</v>
          </cell>
          <cell r="F221">
            <v>9.6037296037295994E-2</v>
          </cell>
          <cell r="G221">
            <v>-0.120358699367629</v>
          </cell>
          <cell r="H221">
            <v>9.6878046132726006E-2</v>
          </cell>
          <cell r="I221">
            <v>8.8962087216757899E-2</v>
          </cell>
          <cell r="J221">
            <v>4.8279382532345698E-2</v>
          </cell>
          <cell r="K221">
            <v>6.6864824225143879E-2</v>
          </cell>
          <cell r="M221">
            <v>1.39449264854736E-2</v>
          </cell>
          <cell r="N221">
            <v>0.14350359807513999</v>
          </cell>
          <cell r="O221">
            <v>7.0433822590161704E-2</v>
          </cell>
          <cell r="P221">
            <v>0.28246698142319299</v>
          </cell>
          <cell r="Q221">
            <v>0.115562403697997</v>
          </cell>
          <cell r="R221">
            <v>7.1926004422701903E-2</v>
          </cell>
          <cell r="S221">
            <v>0.17103478651450199</v>
          </cell>
          <cell r="T221">
            <v>0.12412464617273845</v>
          </cell>
          <cell r="U221">
            <v>0.1135492742908866</v>
          </cell>
        </row>
        <row r="222">
          <cell r="B222" t="str">
            <v>FQ(1)</v>
          </cell>
          <cell r="C222">
            <v>8.3683041224388993E-2</v>
          </cell>
          <cell r="D222">
            <v>2.5595672348649401E-2</v>
          </cell>
          <cell r="E222">
            <v>1.6676141747204901E-2</v>
          </cell>
          <cell r="F222">
            <v>9.2077087794432494E-2</v>
          </cell>
          <cell r="G222">
            <v>2.50129071288527E-2</v>
          </cell>
          <cell r="H222">
            <v>9.9060912002999796E-2</v>
          </cell>
          <cell r="I222">
            <v>0.110329067258271</v>
          </cell>
          <cell r="J222">
            <v>6.4633547072114189E-2</v>
          </cell>
          <cell r="K222">
            <v>6.4062510814675261E-2</v>
          </cell>
          <cell r="M222">
            <v>6.0233466545661002E-2</v>
          </cell>
          <cell r="N222">
            <v>0.18611117959699799</v>
          </cell>
          <cell r="O222">
            <v>9.3865910420021306E-2</v>
          </cell>
          <cell r="P222">
            <v>0.29319168887248698</v>
          </cell>
          <cell r="Q222">
            <v>0.139314572304263</v>
          </cell>
          <cell r="R222">
            <v>3.3131912386811499E-2</v>
          </cell>
          <cell r="S222">
            <v>0.18928839691638699</v>
          </cell>
          <cell r="T222">
            <v>0.14216244672037553</v>
          </cell>
          <cell r="U222">
            <v>0.1262935483183491</v>
          </cell>
        </row>
        <row r="223">
          <cell r="B223" t="str">
            <v>Last Reported Q</v>
          </cell>
          <cell r="C223">
            <v>0.11160967981915799</v>
          </cell>
          <cell r="D223">
            <v>4.4509531460659599E-2</v>
          </cell>
          <cell r="E223">
            <v>6.7563520584211403E-2</v>
          </cell>
          <cell r="F223">
            <v>0.10336321093174</v>
          </cell>
          <cell r="G223">
            <v>6.6675553621336403E-3</v>
          </cell>
          <cell r="H223">
            <v>0.108715188123956</v>
          </cell>
          <cell r="I223">
            <v>0.10848544772318799</v>
          </cell>
          <cell r="J223">
            <v>7.8702019143578092E-2</v>
          </cell>
          <cell r="K223">
            <v>8.426922330633202E-2</v>
          </cell>
          <cell r="M223">
            <v>8.1209485992895E-2</v>
          </cell>
          <cell r="N223">
            <v>0.18103762550851499</v>
          </cell>
          <cell r="O223">
            <v>0.108703943060901</v>
          </cell>
          <cell r="P223">
            <v>0.35759174839554703</v>
          </cell>
          <cell r="Q223">
            <v>0.15763347545541601</v>
          </cell>
          <cell r="R223">
            <v>0.11851581812115999</v>
          </cell>
          <cell r="S223">
            <v>0.181223139443348</v>
          </cell>
          <cell r="T223">
            <v>0.16941646228254031</v>
          </cell>
          <cell r="U223">
            <v>0.14595170595884957</v>
          </cell>
        </row>
        <row r="224">
          <cell r="A224" t="str">
            <v>mscalc:ebitdaAsif</v>
          </cell>
          <cell r="B224" t="str">
            <v>LTM</v>
          </cell>
          <cell r="C224">
            <v>0.127067933826118</v>
          </cell>
          <cell r="D224">
            <v>6.9009009009008998E-2</v>
          </cell>
          <cell r="E224">
            <v>0.135049050834501</v>
          </cell>
          <cell r="F224">
            <v>0.12209531311540001</v>
          </cell>
          <cell r="G224">
            <v>3.6233813295468799E-2</v>
          </cell>
          <cell r="H224">
            <v>0.116748887156986</v>
          </cell>
          <cell r="I224">
            <v>0.108424358765925</v>
          </cell>
          <cell r="J224">
            <v>0.1020897665719154</v>
          </cell>
          <cell r="K224">
            <v>0.1107873274572532</v>
          </cell>
          <cell r="M224">
            <v>0.13743401378859399</v>
          </cell>
          <cell r="N224">
            <v>0.198633838519364</v>
          </cell>
          <cell r="O224">
            <v>0.115690329218107</v>
          </cell>
          <cell r="P224">
            <v>0.35759174839554703</v>
          </cell>
          <cell r="Q224">
            <v>0.137629839471199</v>
          </cell>
          <cell r="R224">
            <v>0.192253052164262</v>
          </cell>
          <cell r="S224">
            <v>0.20163706280278601</v>
          </cell>
          <cell r="T224">
            <v>0.19155284062283701</v>
          </cell>
          <cell r="U224">
            <v>0.16893854407472564</v>
          </cell>
        </row>
        <row r="225">
          <cell r="B225" t="str">
            <v>FY(2)</v>
          </cell>
          <cell r="C225">
            <v>2202.471</v>
          </cell>
          <cell r="D225">
            <v>2295</v>
          </cell>
          <cell r="E225">
            <v>3489</v>
          </cell>
          <cell r="F225">
            <v>1432.931</v>
          </cell>
          <cell r="G225">
            <v>194.42413565663199</v>
          </cell>
          <cell r="H225">
            <v>497.78500000000003</v>
          </cell>
          <cell r="I225">
            <v>1627.4839999999999</v>
          </cell>
          <cell r="J225">
            <v>1677.0135908080904</v>
          </cell>
          <cell r="K225">
            <v>11739.095135656633</v>
          </cell>
          <cell r="M225">
            <v>804.245</v>
          </cell>
          <cell r="N225">
            <v>188.31</v>
          </cell>
          <cell r="O225">
            <v>674.822</v>
          </cell>
          <cell r="P225">
            <v>1074.2840000000001</v>
          </cell>
          <cell r="Q225">
            <v>1710</v>
          </cell>
          <cell r="R225">
            <v>1492.085</v>
          </cell>
          <cell r="S225">
            <v>219.702</v>
          </cell>
          <cell r="T225">
            <v>880.49257142857152</v>
          </cell>
          <cell r="U225">
            <v>6163.4480000000003</v>
          </cell>
        </row>
        <row r="226">
          <cell r="B226" t="str">
            <v>Operating Margin Y/Y bps</v>
          </cell>
          <cell r="C226">
            <v>2256.6999999999998</v>
          </cell>
          <cell r="D226">
            <v>2308</v>
          </cell>
          <cell r="E226">
            <v>3355</v>
          </cell>
          <cell r="F226">
            <v>1481.8019999999999</v>
          </cell>
          <cell r="G226">
            <v>270.53497730279503</v>
          </cell>
          <cell r="H226">
            <v>541.79</v>
          </cell>
          <cell r="I226">
            <v>1827.10628618338</v>
          </cell>
          <cell r="J226">
            <v>1720.1333233551682</v>
          </cell>
          <cell r="K226">
            <v>12040.933263486177</v>
          </cell>
          <cell r="M226">
            <v>924.21299999999997</v>
          </cell>
          <cell r="N226">
            <v>236.45400000000001</v>
          </cell>
          <cell r="O226">
            <v>707.95799999999997</v>
          </cell>
          <cell r="P226">
            <v>1279.933</v>
          </cell>
          <cell r="Q226">
            <v>1896</v>
          </cell>
          <cell r="R226">
            <v>1213.1210000000001</v>
          </cell>
          <cell r="S226">
            <v>294.96199999999999</v>
          </cell>
          <cell r="T226">
            <v>936.09157142857134</v>
          </cell>
          <cell r="U226">
            <v>6552.6409999999996</v>
          </cell>
        </row>
        <row r="227">
          <cell r="B227" t="str">
            <v>FY(10)</v>
          </cell>
          <cell r="C227">
            <v>2077.9659999999999</v>
          </cell>
          <cell r="D227">
            <v>1597.80967741935</v>
          </cell>
          <cell r="E227">
            <v>2676</v>
          </cell>
          <cell r="F227">
            <v>1081.5509999999999</v>
          </cell>
          <cell r="G227">
            <v>20.883918009447999</v>
          </cell>
          <cell r="H227">
            <v>632.69015938101995</v>
          </cell>
          <cell r="I227">
            <v>1836.4380000000001</v>
          </cell>
          <cell r="J227">
            <v>1417.6198221156883</v>
          </cell>
          <cell r="K227">
            <v>9923.3387548098181</v>
          </cell>
          <cell r="M227">
            <v>696.773345376066</v>
          </cell>
          <cell r="N227">
            <v>294.072</v>
          </cell>
          <cell r="O227">
            <v>440.01</v>
          </cell>
          <cell r="P227">
            <v>1123.2919999999999</v>
          </cell>
          <cell r="Q227">
            <v>2116</v>
          </cell>
          <cell r="R227">
            <v>1060.547</v>
          </cell>
          <cell r="S227">
            <v>381.38400000000001</v>
          </cell>
          <cell r="T227">
            <v>873.15404933943807</v>
          </cell>
          <cell r="U227">
            <v>6112.0783453760669</v>
          </cell>
        </row>
        <row r="228">
          <cell r="B228" t="str">
            <v>FY(9)</v>
          </cell>
          <cell r="C228">
            <v>62.508698419419943</v>
          </cell>
          <cell r="D228">
            <v>1147.6229306386499</v>
          </cell>
          <cell r="E228">
            <v>23.190117634159929</v>
          </cell>
          <cell r="F228">
            <v>1067.8591081142599</v>
          </cell>
          <cell r="G228">
            <v>80.279486002775201</v>
          </cell>
          <cell r="H228">
            <v>-85.722445261109954</v>
          </cell>
          <cell r="I228">
            <v>-55.94125473822001</v>
          </cell>
          <cell r="J228">
            <v>-13.991220986437522</v>
          </cell>
          <cell r="K228">
            <v>163.63227994691553</v>
          </cell>
          <cell r="M228">
            <v>-289.60285912147998</v>
          </cell>
          <cell r="N228">
            <v>413.98299847029898</v>
          </cell>
          <cell r="O228">
            <v>-529.58047458125986</v>
          </cell>
          <cell r="P228">
            <v>569.20861717709397</v>
          </cell>
          <cell r="Q228">
            <v>2316.3087515114398</v>
          </cell>
          <cell r="R228">
            <v>64.589004760179918</v>
          </cell>
          <cell r="S228">
            <v>-588.53100067247294</v>
          </cell>
          <cell r="T228">
            <v>-154.78334248758779</v>
          </cell>
          <cell r="U228">
            <v>-48.215296494902724</v>
          </cell>
        </row>
        <row r="229">
          <cell r="A229">
            <v>2000</v>
          </cell>
          <cell r="B229" t="str">
            <v>FY(8)</v>
          </cell>
          <cell r="C229">
            <v>91.03132064154002</v>
          </cell>
          <cell r="D229">
            <v>210.97508145632401</v>
          </cell>
          <cell r="E229">
            <v>-190.37234592454294</v>
          </cell>
          <cell r="F229">
            <v>34.161564935549016</v>
          </cell>
          <cell r="G229">
            <v>120.232444262407</v>
          </cell>
          <cell r="H229">
            <v>-66.914211196460045</v>
          </cell>
          <cell r="I229">
            <v>-78.678061445185961</v>
          </cell>
          <cell r="J229">
            <v>3.3891411204012435E-2</v>
          </cell>
          <cell r="K229">
            <v>122.49688919317562</v>
          </cell>
          <cell r="M229">
            <v>-47.14202234840009</v>
          </cell>
          <cell r="N229">
            <v>424.20883851481801</v>
          </cell>
          <cell r="O229">
            <v>-322.63524761437014</v>
          </cell>
          <cell r="P229">
            <v>804.47400958100991</v>
          </cell>
          <cell r="Q229">
            <v>2331.5571745024199</v>
          </cell>
          <cell r="R229">
            <v>-89.297343102320013</v>
          </cell>
          <cell r="S229">
            <v>223.19931117773291</v>
          </cell>
          <cell r="T229">
            <v>113.71974153873052</v>
          </cell>
          <cell r="U229">
            <v>197.74276164353122</v>
          </cell>
        </row>
        <row r="230">
          <cell r="A230">
            <v>2001</v>
          </cell>
          <cell r="B230" t="str">
            <v>FY(7)</v>
          </cell>
          <cell r="C230">
            <v>49.149839329310083</v>
          </cell>
          <cell r="D230">
            <v>99.233456983777998</v>
          </cell>
          <cell r="E230">
            <v>42.082779412239979</v>
          </cell>
          <cell r="F230">
            <v>99.802596669385991</v>
          </cell>
          <cell r="G230">
            <v>-65.959999999999994</v>
          </cell>
          <cell r="H230">
            <v>50.469195922620003</v>
          </cell>
          <cell r="I230">
            <v>-16.886793836548009</v>
          </cell>
          <cell r="J230">
            <v>53.975179080130999</v>
          </cell>
          <cell r="K230">
            <v>70.738413320285829</v>
          </cell>
          <cell r="M230">
            <v>57.209848913150061</v>
          </cell>
          <cell r="N230">
            <v>128.65899999999999</v>
          </cell>
          <cell r="O230">
            <v>-30.635476890620016</v>
          </cell>
          <cell r="P230">
            <v>-51.270173621209835</v>
          </cell>
          <cell r="Q230">
            <v>439.97080982288298</v>
          </cell>
          <cell r="R230">
            <v>121.72119112402</v>
          </cell>
          <cell r="S230">
            <v>345.90223240993009</v>
          </cell>
          <cell r="T230">
            <v>147.14973862635887</v>
          </cell>
          <cell r="U230">
            <v>279.03581540875052</v>
          </cell>
        </row>
        <row r="231">
          <cell r="A231">
            <v>2002</v>
          </cell>
          <cell r="B231" t="str">
            <v>FY(6)</v>
          </cell>
          <cell r="C231">
            <v>-187.62291042933003</v>
          </cell>
          <cell r="D231">
            <v>-40.608294797810984</v>
          </cell>
          <cell r="E231">
            <v>7.8170175456900024</v>
          </cell>
          <cell r="F231">
            <v>209.720391142686</v>
          </cell>
          <cell r="G231">
            <v>35.716999999999999</v>
          </cell>
          <cell r="H231">
            <v>13.348844849720015</v>
          </cell>
          <cell r="I231">
            <v>-42.627771762181048</v>
          </cell>
          <cell r="J231">
            <v>-6.6621205752043409</v>
          </cell>
          <cell r="K231">
            <v>-47.416461911358873</v>
          </cell>
          <cell r="M231">
            <v>-17.903713775339892</v>
          </cell>
          <cell r="N231">
            <v>67.896000000000001</v>
          </cell>
          <cell r="O231">
            <v>-116.78511827054996</v>
          </cell>
          <cell r="P231">
            <v>565.57156528880989</v>
          </cell>
          <cell r="Q231">
            <v>460.0824294405881</v>
          </cell>
          <cell r="R231">
            <v>58.203262784869978</v>
          </cell>
          <cell r="S231">
            <v>329.82550294261006</v>
          </cell>
          <cell r="T231">
            <v>213.16565473516471</v>
          </cell>
          <cell r="U231">
            <v>304.10588059625445</v>
          </cell>
        </row>
        <row r="232">
          <cell r="B232" t="str">
            <v>FY(5)</v>
          </cell>
          <cell r="C232">
            <v>53.880851346869981</v>
          </cell>
          <cell r="D232">
            <v>246.34942403311607</v>
          </cell>
          <cell r="E232">
            <v>14.701856092999982</v>
          </cell>
          <cell r="F232">
            <v>268.19729283106994</v>
          </cell>
          <cell r="G232">
            <v>-31.690999999999999</v>
          </cell>
          <cell r="H232">
            <v>-280.63289918303394</v>
          </cell>
          <cell r="I232">
            <v>-41.886619048554927</v>
          </cell>
          <cell r="J232">
            <v>43.434984345411188</v>
          </cell>
          <cell r="K232">
            <v>83.28499468953504</v>
          </cell>
          <cell r="M232">
            <v>-37.997627305630111</v>
          </cell>
          <cell r="N232">
            <v>252.60856284038013</v>
          </cell>
          <cell r="O232">
            <v>1045.51392442824</v>
          </cell>
          <cell r="P232">
            <v>718.15964064507023</v>
          </cell>
          <cell r="Q232">
            <v>68.257087727290056</v>
          </cell>
          <cell r="R232">
            <v>-19.29987072409989</v>
          </cell>
          <cell r="S232">
            <v>274.76400136248998</v>
          </cell>
          <cell r="T232">
            <v>328.85795985339149</v>
          </cell>
          <cell r="U232">
            <v>142.53363962315606</v>
          </cell>
        </row>
        <row r="233">
          <cell r="B233" t="str">
            <v>FY(4)</v>
          </cell>
          <cell r="C233">
            <v>33.68501665489007</v>
          </cell>
          <cell r="D233">
            <v>172.42346896396796</v>
          </cell>
          <cell r="E233">
            <v>17.046235088375024</v>
          </cell>
          <cell r="F233">
            <v>150.73241930165003</v>
          </cell>
          <cell r="G233">
            <v>-297.4717670669354</v>
          </cell>
          <cell r="H233">
            <v>-45.780887081627029</v>
          </cell>
          <cell r="I233">
            <v>-44.860344442400056</v>
          </cell>
          <cell r="J233">
            <v>-2.0322655117256292</v>
          </cell>
          <cell r="K233">
            <v>49.708537862586667</v>
          </cell>
          <cell r="M233">
            <v>206.16382761031005</v>
          </cell>
          <cell r="N233">
            <v>-339.91001155204992</v>
          </cell>
          <cell r="O233">
            <v>3.1298148906899748</v>
          </cell>
          <cell r="P233">
            <v>350.53093653508006</v>
          </cell>
          <cell r="Q233">
            <v>-229.42000374110012</v>
          </cell>
          <cell r="R233">
            <v>-198.92509377309005</v>
          </cell>
          <cell r="S233">
            <v>7.9392228189198448</v>
          </cell>
          <cell r="T233">
            <v>-28.64161531589145</v>
          </cell>
          <cell r="U233">
            <v>-99.422003592611048</v>
          </cell>
        </row>
        <row r="234">
          <cell r="B234" t="str">
            <v>FY(3)</v>
          </cell>
          <cell r="C234">
            <v>106.80032347859984</v>
          </cell>
          <cell r="D234">
            <v>87.025680452336019</v>
          </cell>
          <cell r="E234">
            <v>-101.16974207639295</v>
          </cell>
          <cell r="F234">
            <v>134.83930585960994</v>
          </cell>
          <cell r="G234">
            <v>455.08348502501536</v>
          </cell>
          <cell r="H234">
            <v>21.712227894088027</v>
          </cell>
          <cell r="I234">
            <v>52.328489165171938</v>
          </cell>
          <cell r="J234">
            <v>108.08853854263261</v>
          </cell>
          <cell r="K234">
            <v>47.709156308266557</v>
          </cell>
          <cell r="M234">
            <v>-42.98264957891984</v>
          </cell>
          <cell r="N234">
            <v>-2.3958475389200542</v>
          </cell>
          <cell r="O234">
            <v>79.496041300410042</v>
          </cell>
          <cell r="P234">
            <v>189.13465146734976</v>
          </cell>
          <cell r="Q234">
            <v>-260.95001692666193</v>
          </cell>
          <cell r="R234">
            <v>81.708456480319995</v>
          </cell>
          <cell r="S234">
            <v>-518.54295343789988</v>
          </cell>
          <cell r="T234">
            <v>-67.790331176331705</v>
          </cell>
          <cell r="U234">
            <v>-58.30871862547243</v>
          </cell>
        </row>
        <row r="235">
          <cell r="B235" t="str">
            <v>FY(2)</v>
          </cell>
          <cell r="C235">
            <v>-72.55472343276989</v>
          </cell>
          <cell r="D235">
            <v>-13.652926921126074</v>
          </cell>
          <cell r="E235">
            <v>-51.136093027441959</v>
          </cell>
          <cell r="F235">
            <v>32.564906464150056</v>
          </cell>
          <cell r="G235">
            <v>171.92106869900005</v>
          </cell>
          <cell r="H235">
            <v>37.517175340053001</v>
          </cell>
          <cell r="I235">
            <v>31.494674559087997</v>
          </cell>
          <cell r="J235">
            <v>19.450583097279029</v>
          </cell>
          <cell r="K235">
            <v>-11.563665892048435</v>
          </cell>
          <cell r="M235">
            <v>-48.611418453470002</v>
          </cell>
          <cell r="N235">
            <v>126.42597246450005</v>
          </cell>
          <cell r="O235">
            <v>-179.39866270455019</v>
          </cell>
          <cell r="P235">
            <v>255.92691841554992</v>
          </cell>
          <cell r="Q235">
            <v>131.97088045693195</v>
          </cell>
          <cell r="R235">
            <v>-131.17975911106998</v>
          </cell>
          <cell r="S235">
            <v>203.78747822821009</v>
          </cell>
          <cell r="T235">
            <v>51.274487042300265</v>
          </cell>
          <cell r="U235">
            <v>86.288607063516878</v>
          </cell>
        </row>
        <row r="236">
          <cell r="B236" t="str">
            <v>FY(1)</v>
          </cell>
          <cell r="C236">
            <v>-161.83946934906004</v>
          </cell>
          <cell r="D236">
            <v>-332.30833135527092</v>
          </cell>
          <cell r="E236">
            <v>-212.89782884224408</v>
          </cell>
          <cell r="F236">
            <v>-448.37586372380696</v>
          </cell>
          <cell r="G236">
            <v>-790.16788234910803</v>
          </cell>
          <cell r="H236">
            <v>43.071328132620046</v>
          </cell>
          <cell r="I236">
            <v>-24.454755441249006</v>
          </cell>
          <cell r="J236">
            <v>-275.28182898973131</v>
          </cell>
          <cell r="K236">
            <v>-212.2000140130842</v>
          </cell>
          <cell r="M236">
            <v>-617.04882316215014</v>
          </cell>
          <cell r="N236">
            <v>71.696423519529986</v>
          </cell>
          <cell r="O236">
            <v>-870.31938769632984</v>
          </cell>
          <cell r="P236">
            <v>-113.72202601595993</v>
          </cell>
          <cell r="Q236">
            <v>279.24393748673992</v>
          </cell>
          <cell r="R236">
            <v>-136.00147726642794</v>
          </cell>
          <cell r="S236">
            <v>17.609826656769801</v>
          </cell>
          <cell r="T236">
            <v>-195.50593235397542</v>
          </cell>
          <cell r="U236">
            <v>2.1263749106512075</v>
          </cell>
        </row>
        <row r="237">
          <cell r="B237" t="str">
            <v>FY0</v>
          </cell>
          <cell r="C237">
            <v>75.645256720510005</v>
          </cell>
          <cell r="D237">
            <v>-221.77580721190708</v>
          </cell>
          <cell r="E237">
            <v>51.409315686781056</v>
          </cell>
          <cell r="F237">
            <v>70.320273931576978</v>
          </cell>
          <cell r="G237">
            <v>324.43123108406144</v>
          </cell>
          <cell r="H237">
            <v>237.27970424074999</v>
          </cell>
          <cell r="I237">
            <v>197.53779706255901</v>
          </cell>
          <cell r="J237">
            <v>104.97825307347591</v>
          </cell>
          <cell r="K237">
            <v>71.388710974396176</v>
          </cell>
          <cell r="M237">
            <v>-809.65406443281995</v>
          </cell>
          <cell r="N237">
            <v>378.51775036279986</v>
          </cell>
          <cell r="O237">
            <v>-97.510832817710025</v>
          </cell>
          <cell r="P237">
            <v>-583.39988898205024</v>
          </cell>
          <cell r="Q237">
            <v>253.76237123566014</v>
          </cell>
          <cell r="R237">
            <v>261.94064050112792</v>
          </cell>
          <cell r="S237">
            <v>101.83326920378016</v>
          </cell>
          <cell r="T237">
            <v>-70.644393561316008</v>
          </cell>
          <cell r="U237">
            <v>74.20958380425779</v>
          </cell>
        </row>
        <row r="238">
          <cell r="B238" t="str">
            <v>FY1</v>
          </cell>
          <cell r="C238">
            <v>101.22293751762004</v>
          </cell>
          <cell r="D238">
            <v>88.484096029610015</v>
          </cell>
          <cell r="E238">
            <v>91.801134998667905</v>
          </cell>
          <cell r="F238">
            <v>186.71673545685996</v>
          </cell>
          <cell r="G238">
            <v>201.85204419997257</v>
          </cell>
          <cell r="H238">
            <v>74.400189091739932</v>
          </cell>
          <cell r="I238">
            <v>52.998193591820012</v>
          </cell>
          <cell r="J238">
            <v>113.92504726947006</v>
          </cell>
          <cell r="K238">
            <v>101.37306263786213</v>
          </cell>
          <cell r="M238">
            <v>292.40465722339002</v>
          </cell>
          <cell r="N238">
            <v>-14.228792499339782</v>
          </cell>
          <cell r="O238">
            <v>423.66428651575001</v>
          </cell>
          <cell r="P238">
            <v>33.428940540990439</v>
          </cell>
          <cell r="Q238">
            <v>9.5280627633798076</v>
          </cell>
          <cell r="R238">
            <v>121.12283530583994</v>
          </cell>
          <cell r="S238">
            <v>145.76330956282996</v>
          </cell>
          <cell r="T238">
            <v>144.52618563040576</v>
          </cell>
          <cell r="U238">
            <v>107.54430555682676</v>
          </cell>
        </row>
        <row r="239">
          <cell r="B239" t="str">
            <v>FY2</v>
          </cell>
          <cell r="C239">
            <v>45.832467197579888</v>
          </cell>
          <cell r="D239">
            <v>26.176777713433005</v>
          </cell>
          <cell r="E239">
            <v>19.463486982565087</v>
          </cell>
          <cell r="F239">
            <v>43.416099795119955</v>
          </cell>
          <cell r="G239">
            <v>150.143806317024</v>
          </cell>
          <cell r="H239">
            <v>40.259383544240109</v>
          </cell>
          <cell r="I239">
            <v>-21.998487298039993</v>
          </cell>
          <cell r="J239">
            <v>43.327647750274579</v>
          </cell>
          <cell r="K239">
            <v>29.006798087091585</v>
          </cell>
          <cell r="M239">
            <v>193.07319311424988</v>
          </cell>
          <cell r="N239">
            <v>-226.61483564475006</v>
          </cell>
          <cell r="O239">
            <v>118.77755848651</v>
          </cell>
          <cell r="P239">
            <v>0.10978213258960867</v>
          </cell>
          <cell r="Q239">
            <v>17.007950949030072</v>
          </cell>
          <cell r="R239">
            <v>29.489681158759996</v>
          </cell>
          <cell r="S239">
            <v>63.794379368559973</v>
          </cell>
          <cell r="T239">
            <v>27.948244223564213</v>
          </cell>
          <cell r="U239">
            <v>34.972201137316581</v>
          </cell>
        </row>
        <row r="240">
          <cell r="B240" t="str">
            <v>FY1</v>
          </cell>
          <cell r="C240">
            <v>0.13117500179456759</v>
          </cell>
          <cell r="D240">
            <v>6.5535084047614267E-2</v>
          </cell>
          <cell r="E240">
            <v>0.10804999268238555</v>
          </cell>
          <cell r="F240">
            <v>0.13221807124923712</v>
          </cell>
          <cell r="G240">
            <v>3.1162078748501736E-2</v>
          </cell>
          <cell r="H240">
            <v>0.12228683052740648</v>
          </cell>
          <cell r="I240">
            <v>0.1153049316705531</v>
          </cell>
          <cell r="J240">
            <v>0.10081885581718085</v>
          </cell>
          <cell r="K240">
            <v>0.10694626695883833</v>
          </cell>
          <cell r="M240">
            <v>0.12962426004451924</v>
          </cell>
          <cell r="N240">
            <v>0.18973740063040617</v>
          </cell>
          <cell r="O240">
            <v>0.13377350142150843</v>
          </cell>
          <cell r="P240">
            <v>0.35011759997554609</v>
          </cell>
          <cell r="Q240">
            <v>0.16236654871799841</v>
          </cell>
          <cell r="R240">
            <v>0.13396830763081341</v>
          </cell>
          <cell r="S240">
            <v>0.21679103616775808</v>
          </cell>
          <cell r="T240">
            <v>0.18805409351264998</v>
          </cell>
          <cell r="U240">
            <v>0.1733366804761057</v>
          </cell>
        </row>
        <row r="241">
          <cell r="A241" t="str">
            <v>mscalc:ebitdaAsif</v>
          </cell>
          <cell r="B241" t="str">
            <v>EBITDA</v>
          </cell>
          <cell r="C241">
            <v>0.13801265994185535</v>
          </cell>
          <cell r="D241">
            <v>7.4867910171283802E-2</v>
          </cell>
          <cell r="E241">
            <v>0.1136629993270056</v>
          </cell>
          <cell r="F241">
            <v>0.14093185001476541</v>
          </cell>
          <cell r="G241">
            <v>4.5921397918058639E-2</v>
          </cell>
          <cell r="H241">
            <v>0.1175957634752702</v>
          </cell>
          <cell r="I241">
            <v>0.11813013251826068</v>
          </cell>
          <cell r="J241">
            <v>0.10701753048092852</v>
          </cell>
          <cell r="K241">
            <v>0.11299195340745029</v>
          </cell>
          <cell r="M241">
            <v>0.14313028905740297</v>
          </cell>
          <cell r="N241">
            <v>0.17561141951556042</v>
          </cell>
          <cell r="O241">
            <v>0.15127350142150642</v>
          </cell>
          <cell r="P241">
            <v>0.35199628077742695</v>
          </cell>
          <cell r="Q241">
            <v>0.16530301615151075</v>
          </cell>
          <cell r="R241">
            <v>0.14404459148537194</v>
          </cell>
          <cell r="S241">
            <v>0.22707900481134527</v>
          </cell>
          <cell r="T241">
            <v>0.19406258617430353</v>
          </cell>
          <cell r="U241">
            <v>0.18029940089007807</v>
          </cell>
        </row>
        <row r="242">
          <cell r="B242" t="str">
            <v>FY(2)</v>
          </cell>
          <cell r="C242">
            <v>2256.6999999999998</v>
          </cell>
          <cell r="D242">
            <v>2308</v>
          </cell>
          <cell r="E242">
            <v>3355</v>
          </cell>
          <cell r="F242">
            <v>1481.8019999999999</v>
          </cell>
          <cell r="G242">
            <v>270.53497730279503</v>
          </cell>
          <cell r="H242">
            <v>541.79</v>
          </cell>
          <cell r="I242">
            <v>1827.10628618338</v>
          </cell>
          <cell r="J242">
            <v>1720.1333233551682</v>
          </cell>
          <cell r="K242">
            <v>12040.933263486177</v>
          </cell>
          <cell r="M242">
            <v>962.62599999999998</v>
          </cell>
          <cell r="N242">
            <v>236.45400000000001</v>
          </cell>
          <cell r="O242">
            <v>707.95799999999997</v>
          </cell>
          <cell r="P242">
            <v>1074.2840000000001</v>
          </cell>
          <cell r="Q242">
            <v>1896</v>
          </cell>
          <cell r="R242">
            <v>1213.1210000000001</v>
          </cell>
          <cell r="S242">
            <v>294.96199999999999</v>
          </cell>
          <cell r="T242">
            <v>912.20071428571441</v>
          </cell>
          <cell r="U242">
            <v>6385.4050000000007</v>
          </cell>
        </row>
        <row r="243">
          <cell r="B243" t="str">
            <v>FY(1)</v>
          </cell>
          <cell r="C243">
            <v>2077.9659999999999</v>
          </cell>
          <cell r="D243">
            <v>1597.80967741935</v>
          </cell>
          <cell r="E243">
            <v>2676</v>
          </cell>
          <cell r="F243">
            <v>1081.5509999999999</v>
          </cell>
          <cell r="G243">
            <v>24.9609180094481</v>
          </cell>
          <cell r="H243">
            <v>632.69015938101995</v>
          </cell>
          <cell r="I243">
            <v>1836.4380000000001</v>
          </cell>
          <cell r="J243">
            <v>1418.2022506871167</v>
          </cell>
          <cell r="K243">
            <v>9927.4157548098174</v>
          </cell>
          <cell r="M243">
            <v>725.05174913631095</v>
          </cell>
          <cell r="N243">
            <v>294.072</v>
          </cell>
          <cell r="O243">
            <v>440.01</v>
          </cell>
          <cell r="P243">
            <v>1279.933</v>
          </cell>
          <cell r="Q243">
            <v>2116</v>
          </cell>
          <cell r="R243">
            <v>1060.547</v>
          </cell>
          <cell r="S243">
            <v>381.38400000000001</v>
          </cell>
          <cell r="T243">
            <v>899.57110701947306</v>
          </cell>
          <cell r="U243">
            <v>6296.9977491363115</v>
          </cell>
        </row>
        <row r="244">
          <cell r="B244" t="str">
            <v>FY0</v>
          </cell>
          <cell r="C244">
            <v>2301</v>
          </cell>
          <cell r="D244">
            <v>1158</v>
          </cell>
          <cell r="E244">
            <v>2664</v>
          </cell>
          <cell r="F244">
            <v>1147</v>
          </cell>
          <cell r="G244">
            <v>115.125</v>
          </cell>
          <cell r="H244">
            <v>885.16499999999996</v>
          </cell>
          <cell r="I244">
            <v>2426.2710000000002</v>
          </cell>
          <cell r="J244">
            <v>1528.0801428571431</v>
          </cell>
          <cell r="K244">
            <v>10696.561000000002</v>
          </cell>
          <cell r="M244">
            <v>387.79300000000001</v>
          </cell>
          <cell r="N244">
            <v>438.83600000000001</v>
          </cell>
          <cell r="O244">
            <v>401.83100000000002</v>
          </cell>
          <cell r="P244">
            <v>1123.2919999999999</v>
          </cell>
          <cell r="Q244">
            <v>2384</v>
          </cell>
          <cell r="R244">
            <v>1218.6880000000001</v>
          </cell>
          <cell r="S244">
            <v>430.70760552622602</v>
          </cell>
          <cell r="T244">
            <v>912.1639436466038</v>
          </cell>
          <cell r="U244">
            <v>6385.1476055262265</v>
          </cell>
        </row>
        <row r="245">
          <cell r="B245" t="str">
            <v>FY1</v>
          </cell>
          <cell r="C245">
            <v>2686.84181622079</v>
          </cell>
          <cell r="D245">
            <v>1347.8740241831399</v>
          </cell>
          <cell r="E245">
            <v>2960.5821133261602</v>
          </cell>
          <cell r="F245">
            <v>1374.02006461376</v>
          </cell>
          <cell r="G245">
            <v>161.96668774929</v>
          </cell>
          <cell r="H245">
            <v>1041.9889630135999</v>
          </cell>
          <cell r="I245">
            <v>2767.47676537285</v>
          </cell>
          <cell r="J245">
            <v>1762.9643477827988</v>
          </cell>
          <cell r="K245">
            <v>12340.750434479591</v>
          </cell>
          <cell r="M245">
            <v>506.856434846556</v>
          </cell>
          <cell r="N245">
            <v>482.94581708179197</v>
          </cell>
          <cell r="O245">
            <v>538.32960467117198</v>
          </cell>
          <cell r="P245">
            <v>1229.7363768574801</v>
          </cell>
          <cell r="Q245">
            <v>2324.7604263346402</v>
          </cell>
          <cell r="R245">
            <v>1405.9915882274099</v>
          </cell>
          <cell r="S245">
            <v>533.82068847242601</v>
          </cell>
          <cell r="T245">
            <v>1003.2058480702109</v>
          </cell>
          <cell r="U245">
            <v>7022.4409364914764</v>
          </cell>
        </row>
        <row r="246">
          <cell r="B246" t="str">
            <v>FY2</v>
          </cell>
          <cell r="C246">
            <v>3008.6000665880301</v>
          </cell>
          <cell r="D246">
            <v>1441.20570650286</v>
          </cell>
          <cell r="E246">
            <v>3034.9502716429602</v>
          </cell>
          <cell r="F246">
            <v>1490.9045633425301</v>
          </cell>
          <cell r="G246">
            <v>234.34480855729399</v>
          </cell>
          <cell r="H246">
            <v>1101.5944246275301</v>
          </cell>
          <cell r="I246">
            <v>2899.7095667612998</v>
          </cell>
          <cell r="J246">
            <v>1887.3299154317865</v>
          </cell>
          <cell r="K246">
            <v>13211.309408022506</v>
          </cell>
          <cell r="M246">
            <v>606.38347910348796</v>
          </cell>
          <cell r="N246">
            <v>494.18589722787698</v>
          </cell>
          <cell r="O246">
            <v>636.55593877707702</v>
          </cell>
          <cell r="P246">
            <v>1322.4822084172999</v>
          </cell>
          <cell r="Q246">
            <v>2344.0587649516701</v>
          </cell>
          <cell r="R246">
            <v>1533.4490512956399</v>
          </cell>
          <cell r="S246">
            <v>628.90968806985495</v>
          </cell>
          <cell r="T246">
            <v>1080.8607182632725</v>
          </cell>
          <cell r="U246">
            <v>7566.0250278429075</v>
          </cell>
        </row>
        <row r="247">
          <cell r="B247" t="str">
            <v>FQ(3)</v>
          </cell>
          <cell r="C247">
            <v>392</v>
          </cell>
          <cell r="D247">
            <v>226</v>
          </cell>
          <cell r="E247">
            <v>327</v>
          </cell>
          <cell r="F247">
            <v>223</v>
          </cell>
          <cell r="G247">
            <v>35.716999999999999</v>
          </cell>
          <cell r="H247">
            <v>188.416</v>
          </cell>
          <cell r="I247">
            <v>449.96800000000002</v>
          </cell>
          <cell r="J247">
            <v>263.15728571428571</v>
          </cell>
          <cell r="K247">
            <v>1842.1010000000001</v>
          </cell>
          <cell r="M247">
            <v>25.797000000000001</v>
          </cell>
          <cell r="N247">
            <v>67.896000000000001</v>
          </cell>
          <cell r="O247">
            <v>62.247</v>
          </cell>
          <cell r="P247">
            <v>229.47300000000001</v>
          </cell>
          <cell r="Q247">
            <v>496</v>
          </cell>
          <cell r="R247">
            <v>150.21199999999999</v>
          </cell>
          <cell r="S247">
            <v>68.209999999999994</v>
          </cell>
          <cell r="T247">
            <v>157.11928571428572</v>
          </cell>
          <cell r="U247">
            <v>1099.835</v>
          </cell>
        </row>
        <row r="248">
          <cell r="B248" t="str">
            <v>FQ(2)</v>
          </cell>
          <cell r="C248">
            <v>543</v>
          </cell>
          <cell r="D248">
            <v>188</v>
          </cell>
          <cell r="E248">
            <v>583</v>
          </cell>
          <cell r="F248">
            <v>284</v>
          </cell>
          <cell r="G248">
            <v>-31.690999999999999</v>
          </cell>
          <cell r="H248">
            <v>209.28800000000001</v>
          </cell>
          <cell r="I248">
            <v>527.60299999999995</v>
          </cell>
          <cell r="J248">
            <v>329.02857142857141</v>
          </cell>
          <cell r="K248">
            <v>2303.1999999999998</v>
          </cell>
          <cell r="M248">
            <v>67.600999999999999</v>
          </cell>
          <cell r="N248">
            <v>77.688999999999993</v>
          </cell>
          <cell r="O248">
            <v>81.658000000000001</v>
          </cell>
          <cell r="P248">
            <v>250.87799999999999</v>
          </cell>
          <cell r="Q248">
            <v>516</v>
          </cell>
          <cell r="R248">
            <v>236.643</v>
          </cell>
          <cell r="S248">
            <v>101.444</v>
          </cell>
          <cell r="T248">
            <v>190.27328571428572</v>
          </cell>
          <cell r="U248">
            <v>1331.913</v>
          </cell>
        </row>
        <row r="249">
          <cell r="B249" t="str">
            <v>FQ(1)</v>
          </cell>
          <cell r="C249">
            <v>489</v>
          </cell>
          <cell r="D249">
            <v>230</v>
          </cell>
          <cell r="E249">
            <v>389</v>
          </cell>
          <cell r="F249">
            <v>251</v>
          </cell>
          <cell r="G249">
            <v>48.911000000000001</v>
          </cell>
          <cell r="H249">
            <v>212.46199999999999</v>
          </cell>
          <cell r="I249">
            <v>688.21</v>
          </cell>
          <cell r="J249">
            <v>329.79757142857142</v>
          </cell>
          <cell r="K249">
            <v>2308.5830000000001</v>
          </cell>
          <cell r="M249">
            <v>105.699</v>
          </cell>
          <cell r="N249">
            <v>118.661</v>
          </cell>
          <cell r="O249">
            <v>106.85899999999999</v>
          </cell>
          <cell r="P249">
            <v>256.62700000000001</v>
          </cell>
          <cell r="Q249">
            <v>647</v>
          </cell>
          <cell r="R249">
            <v>147.88499999999999</v>
          </cell>
          <cell r="S249">
            <v>119.389</v>
          </cell>
          <cell r="T249">
            <v>214.58857142857141</v>
          </cell>
          <cell r="U249">
            <v>1502.12</v>
          </cell>
        </row>
        <row r="250">
          <cell r="B250" t="str">
            <v>Last Reported Q</v>
          </cell>
          <cell r="C250">
            <v>2301</v>
          </cell>
          <cell r="D250">
            <v>1158</v>
          </cell>
          <cell r="E250">
            <v>2664</v>
          </cell>
          <cell r="F250">
            <v>1147</v>
          </cell>
          <cell r="G250">
            <v>115.125</v>
          </cell>
          <cell r="H250">
            <v>885.16499999999996</v>
          </cell>
          <cell r="I250">
            <v>2426.2710000000002</v>
          </cell>
          <cell r="J250">
            <v>1528.0801428571431</v>
          </cell>
          <cell r="K250">
            <v>10696.561000000002</v>
          </cell>
          <cell r="M250">
            <v>387.79300000000001</v>
          </cell>
          <cell r="N250">
            <v>438.83600000000001</v>
          </cell>
          <cell r="O250">
            <v>401.83100000000002</v>
          </cell>
          <cell r="P250">
            <v>408.89</v>
          </cell>
          <cell r="Q250">
            <v>2384</v>
          </cell>
          <cell r="R250">
            <v>1218.6880000000001</v>
          </cell>
          <cell r="S250">
            <v>430.70760552622602</v>
          </cell>
          <cell r="T250">
            <v>810.10651507517525</v>
          </cell>
          <cell r="U250">
            <v>5670.7456055262264</v>
          </cell>
        </row>
        <row r="251">
          <cell r="B251" t="str">
            <v>LTM</v>
          </cell>
          <cell r="C251">
            <v>3725</v>
          </cell>
          <cell r="D251">
            <v>1802</v>
          </cell>
          <cell r="E251">
            <v>3963</v>
          </cell>
          <cell r="F251">
            <v>1905</v>
          </cell>
          <cell r="G251">
            <v>168.06200000000001</v>
          </cell>
          <cell r="H251">
            <v>1495.3309999999999</v>
          </cell>
          <cell r="I251">
            <v>4092.0520000000001</v>
          </cell>
          <cell r="J251">
            <v>2450.0635714285713</v>
          </cell>
          <cell r="K251">
            <v>17150.445</v>
          </cell>
          <cell r="M251">
            <v>586.89</v>
          </cell>
          <cell r="N251">
            <v>703.08199999999999</v>
          </cell>
          <cell r="O251">
            <v>652.59500000000003</v>
          </cell>
          <cell r="P251">
            <v>1145.8679999999999</v>
          </cell>
          <cell r="Q251">
            <v>4043</v>
          </cell>
          <cell r="R251">
            <v>1753.4280000000001</v>
          </cell>
          <cell r="S251">
            <v>719.75060552622608</v>
          </cell>
          <cell r="T251">
            <v>1372.0876579323178</v>
          </cell>
          <cell r="U251">
            <v>9604.613605526225</v>
          </cell>
        </row>
        <row r="252">
          <cell r="B252" t="str">
            <v>FY1</v>
          </cell>
          <cell r="C252">
            <v>7.9293440159680317E-2</v>
          </cell>
          <cell r="D252">
            <v>-0.28175242217070839</v>
          </cell>
          <cell r="E252">
            <v>-5.8706764560482072E-2</v>
          </cell>
          <cell r="F252">
            <v>-1.2659497227352157E-2</v>
          </cell>
          <cell r="G252">
            <v>2.8440816501221811</v>
          </cell>
          <cell r="H252">
            <v>0.37739008200740787</v>
          </cell>
          <cell r="I252">
            <v>0.25447263704823664</v>
          </cell>
          <cell r="J252">
            <v>3.1167021448063714E-2</v>
          </cell>
          <cell r="K252">
            <v>3.1167021448063714E-2</v>
          </cell>
          <cell r="M252">
            <v>-0.44755096954652773</v>
          </cell>
          <cell r="N252">
            <v>0.40776067925643722</v>
          </cell>
          <cell r="O252">
            <v>-0.10256876684475125</v>
          </cell>
          <cell r="P252">
            <v>8.7859867401067548E-2</v>
          </cell>
          <cell r="Q252">
            <v>9.4663871224688112E-2</v>
          </cell>
          <cell r="R252">
            <v>7.1548102236515865E-2</v>
          </cell>
          <cell r="S252">
            <v>0.10220319930856303</v>
          </cell>
          <cell r="T252">
            <v>2.8925996516275365E-2</v>
          </cell>
          <cell r="U252">
            <v>2.8925996516275365E-2</v>
          </cell>
        </row>
        <row r="253">
          <cell r="B253" t="str">
            <v>EBITDA Margin</v>
          </cell>
          <cell r="C253">
            <v>0.11823966128147112</v>
          </cell>
          <cell r="D253">
            <v>0.13978431130046953</v>
          </cell>
          <cell r="E253">
            <v>3.3430400435524144E-2</v>
          </cell>
          <cell r="F253">
            <v>7.7024231074919403E-2</v>
          </cell>
          <cell r="G253">
            <v>0.49767331916214141</v>
          </cell>
          <cell r="H253">
            <v>2.8087481082974541E-3</v>
          </cell>
          <cell r="I253">
            <v>9.2016676363640526E-2</v>
          </cell>
          <cell r="J253">
            <v>8.2720158998771387E-2</v>
          </cell>
          <cell r="K253">
            <v>8.2720158998771609E-2</v>
          </cell>
          <cell r="M253">
            <v>0.22592980450213873</v>
          </cell>
          <cell r="N253">
            <v>2.4701111113993424E-2</v>
          </cell>
          <cell r="O253">
            <v>0.21193428107274648</v>
          </cell>
          <cell r="P253">
            <v>7.6209113790322691E-2</v>
          </cell>
          <cell r="Q253">
            <v>6.5830701459941299E-3</v>
          </cell>
          <cell r="R253">
            <v>8.3458125413556905E-2</v>
          </cell>
          <cell r="S253">
            <v>0.21981119502112567</v>
          </cell>
          <cell r="T253">
            <v>7.5768860916895386E-2</v>
          </cell>
          <cell r="U253">
            <v>7.5768860916895386E-2</v>
          </cell>
        </row>
        <row r="254">
          <cell r="B254" t="str">
            <v>FY(2)</v>
          </cell>
          <cell r="C254">
            <v>0.13698804761528982</v>
          </cell>
          <cell r="D254">
            <v>0.11620805269441058</v>
          </cell>
          <cell r="E254">
            <v>0.12750351537262949</v>
          </cell>
          <cell r="F254">
            <v>0.16785605133955017</v>
          </cell>
          <cell r="G254">
            <v>8.2868419605755084E-2</v>
          </cell>
          <cell r="H254">
            <v>9.0672933445708689E-2</v>
          </cell>
          <cell r="I254">
            <v>9.9641903695533218E-2</v>
          </cell>
          <cell r="J254">
            <v>0.11739127482412529</v>
          </cell>
          <cell r="K254">
            <v>0.12156171950147786</v>
          </cell>
          <cell r="M254">
            <v>0.26019338014128879</v>
          </cell>
          <cell r="N254">
            <v>0.14935354914750854</v>
          </cell>
          <cell r="O254">
            <v>0.23170570059294651</v>
          </cell>
          <cell r="P254">
            <v>0.41121611234792088</v>
          </cell>
          <cell r="Q254">
            <v>0.12028167227050689</v>
          </cell>
          <cell r="R254">
            <v>0.12027421769325956</v>
          </cell>
          <cell r="S254">
            <v>0.19563394891903294</v>
          </cell>
          <cell r="T254">
            <v>0.21266551158749486</v>
          </cell>
          <cell r="U254">
            <v>0.16668711075578976</v>
          </cell>
        </row>
        <row r="255">
          <cell r="A255" t="str">
            <v>mscalc:netIncomeBeforeOperatingLeaseAdjustment</v>
          </cell>
          <cell r="B255" t="str">
            <v>FY(1)</v>
          </cell>
          <cell r="C255">
            <v>0.1267910598026713</v>
          </cell>
          <cell r="D255">
            <v>8.6431288394483163E-2</v>
          </cell>
          <cell r="E255">
            <v>0.10750441909047083</v>
          </cell>
          <cell r="F255">
            <v>0.13044879990350983</v>
          </cell>
          <cell r="G255">
            <v>8.2192422010453139E-3</v>
          </cell>
          <cell r="H255">
            <v>9.7544958469286569E-2</v>
          </cell>
          <cell r="I255">
            <v>9.6657149752059329E-2</v>
          </cell>
          <cell r="J255">
            <v>9.3370988230503743E-2</v>
          </cell>
          <cell r="K255">
            <v>0.10278859736299435</v>
          </cell>
          <cell r="M255">
            <v>0.20810559331730538</v>
          </cell>
          <cell r="N255">
            <v>0.15596243180303057</v>
          </cell>
          <cell r="O255">
            <v>0.14721878254841297</v>
          </cell>
          <cell r="P255">
            <v>0.40239886291219351</v>
          </cell>
          <cell r="Q255">
            <v>0.1456698334021754</v>
          </cell>
          <cell r="R255">
            <v>0.11728210409699492</v>
          </cell>
          <cell r="S255">
            <v>0.20788196779929119</v>
          </cell>
          <cell r="T255">
            <v>0.19778851083991483</v>
          </cell>
          <cell r="U255">
            <v>0.17045411078742415</v>
          </cell>
        </row>
        <row r="256">
          <cell r="B256" t="str">
            <v>FY0</v>
          </cell>
          <cell r="C256">
            <v>0.13395819991849567</v>
          </cell>
          <cell r="D256">
            <v>6.5954797094283174E-2</v>
          </cell>
          <cell r="E256">
            <v>0.1134147899016561</v>
          </cell>
          <cell r="F256">
            <v>0.1388956163720029</v>
          </cell>
          <cell r="G256">
            <v>4.3845283751823318E-2</v>
          </cell>
          <cell r="H256">
            <v>0.12320973779591446</v>
          </cell>
          <cell r="I256">
            <v>0.1195888161753558</v>
          </cell>
          <cell r="J256">
            <v>0.10555246300136163</v>
          </cell>
          <cell r="K256">
            <v>0.1107535514305215</v>
          </cell>
          <cell r="M256">
            <v>0.13241469973110248</v>
          </cell>
          <cell r="N256">
            <v>0.19677817860594007</v>
          </cell>
          <cell r="O256">
            <v>0.13436656302937447</v>
          </cell>
          <cell r="P256">
            <v>0.34771803961531267</v>
          </cell>
          <cell r="Q256">
            <v>0.1679228005916743</v>
          </cell>
          <cell r="R256">
            <v>0.14117380216116088</v>
          </cell>
          <cell r="S256">
            <v>0.22226456371027473</v>
          </cell>
          <cell r="T256">
            <v>0.19180552106354851</v>
          </cell>
          <cell r="U256">
            <v>0.17664338994555029</v>
          </cell>
        </row>
        <row r="257">
          <cell r="B257" t="str">
            <v>FY1</v>
          </cell>
          <cell r="C257">
            <v>0.14524953541489105</v>
          </cell>
          <cell r="D257">
            <v>7.5696969513404266E-2</v>
          </cell>
          <cell r="E257">
            <v>0.12062063000600672</v>
          </cell>
          <cell r="F257">
            <v>0.15384036187165825</v>
          </cell>
          <cell r="G257">
            <v>5.9166066089843448E-2</v>
          </cell>
          <cell r="H257">
            <v>0.13352223205816469</v>
          </cell>
          <cell r="I257">
            <v>0.1254741288661009</v>
          </cell>
          <cell r="J257">
            <v>0.11622427483143848</v>
          </cell>
          <cell r="K257">
            <v>0.12054122450092597</v>
          </cell>
          <cell r="M257">
            <v>0.16025826241318036</v>
          </cell>
          <cell r="N257">
            <v>0.19872151824836315</v>
          </cell>
          <cell r="O257">
            <v>0.18010886307621324</v>
          </cell>
          <cell r="P257">
            <v>0.35376895413704895</v>
          </cell>
          <cell r="Q257">
            <v>0.16537263357722404</v>
          </cell>
          <cell r="R257">
            <v>0.1543223268754341</v>
          </cell>
          <cell r="S257">
            <v>0.23604606226171623</v>
          </cell>
          <cell r="T257">
            <v>0.20694266008416859</v>
          </cell>
          <cell r="U257">
            <v>0.18732508010362472</v>
          </cell>
        </row>
        <row r="258">
          <cell r="B258" t="str">
            <v>FY2</v>
          </cell>
          <cell r="C258">
            <v>0.15013309545326939</v>
          </cell>
          <cell r="D258">
            <v>7.9193958122540042E-2</v>
          </cell>
          <cell r="E258">
            <v>0.12262063000600606</v>
          </cell>
          <cell r="F258">
            <v>0.15941706666592947</v>
          </cell>
          <cell r="G258">
            <v>7.9918982174010306E-2</v>
          </cell>
          <cell r="H258">
            <v>0.13497861403200276</v>
          </cell>
          <cell r="I258">
            <v>0.12334122145439311</v>
          </cell>
          <cell r="J258">
            <v>0.121371938272593</v>
          </cell>
          <cell r="K258">
            <v>0.1235346883153805</v>
          </cell>
          <cell r="M258">
            <v>0.17746344955354632</v>
          </cell>
          <cell r="N258">
            <v>0.17966044021851338</v>
          </cell>
          <cell r="O258">
            <v>0.19258538043028928</v>
          </cell>
          <cell r="P258">
            <v>0.35575566674388343</v>
          </cell>
          <cell r="Q258">
            <v>0.17352122215451327</v>
          </cell>
          <cell r="R258">
            <v>0.16219812579766729</v>
          </cell>
          <cell r="S258">
            <v>0.24375203757221914</v>
          </cell>
          <cell r="T258">
            <v>0.21213376035294743</v>
          </cell>
          <cell r="U258">
            <v>0.19533599961776127</v>
          </cell>
        </row>
        <row r="259">
          <cell r="B259" t="str">
            <v>FQ(3)</v>
          </cell>
          <cell r="C259">
            <v>0.10775151181968114</v>
          </cell>
          <cell r="D259">
            <v>5.8180917683151347E-2</v>
          </cell>
          <cell r="E259">
            <v>6.2896710905943454E-2</v>
          </cell>
          <cell r="F259">
            <v>0.13071512309495897</v>
          </cell>
          <cell r="G259">
            <v>5.7490672272424374E-2</v>
          </cell>
          <cell r="H259">
            <v>0.11138337159102128</v>
          </cell>
          <cell r="I259">
            <v>0.10334057228107695</v>
          </cell>
          <cell r="J259">
            <v>9.0251268521179637E-2</v>
          </cell>
          <cell r="K259">
            <v>8.7326027810072149E-2</v>
          </cell>
          <cell r="M259">
            <v>4.2871458746379182E-2</v>
          </cell>
          <cell r="N259">
            <v>0.1664019763543321</v>
          </cell>
          <cell r="O259">
            <v>0.10171078431372549</v>
          </cell>
          <cell r="P259">
            <v>0.3101242129418777</v>
          </cell>
          <cell r="Q259">
            <v>0.15861848417013111</v>
          </cell>
          <cell r="R259">
            <v>8.7067457978237187E-2</v>
          </cell>
          <cell r="S259">
            <v>0.17726275740912067</v>
          </cell>
          <cell r="T259">
            <v>0.14915101884482906</v>
          </cell>
          <cell r="U259">
            <v>0.14473941352003131</v>
          </cell>
        </row>
        <row r="260">
          <cell r="B260" t="str">
            <v>FQ(2)</v>
          </cell>
          <cell r="C260">
            <v>0.14266946925906462</v>
          </cell>
          <cell r="D260">
            <v>4.7683661878543789E-2</v>
          </cell>
          <cell r="E260">
            <v>0.11289697908597986</v>
          </cell>
          <cell r="F260">
            <v>0.1324009324009324</v>
          </cell>
          <cell r="G260">
            <v>-5.6420198826411437E-2</v>
          </cell>
          <cell r="H260">
            <v>0.11833299785823652</v>
          </cell>
          <cell r="I260">
            <v>0.11113215130063475</v>
          </cell>
          <cell r="J260">
            <v>8.69565704224258E-2</v>
          </cell>
          <cell r="K260">
            <v>0.1040500073004839</v>
          </cell>
          <cell r="M260">
            <v>0.10608721307050457</v>
          </cell>
          <cell r="N260">
            <v>0.17149132488631846</v>
          </cell>
          <cell r="O260">
            <v>0.12417654608604675</v>
          </cell>
          <cell r="P260">
            <v>0.32257143738813798</v>
          </cell>
          <cell r="Q260">
            <v>0.15901386748844376</v>
          </cell>
          <cell r="R260">
            <v>0.11450781714982507</v>
          </cell>
          <cell r="S260">
            <v>0.22119112305015418</v>
          </cell>
          <cell r="T260">
            <v>0.17414847558849011</v>
          </cell>
          <cell r="U260">
            <v>0.16055236030399414</v>
          </cell>
        </row>
        <row r="261">
          <cell r="B261" t="str">
            <v>FQ(1)</v>
          </cell>
          <cell r="C261">
            <v>0.12071093557146384</v>
          </cell>
          <cell r="D261">
            <v>5.5018734955040782E-2</v>
          </cell>
          <cell r="E261">
            <v>7.3716126587075992E-2</v>
          </cell>
          <cell r="F261">
            <v>0.13436830835117772</v>
          </cell>
          <cell r="G261">
            <v>7.7460193781139441E-2</v>
          </cell>
          <cell r="H261">
            <v>0.12181483241874644</v>
          </cell>
          <cell r="I261">
            <v>0.1312139343283992</v>
          </cell>
          <cell r="J261">
            <v>0.10204329514186336</v>
          </cell>
          <cell r="K261">
            <v>0.10038664671341772</v>
          </cell>
          <cell r="M261">
            <v>0.14024312576623624</v>
          </cell>
          <cell r="N261">
            <v>0.208969811812524</v>
          </cell>
          <cell r="O261">
            <v>0.14267613043118341</v>
          </cell>
          <cell r="P261">
            <v>0.33702985276523206</v>
          </cell>
          <cell r="Q261">
            <v>0.18027305656171635</v>
          </cell>
          <cell r="R261">
            <v>8.3208166142882178E-2</v>
          </cell>
          <cell r="S261">
            <v>0.23599327930421032</v>
          </cell>
          <cell r="T261">
            <v>0.18977048896914067</v>
          </cell>
          <cell r="U261">
            <v>0.17257593409458666</v>
          </cell>
        </row>
        <row r="262">
          <cell r="B262" t="str">
            <v>Last Reported Q</v>
          </cell>
          <cell r="C262">
            <v>0.13395819991849567</v>
          </cell>
          <cell r="D262">
            <v>6.5954797094283174E-2</v>
          </cell>
          <cell r="E262">
            <v>0.1134147899016561</v>
          </cell>
          <cell r="F262">
            <v>0.1388956163720029</v>
          </cell>
          <cell r="G262">
            <v>4.3845283751823318E-2</v>
          </cell>
          <cell r="H262">
            <v>0.12320973779591446</v>
          </cell>
          <cell r="I262">
            <v>0.1195888161753558</v>
          </cell>
          <cell r="J262">
            <v>0.10555246300136163</v>
          </cell>
          <cell r="K262">
            <v>0.1107535514305215</v>
          </cell>
          <cell r="M262">
            <v>0.13241469973110248</v>
          </cell>
          <cell r="N262">
            <v>0.19677817860594007</v>
          </cell>
          <cell r="O262">
            <v>0.13436656302937447</v>
          </cell>
          <cell r="P262">
            <v>0.38393246980061119</v>
          </cell>
          <cell r="Q262">
            <v>0.1679228005916743</v>
          </cell>
          <cell r="R262">
            <v>0.14117380216116088</v>
          </cell>
          <cell r="S262">
            <v>0.22226456371027473</v>
          </cell>
          <cell r="T262">
            <v>0.19697901109001972</v>
          </cell>
          <cell r="U262">
            <v>0.16687672680250146</v>
          </cell>
        </row>
        <row r="263">
          <cell r="B263" t="str">
            <v>LTM</v>
          </cell>
          <cell r="C263">
            <v>0.12991768973214285</v>
          </cell>
          <cell r="D263">
            <v>6.0950532559043924E-2</v>
          </cell>
          <cell r="E263">
            <v>0.10128038028061029</v>
          </cell>
          <cell r="F263">
            <v>0.13629534234814339</v>
          </cell>
          <cell r="G263">
            <v>3.7850898154233259E-2</v>
          </cell>
          <cell r="H263">
            <v>0.1207023044678138</v>
          </cell>
          <cell r="I263">
            <v>0.1181474006949358</v>
          </cell>
          <cell r="J263">
            <v>0.10073493546241762</v>
          </cell>
          <cell r="K263">
            <v>0.10534231755292885</v>
          </cell>
          <cell r="M263">
            <v>0.11925606841663891</v>
          </cell>
          <cell r="N263">
            <v>0.19215209018233734</v>
          </cell>
          <cell r="O263">
            <v>0.13028147082239661</v>
          </cell>
          <cell r="P263">
            <v>0.34265106717003696</v>
          </cell>
          <cell r="Q263">
            <v>0.16735656925242157</v>
          </cell>
          <cell r="R263">
            <v>0.12346629865368679</v>
          </cell>
          <cell r="S263">
            <v>0.2189597225568104</v>
          </cell>
          <cell r="T263">
            <v>0.18487475529347552</v>
          </cell>
          <cell r="U263">
            <v>0.16395638290338857</v>
          </cell>
        </row>
        <row r="264">
          <cell r="B264" t="str">
            <v>Last Reported Q</v>
          </cell>
          <cell r="C264">
            <v>193</v>
          </cell>
          <cell r="D264">
            <v>27</v>
          </cell>
          <cell r="E264">
            <v>-2</v>
          </cell>
          <cell r="F264">
            <v>83</v>
          </cell>
          <cell r="G264">
            <v>2.2584630489110999</v>
          </cell>
          <cell r="H264">
            <v>105.08</v>
          </cell>
          <cell r="I264">
            <v>347.79899999999998</v>
          </cell>
          <cell r="J264">
            <v>108.01963757841587</v>
          </cell>
          <cell r="K264">
            <v>756.13746304891106</v>
          </cell>
          <cell r="M264">
            <v>26.331</v>
          </cell>
          <cell r="N264">
            <v>62.628999999999998</v>
          </cell>
          <cell r="O264">
            <v>44.501489999999997</v>
          </cell>
          <cell r="P264">
            <v>622.12800000000004</v>
          </cell>
          <cell r="Q264">
            <v>307</v>
          </cell>
          <cell r="R264">
            <v>6.0990000000000002</v>
          </cell>
          <cell r="S264">
            <v>62.392000000000003</v>
          </cell>
          <cell r="T264">
            <v>161.58292714285716</v>
          </cell>
          <cell r="U264">
            <v>1131.0804900000001</v>
          </cell>
        </row>
        <row r="265">
          <cell r="B265" t="str">
            <v>EBITDA Growth, Y/Y</v>
          </cell>
          <cell r="C265">
            <v>895</v>
          </cell>
          <cell r="D265">
            <v>259.38200000000001</v>
          </cell>
          <cell r="E265">
            <v>917</v>
          </cell>
          <cell r="F265">
            <v>324</v>
          </cell>
          <cell r="G265">
            <v>-129.12349297410259</v>
          </cell>
          <cell r="H265">
            <v>397.26099999999997</v>
          </cell>
          <cell r="I265">
            <v>1054.4956247570569</v>
          </cell>
          <cell r="J265">
            <v>531.14501882613627</v>
          </cell>
          <cell r="K265">
            <v>3718.0151317829541</v>
          </cell>
          <cell r="M265">
            <v>99.525280000000024</v>
          </cell>
          <cell r="N265">
            <v>202.98999999999998</v>
          </cell>
          <cell r="O265">
            <v>127.42749000000001</v>
          </cell>
          <cell r="P265">
            <v>1107.99</v>
          </cell>
          <cell r="Q265">
            <v>993</v>
          </cell>
          <cell r="R265">
            <v>287.89599999999996</v>
          </cell>
          <cell r="S265">
            <v>182.76300000000001</v>
          </cell>
          <cell r="T265">
            <v>428.79882428571426</v>
          </cell>
          <cell r="U265">
            <v>3001.59177</v>
          </cell>
        </row>
        <row r="266">
          <cell r="B266" t="str">
            <v>FY(2)</v>
          </cell>
        </row>
        <row r="267">
          <cell r="A267" t="str">
            <v>mstag:adjEpsForConsensus</v>
          </cell>
          <cell r="B267" t="str">
            <v>FY(1)</v>
          </cell>
          <cell r="C267">
            <v>-7.9201488899720784E-2</v>
          </cell>
          <cell r="D267">
            <v>-0.30770811203667681</v>
          </cell>
          <cell r="E267">
            <v>-0.20238450074515646</v>
          </cell>
          <cell r="F267">
            <v>-0.2701109864880733</v>
          </cell>
          <cell r="G267">
            <v>-0.90773496921431085</v>
          </cell>
          <cell r="H267">
            <v>0.16777747721630143</v>
          </cell>
          <cell r="I267">
            <v>5.1073732749904455E-3</v>
          </cell>
          <cell r="J267">
            <v>-0.17552771553726221</v>
          </cell>
          <cell r="K267">
            <v>-0.17552771553726221</v>
          </cell>
          <cell r="M267">
            <v>-0.24679808239512446</v>
          </cell>
          <cell r="N267">
            <v>0.24367530259585379</v>
          </cell>
          <cell r="O267">
            <v>-0.37848007932673966</v>
          </cell>
          <cell r="P267">
            <v>0.19142889589717416</v>
          </cell>
          <cell r="Q267">
            <v>0.11603375527426163</v>
          </cell>
          <cell r="R267">
            <v>-0.12576981191488734</v>
          </cell>
          <cell r="S267">
            <v>0.29299367376136587</v>
          </cell>
          <cell r="T267">
            <v>-1.3845206508230845E-2</v>
          </cell>
          <cell r="U267">
            <v>-1.3845206508230734E-2</v>
          </cell>
        </row>
        <row r="268">
          <cell r="B268" t="str">
            <v>FY0</v>
          </cell>
          <cell r="C268">
            <v>0.10733284375201535</v>
          </cell>
          <cell r="D268">
            <v>-0.27525786308272593</v>
          </cell>
          <cell r="E268">
            <v>-4.484304932735439E-3</v>
          </cell>
          <cell r="F268">
            <v>6.0514021067892276E-2</v>
          </cell>
          <cell r="G268">
            <v>3.6122101741780241</v>
          </cell>
          <cell r="H268">
            <v>0.39904973528588439</v>
          </cell>
          <cell r="I268">
            <v>0.32118318178996508</v>
          </cell>
          <cell r="J268">
            <v>7.747688463813307E-2</v>
          </cell>
          <cell r="K268">
            <v>7.747688463813307E-2</v>
          </cell>
          <cell r="M268">
            <v>-0.4651512799438895</v>
          </cell>
          <cell r="N268">
            <v>0.49227400092494356</v>
          </cell>
          <cell r="O268">
            <v>-8.6768482534487767E-2</v>
          </cell>
          <cell r="P268">
            <v>-0.12238218719261096</v>
          </cell>
          <cell r="Q268">
            <v>0.12665406427221182</v>
          </cell>
          <cell r="R268">
            <v>0.14911267487438096</v>
          </cell>
          <cell r="S268">
            <v>0.12932793595490644</v>
          </cell>
          <cell r="T268">
            <v>1.3998711751485926E-2</v>
          </cell>
          <cell r="U268">
            <v>1.3998711751485926E-2</v>
          </cell>
        </row>
        <row r="269">
          <cell r="B269" t="str">
            <v>FY1</v>
          </cell>
          <cell r="C269">
            <v>0.16768440513724037</v>
          </cell>
          <cell r="D269">
            <v>0.16396720568492218</v>
          </cell>
          <cell r="E269">
            <v>0.11132962211942954</v>
          </cell>
          <cell r="F269">
            <v>0.1979250781288231</v>
          </cell>
          <cell r="G269">
            <v>0.40687676655192195</v>
          </cell>
          <cell r="H269">
            <v>0.17716918655120795</v>
          </cell>
          <cell r="I269">
            <v>0.14062970104034123</v>
          </cell>
          <cell r="J269">
            <v>0.15371196728365222</v>
          </cell>
          <cell r="K269">
            <v>0.153711967283652</v>
          </cell>
          <cell r="M269">
            <v>0.30702832399387292</v>
          </cell>
          <cell r="N269">
            <v>0.10051549344582478</v>
          </cell>
          <cell r="O269">
            <v>0.3396915735002326</v>
          </cell>
          <cell r="P269">
            <v>9.4761092269401104E-2</v>
          </cell>
          <cell r="Q269">
            <v>-2.48488144569462E-2</v>
          </cell>
          <cell r="R269">
            <v>0.1536928140979561</v>
          </cell>
          <cell r="S269">
            <v>0.23940390562692615</v>
          </cell>
          <cell r="T269">
            <v>9.9808707697482735E-2</v>
          </cell>
          <cell r="U269">
            <v>9.9808707697482957E-2</v>
          </cell>
        </row>
        <row r="270">
          <cell r="B270" t="str">
            <v>FY2</v>
          </cell>
          <cell r="C270">
            <v>0.11975332839646402</v>
          </cell>
          <cell r="D270">
            <v>6.9243624140826077E-2</v>
          </cell>
          <cell r="E270">
            <v>2.5119437823411195E-2</v>
          </cell>
          <cell r="F270">
            <v>8.5067534120490729E-2</v>
          </cell>
          <cell r="G270">
            <v>0.4468704139954931</v>
          </cell>
          <cell r="H270">
            <v>5.720354411580475E-2</v>
          </cell>
          <cell r="I270">
            <v>4.7780997854424578E-2</v>
          </cell>
          <cell r="J270">
            <v>7.0543438842309403E-2</v>
          </cell>
          <cell r="K270">
            <v>7.0543438842309403E-2</v>
          </cell>
          <cell r="M270">
            <v>0.19636141008461783</v>
          </cell>
          <cell r="N270">
            <v>2.3273998342098423E-2</v>
          </cell>
          <cell r="O270">
            <v>0.18246504233387761</v>
          </cell>
          <cell r="P270">
            <v>7.5419279534387984E-2</v>
          </cell>
          <cell r="Q270">
            <v>8.3012160730286944E-3</v>
          </cell>
          <cell r="R270">
            <v>9.0653076544306099E-2</v>
          </cell>
          <cell r="S270">
            <v>0.17812910149573691</v>
          </cell>
          <cell r="T270">
            <v>7.7406716021881428E-2</v>
          </cell>
          <cell r="U270">
            <v>7.7406716021881428E-2</v>
          </cell>
        </row>
        <row r="271">
          <cell r="B271" t="str">
            <v>FY1</v>
          </cell>
          <cell r="C271">
            <v>3.11</v>
          </cell>
          <cell r="D271">
            <v>1.03510445527076</v>
          </cell>
          <cell r="E271">
            <v>1.14784510187135</v>
          </cell>
          <cell r="F271">
            <v>1.8136411490884501</v>
          </cell>
          <cell r="G271">
            <v>-0.472295447628726</v>
          </cell>
          <cell r="H271">
            <v>3.3862868587624302</v>
          </cell>
          <cell r="I271">
            <v>2.6945205236563301</v>
          </cell>
          <cell r="M271">
            <v>1.0080029976226801</v>
          </cell>
          <cell r="N271">
            <v>3.19697659901902</v>
          </cell>
          <cell r="O271">
            <v>0.73983220363332802</v>
          </cell>
          <cell r="P271">
            <v>2.1342367427798301</v>
          </cell>
          <cell r="Q271">
            <v>1.5442144348621401</v>
          </cell>
          <cell r="R271">
            <v>1.1090965137337101</v>
          </cell>
          <cell r="S271">
            <v>1.24056550686542</v>
          </cell>
        </row>
        <row r="272">
          <cell r="A272" t="str">
            <v>mscalc:netIncomeBeforeOperatingLeaseAdjustment</v>
          </cell>
          <cell r="B272" t="str">
            <v>Net Income</v>
          </cell>
          <cell r="C272">
            <v>3.6141121475309599</v>
          </cell>
          <cell r="D272">
            <v>1.5303898670656499</v>
          </cell>
          <cell r="E272">
            <v>1.3294495544969001</v>
          </cell>
          <cell r="F272">
            <v>2.03885624205917</v>
          </cell>
          <cell r="G272">
            <v>-0.23101098907579101</v>
          </cell>
          <cell r="H272">
            <v>3.5442519215475099</v>
          </cell>
          <cell r="I272">
            <v>3.1175626704531201</v>
          </cell>
          <cell r="M272">
            <v>1.5590303512307999</v>
          </cell>
          <cell r="N272">
            <v>3.4587188109684202</v>
          </cell>
          <cell r="O272">
            <v>0.93491756401208104</v>
          </cell>
          <cell r="P272">
            <v>2.3560769521099698</v>
          </cell>
          <cell r="Q272">
            <v>1.64332942576824</v>
          </cell>
          <cell r="R272">
            <v>1.2755329709446399</v>
          </cell>
          <cell r="S272">
            <v>1.5606882755392599</v>
          </cell>
        </row>
        <row r="273">
          <cell r="B273" t="str">
            <v>FY(10)</v>
          </cell>
          <cell r="C273">
            <v>264.01</v>
          </cell>
          <cell r="D273">
            <v>384.12799999999999</v>
          </cell>
          <cell r="E273">
            <v>825</v>
          </cell>
          <cell r="F273">
            <v>202.291</v>
          </cell>
          <cell r="G273" t="str">
            <v>NA</v>
          </cell>
          <cell r="H273">
            <v>159.10599999999999</v>
          </cell>
          <cell r="I273">
            <v>526.822</v>
          </cell>
          <cell r="J273">
            <v>393.55950000000001</v>
          </cell>
          <cell r="K273">
            <v>2361.357</v>
          </cell>
          <cell r="M273">
            <v>149.60400000000001</v>
          </cell>
          <cell r="N273" t="str">
            <v>NA</v>
          </cell>
          <cell r="O273">
            <v>90.66</v>
          </cell>
          <cell r="P273">
            <v>21.001124000000001</v>
          </cell>
          <cell r="Q273" t="str">
            <v>NA</v>
          </cell>
          <cell r="R273">
            <v>446.56</v>
          </cell>
          <cell r="S273">
            <v>18.68</v>
          </cell>
          <cell r="T273">
            <v>145.30102479999999</v>
          </cell>
          <cell r="U273">
            <v>726.50512399999991</v>
          </cell>
        </row>
        <row r="274">
          <cell r="B274" t="str">
            <v>FY(9)</v>
          </cell>
          <cell r="C274">
            <v>368.71199999999999</v>
          </cell>
          <cell r="D274">
            <v>-88.56</v>
          </cell>
          <cell r="E274">
            <v>901</v>
          </cell>
          <cell r="F274">
            <v>134.77500000000001</v>
          </cell>
          <cell r="G274" t="str">
            <v>NA</v>
          </cell>
          <cell r="H274">
            <v>150.28800000000001</v>
          </cell>
          <cell r="I274">
            <v>538.06600000000003</v>
          </cell>
          <cell r="J274">
            <v>334.04683333333338</v>
          </cell>
          <cell r="K274">
            <v>2004.2810000000002</v>
          </cell>
          <cell r="M274">
            <v>156.85300000000001</v>
          </cell>
          <cell r="N274" t="str">
            <v>NA</v>
          </cell>
          <cell r="O274">
            <v>91.152000000000001</v>
          </cell>
          <cell r="P274">
            <v>38.685000000000002</v>
          </cell>
          <cell r="Q274">
            <v>877.41700000000003</v>
          </cell>
          <cell r="R274">
            <v>412.46089999999998</v>
          </cell>
          <cell r="S274">
            <v>10.494999999999999</v>
          </cell>
          <cell r="T274">
            <v>264.5104833333333</v>
          </cell>
          <cell r="U274">
            <v>1587.0628999999999</v>
          </cell>
        </row>
        <row r="275">
          <cell r="B275" t="str">
            <v>FY(8)</v>
          </cell>
          <cell r="C275">
            <v>491.98899999999998</v>
          </cell>
          <cell r="D275">
            <v>183</v>
          </cell>
          <cell r="E275">
            <v>746</v>
          </cell>
          <cell r="F275">
            <v>124.688</v>
          </cell>
          <cell r="G275" t="str">
            <v>NA</v>
          </cell>
          <cell r="H275">
            <v>155.04499999999999</v>
          </cell>
          <cell r="I275">
            <v>540.39700000000005</v>
          </cell>
          <cell r="J275">
            <v>373.51983333333334</v>
          </cell>
          <cell r="K275">
            <v>2241.1190000000001</v>
          </cell>
          <cell r="M275">
            <v>166.6</v>
          </cell>
          <cell r="N275" t="str">
            <v>NA</v>
          </cell>
          <cell r="O275">
            <v>101.666</v>
          </cell>
          <cell r="P275">
            <v>70.602440000000001</v>
          </cell>
          <cell r="Q275">
            <v>-7.7640000000000002</v>
          </cell>
          <cell r="R275">
            <v>405.77499999999998</v>
          </cell>
          <cell r="S275">
            <v>15.007</v>
          </cell>
          <cell r="T275">
            <v>125.31440666666664</v>
          </cell>
          <cell r="U275">
            <v>751.88643999999988</v>
          </cell>
        </row>
        <row r="276">
          <cell r="B276" t="str">
            <v>FY(7)</v>
          </cell>
          <cell r="C276">
            <v>635.47</v>
          </cell>
          <cell r="D276">
            <v>283</v>
          </cell>
          <cell r="E276">
            <v>706</v>
          </cell>
          <cell r="F276">
            <v>106.34099999999999</v>
          </cell>
          <cell r="G276" t="str">
            <v>NA</v>
          </cell>
          <cell r="H276">
            <v>200.07599999999999</v>
          </cell>
          <cell r="I276">
            <v>578.38800000000003</v>
          </cell>
          <cell r="J276">
            <v>418.21250000000003</v>
          </cell>
          <cell r="K276">
            <v>2509.2750000000001</v>
          </cell>
          <cell r="M276">
            <v>194.75399999999999</v>
          </cell>
          <cell r="N276">
            <v>33.71546</v>
          </cell>
          <cell r="O276">
            <v>99.644000000000005</v>
          </cell>
          <cell r="P276">
            <v>78.97</v>
          </cell>
          <cell r="Q276">
            <v>477.72370245564099</v>
          </cell>
          <cell r="R276">
            <v>517.41099999999994</v>
          </cell>
          <cell r="S276">
            <v>27.413</v>
          </cell>
          <cell r="T276">
            <v>204.23302320794872</v>
          </cell>
          <cell r="U276">
            <v>1429.6311624556411</v>
          </cell>
        </row>
        <row r="277">
          <cell r="B277" t="str">
            <v>FY(6)</v>
          </cell>
          <cell r="C277">
            <v>580.86199999999997</v>
          </cell>
          <cell r="D277">
            <v>360</v>
          </cell>
          <cell r="E277">
            <v>714</v>
          </cell>
          <cell r="F277">
            <v>242.88900000000001</v>
          </cell>
          <cell r="G277">
            <v>-69.899950647510195</v>
          </cell>
          <cell r="H277">
            <v>227.57400000000001</v>
          </cell>
          <cell r="I277">
            <v>609.41200000000003</v>
          </cell>
          <cell r="J277">
            <v>380.69100705035572</v>
          </cell>
          <cell r="K277">
            <v>2664.8370493524899</v>
          </cell>
          <cell r="M277">
            <v>204.83</v>
          </cell>
          <cell r="N277">
            <v>54.253999999999998</v>
          </cell>
          <cell r="O277">
            <v>83.108000000000004</v>
          </cell>
          <cell r="P277">
            <v>122.383</v>
          </cell>
          <cell r="Q277">
            <v>1042.69954791705</v>
          </cell>
          <cell r="R277">
            <v>583.65</v>
          </cell>
          <cell r="S277">
            <v>48.375999999999998</v>
          </cell>
          <cell r="T277">
            <v>305.61436398815005</v>
          </cell>
          <cell r="U277">
            <v>2139.3005479170502</v>
          </cell>
        </row>
        <row r="278">
          <cell r="B278" t="str">
            <v>FY(5)</v>
          </cell>
          <cell r="C278">
            <v>703.51288799999998</v>
          </cell>
          <cell r="D278">
            <v>657.37</v>
          </cell>
          <cell r="E278">
            <v>786.546594982079</v>
          </cell>
          <cell r="F278">
            <v>393.47500000000002</v>
          </cell>
          <cell r="G278">
            <v>-69.191530595781302</v>
          </cell>
          <cell r="H278">
            <v>185.72</v>
          </cell>
          <cell r="I278">
            <v>628.96199999999999</v>
          </cell>
          <cell r="J278">
            <v>469.4849931980425</v>
          </cell>
          <cell r="K278">
            <v>3286.3949523862975</v>
          </cell>
          <cell r="M278">
            <v>241.95355390734301</v>
          </cell>
          <cell r="N278">
            <v>86.960999999999999</v>
          </cell>
          <cell r="O278">
            <v>224.232</v>
          </cell>
          <cell r="P278">
            <v>220.239</v>
          </cell>
          <cell r="Q278">
            <v>1214.12078310316</v>
          </cell>
          <cell r="R278">
            <v>674.27200000000005</v>
          </cell>
          <cell r="S278">
            <v>90.489000000000004</v>
          </cell>
          <cell r="T278">
            <v>393.18104814435759</v>
          </cell>
          <cell r="U278">
            <v>2752.2673370105031</v>
          </cell>
        </row>
        <row r="279">
          <cell r="B279" t="str">
            <v>FY(4)</v>
          </cell>
          <cell r="C279">
            <v>831.621966099166</v>
          </cell>
          <cell r="D279">
            <v>928.03159479553904</v>
          </cell>
          <cell r="E279">
            <v>1089.0546208098101</v>
          </cell>
          <cell r="F279">
            <v>551.18021775831903</v>
          </cell>
          <cell r="G279">
            <v>-113.296092527064</v>
          </cell>
          <cell r="H279">
            <v>199.63200000000001</v>
          </cell>
          <cell r="I279">
            <v>642.13399999999695</v>
          </cell>
          <cell r="J279">
            <v>589.76547241939534</v>
          </cell>
          <cell r="K279">
            <v>4128.3583069357674</v>
          </cell>
          <cell r="M279">
            <v>363.59381999999999</v>
          </cell>
          <cell r="N279">
            <v>83.953999999999994</v>
          </cell>
          <cell r="O279">
            <v>293.71100000000001</v>
          </cell>
          <cell r="P279">
            <v>336.64699999999999</v>
          </cell>
          <cell r="Q279">
            <v>1076.3882618510199</v>
          </cell>
          <cell r="R279">
            <v>546.83600000000001</v>
          </cell>
          <cell r="S279">
            <v>129.832005188067</v>
          </cell>
          <cell r="T279">
            <v>404.42315529129809</v>
          </cell>
          <cell r="U279">
            <v>2830.9620870390868</v>
          </cell>
        </row>
        <row r="280">
          <cell r="B280" t="str">
            <v>FY(3)</v>
          </cell>
          <cell r="C280">
            <v>1108.5977755399999</v>
          </cell>
          <cell r="D280">
            <v>1134</v>
          </cell>
          <cell r="E280">
            <v>1137.6065454545501</v>
          </cell>
          <cell r="F280">
            <v>677.99900000000002</v>
          </cell>
          <cell r="G280">
            <v>29.8422306591854</v>
          </cell>
          <cell r="H280">
            <v>241.63399999999999</v>
          </cell>
          <cell r="I280">
            <v>784.33473025389503</v>
          </cell>
          <cell r="J280">
            <v>730.57346884394724</v>
          </cell>
          <cell r="K280">
            <v>5114.0142819076309</v>
          </cell>
          <cell r="M280">
            <v>446.524</v>
          </cell>
          <cell r="N280">
            <v>100.86799999999999</v>
          </cell>
          <cell r="O280">
            <v>387.35899999999998</v>
          </cell>
          <cell r="P280">
            <v>464.00954749822699</v>
          </cell>
          <cell r="Q280">
            <v>780.95348837209303</v>
          </cell>
          <cell r="R280">
            <v>675.04899999999998</v>
          </cell>
          <cell r="S280">
            <v>108.90600000000001</v>
          </cell>
          <cell r="T280">
            <v>423.38129083861713</v>
          </cell>
          <cell r="U280">
            <v>2963.6690358703199</v>
          </cell>
        </row>
        <row r="281">
          <cell r="B281" t="str">
            <v>FY(2)</v>
          </cell>
          <cell r="C281">
            <v>1083.8209999999999</v>
          </cell>
          <cell r="D281">
            <v>1073</v>
          </cell>
          <cell r="E281">
            <v>968.870454545455</v>
          </cell>
          <cell r="F281">
            <v>694.02599999999995</v>
          </cell>
          <cell r="G281">
            <v>63.374305710902703</v>
          </cell>
          <cell r="H281">
            <v>261.05099999999999</v>
          </cell>
          <cell r="I281">
            <v>902.52825069543098</v>
          </cell>
          <cell r="J281">
            <v>720.95300156454118</v>
          </cell>
          <cell r="K281">
            <v>5046.671010951788</v>
          </cell>
          <cell r="M281">
            <v>499.12700000000001</v>
          </cell>
          <cell r="N281">
            <v>125.371</v>
          </cell>
          <cell r="O281">
            <v>400.01900000000001</v>
          </cell>
          <cell r="P281">
            <v>636.529</v>
          </cell>
          <cell r="Q281">
            <v>888.19060546964795</v>
          </cell>
          <cell r="R281">
            <v>461.45582675721101</v>
          </cell>
          <cell r="S281">
            <v>152.53</v>
          </cell>
          <cell r="T281">
            <v>451.88891888955135</v>
          </cell>
          <cell r="U281">
            <v>3163.2224322268594</v>
          </cell>
        </row>
        <row r="282">
          <cell r="B282" t="str">
            <v>FY(1)</v>
          </cell>
          <cell r="C282">
            <v>885.62900000000002</v>
          </cell>
          <cell r="D282">
            <v>562.53838064516106</v>
          </cell>
          <cell r="E282">
            <v>545</v>
          </cell>
          <cell r="F282">
            <v>394.55099999999999</v>
          </cell>
          <cell r="G282">
            <v>-109.755122537465</v>
          </cell>
          <cell r="H282">
            <v>302.774720000005</v>
          </cell>
          <cell r="I282">
            <v>883.85870191995605</v>
          </cell>
          <cell r="J282">
            <v>494.9423828610939</v>
          </cell>
          <cell r="K282">
            <v>3464.5966800276574</v>
          </cell>
          <cell r="M282">
            <v>318.97024840902799</v>
          </cell>
          <cell r="N282">
            <v>149.422</v>
          </cell>
          <cell r="O282">
            <v>204.88800000000001</v>
          </cell>
          <cell r="P282">
            <v>742.00199999999995</v>
          </cell>
          <cell r="Q282">
            <v>967</v>
          </cell>
          <cell r="R282">
            <v>353.38200000000001</v>
          </cell>
          <cell r="S282">
            <v>199.364</v>
          </cell>
          <cell r="T282">
            <v>419.28974977271827</v>
          </cell>
          <cell r="U282">
            <v>2935.028248409028</v>
          </cell>
        </row>
        <row r="283">
          <cell r="B283" t="str">
            <v>FY0</v>
          </cell>
          <cell r="C283">
            <v>990.1</v>
          </cell>
          <cell r="D283">
            <v>249.58199999999999</v>
          </cell>
          <cell r="E283">
            <v>576</v>
          </cell>
          <cell r="F283">
            <v>427.8</v>
          </cell>
          <cell r="G283">
            <v>-47.731873116743998</v>
          </cell>
          <cell r="H283">
            <v>442.75700000000001</v>
          </cell>
          <cell r="I283">
            <v>1213.5719999999999</v>
          </cell>
          <cell r="J283">
            <v>550.29701812617952</v>
          </cell>
          <cell r="K283">
            <v>3852.0791268832563</v>
          </cell>
          <cell r="M283">
            <v>95.928809999999999</v>
          </cell>
          <cell r="N283">
            <v>231.32900000000001</v>
          </cell>
          <cell r="O283">
            <v>159.06599</v>
          </cell>
          <cell r="P283">
            <v>622.12800000000004</v>
          </cell>
          <cell r="Q283">
            <v>1099.8</v>
          </cell>
          <cell r="R283">
            <v>405.17</v>
          </cell>
          <cell r="S283">
            <v>219.893</v>
          </cell>
          <cell r="T283">
            <v>404.75925714285717</v>
          </cell>
          <cell r="U283">
            <v>2833.3148000000001</v>
          </cell>
        </row>
        <row r="284">
          <cell r="B284" t="str">
            <v>FY1</v>
          </cell>
          <cell r="C284">
            <v>1190.2064623122999</v>
          </cell>
          <cell r="D284">
            <v>371.94239455885997</v>
          </cell>
          <cell r="E284">
            <v>780.85661388894903</v>
          </cell>
          <cell r="F284">
            <v>574.20119639689005</v>
          </cell>
          <cell r="G284">
            <v>-14.812477877415599</v>
          </cell>
          <cell r="H284">
            <v>520.84207533519498</v>
          </cell>
          <cell r="I284">
            <v>1413.51496786962</v>
          </cell>
          <cell r="J284">
            <v>690.96446178348549</v>
          </cell>
          <cell r="K284">
            <v>4836.7512324843983</v>
          </cell>
          <cell r="M284">
            <v>155.41382199654501</v>
          </cell>
          <cell r="N284">
            <v>257.42391448394397</v>
          </cell>
          <cell r="O284">
            <v>248.62981426116701</v>
          </cell>
          <cell r="P284">
            <v>691.98393385513396</v>
          </cell>
          <cell r="Q284">
            <v>1083.8921535054101</v>
          </cell>
          <cell r="R284">
            <v>546.01826939091302</v>
          </cell>
          <cell r="S284">
            <v>279.22350732756701</v>
          </cell>
          <cell r="T284">
            <v>466.08363068866856</v>
          </cell>
          <cell r="U284">
            <v>3262.5854148206799</v>
          </cell>
        </row>
        <row r="285">
          <cell r="B285" t="str">
            <v>FY2</v>
          </cell>
          <cell r="C285">
            <v>1377.4147410483899</v>
          </cell>
          <cell r="D285">
            <v>461.162423782784</v>
          </cell>
          <cell r="E285">
            <v>888.32831729053999</v>
          </cell>
          <cell r="F285">
            <v>631.87045905384298</v>
          </cell>
          <cell r="G285">
            <v>21.642644285581799</v>
          </cell>
          <cell r="H285">
            <v>560.83917130142299</v>
          </cell>
          <cell r="I285">
            <v>1528.2089011232599</v>
          </cell>
          <cell r="J285">
            <v>781.35237969797447</v>
          </cell>
          <cell r="K285">
            <v>5469.4666578858214</v>
          </cell>
          <cell r="M285">
            <v>204.14473111967499</v>
          </cell>
          <cell r="N285">
            <v>256.17082013345799</v>
          </cell>
          <cell r="O285">
            <v>305.99673004238099</v>
          </cell>
          <cell r="P285">
            <v>736.84328923360295</v>
          </cell>
          <cell r="Q285">
            <v>1074.52887673393</v>
          </cell>
          <cell r="R285">
            <v>630.31680483250398</v>
          </cell>
          <cell r="S285">
            <v>334.56420596740901</v>
          </cell>
          <cell r="T285">
            <v>506.08077972327999</v>
          </cell>
          <cell r="U285">
            <v>3542.5654580629598</v>
          </cell>
        </row>
        <row r="286">
          <cell r="B286" t="str">
            <v>FQ(3)</v>
          </cell>
          <cell r="C286">
            <v>137</v>
          </cell>
          <cell r="D286">
            <v>25</v>
          </cell>
          <cell r="E286">
            <v>-68</v>
          </cell>
          <cell r="F286">
            <v>68</v>
          </cell>
          <cell r="G286">
            <v>-4.7939999999999996</v>
          </cell>
          <cell r="H286">
            <v>91.387</v>
          </cell>
          <cell r="I286">
            <v>209.214</v>
          </cell>
          <cell r="J286">
            <v>65.400999999999996</v>
          </cell>
          <cell r="K286">
            <v>457.80700000000002</v>
          </cell>
          <cell r="M286">
            <v>-23.105</v>
          </cell>
          <cell r="N286">
            <v>33.174999999999997</v>
          </cell>
          <cell r="O286">
            <v>15.680999999999999</v>
          </cell>
          <cell r="P286">
            <v>123.145</v>
          </cell>
          <cell r="Q286">
            <v>215</v>
          </cell>
          <cell r="R286">
            <v>2.601</v>
          </cell>
          <cell r="S286">
            <v>30.805</v>
          </cell>
          <cell r="T286">
            <v>56.757428571428569</v>
          </cell>
          <cell r="U286">
            <v>397.30199999999996</v>
          </cell>
        </row>
        <row r="287">
          <cell r="B287" t="str">
            <v>FQ(2)</v>
          </cell>
          <cell r="C287">
            <v>229.1</v>
          </cell>
          <cell r="D287">
            <v>-0.61799999999999999</v>
          </cell>
          <cell r="E287">
            <v>84</v>
          </cell>
          <cell r="F287">
            <v>105</v>
          </cell>
          <cell r="G287">
            <v>-54.902999999999999</v>
          </cell>
          <cell r="H287">
            <v>103.407</v>
          </cell>
          <cell r="I287">
            <v>261.56099999999998</v>
          </cell>
          <cell r="J287">
            <v>103.9352857142857</v>
          </cell>
          <cell r="K287">
            <v>727.54699999999991</v>
          </cell>
          <cell r="M287">
            <v>6.8895899999999903</v>
          </cell>
          <cell r="N287">
            <v>38.960999999999999</v>
          </cell>
          <cell r="O287">
            <v>28.571999999999999</v>
          </cell>
          <cell r="P287">
            <v>136.26599999999999</v>
          </cell>
          <cell r="Q287">
            <v>228</v>
          </cell>
          <cell r="R287">
            <v>60.262999999999998</v>
          </cell>
          <cell r="S287">
            <v>49.021000000000001</v>
          </cell>
          <cell r="T287">
            <v>78.281798571428567</v>
          </cell>
          <cell r="U287">
            <v>547.97258999999997</v>
          </cell>
        </row>
        <row r="288">
          <cell r="B288" t="str">
            <v>FQ(1)</v>
          </cell>
          <cell r="C288">
            <v>193</v>
          </cell>
          <cell r="D288">
            <v>27</v>
          </cell>
          <cell r="E288">
            <v>-12</v>
          </cell>
          <cell r="F288">
            <v>83</v>
          </cell>
          <cell r="G288">
            <v>1.8857268832559799</v>
          </cell>
          <cell r="H288">
            <v>105.08</v>
          </cell>
          <cell r="I288">
            <v>347.79899999999998</v>
          </cell>
          <cell r="J288">
            <v>106.53781812617942</v>
          </cell>
          <cell r="K288">
            <v>745.76472688325589</v>
          </cell>
          <cell r="M288">
            <v>30.623000000000001</v>
          </cell>
          <cell r="N288">
            <v>62.628999999999998</v>
          </cell>
          <cell r="O288">
            <v>44.501489999999997</v>
          </cell>
          <cell r="P288">
            <v>140.827</v>
          </cell>
          <cell r="Q288">
            <v>307</v>
          </cell>
          <cell r="R288">
            <v>6.0990000000000002</v>
          </cell>
          <cell r="S288">
            <v>62.392000000000003</v>
          </cell>
          <cell r="T288">
            <v>93.438784285714306</v>
          </cell>
          <cell r="U288">
            <v>654.07149000000015</v>
          </cell>
        </row>
        <row r="289">
          <cell r="B289" t="str">
            <v>Last Reported Q</v>
          </cell>
          <cell r="C289">
            <v>990.1</v>
          </cell>
          <cell r="D289">
            <v>249.58199999999999</v>
          </cell>
          <cell r="E289">
            <v>576</v>
          </cell>
          <cell r="F289">
            <v>427.8</v>
          </cell>
          <cell r="G289">
            <v>-47.731873116743998</v>
          </cell>
          <cell r="H289">
            <v>442.75700000000001</v>
          </cell>
          <cell r="I289">
            <v>1213.5719999999999</v>
          </cell>
          <cell r="J289">
            <v>550.29701812617952</v>
          </cell>
          <cell r="K289">
            <v>3852.0791268832563</v>
          </cell>
          <cell r="M289">
            <v>95.928809999999999</v>
          </cell>
          <cell r="N289">
            <v>231.32900000000001</v>
          </cell>
          <cell r="O289">
            <v>159.06599</v>
          </cell>
          <cell r="P289">
            <v>240.95</v>
          </cell>
          <cell r="Q289">
            <v>1099.8</v>
          </cell>
          <cell r="R289">
            <v>405.17</v>
          </cell>
          <cell r="S289">
            <v>219.893</v>
          </cell>
          <cell r="T289">
            <v>350.3052571428571</v>
          </cell>
          <cell r="U289">
            <v>2452.1367999999998</v>
          </cell>
        </row>
        <row r="290">
          <cell r="B290" t="str">
            <v>LTM</v>
          </cell>
          <cell r="C290">
            <v>1549.2</v>
          </cell>
          <cell r="D290">
            <v>300.964</v>
          </cell>
          <cell r="E290">
            <v>580</v>
          </cell>
          <cell r="F290">
            <v>683.8</v>
          </cell>
          <cell r="G290">
            <v>-105.54314623348802</v>
          </cell>
          <cell r="H290">
            <v>742.63099999999997</v>
          </cell>
          <cell r="I290">
            <v>2032.1459999999997</v>
          </cell>
          <cell r="J290">
            <v>826.17112196664436</v>
          </cell>
          <cell r="K290">
            <v>5783.1978537665109</v>
          </cell>
          <cell r="M290">
            <v>110.3364</v>
          </cell>
          <cell r="N290">
            <v>366.09399999999999</v>
          </cell>
          <cell r="O290">
            <v>247.82048</v>
          </cell>
          <cell r="P290">
            <v>641.18799999999999</v>
          </cell>
          <cell r="Q290">
            <v>1849.8</v>
          </cell>
          <cell r="R290">
            <v>474.13300000000004</v>
          </cell>
          <cell r="S290">
            <v>362.11099999999999</v>
          </cell>
          <cell r="T290">
            <v>578.78326857142849</v>
          </cell>
          <cell r="U290">
            <v>4051.4828799999996</v>
          </cell>
        </row>
        <row r="291">
          <cell r="B291" t="str">
            <v>FQ(3)</v>
          </cell>
          <cell r="C291">
            <v>6.4183381088825209E-2</v>
          </cell>
          <cell r="D291">
            <v>3.6115991111283878E-2</v>
          </cell>
          <cell r="E291">
            <v>0.10436097806906983</v>
          </cell>
          <cell r="F291">
            <v>2.9552368535419381E-2</v>
          </cell>
          <cell r="G291">
            <v>-8.5798356710030096E-2</v>
          </cell>
          <cell r="H291">
            <v>5.6159579081397279E-2</v>
          </cell>
          <cell r="I291">
            <v>4.3851399344251564E-2</v>
          </cell>
          <cell r="J291">
            <v>3.5489334360031009E-2</v>
          </cell>
          <cell r="K291">
            <v>5.8316995678285438E-2</v>
          </cell>
          <cell r="M291">
            <v>9.7305990751085966E-2</v>
          </cell>
          <cell r="N291">
            <v>9.8874375558863026E-2</v>
          </cell>
          <cell r="O291">
            <v>4.2699569393839017E-2</v>
          </cell>
          <cell r="P291">
            <v>0.19376130355109239</v>
          </cell>
          <cell r="Q291">
            <v>5.9529642332190102E-2</v>
          </cell>
          <cell r="R291">
            <v>7.3194762331742616E-2</v>
          </cell>
          <cell r="S291">
            <v>7.9800739256570843E-2</v>
          </cell>
          <cell r="T291">
            <v>9.2166626167912005E-2</v>
          </cell>
          <cell r="U291">
            <v>7.7996182250806484E-2</v>
          </cell>
        </row>
        <row r="292">
          <cell r="A292" t="str">
            <v>mstag:adjEpsForConsensus</v>
          </cell>
          <cell r="B292" t="str">
            <v>EPS</v>
          </cell>
          <cell r="C292">
            <v>3.7658053875755909E-2</v>
          </cell>
          <cell r="D292">
            <v>6.4359422215875383E-3</v>
          </cell>
          <cell r="E292">
            <v>9.6172340834775917E-3</v>
          </cell>
          <cell r="F292">
            <v>3.9859320046893319E-2</v>
          </cell>
          <cell r="G292">
            <v>-7.7165014663606243E-3</v>
          </cell>
          <cell r="H292">
            <v>5.4024032882497568E-2</v>
          </cell>
          <cell r="I292">
            <v>4.8048515648253277E-2</v>
          </cell>
          <cell r="J292">
            <v>2.6846656756014938E-2</v>
          </cell>
          <cell r="K292">
            <v>2.7296515280776795E-2</v>
          </cell>
          <cell r="M292">
            <v>-4.3768051544101315E-2</v>
          </cell>
          <cell r="N292">
            <v>8.1306491774993619E-2</v>
          </cell>
          <cell r="O292">
            <v>2.5622549019607841E-2</v>
          </cell>
          <cell r="P292">
            <v>0.22588351439616103</v>
          </cell>
          <cell r="Q292">
            <v>6.8755996162456035E-2</v>
          </cell>
          <cell r="R292">
            <v>1.507618953222079E-3</v>
          </cell>
          <cell r="S292">
            <v>8.0055405981351163E-2</v>
          </cell>
          <cell r="T292">
            <v>6.2766217820527201E-2</v>
          </cell>
          <cell r="U292">
            <v>6.2249080363126458E-2</v>
          </cell>
        </row>
        <row r="293">
          <cell r="B293" t="str">
            <v>FY(10)</v>
          </cell>
          <cell r="C293">
            <v>0.77521446372088398</v>
          </cell>
          <cell r="D293">
            <v>1.4</v>
          </cell>
          <cell r="E293">
            <v>1.8784153005464499</v>
          </cell>
          <cell r="F293">
            <v>1.4613761964962999</v>
          </cell>
          <cell r="G293" t="str">
            <v>NA</v>
          </cell>
          <cell r="H293">
            <v>1.6372326095779799</v>
          </cell>
          <cell r="I293">
            <v>1.6577637227997</v>
          </cell>
          <cell r="J293">
            <v>1.8959747286601904E-2</v>
          </cell>
          <cell r="K293">
            <v>3.092076908075473E-2</v>
          </cell>
          <cell r="M293">
            <v>1.3898421605150499</v>
          </cell>
          <cell r="N293" t="str">
            <v>NA</v>
          </cell>
          <cell r="O293">
            <v>0.41371261553099398</v>
          </cell>
          <cell r="P293" t="str">
            <v>NA</v>
          </cell>
          <cell r="Q293" t="str">
            <v>NA</v>
          </cell>
          <cell r="R293">
            <v>0.81070495076287297</v>
          </cell>
          <cell r="S293">
            <v>0.13085369962356699</v>
          </cell>
          <cell r="T293">
            <v>7.2375282624266277E-2</v>
          </cell>
          <cell r="U293">
            <v>6.4194610152069412E-2</v>
          </cell>
        </row>
        <row r="294">
          <cell r="B294" t="str">
            <v>FY(9)</v>
          </cell>
          <cell r="C294">
            <v>1.07237890611166</v>
          </cell>
          <cell r="D294">
            <v>-0.44</v>
          </cell>
          <cell r="E294">
            <v>2.10016098088076</v>
          </cell>
          <cell r="F294">
            <v>0.92919013844067999</v>
          </cell>
          <cell r="G294" t="str">
            <v>NA</v>
          </cell>
          <cell r="H294">
            <v>0.90120980436249298</v>
          </cell>
          <cell r="I294">
            <v>0.93027911866000801</v>
          </cell>
          <cell r="J294">
            <v>3.2613120775195285E-2</v>
          </cell>
          <cell r="K294">
            <v>3.28813844777502E-2</v>
          </cell>
          <cell r="M294">
            <v>1.53542621089314</v>
          </cell>
          <cell r="N294" t="str">
            <v>NA</v>
          </cell>
          <cell r="O294">
            <v>0.42122774912660099</v>
          </cell>
          <cell r="P294">
            <v>0.13003536181999101</v>
          </cell>
          <cell r="Q294">
            <v>0.999041521977453</v>
          </cell>
          <cell r="R294">
            <v>0.78378468838372195</v>
          </cell>
          <cell r="S294">
            <v>7.5941413026930193E-2</v>
          </cell>
          <cell r="T294">
            <v>8.699911328383772E-2</v>
          </cell>
          <cell r="U294">
            <v>0.10112604374923474</v>
          </cell>
        </row>
        <row r="295">
          <cell r="B295" t="str">
            <v>FY(8)</v>
          </cell>
          <cell r="C295">
            <v>1.4191983074683301</v>
          </cell>
          <cell r="D295">
            <v>0.56999999999999995</v>
          </cell>
          <cell r="E295">
            <v>1.60143363650378</v>
          </cell>
          <cell r="F295">
            <v>0.46398124546486302</v>
          </cell>
          <cell r="G295" t="str">
            <v>NA</v>
          </cell>
          <cell r="H295">
            <v>0.95576405027709099</v>
          </cell>
          <cell r="I295">
            <v>0.97136844341894002</v>
          </cell>
          <cell r="J295">
            <v>2.9910983539014519E-2</v>
          </cell>
          <cell r="K295">
            <v>3.8970939552062538E-2</v>
          </cell>
          <cell r="M295">
            <v>1.6249853692793901</v>
          </cell>
          <cell r="N295" t="str">
            <v>NA</v>
          </cell>
          <cell r="O295">
            <v>0.45921469255751202</v>
          </cell>
          <cell r="P295">
            <v>0.195661357058865</v>
          </cell>
          <cell r="Q295">
            <v>-8.90735342104753E-3</v>
          </cell>
          <cell r="R295">
            <v>0.78103307517848597</v>
          </cell>
          <cell r="S295">
            <v>0.107571157241721</v>
          </cell>
          <cell r="T295">
            <v>8.142679641502977E-2</v>
          </cell>
          <cell r="U295">
            <v>7.8553207218398979E-2</v>
          </cell>
        </row>
        <row r="296">
          <cell r="B296" t="str">
            <v>FY(7)</v>
          </cell>
          <cell r="C296">
            <v>1.8429396202147099</v>
          </cell>
          <cell r="D296">
            <v>0.94</v>
          </cell>
          <cell r="E296">
            <v>1.70938972591492</v>
          </cell>
          <cell r="F296">
            <v>0.370127283723937</v>
          </cell>
          <cell r="G296" t="str">
            <v>NA</v>
          </cell>
          <cell r="H296">
            <v>1.2544579038447099</v>
          </cell>
          <cell r="I296">
            <v>1.07558342936518</v>
          </cell>
          <cell r="M296">
            <v>1.9353280798163599</v>
          </cell>
          <cell r="N296">
            <v>0.40010402540755902</v>
          </cell>
          <cell r="O296">
            <v>0.45635198695666102</v>
          </cell>
          <cell r="P296">
            <v>0.21405208526080999</v>
          </cell>
          <cell r="Q296">
            <v>0.51707348651642404</v>
          </cell>
          <cell r="R296">
            <v>0.97464618533151604</v>
          </cell>
          <cell r="S296">
            <v>0.176735357727373</v>
          </cell>
        </row>
        <row r="297">
          <cell r="B297" t="str">
            <v>FY(6)</v>
          </cell>
          <cell r="C297">
            <v>1.6897901951429499</v>
          </cell>
          <cell r="D297">
            <v>1.2</v>
          </cell>
          <cell r="E297">
            <v>1.8506172802885601</v>
          </cell>
          <cell r="F297">
            <v>0.88174338254112505</v>
          </cell>
          <cell r="G297">
            <v>-0.499913824862043</v>
          </cell>
          <cell r="H297">
            <v>1.4667904170775601</v>
          </cell>
          <cell r="I297">
            <v>1.1603136408820001</v>
          </cell>
          <cell r="M297">
            <v>2.0569391444065102</v>
          </cell>
          <cell r="N297">
            <v>0.62053859923024501</v>
          </cell>
          <cell r="O297">
            <v>0.383656247547559</v>
          </cell>
          <cell r="P297">
            <v>0.32926625843458401</v>
          </cell>
          <cell r="Q297">
            <v>1.0553914221029499</v>
          </cell>
          <cell r="R297">
            <v>1.1101679803131399</v>
          </cell>
          <cell r="S297">
            <v>0.29924111670925502</v>
          </cell>
        </row>
        <row r="298">
          <cell r="A298" t="str">
            <v>mscalc:totalCashIncludingShorttermInvestmentsForCac</v>
          </cell>
          <cell r="B298" t="str">
            <v>FY(5)</v>
          </cell>
          <cell r="C298">
            <v>2.04119863603426</v>
          </cell>
          <cell r="D298">
            <v>2.2599999999999998</v>
          </cell>
          <cell r="E298">
            <v>2.20692086134141</v>
          </cell>
          <cell r="F298">
            <v>1.3831814139226799</v>
          </cell>
          <cell r="G298">
            <v>-0.49610332398208501</v>
          </cell>
          <cell r="H298">
            <v>1.2040334606671801</v>
          </cell>
          <cell r="I298">
            <v>1.2268856649054201</v>
          </cell>
          <cell r="M298">
            <v>2.5439339071322</v>
          </cell>
          <cell r="N298">
            <v>1.0125578552091501</v>
          </cell>
          <cell r="O298">
            <v>0.99496818508559404</v>
          </cell>
          <cell r="P298">
            <v>0.57122145046919004</v>
          </cell>
          <cell r="Q298">
            <v>1.22494717770251</v>
          </cell>
          <cell r="R298">
            <v>1.4087813785758301</v>
          </cell>
          <cell r="S298">
            <v>0.540867507514041</v>
          </cell>
        </row>
        <row r="299">
          <cell r="B299" t="str">
            <v>FY(4)</v>
          </cell>
          <cell r="C299">
            <v>2.4284486808766101</v>
          </cell>
          <cell r="D299">
            <v>3.6336397603584198</v>
          </cell>
          <cell r="E299">
            <v>2.5058780966631602</v>
          </cell>
          <cell r="F299">
            <v>1.98426148320344</v>
          </cell>
          <cell r="G299">
            <v>-0.81891959260101599</v>
          </cell>
          <cell r="H299">
            <v>1.3624223480615401</v>
          </cell>
          <cell r="I299">
            <v>1.2668460007154301</v>
          </cell>
          <cell r="J299">
            <v>934.86214260037673</v>
          </cell>
          <cell r="K299">
            <v>6544.0349982026373</v>
          </cell>
          <cell r="M299">
            <v>3.9858565461900199</v>
          </cell>
          <cell r="N299">
            <v>1.0005780312375301</v>
          </cell>
          <cell r="O299">
            <v>1.26039453978226</v>
          </cell>
          <cell r="P299">
            <v>0.86277489742203195</v>
          </cell>
          <cell r="Q299">
            <v>1.1929264385604199</v>
          </cell>
          <cell r="R299">
            <v>1.3287632730684</v>
          </cell>
          <cell r="S299">
            <v>0.76400511877328903</v>
          </cell>
          <cell r="T299">
            <v>742.61106636551267</v>
          </cell>
          <cell r="U299">
            <v>5198.2774645585887</v>
          </cell>
        </row>
        <row r="300">
          <cell r="B300" t="str">
            <v>FY(3)</v>
          </cell>
          <cell r="C300">
            <v>3.31</v>
          </cell>
          <cell r="D300">
            <v>4.8837209302325597</v>
          </cell>
          <cell r="E300">
            <v>2.0770614304446702</v>
          </cell>
          <cell r="F300">
            <v>2.55149905494669</v>
          </cell>
          <cell r="G300">
            <v>0.21962195068579499</v>
          </cell>
          <cell r="H300">
            <v>1.7017917007071</v>
          </cell>
          <cell r="I300">
            <v>1.6338775120122</v>
          </cell>
          <cell r="J300">
            <v>747.65958469519319</v>
          </cell>
          <cell r="K300">
            <v>5233.6170928663523</v>
          </cell>
          <cell r="M300">
            <v>4.8529942397565504</v>
          </cell>
          <cell r="N300">
            <v>1.2508897900467499</v>
          </cell>
          <cell r="O300">
            <v>1.6960864158610001</v>
          </cell>
          <cell r="P300">
            <v>1.1943771412713899</v>
          </cell>
          <cell r="Q300">
            <v>0.93175389657940999</v>
          </cell>
          <cell r="R300">
            <v>1.67714662290667</v>
          </cell>
          <cell r="S300">
            <v>0.64679793670709995</v>
          </cell>
          <cell r="T300">
            <v>742.61106636551267</v>
          </cell>
          <cell r="U300">
            <v>5198.2774645585887</v>
          </cell>
        </row>
        <row r="301">
          <cell r="B301" t="str">
            <v>FY(2)</v>
          </cell>
          <cell r="C301">
            <v>3.39</v>
          </cell>
          <cell r="D301">
            <v>4.7651826357277702</v>
          </cell>
          <cell r="E301">
            <v>2.1292197011621501</v>
          </cell>
          <cell r="F301">
            <v>2.7888518417687198</v>
          </cell>
          <cell r="G301">
            <v>0.41278125259495102</v>
          </cell>
          <cell r="H301">
            <v>1.9036822857226201</v>
          </cell>
          <cell r="I301">
            <v>1.92828963541067</v>
          </cell>
          <cell r="J301">
            <v>741.50341404003791</v>
          </cell>
          <cell r="K301">
            <v>5190.5238982802657</v>
          </cell>
          <cell r="M301">
            <v>5.45356904821739</v>
          </cell>
          <cell r="N301">
            <v>1.11670185002093</v>
          </cell>
          <cell r="O301">
            <v>1.8159569638641699</v>
          </cell>
          <cell r="P301">
            <v>1.6868129829656899</v>
          </cell>
          <cell r="Q301">
            <v>1.11882277420426</v>
          </cell>
          <cell r="R301">
            <v>1.2136220796667601</v>
          </cell>
          <cell r="S301">
            <v>0.89916095308231403</v>
          </cell>
          <cell r="T301">
            <v>755.60655281196853</v>
          </cell>
          <cell r="U301">
            <v>5289.2458696837793</v>
          </cell>
        </row>
        <row r="302">
          <cell r="B302" t="str">
            <v>FY(1)</v>
          </cell>
          <cell r="C302">
            <v>2.89</v>
          </cell>
          <cell r="D302">
            <v>2.52400843811626</v>
          </cell>
          <cell r="E302">
            <v>1.29323129857033</v>
          </cell>
          <cell r="F302">
            <v>1.80139710078758</v>
          </cell>
          <cell r="G302">
            <v>-0.79312003221084204</v>
          </cell>
          <cell r="H302">
            <v>2.3067627390142502</v>
          </cell>
          <cell r="I302">
            <v>1.9985273245524799</v>
          </cell>
          <cell r="J302">
            <v>1191.4163447597857</v>
          </cell>
          <cell r="K302">
            <v>8339.9144133185</v>
          </cell>
          <cell r="M302">
            <v>3.5722553046670802</v>
          </cell>
          <cell r="N302">
            <v>1.4741130973521199</v>
          </cell>
          <cell r="O302">
            <v>0.98702199612683195</v>
          </cell>
          <cell r="P302">
            <v>2.0596348737991299</v>
          </cell>
          <cell r="Q302">
            <v>1.34492350486787</v>
          </cell>
          <cell r="R302">
            <v>1.0476755183056099</v>
          </cell>
          <cell r="S302">
            <v>1.16684752728228</v>
          </cell>
          <cell r="T302">
            <v>1087.3847737330791</v>
          </cell>
          <cell r="U302">
            <v>7611.693416131553</v>
          </cell>
        </row>
        <row r="303">
          <cell r="B303" t="str">
            <v>FY0</v>
          </cell>
          <cell r="C303">
            <v>3.2250814332247599</v>
          </cell>
          <cell r="D303">
            <v>1.07185741893923</v>
          </cell>
          <cell r="E303">
            <v>1.3637977980347999</v>
          </cell>
          <cell r="F303">
            <v>1.9476439790575899</v>
          </cell>
          <cell r="G303">
            <v>-0.32505046574263302</v>
          </cell>
          <cell r="H303">
            <v>3.5404627917437099</v>
          </cell>
          <cell r="I303">
            <v>2.83955201617291</v>
          </cell>
          <cell r="J303">
            <v>1563.6266665338462</v>
          </cell>
          <cell r="K303">
            <v>10945.386665736924</v>
          </cell>
          <cell r="M303">
            <v>1.0857232916170301</v>
          </cell>
          <cell r="N303">
            <v>2.2898250181267499</v>
          </cell>
          <cell r="O303">
            <v>0.76073186478937904</v>
          </cell>
          <cell r="P303">
            <v>1.9105951722867101</v>
          </cell>
          <cell r="Q303">
            <v>1.57451682176092</v>
          </cell>
          <cell r="R303">
            <v>1.2399430783590699</v>
          </cell>
          <cell r="S303">
            <v>1.2842313990523899</v>
          </cell>
          <cell r="T303">
            <v>1157.569772525901</v>
          </cell>
          <cell r="U303">
            <v>8102.9884076813069</v>
          </cell>
        </row>
        <row r="304">
          <cell r="B304" t="str">
            <v>FY1</v>
          </cell>
          <cell r="C304">
            <v>3.84</v>
          </cell>
          <cell r="D304">
            <v>1.5673931502691101</v>
          </cell>
          <cell r="E304">
            <v>1.8332979923671699</v>
          </cell>
          <cell r="F304">
            <v>2.5862513892318302</v>
          </cell>
          <cell r="G304">
            <v>-9.7405174087837498E-2</v>
          </cell>
          <cell r="H304">
            <v>4.2896851724700404</v>
          </cell>
          <cell r="I304">
            <v>3.4390463814732599</v>
          </cell>
          <cell r="J304">
            <v>741.43169975432386</v>
          </cell>
          <cell r="K304">
            <v>5190.0218982802671</v>
          </cell>
          <cell r="M304">
            <v>1.7864819853377301</v>
          </cell>
          <cell r="N304">
            <v>2.7325550569536099</v>
          </cell>
          <cell r="O304">
            <v>1.15945960309165</v>
          </cell>
          <cell r="P304">
            <v>2.1782807832683999</v>
          </cell>
          <cell r="Q304">
            <v>1.6516746689870401</v>
          </cell>
          <cell r="R304">
            <v>1.69537580939143</v>
          </cell>
          <cell r="S304">
            <v>1.61941939902598</v>
          </cell>
          <cell r="T304">
            <v>699.77055281196863</v>
          </cell>
          <cell r="U304">
            <v>4898.3938696837804</v>
          </cell>
        </row>
        <row r="305">
          <cell r="B305" t="str">
            <v>FY2</v>
          </cell>
          <cell r="C305">
            <v>4.5728797622460302</v>
          </cell>
          <cell r="D305">
            <v>1.94285457963845</v>
          </cell>
          <cell r="E305">
            <v>2.0856204477039402</v>
          </cell>
          <cell r="F305">
            <v>2.9116860600686101</v>
          </cell>
          <cell r="G305">
            <v>0.13182592432298201</v>
          </cell>
          <cell r="H305">
            <v>4.8723869135682998</v>
          </cell>
          <cell r="I305">
            <v>3.8781326293192002</v>
          </cell>
          <cell r="J305">
            <v>698.08827118289616</v>
          </cell>
          <cell r="K305">
            <v>4886.617898280273</v>
          </cell>
          <cell r="M305">
            <v>2.4574533255178199</v>
          </cell>
          <cell r="N305">
            <v>2.98453685978743</v>
          </cell>
          <cell r="O305">
            <v>1.4121827801328699</v>
          </cell>
          <cell r="P305">
            <v>2.4232914952671898</v>
          </cell>
          <cell r="Q305">
            <v>1.7645736925778299</v>
          </cell>
          <cell r="R305">
            <v>1.98791893284279</v>
          </cell>
          <cell r="S305">
            <v>1.9456738520825001</v>
          </cell>
          <cell r="T305">
            <v>646.65298138339688</v>
          </cell>
          <cell r="U305">
            <v>4526.5708696837783</v>
          </cell>
        </row>
        <row r="306">
          <cell r="B306" t="str">
            <v>FQ(3)</v>
          </cell>
          <cell r="C306">
            <v>0.45</v>
          </cell>
          <cell r="D306">
            <v>0.112258643915582</v>
          </cell>
          <cell r="E306">
            <v>-0.16136687233032701</v>
          </cell>
          <cell r="F306">
            <v>0.31278748850046001</v>
          </cell>
          <cell r="G306">
            <v>-3.4664526345474199E-2</v>
          </cell>
          <cell r="H306">
            <v>0.72206156569008495</v>
          </cell>
          <cell r="I306">
            <v>0.48651822379909199</v>
          </cell>
          <cell r="J306">
            <v>951.39055689718236</v>
          </cell>
          <cell r="K306">
            <v>6659.7338982802767</v>
          </cell>
          <cell r="M306">
            <v>-0.26346397254181902</v>
          </cell>
          <cell r="N306">
            <v>0.32625264296602202</v>
          </cell>
          <cell r="O306">
            <v>7.5649103171463603E-2</v>
          </cell>
          <cell r="P306">
            <v>0.38320548925643</v>
          </cell>
          <cell r="Q306">
            <v>0.30846484935437601</v>
          </cell>
          <cell r="R306">
            <v>8.04553257961238E-3</v>
          </cell>
          <cell r="S306">
            <v>0.18086892567228299</v>
          </cell>
          <cell r="T306">
            <v>817.61028571428574</v>
          </cell>
          <cell r="U306">
            <v>5723.2719999999999</v>
          </cell>
        </row>
        <row r="307">
          <cell r="B307" t="str">
            <v>FQ(2)</v>
          </cell>
          <cell r="C307">
            <v>0.75</v>
          </cell>
          <cell r="D307">
            <v>-2.64328485885372E-3</v>
          </cell>
          <cell r="E307">
            <v>0.19900497512437801</v>
          </cell>
          <cell r="F307">
            <v>0.479890310786106</v>
          </cell>
          <cell r="G307">
            <v>-0.396913067052232</v>
          </cell>
          <cell r="H307">
            <v>0.82292412739340104</v>
          </cell>
          <cell r="I307">
            <v>0.60764125235507704</v>
          </cell>
          <cell r="J307">
            <v>951.70144671342098</v>
          </cell>
          <cell r="K307">
            <v>6661.9101269939465</v>
          </cell>
          <cell r="M307">
            <v>7.8399485650561193E-2</v>
          </cell>
          <cell r="N307">
            <v>0.38030953043325499</v>
          </cell>
          <cell r="O307">
            <v>0.13669832308686</v>
          </cell>
          <cell r="P307">
            <v>0.42515100838658099</v>
          </cell>
          <cell r="Q307">
            <v>0.32571428571428601</v>
          </cell>
          <cell r="R307">
            <v>0.18502780191404899</v>
          </cell>
          <cell r="S307">
            <v>0.28714391088612501</v>
          </cell>
          <cell r="T307">
            <v>844.17771428571439</v>
          </cell>
          <cell r="U307">
            <v>5909.2440000000006</v>
          </cell>
        </row>
        <row r="308">
          <cell r="B308" t="str">
            <v>FQ(1)</v>
          </cell>
          <cell r="C308">
            <v>0.63</v>
          </cell>
          <cell r="D308">
            <v>0.11363636363636399</v>
          </cell>
          <cell r="E308">
            <v>-2.8449502133712699E-2</v>
          </cell>
          <cell r="F308">
            <v>0.37607612143180802</v>
          </cell>
          <cell r="G308">
            <v>1.23689909433279E-2</v>
          </cell>
          <cell r="H308">
            <v>0.843013927219047</v>
          </cell>
          <cell r="I308">
            <v>0.81243984937817104</v>
          </cell>
          <cell r="J308">
            <v>951.70144671342098</v>
          </cell>
          <cell r="K308">
            <v>6661.9101269939465</v>
          </cell>
          <cell r="M308">
            <v>0.34512566212104101</v>
          </cell>
          <cell r="N308">
            <v>0.61409108068224705</v>
          </cell>
          <cell r="O308">
            <v>0.21252615894514101</v>
          </cell>
          <cell r="P308">
            <v>0.43855628046027101</v>
          </cell>
          <cell r="Q308">
            <v>0.43607954545454503</v>
          </cell>
          <cell r="R308">
            <v>1.8579840918299399E-2</v>
          </cell>
          <cell r="S308">
            <v>0.36392078850375198</v>
          </cell>
          <cell r="T308">
            <v>844.17771428571439</v>
          </cell>
          <cell r="U308">
            <v>5909.2440000000006</v>
          </cell>
        </row>
        <row r="309">
          <cell r="B309" t="str">
            <v>Last Reported Q</v>
          </cell>
          <cell r="C309">
            <v>3.2250814332247599</v>
          </cell>
          <cell r="D309">
            <v>1.07185741893923</v>
          </cell>
          <cell r="E309">
            <v>1.3637977980347999</v>
          </cell>
          <cell r="F309">
            <v>1.9476439790575899</v>
          </cell>
          <cell r="G309">
            <v>-0.32505046574263302</v>
          </cell>
          <cell r="H309">
            <v>3.5404627917437099</v>
          </cell>
          <cell r="I309">
            <v>2.83955201617291</v>
          </cell>
          <cell r="M309">
            <v>1.0857232916170301</v>
          </cell>
          <cell r="N309">
            <v>2.2898250181267499</v>
          </cell>
          <cell r="O309">
            <v>0.76073186478937904</v>
          </cell>
          <cell r="P309">
            <v>0.74973318273326695</v>
          </cell>
          <cell r="Q309">
            <v>1.57451682176092</v>
          </cell>
          <cell r="R309">
            <v>1.2399430783590699</v>
          </cell>
          <cell r="S309">
            <v>1.2842313990523899</v>
          </cell>
        </row>
        <row r="310">
          <cell r="A310" t="str">
            <v>mstag:shortTermBorrowings</v>
          </cell>
          <cell r="B310" t="str">
            <v>LTM</v>
          </cell>
          <cell r="C310">
            <v>5.0550814332247604</v>
          </cell>
          <cell r="D310">
            <v>1.2951091416323224</v>
          </cell>
          <cell r="E310">
            <v>1.3729863986951383</v>
          </cell>
          <cell r="F310">
            <v>3.116397899775964</v>
          </cell>
          <cell r="G310">
            <v>-0.74425906819701138</v>
          </cell>
          <cell r="H310">
            <v>5.928462412046243</v>
          </cell>
          <cell r="I310">
            <v>4.7461513417052501</v>
          </cell>
          <cell r="M310">
            <v>1.2457844668468132</v>
          </cell>
          <cell r="N310">
            <v>3.6104782722082742</v>
          </cell>
          <cell r="O310">
            <v>1.1856054499928437</v>
          </cell>
          <cell r="P310">
            <v>1.996645960836549</v>
          </cell>
          <cell r="Q310">
            <v>2.6447755022841273</v>
          </cell>
          <cell r="R310">
            <v>1.4515962537710307</v>
          </cell>
          <cell r="S310">
            <v>2.11616502411455</v>
          </cell>
        </row>
        <row r="311">
          <cell r="B311" t="str">
            <v>FY(2)</v>
          </cell>
          <cell r="C311">
            <v>18.841000000000001</v>
          </cell>
          <cell r="D311">
            <v>434</v>
          </cell>
          <cell r="E311">
            <v>650</v>
          </cell>
          <cell r="F311">
            <v>6.8</v>
          </cell>
          <cell r="G311">
            <v>236.667</v>
          </cell>
          <cell r="H311">
            <v>0</v>
          </cell>
          <cell r="I311">
            <v>1.8540000000000001</v>
          </cell>
          <cell r="J311">
            <v>192.59457142857141</v>
          </cell>
          <cell r="K311">
            <v>1348.1619999999998</v>
          </cell>
          <cell r="M311">
            <v>0</v>
          </cell>
          <cell r="N311">
            <v>0</v>
          </cell>
          <cell r="O311">
            <v>0</v>
          </cell>
          <cell r="P311">
            <v>0.23499999999999999</v>
          </cell>
          <cell r="Q311">
            <v>325</v>
          </cell>
          <cell r="R311">
            <v>18</v>
          </cell>
          <cell r="S311" t="str">
            <v>NA</v>
          </cell>
          <cell r="T311">
            <v>57.205833333333338</v>
          </cell>
          <cell r="U311">
            <v>343.23500000000001</v>
          </cell>
        </row>
        <row r="312">
          <cell r="B312" t="str">
            <v>EPS Y/Y Δ</v>
          </cell>
          <cell r="C312">
            <v>12.701000000000001</v>
          </cell>
          <cell r="D312">
            <v>203</v>
          </cell>
          <cell r="E312">
            <v>666</v>
          </cell>
          <cell r="F312">
            <v>261</v>
          </cell>
          <cell r="G312">
            <v>319.24200000000002</v>
          </cell>
          <cell r="H312">
            <v>0</v>
          </cell>
          <cell r="I312">
            <v>2.008</v>
          </cell>
          <cell r="J312">
            <v>209.13585714285713</v>
          </cell>
          <cell r="K312">
            <v>1463.951</v>
          </cell>
          <cell r="M312">
            <v>0</v>
          </cell>
          <cell r="N312">
            <v>0</v>
          </cell>
          <cell r="O312">
            <v>0</v>
          </cell>
          <cell r="P312">
            <v>0.28499999999999998</v>
          </cell>
          <cell r="Q312">
            <v>138</v>
          </cell>
          <cell r="R312">
            <v>0</v>
          </cell>
          <cell r="S312" t="str">
            <v>NA</v>
          </cell>
          <cell r="T312">
            <v>23.047499999999999</v>
          </cell>
          <cell r="U312">
            <v>138.285</v>
          </cell>
        </row>
        <row r="313">
          <cell r="B313" t="str">
            <v>FY(10)</v>
          </cell>
          <cell r="C313">
            <v>17</v>
          </cell>
          <cell r="D313">
            <v>0</v>
          </cell>
          <cell r="E313">
            <v>966</v>
          </cell>
          <cell r="F313">
            <v>299</v>
          </cell>
          <cell r="G313">
            <v>4.673</v>
          </cell>
          <cell r="H313">
            <v>0</v>
          </cell>
          <cell r="I313">
            <v>395.02699999999999</v>
          </cell>
          <cell r="J313">
            <v>240.24285714285716</v>
          </cell>
          <cell r="K313">
            <v>1681.7</v>
          </cell>
          <cell r="M313">
            <v>0</v>
          </cell>
          <cell r="N313">
            <v>0</v>
          </cell>
          <cell r="O313">
            <v>75</v>
          </cell>
          <cell r="P313">
            <v>8.0039999999999996</v>
          </cell>
          <cell r="Q313">
            <v>50</v>
          </cell>
          <cell r="R313">
            <v>0</v>
          </cell>
          <cell r="S313" t="str">
            <v>NA</v>
          </cell>
          <cell r="T313">
            <v>22.167333333333335</v>
          </cell>
          <cell r="U313">
            <v>133.00400000000002</v>
          </cell>
        </row>
        <row r="314">
          <cell r="B314" t="str">
            <v>FY(9)</v>
          </cell>
          <cell r="C314">
            <v>0.38333191174535419</v>
          </cell>
          <cell r="D314">
            <v>-1.3142857142857143</v>
          </cell>
          <cell r="E314">
            <v>0.11804933673070162</v>
          </cell>
          <cell r="F314">
            <v>-0.36416773403833624</v>
          </cell>
          <cell r="G314">
            <v>4.8470000000000004</v>
          </cell>
          <cell r="H314">
            <v>-0.44955298404739652</v>
          </cell>
          <cell r="I314">
            <v>-0.43883491605853564</v>
          </cell>
          <cell r="J314">
            <v>-0.34424334999232115</v>
          </cell>
          <cell r="K314">
            <v>799.84699999999998</v>
          </cell>
          <cell r="M314">
            <v>0.10474862147233988</v>
          </cell>
          <cell r="N314">
            <v>0</v>
          </cell>
          <cell r="O314">
            <v>1.8165106195665359E-2</v>
          </cell>
          <cell r="P314">
            <v>0.70399999999999996</v>
          </cell>
          <cell r="Q314">
            <v>0</v>
          </cell>
          <cell r="R314">
            <v>-3.3205992332745793E-2</v>
          </cell>
          <cell r="S314">
            <v>-0.41964642004471842</v>
          </cell>
          <cell r="T314">
            <v>-8.2484671177364743E-2</v>
          </cell>
          <cell r="U314">
            <v>50.704000000000001</v>
          </cell>
        </row>
        <row r="315">
          <cell r="B315" t="str">
            <v>FY(8)</v>
          </cell>
          <cell r="C315">
            <v>0.32341124893457951</v>
          </cell>
          <cell r="D315">
            <v>-2.2954545454545454</v>
          </cell>
          <cell r="E315">
            <v>-0.23747100765952955</v>
          </cell>
          <cell r="F315">
            <v>-0.50066060080717933</v>
          </cell>
          <cell r="G315">
            <v>4.8470000000000004</v>
          </cell>
          <cell r="H315">
            <v>6.0534456738616127E-2</v>
          </cell>
          <cell r="I315">
            <v>4.4168813353693048E-2</v>
          </cell>
          <cell r="J315">
            <v>-0.43424527248239436</v>
          </cell>
          <cell r="K315">
            <v>786.84699999999998</v>
          </cell>
          <cell r="M315">
            <v>5.832853298378593E-2</v>
          </cell>
          <cell r="N315">
            <v>0</v>
          </cell>
          <cell r="O315">
            <v>9.0181483792735495E-2</v>
          </cell>
          <cell r="P315">
            <v>0.50467806849125085</v>
          </cell>
          <cell r="Q315">
            <v>-1.0089158991143998</v>
          </cell>
          <cell r="R315">
            <v>-3.5106748651982933E-3</v>
          </cell>
          <cell r="S315">
            <v>0.41650191844039486</v>
          </cell>
          <cell r="T315">
            <v>9.5439049547615031E-3</v>
          </cell>
          <cell r="U315">
            <v>50</v>
          </cell>
        </row>
        <row r="316">
          <cell r="B316" t="str">
            <v>FY(7)</v>
          </cell>
          <cell r="C316">
            <v>0.29857794398182502</v>
          </cell>
          <cell r="D316">
            <v>0.64912280701754388</v>
          </cell>
          <cell r="E316">
            <v>6.7412153054826396E-2</v>
          </cell>
          <cell r="F316">
            <v>-0.20227964526215647</v>
          </cell>
          <cell r="G316">
            <v>4.673</v>
          </cell>
          <cell r="H316">
            <v>0.31251840188069724</v>
          </cell>
          <cell r="I316">
            <v>0.10728677326538727</v>
          </cell>
          <cell r="J316">
            <v>0.20543973898968723</v>
          </cell>
          <cell r="K316">
            <v>1681.7</v>
          </cell>
          <cell r="M316">
            <v>0.19098184907018156</v>
          </cell>
          <cell r="N316">
            <v>0</v>
          </cell>
          <cell r="O316">
            <v>-6.2339155241477595E-3</v>
          </cell>
          <cell r="P316">
            <v>9.3992643608273196E-2</v>
          </cell>
          <cell r="Q316">
            <v>-59.050181919874326</v>
          </cell>
          <cell r="R316">
            <v>0.24789361207114635</v>
          </cell>
          <cell r="S316">
            <v>0.64296231684330118</v>
          </cell>
          <cell r="T316">
            <v>-9.6467642356342616</v>
          </cell>
          <cell r="U316">
            <v>125.33499999999999</v>
          </cell>
        </row>
        <row r="317">
          <cell r="B317" t="str">
            <v>FY(6)</v>
          </cell>
          <cell r="C317">
            <v>-8.3100620005075121E-2</v>
          </cell>
          <cell r="D317">
            <v>0.27659574468085113</v>
          </cell>
          <cell r="E317">
            <v>8.2618698493727383E-2</v>
          </cell>
          <cell r="F317">
            <v>1.3822706979871873</v>
          </cell>
          <cell r="G317">
            <v>4.6859999999999999</v>
          </cell>
          <cell r="H317">
            <v>0.16926236630347291</v>
          </cell>
          <cell r="I317">
            <v>7.8776047681237138E-2</v>
          </cell>
          <cell r="J317">
            <v>0.3177371558569001</v>
          </cell>
          <cell r="K317">
            <v>1907.1309999999999</v>
          </cell>
          <cell r="M317">
            <v>6.2837441288863927E-2</v>
          </cell>
          <cell r="N317">
            <v>0.55094315434128438</v>
          </cell>
          <cell r="O317">
            <v>-0.15929751921077051</v>
          </cell>
          <cell r="P317">
            <v>0.53825298190107462</v>
          </cell>
          <cell r="Q317">
            <v>1.0410859377324253</v>
          </cell>
          <cell r="R317">
            <v>0.13904717119015597</v>
          </cell>
          <cell r="S317">
            <v>0.69315931207639814</v>
          </cell>
          <cell r="T317">
            <v>0.40943263990277595</v>
          </cell>
          <cell r="U317">
            <v>77.399000000000001</v>
          </cell>
        </row>
        <row r="318">
          <cell r="B318" t="str">
            <v>FY(5)</v>
          </cell>
          <cell r="C318">
            <v>0.20795980583943563</v>
          </cell>
          <cell r="D318">
            <v>0.8833333333333333</v>
          </cell>
          <cell r="E318">
            <v>0.19253228900861274</v>
          </cell>
          <cell r="F318">
            <v>0.56868930497266024</v>
          </cell>
          <cell r="G318">
            <v>-7.6223154680900018E-3</v>
          </cell>
          <cell r="H318">
            <v>-0.17913735551524679</v>
          </cell>
          <cell r="I318">
            <v>5.7374163051996829E-2</v>
          </cell>
          <cell r="J318">
            <v>0.2461613178889574</v>
          </cell>
          <cell r="K318">
            <v>1301.9349999999999</v>
          </cell>
          <cell r="M318">
            <v>0.2367570105561887</v>
          </cell>
          <cell r="N318">
            <v>0.63174032439753192</v>
          </cell>
          <cell r="O318">
            <v>1.5933845504816269</v>
          </cell>
          <cell r="P318">
            <v>0.73483141936535756</v>
          </cell>
          <cell r="Q318">
            <v>0.1606567497599205</v>
          </cell>
          <cell r="R318">
            <v>0.2689803737434957</v>
          </cell>
          <cell r="S318">
            <v>0.80746387215080495</v>
          </cell>
          <cell r="T318">
            <v>0.6334020429221322</v>
          </cell>
          <cell r="U318">
            <v>77.489999999999995</v>
          </cell>
        </row>
        <row r="319">
          <cell r="B319" t="str">
            <v>FY(4)</v>
          </cell>
          <cell r="C319">
            <v>0.18971698197619724</v>
          </cell>
          <cell r="D319">
            <v>0.60780520369841606</v>
          </cell>
          <cell r="E319">
            <v>0.13546350508465355</v>
          </cell>
          <cell r="F319">
            <v>0.43456343703759504</v>
          </cell>
          <cell r="G319">
            <v>0.65070370024488766</v>
          </cell>
          <cell r="H319">
            <v>0.13154857615551108</v>
          </cell>
          <cell r="I319">
            <v>3.2570545856928312E-2</v>
          </cell>
          <cell r="J319">
            <v>0.3117674214363127</v>
          </cell>
          <cell r="K319">
            <v>1063.2470000000001</v>
          </cell>
          <cell r="M319">
            <v>0.5668082158169403</v>
          </cell>
          <cell r="N319">
            <v>-1.1831248861474242E-2</v>
          </cell>
          <cell r="O319">
            <v>0.26676868534628784</v>
          </cell>
          <cell r="P319">
            <v>0.51040353388929227</v>
          </cell>
          <cell r="Q319">
            <v>-2.6140506076472336E-2</v>
          </cell>
          <cell r="R319">
            <v>-5.6799519587859892E-2</v>
          </cell>
          <cell r="S319">
            <v>0.41255503087039358</v>
          </cell>
          <cell r="T319">
            <v>0.23739488448530108</v>
          </cell>
          <cell r="U319">
            <v>58.003999999999998</v>
          </cell>
        </row>
        <row r="320">
          <cell r="B320" t="str">
            <v>FY(3)</v>
          </cell>
          <cell r="C320">
            <v>0.3630100673180261</v>
          </cell>
          <cell r="D320">
            <v>0.34403002287459361</v>
          </cell>
          <cell r="E320">
            <v>-0.17112431238754366</v>
          </cell>
          <cell r="F320">
            <v>0.28586835784741838</v>
          </cell>
          <cell r="G320">
            <v>-1.2681849996875048</v>
          </cell>
          <cell r="H320">
            <v>0.24909262030853796</v>
          </cell>
          <cell r="I320">
            <v>0.2897207009293119</v>
          </cell>
          <cell r="J320">
            <v>1.3201779600405647E-2</v>
          </cell>
          <cell r="K320">
            <v>1063.2470000000001</v>
          </cell>
          <cell r="M320">
            <v>0.21755366343914351</v>
          </cell>
          <cell r="N320">
            <v>0.25016715437938464</v>
          </cell>
          <cell r="O320">
            <v>0.34567896188602032</v>
          </cell>
          <cell r="P320">
            <v>0.38434387096817968</v>
          </cell>
          <cell r="Q320">
            <v>-0.21893432280382974</v>
          </cell>
          <cell r="R320">
            <v>0.26218616731765776</v>
          </cell>
          <cell r="S320">
            <v>-0.15341151411967069</v>
          </cell>
          <cell r="T320">
            <v>0.15536914015241221</v>
          </cell>
          <cell r="U320">
            <v>58.003999999999998</v>
          </cell>
        </row>
        <row r="321">
          <cell r="B321" t="str">
            <v>FY(2)</v>
          </cell>
          <cell r="C321">
            <v>2.4169184290030232E-2</v>
          </cell>
          <cell r="D321">
            <v>-2.427212697002834E-2</v>
          </cell>
          <cell r="E321">
            <v>2.51115686579928E-2</v>
          </cell>
          <cell r="F321">
            <v>9.3024838226714035E-2</v>
          </cell>
          <cell r="G321">
            <v>0.87950817896842159</v>
          </cell>
          <cell r="H321">
            <v>0.11863413420786695</v>
          </cell>
          <cell r="I321">
            <v>0.18019228567255752</v>
          </cell>
          <cell r="J321">
            <v>0.18519543757907925</v>
          </cell>
          <cell r="M321">
            <v>0.12375345586459363</v>
          </cell>
          <cell r="N321">
            <v>-0.10727399095711287</v>
          </cell>
          <cell r="O321">
            <v>7.0674788078129103E-2</v>
          </cell>
          <cell r="P321">
            <v>0.41229509899202532</v>
          </cell>
          <cell r="Q321">
            <v>0.20077069525719637</v>
          </cell>
          <cell r="R321">
            <v>-0.27637687540793165</v>
          </cell>
          <cell r="S321">
            <v>0.39017288406950468</v>
          </cell>
          <cell r="T321">
            <v>0.11628800798520066</v>
          </cell>
        </row>
        <row r="322">
          <cell r="A322" t="str">
            <v>mstag:longTermDebt</v>
          </cell>
          <cell r="B322" t="str">
            <v>FY(1)</v>
          </cell>
          <cell r="C322">
            <v>-0.14749262536873153</v>
          </cell>
          <cell r="D322">
            <v>-0.47032283312877121</v>
          </cell>
          <cell r="E322">
            <v>-0.39262665197749624</v>
          </cell>
          <cell r="F322">
            <v>-0.3540721404385847</v>
          </cell>
          <cell r="G322">
            <v>-2.9214051685363369</v>
          </cell>
          <cell r="H322">
            <v>0.21173725065084814</v>
          </cell>
          <cell r="I322">
            <v>3.6424864736075424E-2</v>
          </cell>
          <cell r="J322">
            <v>-0.57682247200899972</v>
          </cell>
          <cell r="M322">
            <v>-0.34496927185056092</v>
          </cell>
          <cell r="N322">
            <v>0.32005968945470187</v>
          </cell>
          <cell r="O322">
            <v>-0.45647280427474968</v>
          </cell>
          <cell r="P322">
            <v>0.22102147339295364</v>
          </cell>
          <cell r="Q322">
            <v>0.20208806602495155</v>
          </cell>
          <cell r="R322">
            <v>-0.13673660371004148</v>
          </cell>
          <cell r="S322">
            <v>0.29770707155636522</v>
          </cell>
          <cell r="T322">
            <v>1.4671088656231457E-2</v>
          </cell>
        </row>
        <row r="323">
          <cell r="B323" t="str">
            <v>FY0</v>
          </cell>
          <cell r="C323">
            <v>0.11594513260372308</v>
          </cell>
          <cell r="D323">
            <v>-0.57533524739751352</v>
          </cell>
          <cell r="E323">
            <v>5.4566031260209424E-2</v>
          </cell>
          <cell r="F323">
            <v>8.1185252383314088E-2</v>
          </cell>
          <cell r="G323">
            <v>-0.59016233036436283</v>
          </cell>
          <cell r="H323">
            <v>0.53481878819347384</v>
          </cell>
          <cell r="I323">
            <v>0.42082221308070245</v>
          </cell>
          <cell r="J323">
            <v>5.9771199656495034E-3</v>
          </cell>
          <cell r="K323">
            <v>13906.364000000001</v>
          </cell>
          <cell r="M323">
            <v>-0.69606783417787799</v>
          </cell>
          <cell r="N323">
            <v>0.55335775948253563</v>
          </cell>
          <cell r="O323">
            <v>-0.22926554040886304</v>
          </cell>
          <cell r="P323">
            <v>-7.2362195556296083E-2</v>
          </cell>
          <cell r="Q323">
            <v>0.17071105982016865</v>
          </cell>
          <cell r="R323">
            <v>0.18351823316861648</v>
          </cell>
          <cell r="S323">
            <v>0.10059915201046898</v>
          </cell>
          <cell r="T323">
            <v>1.4986620483932336E-3</v>
          </cell>
          <cell r="U323">
            <v>1855.865</v>
          </cell>
        </row>
        <row r="324">
          <cell r="B324" t="str">
            <v>FY1</v>
          </cell>
          <cell r="C324">
            <v>0.19066760933238913</v>
          </cell>
          <cell r="D324">
            <v>0.46231497079181483</v>
          </cell>
          <cell r="E324">
            <v>0.34425938728520356</v>
          </cell>
          <cell r="F324">
            <v>0.32788713801956981</v>
          </cell>
          <cell r="G324">
            <v>-0.70033830326838997</v>
          </cell>
          <cell r="H324">
            <v>0.21161707516698169</v>
          </cell>
          <cell r="I324">
            <v>0.21112286793334967</v>
          </cell>
          <cell r="J324">
            <v>0.1496472493229884</v>
          </cell>
          <cell r="K324">
            <v>18116.307000000001</v>
          </cell>
          <cell r="M324">
            <v>0.64543028516687695</v>
          </cell>
          <cell r="N324">
            <v>0.19334666855419669</v>
          </cell>
          <cell r="O324">
            <v>0.52413702745666524</v>
          </cell>
          <cell r="P324">
            <v>0.14010587635962057</v>
          </cell>
          <cell r="Q324">
            <v>4.9004142832737463E-2</v>
          </cell>
          <cell r="R324">
            <v>0.36730132131152016</v>
          </cell>
          <cell r="S324">
            <v>0.2610028069870578</v>
          </cell>
          <cell r="T324">
            <v>0.31147544695266788</v>
          </cell>
          <cell r="U324">
            <v>2957.2190000000001</v>
          </cell>
        </row>
        <row r="325">
          <cell r="B325" t="str">
            <v>FY2</v>
          </cell>
          <cell r="C325">
            <v>0.19085410475157039</v>
          </cell>
          <cell r="D325">
            <v>0.23954515132650411</v>
          </cell>
          <cell r="E325">
            <v>0.13763308332158775</v>
          </cell>
          <cell r="F325">
            <v>0.1258325745872062</v>
          </cell>
          <cell r="G325">
            <v>-2.353377020856251</v>
          </cell>
          <cell r="H325">
            <v>0.13583788032694577</v>
          </cell>
          <cell r="I325">
            <v>0.12767674498703308</v>
          </cell>
          <cell r="J325">
            <v>-0.19942821165077196</v>
          </cell>
          <cell r="K325">
            <v>17655.983</v>
          </cell>
          <cell r="M325">
            <v>0.37558248316354792</v>
          </cell>
          <cell r="N325">
            <v>9.221472123410468E-2</v>
          </cell>
          <cell r="O325">
            <v>0.21796634946775573</v>
          </cell>
          <cell r="P325">
            <v>0.11247893929962682</v>
          </cell>
          <cell r="Q325">
            <v>6.8354274428650053E-2</v>
          </cell>
          <cell r="R325">
            <v>0.17255355528304417</v>
          </cell>
          <cell r="S325">
            <v>0.20146384145623419</v>
          </cell>
          <cell r="T325">
            <v>0.17723059490470908</v>
          </cell>
          <cell r="U325">
            <v>3022.1860000000001</v>
          </cell>
        </row>
        <row r="326">
          <cell r="B326" t="str">
            <v>FY1</v>
          </cell>
          <cell r="C326">
            <v>2054</v>
          </cell>
          <cell r="D326">
            <v>2999</v>
          </cell>
          <cell r="E326">
            <v>8618.2000000000007</v>
          </cell>
          <cell r="F326">
            <v>2259</v>
          </cell>
          <cell r="G326">
            <v>499.60599999999999</v>
          </cell>
          <cell r="H326">
            <v>150</v>
          </cell>
          <cell r="I326">
            <v>774.7</v>
          </cell>
          <cell r="J326">
            <v>2479.2151428571428</v>
          </cell>
          <cell r="K326">
            <v>17354.506000000001</v>
          </cell>
          <cell r="M326">
            <v>50.582000000000001</v>
          </cell>
          <cell r="N326" t="str">
            <v>NA</v>
          </cell>
          <cell r="O326">
            <v>0</v>
          </cell>
          <cell r="P326">
            <v>24.428999999999998</v>
          </cell>
          <cell r="Q326">
            <v>0</v>
          </cell>
          <cell r="R326">
            <v>2880.2820000000002</v>
          </cell>
          <cell r="S326">
            <v>0</v>
          </cell>
          <cell r="T326">
            <v>492.54883333333333</v>
          </cell>
          <cell r="U326">
            <v>2955.2930000000001</v>
          </cell>
        </row>
        <row r="327">
          <cell r="B327" t="str">
            <v>Net Income Margin</v>
          </cell>
          <cell r="C327">
            <v>2037</v>
          </cell>
          <cell r="D327">
            <v>2597</v>
          </cell>
          <cell r="E327">
            <v>8355.4</v>
          </cell>
          <cell r="F327">
            <v>1909</v>
          </cell>
          <cell r="G327">
            <v>476.60599999999999</v>
          </cell>
          <cell r="H327">
            <v>150</v>
          </cell>
          <cell r="I327">
            <v>774.7</v>
          </cell>
          <cell r="J327">
            <v>2328.5294285714285</v>
          </cell>
          <cell r="K327">
            <v>16299.706</v>
          </cell>
          <cell r="M327">
            <v>50.582000000000001</v>
          </cell>
          <cell r="N327" t="str">
            <v>NA</v>
          </cell>
          <cell r="O327">
            <v>0</v>
          </cell>
          <cell r="P327">
            <v>25.132999999999999</v>
          </cell>
          <cell r="Q327">
            <v>0</v>
          </cell>
          <cell r="R327">
            <v>2878.2820000000002</v>
          </cell>
          <cell r="S327">
            <v>0</v>
          </cell>
          <cell r="T327">
            <v>492.33283333333338</v>
          </cell>
          <cell r="U327">
            <v>2953.9970000000003</v>
          </cell>
        </row>
        <row r="328">
          <cell r="B328" t="str">
            <v>FY(10)</v>
          </cell>
          <cell r="C328">
            <v>5.7935299255208496E-2</v>
          </cell>
          <cell r="D328">
            <v>1.2101187663421857E-2</v>
          </cell>
          <cell r="E328">
            <v>5.1469212053153662E-2</v>
          </cell>
          <cell r="F328">
            <v>3.92874344532919E-2</v>
          </cell>
          <cell r="G328">
            <v>635.4</v>
          </cell>
          <cell r="H328">
            <v>6.4450923950777714E-2</v>
          </cell>
          <cell r="I328">
            <v>5.9897807329261712E-2</v>
          </cell>
          <cell r="J328">
            <v>4.752364411751922E-2</v>
          </cell>
          <cell r="K328">
            <v>3.4351025607138229E-2</v>
          </cell>
          <cell r="M328">
            <v>0.14512571081565068</v>
          </cell>
          <cell r="N328" t="str">
            <v>NA</v>
          </cell>
          <cell r="O328">
            <v>0.10895272706296327</v>
          </cell>
          <cell r="P328">
            <v>4.1358625076558596E-2</v>
          </cell>
          <cell r="Q328">
            <v>0</v>
          </cell>
          <cell r="R328">
            <v>4.572598812205611E-2</v>
          </cell>
          <cell r="S328">
            <v>6.7166942933268137E-2</v>
          </cell>
          <cell r="T328">
            <v>8.1665998802099363E-2</v>
          </cell>
          <cell r="U328">
            <v>2.9919546644090092E-2</v>
          </cell>
        </row>
        <row r="329">
          <cell r="B329" t="str">
            <v>FY(9)</v>
          </cell>
          <cell r="C329">
            <v>5.9931731738239978E-2</v>
          </cell>
          <cell r="D329">
            <v>-2.7808829994347799E-3</v>
          </cell>
          <cell r="E329">
            <v>5.4153143406659457E-2</v>
          </cell>
          <cell r="F329">
            <v>2.4378058788428116E-2</v>
          </cell>
          <cell r="G329">
            <v>631.94000000000005</v>
          </cell>
          <cell r="H329">
            <v>5.5476499230908083E-2</v>
          </cell>
          <cell r="I329">
            <v>5.6171381456489332E-2</v>
          </cell>
          <cell r="J329">
            <v>4.1221655270215034E-2</v>
          </cell>
          <cell r="K329">
            <v>2.7663271784373999E-2</v>
          </cell>
          <cell r="M329">
            <v>0.12673924777230844</v>
          </cell>
          <cell r="N329" t="str">
            <v>NA</v>
          </cell>
          <cell r="O329">
            <v>8.6118055201265253E-2</v>
          </cell>
          <cell r="P329">
            <v>7.0464480874316948E-2</v>
          </cell>
          <cell r="Q329">
            <v>6.4169722482663394E-2</v>
          </cell>
          <cell r="R329">
            <v>4.5425209251101321E-2</v>
          </cell>
          <cell r="S329">
            <v>3.5536157490019732E-2</v>
          </cell>
          <cell r="T329">
            <v>7.1408812178612516E-2</v>
          </cell>
          <cell r="U329">
            <v>6.0567113597635745E-2</v>
          </cell>
        </row>
        <row r="330">
          <cell r="B330" t="str">
            <v>FY(8)</v>
          </cell>
          <cell r="C330">
            <v>6.5697991332478528E-2</v>
          </cell>
          <cell r="D330">
            <v>1.0257847533632286E-2</v>
          </cell>
          <cell r="E330">
            <v>4.7260057016154579E-2</v>
          </cell>
          <cell r="F330">
            <v>2.2130834751771789E-2</v>
          </cell>
          <cell r="G330">
            <v>598.07899999999995</v>
          </cell>
          <cell r="H330">
            <v>5.1913616706109562E-2</v>
          </cell>
          <cell r="I330">
            <v>5.0461957318509172E-2</v>
          </cell>
          <cell r="J330">
            <v>4.1287050776442652E-2</v>
          </cell>
          <cell r="K330">
            <v>3.7077995485691816E-2</v>
          </cell>
          <cell r="M330">
            <v>0.1220644274511614</v>
          </cell>
          <cell r="N330" t="str">
            <v>NA</v>
          </cell>
          <cell r="O330">
            <v>7.9973380489094179E-2</v>
          </cell>
          <cell r="P330">
            <v>0.11757451818595117</v>
          </cell>
          <cell r="Q330">
            <v>-5.6066372070281121E-4</v>
          </cell>
          <cell r="R330">
            <v>4.8174640864300129E-2</v>
          </cell>
          <cell r="S330">
            <v>4.3005175407928746E-2</v>
          </cell>
          <cell r="T330">
            <v>6.8371913112955471E-2</v>
          </cell>
          <cell r="U330">
            <v>2.8622122577042136E-2</v>
          </cell>
        </row>
        <row r="331">
          <cell r="B331" t="str">
            <v>FY(7)</v>
          </cell>
          <cell r="C331">
            <v>6.9676535398502257E-2</v>
          </cell>
          <cell r="D331">
            <v>1.6279337321675105E-2</v>
          </cell>
          <cell r="E331">
            <v>4.5340697450388545E-2</v>
          </cell>
          <cell r="F331">
            <v>1.7888503556807996E-2</v>
          </cell>
          <cell r="G331">
            <v>514.60599999999999</v>
          </cell>
          <cell r="H331">
            <v>5.6657101861073485E-2</v>
          </cell>
          <cell r="I331">
            <v>4.8274602049693326E-2</v>
          </cell>
          <cell r="J331">
            <v>4.2352796273023442E-2</v>
          </cell>
          <cell r="K331">
            <v>3.9495927902977658E-2</v>
          </cell>
          <cell r="M331">
            <v>0.12204489781338887</v>
          </cell>
          <cell r="N331">
            <v>6.1200245414809118E-2</v>
          </cell>
          <cell r="O331">
            <v>7.2053180111980211E-2</v>
          </cell>
          <cell r="P331">
            <v>0.10977203224909647</v>
          </cell>
          <cell r="Q331">
            <v>3.3048788124032377E-2</v>
          </cell>
          <cell r="R331">
            <v>6.1270950868468239E-2</v>
          </cell>
          <cell r="S331">
            <v>6.4843857184083406E-2</v>
          </cell>
          <cell r="T331">
            <v>7.489056453797982E-2</v>
          </cell>
          <cell r="U331">
            <v>5.1851808847542182E-2</v>
          </cell>
        </row>
        <row r="332">
          <cell r="B332" t="str">
            <v>FY(6)</v>
          </cell>
          <cell r="C332">
            <v>5.6492578262754653E-2</v>
          </cell>
          <cell r="D332">
            <v>2.0556158282418774E-2</v>
          </cell>
          <cell r="E332">
            <v>4.632753698416818E-2</v>
          </cell>
          <cell r="F332">
            <v>3.7665548279526076E-2</v>
          </cell>
          <cell r="G332">
            <v>-2.8624187351994703E-2</v>
          </cell>
          <cell r="H332">
            <v>5.8045958981100515E-2</v>
          </cell>
          <cell r="I332">
            <v>4.5724402379422838E-2</v>
          </cell>
          <cell r="J332">
            <v>3.3741142259628043E-2</v>
          </cell>
          <cell r="K332">
            <v>3.842803169640515E-2</v>
          </cell>
          <cell r="M332">
            <v>0.11993729978001054</v>
          </cell>
          <cell r="N332">
            <v>7.382822493291312E-2</v>
          </cell>
          <cell r="O332">
            <v>5.7897391454582448E-2</v>
          </cell>
          <cell r="P332">
            <v>0.13210514612383772</v>
          </cell>
          <cell r="Q332">
            <v>6.5769812615373971E-2</v>
          </cell>
          <cell r="R332">
            <v>6.5329277355102813E-2</v>
          </cell>
          <cell r="S332">
            <v>8.8219257022290054E-2</v>
          </cell>
          <cell r="T332">
            <v>8.6155201326301528E-2</v>
          </cell>
          <cell r="U332">
            <v>7.0977314468242264E-2</v>
          </cell>
        </row>
        <row r="333">
          <cell r="B333" t="str">
            <v>FY(5)</v>
          </cell>
          <cell r="C333">
            <v>6.0125709402001584E-2</v>
          </cell>
          <cell r="D333">
            <v>3.632681255526083E-2</v>
          </cell>
          <cell r="E333">
            <v>4.9857162460831578E-2</v>
          </cell>
          <cell r="F333">
            <v>5.5174900121476633E-2</v>
          </cell>
          <cell r="G333">
            <v>-2.5006182052030538E-2</v>
          </cell>
          <cell r="H333">
            <v>4.3801990099033253E-2</v>
          </cell>
          <cell r="I333">
            <v>4.2174051494208296E-2</v>
          </cell>
          <cell r="J333">
            <v>3.749349201154023E-2</v>
          </cell>
          <cell r="K333">
            <v>4.4039051222133092E-2</v>
          </cell>
          <cell r="M333">
            <v>0.11970467536853013</v>
          </cell>
          <cell r="N333">
            <v>9.0188672200719341E-2</v>
          </cell>
          <cell r="O333">
            <v>0.11919365992980166</v>
          </cell>
          <cell r="P333">
            <v>0.17310304173543978</v>
          </cell>
          <cell r="Q333">
            <v>7.4637043284143362E-2</v>
          </cell>
          <cell r="R333">
            <v>7.1667691292550684E-2</v>
          </cell>
          <cell r="S333">
            <v>0.10931923890063426</v>
          </cell>
          <cell r="T333">
            <v>0.10825914610168845</v>
          </cell>
          <cell r="U333">
            <v>8.4316571263007345E-2</v>
          </cell>
        </row>
        <row r="334">
          <cell r="B334" t="str">
            <v>FY(4)</v>
          </cell>
          <cell r="C334">
            <v>6.2051153250896565E-2</v>
          </cell>
          <cell r="D334">
            <v>4.9413321697222672E-2</v>
          </cell>
          <cell r="E334">
            <v>4.8640224243403758E-2</v>
          </cell>
          <cell r="F334">
            <v>7.137225303541328E-2</v>
          </cell>
          <cell r="G334">
            <v>-4.0778442514653214E-2</v>
          </cell>
          <cell r="H334">
            <v>4.0377178900683007E-2</v>
          </cell>
          <cell r="I334">
            <v>4.0244189892129661E-2</v>
          </cell>
          <cell r="J334">
            <v>3.8759982643585107E-2</v>
          </cell>
          <cell r="K334">
            <v>4.8018534510282804E-2</v>
          </cell>
          <cell r="M334">
            <v>0.1313483666430168</v>
          </cell>
          <cell r="N334">
            <v>6.9709145287861388E-2</v>
          </cell>
          <cell r="O334">
            <v>0.12649259548605879</v>
          </cell>
          <cell r="P334">
            <v>0.20381799644488358</v>
          </cell>
          <cell r="Q334">
            <v>6.7177698424203958E-2</v>
          </cell>
          <cell r="R334">
            <v>5.6552665598014376E-2</v>
          </cell>
          <cell r="S334">
            <v>0.11888212893797678</v>
          </cell>
          <cell r="T334">
            <v>0.11056865668885939</v>
          </cell>
          <cell r="U334">
            <v>8.1511609039378055E-2</v>
          </cell>
        </row>
        <row r="335">
          <cell r="B335" t="str">
            <v>FY(3)</v>
          </cell>
          <cell r="C335">
            <v>7.1130982682978017E-2</v>
          </cell>
          <cell r="D335">
            <v>5.6976083309283464E-2</v>
          </cell>
          <cell r="E335">
            <v>4.2180442916371901E-2</v>
          </cell>
          <cell r="F335">
            <v>7.9199032602248087E-2</v>
          </cell>
          <cell r="G335">
            <v>1.0150408234000237E-2</v>
          </cell>
          <cell r="H335">
            <v>4.3379693045684092E-2</v>
          </cell>
          <cell r="I335">
            <v>4.5064699151949855E-2</v>
          </cell>
          <cell r="J335">
            <v>4.9725905991787958E-2</v>
          </cell>
          <cell r="K335">
            <v>5.275772799682768E-2</v>
          </cell>
          <cell r="M335">
            <v>0.1359622626801974</v>
          </cell>
          <cell r="N335">
            <v>7.1375197423167711E-2</v>
          </cell>
          <cell r="O335">
            <v>0.13861929302403478</v>
          </cell>
          <cell r="P335">
            <v>0.22800499610494254</v>
          </cell>
          <cell r="Q335">
            <v>4.9045625094020787E-2</v>
          </cell>
          <cell r="R335">
            <v>6.3262207407757273E-2</v>
          </cell>
          <cell r="S335">
            <v>8.8923400263081182E-2</v>
          </cell>
          <cell r="T335">
            <v>0.11074185457102881</v>
          </cell>
          <cell r="U335">
            <v>7.9358667406064287E-2</v>
          </cell>
        </row>
        <row r="336">
          <cell r="B336" t="str">
            <v>FY(2)</v>
          </cell>
          <cell r="C336">
            <v>6.5790988059755848E-2</v>
          </cell>
          <cell r="D336">
            <v>5.4025667478813932E-2</v>
          </cell>
          <cell r="E336">
            <v>3.6820980296638731E-2</v>
          </cell>
          <cell r="F336">
            <v>7.8618104096891933E-2</v>
          </cell>
          <cell r="G336">
            <v>1.9412382865364255E-2</v>
          </cell>
          <cell r="H336">
            <v>4.3688993796370736E-2</v>
          </cell>
          <cell r="I336">
            <v>4.9219705344096379E-2</v>
          </cell>
          <cell r="J336">
            <v>4.965383170541883E-2</v>
          </cell>
          <cell r="K336">
            <v>5.0949705676878843E-2</v>
          </cell>
          <cell r="M336">
            <v>0.13491173233403322</v>
          </cell>
          <cell r="N336">
            <v>7.9189203016960127E-2</v>
          </cell>
          <cell r="O336">
            <v>0.13092116007657215</v>
          </cell>
          <cell r="P336">
            <v>0.24365156772018359</v>
          </cell>
          <cell r="Q336">
            <v>5.6346546055297084E-2</v>
          </cell>
          <cell r="R336">
            <v>4.5750785423069804E-2</v>
          </cell>
          <cell r="S336">
            <v>0.10116573059790784</v>
          </cell>
          <cell r="T336">
            <v>0.11313381788914624</v>
          </cell>
          <cell r="U336">
            <v>8.2573996153070497E-2</v>
          </cell>
          <cell r="W336">
            <v>1.9679625000000001</v>
          </cell>
        </row>
        <row r="337">
          <cell r="B337" t="str">
            <v>FY(1)</v>
          </cell>
          <cell r="C337">
            <v>5.4038343024852185E-2</v>
          </cell>
          <cell r="D337">
            <v>3.0429729959475491E-2</v>
          </cell>
          <cell r="E337">
            <v>2.1894584605495742E-2</v>
          </cell>
          <cell r="F337">
            <v>4.7587866361114457E-2</v>
          </cell>
          <cell r="G337">
            <v>-3.6140655347666757E-2</v>
          </cell>
          <cell r="H337">
            <v>4.6680270034300066E-2</v>
          </cell>
          <cell r="I337">
            <v>4.6520091019211077E-2</v>
          </cell>
          <cell r="J337">
            <v>3.0144318522397469E-2</v>
          </cell>
          <cell r="K337">
            <v>3.5872481012592806E-2</v>
          </cell>
          <cell r="M337">
            <v>9.1551386331804568E-2</v>
          </cell>
          <cell r="N337">
            <v>7.9246641927393405E-2</v>
          </cell>
          <cell r="O337">
            <v>6.8551537280469158E-2</v>
          </cell>
          <cell r="P337">
            <v>0.23327843026046943</v>
          </cell>
          <cell r="Q337">
            <v>6.6570287759878832E-2</v>
          </cell>
          <cell r="R337">
            <v>3.9079252979834236E-2</v>
          </cell>
          <cell r="S337">
            <v>0.10866785347140387</v>
          </cell>
          <cell r="T337">
            <v>9.8135055715893357E-2</v>
          </cell>
          <cell r="U337">
            <v>7.944859600547749E-2</v>
          </cell>
          <cell r="W337">
            <v>0.15743700000000002</v>
          </cell>
          <cell r="X337">
            <v>2.3615550000000005</v>
          </cell>
        </row>
        <row r="338">
          <cell r="B338" t="str">
            <v>FY0</v>
          </cell>
          <cell r="C338">
            <v>5.7641031612039359E-2</v>
          </cell>
          <cell r="D338">
            <v>1.421513831466786E-2</v>
          </cell>
          <cell r="E338">
            <v>2.4522116735493208E-2</v>
          </cell>
          <cell r="F338">
            <v>5.1804310971179462E-2</v>
          </cell>
          <cell r="G338">
            <v>-1.8178653818107862E-2</v>
          </cell>
          <cell r="H338">
            <v>6.1629158266883234E-2</v>
          </cell>
          <cell r="I338">
            <v>5.9815922798219512E-2</v>
          </cell>
          <cell r="J338">
            <v>3.5921289268624972E-2</v>
          </cell>
          <cell r="K338">
            <v>3.9884916628223133E-2</v>
          </cell>
          <cell r="M338">
            <v>3.27555798369542E-2</v>
          </cell>
          <cell r="N338">
            <v>0.10373009342609429</v>
          </cell>
          <cell r="O338">
            <v>5.3189401442807663E-2</v>
          </cell>
          <cell r="P338">
            <v>0.19258138449289702</v>
          </cell>
          <cell r="Q338">
            <v>7.7467070507853772E-2</v>
          </cell>
          <cell r="R338">
            <v>4.6935220024844376E-2</v>
          </cell>
          <cell r="S338">
            <v>0.1134747124983551</v>
          </cell>
          <cell r="T338">
            <v>8.8590494604258052E-2</v>
          </cell>
          <cell r="U338">
            <v>7.8382891355829779E-2</v>
          </cell>
          <cell r="X338">
            <v>1.5527607462809245</v>
          </cell>
        </row>
        <row r="339">
          <cell r="B339" t="str">
            <v>FY1</v>
          </cell>
          <cell r="C339">
            <v>6.4342059385477615E-2</v>
          </cell>
          <cell r="D339">
            <v>2.0888385410296403E-2</v>
          </cell>
          <cell r="E339">
            <v>3.1813816711141418E-2</v>
          </cell>
          <cell r="F339">
            <v>6.4289686967320903E-2</v>
          </cell>
          <cell r="G339">
            <v>-5.4109647929955719E-3</v>
          </cell>
          <cell r="H339">
            <v>6.6741586443900089E-2</v>
          </cell>
          <cell r="I339">
            <v>6.408709964679335E-2</v>
          </cell>
          <cell r="J339">
            <v>4.3821667110276318E-2</v>
          </cell>
          <cell r="K339">
            <v>4.7244121762731239E-2</v>
          </cell>
          <cell r="M339">
            <v>4.9138863306919793E-2</v>
          </cell>
          <cell r="N339">
            <v>0.10592424514367912</v>
          </cell>
          <cell r="O339">
            <v>8.3184043353480633E-2</v>
          </cell>
          <cell r="P339">
            <v>0.19906903395437484</v>
          </cell>
          <cell r="Q339">
            <v>7.7103041633192648E-2</v>
          </cell>
          <cell r="R339">
            <v>5.9931233269422908E-2</v>
          </cell>
          <cell r="S339">
            <v>0.12346769396327388</v>
          </cell>
          <cell r="T339">
            <v>9.9688307803477691E-2</v>
          </cell>
          <cell r="U339">
            <v>8.7030148021657691E-2</v>
          </cell>
          <cell r="X339">
            <v>1.1645705597106935</v>
          </cell>
        </row>
        <row r="340">
          <cell r="B340" t="str">
            <v>FY2</v>
          </cell>
          <cell r="C340">
            <v>6.8734804965646143E-2</v>
          </cell>
          <cell r="D340">
            <v>2.5340780647728017E-2</v>
          </cell>
          <cell r="E340">
            <v>3.5890992658464148E-2</v>
          </cell>
          <cell r="F340">
            <v>6.7563637252128633E-2</v>
          </cell>
          <cell r="G340">
            <v>7.3808253466599869E-3</v>
          </cell>
          <cell r="H340">
            <v>6.8719750522266018E-2</v>
          </cell>
          <cell r="I340">
            <v>6.5003459195586075E-2</v>
          </cell>
          <cell r="J340">
            <v>4.8376321512639861E-2</v>
          </cell>
          <cell r="K340">
            <v>5.1143216615833258E-2</v>
          </cell>
          <cell r="M340">
            <v>5.9744748069720834E-2</v>
          </cell>
          <cell r="N340">
            <v>9.3130464819987338E-2</v>
          </cell>
          <cell r="O340">
            <v>9.2577090363576101E-2</v>
          </cell>
          <cell r="P340">
            <v>0.19821527577355608</v>
          </cell>
          <cell r="Q340">
            <v>7.9543041633187123E-2</v>
          </cell>
          <cell r="R340">
            <v>6.6670753955747591E-2</v>
          </cell>
          <cell r="S340">
            <v>0.12966998036485877</v>
          </cell>
          <cell r="T340">
            <v>0.10279305071151912</v>
          </cell>
          <cell r="U340">
            <v>9.1460253226173738E-2</v>
          </cell>
        </row>
        <row r="341">
          <cell r="B341" t="str">
            <v>FQ(3)</v>
          </cell>
          <cell r="C341">
            <v>3.7658053875755909E-2</v>
          </cell>
          <cell r="D341">
            <v>6.4359422215875383E-3</v>
          </cell>
          <cell r="E341">
            <v>-1.3079438353529526E-2</v>
          </cell>
          <cell r="F341">
            <v>3.9859320046893319E-2</v>
          </cell>
          <cell r="G341">
            <v>-7.7165014663606243E-3</v>
          </cell>
          <cell r="H341">
            <v>5.4024032882497568E-2</v>
          </cell>
          <cell r="I341">
            <v>4.8048515648253277E-2</v>
          </cell>
          <cell r="J341">
            <v>2.3604274979299639E-2</v>
          </cell>
          <cell r="K341">
            <v>2.1702646496389557E-2</v>
          </cell>
          <cell r="M341">
            <v>-3.8397684007252429E-2</v>
          </cell>
          <cell r="N341">
            <v>8.1306491774993619E-2</v>
          </cell>
          <cell r="O341">
            <v>2.5622549019607841E-2</v>
          </cell>
          <cell r="P341">
            <v>0.16642588105235703</v>
          </cell>
          <cell r="Q341">
            <v>6.8755996162456035E-2</v>
          </cell>
          <cell r="R341">
            <v>1.507618953222079E-3</v>
          </cell>
          <cell r="S341">
            <v>8.0055405981351163E-2</v>
          </cell>
          <cell r="T341">
            <v>5.5039465562390762E-2</v>
          </cell>
          <cell r="U341">
            <v>5.2285350502880412E-2</v>
          </cell>
        </row>
        <row r="342">
          <cell r="B342" t="str">
            <v>FQ(2)</v>
          </cell>
          <cell r="C342">
            <v>6.0194429847609039E-2</v>
          </cell>
          <cell r="D342">
            <v>-1.5674735660074499E-4</v>
          </cell>
          <cell r="E342">
            <v>1.6266460108443067E-2</v>
          </cell>
          <cell r="F342">
            <v>4.8951048951048952E-2</v>
          </cell>
          <cell r="G342">
            <v>-9.774504358229362E-2</v>
          </cell>
          <cell r="H342">
            <v>5.846708989300229E-2</v>
          </cell>
          <cell r="I342">
            <v>5.5094145837581147E-2</v>
          </cell>
          <cell r="J342">
            <v>2.0153054814112874E-2</v>
          </cell>
          <cell r="K342">
            <v>3.2867866733868163E-2</v>
          </cell>
          <cell r="M342">
            <v>1.08119318101569E-2</v>
          </cell>
          <cell r="N342">
            <v>8.6002825482318662E-2</v>
          </cell>
          <cell r="O342">
            <v>4.3449169398840623E-2</v>
          </cell>
          <cell r="P342">
            <v>0.17520675183607973</v>
          </cell>
          <cell r="Q342">
            <v>7.0261941448382131E-2</v>
          </cell>
          <cell r="R342">
            <v>2.9160315686075262E-2</v>
          </cell>
          <cell r="S342">
            <v>0.10688665710186514</v>
          </cell>
          <cell r="T342">
            <v>7.4539941823388342E-2</v>
          </cell>
          <cell r="U342">
            <v>6.6054083642394706E-2</v>
          </cell>
        </row>
        <row r="343">
          <cell r="B343" t="str">
            <v>FQ(1)</v>
          </cell>
          <cell r="C343">
            <v>4.7642557393236237E-2</v>
          </cell>
          <cell r="D343">
            <v>6.4587210599395695E-3</v>
          </cell>
          <cell r="E343">
            <v>-2.2740193291642978E-3</v>
          </cell>
          <cell r="F343">
            <v>4.4432548179871523E-2</v>
          </cell>
          <cell r="G343">
            <v>2.9864196151236392E-3</v>
          </cell>
          <cell r="H343">
            <v>6.024749174234393E-2</v>
          </cell>
          <cell r="I343">
            <v>6.6311264215112978E-2</v>
          </cell>
          <cell r="J343">
            <v>3.2257854696637653E-2</v>
          </cell>
          <cell r="K343">
            <v>3.2428905596618297E-2</v>
          </cell>
          <cell r="M343">
            <v>4.0631086768459994E-2</v>
          </cell>
          <cell r="N343">
            <v>0.11029378097274223</v>
          </cell>
          <cell r="O343">
            <v>5.9417553894590108E-2</v>
          </cell>
          <cell r="P343">
            <v>0.18494898461724343</v>
          </cell>
          <cell r="Q343">
            <v>8.5539147394817494E-2</v>
          </cell>
          <cell r="R343">
            <v>3.4316300186323051E-3</v>
          </cell>
          <cell r="S343">
            <v>0.12332872109112474</v>
          </cell>
          <cell r="T343">
            <v>8.67987006796586E-2</v>
          </cell>
          <cell r="U343">
            <v>7.5145127121260702E-2</v>
          </cell>
        </row>
        <row r="344">
          <cell r="B344" t="str">
            <v>Last Reported Q</v>
          </cell>
          <cell r="C344">
            <v>5.7641031612039359E-2</v>
          </cell>
          <cell r="D344">
            <v>1.421513831466786E-2</v>
          </cell>
          <cell r="E344">
            <v>2.4522116735493208E-2</v>
          </cell>
          <cell r="F344">
            <v>5.1804310971179462E-2</v>
          </cell>
          <cell r="G344">
            <v>-1.8178653818107862E-2</v>
          </cell>
          <cell r="H344">
            <v>6.1629158266883234E-2</v>
          </cell>
          <cell r="I344">
            <v>5.9815922798219512E-2</v>
          </cell>
          <cell r="J344">
            <v>3.5921289268624972E-2</v>
          </cell>
          <cell r="K344">
            <v>3.9884916628223133E-2</v>
          </cell>
          <cell r="M344">
            <v>3.27555798369542E-2</v>
          </cell>
          <cell r="N344">
            <v>0.10373009342609429</v>
          </cell>
          <cell r="O344">
            <v>5.3189401442807663E-2</v>
          </cell>
          <cell r="P344">
            <v>0.22624306928136484</v>
          </cell>
          <cell r="Q344">
            <v>7.7467070507853772E-2</v>
          </cell>
          <cell r="R344">
            <v>4.6935220024844376E-2</v>
          </cell>
          <cell r="S344">
            <v>0.1134747124983551</v>
          </cell>
          <cell r="T344">
            <v>9.3399306716896321E-2</v>
          </cell>
          <cell r="U344">
            <v>7.2160627776563305E-2</v>
          </cell>
        </row>
        <row r="345">
          <cell r="B345" t="str">
            <v>LTM</v>
          </cell>
          <cell r="C345">
            <v>5.4031808035714286E-2</v>
          </cell>
          <cell r="D345">
            <v>1.0179753652108822E-2</v>
          </cell>
          <cell r="E345">
            <v>1.4822765723632088E-2</v>
          </cell>
          <cell r="F345">
            <v>4.8923231022393932E-2</v>
          </cell>
          <cell r="G345">
            <v>-2.3770411389612774E-2</v>
          </cell>
          <cell r="H345">
            <v>5.9944770133995101E-2</v>
          </cell>
          <cell r="I345">
            <v>5.8672951304775935E-2</v>
          </cell>
          <cell r="J345">
            <v>3.1829266926143913E-2</v>
          </cell>
          <cell r="K345">
            <v>3.5521845921950616E-2</v>
          </cell>
          <cell r="M345">
            <v>2.2420360318365685E-2</v>
          </cell>
          <cell r="N345">
            <v>0.10005337542877304</v>
          </cell>
          <cell r="O345">
            <v>4.9473895194281789E-2</v>
          </cell>
          <cell r="P345">
            <v>0.19173565581430119</v>
          </cell>
          <cell r="Q345">
            <v>7.6570908187763881E-2</v>
          </cell>
          <cell r="R345">
            <v>3.3385714485891907E-2</v>
          </cell>
          <cell r="S345">
            <v>0.11015999637374407</v>
          </cell>
          <cell r="T345">
            <v>8.3399986543303078E-2</v>
          </cell>
          <cell r="U345">
            <v>6.9161187079676278E-2</v>
          </cell>
        </row>
        <row r="346">
          <cell r="B346" t="str">
            <v>Unadjusted Net Debt</v>
          </cell>
        </row>
        <row r="347">
          <cell r="B347" t="str">
            <v>FY(2)</v>
          </cell>
          <cell r="C347">
            <v>438.44063685600293</v>
          </cell>
          <cell r="D347">
            <v>640.86940520445978</v>
          </cell>
          <cell r="E347">
            <v>7286.125</v>
          </cell>
          <cell r="F347">
            <v>228.000703241682</v>
          </cell>
          <cell r="G347">
            <v>408.79410000000001</v>
          </cell>
          <cell r="H347">
            <v>-222.63499999999999</v>
          </cell>
          <cell r="I347">
            <v>-69.103843504782958</v>
          </cell>
          <cell r="J347">
            <v>1244.3558573996229</v>
          </cell>
          <cell r="K347">
            <v>8710.4910017973598</v>
          </cell>
          <cell r="M347">
            <v>-648.52</v>
          </cell>
          <cell r="N347">
            <v>-111.926</v>
          </cell>
          <cell r="O347">
            <v>-619.93899999999906</v>
          </cell>
          <cell r="P347">
            <v>-695.80499999999995</v>
          </cell>
          <cell r="Q347">
            <v>-1387.99470245564</v>
          </cell>
          <cell r="R347">
            <v>664.67723789704996</v>
          </cell>
          <cell r="S347">
            <v>-199.67</v>
          </cell>
          <cell r="T347">
            <v>-428.45392350836988</v>
          </cell>
          <cell r="U347">
            <v>-2999.1774645585892</v>
          </cell>
        </row>
        <row r="348">
          <cell r="A348" t="str">
            <v>mscalc:totalCashIncludingShorttermInvestmentsForCac</v>
          </cell>
          <cell r="B348" t="str">
            <v>Cash &amp; ST Inv. (Unadjusted Cash on Hand)</v>
          </cell>
          <cell r="C348">
            <v>1400.9176368560052</v>
          </cell>
          <cell r="D348">
            <v>1175.8694052044598</v>
          </cell>
          <cell r="E348">
            <v>9170.1249999999964</v>
          </cell>
          <cell r="F348">
            <v>2139.5977032416822</v>
          </cell>
          <cell r="G348">
            <v>471.42610004233597</v>
          </cell>
          <cell r="H348">
            <v>-113.678</v>
          </cell>
          <cell r="I348">
            <v>102.38306178916901</v>
          </cell>
          <cell r="J348">
            <v>2049.5201295905213</v>
          </cell>
          <cell r="K348">
            <v>14346.640907133649</v>
          </cell>
          <cell r="M348">
            <v>-648.52</v>
          </cell>
          <cell r="N348">
            <v>-111.926</v>
          </cell>
          <cell r="O348">
            <v>-619.93899999999906</v>
          </cell>
          <cell r="P348">
            <v>-696.04</v>
          </cell>
          <cell r="Q348">
            <v>-1712.99470245564</v>
          </cell>
          <cell r="R348">
            <v>1886.3162378970501</v>
          </cell>
          <cell r="S348">
            <v>-199.67</v>
          </cell>
          <cell r="T348">
            <v>-300.39620922265561</v>
          </cell>
          <cell r="U348">
            <v>-2102.7734645585892</v>
          </cell>
        </row>
        <row r="349">
          <cell r="B349" t="str">
            <v>FY(2)</v>
          </cell>
          <cell r="C349">
            <v>663.65836314399496</v>
          </cell>
          <cell r="D349">
            <v>2532.1305947955402</v>
          </cell>
          <cell r="E349">
            <v>582.87500000000398</v>
          </cell>
          <cell r="F349">
            <v>357.40229675831802</v>
          </cell>
          <cell r="G349">
            <v>101.16189995766401</v>
          </cell>
          <cell r="H349">
            <v>263.678</v>
          </cell>
          <cell r="I349">
            <v>732.71093821083105</v>
          </cell>
          <cell r="J349">
            <v>747.65958469519319</v>
          </cell>
          <cell r="K349">
            <v>5233.6170928663523</v>
          </cell>
          <cell r="M349">
            <v>522.13461840902801</v>
          </cell>
          <cell r="N349">
            <v>228.53</v>
          </cell>
          <cell r="O349">
            <v>483.85199999999901</v>
          </cell>
          <cell r="P349">
            <v>698.90499999999997</v>
          </cell>
          <cell r="Q349">
            <v>1715</v>
          </cell>
          <cell r="R349">
            <v>1173.3968696837801</v>
          </cell>
          <cell r="S349">
            <v>365.983</v>
          </cell>
          <cell r="T349">
            <v>741.11449829897253</v>
          </cell>
          <cell r="U349">
            <v>5187.8014880928076</v>
          </cell>
        </row>
        <row r="350">
          <cell r="B350" t="str">
            <v>FY(1)</v>
          </cell>
          <cell r="C350">
            <v>676.15936314399596</v>
          </cell>
          <cell r="D350">
            <v>2351.6269754406999</v>
          </cell>
          <cell r="E350">
            <v>1305.875</v>
          </cell>
          <cell r="F350">
            <v>71.919296758318097</v>
          </cell>
          <cell r="G350">
            <v>14.0472478064653</v>
          </cell>
          <cell r="H350">
            <v>322.15537499999999</v>
          </cell>
          <cell r="I350">
            <v>452.817640130786</v>
          </cell>
          <cell r="J350">
            <v>742.08584261146666</v>
          </cell>
          <cell r="K350">
            <v>5194.6008982802668</v>
          </cell>
          <cell r="M350">
            <v>522.13461840902801</v>
          </cell>
          <cell r="N350">
            <v>228.53</v>
          </cell>
          <cell r="O350">
            <v>483.85199999999901</v>
          </cell>
          <cell r="P350">
            <v>698.90499999999997</v>
          </cell>
          <cell r="Q350">
            <v>1715</v>
          </cell>
          <cell r="R350">
            <v>1173.3968696837801</v>
          </cell>
          <cell r="S350">
            <v>365.983</v>
          </cell>
          <cell r="T350">
            <v>741.11449829897253</v>
          </cell>
          <cell r="U350">
            <v>5187.8014880928076</v>
          </cell>
        </row>
        <row r="351">
          <cell r="B351" t="str">
            <v>FY0</v>
          </cell>
          <cell r="C351">
            <v>2265.757363144</v>
          </cell>
          <cell r="D351">
            <v>3007.2089754407002</v>
          </cell>
          <cell r="E351">
            <v>1686.375</v>
          </cell>
          <cell r="F351">
            <v>794.71929675831802</v>
          </cell>
          <cell r="G351">
            <v>164.16725116241</v>
          </cell>
          <cell r="H351">
            <v>770.00937499999998</v>
          </cell>
          <cell r="I351">
            <v>1745.38064013079</v>
          </cell>
          <cell r="J351">
            <v>1490.5168430908884</v>
          </cell>
          <cell r="K351">
            <v>10433.617901636218</v>
          </cell>
          <cell r="M351">
            <v>727.57220840902801</v>
          </cell>
          <cell r="N351">
            <v>346.87931378455897</v>
          </cell>
          <cell r="O351">
            <v>698.63491999999906</v>
          </cell>
          <cell r="P351">
            <v>800.36199999999997</v>
          </cell>
          <cell r="Q351">
            <v>2574.8000000000002</v>
          </cell>
          <cell r="R351">
            <v>1804.384</v>
          </cell>
          <cell r="S351">
            <v>501.53600000000102</v>
          </cell>
          <cell r="T351">
            <v>1064.8812060276553</v>
          </cell>
          <cell r="U351">
            <v>7454.168442193587</v>
          </cell>
        </row>
        <row r="352">
          <cell r="B352" t="str">
            <v>FY1</v>
          </cell>
          <cell r="C352">
            <v>2856.51614066414</v>
          </cell>
          <cell r="D352">
            <v>2894.3353540059602</v>
          </cell>
          <cell r="E352">
            <v>2642.7166360280198</v>
          </cell>
          <cell r="F352">
            <v>803.77325799983203</v>
          </cell>
          <cell r="G352">
            <v>168.64782983552701</v>
          </cell>
          <cell r="H352">
            <v>877.70577551911504</v>
          </cell>
          <cell r="I352">
            <v>2246.3475460263999</v>
          </cell>
          <cell r="J352">
            <v>1784.2917914398563</v>
          </cell>
          <cell r="K352">
            <v>12490.042540078994</v>
          </cell>
          <cell r="M352">
            <v>655.20583485722204</v>
          </cell>
          <cell r="N352">
            <v>418.99402043374801</v>
          </cell>
          <cell r="O352">
            <v>788.63650584369498</v>
          </cell>
          <cell r="P352">
            <v>954.40471939409099</v>
          </cell>
          <cell r="Q352">
            <v>2478.3974420773002</v>
          </cell>
          <cell r="R352">
            <v>1753.2076471989801</v>
          </cell>
          <cell r="S352">
            <v>727.98320368492102</v>
          </cell>
          <cell r="T352">
            <v>1110.9756247842795</v>
          </cell>
          <cell r="U352">
            <v>7776.8293734899571</v>
          </cell>
        </row>
        <row r="353">
          <cell r="B353" t="str">
            <v>FY2</v>
          </cell>
          <cell r="C353">
            <v>2958.2194660018799</v>
          </cell>
          <cell r="D353">
            <v>2984.7676295696201</v>
          </cell>
          <cell r="E353">
            <v>3421.2931870386501</v>
          </cell>
          <cell r="F353">
            <v>776.76218468146806</v>
          </cell>
          <cell r="G353">
            <v>155.83245585719601</v>
          </cell>
          <cell r="H353">
            <v>1014.8548907238001</v>
          </cell>
          <cell r="I353">
            <v>2770.0936741191899</v>
          </cell>
          <cell r="J353">
            <v>2011.689069713115</v>
          </cell>
          <cell r="K353">
            <v>14081.823487991805</v>
          </cell>
          <cell r="M353">
            <v>545.06647740002302</v>
          </cell>
          <cell r="N353">
            <v>465.93234996454299</v>
          </cell>
          <cell r="O353">
            <v>950.79550408930095</v>
          </cell>
          <cell r="P353">
            <v>1107.9918350544999</v>
          </cell>
          <cell r="Q353">
            <v>2368.83194985604</v>
          </cell>
          <cell r="R353">
            <v>2087.7913938627498</v>
          </cell>
          <cell r="S353">
            <v>921.75489727911997</v>
          </cell>
          <cell r="T353">
            <v>1206.8806296437538</v>
          </cell>
          <cell r="U353">
            <v>8448.1644075062759</v>
          </cell>
        </row>
        <row r="354">
          <cell r="B354" t="str">
            <v>FQ(3)</v>
          </cell>
          <cell r="C354">
            <v>893.65736314399498</v>
          </cell>
          <cell r="D354">
            <v>2137.6269754406999</v>
          </cell>
          <cell r="E354">
            <v>294.87500000000398</v>
          </cell>
          <cell r="F354">
            <v>77.619296758318498</v>
          </cell>
          <cell r="G354">
            <v>13.828247806465299</v>
          </cell>
          <cell r="H354">
            <v>460.35537499999998</v>
          </cell>
          <cell r="I354">
            <v>1012.23464013079</v>
          </cell>
          <cell r="J354">
            <v>698.59955689718186</v>
          </cell>
          <cell r="K354">
            <v>4890.1968982802728</v>
          </cell>
          <cell r="M354">
            <v>463.72861840902902</v>
          </cell>
          <cell r="N354">
            <v>247.74700000000001</v>
          </cell>
          <cell r="O354">
            <v>449.33199999999999</v>
          </cell>
          <cell r="P354">
            <v>551.26700000000005</v>
          </cell>
          <cell r="Q354">
            <v>1708</v>
          </cell>
          <cell r="R354">
            <v>935.99786968377805</v>
          </cell>
          <cell r="S354">
            <v>297.625</v>
          </cell>
          <cell r="T354">
            <v>664.81392687040102</v>
          </cell>
          <cell r="U354">
            <v>4653.6974880928074</v>
          </cell>
        </row>
        <row r="355">
          <cell r="B355" t="str">
            <v>FQ(2)</v>
          </cell>
          <cell r="C355">
            <v>1353.757363144</v>
          </cell>
          <cell r="D355">
            <v>2312.0089754406999</v>
          </cell>
          <cell r="E355">
            <v>514.87500000000398</v>
          </cell>
          <cell r="F355">
            <v>518.619296758318</v>
          </cell>
          <cell r="G355">
            <v>16.548247806465302</v>
          </cell>
          <cell r="H355">
            <v>521.561375</v>
          </cell>
          <cell r="I355">
            <v>1426.59264013079</v>
          </cell>
          <cell r="J355">
            <v>951.99469975432532</v>
          </cell>
          <cell r="K355">
            <v>6663.9628982802769</v>
          </cell>
          <cell r="M355">
            <v>441.27420840902897</v>
          </cell>
          <cell r="N355">
            <v>245.45400000000001</v>
          </cell>
          <cell r="O355">
            <v>529.78800000000001</v>
          </cell>
          <cell r="P355">
            <v>800.36199999999997</v>
          </cell>
          <cell r="Q355">
            <v>2131</v>
          </cell>
          <cell r="R355">
            <v>1550.31486968378</v>
          </cell>
          <cell r="S355">
            <v>288.76</v>
          </cell>
          <cell r="T355">
            <v>855.27901115611553</v>
          </cell>
          <cell r="U355">
            <v>5986.9530780928089</v>
          </cell>
        </row>
        <row r="356">
          <cell r="B356" t="str">
            <v>FQ(1)</v>
          </cell>
          <cell r="C356">
            <v>1530.757363144</v>
          </cell>
          <cell r="D356">
            <v>2129.0089754406999</v>
          </cell>
          <cell r="E356">
            <v>488.87500000000398</v>
          </cell>
          <cell r="F356">
            <v>483.619296758318</v>
          </cell>
          <cell r="G356">
            <v>11.527851162409601</v>
          </cell>
          <cell r="H356">
            <v>577.14337499999999</v>
          </cell>
          <cell r="I356">
            <v>1445.3386401307901</v>
          </cell>
          <cell r="J356">
            <v>952.32435737660296</v>
          </cell>
          <cell r="K356">
            <v>6666.2705016362206</v>
          </cell>
          <cell r="M356">
            <v>526.36420840902895</v>
          </cell>
          <cell r="N356">
            <v>285.53031378455898</v>
          </cell>
          <cell r="O356">
            <v>515.90300000000002</v>
          </cell>
          <cell r="P356">
            <v>994.68</v>
          </cell>
          <cell r="Q356">
            <v>2398</v>
          </cell>
          <cell r="R356">
            <v>968.16886968377798</v>
          </cell>
          <cell r="S356">
            <v>418.39499999999998</v>
          </cell>
          <cell r="T356">
            <v>872.43448455390956</v>
          </cell>
          <cell r="U356">
            <v>6107.0413918773666</v>
          </cell>
        </row>
        <row r="357">
          <cell r="B357" t="str">
            <v>Last Reported Q</v>
          </cell>
          <cell r="C357">
            <v>2265.757363144</v>
          </cell>
          <cell r="D357">
            <v>3007.2089754407002</v>
          </cell>
          <cell r="E357">
            <v>1686.375</v>
          </cell>
          <cell r="F357">
            <v>794.71929675831802</v>
          </cell>
          <cell r="G357">
            <v>164.16725116241</v>
          </cell>
          <cell r="H357">
            <v>770.00937499999998</v>
          </cell>
          <cell r="I357">
            <v>1745.38064013079</v>
          </cell>
          <cell r="J357">
            <v>1490.5168430908884</v>
          </cell>
          <cell r="K357">
            <v>10433.617901636218</v>
          </cell>
          <cell r="M357">
            <v>727.57220840902801</v>
          </cell>
          <cell r="N357">
            <v>346.87931378455897</v>
          </cell>
          <cell r="O357">
            <v>698.63491999999906</v>
          </cell>
          <cell r="P357">
            <v>1103.1769999999999</v>
          </cell>
          <cell r="Q357">
            <v>2574.8000000000002</v>
          </cell>
          <cell r="R357">
            <v>1804.384</v>
          </cell>
          <cell r="S357">
            <v>501.53600000000102</v>
          </cell>
          <cell r="T357">
            <v>1108.1404917419411</v>
          </cell>
          <cell r="U357">
            <v>7756.9834421935875</v>
          </cell>
        </row>
        <row r="358">
          <cell r="A358" t="str">
            <v>mscalc:shareholdersEquityExcludingAdjustments2</v>
          </cell>
          <cell r="B358" t="str">
            <v>LTM</v>
          </cell>
          <cell r="C358">
            <v>2265.757363144</v>
          </cell>
          <cell r="D358">
            <v>3007.2089754407002</v>
          </cell>
          <cell r="E358">
            <v>1686.375</v>
          </cell>
          <cell r="F358">
            <v>794.71929675831802</v>
          </cell>
          <cell r="G358">
            <v>164.16725116241</v>
          </cell>
          <cell r="H358">
            <v>770.00937499999998</v>
          </cell>
          <cell r="I358">
            <v>1745.38064013079</v>
          </cell>
          <cell r="J358">
            <v>1490.5168430908884</v>
          </cell>
          <cell r="K358">
            <v>10433.617901636218</v>
          </cell>
          <cell r="M358">
            <v>727.57220840902801</v>
          </cell>
          <cell r="N358">
            <v>346.87931378455897</v>
          </cell>
          <cell r="O358">
            <v>698.63491999999906</v>
          </cell>
          <cell r="P358">
            <v>1103.1769999999999</v>
          </cell>
          <cell r="Q358">
            <v>2574.8000000000002</v>
          </cell>
          <cell r="R358">
            <v>1804.384</v>
          </cell>
          <cell r="S358">
            <v>501.53600000000102</v>
          </cell>
          <cell r="T358">
            <v>1108.1404917419411</v>
          </cell>
          <cell r="U358">
            <v>7756.9834421935875</v>
          </cell>
        </row>
        <row r="359">
          <cell r="B359" t="str">
            <v>FY(2)</v>
          </cell>
          <cell r="C359">
            <v>5603.3950000000004</v>
          </cell>
          <cell r="D359">
            <v>4288</v>
          </cell>
          <cell r="E359">
            <v>12254</v>
          </cell>
          <cell r="F359">
            <v>2168.5210000000002</v>
          </cell>
          <cell r="G359">
            <v>1096.1389999999999</v>
          </cell>
          <cell r="H359">
            <v>909.83</v>
          </cell>
          <cell r="I359">
            <v>2290.1210000000001</v>
          </cell>
          <cell r="J359">
            <v>4087.1437142857144</v>
          </cell>
          <cell r="K359">
            <v>28610.006000000001</v>
          </cell>
          <cell r="M359">
            <v>1405.297</v>
          </cell>
          <cell r="N359">
            <v>312.11599999999999</v>
          </cell>
          <cell r="O359">
            <v>1417.3119999999999</v>
          </cell>
          <cell r="P359">
            <v>1910.354</v>
          </cell>
          <cell r="Q359">
            <v>5174</v>
          </cell>
          <cell r="R359">
            <v>2955</v>
          </cell>
          <cell r="S359">
            <v>675.28300000000002</v>
          </cell>
          <cell r="T359">
            <v>1978.4802857142856</v>
          </cell>
          <cell r="U359">
            <v>13849.361999999999</v>
          </cell>
        </row>
        <row r="360">
          <cell r="A360" t="str">
            <v>mstag:shortTermBorrowings</v>
          </cell>
          <cell r="B360" t="str">
            <v>ST. Debt</v>
          </cell>
          <cell r="C360">
            <v>6101.6030000000001</v>
          </cell>
          <cell r="D360">
            <v>5312</v>
          </cell>
          <cell r="E360">
            <v>9907</v>
          </cell>
          <cell r="F360">
            <v>1115</v>
          </cell>
          <cell r="G360">
            <v>1175.3088999576601</v>
          </cell>
          <cell r="H360">
            <v>970.649</v>
          </cell>
          <cell r="I360">
            <v>2131.2449999999999</v>
          </cell>
          <cell r="J360">
            <v>3816.11512856538</v>
          </cell>
          <cell r="K360">
            <v>26712.805899957661</v>
          </cell>
          <cell r="M360">
            <v>1618.3130000000001</v>
          </cell>
          <cell r="N360">
            <v>197.27600000000001</v>
          </cell>
          <cell r="O360">
            <v>1340.4639999999999</v>
          </cell>
          <cell r="P360">
            <v>1490.375</v>
          </cell>
          <cell r="Q360">
            <v>4274</v>
          </cell>
          <cell r="R360">
            <v>2219.23776210295</v>
          </cell>
          <cell r="S360">
            <v>853.43100000000004</v>
          </cell>
          <cell r="T360">
            <v>1713.2995374432787</v>
          </cell>
          <cell r="U360">
            <v>11993.09676210295</v>
          </cell>
        </row>
        <row r="361">
          <cell r="B361" t="str">
            <v>FY(2)</v>
          </cell>
          <cell r="C361">
            <v>12.701000000000001</v>
          </cell>
          <cell r="D361">
            <v>203</v>
          </cell>
          <cell r="E361">
            <v>666</v>
          </cell>
          <cell r="F361">
            <v>261</v>
          </cell>
          <cell r="G361">
            <v>319.24200000000002</v>
          </cell>
          <cell r="H361">
            <v>0</v>
          </cell>
          <cell r="I361">
            <v>2.008</v>
          </cell>
          <cell r="J361">
            <v>209.13585714285713</v>
          </cell>
          <cell r="K361">
            <v>1463.951</v>
          </cell>
          <cell r="M361">
            <v>0</v>
          </cell>
          <cell r="N361">
            <v>0</v>
          </cell>
          <cell r="O361">
            <v>0</v>
          </cell>
          <cell r="P361">
            <v>0.23499999999999999</v>
          </cell>
          <cell r="Q361">
            <v>138</v>
          </cell>
          <cell r="R361">
            <v>0</v>
          </cell>
          <cell r="S361" t="str">
            <v>NA</v>
          </cell>
          <cell r="T361">
            <v>23.03916666666667</v>
          </cell>
          <cell r="U361">
            <v>138.23500000000001</v>
          </cell>
        </row>
        <row r="362">
          <cell r="B362" t="str">
            <v>FY(1)</v>
          </cell>
          <cell r="C362">
            <v>17</v>
          </cell>
          <cell r="D362">
            <v>0</v>
          </cell>
          <cell r="E362">
            <v>966</v>
          </cell>
          <cell r="F362">
            <v>299</v>
          </cell>
          <cell r="G362">
            <v>4.673</v>
          </cell>
          <cell r="H362">
            <v>0</v>
          </cell>
          <cell r="I362">
            <v>395.02699999999999</v>
          </cell>
          <cell r="J362">
            <v>240.24285714285716</v>
          </cell>
          <cell r="K362">
            <v>1681.7</v>
          </cell>
          <cell r="M362">
            <v>0</v>
          </cell>
          <cell r="N362">
            <v>0</v>
          </cell>
          <cell r="O362">
            <v>75</v>
          </cell>
          <cell r="P362">
            <v>0.28499999999999998</v>
          </cell>
          <cell r="Q362">
            <v>50</v>
          </cell>
          <cell r="R362">
            <v>0</v>
          </cell>
          <cell r="S362" t="str">
            <v>NA</v>
          </cell>
          <cell r="T362">
            <v>20.880833333333332</v>
          </cell>
          <cell r="U362">
            <v>125.285</v>
          </cell>
        </row>
        <row r="363">
          <cell r="B363" t="str">
            <v>FY0</v>
          </cell>
          <cell r="C363">
            <v>16</v>
          </cell>
          <cell r="D363">
            <v>393</v>
          </cell>
          <cell r="E363">
            <v>242</v>
          </cell>
          <cell r="F363">
            <v>356</v>
          </cell>
          <cell r="G363">
            <v>27.856999999999999</v>
          </cell>
          <cell r="H363">
            <v>0</v>
          </cell>
          <cell r="I363">
            <v>0</v>
          </cell>
          <cell r="J363">
            <v>147.83671428571429</v>
          </cell>
          <cell r="K363">
            <v>1034.857</v>
          </cell>
          <cell r="M363">
            <v>11.61</v>
          </cell>
          <cell r="N363">
            <v>0</v>
          </cell>
          <cell r="O363">
            <v>30</v>
          </cell>
          <cell r="P363">
            <v>8.0039999999999996</v>
          </cell>
          <cell r="Q363">
            <v>0</v>
          </cell>
          <cell r="R363">
            <v>0</v>
          </cell>
          <cell r="S363" t="str">
            <v>NA</v>
          </cell>
          <cell r="T363">
            <v>8.2690000000000001</v>
          </cell>
          <cell r="U363">
            <v>49.613999999999997</v>
          </cell>
        </row>
        <row r="364">
          <cell r="B364" t="str">
            <v>FY1</v>
          </cell>
          <cell r="C364">
            <v>16</v>
          </cell>
          <cell r="D364">
            <v>393</v>
          </cell>
          <cell r="E364">
            <v>242</v>
          </cell>
          <cell r="F364">
            <v>6</v>
          </cell>
          <cell r="G364">
            <v>27.856999999999999</v>
          </cell>
          <cell r="H364">
            <v>0</v>
          </cell>
          <cell r="I364">
            <v>0</v>
          </cell>
          <cell r="J364">
            <v>97.83671428571428</v>
          </cell>
          <cell r="K364">
            <v>684.85699999999997</v>
          </cell>
          <cell r="M364">
            <v>11.61</v>
          </cell>
          <cell r="N364">
            <v>0</v>
          </cell>
          <cell r="O364">
            <v>30</v>
          </cell>
          <cell r="P364">
            <v>0.73699999999999999</v>
          </cell>
          <cell r="Q364">
            <v>0</v>
          </cell>
          <cell r="R364">
            <v>0</v>
          </cell>
          <cell r="S364" t="str">
            <v>NA</v>
          </cell>
          <cell r="T364">
            <v>7.0578333333333338</v>
          </cell>
          <cell r="U364">
            <v>42.347000000000001</v>
          </cell>
        </row>
        <row r="365">
          <cell r="B365" t="str">
            <v>FY2</v>
          </cell>
          <cell r="C365">
            <v>16</v>
          </cell>
          <cell r="D365">
            <v>393</v>
          </cell>
          <cell r="E365">
            <v>242</v>
          </cell>
          <cell r="F365">
            <v>6</v>
          </cell>
          <cell r="G365">
            <v>27.856999999999999</v>
          </cell>
          <cell r="H365">
            <v>0</v>
          </cell>
          <cell r="I365">
            <v>0</v>
          </cell>
          <cell r="J365">
            <v>97.83671428571428</v>
          </cell>
          <cell r="K365">
            <v>684.85699999999997</v>
          </cell>
          <cell r="M365">
            <v>11.61</v>
          </cell>
          <cell r="N365">
            <v>0</v>
          </cell>
          <cell r="O365">
            <v>30</v>
          </cell>
          <cell r="P365">
            <v>0</v>
          </cell>
          <cell r="Q365">
            <v>0</v>
          </cell>
          <cell r="R365">
            <v>0</v>
          </cell>
          <cell r="S365" t="str">
            <v>NA</v>
          </cell>
          <cell r="T365">
            <v>6.9349999999999996</v>
          </cell>
          <cell r="U365">
            <v>41.61</v>
          </cell>
        </row>
        <row r="366">
          <cell r="B366" t="str">
            <v>FQ(3)</v>
          </cell>
          <cell r="C366">
            <v>17</v>
          </cell>
          <cell r="D366">
            <v>506</v>
          </cell>
          <cell r="E366">
            <v>135</v>
          </cell>
          <cell r="F366">
            <v>500</v>
          </cell>
          <cell r="G366">
            <v>4.6859999999999999</v>
          </cell>
          <cell r="H366">
            <v>0</v>
          </cell>
          <cell r="I366">
            <v>744.44500000000005</v>
          </cell>
          <cell r="J366">
            <v>272.44728571428567</v>
          </cell>
          <cell r="K366">
            <v>1907.1309999999999</v>
          </cell>
          <cell r="M366">
            <v>0</v>
          </cell>
          <cell r="N366">
            <v>0</v>
          </cell>
          <cell r="O366">
            <v>75</v>
          </cell>
          <cell r="P366">
            <v>2.4900000000000002</v>
          </cell>
          <cell r="Q366">
            <v>0</v>
          </cell>
          <cell r="R366">
            <v>0</v>
          </cell>
          <cell r="S366" t="str">
            <v>NA</v>
          </cell>
          <cell r="T366">
            <v>12.914999999999999</v>
          </cell>
          <cell r="U366">
            <v>77.489999999999995</v>
          </cell>
        </row>
        <row r="367">
          <cell r="B367" t="str">
            <v>FQ(2)</v>
          </cell>
          <cell r="C367">
            <v>16</v>
          </cell>
          <cell r="D367">
            <v>393</v>
          </cell>
          <cell r="E367">
            <v>92</v>
          </cell>
          <cell r="F367">
            <v>375</v>
          </cell>
          <cell r="G367">
            <v>4.7290000000000001</v>
          </cell>
          <cell r="H367">
            <v>0</v>
          </cell>
          <cell r="I367">
            <v>421.20600000000002</v>
          </cell>
          <cell r="J367">
            <v>185.99071428571429</v>
          </cell>
          <cell r="K367">
            <v>1301.9349999999999</v>
          </cell>
          <cell r="M367">
            <v>0</v>
          </cell>
          <cell r="N367">
            <v>0</v>
          </cell>
          <cell r="O367">
            <v>75</v>
          </cell>
          <cell r="P367">
            <v>8.0039999999999996</v>
          </cell>
          <cell r="Q367">
            <v>0</v>
          </cell>
          <cell r="R367">
            <v>0</v>
          </cell>
          <cell r="S367" t="str">
            <v>NA</v>
          </cell>
          <cell r="T367">
            <v>13.834000000000001</v>
          </cell>
          <cell r="U367">
            <v>83.004000000000005</v>
          </cell>
        </row>
        <row r="368">
          <cell r="B368" t="str">
            <v>FQ(1)</v>
          </cell>
          <cell r="C368">
            <v>17</v>
          </cell>
          <cell r="D368">
            <v>393</v>
          </cell>
          <cell r="E368">
            <v>92</v>
          </cell>
          <cell r="F368">
            <v>356</v>
          </cell>
          <cell r="G368">
            <v>4.8470000000000004</v>
          </cell>
          <cell r="H368">
            <v>0</v>
          </cell>
          <cell r="I368">
            <v>202.667</v>
          </cell>
          <cell r="J368">
            <v>152.2162857142857</v>
          </cell>
          <cell r="K368">
            <v>1065.5139999999999</v>
          </cell>
          <cell r="M368">
            <v>0</v>
          </cell>
          <cell r="N368">
            <v>0</v>
          </cell>
          <cell r="O368">
            <v>50</v>
          </cell>
          <cell r="P368">
            <v>0.70399999999999996</v>
          </cell>
          <cell r="Q368">
            <v>0</v>
          </cell>
          <cell r="R368">
            <v>0</v>
          </cell>
          <cell r="S368" t="str">
            <v>NA</v>
          </cell>
          <cell r="T368">
            <v>8.4506666666666668</v>
          </cell>
          <cell r="U368">
            <v>50.704000000000001</v>
          </cell>
        </row>
        <row r="369">
          <cell r="B369" t="str">
            <v>Last Reported Q</v>
          </cell>
          <cell r="C369">
            <v>16</v>
          </cell>
          <cell r="D369">
            <v>393</v>
          </cell>
          <cell r="E369">
            <v>242</v>
          </cell>
          <cell r="F369">
            <v>356</v>
          </cell>
          <cell r="G369">
            <v>27.856999999999999</v>
          </cell>
          <cell r="H369">
            <v>0</v>
          </cell>
          <cell r="I369">
            <v>0</v>
          </cell>
          <cell r="J369">
            <v>147.83671428571429</v>
          </cell>
          <cell r="K369">
            <v>1034.857</v>
          </cell>
          <cell r="M369">
            <v>11.61</v>
          </cell>
          <cell r="N369">
            <v>0</v>
          </cell>
          <cell r="O369">
            <v>30</v>
          </cell>
          <cell r="P369">
            <v>0.73699999999999999</v>
          </cell>
          <cell r="Q369">
            <v>0</v>
          </cell>
          <cell r="R369">
            <v>0</v>
          </cell>
          <cell r="S369" t="str">
            <v>NA</v>
          </cell>
          <cell r="T369">
            <v>7.0578333333333338</v>
          </cell>
          <cell r="U369">
            <v>42.347000000000001</v>
          </cell>
        </row>
        <row r="370">
          <cell r="B370" t="str">
            <v>LTM</v>
          </cell>
          <cell r="C370">
            <v>16</v>
          </cell>
          <cell r="D370">
            <v>393</v>
          </cell>
          <cell r="E370">
            <v>242</v>
          </cell>
          <cell r="F370">
            <v>356</v>
          </cell>
          <cell r="G370">
            <v>27.856999999999999</v>
          </cell>
          <cell r="H370">
            <v>0</v>
          </cell>
          <cell r="I370">
            <v>0</v>
          </cell>
          <cell r="J370">
            <v>147.83671428571429</v>
          </cell>
          <cell r="K370">
            <v>1034.857</v>
          </cell>
          <cell r="M370">
            <v>11.61</v>
          </cell>
          <cell r="N370">
            <v>0</v>
          </cell>
          <cell r="O370">
            <v>30</v>
          </cell>
          <cell r="P370">
            <v>0.73699999999999999</v>
          </cell>
          <cell r="Q370">
            <v>0</v>
          </cell>
          <cell r="R370">
            <v>0</v>
          </cell>
          <cell r="S370" t="str">
            <v>NA</v>
          </cell>
          <cell r="T370">
            <v>7.0578333333333338</v>
          </cell>
          <cell r="U370">
            <v>42.347000000000001</v>
          </cell>
        </row>
        <row r="371">
          <cell r="B371" t="str">
            <v>FY(2)</v>
          </cell>
          <cell r="C371">
            <v>6662.2930000000006</v>
          </cell>
          <cell r="D371">
            <v>7732</v>
          </cell>
          <cell r="E371">
            <v>20751</v>
          </cell>
          <cell r="F371">
            <v>2798.973</v>
          </cell>
          <cell r="G371">
            <v>1782.8159999999998</v>
          </cell>
          <cell r="H371">
            <v>1059.83</v>
          </cell>
          <cell r="I371">
            <v>3077.62</v>
          </cell>
          <cell r="J371">
            <v>6266.3617142857156</v>
          </cell>
          <cell r="K371">
            <v>43864.532000000007</v>
          </cell>
          <cell r="M371">
            <v>1405.297</v>
          </cell>
          <cell r="N371">
            <v>312.11599999999999</v>
          </cell>
          <cell r="O371">
            <v>1417.3119999999999</v>
          </cell>
          <cell r="P371">
            <v>1913.454</v>
          </cell>
          <cell r="Q371">
            <v>5687</v>
          </cell>
          <cell r="R371">
            <v>4638</v>
          </cell>
          <cell r="S371">
            <v>675.28300000000002</v>
          </cell>
          <cell r="T371">
            <v>2292.6374285714287</v>
          </cell>
          <cell r="U371">
            <v>16048.462</v>
          </cell>
        </row>
        <row r="372">
          <cell r="A372" t="str">
            <v>mstag:longTermDebt</v>
          </cell>
          <cell r="B372" t="str">
            <v>LT. Debt</v>
          </cell>
          <cell r="C372">
            <v>8166.1790000000001</v>
          </cell>
          <cell r="D372">
            <v>9020</v>
          </cell>
          <cell r="E372">
            <v>19660</v>
          </cell>
          <cell r="F372">
            <v>3612</v>
          </cell>
          <cell r="G372">
            <v>1747.89689995766</v>
          </cell>
          <cell r="H372">
            <v>1120.6489999999999</v>
          </cell>
          <cell r="I372">
            <v>2966.3389999999999</v>
          </cell>
          <cell r="J372">
            <v>6613.2948428510945</v>
          </cell>
          <cell r="K372">
            <v>46293.063899957662</v>
          </cell>
          <cell r="M372">
            <v>1618.3130000000001</v>
          </cell>
          <cell r="N372">
            <v>197.27600000000001</v>
          </cell>
          <cell r="O372">
            <v>1340.4639999999999</v>
          </cell>
          <cell r="P372">
            <v>1493.24</v>
          </cell>
          <cell r="Q372">
            <v>4462</v>
          </cell>
          <cell r="R372">
            <v>5123.8767621029501</v>
          </cell>
          <cell r="S372">
            <v>853.43100000000004</v>
          </cell>
          <cell r="T372">
            <v>2155.5143945861355</v>
          </cell>
          <cell r="U372">
            <v>15088.600762102949</v>
          </cell>
        </row>
        <row r="373">
          <cell r="B373" t="str">
            <v>FY(2)</v>
          </cell>
          <cell r="C373">
            <v>2051.875</v>
          </cell>
          <cell r="D373">
            <v>3505</v>
          </cell>
          <cell r="E373">
            <v>9087</v>
          </cell>
          <cell r="F373">
            <v>2236</v>
          </cell>
          <cell r="G373">
            <v>253.346</v>
          </cell>
          <cell r="H373">
            <v>150</v>
          </cell>
          <cell r="I373">
            <v>833.08600000000001</v>
          </cell>
          <cell r="J373">
            <v>2588.0438571428572</v>
          </cell>
          <cell r="K373">
            <v>18116.307000000001</v>
          </cell>
          <cell r="M373">
            <v>0</v>
          </cell>
          <cell r="N373" t="str">
            <v>NA</v>
          </cell>
          <cell r="O373">
            <v>0</v>
          </cell>
          <cell r="P373">
            <v>2.8650000000000002</v>
          </cell>
          <cell r="Q373">
            <v>50</v>
          </cell>
          <cell r="R373">
            <v>2904.6390000000001</v>
          </cell>
          <cell r="S373">
            <v>0</v>
          </cell>
          <cell r="T373">
            <v>492.91733333333332</v>
          </cell>
          <cell r="U373">
            <v>2957.5039999999999</v>
          </cell>
        </row>
        <row r="374">
          <cell r="B374" t="str">
            <v>FY(1)</v>
          </cell>
          <cell r="C374">
            <v>2053</v>
          </cell>
          <cell r="D374">
            <v>3505</v>
          </cell>
          <cell r="E374">
            <v>8733</v>
          </cell>
          <cell r="F374">
            <v>2214</v>
          </cell>
          <cell r="G374">
            <v>635.4</v>
          </cell>
          <cell r="H374">
            <v>150</v>
          </cell>
          <cell r="I374">
            <v>383.78199999999998</v>
          </cell>
          <cell r="J374">
            <v>2524.883142857143</v>
          </cell>
          <cell r="K374">
            <v>17674.182000000001</v>
          </cell>
          <cell r="M374">
            <v>100</v>
          </cell>
          <cell r="N374" t="str">
            <v>NA</v>
          </cell>
          <cell r="O374">
            <v>0</v>
          </cell>
          <cell r="P374">
            <v>2.58</v>
          </cell>
          <cell r="Q374">
            <v>0</v>
          </cell>
          <cell r="R374">
            <v>2897.114</v>
          </cell>
          <cell r="S374">
            <v>0</v>
          </cell>
          <cell r="T374">
            <v>499.94900000000001</v>
          </cell>
          <cell r="U374">
            <v>2999.694</v>
          </cell>
        </row>
        <row r="375">
          <cell r="B375" t="str">
            <v>FY0</v>
          </cell>
          <cell r="C375">
            <v>2052</v>
          </cell>
          <cell r="D375">
            <v>2999</v>
          </cell>
          <cell r="E375">
            <v>8456</v>
          </cell>
          <cell r="F375">
            <v>2257</v>
          </cell>
          <cell r="G375">
            <v>493.33</v>
          </cell>
          <cell r="H375">
            <v>150</v>
          </cell>
          <cell r="I375">
            <v>774.3</v>
          </cell>
          <cell r="J375">
            <v>2454.5185714285717</v>
          </cell>
          <cell r="K375">
            <v>17181.63</v>
          </cell>
          <cell r="M375">
            <v>71.212999999999994</v>
          </cell>
          <cell r="N375" t="str">
            <v>NA</v>
          </cell>
          <cell r="O375">
            <v>0</v>
          </cell>
          <cell r="P375">
            <v>25.071999999999999</v>
          </cell>
          <cell r="Q375">
            <v>0</v>
          </cell>
          <cell r="R375">
            <v>2722.8130000000001</v>
          </cell>
          <cell r="S375">
            <v>0</v>
          </cell>
          <cell r="T375">
            <v>469.84966666666668</v>
          </cell>
          <cell r="U375">
            <v>2819.098</v>
          </cell>
        </row>
        <row r="376">
          <cell r="B376" t="str">
            <v>FY1</v>
          </cell>
          <cell r="C376">
            <v>2052</v>
          </cell>
          <cell r="D376">
            <v>2606</v>
          </cell>
          <cell r="E376">
            <v>8218</v>
          </cell>
          <cell r="F376">
            <v>2382</v>
          </cell>
          <cell r="G376">
            <v>470.33</v>
          </cell>
          <cell r="H376">
            <v>150</v>
          </cell>
          <cell r="I376">
            <v>774.3</v>
          </cell>
          <cell r="J376">
            <v>2378.9471428571428</v>
          </cell>
          <cell r="K376">
            <v>16652.63</v>
          </cell>
          <cell r="M376">
            <v>71.212999999999994</v>
          </cell>
          <cell r="N376" t="str">
            <v>NA</v>
          </cell>
          <cell r="O376">
            <v>0</v>
          </cell>
          <cell r="P376">
            <v>24.338999999999999</v>
          </cell>
          <cell r="Q376">
            <v>0</v>
          </cell>
          <cell r="R376">
            <v>2722.8130000000001</v>
          </cell>
          <cell r="S376">
            <v>0</v>
          </cell>
          <cell r="T376">
            <v>469.72750000000002</v>
          </cell>
          <cell r="U376">
            <v>2818.3650000000002</v>
          </cell>
        </row>
        <row r="377">
          <cell r="B377" t="str">
            <v>FY2</v>
          </cell>
          <cell r="C377">
            <v>1636</v>
          </cell>
          <cell r="D377">
            <v>2606</v>
          </cell>
          <cell r="E377">
            <v>7556</v>
          </cell>
          <cell r="F377">
            <v>2382</v>
          </cell>
          <cell r="G377">
            <v>378.33</v>
          </cell>
          <cell r="H377">
            <v>150</v>
          </cell>
          <cell r="I377">
            <v>774.3</v>
          </cell>
          <cell r="J377">
            <v>2211.8042857142855</v>
          </cell>
          <cell r="K377">
            <v>15482.63</v>
          </cell>
          <cell r="M377">
            <v>71.212999999999994</v>
          </cell>
          <cell r="N377" t="str">
            <v>NA</v>
          </cell>
          <cell r="O377">
            <v>0</v>
          </cell>
          <cell r="P377">
            <v>25.076000000000001</v>
          </cell>
          <cell r="Q377">
            <v>0</v>
          </cell>
          <cell r="R377">
            <v>2722.8130000000001</v>
          </cell>
          <cell r="S377">
            <v>0</v>
          </cell>
          <cell r="T377">
            <v>469.85033333333331</v>
          </cell>
          <cell r="U377">
            <v>2819.1019999999999</v>
          </cell>
        </row>
        <row r="378">
          <cell r="B378" t="str">
            <v>FQ(3)</v>
          </cell>
          <cell r="C378">
            <v>2056</v>
          </cell>
          <cell r="D378">
            <v>2999</v>
          </cell>
          <cell r="E378">
            <v>8719</v>
          </cell>
          <cell r="F378">
            <v>2002</v>
          </cell>
          <cell r="G378">
            <v>631.94000000000005</v>
          </cell>
          <cell r="H378">
            <v>150</v>
          </cell>
          <cell r="I378">
            <v>391.93099999999998</v>
          </cell>
          <cell r="J378">
            <v>2421.4101428571425</v>
          </cell>
          <cell r="K378">
            <v>16949.870999999999</v>
          </cell>
          <cell r="M378">
            <v>100</v>
          </cell>
          <cell r="N378" t="str">
            <v>NA</v>
          </cell>
          <cell r="O378">
            <v>0</v>
          </cell>
          <cell r="P378">
            <v>24.986000000000001</v>
          </cell>
          <cell r="Q378">
            <v>0</v>
          </cell>
          <cell r="R378">
            <v>2897.297</v>
          </cell>
          <cell r="S378">
            <v>0</v>
          </cell>
          <cell r="T378">
            <v>503.7138333333333</v>
          </cell>
          <cell r="U378">
            <v>3022.2829999999999</v>
          </cell>
        </row>
        <row r="379">
          <cell r="B379" t="str">
            <v>FQ(2)</v>
          </cell>
          <cell r="C379">
            <v>2053</v>
          </cell>
          <cell r="D379">
            <v>2999</v>
          </cell>
          <cell r="E379">
            <v>8632</v>
          </cell>
          <cell r="F379">
            <v>2260</v>
          </cell>
          <cell r="G379">
            <v>598.07899999999995</v>
          </cell>
          <cell r="H379">
            <v>150</v>
          </cell>
          <cell r="I379">
            <v>791.33199999999999</v>
          </cell>
          <cell r="J379">
            <v>2497.6301428571428</v>
          </cell>
          <cell r="K379">
            <v>17483.411</v>
          </cell>
          <cell r="M379">
            <v>36.729999999999997</v>
          </cell>
          <cell r="N379" t="str">
            <v>NA</v>
          </cell>
          <cell r="O379">
            <v>0</v>
          </cell>
          <cell r="P379">
            <v>25.071999999999999</v>
          </cell>
          <cell r="Q379">
            <v>0</v>
          </cell>
          <cell r="R379">
            <v>3251</v>
          </cell>
          <cell r="S379">
            <v>0</v>
          </cell>
          <cell r="T379">
            <v>552.13366666666673</v>
          </cell>
          <cell r="U379">
            <v>3312.8020000000001</v>
          </cell>
        </row>
        <row r="380">
          <cell r="B380" t="str">
            <v>FQ(1)</v>
          </cell>
          <cell r="C380">
            <v>2054</v>
          </cell>
          <cell r="D380">
            <v>2999</v>
          </cell>
          <cell r="E380">
            <v>8618</v>
          </cell>
          <cell r="F380">
            <v>2259</v>
          </cell>
          <cell r="G380">
            <v>514.60599999999999</v>
          </cell>
          <cell r="H380">
            <v>150</v>
          </cell>
          <cell r="I380">
            <v>790.75699999999995</v>
          </cell>
          <cell r="J380">
            <v>2483.6232857142859</v>
          </cell>
          <cell r="K380">
            <v>17385.363000000001</v>
          </cell>
          <cell r="M380">
            <v>50.582000000000001</v>
          </cell>
          <cell r="N380" t="str">
            <v>NA</v>
          </cell>
          <cell r="O380">
            <v>0</v>
          </cell>
          <cell r="P380">
            <v>24.428999999999998</v>
          </cell>
          <cell r="Q380">
            <v>0</v>
          </cell>
          <cell r="R380">
            <v>2880.2820000000002</v>
          </cell>
          <cell r="S380">
            <v>0</v>
          </cell>
          <cell r="T380">
            <v>492.54883333333333</v>
          </cell>
          <cell r="U380">
            <v>2955.2930000000001</v>
          </cell>
        </row>
        <row r="381">
          <cell r="B381" t="str">
            <v>Last Reported Q</v>
          </cell>
          <cell r="C381">
            <v>2052</v>
          </cell>
          <cell r="D381">
            <v>2999</v>
          </cell>
          <cell r="E381">
            <v>8456</v>
          </cell>
          <cell r="F381">
            <v>2257</v>
          </cell>
          <cell r="G381">
            <v>493.33</v>
          </cell>
          <cell r="H381">
            <v>150</v>
          </cell>
          <cell r="I381">
            <v>774.3</v>
          </cell>
          <cell r="J381">
            <v>2454.5185714285717</v>
          </cell>
          <cell r="K381">
            <v>17181.63</v>
          </cell>
          <cell r="M381">
            <v>71.212999999999994</v>
          </cell>
          <cell r="N381" t="str">
            <v>NA</v>
          </cell>
          <cell r="O381">
            <v>0</v>
          </cell>
          <cell r="P381">
            <v>24.338999999999999</v>
          </cell>
          <cell r="Q381">
            <v>0</v>
          </cell>
          <cell r="R381">
            <v>2722.8130000000001</v>
          </cell>
          <cell r="S381">
            <v>0</v>
          </cell>
          <cell r="T381">
            <v>469.72750000000002</v>
          </cell>
          <cell r="U381">
            <v>2818.3650000000002</v>
          </cell>
        </row>
        <row r="382">
          <cell r="B382" t="str">
            <v>LTM</v>
          </cell>
          <cell r="C382">
            <v>2052</v>
          </cell>
          <cell r="D382">
            <v>2999</v>
          </cell>
          <cell r="E382">
            <v>8456</v>
          </cell>
          <cell r="F382">
            <v>2257</v>
          </cell>
          <cell r="G382">
            <v>493.33</v>
          </cell>
          <cell r="H382">
            <v>150</v>
          </cell>
          <cell r="I382">
            <v>774.3</v>
          </cell>
          <cell r="J382">
            <v>2454.5185714285717</v>
          </cell>
          <cell r="K382">
            <v>17181.63</v>
          </cell>
          <cell r="M382">
            <v>71.212999999999994</v>
          </cell>
          <cell r="N382" t="str">
            <v>NA</v>
          </cell>
          <cell r="O382">
            <v>0</v>
          </cell>
          <cell r="P382">
            <v>24.338999999999999</v>
          </cell>
          <cell r="Q382">
            <v>0</v>
          </cell>
          <cell r="R382">
            <v>2722.8130000000001</v>
          </cell>
          <cell r="S382">
            <v>0</v>
          </cell>
          <cell r="T382">
            <v>469.72750000000002</v>
          </cell>
          <cell r="U382">
            <v>2818.3650000000002</v>
          </cell>
        </row>
        <row r="383">
          <cell r="B383" t="str">
            <v>FY(2)</v>
          </cell>
          <cell r="C383" t="e">
            <v>#VALUE!</v>
          </cell>
          <cell r="D383" t="e">
            <v>#VALUE!</v>
          </cell>
          <cell r="E383" t="e">
            <v>#VALUE!</v>
          </cell>
          <cell r="F383" t="e">
            <v>#VALUE!</v>
          </cell>
          <cell r="G383" t="e">
            <v>#VALUE!</v>
          </cell>
          <cell r="H383" t="e">
            <v>#VALUE!</v>
          </cell>
          <cell r="I383" t="e">
            <v>#VALUE!</v>
          </cell>
          <cell r="J383" t="e">
            <v>#VALUE!</v>
          </cell>
          <cell r="K383" t="e">
            <v>#VALUE!</v>
          </cell>
          <cell r="M383" t="e">
            <v>#VALUE!</v>
          </cell>
          <cell r="N383" t="e">
            <v>#VALUE!</v>
          </cell>
          <cell r="O383" t="e">
            <v>#VALUE!</v>
          </cell>
          <cell r="P383" t="e">
            <v>#VALUE!</v>
          </cell>
          <cell r="Q383" t="e">
            <v>#VALUE!</v>
          </cell>
          <cell r="R383" t="e">
            <v>#VALUE!</v>
          </cell>
          <cell r="S383" t="e">
            <v>#VALUE!</v>
          </cell>
          <cell r="T383" t="e">
            <v>#VALUE!</v>
          </cell>
          <cell r="U383" t="e">
            <v>#VALUE!</v>
          </cell>
        </row>
        <row r="384">
          <cell r="B384" t="str">
            <v>Unadjusted Debt</v>
          </cell>
          <cell r="C384" t="e">
            <v>#VALUE!</v>
          </cell>
          <cell r="D384" t="e">
            <v>#VALUE!</v>
          </cell>
          <cell r="E384" t="e">
            <v>#VALUE!</v>
          </cell>
          <cell r="F384" t="e">
            <v>#VALUE!</v>
          </cell>
          <cell r="G384" t="e">
            <v>#VALUE!</v>
          </cell>
          <cell r="H384" t="e">
            <v>#VALUE!</v>
          </cell>
          <cell r="I384" t="e">
            <v>#VALUE!</v>
          </cell>
          <cell r="J384" t="e">
            <v>#VALUE!</v>
          </cell>
          <cell r="K384" t="e">
            <v>#VALUE!</v>
          </cell>
          <cell r="M384" t="e">
            <v>#VALUE!</v>
          </cell>
          <cell r="N384" t="e">
            <v>#VALUE!</v>
          </cell>
          <cell r="O384" t="e">
            <v>#VALUE!</v>
          </cell>
          <cell r="P384" t="e">
            <v>#VALUE!</v>
          </cell>
          <cell r="Q384" t="e">
            <v>#VALUE!</v>
          </cell>
          <cell r="R384" t="e">
            <v>#VALUE!</v>
          </cell>
          <cell r="S384" t="e">
            <v>#VALUE!</v>
          </cell>
          <cell r="T384" t="e">
            <v>#VALUE!</v>
          </cell>
          <cell r="U384" t="e">
            <v>#VALUE!</v>
          </cell>
        </row>
        <row r="385">
          <cell r="B385" t="str">
            <v>FY(2)</v>
          </cell>
          <cell r="C385">
            <v>2064.576</v>
          </cell>
          <cell r="D385">
            <v>3708</v>
          </cell>
          <cell r="E385">
            <v>9753</v>
          </cell>
          <cell r="F385">
            <v>2497</v>
          </cell>
          <cell r="G385">
            <v>572.58799999999997</v>
          </cell>
          <cell r="H385">
            <v>150</v>
          </cell>
          <cell r="I385">
            <v>835.09400000000005</v>
          </cell>
          <cell r="J385">
            <v>2797.1797142857145</v>
          </cell>
          <cell r="K385">
            <v>19580.258000000002</v>
          </cell>
          <cell r="M385">
            <v>0</v>
          </cell>
          <cell r="N385">
            <v>0</v>
          </cell>
          <cell r="O385">
            <v>0</v>
          </cell>
          <cell r="P385">
            <v>3.1</v>
          </cell>
          <cell r="Q385">
            <v>188</v>
          </cell>
          <cell r="R385">
            <v>2904.6390000000001</v>
          </cell>
          <cell r="S385">
            <v>0</v>
          </cell>
          <cell r="T385">
            <v>442.24842857142858</v>
          </cell>
          <cell r="U385">
            <v>3095.739</v>
          </cell>
        </row>
        <row r="386">
          <cell r="B386" t="str">
            <v>FY(1)</v>
          </cell>
          <cell r="C386">
            <v>2070</v>
          </cell>
          <cell r="D386">
            <v>3505</v>
          </cell>
          <cell r="E386">
            <v>9699</v>
          </cell>
          <cell r="F386">
            <v>2513</v>
          </cell>
          <cell r="G386">
            <v>640.07299999999998</v>
          </cell>
          <cell r="H386">
            <v>150</v>
          </cell>
          <cell r="I386">
            <v>778.80899999999997</v>
          </cell>
          <cell r="J386">
            <v>2765.1260000000002</v>
          </cell>
          <cell r="K386">
            <v>19355.882000000001</v>
          </cell>
          <cell r="M386">
            <v>100</v>
          </cell>
          <cell r="N386">
            <v>0</v>
          </cell>
          <cell r="O386">
            <v>75</v>
          </cell>
          <cell r="P386">
            <v>2.8650000000000002</v>
          </cell>
          <cell r="Q386">
            <v>50</v>
          </cell>
          <cell r="R386">
            <v>2897.114</v>
          </cell>
          <cell r="S386">
            <v>0</v>
          </cell>
          <cell r="T386">
            <v>446.42557142857146</v>
          </cell>
          <cell r="U386">
            <v>3124.9790000000003</v>
          </cell>
        </row>
        <row r="387">
          <cell r="B387" t="str">
            <v>FY0</v>
          </cell>
          <cell r="C387">
            <v>2068</v>
          </cell>
          <cell r="D387">
            <v>3392</v>
          </cell>
          <cell r="E387">
            <v>8698</v>
          </cell>
          <cell r="F387">
            <v>2613</v>
          </cell>
          <cell r="G387">
            <v>521.18700000000001</v>
          </cell>
          <cell r="H387">
            <v>150</v>
          </cell>
          <cell r="I387">
            <v>774.3</v>
          </cell>
          <cell r="J387">
            <v>2602.3552857142859</v>
          </cell>
          <cell r="K387">
            <v>18216.487000000001</v>
          </cell>
          <cell r="M387">
            <v>82.822999999999993</v>
          </cell>
          <cell r="N387">
            <v>0</v>
          </cell>
          <cell r="O387">
            <v>30</v>
          </cell>
          <cell r="P387">
            <v>33.076000000000001</v>
          </cell>
          <cell r="Q387">
            <v>0</v>
          </cell>
          <cell r="R387">
            <v>2722.8130000000001</v>
          </cell>
          <cell r="S387">
            <v>0</v>
          </cell>
          <cell r="T387">
            <v>409.81599999999997</v>
          </cell>
          <cell r="U387">
            <v>2868.712</v>
          </cell>
        </row>
        <row r="388">
          <cell r="B388" t="str">
            <v>FY1</v>
          </cell>
          <cell r="C388">
            <v>2068</v>
          </cell>
          <cell r="D388">
            <v>2999</v>
          </cell>
          <cell r="E388">
            <v>8460</v>
          </cell>
          <cell r="F388">
            <v>2388</v>
          </cell>
          <cell r="G388">
            <v>498.18700000000001</v>
          </cell>
          <cell r="H388">
            <v>150</v>
          </cell>
          <cell r="I388">
            <v>774.3</v>
          </cell>
          <cell r="J388">
            <v>2476.7838571428574</v>
          </cell>
          <cell r="K388">
            <v>17337.487000000001</v>
          </cell>
          <cell r="M388">
            <v>82.822999999999993</v>
          </cell>
          <cell r="N388">
            <v>0</v>
          </cell>
          <cell r="O388">
            <v>30</v>
          </cell>
          <cell r="P388">
            <v>25.075999999999997</v>
          </cell>
          <cell r="Q388">
            <v>0</v>
          </cell>
          <cell r="R388">
            <v>2722.8130000000001</v>
          </cell>
          <cell r="S388">
            <v>0</v>
          </cell>
          <cell r="T388">
            <v>408.67314285714286</v>
          </cell>
          <cell r="U388">
            <v>2860.712</v>
          </cell>
        </row>
        <row r="389">
          <cell r="B389" t="str">
            <v>FY2</v>
          </cell>
          <cell r="C389">
            <v>1652</v>
          </cell>
          <cell r="D389">
            <v>2999</v>
          </cell>
          <cell r="E389">
            <v>7798</v>
          </cell>
          <cell r="F389">
            <v>2388</v>
          </cell>
          <cell r="G389">
            <v>406.18700000000001</v>
          </cell>
          <cell r="H389">
            <v>150</v>
          </cell>
          <cell r="I389">
            <v>774.3</v>
          </cell>
          <cell r="J389">
            <v>2309.6410000000001</v>
          </cell>
          <cell r="K389">
            <v>16167.486999999999</v>
          </cell>
          <cell r="M389">
            <v>82.822999999999993</v>
          </cell>
          <cell r="N389">
            <v>0</v>
          </cell>
          <cell r="O389">
            <v>30</v>
          </cell>
          <cell r="P389">
            <v>25.076000000000001</v>
          </cell>
          <cell r="Q389">
            <v>0</v>
          </cell>
          <cell r="R389">
            <v>2722.8130000000001</v>
          </cell>
          <cell r="S389">
            <v>0</v>
          </cell>
          <cell r="T389">
            <v>408.67314285714286</v>
          </cell>
          <cell r="U389">
            <v>2860.712</v>
          </cell>
        </row>
        <row r="390">
          <cell r="B390" t="str">
            <v>FQ(3)</v>
          </cell>
          <cell r="C390">
            <v>2073</v>
          </cell>
          <cell r="D390">
            <v>3505</v>
          </cell>
          <cell r="E390">
            <v>8854</v>
          </cell>
          <cell r="F390">
            <v>2502</v>
          </cell>
          <cell r="G390">
            <v>636.62600000000009</v>
          </cell>
          <cell r="H390">
            <v>150</v>
          </cell>
          <cell r="I390">
            <v>1136.376</v>
          </cell>
          <cell r="J390">
            <v>2693.8574285714285</v>
          </cell>
          <cell r="K390">
            <v>18857.002</v>
          </cell>
          <cell r="M390">
            <v>100</v>
          </cell>
          <cell r="N390">
            <v>0</v>
          </cell>
          <cell r="O390">
            <v>75</v>
          </cell>
          <cell r="P390">
            <v>27.475999999999999</v>
          </cell>
          <cell r="Q390">
            <v>0</v>
          </cell>
          <cell r="R390">
            <v>2897.297</v>
          </cell>
          <cell r="S390">
            <v>0</v>
          </cell>
          <cell r="T390">
            <v>442.82471428571432</v>
          </cell>
          <cell r="U390">
            <v>3099.7730000000001</v>
          </cell>
        </row>
        <row r="391">
          <cell r="B391" t="str">
            <v>FQ(2)</v>
          </cell>
          <cell r="C391">
            <v>2069</v>
          </cell>
          <cell r="D391">
            <v>3392</v>
          </cell>
          <cell r="E391">
            <v>8724</v>
          </cell>
          <cell r="F391">
            <v>2635</v>
          </cell>
          <cell r="G391">
            <v>602.80799999999999</v>
          </cell>
          <cell r="H391">
            <v>150</v>
          </cell>
          <cell r="I391">
            <v>1212.538</v>
          </cell>
          <cell r="J391">
            <v>2683.6208571428574</v>
          </cell>
          <cell r="K391">
            <v>18785.346000000001</v>
          </cell>
          <cell r="M391">
            <v>36.729999999999997</v>
          </cell>
          <cell r="N391">
            <v>0</v>
          </cell>
          <cell r="O391">
            <v>75</v>
          </cell>
          <cell r="P391">
            <v>33.076000000000001</v>
          </cell>
          <cell r="Q391">
            <v>0</v>
          </cell>
          <cell r="R391">
            <v>3251</v>
          </cell>
          <cell r="S391">
            <v>0</v>
          </cell>
          <cell r="T391">
            <v>485.11514285714287</v>
          </cell>
          <cell r="U391">
            <v>3395.806</v>
          </cell>
        </row>
        <row r="392">
          <cell r="B392" t="str">
            <v>FQ(1)</v>
          </cell>
          <cell r="C392">
            <v>2071</v>
          </cell>
          <cell r="D392">
            <v>3392</v>
          </cell>
          <cell r="E392">
            <v>8710</v>
          </cell>
          <cell r="F392">
            <v>2615</v>
          </cell>
          <cell r="G392">
            <v>519.45299999999997</v>
          </cell>
          <cell r="H392">
            <v>150</v>
          </cell>
          <cell r="I392">
            <v>993.42399999999998</v>
          </cell>
          <cell r="J392">
            <v>2635.8395714285716</v>
          </cell>
          <cell r="K392">
            <v>18450.877</v>
          </cell>
          <cell r="M392">
            <v>50.582000000000001</v>
          </cell>
          <cell r="N392">
            <v>0</v>
          </cell>
          <cell r="O392">
            <v>50</v>
          </cell>
          <cell r="P392">
            <v>25.132999999999999</v>
          </cell>
          <cell r="Q392">
            <v>0</v>
          </cell>
          <cell r="R392">
            <v>2880.2820000000002</v>
          </cell>
          <cell r="S392">
            <v>0</v>
          </cell>
          <cell r="T392">
            <v>429.42814285714292</v>
          </cell>
          <cell r="U392">
            <v>3005.9970000000003</v>
          </cell>
        </row>
        <row r="393">
          <cell r="B393" t="str">
            <v>Last Reported Q</v>
          </cell>
          <cell r="C393">
            <v>2068</v>
          </cell>
          <cell r="D393">
            <v>3392</v>
          </cell>
          <cell r="E393">
            <v>8698</v>
          </cell>
          <cell r="F393">
            <v>2613</v>
          </cell>
          <cell r="G393">
            <v>521.18700000000001</v>
          </cell>
          <cell r="H393">
            <v>150</v>
          </cell>
          <cell r="I393">
            <v>774.3</v>
          </cell>
          <cell r="J393">
            <v>2602.3552857142859</v>
          </cell>
          <cell r="K393">
            <v>18216.487000000001</v>
          </cell>
          <cell r="M393">
            <v>82.822999999999993</v>
          </cell>
          <cell r="N393">
            <v>0</v>
          </cell>
          <cell r="O393">
            <v>30</v>
          </cell>
          <cell r="P393">
            <v>25.075999999999997</v>
          </cell>
          <cell r="Q393">
            <v>0</v>
          </cell>
          <cell r="R393">
            <v>2722.8130000000001</v>
          </cell>
          <cell r="S393">
            <v>0</v>
          </cell>
          <cell r="T393">
            <v>408.67314285714286</v>
          </cell>
          <cell r="U393">
            <v>2860.712</v>
          </cell>
        </row>
        <row r="394">
          <cell r="B394" t="str">
            <v>LTM</v>
          </cell>
          <cell r="C394">
            <v>2068</v>
          </cell>
          <cell r="D394">
            <v>3392</v>
          </cell>
          <cell r="E394">
            <v>8698</v>
          </cell>
          <cell r="F394">
            <v>2613</v>
          </cell>
          <cell r="G394">
            <v>521.18700000000001</v>
          </cell>
          <cell r="H394">
            <v>150</v>
          </cell>
          <cell r="I394">
            <v>774.3</v>
          </cell>
          <cell r="J394">
            <v>2602.3552857142859</v>
          </cell>
          <cell r="K394">
            <v>18216.487000000001</v>
          </cell>
          <cell r="M394">
            <v>82.822999999999993</v>
          </cell>
          <cell r="N394">
            <v>0</v>
          </cell>
          <cell r="O394">
            <v>30</v>
          </cell>
          <cell r="P394">
            <v>25.075999999999997</v>
          </cell>
          <cell r="Q394">
            <v>0</v>
          </cell>
          <cell r="R394">
            <v>2722.8130000000001</v>
          </cell>
          <cell r="S394">
            <v>0</v>
          </cell>
          <cell r="T394">
            <v>408.67314285714286</v>
          </cell>
          <cell r="U394">
            <v>2860.712</v>
          </cell>
        </row>
        <row r="396">
          <cell r="B396" t="str">
            <v>Unadjusted Net Debt</v>
          </cell>
        </row>
        <row r="397">
          <cell r="B397" t="str">
            <v>FY(2)</v>
          </cell>
          <cell r="C397">
            <v>1400.9176368560052</v>
          </cell>
          <cell r="D397">
            <v>1175.8694052044598</v>
          </cell>
          <cell r="E397">
            <v>9170.1249999999964</v>
          </cell>
          <cell r="F397">
            <v>2139.5977032416822</v>
          </cell>
          <cell r="G397">
            <v>471.42610004233597</v>
          </cell>
          <cell r="H397">
            <v>-113.678</v>
          </cell>
          <cell r="I397">
            <v>102.38306178916901</v>
          </cell>
          <cell r="J397">
            <v>2049.5201295905213</v>
          </cell>
          <cell r="K397">
            <v>14346.640907133649</v>
          </cell>
          <cell r="M397">
            <v>-522.13461840902801</v>
          </cell>
          <cell r="N397">
            <v>-228.53</v>
          </cell>
          <cell r="O397">
            <v>-483.85199999999901</v>
          </cell>
          <cell r="P397">
            <v>-695.80499999999995</v>
          </cell>
          <cell r="Q397">
            <v>-1527</v>
          </cell>
          <cell r="R397">
            <v>1731.24213031622</v>
          </cell>
          <cell r="S397">
            <v>-365.983</v>
          </cell>
          <cell r="T397">
            <v>-298.8660697275439</v>
          </cell>
          <cell r="U397">
            <v>-2092.0624880928071</v>
          </cell>
        </row>
        <row r="398">
          <cell r="B398" t="str">
            <v>FY(1)</v>
          </cell>
          <cell r="C398">
            <v>1393.840636856004</v>
          </cell>
          <cell r="D398">
            <v>1153.3730245593001</v>
          </cell>
          <cell r="E398">
            <v>8393.125</v>
          </cell>
          <cell r="F398">
            <v>2441.0807032416819</v>
          </cell>
          <cell r="G398">
            <v>626.02575219353469</v>
          </cell>
          <cell r="H398">
            <v>-172.15537499999999</v>
          </cell>
          <cell r="I398">
            <v>325.99135986921397</v>
          </cell>
          <cell r="J398">
            <v>2023.0401573885335</v>
          </cell>
          <cell r="K398">
            <v>14161.281101719735</v>
          </cell>
          <cell r="M398">
            <v>-422.13461840902801</v>
          </cell>
          <cell r="N398">
            <v>-228.53</v>
          </cell>
          <cell r="O398">
            <v>-408.85199999999901</v>
          </cell>
          <cell r="P398">
            <v>-696.04</v>
          </cell>
          <cell r="Q398">
            <v>-1665</v>
          </cell>
          <cell r="R398">
            <v>1723.7171303162199</v>
          </cell>
          <cell r="S398">
            <v>-365.983</v>
          </cell>
          <cell r="T398">
            <v>-294.68892687040096</v>
          </cell>
          <cell r="U398">
            <v>-2062.8224880928069</v>
          </cell>
        </row>
        <row r="399">
          <cell r="B399" t="str">
            <v>FY0</v>
          </cell>
          <cell r="C399">
            <v>-197.75736314400001</v>
          </cell>
          <cell r="D399">
            <v>384.79102455929979</v>
          </cell>
          <cell r="E399">
            <v>7011.625</v>
          </cell>
          <cell r="F399">
            <v>1818.280703241682</v>
          </cell>
          <cell r="G399">
            <v>357.01974883758999</v>
          </cell>
          <cell r="H399">
            <v>-620.00937499999998</v>
          </cell>
          <cell r="I399">
            <v>-971.08064013079002</v>
          </cell>
          <cell r="J399">
            <v>1111.8384426233977</v>
          </cell>
          <cell r="K399">
            <v>7782.8690983637835</v>
          </cell>
          <cell r="M399">
            <v>-644.74920840902803</v>
          </cell>
          <cell r="N399">
            <v>-346.87931378455897</v>
          </cell>
          <cell r="O399">
            <v>-668.63491999999906</v>
          </cell>
          <cell r="P399">
            <v>-767.28599999999994</v>
          </cell>
          <cell r="Q399">
            <v>-2574.8000000000002</v>
          </cell>
          <cell r="R399">
            <v>918.42900000000009</v>
          </cell>
          <cell r="S399">
            <v>-501.53600000000102</v>
          </cell>
          <cell r="T399">
            <v>-655.06520602765534</v>
          </cell>
          <cell r="U399">
            <v>-4585.4564421935875</v>
          </cell>
        </row>
        <row r="400">
          <cell r="B400" t="str">
            <v>FY1</v>
          </cell>
          <cell r="C400">
            <v>-788.51614066414004</v>
          </cell>
          <cell r="D400">
            <v>104.6646459940398</v>
          </cell>
          <cell r="E400">
            <v>5817.2833639719802</v>
          </cell>
          <cell r="F400">
            <v>1584.2267420001681</v>
          </cell>
          <cell r="G400">
            <v>329.53917016447303</v>
          </cell>
          <cell r="H400">
            <v>-727.70577551911504</v>
          </cell>
          <cell r="I400">
            <v>-1472.0475460263999</v>
          </cell>
          <cell r="J400">
            <v>692.49206570300078</v>
          </cell>
          <cell r="K400">
            <v>4847.4444599210055</v>
          </cell>
          <cell r="M400">
            <v>-572.38283485722206</v>
          </cell>
          <cell r="N400">
            <v>-418.99402043374801</v>
          </cell>
          <cell r="O400">
            <v>-758.63650584369498</v>
          </cell>
          <cell r="P400">
            <v>-929.32871939409097</v>
          </cell>
          <cell r="Q400">
            <v>-2478.3974420773002</v>
          </cell>
          <cell r="R400">
            <v>969.60535280101999</v>
          </cell>
          <cell r="S400">
            <v>-727.98320368492102</v>
          </cell>
          <cell r="T400">
            <v>-702.3024819271368</v>
          </cell>
          <cell r="U400">
            <v>-4916.1173734899576</v>
          </cell>
        </row>
        <row r="401">
          <cell r="B401" t="str">
            <v>FY2</v>
          </cell>
          <cell r="C401">
            <v>-1306.2194660018799</v>
          </cell>
          <cell r="D401">
            <v>14.232370430379888</v>
          </cell>
          <cell r="E401">
            <v>4376.7068129613499</v>
          </cell>
          <cell r="F401">
            <v>1611.2378153185318</v>
          </cell>
          <cell r="G401">
            <v>250.354544142804</v>
          </cell>
          <cell r="H401">
            <v>-864.85489072380005</v>
          </cell>
          <cell r="I401">
            <v>-1995.79367411919</v>
          </cell>
          <cell r="J401">
            <v>297.95193028688522</v>
          </cell>
          <cell r="K401">
            <v>2085.6635120081964</v>
          </cell>
          <cell r="M401">
            <v>-462.24347740002304</v>
          </cell>
          <cell r="N401">
            <v>-465.93234996454299</v>
          </cell>
          <cell r="O401">
            <v>-920.79550408930095</v>
          </cell>
          <cell r="P401">
            <v>-1082.9158350544999</v>
          </cell>
          <cell r="Q401">
            <v>-2368.83194985604</v>
          </cell>
          <cell r="R401">
            <v>635.02160613725027</v>
          </cell>
          <cell r="S401">
            <v>-921.75489727911997</v>
          </cell>
          <cell r="T401">
            <v>-798.20748678661107</v>
          </cell>
          <cell r="U401">
            <v>-5587.4524075062773</v>
          </cell>
        </row>
        <row r="402">
          <cell r="B402" t="str">
            <v>FQ(3)</v>
          </cell>
          <cell r="C402">
            <v>1179.3426368560049</v>
          </cell>
          <cell r="D402">
            <v>1367.3730245593001</v>
          </cell>
          <cell r="E402">
            <v>8559.1249999999964</v>
          </cell>
          <cell r="F402">
            <v>2424.3807032416817</v>
          </cell>
          <cell r="G402">
            <v>622.79775219353473</v>
          </cell>
          <cell r="H402">
            <v>-310.35537499999998</v>
          </cell>
          <cell r="I402">
            <v>124.14135986920996</v>
          </cell>
          <cell r="J402">
            <v>1995.2578716742471</v>
          </cell>
          <cell r="K402">
            <v>13966.80510171973</v>
          </cell>
          <cell r="M402">
            <v>-363.72861840902902</v>
          </cell>
          <cell r="N402">
            <v>-247.74700000000001</v>
          </cell>
          <cell r="O402">
            <v>-374.33199999999999</v>
          </cell>
          <cell r="P402">
            <v>-523.79100000000005</v>
          </cell>
          <cell r="Q402">
            <v>-1708</v>
          </cell>
          <cell r="R402">
            <v>1961.2991303162221</v>
          </cell>
          <cell r="S402">
            <v>-297.625</v>
          </cell>
          <cell r="T402">
            <v>-221.98921258468667</v>
          </cell>
          <cell r="U402">
            <v>-1553.9244880928068</v>
          </cell>
        </row>
        <row r="403">
          <cell r="B403" t="str">
            <v>FQ(2)</v>
          </cell>
          <cell r="C403">
            <v>715.24263685599999</v>
          </cell>
          <cell r="D403">
            <v>1079.9910245593001</v>
          </cell>
          <cell r="E403">
            <v>8209.1249999999964</v>
          </cell>
          <cell r="F403">
            <v>2116.3807032416821</v>
          </cell>
          <cell r="G403">
            <v>586.25975219353472</v>
          </cell>
          <cell r="H403">
            <v>-371.561375</v>
          </cell>
          <cell r="I403">
            <v>-214.05464013078995</v>
          </cell>
          <cell r="J403">
            <v>1731.626157388532</v>
          </cell>
          <cell r="K403">
            <v>12121.383101719724</v>
          </cell>
          <cell r="M403">
            <v>-404.54420840902895</v>
          </cell>
          <cell r="N403">
            <v>-245.45400000000001</v>
          </cell>
          <cell r="O403">
            <v>-454.78800000000001</v>
          </cell>
          <cell r="P403">
            <v>-767.28599999999994</v>
          </cell>
          <cell r="Q403">
            <v>-2131</v>
          </cell>
          <cell r="R403">
            <v>1700.68513031622</v>
          </cell>
          <cell r="S403">
            <v>-288.76</v>
          </cell>
          <cell r="T403">
            <v>-370.16386829897277</v>
          </cell>
          <cell r="U403">
            <v>-2591.1470780928094</v>
          </cell>
        </row>
        <row r="404">
          <cell r="B404" t="str">
            <v>FQ(1)</v>
          </cell>
          <cell r="C404">
            <v>540.24263685599999</v>
          </cell>
          <cell r="D404">
            <v>1262.9910245593001</v>
          </cell>
          <cell r="E404">
            <v>8221.1249999999964</v>
          </cell>
          <cell r="F404">
            <v>2131.3807032416821</v>
          </cell>
          <cell r="G404">
            <v>507.92514883759037</v>
          </cell>
          <cell r="H404">
            <v>-427.14337499999999</v>
          </cell>
          <cell r="I404">
            <v>-451.91464013079008</v>
          </cell>
          <cell r="J404">
            <v>1683.5152140519683</v>
          </cell>
          <cell r="K404">
            <v>11784.606498363779</v>
          </cell>
          <cell r="M404">
            <v>-475.78220840902895</v>
          </cell>
          <cell r="N404">
            <v>-285.53031378455898</v>
          </cell>
          <cell r="O404">
            <v>-465.90300000000002</v>
          </cell>
          <cell r="P404">
            <v>-969.54699999999991</v>
          </cell>
          <cell r="Q404">
            <v>-2398</v>
          </cell>
          <cell r="R404">
            <v>1912.1131303162222</v>
          </cell>
          <cell r="S404">
            <v>-418.39499999999998</v>
          </cell>
          <cell r="T404">
            <v>-443.00634169676653</v>
          </cell>
          <cell r="U404">
            <v>-3101.0443918773658</v>
          </cell>
        </row>
        <row r="405">
          <cell r="B405" t="str">
            <v>Last Reported Q</v>
          </cell>
          <cell r="C405">
            <v>-197.75736314400001</v>
          </cell>
          <cell r="D405">
            <v>384.79102455929979</v>
          </cell>
          <cell r="E405">
            <v>7011.625</v>
          </cell>
          <cell r="F405">
            <v>1818.280703241682</v>
          </cell>
          <cell r="G405">
            <v>357.01974883758999</v>
          </cell>
          <cell r="H405">
            <v>-620.00937499999998</v>
          </cell>
          <cell r="I405">
            <v>-971.08064013079002</v>
          </cell>
          <cell r="J405">
            <v>1111.8384426233977</v>
          </cell>
          <cell r="K405">
            <v>7782.8690983637835</v>
          </cell>
          <cell r="M405">
            <v>-644.74920840902803</v>
          </cell>
          <cell r="N405">
            <v>-346.87931378455897</v>
          </cell>
          <cell r="O405">
            <v>-668.63491999999906</v>
          </cell>
          <cell r="P405">
            <v>-1078.1009999999999</v>
          </cell>
          <cell r="Q405">
            <v>-2574.8000000000002</v>
          </cell>
          <cell r="R405">
            <v>918.42900000000009</v>
          </cell>
          <cell r="S405">
            <v>-501.53600000000102</v>
          </cell>
          <cell r="T405">
            <v>-699.46734888479818</v>
          </cell>
          <cell r="U405">
            <v>-4896.2714421935871</v>
          </cell>
        </row>
        <row r="406">
          <cell r="B406" t="str">
            <v>LTM</v>
          </cell>
          <cell r="C406">
            <v>-197.75736314400001</v>
          </cell>
          <cell r="D406">
            <v>384.79102455929979</v>
          </cell>
          <cell r="E406">
            <v>7011.625</v>
          </cell>
          <cell r="F406">
            <v>1818.280703241682</v>
          </cell>
          <cell r="G406">
            <v>357.01974883758999</v>
          </cell>
          <cell r="H406">
            <v>-620.00937499999998</v>
          </cell>
          <cell r="I406">
            <v>-971.08064013079002</v>
          </cell>
          <cell r="J406">
            <v>1111.8384426233977</v>
          </cell>
          <cell r="K406">
            <v>7782.8690983637835</v>
          </cell>
          <cell r="M406">
            <v>-644.74920840902803</v>
          </cell>
          <cell r="N406">
            <v>-346.87931378455897</v>
          </cell>
          <cell r="O406">
            <v>-668.63491999999906</v>
          </cell>
          <cell r="P406">
            <v>-1078.1009999999999</v>
          </cell>
          <cell r="Q406">
            <v>-2574.8000000000002</v>
          </cell>
          <cell r="R406">
            <v>918.42900000000009</v>
          </cell>
          <cell r="S406">
            <v>-501.53600000000102</v>
          </cell>
          <cell r="T406">
            <v>-699.46734888479818</v>
          </cell>
          <cell r="U406">
            <v>-4896.2714421935871</v>
          </cell>
        </row>
        <row r="408">
          <cell r="A408" t="str">
            <v>mscalc:shareholdersEquityExcludingAdjustments2</v>
          </cell>
          <cell r="B408" t="str">
            <v>Shareholders' Equity</v>
          </cell>
        </row>
        <row r="409">
          <cell r="B409" t="str">
            <v>FY(2)</v>
          </cell>
          <cell r="C409">
            <v>6101.6030000000001</v>
          </cell>
          <cell r="D409">
            <v>5312</v>
          </cell>
          <cell r="E409">
            <v>9907</v>
          </cell>
          <cell r="F409">
            <v>1115</v>
          </cell>
          <cell r="G409">
            <v>1175.3088999576601</v>
          </cell>
          <cell r="H409">
            <v>970.649</v>
          </cell>
          <cell r="I409">
            <v>2131.2449999999999</v>
          </cell>
          <cell r="J409">
            <v>3816.11512856538</v>
          </cell>
          <cell r="K409">
            <v>26712.805899957661</v>
          </cell>
          <cell r="M409">
            <v>1618.3130000000001</v>
          </cell>
          <cell r="N409">
            <v>197.27600000000001</v>
          </cell>
          <cell r="O409">
            <v>1340.4639999999999</v>
          </cell>
          <cell r="P409">
            <v>1910.354</v>
          </cell>
          <cell r="Q409">
            <v>4274</v>
          </cell>
          <cell r="R409">
            <v>2219.23776210295</v>
          </cell>
          <cell r="S409">
            <v>853.43100000000004</v>
          </cell>
          <cell r="T409">
            <v>1773.2965374432786</v>
          </cell>
          <cell r="U409">
            <v>12413.07576210295</v>
          </cell>
        </row>
        <row r="410">
          <cell r="B410" t="str">
            <v>FY(1)</v>
          </cell>
          <cell r="C410">
            <v>6739</v>
          </cell>
          <cell r="D410">
            <v>4155</v>
          </cell>
          <cell r="E410">
            <v>4646</v>
          </cell>
          <cell r="F410">
            <v>1210</v>
          </cell>
          <cell r="G410">
            <v>969.39424780646596</v>
          </cell>
          <cell r="H410">
            <v>996.36900000000003</v>
          </cell>
          <cell r="I410">
            <v>2134.5569999999998</v>
          </cell>
          <cell r="J410">
            <v>2978.6171782580668</v>
          </cell>
          <cell r="K410">
            <v>20850.320247806467</v>
          </cell>
          <cell r="M410">
            <v>1845.578</v>
          </cell>
          <cell r="N410">
            <v>355.06</v>
          </cell>
          <cell r="O410">
            <v>1409.0309999999999</v>
          </cell>
          <cell r="P410">
            <v>1490.375</v>
          </cell>
          <cell r="Q410">
            <v>4387</v>
          </cell>
          <cell r="R410">
            <v>1874</v>
          </cell>
          <cell r="S410">
            <v>1053.7750000000001</v>
          </cell>
          <cell r="T410">
            <v>1773.5455714285713</v>
          </cell>
          <cell r="U410">
            <v>12414.819</v>
          </cell>
        </row>
        <row r="411">
          <cell r="B411" t="str">
            <v>FY0</v>
          </cell>
          <cell r="C411">
            <v>7853</v>
          </cell>
          <cell r="D411">
            <v>4774</v>
          </cell>
          <cell r="E411">
            <v>4701</v>
          </cell>
          <cell r="F411">
            <v>1572</v>
          </cell>
          <cell r="G411">
            <v>1088.4762511624101</v>
          </cell>
          <cell r="H411">
            <v>1157.2929999999999</v>
          </cell>
          <cell r="I411">
            <v>2889.2759999999998</v>
          </cell>
          <cell r="J411">
            <v>3433.5778930232013</v>
          </cell>
          <cell r="K411">
            <v>24035.04525116241</v>
          </cell>
          <cell r="M411">
            <v>1830.9169999999999</v>
          </cell>
          <cell r="N411">
            <v>434.48899999999998</v>
          </cell>
          <cell r="O411">
            <v>1578.5170000000001</v>
          </cell>
          <cell r="P411">
            <v>1696.0419999999999</v>
          </cell>
          <cell r="Q411">
            <v>4891</v>
          </cell>
          <cell r="R411">
            <v>2184</v>
          </cell>
          <cell r="S411">
            <v>1296.7750000000001</v>
          </cell>
          <cell r="T411">
            <v>1987.3914285714286</v>
          </cell>
          <cell r="U411">
            <v>13911.74</v>
          </cell>
        </row>
        <row r="412">
          <cell r="B412" t="str">
            <v>FY1</v>
          </cell>
          <cell r="C412">
            <v>8743.2064623123206</v>
          </cell>
          <cell r="D412">
            <v>4957.1669827170499</v>
          </cell>
          <cell r="E412">
            <v>5396.9706138889496</v>
          </cell>
          <cell r="F412">
            <v>2006.10798487689</v>
          </cell>
          <cell r="G412">
            <v>1073.6637732849899</v>
          </cell>
          <cell r="H412">
            <v>1220.4279908261001</v>
          </cell>
          <cell r="I412">
            <v>3405.5016296878398</v>
          </cell>
          <cell r="J412">
            <v>3829.0064910848769</v>
          </cell>
          <cell r="K412">
            <v>26803.045437594137</v>
          </cell>
          <cell r="M412">
            <v>1722.9869249752701</v>
          </cell>
          <cell r="N412">
            <v>516.91291448393997</v>
          </cell>
          <cell r="O412">
            <v>1653.0837178745001</v>
          </cell>
          <cell r="P412">
            <v>1912.53454591285</v>
          </cell>
          <cell r="Q412">
            <v>4712.3968391781</v>
          </cell>
          <cell r="R412">
            <v>2011.9392668427699</v>
          </cell>
          <cell r="S412">
            <v>1587.9007739159299</v>
          </cell>
          <cell r="T412">
            <v>2016.8221404547658</v>
          </cell>
          <cell r="U412">
            <v>14117.75498318336</v>
          </cell>
        </row>
        <row r="413">
          <cell r="B413" t="str">
            <v>FY2</v>
          </cell>
          <cell r="C413">
            <v>9520.6212033606007</v>
          </cell>
          <cell r="D413">
            <v>5110.6210396290498</v>
          </cell>
          <cell r="E413">
            <v>6188.3885193436599</v>
          </cell>
          <cell r="F413">
            <v>2284.9148605284499</v>
          </cell>
          <cell r="G413">
            <v>1070.3064175705799</v>
          </cell>
          <cell r="H413">
            <v>1369.67472339298</v>
          </cell>
          <cell r="I413">
            <v>4020.41295026936</v>
          </cell>
          <cell r="J413">
            <v>4223.5628162992407</v>
          </cell>
          <cell r="K413">
            <v>29564.939714094682</v>
          </cell>
          <cell r="M413">
            <v>1671.9507421953499</v>
          </cell>
          <cell r="N413">
            <v>568.14707851062997</v>
          </cell>
          <cell r="O413">
            <v>1772.59744765189</v>
          </cell>
          <cell r="P413">
            <v>2075.2400173670699</v>
          </cell>
          <cell r="Q413">
            <v>4390.0381761579001</v>
          </cell>
          <cell r="R413">
            <v>2201.0343082925201</v>
          </cell>
          <cell r="S413">
            <v>1900.71093984038</v>
          </cell>
          <cell r="T413">
            <v>2082.8169585736773</v>
          </cell>
          <cell r="U413">
            <v>14579.718710015743</v>
          </cell>
        </row>
        <row r="414">
          <cell r="B414" t="str">
            <v>FQ(3)</v>
          </cell>
          <cell r="C414">
            <v>6885</v>
          </cell>
          <cell r="D414">
            <v>4196</v>
          </cell>
          <cell r="E414">
            <v>4555</v>
          </cell>
          <cell r="F414">
            <v>1274</v>
          </cell>
          <cell r="G414">
            <v>991.83624780646505</v>
          </cell>
          <cell r="H414">
            <v>1035.758</v>
          </cell>
          <cell r="I414">
            <v>2335.4740000000002</v>
          </cell>
          <cell r="J414">
            <v>3039.0097496866388</v>
          </cell>
          <cell r="K414">
            <v>21273.06824780647</v>
          </cell>
          <cell r="M414">
            <v>1771.4059999999999</v>
          </cell>
          <cell r="N414">
            <v>397.149</v>
          </cell>
          <cell r="O414">
            <v>1433.47</v>
          </cell>
          <cell r="P414">
            <v>1541.914</v>
          </cell>
          <cell r="Q414">
            <v>4540</v>
          </cell>
          <cell r="R414">
            <v>1839.2148696837801</v>
          </cell>
          <cell r="S414">
            <v>1091.626</v>
          </cell>
          <cell r="T414">
            <v>1802.1114099548254</v>
          </cell>
          <cell r="U414">
            <v>12614.779869683778</v>
          </cell>
        </row>
        <row r="415">
          <cell r="B415" t="str">
            <v>FQ(2)</v>
          </cell>
          <cell r="C415">
            <v>7136</v>
          </cell>
          <cell r="D415">
            <v>4536</v>
          </cell>
          <cell r="E415">
            <v>4549</v>
          </cell>
          <cell r="F415">
            <v>1357</v>
          </cell>
          <cell r="G415">
            <v>962.96024780646496</v>
          </cell>
          <cell r="H415">
            <v>1069.422</v>
          </cell>
          <cell r="I415">
            <v>2831.9119999999998</v>
          </cell>
          <cell r="J415">
            <v>3206.0420354009234</v>
          </cell>
          <cell r="K415">
            <v>22442.294247806465</v>
          </cell>
          <cell r="M415">
            <v>1756.258</v>
          </cell>
          <cell r="N415">
            <v>429.57600000000002</v>
          </cell>
          <cell r="O415">
            <v>1469.857</v>
          </cell>
          <cell r="P415">
            <v>1696.0419999999999</v>
          </cell>
          <cell r="Q415">
            <v>4745</v>
          </cell>
          <cell r="R415">
            <v>1876</v>
          </cell>
          <cell r="S415">
            <v>1148.2149999999999</v>
          </cell>
          <cell r="T415">
            <v>1874.421142857143</v>
          </cell>
          <cell r="U415">
            <v>13120.948</v>
          </cell>
        </row>
        <row r="416">
          <cell r="B416" t="str">
            <v>FQ(1)</v>
          </cell>
          <cell r="C416">
            <v>7395</v>
          </cell>
          <cell r="D416">
            <v>4588</v>
          </cell>
          <cell r="E416">
            <v>4494</v>
          </cell>
          <cell r="F416">
            <v>1430</v>
          </cell>
          <cell r="G416">
            <v>1069.4598511624099</v>
          </cell>
          <cell r="H416">
            <v>1107.193</v>
          </cell>
          <cell r="I416">
            <v>2940.5070000000001</v>
          </cell>
          <cell r="J416">
            <v>3289.1656930232016</v>
          </cell>
          <cell r="K416">
            <v>23024.159851162411</v>
          </cell>
          <cell r="M416">
            <v>1782.376</v>
          </cell>
          <cell r="N416">
            <v>448.44900000000001</v>
          </cell>
          <cell r="O416">
            <v>1523.3050000000001</v>
          </cell>
          <cell r="P416">
            <v>1840.981</v>
          </cell>
          <cell r="Q416">
            <v>4981</v>
          </cell>
          <cell r="R416">
            <v>1865</v>
          </cell>
          <cell r="S416">
            <v>1215.26</v>
          </cell>
          <cell r="T416">
            <v>1950.910142857143</v>
          </cell>
          <cell r="U416">
            <v>13656.371000000001</v>
          </cell>
        </row>
        <row r="417">
          <cell r="B417" t="str">
            <v>Last Reported Q</v>
          </cell>
          <cell r="C417">
            <v>7853</v>
          </cell>
          <cell r="D417">
            <v>4774</v>
          </cell>
          <cell r="E417">
            <v>4701</v>
          </cell>
          <cell r="F417">
            <v>1572</v>
          </cell>
          <cell r="G417">
            <v>1088.4762511624101</v>
          </cell>
          <cell r="H417">
            <v>1157.2929999999999</v>
          </cell>
          <cell r="I417">
            <v>2889.2759999999998</v>
          </cell>
          <cell r="J417">
            <v>3433.5778930232013</v>
          </cell>
          <cell r="K417">
            <v>24035.04525116241</v>
          </cell>
          <cell r="M417">
            <v>1830.9169999999999</v>
          </cell>
          <cell r="N417">
            <v>434.48899999999998</v>
          </cell>
          <cell r="O417">
            <v>1578.5170000000001</v>
          </cell>
          <cell r="P417">
            <v>1865.566</v>
          </cell>
          <cell r="Q417">
            <v>4891</v>
          </cell>
          <cell r="R417">
            <v>2184</v>
          </cell>
          <cell r="S417">
            <v>1296.7750000000001</v>
          </cell>
          <cell r="T417">
            <v>2011.6091428571428</v>
          </cell>
          <cell r="U417">
            <v>14081.263999999999</v>
          </cell>
        </row>
        <row r="418">
          <cell r="B418" t="str">
            <v>LTM</v>
          </cell>
          <cell r="C418">
            <v>7853</v>
          </cell>
          <cell r="D418">
            <v>4774</v>
          </cell>
          <cell r="E418">
            <v>4701</v>
          </cell>
          <cell r="F418">
            <v>1572</v>
          </cell>
          <cell r="G418">
            <v>1088.4762511624101</v>
          </cell>
          <cell r="H418">
            <v>1157.2929999999999</v>
          </cell>
          <cell r="I418">
            <v>2889.2759999999998</v>
          </cell>
          <cell r="J418">
            <v>3433.5778930232013</v>
          </cell>
          <cell r="K418">
            <v>24035.04525116241</v>
          </cell>
          <cell r="M418">
            <v>1830.9169999999999</v>
          </cell>
          <cell r="N418">
            <v>434.48899999999998</v>
          </cell>
          <cell r="O418">
            <v>1578.5170000000001</v>
          </cell>
          <cell r="P418">
            <v>1865.566</v>
          </cell>
          <cell r="Q418">
            <v>4891</v>
          </cell>
          <cell r="R418">
            <v>2184</v>
          </cell>
          <cell r="S418">
            <v>1296.7750000000001</v>
          </cell>
          <cell r="T418">
            <v>2011.6091428571428</v>
          </cell>
          <cell r="U418">
            <v>14081.263999999999</v>
          </cell>
        </row>
        <row r="419">
          <cell r="B419" t="str">
            <v>FY1</v>
          </cell>
          <cell r="C419">
            <v>1.4809307600267818</v>
          </cell>
          <cell r="D419">
            <v>1.6952981091780144</v>
          </cell>
          <cell r="E419">
            <v>3.4410419583047971</v>
          </cell>
          <cell r="F419">
            <v>2.4186860774510537</v>
          </cell>
          <cell r="G419">
            <v>6.3385571555919507</v>
          </cell>
          <cell r="H419">
            <v>1.900098027765555</v>
          </cell>
          <cell r="I419">
            <v>2.2013545974281428</v>
          </cell>
          <cell r="J419">
            <v>2.7822809551066134</v>
          </cell>
          <cell r="K419">
            <v>2.3066225639221698</v>
          </cell>
          <cell r="M419">
            <v>2.6669756192435479</v>
          </cell>
          <cell r="N419">
            <v>0.77306828247647918</v>
          </cell>
          <cell r="O419">
            <v>1.8005922814156723</v>
          </cell>
          <cell r="P419">
            <v>0.13348743351882905</v>
          </cell>
          <cell r="Q419">
            <v>1.5560441034066363</v>
          </cell>
          <cell r="R419">
            <v>3.1519676961742058</v>
          </cell>
          <cell r="S419">
            <v>0.84923530832250471</v>
          </cell>
          <cell r="T419">
            <v>1.5616243892225536</v>
          </cell>
          <cell r="U419">
            <v>1.6332140081940278</v>
          </cell>
        </row>
        <row r="420">
          <cell r="B420" t="str">
            <v>Total Capitalization</v>
          </cell>
          <cell r="C420">
            <v>1.1181009497855385</v>
          </cell>
          <cell r="D420">
            <v>1.1713922360269251</v>
          </cell>
          <cell r="E420">
            <v>2.9385369993289423</v>
          </cell>
          <cell r="F420">
            <v>2.0884778637610841</v>
          </cell>
          <cell r="G420">
            <v>4.7694258543874373</v>
          </cell>
          <cell r="H420">
            <v>1.8604840886408607</v>
          </cell>
          <cell r="I420">
            <v>1.9928163212591523</v>
          </cell>
          <cell r="J420">
            <v>2.2770334733128488</v>
          </cell>
          <cell r="K420">
            <v>1.9437264725656025</v>
          </cell>
          <cell r="M420">
            <v>2.8344898287836364</v>
          </cell>
          <cell r="N420">
            <v>0.78610647369306275</v>
          </cell>
          <cell r="O420">
            <v>1.6718605411603178</v>
          </cell>
          <cell r="P420">
            <v>9.0088846790629187E-2</v>
          </cell>
          <cell r="Q420">
            <v>1.5147230801771487</v>
          </cell>
          <cell r="R420">
            <v>2.9339800205554445</v>
          </cell>
          <cell r="S420">
            <v>0.61862510334400245</v>
          </cell>
          <cell r="T420">
            <v>1.49283912778632</v>
          </cell>
          <cell r="U420">
            <v>1.5665265365502281</v>
          </cell>
        </row>
        <row r="421">
          <cell r="B421" t="str">
            <v>FY(2)</v>
          </cell>
          <cell r="C421">
            <v>8166.1790000000001</v>
          </cell>
          <cell r="D421">
            <v>9020</v>
          </cell>
          <cell r="E421">
            <v>19660</v>
          </cell>
          <cell r="F421">
            <v>3612</v>
          </cell>
          <cell r="G421">
            <v>1747.89689995766</v>
          </cell>
          <cell r="H421">
            <v>1120.6489999999999</v>
          </cell>
          <cell r="I421">
            <v>2966.3389999999999</v>
          </cell>
          <cell r="J421">
            <v>6613.2948428510945</v>
          </cell>
          <cell r="K421">
            <v>46293.063899957662</v>
          </cell>
          <cell r="M421">
            <v>1618.3130000000001</v>
          </cell>
          <cell r="N421">
            <v>197.27600000000001</v>
          </cell>
          <cell r="O421">
            <v>1340.4639999999999</v>
          </cell>
          <cell r="P421">
            <v>1913.454</v>
          </cell>
          <cell r="Q421">
            <v>4462</v>
          </cell>
          <cell r="R421">
            <v>5123.8767621029501</v>
          </cell>
          <cell r="S421">
            <v>853.43100000000004</v>
          </cell>
          <cell r="T421">
            <v>2215.5449660147069</v>
          </cell>
          <cell r="U421">
            <v>15508.814762102949</v>
          </cell>
        </row>
        <row r="422">
          <cell r="B422" t="str">
            <v>FY(1)</v>
          </cell>
          <cell r="C422">
            <v>8809</v>
          </cell>
          <cell r="D422">
            <v>7660</v>
          </cell>
          <cell r="E422">
            <v>14345</v>
          </cell>
          <cell r="F422">
            <v>3723</v>
          </cell>
          <cell r="G422">
            <v>1609.4672478064658</v>
          </cell>
          <cell r="H422">
            <v>1146.3690000000001</v>
          </cell>
          <cell r="I422">
            <v>2913.366</v>
          </cell>
          <cell r="J422">
            <v>5743.743178258067</v>
          </cell>
          <cell r="K422">
            <v>40206.202247806468</v>
          </cell>
          <cell r="M422">
            <v>1945.578</v>
          </cell>
          <cell r="N422">
            <v>355.06</v>
          </cell>
          <cell r="O422">
            <v>1484.0309999999999</v>
          </cell>
          <cell r="P422">
            <v>1493.24</v>
          </cell>
          <cell r="Q422">
            <v>4437</v>
          </cell>
          <cell r="R422">
            <v>4771.1139999999996</v>
          </cell>
          <cell r="S422">
            <v>1053.7750000000001</v>
          </cell>
          <cell r="T422">
            <v>2219.9711428571427</v>
          </cell>
          <cell r="U422">
            <v>15539.797999999999</v>
          </cell>
        </row>
        <row r="423">
          <cell r="B423" t="str">
            <v>FY0</v>
          </cell>
          <cell r="C423">
            <v>9921</v>
          </cell>
          <cell r="D423">
            <v>8166</v>
          </cell>
          <cell r="E423">
            <v>13399</v>
          </cell>
          <cell r="F423">
            <v>4185</v>
          </cell>
          <cell r="G423">
            <v>1609.6632511624102</v>
          </cell>
          <cell r="H423">
            <v>1307.2929999999999</v>
          </cell>
          <cell r="I423">
            <v>3663.576</v>
          </cell>
          <cell r="J423">
            <v>6035.9331787374877</v>
          </cell>
          <cell r="K423">
            <v>42251.532251162411</v>
          </cell>
          <cell r="M423">
            <v>1913.74</v>
          </cell>
          <cell r="N423">
            <v>434.48899999999998</v>
          </cell>
          <cell r="O423">
            <v>1608.5170000000001</v>
          </cell>
          <cell r="P423">
            <v>1729.1179999999999</v>
          </cell>
          <cell r="Q423">
            <v>4891</v>
          </cell>
          <cell r="R423">
            <v>4906.8130000000001</v>
          </cell>
          <cell r="S423">
            <v>1296.7750000000001</v>
          </cell>
          <cell r="T423">
            <v>2397.2074285714289</v>
          </cell>
          <cell r="U423">
            <v>16780.452000000001</v>
          </cell>
        </row>
        <row r="424">
          <cell r="B424" t="str">
            <v>FY1</v>
          </cell>
          <cell r="C424">
            <v>10811.206462312321</v>
          </cell>
          <cell r="D424">
            <v>7956.1669827170499</v>
          </cell>
          <cell r="E424">
            <v>13856.970613888949</v>
          </cell>
          <cell r="F424">
            <v>4394.1079848768895</v>
          </cell>
          <cell r="G424">
            <v>1571.8507732849898</v>
          </cell>
          <cell r="H424">
            <v>1370.4279908261001</v>
          </cell>
          <cell r="I424">
            <v>4179.8016296878395</v>
          </cell>
          <cell r="J424">
            <v>6305.7903482277343</v>
          </cell>
          <cell r="K424">
            <v>44140.532437594142</v>
          </cell>
          <cell r="M424">
            <v>1805.8099249752702</v>
          </cell>
          <cell r="N424">
            <v>516.91291448393997</v>
          </cell>
          <cell r="O424">
            <v>1683.0837178745001</v>
          </cell>
          <cell r="P424">
            <v>1937.6105459128501</v>
          </cell>
          <cell r="Q424">
            <v>4712.3968391781</v>
          </cell>
          <cell r="R424">
            <v>4734.75226684277</v>
          </cell>
          <cell r="S424">
            <v>1587.9007739159299</v>
          </cell>
          <cell r="T424">
            <v>2425.4952833119087</v>
          </cell>
          <cell r="U424">
            <v>16978.46698318336</v>
          </cell>
        </row>
        <row r="425">
          <cell r="B425" t="str">
            <v>FY2</v>
          </cell>
          <cell r="C425">
            <v>11172.621203360601</v>
          </cell>
          <cell r="D425">
            <v>8109.6210396290498</v>
          </cell>
          <cell r="E425">
            <v>13986.38851934366</v>
          </cell>
          <cell r="F425">
            <v>4672.9148605284499</v>
          </cell>
          <cell r="G425">
            <v>1476.4934175705798</v>
          </cell>
          <cell r="H425">
            <v>1519.67472339298</v>
          </cell>
          <cell r="I425">
            <v>4794.7129502693597</v>
          </cell>
          <cell r="J425">
            <v>6533.2038162992394</v>
          </cell>
          <cell r="K425">
            <v>45732.426714094676</v>
          </cell>
          <cell r="M425">
            <v>1754.77374219535</v>
          </cell>
          <cell r="N425">
            <v>568.14707851062997</v>
          </cell>
          <cell r="O425">
            <v>1802.59744765189</v>
          </cell>
          <cell r="P425">
            <v>2100.3160173670699</v>
          </cell>
          <cell r="Q425">
            <v>4390.0381761579001</v>
          </cell>
          <cell r="R425">
            <v>4923.8473082925202</v>
          </cell>
          <cell r="S425">
            <v>1900.71093984038</v>
          </cell>
          <cell r="T425">
            <v>2491.4901014308198</v>
          </cell>
          <cell r="U425">
            <v>17440.430710015738</v>
          </cell>
        </row>
        <row r="426">
          <cell r="B426" t="str">
            <v>FQ(3)</v>
          </cell>
          <cell r="C426">
            <v>8958</v>
          </cell>
          <cell r="D426">
            <v>7701</v>
          </cell>
          <cell r="E426">
            <v>13409</v>
          </cell>
          <cell r="F426">
            <v>3776</v>
          </cell>
          <cell r="G426">
            <v>1628.4622478064653</v>
          </cell>
          <cell r="H426">
            <v>1185.758</v>
          </cell>
          <cell r="I426">
            <v>3471.8500000000004</v>
          </cell>
          <cell r="J426">
            <v>5732.8671782580659</v>
          </cell>
          <cell r="K426">
            <v>40130.070247806463</v>
          </cell>
          <cell r="M426">
            <v>1871.4059999999999</v>
          </cell>
          <cell r="N426">
            <v>397.149</v>
          </cell>
          <cell r="O426">
            <v>1508.47</v>
          </cell>
          <cell r="P426">
            <v>1569.3899999999999</v>
          </cell>
          <cell r="Q426">
            <v>4540</v>
          </cell>
          <cell r="R426">
            <v>4736.5118696837799</v>
          </cell>
          <cell r="S426">
            <v>1091.626</v>
          </cell>
          <cell r="T426">
            <v>2244.9361242405398</v>
          </cell>
          <cell r="U426">
            <v>15714.552869683779</v>
          </cell>
        </row>
        <row r="427">
          <cell r="B427" t="str">
            <v>FQ(2)</v>
          </cell>
          <cell r="C427">
            <v>9205</v>
          </cell>
          <cell r="D427">
            <v>7928</v>
          </cell>
          <cell r="E427">
            <v>13273</v>
          </cell>
          <cell r="F427">
            <v>3992</v>
          </cell>
          <cell r="G427">
            <v>1565.7682478064648</v>
          </cell>
          <cell r="H427">
            <v>1219.422</v>
          </cell>
          <cell r="I427">
            <v>4044.45</v>
          </cell>
          <cell r="J427">
            <v>5889.6628925437808</v>
          </cell>
          <cell r="K427">
            <v>41227.640247806463</v>
          </cell>
          <cell r="M427">
            <v>1792.9880000000001</v>
          </cell>
          <cell r="N427">
            <v>429.57600000000002</v>
          </cell>
          <cell r="O427">
            <v>1544.857</v>
          </cell>
          <cell r="P427">
            <v>1729.1179999999999</v>
          </cell>
          <cell r="Q427">
            <v>4745</v>
          </cell>
          <cell r="R427">
            <v>5127</v>
          </cell>
          <cell r="S427">
            <v>1148.2149999999999</v>
          </cell>
          <cell r="T427">
            <v>2359.5362857142859</v>
          </cell>
          <cell r="U427">
            <v>16516.754000000001</v>
          </cell>
        </row>
        <row r="428">
          <cell r="B428" t="str">
            <v>FQ(1)</v>
          </cell>
          <cell r="C428">
            <v>9466</v>
          </cell>
          <cell r="D428">
            <v>7980</v>
          </cell>
          <cell r="E428">
            <v>13204</v>
          </cell>
          <cell r="F428">
            <v>4045</v>
          </cell>
          <cell r="G428">
            <v>1588.9128511624099</v>
          </cell>
          <cell r="H428">
            <v>1257.193</v>
          </cell>
          <cell r="I428">
            <v>3933.931</v>
          </cell>
          <cell r="J428">
            <v>5925.0052644517718</v>
          </cell>
          <cell r="K428">
            <v>41475.036851162404</v>
          </cell>
          <cell r="M428">
            <v>1832.9580000000001</v>
          </cell>
          <cell r="N428">
            <v>448.44900000000001</v>
          </cell>
          <cell r="O428">
            <v>1573.3050000000001</v>
          </cell>
          <cell r="P428">
            <v>1866.114</v>
          </cell>
          <cell r="Q428">
            <v>4981</v>
          </cell>
          <cell r="R428">
            <v>4745.2820000000002</v>
          </cell>
          <cell r="S428">
            <v>1215.26</v>
          </cell>
          <cell r="T428">
            <v>2380.3382857142856</v>
          </cell>
          <cell r="U428">
            <v>16662.367999999999</v>
          </cell>
        </row>
        <row r="429">
          <cell r="B429" t="str">
            <v>Last Reported Q</v>
          </cell>
          <cell r="C429">
            <v>9921</v>
          </cell>
          <cell r="D429">
            <v>8166</v>
          </cell>
          <cell r="E429">
            <v>13399</v>
          </cell>
          <cell r="F429">
            <v>4185</v>
          </cell>
          <cell r="G429">
            <v>1609.6632511624102</v>
          </cell>
          <cell r="H429">
            <v>1307.2929999999999</v>
          </cell>
          <cell r="I429">
            <v>3663.576</v>
          </cell>
          <cell r="J429">
            <v>6035.9331787374877</v>
          </cell>
          <cell r="K429">
            <v>42251.532251162411</v>
          </cell>
          <cell r="M429">
            <v>1913.74</v>
          </cell>
          <cell r="N429">
            <v>434.48899999999998</v>
          </cell>
          <cell r="O429">
            <v>1608.5170000000001</v>
          </cell>
          <cell r="P429">
            <v>1890.6420000000001</v>
          </cell>
          <cell r="Q429">
            <v>4891</v>
          </cell>
          <cell r="R429">
            <v>4906.8130000000001</v>
          </cell>
          <cell r="S429">
            <v>1296.7750000000001</v>
          </cell>
          <cell r="T429">
            <v>2420.2822857142855</v>
          </cell>
          <cell r="U429">
            <v>16941.975999999999</v>
          </cell>
        </row>
        <row r="430">
          <cell r="B430" t="str">
            <v>LTM</v>
          </cell>
          <cell r="C430">
            <v>9921</v>
          </cell>
          <cell r="D430">
            <v>8166</v>
          </cell>
          <cell r="E430">
            <v>13399</v>
          </cell>
          <cell r="F430">
            <v>4185</v>
          </cell>
          <cell r="G430">
            <v>1609.6632511624102</v>
          </cell>
          <cell r="H430">
            <v>1307.2929999999999</v>
          </cell>
          <cell r="I430">
            <v>3663.576</v>
          </cell>
          <cell r="J430">
            <v>6035.9331787374877</v>
          </cell>
          <cell r="K430">
            <v>42251.532251162411</v>
          </cell>
          <cell r="M430">
            <v>1913.74</v>
          </cell>
          <cell r="N430">
            <v>434.48899999999998</v>
          </cell>
          <cell r="O430">
            <v>1608.5170000000001</v>
          </cell>
          <cell r="P430">
            <v>1890.6420000000001</v>
          </cell>
          <cell r="Q430">
            <v>4891</v>
          </cell>
          <cell r="R430">
            <v>4906.8130000000001</v>
          </cell>
          <cell r="S430">
            <v>1296.7750000000001</v>
          </cell>
          <cell r="T430">
            <v>2420.2822857142855</v>
          </cell>
          <cell r="U430">
            <v>16941.975999999999</v>
          </cell>
        </row>
        <row r="431">
          <cell r="B431" t="str">
            <v>FY(2)</v>
          </cell>
          <cell r="C431">
            <v>6.5809269699786982E-2</v>
          </cell>
          <cell r="D431">
            <v>8.2885334351326931E-2</v>
          </cell>
          <cell r="E431">
            <v>0.35112163269240038</v>
          </cell>
          <cell r="F431">
            <v>8.1458700473953122E-2</v>
          </cell>
          <cell r="G431">
            <v>0.22929685396586078</v>
          </cell>
          <cell r="H431">
            <v>-0.21006670881179057</v>
          </cell>
          <cell r="I431">
            <v>-2.2453663384297919E-2</v>
          </cell>
          <cell r="J431">
            <v>8.2578774141034234E-2</v>
          </cell>
          <cell r="K431">
            <v>0.19857708733327781</v>
          </cell>
          <cell r="M431">
            <v>-0.46148251935356011</v>
          </cell>
          <cell r="N431">
            <v>-0.35860385241384618</v>
          </cell>
          <cell r="O431">
            <v>-0.43740474927186046</v>
          </cell>
          <cell r="P431">
            <v>-0.36363821654453149</v>
          </cell>
          <cell r="Q431">
            <v>-0.24406448082567961</v>
          </cell>
          <cell r="R431">
            <v>0.14331117677814789</v>
          </cell>
          <cell r="S431">
            <v>-0.29568343938763447</v>
          </cell>
          <cell r="T431">
            <v>-0.28822372585985206</v>
          </cell>
          <cell r="U431">
            <v>-0.18688254765837309</v>
          </cell>
        </row>
        <row r="432">
          <cell r="B432" t="str">
            <v>Unadjusted Cash/Market Cap</v>
          </cell>
          <cell r="C432">
            <v>0.17155117918135337</v>
          </cell>
          <cell r="D432">
            <v>0.13036246177433036</v>
          </cell>
          <cell r="E432">
            <v>0.46643565615462851</v>
          </cell>
          <cell r="F432">
            <v>0.59235816811785225</v>
          </cell>
          <cell r="G432">
            <v>0.26971047322857289</v>
          </cell>
          <cell r="H432">
            <v>-0.10143943375668921</v>
          </cell>
          <cell r="I432">
            <v>3.451495658087933E-2</v>
          </cell>
          <cell r="J432">
            <v>0.22335620875441822</v>
          </cell>
          <cell r="K432">
            <v>0.30990908137205347</v>
          </cell>
          <cell r="M432">
            <v>-0.40073829969851316</v>
          </cell>
          <cell r="N432">
            <v>-0.56735740789553724</v>
          </cell>
          <cell r="O432">
            <v>-0.46248090213537929</v>
          </cell>
          <cell r="P432">
            <v>-0.46612734724491706</v>
          </cell>
          <cell r="Q432">
            <v>-0.38390737392551322</v>
          </cell>
          <cell r="R432">
            <v>0.36814239012315064</v>
          </cell>
          <cell r="S432">
            <v>-0.23396150362478041</v>
          </cell>
          <cell r="T432">
            <v>-0.30663292062878422</v>
          </cell>
          <cell r="U432">
            <v>-0.13936172728752871</v>
          </cell>
        </row>
        <row r="433">
          <cell r="B433" t="str">
            <v>FY(2)</v>
          </cell>
          <cell r="C433" t="e">
            <v>#VALUE!</v>
          </cell>
          <cell r="D433" t="e">
            <v>#VALUE!</v>
          </cell>
          <cell r="E433" t="e">
            <v>#VALUE!</v>
          </cell>
          <cell r="F433" t="e">
            <v>#VALUE!</v>
          </cell>
          <cell r="G433" t="e">
            <v>#VALUE!</v>
          </cell>
          <cell r="H433" t="e">
            <v>#VALUE!</v>
          </cell>
          <cell r="I433" t="e">
            <v>#VALUE!</v>
          </cell>
          <cell r="J433" t="e">
            <v>#VALUE!</v>
          </cell>
          <cell r="K433" t="e">
            <v>#VALUE!</v>
          </cell>
          <cell r="M433" t="e">
            <v>#VALUE!</v>
          </cell>
          <cell r="N433" t="e">
            <v>#VALUE!</v>
          </cell>
          <cell r="O433" t="e">
            <v>#VALUE!</v>
          </cell>
          <cell r="P433" t="e">
            <v>#VALUE!</v>
          </cell>
          <cell r="Q433" t="e">
            <v>#VALUE!</v>
          </cell>
          <cell r="R433" t="e">
            <v>#VALUE!</v>
          </cell>
          <cell r="S433" t="e">
            <v>#VALUE!</v>
          </cell>
          <cell r="T433" t="e">
            <v>#VALUE!</v>
          </cell>
          <cell r="U433" t="e">
            <v>#VALUE!</v>
          </cell>
        </row>
        <row r="434">
          <cell r="B434" t="str">
            <v>FY(1)</v>
          </cell>
          <cell r="C434" t="e">
            <v>#VALUE!</v>
          </cell>
          <cell r="D434" t="e">
            <v>#VALUE!</v>
          </cell>
          <cell r="E434" t="e">
            <v>#VALUE!</v>
          </cell>
          <cell r="F434" t="e">
            <v>#VALUE!</v>
          </cell>
          <cell r="G434" t="e">
            <v>#VALUE!</v>
          </cell>
          <cell r="H434" t="e">
            <v>#VALUE!</v>
          </cell>
          <cell r="I434" t="e">
            <v>#VALUE!</v>
          </cell>
          <cell r="J434" t="e">
            <v>#VALUE!</v>
          </cell>
          <cell r="K434" t="e">
            <v>#VALUE!</v>
          </cell>
          <cell r="M434" t="e">
            <v>#VALUE!</v>
          </cell>
          <cell r="N434" t="e">
            <v>#VALUE!</v>
          </cell>
          <cell r="O434" t="e">
            <v>#VALUE!</v>
          </cell>
          <cell r="P434" t="e">
            <v>#VALUE!</v>
          </cell>
          <cell r="Q434" t="e">
            <v>#VALUE!</v>
          </cell>
          <cell r="R434" t="e">
            <v>#VALUE!</v>
          </cell>
          <cell r="S434" t="e">
            <v>#VALUE!</v>
          </cell>
          <cell r="T434" t="e">
            <v>#VALUE!</v>
          </cell>
          <cell r="U434" t="e">
            <v>#VALUE!</v>
          </cell>
        </row>
        <row r="435">
          <cell r="B435" t="str">
            <v>FY0</v>
          </cell>
          <cell r="C435" t="e">
            <v>#VALUE!</v>
          </cell>
          <cell r="D435" t="e">
            <v>#VALUE!</v>
          </cell>
          <cell r="E435" t="e">
            <v>#VALUE!</v>
          </cell>
          <cell r="F435" t="e">
            <v>#VALUE!</v>
          </cell>
          <cell r="G435" t="e">
            <v>#VALUE!</v>
          </cell>
          <cell r="H435" t="e">
            <v>#VALUE!</v>
          </cell>
          <cell r="I435" t="e">
            <v>#VALUE!</v>
          </cell>
          <cell r="J435" t="e">
            <v>#VALUE!</v>
          </cell>
          <cell r="K435" t="e">
            <v>#VALUE!</v>
          </cell>
          <cell r="M435" t="e">
            <v>#VALUE!</v>
          </cell>
          <cell r="N435" t="e">
            <v>#VALUE!</v>
          </cell>
          <cell r="O435" t="e">
            <v>#VALUE!</v>
          </cell>
          <cell r="P435" t="e">
            <v>#VALUE!</v>
          </cell>
          <cell r="Q435" t="e">
            <v>#VALUE!</v>
          </cell>
          <cell r="R435" t="e">
            <v>#VALUE!</v>
          </cell>
          <cell r="S435" t="e">
            <v>#VALUE!</v>
          </cell>
          <cell r="T435" t="e">
            <v>#VALUE!</v>
          </cell>
          <cell r="U435" t="e">
            <v>#VALUE!</v>
          </cell>
        </row>
        <row r="436">
          <cell r="B436" t="str">
            <v>FY1</v>
          </cell>
          <cell r="C436" t="e">
            <v>#VALUE!</v>
          </cell>
          <cell r="D436" t="e">
            <v>#VALUE!</v>
          </cell>
          <cell r="E436" t="e">
            <v>#VALUE!</v>
          </cell>
          <cell r="F436" t="e">
            <v>#VALUE!</v>
          </cell>
          <cell r="G436" t="e">
            <v>#VALUE!</v>
          </cell>
          <cell r="H436" t="e">
            <v>#VALUE!</v>
          </cell>
          <cell r="I436" t="e">
            <v>#VALUE!</v>
          </cell>
          <cell r="J436" t="e">
            <v>#VALUE!</v>
          </cell>
          <cell r="K436" t="e">
            <v>#VALUE!</v>
          </cell>
          <cell r="M436" t="e">
            <v>#VALUE!</v>
          </cell>
          <cell r="N436" t="e">
            <v>#VALUE!</v>
          </cell>
          <cell r="O436" t="e">
            <v>#VALUE!</v>
          </cell>
          <cell r="P436" t="e">
            <v>#VALUE!</v>
          </cell>
          <cell r="Q436" t="e">
            <v>#VALUE!</v>
          </cell>
          <cell r="R436" t="e">
            <v>#VALUE!</v>
          </cell>
          <cell r="S436" t="e">
            <v>#VALUE!</v>
          </cell>
          <cell r="T436" t="e">
            <v>#VALUE!</v>
          </cell>
          <cell r="U436" t="e">
            <v>#VALUE!</v>
          </cell>
        </row>
        <row r="437">
          <cell r="B437" t="str">
            <v>FY2</v>
          </cell>
          <cell r="C437" t="e">
            <v>#VALUE!</v>
          </cell>
          <cell r="D437" t="e">
            <v>#VALUE!</v>
          </cell>
          <cell r="E437" t="e">
            <v>#VALUE!</v>
          </cell>
          <cell r="F437" t="e">
            <v>#VALUE!</v>
          </cell>
          <cell r="G437" t="e">
            <v>#VALUE!</v>
          </cell>
          <cell r="H437" t="e">
            <v>#VALUE!</v>
          </cell>
          <cell r="I437" t="e">
            <v>#VALUE!</v>
          </cell>
          <cell r="J437" t="e">
            <v>#VALUE!</v>
          </cell>
          <cell r="K437" t="e">
            <v>#VALUE!</v>
          </cell>
          <cell r="M437" t="e">
            <v>#VALUE!</v>
          </cell>
          <cell r="N437" t="e">
            <v>#VALUE!</v>
          </cell>
          <cell r="O437" t="e">
            <v>#VALUE!</v>
          </cell>
          <cell r="P437" t="e">
            <v>#VALUE!</v>
          </cell>
          <cell r="Q437" t="e">
            <v>#VALUE!</v>
          </cell>
          <cell r="R437" t="e">
            <v>#VALUE!</v>
          </cell>
          <cell r="S437" t="e">
            <v>#VALUE!</v>
          </cell>
          <cell r="T437" t="e">
            <v>#VALUE!</v>
          </cell>
          <cell r="U437" t="e">
            <v>#VALUE!</v>
          </cell>
        </row>
        <row r="438">
          <cell r="B438" t="str">
            <v>FQ(3)</v>
          </cell>
          <cell r="C438" t="e">
            <v>#VALUE!</v>
          </cell>
          <cell r="D438" t="e">
            <v>#VALUE!</v>
          </cell>
          <cell r="E438" t="e">
            <v>#VALUE!</v>
          </cell>
          <cell r="F438" t="e">
            <v>#VALUE!</v>
          </cell>
          <cell r="G438" t="e">
            <v>#VALUE!</v>
          </cell>
          <cell r="H438" t="e">
            <v>#VALUE!</v>
          </cell>
          <cell r="I438" t="e">
            <v>#VALUE!</v>
          </cell>
          <cell r="J438" t="e">
            <v>#VALUE!</v>
          </cell>
          <cell r="K438" t="e">
            <v>#VALUE!</v>
          </cell>
          <cell r="M438" t="e">
            <v>#VALUE!</v>
          </cell>
          <cell r="N438" t="e">
            <v>#VALUE!</v>
          </cell>
          <cell r="O438" t="e">
            <v>#VALUE!</v>
          </cell>
          <cell r="P438" t="e">
            <v>#VALUE!</v>
          </cell>
          <cell r="Q438" t="e">
            <v>#VALUE!</v>
          </cell>
          <cell r="R438" t="e">
            <v>#VALUE!</v>
          </cell>
          <cell r="S438" t="e">
            <v>#VALUE!</v>
          </cell>
          <cell r="T438" t="e">
            <v>#VALUE!</v>
          </cell>
          <cell r="U438" t="e">
            <v>#VALUE!</v>
          </cell>
        </row>
        <row r="439">
          <cell r="B439" t="str">
            <v>FQ(2)</v>
          </cell>
          <cell r="C439" t="e">
            <v>#VALUE!</v>
          </cell>
          <cell r="D439" t="e">
            <v>#VALUE!</v>
          </cell>
          <cell r="E439" t="e">
            <v>#VALUE!</v>
          </cell>
          <cell r="F439" t="e">
            <v>#VALUE!</v>
          </cell>
          <cell r="G439" t="e">
            <v>#VALUE!</v>
          </cell>
          <cell r="H439" t="e">
            <v>#VALUE!</v>
          </cell>
          <cell r="I439" t="e">
            <v>#VALUE!</v>
          </cell>
          <cell r="J439" t="e">
            <v>#VALUE!</v>
          </cell>
          <cell r="K439" t="e">
            <v>#VALUE!</v>
          </cell>
          <cell r="M439" t="e">
            <v>#VALUE!</v>
          </cell>
          <cell r="N439" t="e">
            <v>#VALUE!</v>
          </cell>
          <cell r="O439" t="e">
            <v>#VALUE!</v>
          </cell>
          <cell r="P439" t="e">
            <v>#VALUE!</v>
          </cell>
          <cell r="Q439" t="e">
            <v>#VALUE!</v>
          </cell>
          <cell r="R439" t="e">
            <v>#VALUE!</v>
          </cell>
          <cell r="S439" t="e">
            <v>#VALUE!</v>
          </cell>
          <cell r="T439" t="e">
            <v>#VALUE!</v>
          </cell>
          <cell r="U439" t="e">
            <v>#VALUE!</v>
          </cell>
        </row>
        <row r="440">
          <cell r="B440" t="str">
            <v>FQ(1)</v>
          </cell>
          <cell r="C440" t="e">
            <v>#VALUE!</v>
          </cell>
          <cell r="D440" t="e">
            <v>#VALUE!</v>
          </cell>
          <cell r="E440" t="e">
            <v>#VALUE!</v>
          </cell>
          <cell r="F440" t="e">
            <v>#VALUE!</v>
          </cell>
          <cell r="G440" t="e">
            <v>#VALUE!</v>
          </cell>
          <cell r="H440" t="e">
            <v>#VALUE!</v>
          </cell>
          <cell r="I440" t="e">
            <v>#VALUE!</v>
          </cell>
          <cell r="J440" t="e">
            <v>#VALUE!</v>
          </cell>
          <cell r="K440" t="e">
            <v>#VALUE!</v>
          </cell>
          <cell r="M440" t="e">
            <v>#VALUE!</v>
          </cell>
          <cell r="N440" t="e">
            <v>#VALUE!</v>
          </cell>
          <cell r="O440" t="e">
            <v>#VALUE!</v>
          </cell>
          <cell r="P440" t="e">
            <v>#VALUE!</v>
          </cell>
          <cell r="Q440" t="e">
            <v>#VALUE!</v>
          </cell>
          <cell r="R440" t="e">
            <v>#VALUE!</v>
          </cell>
          <cell r="S440" t="e">
            <v>#VALUE!</v>
          </cell>
          <cell r="T440" t="e">
            <v>#VALUE!</v>
          </cell>
          <cell r="U440" t="e">
            <v>#VALUE!</v>
          </cell>
        </row>
        <row r="441">
          <cell r="A441" t="str">
            <v>mscalc:bookValuePerShareReported</v>
          </cell>
          <cell r="B441" t="str">
            <v>Last Reported Q</v>
          </cell>
          <cell r="C441" t="e">
            <v>#VALUE!</v>
          </cell>
          <cell r="D441" t="e">
            <v>#VALUE!</v>
          </cell>
          <cell r="E441" t="e">
            <v>#VALUE!</v>
          </cell>
          <cell r="F441" t="e">
            <v>#VALUE!</v>
          </cell>
          <cell r="G441" t="e">
            <v>#VALUE!</v>
          </cell>
          <cell r="H441" t="e">
            <v>#VALUE!</v>
          </cell>
          <cell r="I441" t="e">
            <v>#VALUE!</v>
          </cell>
          <cell r="J441" t="e">
            <v>#VALUE!</v>
          </cell>
          <cell r="K441" t="e">
            <v>#VALUE!</v>
          </cell>
          <cell r="M441" t="e">
            <v>#VALUE!</v>
          </cell>
          <cell r="N441" t="e">
            <v>#VALUE!</v>
          </cell>
          <cell r="O441" t="e">
            <v>#VALUE!</v>
          </cell>
          <cell r="P441" t="e">
            <v>#VALUE!</v>
          </cell>
          <cell r="Q441" t="e">
            <v>#VALUE!</v>
          </cell>
          <cell r="R441" t="e">
            <v>#VALUE!</v>
          </cell>
          <cell r="S441" t="e">
            <v>#VALUE!</v>
          </cell>
          <cell r="T441" t="e">
            <v>#VALUE!</v>
          </cell>
          <cell r="U441" t="e">
            <v>#VALUE!</v>
          </cell>
        </row>
        <row r="442">
          <cell r="B442" t="str">
            <v>LTM</v>
          </cell>
          <cell r="C442" t="e">
            <v>#VALUE!</v>
          </cell>
          <cell r="D442" t="e">
            <v>#VALUE!</v>
          </cell>
          <cell r="E442" t="e">
            <v>#VALUE!</v>
          </cell>
          <cell r="F442" t="e">
            <v>#VALUE!</v>
          </cell>
          <cell r="G442" t="e">
            <v>#VALUE!</v>
          </cell>
          <cell r="H442" t="e">
            <v>#VALUE!</v>
          </cell>
          <cell r="I442" t="e">
            <v>#VALUE!</v>
          </cell>
          <cell r="J442" t="e">
            <v>#VALUE!</v>
          </cell>
          <cell r="K442" t="e">
            <v>#VALUE!</v>
          </cell>
          <cell r="M442" t="e">
            <v>#VALUE!</v>
          </cell>
          <cell r="N442" t="e">
            <v>#VALUE!</v>
          </cell>
          <cell r="O442" t="e">
            <v>#VALUE!</v>
          </cell>
          <cell r="P442" t="e">
            <v>#VALUE!</v>
          </cell>
          <cell r="Q442" t="e">
            <v>#VALUE!</v>
          </cell>
          <cell r="R442" t="e">
            <v>#VALUE!</v>
          </cell>
          <cell r="S442" t="e">
            <v>#VALUE!</v>
          </cell>
          <cell r="T442" t="e">
            <v>#VALUE!</v>
          </cell>
          <cell r="U442" t="e">
            <v>#VALUE!</v>
          </cell>
        </row>
        <row r="443">
          <cell r="B443" t="str">
            <v>LTM Cash to Sales</v>
          </cell>
          <cell r="C443">
            <v>7.9023345533761155E-2</v>
          </cell>
          <cell r="D443">
            <v>0.10171530997194646</v>
          </cell>
          <cell r="E443">
            <v>4.3097830253775969E-2</v>
          </cell>
          <cell r="F443">
            <v>5.6859075392310082E-2</v>
          </cell>
          <cell r="G443">
            <v>3.6973723411650533E-2</v>
          </cell>
          <cell r="H443">
            <v>6.2154737662979645E-2</v>
          </cell>
          <cell r="I443">
            <v>5.039334442834939E-2</v>
          </cell>
          <cell r="J443">
            <v>6.1459623807824756E-2</v>
          </cell>
          <cell r="K443">
            <v>6.408588758018148E-2</v>
          </cell>
          <cell r="M443">
            <v>0.14784269805938441</v>
          </cell>
          <cell r="N443">
            <v>9.4802007709936922E-2</v>
          </cell>
          <cell r="O443">
            <v>0.13947269737814</v>
          </cell>
          <cell r="P443">
            <v>0.32988509699846741</v>
          </cell>
          <cell r="Q443">
            <v>0.10658167066810167</v>
          </cell>
          <cell r="R443">
            <v>0.12705432662757407</v>
          </cell>
          <cell r="S443">
            <v>0.15257532618810868</v>
          </cell>
          <cell r="T443">
            <v>0.15688768908995904</v>
          </cell>
          <cell r="U443">
            <v>0.13241625323602554</v>
          </cell>
        </row>
        <row r="444">
          <cell r="B444" t="str">
            <v>FY2</v>
          </cell>
          <cell r="C444">
            <v>28.941094679444198</v>
          </cell>
          <cell r="D444">
            <v>21.266051315025202</v>
          </cell>
          <cell r="E444">
            <v>13.083380297252999</v>
          </cell>
          <cell r="F444">
            <v>8.1142551074679794</v>
          </cell>
          <cell r="G444">
            <v>6.3740220739144702</v>
          </cell>
          <cell r="H444">
            <v>11.257598977178199</v>
          </cell>
          <cell r="I444">
            <v>9.1456806254300105</v>
          </cell>
          <cell r="M444">
            <v>20.9365909688578</v>
          </cell>
          <cell r="N444">
            <v>8.6045504321921999</v>
          </cell>
          <cell r="O444">
            <v>7.6901666904003703</v>
          </cell>
          <cell r="P444">
            <v>7.6203246194170697</v>
          </cell>
          <cell r="Q444">
            <v>7.6048157398120697</v>
          </cell>
          <cell r="R444">
            <v>6.9148812185110096</v>
          </cell>
          <cell r="S444">
            <v>9.2979721334564491</v>
          </cell>
        </row>
        <row r="446">
          <cell r="A446" t="str">
            <v>Free Cash Flow</v>
          </cell>
          <cell r="B446" t="str">
            <v>Unadjusted Net Debt/EBITDA</v>
          </cell>
        </row>
        <row r="447">
          <cell r="B447" t="str">
            <v>FY(2)</v>
          </cell>
          <cell r="C447">
            <v>0.62078151143528393</v>
          </cell>
          <cell r="D447">
            <v>0.50947547885808486</v>
          </cell>
          <cell r="E447">
            <v>2.7332712369597605</v>
          </cell>
          <cell r="F447">
            <v>1.4439160584488901</v>
          </cell>
          <cell r="G447">
            <v>1.7425698693100762</v>
          </cell>
          <cell r="H447">
            <v>-0.20981930268185092</v>
          </cell>
          <cell r="I447">
            <v>5.6035635454484554E-2</v>
          </cell>
          <cell r="J447">
            <v>0.98517578396924699</v>
          </cell>
          <cell r="K447">
            <v>1.1914891141070827</v>
          </cell>
          <cell r="M447">
            <v>-0.54240651967537545</v>
          </cell>
          <cell r="N447">
            <v>-0.9664881964356703</v>
          </cell>
          <cell r="O447">
            <v>-0.68344732314628698</v>
          </cell>
          <cell r="P447">
            <v>-0.64769185801892226</v>
          </cell>
          <cell r="Q447">
            <v>-0.805379746835443</v>
          </cell>
          <cell r="R447">
            <v>1.427097651690326</v>
          </cell>
          <cell r="S447">
            <v>-1.240780168292865</v>
          </cell>
          <cell r="T447">
            <v>-0.49415659438774812</v>
          </cell>
          <cell r="U447">
            <v>-0.32763191811526549</v>
          </cell>
        </row>
        <row r="448">
          <cell r="A448" t="str">
            <v>mstag:interestExpense</v>
          </cell>
          <cell r="B448" t="str">
            <v>FY(1)</v>
          </cell>
          <cell r="C448">
            <v>0.67077162805166402</v>
          </cell>
          <cell r="D448">
            <v>0.72184631302404723</v>
          </cell>
          <cell r="E448">
            <v>3.1364443198804186</v>
          </cell>
          <cell r="F448">
            <v>2.257018580946883</v>
          </cell>
          <cell r="G448">
            <v>25.080237511960661</v>
          </cell>
          <cell r="H448">
            <v>-0.27210060477062714</v>
          </cell>
          <cell r="I448">
            <v>0.1775128590615169</v>
          </cell>
          <cell r="J448">
            <v>4.5388186583077941</v>
          </cell>
          <cell r="K448">
            <v>1.4264821229894211</v>
          </cell>
          <cell r="M448">
            <v>-0.58221308880625289</v>
          </cell>
          <cell r="N448">
            <v>-0.77712260942898337</v>
          </cell>
          <cell r="O448">
            <v>-0.9291879730006114</v>
          </cell>
          <cell r="P448">
            <v>-0.5438097150397716</v>
          </cell>
          <cell r="Q448">
            <v>-0.78686200378071836</v>
          </cell>
          <cell r="R448">
            <v>1.6253095151051484</v>
          </cell>
          <cell r="S448">
            <v>-0.95961812766135968</v>
          </cell>
          <cell r="T448">
            <v>-0.42192914323036412</v>
          </cell>
          <cell r="U448">
            <v>-0.32758825241373812</v>
          </cell>
        </row>
        <row r="449">
          <cell r="A449">
            <v>0.38</v>
          </cell>
          <cell r="B449" t="str">
            <v>FY0</v>
          </cell>
          <cell r="C449">
            <v>-8.5944095238591922E-2</v>
          </cell>
          <cell r="D449">
            <v>0.33228931309093246</v>
          </cell>
          <cell r="E449">
            <v>2.6319913663663663</v>
          </cell>
          <cell r="F449">
            <v>1.5852490873946661</v>
          </cell>
          <cell r="G449">
            <v>3.1011487412602823</v>
          </cell>
          <cell r="H449">
            <v>-0.70044497353600743</v>
          </cell>
          <cell r="I449">
            <v>-0.40023585169619963</v>
          </cell>
          <cell r="J449">
            <v>0.92343622680592119</v>
          </cell>
          <cell r="K449">
            <v>0.72760479731418182</v>
          </cell>
          <cell r="M449">
            <v>-1.6626117758933967</v>
          </cell>
          <cell r="N449">
            <v>-0.79045318475366411</v>
          </cell>
          <cell r="O449">
            <v>-1.6639704751499984</v>
          </cell>
          <cell r="P449">
            <v>-0.68306905061195133</v>
          </cell>
          <cell r="Q449">
            <v>-1.0800335570469799</v>
          </cell>
          <cell r="R449">
            <v>0.75362110728915033</v>
          </cell>
          <cell r="S449">
            <v>-1.164446584097903</v>
          </cell>
          <cell r="T449">
            <v>-0.89870907432353486</v>
          </cell>
          <cell r="U449">
            <v>-0.71814415664016296</v>
          </cell>
        </row>
        <row r="450">
          <cell r="A450" t="str">
            <v>mstag:otherInterestIncomeExpense</v>
          </cell>
          <cell r="B450" t="str">
            <v>FY1</v>
          </cell>
          <cell r="C450">
            <v>-0.29347322790041919</v>
          </cell>
          <cell r="D450">
            <v>7.7651652985500877E-2</v>
          </cell>
          <cell r="E450">
            <v>1.9649120143593546</v>
          </cell>
          <cell r="F450">
            <v>1.1529866140968601</v>
          </cell>
          <cell r="G450">
            <v>2.0346107878341644</v>
          </cell>
          <cell r="H450">
            <v>-0.69838146213609853</v>
          </cell>
          <cell r="I450">
            <v>-0.53190963134538816</v>
          </cell>
          <cell r="J450">
            <v>0.52948524969913913</v>
          </cell>
          <cell r="K450">
            <v>0.39279981275510029</v>
          </cell>
          <cell r="M450">
            <v>-1.1292800002243304</v>
          </cell>
          <cell r="N450">
            <v>-0.86757976902155665</v>
          </cell>
          <cell r="O450">
            <v>-1.4092416602410212</v>
          </cell>
          <cell r="P450">
            <v>-0.75571377482459823</v>
          </cell>
          <cell r="Q450">
            <v>-1.0660872466694959</v>
          </cell>
          <cell r="R450">
            <v>0.68962386469426917</v>
          </cell>
          <cell r="S450">
            <v>-1.3637223498551692</v>
          </cell>
          <cell r="T450">
            <v>-0.84314299087741451</v>
          </cell>
          <cell r="U450">
            <v>-0.70005820169220656</v>
          </cell>
        </row>
        <row r="451">
          <cell r="B451" t="str">
            <v>FY2</v>
          </cell>
          <cell r="C451">
            <v>-0.43416188163660691</v>
          </cell>
          <cell r="D451">
            <v>9.8753220072346718E-3</v>
          </cell>
          <cell r="E451">
            <v>1.4421016561144622</v>
          </cell>
          <cell r="F451">
            <v>1.0807115726483665</v>
          </cell>
          <cell r="G451">
            <v>1.0683170055444</v>
          </cell>
          <cell r="H451">
            <v>-0.7850937435673967</v>
          </cell>
          <cell r="I451">
            <v>-0.68827364540108127</v>
          </cell>
          <cell r="J451">
            <v>0.24192518367276833</v>
          </cell>
          <cell r="K451">
            <v>0.15786955309226858</v>
          </cell>
          <cell r="M451">
            <v>-0.7622956319381099</v>
          </cell>
          <cell r="N451">
            <v>-0.94282809885546814</v>
          </cell>
          <cell r="O451">
            <v>-1.4465272382161611</v>
          </cell>
          <cell r="P451">
            <v>-0.81885096688786108</v>
          </cell>
          <cell r="Q451">
            <v>-1.0105684999347193</v>
          </cell>
          <cell r="R451">
            <v>0.41411327334332276</v>
          </cell>
          <cell r="S451">
            <v>-1.4656395262537882</v>
          </cell>
          <cell r="T451">
            <v>-0.86179952696325501</v>
          </cell>
          <cell r="U451">
            <v>-0.73849245633532801</v>
          </cell>
        </row>
        <row r="452">
          <cell r="B452" t="str">
            <v>FQ(3)</v>
          </cell>
          <cell r="C452">
            <v>3.0085271348367471</v>
          </cell>
          <cell r="D452">
            <v>6.0503231175190271</v>
          </cell>
          <cell r="E452">
            <v>26.174694189602434</v>
          </cell>
          <cell r="F452">
            <v>10.871662346375254</v>
          </cell>
          <cell r="G452">
            <v>17.437011848518488</v>
          </cell>
          <cell r="H452">
            <v>-1.647181635317595</v>
          </cell>
          <cell r="I452">
            <v>0.27588930739343676</v>
          </cell>
          <cell r="J452">
            <v>8.8815609012753978</v>
          </cell>
          <cell r="K452">
            <v>7.5819974592705446</v>
          </cell>
          <cell r="M452">
            <v>-14.099647959415011</v>
          </cell>
          <cell r="N452">
            <v>-3.6489189348415225</v>
          </cell>
          <cell r="O452">
            <v>-6.013655276559513</v>
          </cell>
          <cell r="P452">
            <v>-2.2825822645801468</v>
          </cell>
          <cell r="Q452">
            <v>-3.443548387096774</v>
          </cell>
          <cell r="R452">
            <v>13.056873820441924</v>
          </cell>
          <cell r="S452">
            <v>-4.36336314323413</v>
          </cell>
          <cell r="T452">
            <v>-2.9706917350407389</v>
          </cell>
          <cell r="U452">
            <v>-1.4128705561223336</v>
          </cell>
        </row>
        <row r="453">
          <cell r="B453" t="str">
            <v>FQ(2)</v>
          </cell>
          <cell r="C453">
            <v>1.3172055927366482</v>
          </cell>
          <cell r="D453">
            <v>5.744633109357979</v>
          </cell>
          <cell r="E453">
            <v>14.080831903945105</v>
          </cell>
          <cell r="F453">
            <v>7.4520447297242329</v>
          </cell>
          <cell r="G453">
            <v>-18.499250645089607</v>
          </cell>
          <cell r="H453">
            <v>-1.7753591940292801</v>
          </cell>
          <cell r="I453">
            <v>-0.40571156746794457</v>
          </cell>
          <cell r="J453">
            <v>1.1306277041681621</v>
          </cell>
          <cell r="K453">
            <v>5.2628443477421527</v>
          </cell>
          <cell r="M453">
            <v>-5.9842932561504849</v>
          </cell>
          <cell r="N453">
            <v>-3.1594434218486533</v>
          </cell>
          <cell r="O453">
            <v>-5.5694236939430306</v>
          </cell>
          <cell r="P453">
            <v>-3.0584028890536437</v>
          </cell>
          <cell r="Q453">
            <v>-4.1298449612403099</v>
          </cell>
          <cell r="R453">
            <v>7.1867121795963538</v>
          </cell>
          <cell r="S453">
            <v>-2.8464965892512124</v>
          </cell>
          <cell r="T453">
            <v>-2.508741804555854</v>
          </cell>
          <cell r="U453">
            <v>-1.9454326807327575</v>
          </cell>
        </row>
        <row r="454">
          <cell r="B454" t="str">
            <v>FQ(1)</v>
          </cell>
          <cell r="C454">
            <v>1.104790668417178</v>
          </cell>
          <cell r="D454">
            <v>5.49126532417087</v>
          </cell>
          <cell r="E454">
            <v>21.133997429305904</v>
          </cell>
          <cell r="F454">
            <v>8.4915565866202467</v>
          </cell>
          <cell r="G454">
            <v>10.384681336255451</v>
          </cell>
          <cell r="H454">
            <v>-2.0104459856350783</v>
          </cell>
          <cell r="I454">
            <v>-0.65665224296477831</v>
          </cell>
          <cell r="J454">
            <v>6.2770275880242554</v>
          </cell>
          <cell r="K454">
            <v>5.1046925747801914</v>
          </cell>
          <cell r="M454">
            <v>-4.5012933746679629</v>
          </cell>
          <cell r="N454">
            <v>-2.4062692357603508</v>
          </cell>
          <cell r="O454">
            <v>-4.3599790377974719</v>
          </cell>
          <cell r="P454">
            <v>-3.778039723022129</v>
          </cell>
          <cell r="Q454">
            <v>-3.7063369397217927</v>
          </cell>
          <cell r="R454">
            <v>12.929730062658297</v>
          </cell>
          <cell r="S454">
            <v>-3.5044685858831217</v>
          </cell>
          <cell r="T454">
            <v>-1.3323795477420757</v>
          </cell>
          <cell r="U454">
            <v>-2.0644451787323024</v>
          </cell>
        </row>
        <row r="455">
          <cell r="B455" t="str">
            <v>Last Reported Q</v>
          </cell>
          <cell r="C455">
            <v>-8.5944095238591922E-2</v>
          </cell>
          <cell r="D455">
            <v>0.33228931309093246</v>
          </cell>
          <cell r="E455">
            <v>2.6319913663663663</v>
          </cell>
          <cell r="F455">
            <v>1.5852490873946661</v>
          </cell>
          <cell r="G455">
            <v>3.1011487412602823</v>
          </cell>
          <cell r="H455">
            <v>-0.70044497353600743</v>
          </cell>
          <cell r="I455">
            <v>-0.40023585169619963</v>
          </cell>
          <cell r="J455">
            <v>0.92343622680592119</v>
          </cell>
          <cell r="K455">
            <v>0.72760479731418182</v>
          </cell>
          <cell r="M455">
            <v>-1.6626117758933967</v>
          </cell>
          <cell r="N455">
            <v>-0.79045318475366411</v>
          </cell>
          <cell r="O455">
            <v>-1.6639704751499984</v>
          </cell>
          <cell r="P455">
            <v>-2.6366528895301915</v>
          </cell>
          <cell r="Q455">
            <v>-1.0800335570469799</v>
          </cell>
          <cell r="R455">
            <v>0.75362110728915033</v>
          </cell>
          <cell r="S455">
            <v>-1.164446584097903</v>
          </cell>
          <cell r="T455">
            <v>-1.1777924798832833</v>
          </cell>
          <cell r="U455">
            <v>-0.86342639624357287</v>
          </cell>
        </row>
        <row r="456">
          <cell r="B456" t="str">
            <v>LTM</v>
          </cell>
          <cell r="C456">
            <v>-5.3089225005100674E-2</v>
          </cell>
          <cell r="D456">
            <v>0.21353552972214196</v>
          </cell>
          <cell r="E456">
            <v>1.7692720161493818</v>
          </cell>
          <cell r="F456">
            <v>0.95447805944445252</v>
          </cell>
          <cell r="G456">
            <v>2.1243335723577608</v>
          </cell>
          <cell r="H456">
            <v>-0.4146301889013202</v>
          </cell>
          <cell r="I456">
            <v>-0.23730896873519447</v>
          </cell>
          <cell r="J456">
            <v>0.62237011357601735</v>
          </cell>
          <cell r="K456">
            <v>0.45379983425291787</v>
          </cell>
          <cell r="M456">
            <v>-1.098586120753511</v>
          </cell>
          <cell r="N456">
            <v>-0.49336964078807161</v>
          </cell>
          <cell r="O456">
            <v>-1.0245786743692473</v>
          </cell>
          <cell r="P456">
            <v>-0.94085968017258526</v>
          </cell>
          <cell r="Q456">
            <v>-0.6368538214197379</v>
          </cell>
          <cell r="R456">
            <v>0.52379054058678198</v>
          </cell>
          <cell r="S456">
            <v>-0.69681914283811763</v>
          </cell>
          <cell r="T456">
            <v>-0.62389664853635551</v>
          </cell>
          <cell r="U456">
            <v>-0.50978328158630037</v>
          </cell>
        </row>
        <row r="457">
          <cell r="B457" t="str">
            <v>FY1</v>
          </cell>
          <cell r="C457">
            <v>3.8862183909618229E-2</v>
          </cell>
          <cell r="D457">
            <v>-2.7339277114496467E-3</v>
          </cell>
          <cell r="E457">
            <v>3.5223782244625912E-2</v>
          </cell>
          <cell r="F457">
            <v>2.6424387208056593E-2</v>
          </cell>
          <cell r="G457">
            <v>-1.8071537178470622E-2</v>
          </cell>
          <cell r="H457">
            <v>5.3285963374375404E-2</v>
          </cell>
          <cell r="I457">
            <v>4.6996767941554794E-2</v>
          </cell>
          <cell r="J457">
            <v>2.5712517112615813E-2</v>
          </cell>
          <cell r="K457">
            <v>3.0552783656178185E-2</v>
          </cell>
          <cell r="M457">
            <v>1.7558553174681878E-2</v>
          </cell>
          <cell r="N457">
            <v>9.4733747506953347E-2</v>
          </cell>
          <cell r="O457">
            <v>3.927450676946953E-2</v>
          </cell>
          <cell r="P457">
            <v>0.18632383464964566</v>
          </cell>
          <cell r="Q457">
            <v>7.601987728838501E-2</v>
          </cell>
          <cell r="R457">
            <v>3.9489732823429061E-2</v>
          </cell>
          <cell r="S457">
            <v>7.0273028870299736E-2</v>
          </cell>
          <cell r="T457">
            <v>7.4810468726123444E-2</v>
          </cell>
          <cell r="U457">
            <v>7.1133632257864343E-2</v>
          </cell>
        </row>
        <row r="458">
          <cell r="A458" t="str">
            <v>mstag:rentalPaymentOnCapitalizedOperatingLeasesLessee</v>
          </cell>
          <cell r="B458" t="str">
            <v>Rent Payments</v>
          </cell>
          <cell r="C458">
            <v>4.0399164926698122E-2</v>
          </cell>
          <cell r="D458">
            <v>1.6931586348310497E-2</v>
          </cell>
          <cell r="E458">
            <v>2.9456136212050146E-2</v>
          </cell>
          <cell r="F458">
            <v>2.0077868758461886E-2</v>
          </cell>
          <cell r="G458">
            <v>2.2569207819594437E-4</v>
          </cell>
          <cell r="H458">
            <v>4.4593896192770086E-2</v>
          </cell>
          <cell r="I458">
            <v>4.9015164653234404E-2</v>
          </cell>
          <cell r="J458">
            <v>2.8671358452817299E-2</v>
          </cell>
          <cell r="K458">
            <v>3.3086860119727286E-2</v>
          </cell>
          <cell r="M458">
            <v>1.3331044461962222E-2</v>
          </cell>
          <cell r="N458">
            <v>8.085394256907405E-2</v>
          </cell>
          <cell r="O458">
            <v>5.1174560505937175E-2</v>
          </cell>
          <cell r="P458">
            <v>0.18148861674681205</v>
          </cell>
          <cell r="Q458">
            <v>7.2415679205012184E-2</v>
          </cell>
          <cell r="R458">
            <v>4.2100436438037216E-2</v>
          </cell>
          <cell r="S458">
            <v>7.2374325816125115E-2</v>
          </cell>
          <cell r="T458">
            <v>7.3391229391851429E-2</v>
          </cell>
          <cell r="U458">
            <v>6.9928491080842994E-2</v>
          </cell>
        </row>
        <row r="459">
          <cell r="B459" t="str">
            <v>FY(2)</v>
          </cell>
          <cell r="C459">
            <v>413.3</v>
          </cell>
          <cell r="D459">
            <v>210</v>
          </cell>
          <cell r="E459">
            <v>221</v>
          </cell>
          <cell r="F459">
            <v>81</v>
          </cell>
          <cell r="G459">
            <v>87.075000000000003</v>
          </cell>
          <cell r="H459">
            <v>301.58199999999999</v>
          </cell>
          <cell r="I459">
            <v>886.9</v>
          </cell>
          <cell r="J459">
            <v>314.40814285714288</v>
          </cell>
          <cell r="K459">
            <v>2200.857</v>
          </cell>
          <cell r="M459">
            <v>231.65299999999999</v>
          </cell>
          <cell r="N459">
            <v>77.64</v>
          </cell>
          <cell r="O459">
            <v>167.05099999999999</v>
          </cell>
          <cell r="P459">
            <v>107.458</v>
          </cell>
          <cell r="Q459">
            <v>970</v>
          </cell>
          <cell r="R459">
            <v>441</v>
          </cell>
          <cell r="S459">
            <v>100.02</v>
          </cell>
          <cell r="T459">
            <v>299.26028571428571</v>
          </cell>
          <cell r="U459">
            <v>2094.8220000000001</v>
          </cell>
        </row>
        <row r="460">
          <cell r="B460" t="str">
            <v>FY(1)</v>
          </cell>
          <cell r="C460">
            <v>445</v>
          </cell>
          <cell r="D460">
            <v>217</v>
          </cell>
          <cell r="E460">
            <v>230</v>
          </cell>
          <cell r="F460">
            <v>76</v>
          </cell>
          <cell r="G460">
            <v>83.682000000000002</v>
          </cell>
          <cell r="H460">
            <v>325.89999999999998</v>
          </cell>
          <cell r="I460">
            <v>928.3</v>
          </cell>
          <cell r="J460">
            <v>329.41171428571425</v>
          </cell>
          <cell r="K460">
            <v>2305.8819999999996</v>
          </cell>
          <cell r="M460">
            <v>280.61399999999998</v>
          </cell>
          <cell r="N460">
            <v>88.031000000000006</v>
          </cell>
          <cell r="O460">
            <v>197.82</v>
          </cell>
          <cell r="P460">
            <v>132.96899999999999</v>
          </cell>
          <cell r="Q460">
            <v>992</v>
          </cell>
          <cell r="R460">
            <v>391</v>
          </cell>
          <cell r="S460">
            <v>112.907</v>
          </cell>
          <cell r="T460">
            <v>313.62014285714292</v>
          </cell>
          <cell r="U460">
            <v>2195.3410000000003</v>
          </cell>
        </row>
        <row r="461">
          <cell r="B461" t="str">
            <v>FY0</v>
          </cell>
          <cell r="C461">
            <v>496</v>
          </cell>
          <cell r="D461">
            <v>231</v>
          </cell>
          <cell r="E461">
            <v>230</v>
          </cell>
          <cell r="F461">
            <v>89</v>
          </cell>
          <cell r="G461">
            <v>88.454999999999998</v>
          </cell>
          <cell r="H461">
            <v>336.5</v>
          </cell>
          <cell r="I461">
            <v>949</v>
          </cell>
          <cell r="J461">
            <v>345.70785714285711</v>
          </cell>
          <cell r="K461">
            <v>2419.9549999999999</v>
          </cell>
          <cell r="M461">
            <v>301.13799999999998</v>
          </cell>
          <cell r="N461">
            <v>97.888999999999996</v>
          </cell>
          <cell r="O461">
            <v>229.428</v>
          </cell>
          <cell r="P461">
            <v>151.267</v>
          </cell>
          <cell r="Q461">
            <v>973</v>
          </cell>
          <cell r="R461">
            <v>407</v>
          </cell>
          <cell r="S461">
            <v>127.434109734499</v>
          </cell>
          <cell r="T461">
            <v>326.73658710492839</v>
          </cell>
          <cell r="U461">
            <v>2287.1561097344988</v>
          </cell>
        </row>
        <row r="462">
          <cell r="B462" t="str">
            <v>FY1</v>
          </cell>
          <cell r="C462">
            <v>518.56303309414204</v>
          </cell>
          <cell r="D462">
            <v>236.036967509025</v>
          </cell>
          <cell r="E462">
            <v>235.41176470588201</v>
          </cell>
          <cell r="F462">
            <v>94.618556360602398</v>
          </cell>
          <cell r="G462">
            <v>90.912720945319705</v>
          </cell>
          <cell r="H462">
            <v>357.93168758199101</v>
          </cell>
          <cell r="I462">
            <v>970.16158569428001</v>
          </cell>
          <cell r="J462">
            <v>357.66233084160604</v>
          </cell>
          <cell r="K462">
            <v>2503.6363158912422</v>
          </cell>
          <cell r="M462">
            <v>318.11697719272098</v>
          </cell>
          <cell r="N462">
            <v>105.26366844444399</v>
          </cell>
          <cell r="O462">
            <v>234.19916455511199</v>
          </cell>
          <cell r="P462">
            <v>166.354913589744</v>
          </cell>
          <cell r="Q462">
            <v>967.79732534490495</v>
          </cell>
          <cell r="R462">
            <v>457.30408312233999</v>
          </cell>
          <cell r="S462">
            <v>146.22090008927199</v>
          </cell>
          <cell r="T462">
            <v>342.17957604836266</v>
          </cell>
          <cell r="U462">
            <v>2395.2570323385385</v>
          </cell>
        </row>
        <row r="463">
          <cell r="B463" t="str">
            <v>FY2</v>
          </cell>
          <cell r="C463">
            <v>552.77130938437199</v>
          </cell>
          <cell r="D463">
            <v>241.82093644258001</v>
          </cell>
          <cell r="E463">
            <v>239.98217166756399</v>
          </cell>
          <cell r="F463">
            <v>100.17534986731199</v>
          </cell>
          <cell r="G463">
            <v>96.459784775814597</v>
          </cell>
          <cell r="H463">
            <v>383.82128500347801</v>
          </cell>
          <cell r="I463">
            <v>986.94424197336195</v>
          </cell>
          <cell r="J463">
            <v>371.7107255877832</v>
          </cell>
          <cell r="K463">
            <v>2601.9750791144825</v>
          </cell>
          <cell r="M463">
            <v>353.83675694878099</v>
          </cell>
          <cell r="N463">
            <v>117.765877715481</v>
          </cell>
          <cell r="O463">
            <v>253.48517768534199</v>
          </cell>
          <cell r="P463">
            <v>179.71223459268501</v>
          </cell>
          <cell r="Q463">
            <v>953.87523311373502</v>
          </cell>
          <cell r="R463">
            <v>472.39043594442302</v>
          </cell>
          <cell r="S463">
            <v>166.065647668351</v>
          </cell>
          <cell r="T463">
            <v>356.73305195268546</v>
          </cell>
          <cell r="U463">
            <v>2497.1313636687983</v>
          </cell>
        </row>
        <row r="464">
          <cell r="B464" t="str">
            <v>FY1</v>
          </cell>
          <cell r="C464">
            <v>2.1678220019136387</v>
          </cell>
          <cell r="D464">
            <v>-0.20556202869745732</v>
          </cell>
          <cell r="E464">
            <v>1.946659427655937</v>
          </cell>
          <cell r="F464">
            <v>0.97354893957990185</v>
          </cell>
          <cell r="G464">
            <v>-0.32022714107024319</v>
          </cell>
          <cell r="H464">
            <v>3.0324798233633263</v>
          </cell>
          <cell r="I464">
            <v>2.1899111206141724</v>
          </cell>
          <cell r="M464">
            <v>0.59076362179338449</v>
          </cell>
          <cell r="N464">
            <v>3.0549856965789917</v>
          </cell>
          <cell r="O464">
            <v>0.55397571895375231</v>
          </cell>
          <cell r="P464">
            <v>2.0205286121042589</v>
          </cell>
          <cell r="Q464">
            <v>1.5531511857589593</v>
          </cell>
          <cell r="R464">
            <v>1.0250297702777731</v>
          </cell>
          <cell r="S464">
            <v>0.79672676486813154</v>
          </cell>
        </row>
        <row r="465">
          <cell r="B465" t="str">
            <v>Adjusted Net Debt/EBITDAR (includes Rent capitalized at 8x)</v>
          </cell>
          <cell r="C465">
            <v>2.4259351333438075</v>
          </cell>
          <cell r="D465">
            <v>1.2413658361277</v>
          </cell>
          <cell r="E465">
            <v>1.6008639174988561</v>
          </cell>
          <cell r="F465">
            <v>0.76128900106267405</v>
          </cell>
          <cell r="G465">
            <v>3.6556641974695874E-3</v>
          </cell>
          <cell r="H465">
            <v>2.7280154257731373</v>
          </cell>
          <cell r="I465">
            <v>2.5010561968072311</v>
          </cell>
          <cell r="M465">
            <v>0.51679513609987526</v>
          </cell>
          <cell r="N465">
            <v>3.0815192419646067</v>
          </cell>
          <cell r="O465">
            <v>0.75955113998499157</v>
          </cell>
          <cell r="P465">
            <v>2.1733260926685545</v>
          </cell>
          <cell r="Q465">
            <v>1.5555110393579679</v>
          </cell>
          <cell r="R465">
            <v>1.119845743374736</v>
          </cell>
          <cell r="S465">
            <v>0.95223954907340669</v>
          </cell>
        </row>
        <row r="466">
          <cell r="B466" t="str">
            <v>FY(2)</v>
          </cell>
          <cell r="C466">
            <v>1.7630403134292154</v>
          </cell>
          <cell r="D466">
            <v>1.1341816541717473</v>
          </cell>
          <cell r="E466">
            <v>3.0587597874720349</v>
          </cell>
          <cell r="F466">
            <v>1.7837177731034912</v>
          </cell>
          <cell r="G466">
            <v>3.2662010966582922</v>
          </cell>
          <cell r="H466">
            <v>2.7259358859435694</v>
          </cell>
          <cell r="I466">
            <v>2.6520141454465453</v>
          </cell>
          <cell r="J466">
            <v>2.3405500937464141</v>
          </cell>
          <cell r="K466">
            <v>2.2436432720862096</v>
          </cell>
          <cell r="M466">
            <v>1.1145547912933007</v>
          </cell>
          <cell r="N466">
            <v>1.2499124465924214</v>
          </cell>
          <cell r="O466">
            <v>0.97433969250602104</v>
          </cell>
          <cell r="P466">
            <v>0.13865886124043997</v>
          </cell>
          <cell r="Q466">
            <v>2.1748080949057922</v>
          </cell>
          <cell r="R466">
            <v>3.1794784845342146</v>
          </cell>
          <cell r="S466">
            <v>1.0992323700826874</v>
          </cell>
          <cell r="T466">
            <v>1.418712105879268</v>
          </cell>
          <cell r="U466">
            <v>1.7294953910912045</v>
          </cell>
        </row>
        <row r="467">
          <cell r="B467" t="str">
            <v>FY(1)</v>
          </cell>
          <cell r="C467">
            <v>1.9634987696449357</v>
          </cell>
          <cell r="D467">
            <v>1.5921080102834659</v>
          </cell>
          <cell r="E467">
            <v>3.5213781830695114</v>
          </cell>
          <cell r="F467">
            <v>2.6340789332320407</v>
          </cell>
          <cell r="G467">
            <v>11.924217205587883</v>
          </cell>
          <cell r="H467">
            <v>2.5402353666684365</v>
          </cell>
          <cell r="I467">
            <v>2.8040238749093813</v>
          </cell>
          <cell r="J467">
            <v>3.8542200490565222</v>
          </cell>
          <cell r="K467">
            <v>2.6655393954503377</v>
          </cell>
          <cell r="M467">
            <v>1.8125081650204506</v>
          </cell>
          <cell r="N467">
            <v>1.2449993849825833</v>
          </cell>
          <cell r="O467">
            <v>1.8401580358402727</v>
          </cell>
          <cell r="P467">
            <v>0.26025301117841149</v>
          </cell>
          <cell r="Q467">
            <v>2.0176962676962678</v>
          </cell>
          <cell r="R467">
            <v>3.3424457701446935</v>
          </cell>
          <cell r="S467">
            <v>1.0869568735825657</v>
          </cell>
          <cell r="T467">
            <v>1.6578596440636062</v>
          </cell>
          <cell r="U467">
            <v>1.8251633583838809</v>
          </cell>
        </row>
        <row r="468">
          <cell r="B468" t="str">
            <v>FY0</v>
          </cell>
          <cell r="C468">
            <v>1.3479594697375761</v>
          </cell>
          <cell r="D468">
            <v>1.6074809392075593</v>
          </cell>
          <cell r="E468">
            <v>3.0586126468555634</v>
          </cell>
          <cell r="F468">
            <v>2.047152672525633</v>
          </cell>
          <cell r="G468">
            <v>5.2296873407878488</v>
          </cell>
          <cell r="H468">
            <v>1.696038296095902</v>
          </cell>
          <cell r="I468">
            <v>1.9615963754819123</v>
          </cell>
          <cell r="J468">
            <v>2.4212182486702849</v>
          </cell>
          <cell r="K468">
            <v>2.0693383134945118</v>
          </cell>
          <cell r="M468">
            <v>2.5610036296682419</v>
          </cell>
          <cell r="N468">
            <v>0.81276759274384647</v>
          </cell>
          <cell r="O468">
            <v>1.8483523878471451</v>
          </cell>
          <cell r="P468">
            <v>0.34745351137138419</v>
          </cell>
          <cell r="Q468">
            <v>1.5517426273458446</v>
          </cell>
          <cell r="R468">
            <v>2.567792220893554</v>
          </cell>
          <cell r="S468">
            <v>0.92796661441807282</v>
          </cell>
          <cell r="T468">
            <v>1.5167255120411556</v>
          </cell>
          <cell r="U468">
            <v>1.5811015026553612</v>
          </cell>
        </row>
        <row r="469">
          <cell r="A469" t="str">
            <v>mstag:capitalExpenditures</v>
          </cell>
          <cell r="B469" t="str">
            <v>FY1</v>
          </cell>
          <cell r="C469">
            <v>1.0482258192150369</v>
          </cell>
          <cell r="D469">
            <v>1.2582527657927727</v>
          </cell>
          <cell r="E469">
            <v>2.4094468811563323</v>
          </cell>
          <cell r="F469">
            <v>1.5941125062690669</v>
          </cell>
          <cell r="G469">
            <v>4.17922891856856</v>
          </cell>
          <cell r="H469">
            <v>1.5256205587282161</v>
          </cell>
          <cell r="I469">
            <v>1.6826788867179201</v>
          </cell>
          <cell r="J469">
            <v>1.9567951909211292</v>
          </cell>
          <cell r="K469">
            <v>1.6758209958676464</v>
          </cell>
          <cell r="M469">
            <v>2.391050370712593</v>
          </cell>
          <cell r="N469">
            <v>0.71932761632238529</v>
          </cell>
          <cell r="O469">
            <v>1.4432560378481065</v>
          </cell>
          <cell r="P469">
            <v>0.28759622817734298</v>
          </cell>
          <cell r="Q469">
            <v>1.5987513531074025</v>
          </cell>
          <cell r="R469">
            <v>2.4837915361158127</v>
          </cell>
          <cell r="S469">
            <v>0.64964261665766232</v>
          </cell>
          <cell r="T469">
            <v>1.3676308227059006</v>
          </cell>
          <cell r="U469">
            <v>1.5126774008222057</v>
          </cell>
        </row>
        <row r="470">
          <cell r="B470" t="str">
            <v>FY2</v>
          </cell>
          <cell r="C470">
            <v>0.87493009858381077</v>
          </cell>
          <cell r="D470">
            <v>1.1579138512985476</v>
          </cell>
          <cell r="E470">
            <v>1.9226546792326706</v>
          </cell>
          <cell r="F470">
            <v>1.5163541404967966</v>
          </cell>
          <cell r="G470">
            <v>3.0895363696481981</v>
          </cell>
          <cell r="H470">
            <v>1.4849145427793713</v>
          </cell>
          <cell r="I470">
            <v>1.5179536310666246</v>
          </cell>
          <cell r="J470">
            <v>1.6520367590151455</v>
          </cell>
          <cell r="K470">
            <v>1.4482420880717608</v>
          </cell>
          <cell r="M470">
            <v>2.4665701567877596</v>
          </cell>
          <cell r="N470">
            <v>0.77815718698320846</v>
          </cell>
          <cell r="O470">
            <v>1.2438592969656144</v>
          </cell>
          <cell r="P470">
            <v>0.23617584483676721</v>
          </cell>
          <cell r="Q470">
            <v>1.5955958846176646</v>
          </cell>
          <cell r="R470">
            <v>2.200647221162388</v>
          </cell>
          <cell r="S470">
            <v>0.51167660904846224</v>
          </cell>
          <cell r="T470">
            <v>1.2903831714859808</v>
          </cell>
          <cell r="U470">
            <v>1.4299289350190132</v>
          </cell>
        </row>
        <row r="471">
          <cell r="B471" t="str">
            <v>FY1</v>
          </cell>
          <cell r="C471">
            <v>647.25003538475005</v>
          </cell>
          <cell r="D471">
            <v>597.63773739153396</v>
          </cell>
          <cell r="E471">
            <v>398.916049323469</v>
          </cell>
          <cell r="F471">
            <v>361</v>
          </cell>
          <cell r="G471">
            <v>66.837014679888597</v>
          </cell>
          <cell r="H471">
            <v>164.974553241579</v>
          </cell>
          <cell r="I471">
            <v>465.40417961601298</v>
          </cell>
          <cell r="J471">
            <v>386.00279566246201</v>
          </cell>
          <cell r="K471">
            <v>2702.0195696372339</v>
          </cell>
          <cell r="M471">
            <v>185.09325427162901</v>
          </cell>
          <cell r="N471">
            <v>49.858069962182</v>
          </cell>
          <cell r="O471">
            <v>129.30167913915301</v>
          </cell>
          <cell r="P471">
            <v>107.320766852448</v>
          </cell>
          <cell r="Q471">
            <v>350.99767742648697</v>
          </cell>
          <cell r="R471">
            <v>225.261</v>
          </cell>
          <cell r="S471">
            <v>119.233752219984</v>
          </cell>
          <cell r="T471">
            <v>166.72374283884042</v>
          </cell>
          <cell r="U471">
            <v>1167.0661998718829</v>
          </cell>
          <cell r="W471">
            <v>3869.0857695091167</v>
          </cell>
        </row>
        <row r="472">
          <cell r="B472" t="str">
            <v>Adjusted Net Debt/Cap (includes Rent capitalized at 8x)</v>
          </cell>
          <cell r="C472">
            <v>746.07111004947603</v>
          </cell>
          <cell r="D472">
            <v>394.57224859306899</v>
          </cell>
          <cell r="E472">
            <v>618.35365471548903</v>
          </cell>
          <cell r="F472">
            <v>465.162968324612</v>
          </cell>
          <cell r="G472">
            <v>45.8188964183229</v>
          </cell>
          <cell r="H472">
            <v>200.649569914437</v>
          </cell>
          <cell r="I472">
            <v>517.37070757901802</v>
          </cell>
          <cell r="J472">
            <v>426.85702222777485</v>
          </cell>
          <cell r="K472">
            <v>2987.9991555944239</v>
          </cell>
          <cell r="M472">
            <v>246.71197020712299</v>
          </cell>
          <cell r="N472">
            <v>67.516321371336403</v>
          </cell>
          <cell r="O472">
            <v>135.41319328435799</v>
          </cell>
          <cell r="P472">
            <v>137.30003618500299</v>
          </cell>
          <cell r="Q472">
            <v>423.142401533449</v>
          </cell>
          <cell r="R472">
            <v>252.161501557756</v>
          </cell>
          <cell r="S472">
            <v>148.570424497277</v>
          </cell>
          <cell r="T472">
            <v>201.5451212337575</v>
          </cell>
          <cell r="U472">
            <v>1410.8158486363025</v>
          </cell>
          <cell r="W472">
            <v>4398.8150042307261</v>
          </cell>
          <cell r="X472">
            <v>0.13691328295077265</v>
          </cell>
        </row>
        <row r="473">
          <cell r="B473" t="str">
            <v>FY(2)</v>
          </cell>
          <cell r="C473">
            <v>0.43550302523316747</v>
          </cell>
          <cell r="D473">
            <v>0.34964680059462472</v>
          </cell>
          <cell r="E473">
            <v>0.52473300112136523</v>
          </cell>
          <cell r="F473">
            <v>0.7142928672679153</v>
          </cell>
          <cell r="G473">
            <v>0.4984460608672418</v>
          </cell>
          <cell r="H473">
            <v>0.70313158045244917</v>
          </cell>
          <cell r="I473">
            <v>0.77154204302150575</v>
          </cell>
          <cell r="J473">
            <v>0.57104219693689562</v>
          </cell>
          <cell r="K473">
            <v>0.54466525719550296</v>
          </cell>
          <cell r="M473">
            <v>0.38342940939156683</v>
          </cell>
          <cell r="N473">
            <v>0.4797066456825303</v>
          </cell>
          <cell r="O473">
            <v>0.31848964014715719</v>
          </cell>
          <cell r="P473">
            <v>5.9088361908869382E-2</v>
          </cell>
          <cell r="Q473">
            <v>0.50998199967272129</v>
          </cell>
          <cell r="R473">
            <v>0.60787298235139131</v>
          </cell>
          <cell r="S473">
            <v>0.26256613636624776</v>
          </cell>
          <cell r="T473">
            <v>0.37444788221721204</v>
          </cell>
          <cell r="U473">
            <v>0.45453050790622207</v>
          </cell>
        </row>
        <row r="474">
          <cell r="B474" t="str">
            <v>FY(1)</v>
          </cell>
          <cell r="C474">
            <v>0.42366442772181695</v>
          </cell>
          <cell r="D474">
            <v>0.41016752157869452</v>
          </cell>
          <cell r="E474">
            <v>0.68775045575596683</v>
          </cell>
          <cell r="F474">
            <v>0.71590113352887597</v>
          </cell>
          <cell r="G474">
            <v>0.57198793761492206</v>
          </cell>
          <cell r="H474">
            <v>0.70963308161370375</v>
          </cell>
          <cell r="I474">
            <v>0.78410355528262954</v>
          </cell>
          <cell r="J474">
            <v>0.61474401615665852</v>
          </cell>
          <cell r="K474">
            <v>0.60997299068920097</v>
          </cell>
          <cell r="M474">
            <v>0.43497953260620403</v>
          </cell>
          <cell r="N474">
            <v>0.44908374146140695</v>
          </cell>
          <cell r="O474">
            <v>0.38274031326642549</v>
          </cell>
          <cell r="P474">
            <v>0.14380647260531124</v>
          </cell>
          <cell r="Q474">
            <v>0.50682938656752607</v>
          </cell>
          <cell r="R474">
            <v>0.61421029375145364</v>
          </cell>
          <cell r="S474">
            <v>0.27453474165713265</v>
          </cell>
          <cell r="T474">
            <v>0.40088349741649426</v>
          </cell>
          <cell r="U474">
            <v>0.46823935768246799</v>
          </cell>
          <cell r="W474">
            <v>0.10583919863895908</v>
          </cell>
        </row>
        <row r="475">
          <cell r="B475" t="str">
            <v>FY0</v>
          </cell>
          <cell r="C475">
            <v>0.32437098274976922</v>
          </cell>
          <cell r="D475">
            <v>0.31866099855600216</v>
          </cell>
          <cell r="E475">
            <v>0.65312992870384889</v>
          </cell>
          <cell r="F475">
            <v>0.61679852898467369</v>
          </cell>
          <cell r="G475">
            <v>0.49446934556739103</v>
          </cell>
          <cell r="H475">
            <v>0.64162547041683271</v>
          </cell>
          <cell r="I475">
            <v>0.69619172996255518</v>
          </cell>
          <cell r="J475">
            <v>0.53503528356301033</v>
          </cell>
          <cell r="K475">
            <v>0.53035963604257441</v>
          </cell>
          <cell r="M475">
            <v>0.40814676439653425</v>
          </cell>
          <cell r="N475">
            <v>0.35827227984819415</v>
          </cell>
          <cell r="O475">
            <v>0.3387947354498817</v>
          </cell>
          <cell r="P475">
            <v>0.1506674822931261</v>
          </cell>
          <cell r="Q475">
            <v>0.41098224852071003</v>
          </cell>
          <cell r="R475">
            <v>0.51139588766764599</v>
          </cell>
          <cell r="S475">
            <v>0.22361029785419212</v>
          </cell>
          <cell r="T475">
            <v>0.34312424229004063</v>
          </cell>
          <cell r="U475">
            <v>0.39089769547383957</v>
          </cell>
        </row>
        <row r="476">
          <cell r="B476" t="str">
            <v>FY1</v>
          </cell>
          <cell r="C476">
            <v>0.27761167517410235</v>
          </cell>
          <cell r="D476">
            <v>0.28675163494379724</v>
          </cell>
          <cell r="E476">
            <v>0.58794038590017261</v>
          </cell>
          <cell r="F476">
            <v>0.53853754106956986</v>
          </cell>
          <cell r="G476">
            <v>0.49605191308167351</v>
          </cell>
          <cell r="H476">
            <v>0.6363634999736747</v>
          </cell>
          <cell r="I476">
            <v>0.64872711884527645</v>
          </cell>
          <cell r="J476">
            <v>0.49599768128403809</v>
          </cell>
          <cell r="K476">
            <v>0.48136100917699715</v>
          </cell>
          <cell r="M476">
            <v>0.45338273009338498</v>
          </cell>
          <cell r="N476">
            <v>0.3113380398102033</v>
          </cell>
          <cell r="O476">
            <v>0.31348272554407308</v>
          </cell>
          <cell r="P476">
            <v>0.12284434737617074</v>
          </cell>
          <cell r="Q476">
            <v>0.42264761699012438</v>
          </cell>
          <cell r="R476">
            <v>0.55140427089044997</v>
          </cell>
          <cell r="S476">
            <v>0.1602020261661532</v>
          </cell>
          <cell r="T476">
            <v>0.33361453669579422</v>
          </cell>
          <cell r="U476">
            <v>0.39418186587584914</v>
          </cell>
        </row>
        <row r="477">
          <cell r="B477" t="str">
            <v>FY2</v>
          </cell>
          <cell r="C477">
            <v>0.24658198099063369</v>
          </cell>
          <cell r="D477">
            <v>0.27605661840184514</v>
          </cell>
          <cell r="E477">
            <v>0.50433224175968594</v>
          </cell>
          <cell r="F477">
            <v>0.5135949170173888</v>
          </cell>
          <cell r="G477">
            <v>0.48846420448934763</v>
          </cell>
          <cell r="H477">
            <v>0.6169160063040503</v>
          </cell>
          <cell r="I477">
            <v>0.59472351294919445</v>
          </cell>
          <cell r="J477">
            <v>0.46295278313030652</v>
          </cell>
          <cell r="K477">
            <v>0.43649769110271114</v>
          </cell>
          <cell r="M477">
            <v>0.51651231294961675</v>
          </cell>
          <cell r="N477">
            <v>0.31530347483637128</v>
          </cell>
          <cell r="O477">
            <v>0.28902023877853833</v>
          </cell>
          <cell r="P477">
            <v>0.10027717592566783</v>
          </cell>
          <cell r="Q477">
            <v>0.43774664231019594</v>
          </cell>
          <cell r="R477">
            <v>0.50719980535825493</v>
          </cell>
          <cell r="S477">
            <v>0.12596486252548919</v>
          </cell>
          <cell r="T477">
            <v>0.32743207324059054</v>
          </cell>
          <cell r="U477">
            <v>0.38456886671914609</v>
          </cell>
        </row>
        <row r="478">
          <cell r="B478" t="str">
            <v>FY1</v>
          </cell>
          <cell r="C478">
            <v>3.7856912119302158E-2</v>
          </cell>
          <cell r="D478">
            <v>3.4128142880679689E-2</v>
          </cell>
          <cell r="E478">
            <v>1.7111780644585135E-2</v>
          </cell>
          <cell r="F478">
            <v>4.46975854382725E-2</v>
          </cell>
          <cell r="G478">
            <v>2.5944116217902227E-2</v>
          </cell>
          <cell r="H478">
            <v>2.3149873315251059E-2</v>
          </cell>
          <cell r="I478">
            <v>2.3293819102922865E-2</v>
          </cell>
          <cell r="J478">
            <v>2.945460424555937E-2</v>
          </cell>
          <cell r="K478">
            <v>2.8240168758070814E-2</v>
          </cell>
          <cell r="M478">
            <v>6.2329427377884772E-2</v>
          </cell>
          <cell r="N478">
            <v>2.2851036467750125E-2</v>
          </cell>
          <cell r="O478">
            <v>4.3803673426332575E-2</v>
          </cell>
          <cell r="P478">
            <v>3.0749077335192904E-2</v>
          </cell>
          <cell r="Q478">
            <v>2.4603922708742794E-2</v>
          </cell>
          <cell r="R478">
            <v>2.6555011119058704E-2</v>
          </cell>
          <cell r="S478">
            <v>6.1491685262025593E-2</v>
          </cell>
          <cell r="T478">
            <v>3.8911976242426781E-2</v>
          </cell>
          <cell r="U478">
            <v>3.2167174429495293E-2</v>
          </cell>
        </row>
        <row r="479">
          <cell r="B479" t="str">
            <v>FY2</v>
          </cell>
          <cell r="C479">
            <v>4.1056912119301993E-2</v>
          </cell>
          <cell r="D479">
            <v>2.2583973489152562E-2</v>
          </cell>
          <cell r="E479">
            <v>2.6999999999999975E-2</v>
          </cell>
          <cell r="F479">
            <v>5.7000000000000009E-2</v>
          </cell>
          <cell r="G479">
            <v>1.749999999999996E-2</v>
          </cell>
          <cell r="H479">
            <v>2.7000000000000017E-2</v>
          </cell>
          <cell r="I479">
            <v>2.4293819102922845E-2</v>
          </cell>
          <cell r="J479">
            <v>3.0919243530196767E-2</v>
          </cell>
          <cell r="K479">
            <v>3.0473682053923909E-2</v>
          </cell>
          <cell r="M479">
            <v>7.4829427377884575E-2</v>
          </cell>
          <cell r="N479">
            <v>2.7949999999999978E-2</v>
          </cell>
          <cell r="O479">
            <v>4.2803673426332609E-2</v>
          </cell>
          <cell r="P479">
            <v>3.6749077335192643E-2</v>
          </cell>
          <cell r="Q479">
            <v>3.0000000000000072E-2</v>
          </cell>
          <cell r="R479">
            <v>2.9499999999999988E-2</v>
          </cell>
          <cell r="S479">
            <v>6.5794955109565761E-2</v>
          </cell>
          <cell r="T479">
            <v>4.3946733321282232E-2</v>
          </cell>
          <cell r="U479">
            <v>3.7598679443819762E-2</v>
          </cell>
        </row>
        <row r="480">
          <cell r="B480" t="str">
            <v>Unadjusted Net Debt/Cap</v>
          </cell>
        </row>
        <row r="481">
          <cell r="A481" t="str">
            <v>mstag:averageDilutedSharesOutstanding</v>
          </cell>
          <cell r="B481" t="str">
            <v>FY(2)</v>
          </cell>
          <cell r="C481">
            <v>0.17155117918135337</v>
          </cell>
          <cell r="D481">
            <v>0.13036246177433036</v>
          </cell>
          <cell r="E481">
            <v>0.46643565615462851</v>
          </cell>
          <cell r="F481">
            <v>0.59235816811785225</v>
          </cell>
          <cell r="G481">
            <v>0.26971047322857289</v>
          </cell>
          <cell r="H481">
            <v>-0.10143943375668921</v>
          </cell>
          <cell r="I481">
            <v>3.451495658087933E-2</v>
          </cell>
          <cell r="J481">
            <v>0.22335620875441822</v>
          </cell>
          <cell r="K481">
            <v>0.30990908137205347</v>
          </cell>
          <cell r="M481">
            <v>-0.32264130511775407</v>
          </cell>
          <cell r="N481">
            <v>-1.1584277864514689</v>
          </cell>
          <cell r="O481">
            <v>-0.36095859344226999</v>
          </cell>
          <cell r="P481">
            <v>-0.36363821654453149</v>
          </cell>
          <cell r="Q481">
            <v>-0.34222321828776331</v>
          </cell>
          <cell r="R481">
            <v>0.33787739453859944</v>
          </cell>
          <cell r="S481">
            <v>-0.42883724636203746</v>
          </cell>
          <cell r="T481">
            <v>-0.37697842452388947</v>
          </cell>
          <cell r="U481">
            <v>-0.13489505937003851</v>
          </cell>
        </row>
        <row r="482">
          <cell r="B482" t="str">
            <v>FY(1)</v>
          </cell>
          <cell r="C482">
            <v>0.15822915618753594</v>
          </cell>
          <cell r="D482">
            <v>0.15057089093463449</v>
          </cell>
          <cell r="E482">
            <v>0.58509062391077027</v>
          </cell>
          <cell r="F482">
            <v>0.6556757193772984</v>
          </cell>
          <cell r="G482">
            <v>0.38896458007874457</v>
          </cell>
          <cell r="H482">
            <v>-0.15017448570224767</v>
          </cell>
          <cell r="I482">
            <v>0.11189509312225583</v>
          </cell>
          <cell r="J482">
            <v>0.27146451112985603</v>
          </cell>
          <cell r="K482">
            <v>0.35221633255581436</v>
          </cell>
          <cell r="M482">
            <v>-0.21697131567535613</v>
          </cell>
          <cell r="N482">
            <v>-0.64363769503745849</v>
          </cell>
          <cell r="O482">
            <v>-0.27550098347002122</v>
          </cell>
          <cell r="P482">
            <v>-0.46612734724491706</v>
          </cell>
          <cell r="Q482">
            <v>-0.37525354969574037</v>
          </cell>
          <cell r="R482">
            <v>0.36128189984901221</v>
          </cell>
          <cell r="S482">
            <v>-0.3473065882185476</v>
          </cell>
          <cell r="T482">
            <v>-0.28050222564186122</v>
          </cell>
          <cell r="U482">
            <v>-0.13274448535899933</v>
          </cell>
        </row>
        <row r="483">
          <cell r="B483" t="str">
            <v>FY0</v>
          </cell>
          <cell r="C483">
            <v>-1.9933208662836408E-2</v>
          </cell>
          <cell r="D483">
            <v>4.7121114935010998E-2</v>
          </cell>
          <cell r="E483">
            <v>0.52329464885439214</v>
          </cell>
          <cell r="F483">
            <v>0.43447567580446406</v>
          </cell>
          <cell r="G483">
            <v>0.22179778818940543</v>
          </cell>
          <cell r="H483">
            <v>-0.47426963580467424</v>
          </cell>
          <cell r="I483">
            <v>-0.26506359909847371</v>
          </cell>
          <cell r="J483">
            <v>6.6774683459612613E-2</v>
          </cell>
          <cell r="K483">
            <v>0.18420323911802425</v>
          </cell>
          <cell r="M483">
            <v>-0.33690533113642818</v>
          </cell>
          <cell r="N483">
            <v>-0.79836155526275465</v>
          </cell>
          <cell r="O483">
            <v>-0.41568408664627049</v>
          </cell>
          <cell r="P483">
            <v>-0.44374415164262937</v>
          </cell>
          <cell r="Q483">
            <v>-0.52643631159272131</v>
          </cell>
          <cell r="R483">
            <v>0.18717424120299675</v>
          </cell>
          <cell r="S483">
            <v>-0.38675637639528909</v>
          </cell>
          <cell r="T483">
            <v>-0.38867336735329949</v>
          </cell>
          <cell r="U483">
            <v>-0.27326179546257678</v>
          </cell>
        </row>
        <row r="484">
          <cell r="B484" t="str">
            <v>FY1</v>
          </cell>
          <cell r="C484">
            <v>-7.2935073750824544E-2</v>
          </cell>
          <cell r="D484">
            <v>1.3155159541196127E-2</v>
          </cell>
          <cell r="E484">
            <v>0.41980917229782333</v>
          </cell>
          <cell r="F484">
            <v>0.36053432174461086</v>
          </cell>
          <cell r="G484">
            <v>0.20965041705312365</v>
          </cell>
          <cell r="H484">
            <v>-0.53100621148321026</v>
          </cell>
          <cell r="I484">
            <v>-0.35218119816282695</v>
          </cell>
          <cell r="J484">
            <v>6.7180838914131912E-3</v>
          </cell>
          <cell r="K484">
            <v>0.10981844106149648</v>
          </cell>
          <cell r="M484">
            <v>-0.31696737676589115</v>
          </cell>
          <cell r="N484">
            <v>-0.81056984395921061</v>
          </cell>
          <cell r="O484">
            <v>-0.45074199089855554</v>
          </cell>
          <cell r="P484">
            <v>-0.47962616706148459</v>
          </cell>
          <cell r="Q484">
            <v>-0.5259313947145341</v>
          </cell>
          <cell r="R484">
            <v>0.20478481199346313</v>
          </cell>
          <cell r="S484">
            <v>-0.4584563567467998</v>
          </cell>
          <cell r="T484">
            <v>-0.40535833116471603</v>
          </cell>
          <cell r="U484">
            <v>-0.2895501330219753</v>
          </cell>
        </row>
        <row r="485">
          <cell r="B485" t="str">
            <v>FY2</v>
          </cell>
          <cell r="C485">
            <v>-0.11691253486773395</v>
          </cell>
          <cell r="D485">
            <v>1.754998212719309E-3</v>
          </cell>
          <cell r="E485">
            <v>0.3129261572355303</v>
          </cell>
          <cell r="F485">
            <v>0.34480358906781372</v>
          </cell>
          <cell r="G485">
            <v>0.16956021690549561</v>
          </cell>
          <cell r="H485">
            <v>-0.56910526799632311</v>
          </cell>
          <cell r="I485">
            <v>-0.41624883383416506</v>
          </cell>
          <cell r="J485">
            <v>-3.9031667896666164E-2</v>
          </cell>
          <cell r="K485">
            <v>4.5605791379651359E-2</v>
          </cell>
          <cell r="M485">
            <v>-0.2634205574684077</v>
          </cell>
          <cell r="N485">
            <v>-0.82009107779971702</v>
          </cell>
          <cell r="O485">
            <v>-0.51081593690746263</v>
          </cell>
          <cell r="P485">
            <v>-0.51559661788992583</v>
          </cell>
          <cell r="Q485">
            <v>-0.5395925627073267</v>
          </cell>
          <cell r="R485">
            <v>0.12896858216293094</v>
          </cell>
          <cell r="S485">
            <v>-0.48495269741359415</v>
          </cell>
          <cell r="T485">
            <v>-0.42935726686050046</v>
          </cell>
          <cell r="U485">
            <v>-0.32037353322343692</v>
          </cell>
        </row>
        <row r="486">
          <cell r="B486" t="str">
            <v>FQ(3)</v>
          </cell>
          <cell r="C486">
            <v>0.13165244885644173</v>
          </cell>
          <cell r="D486">
            <v>0.17755785281902353</v>
          </cell>
          <cell r="E486">
            <v>0.63831195465731949</v>
          </cell>
          <cell r="F486">
            <v>0.64204997437544531</v>
          </cell>
          <cell r="G486">
            <v>0.38244531184707647</v>
          </cell>
          <cell r="H486">
            <v>-0.26173584744947953</v>
          </cell>
          <cell r="I486">
            <v>3.5756544743929017E-2</v>
          </cell>
          <cell r="J486">
            <v>0.24943403426425087</v>
          </cell>
          <cell r="K486">
            <v>0.34803839154712585</v>
          </cell>
          <cell r="M486">
            <v>-0.1943611479331738</v>
          </cell>
          <cell r="N486">
            <v>-0.6238137323775208</v>
          </cell>
          <cell r="O486">
            <v>-0.24815342698230658</v>
          </cell>
          <cell r="P486">
            <v>-0.33375451608586781</v>
          </cell>
          <cell r="Q486">
            <v>-0.37621145374449338</v>
          </cell>
          <cell r="R486">
            <v>0.41408090685248566</v>
          </cell>
          <cell r="S486">
            <v>-0.27264374428604671</v>
          </cell>
          <cell r="T486">
            <v>-0.23355101636527478</v>
          </cell>
          <cell r="U486">
            <v>-9.8884422673623046E-2</v>
          </cell>
        </row>
        <row r="487">
          <cell r="B487" t="str">
            <v>FQ(2)</v>
          </cell>
          <cell r="C487">
            <v>7.7701535780119499E-2</v>
          </cell>
          <cell r="D487">
            <v>0.13622490218961908</v>
          </cell>
          <cell r="E487">
            <v>0.6184830106230691</v>
          </cell>
          <cell r="F487">
            <v>0.53015548678398849</v>
          </cell>
          <cell r="G487">
            <v>0.37442306868519326</v>
          </cell>
          <cell r="H487">
            <v>-0.30470286332377144</v>
          </cell>
          <cell r="I487">
            <v>-5.2925525134638815E-2</v>
          </cell>
          <cell r="J487">
            <v>0.19705137365765421</v>
          </cell>
          <cell r="K487">
            <v>0.29401108161568013</v>
          </cell>
          <cell r="M487">
            <v>-0.22562571997639078</v>
          </cell>
          <cell r="N487">
            <v>-0.57138666964634899</v>
          </cell>
          <cell r="O487">
            <v>-0.29438841264919668</v>
          </cell>
          <cell r="P487">
            <v>-0.44374415164262937</v>
          </cell>
          <cell r="Q487">
            <v>-0.44910432033719705</v>
          </cell>
          <cell r="R487">
            <v>0.33171155262653013</v>
          </cell>
          <cell r="S487">
            <v>-0.25148600218600176</v>
          </cell>
          <cell r="T487">
            <v>-0.27200338911589061</v>
          </cell>
          <cell r="U487">
            <v>-0.15687992193216713</v>
          </cell>
        </row>
        <row r="488">
          <cell r="B488" t="str">
            <v>FQ(1)</v>
          </cell>
          <cell r="C488">
            <v>5.707190332305092E-2</v>
          </cell>
          <cell r="D488">
            <v>0.15826955194978698</v>
          </cell>
          <cell r="E488">
            <v>0.6226238261132987</v>
          </cell>
          <cell r="F488">
            <v>0.52691735556036645</v>
          </cell>
          <cell r="G488">
            <v>0.31966834963038077</v>
          </cell>
          <cell r="H488">
            <v>-0.33975958743009227</v>
          </cell>
          <cell r="I488">
            <v>-0.11487609725000009</v>
          </cell>
          <cell r="J488">
            <v>0.17570218598525592</v>
          </cell>
          <cell r="K488">
            <v>0.28413733640922606</v>
          </cell>
          <cell r="M488">
            <v>-0.25957070942652749</v>
          </cell>
          <cell r="N488">
            <v>-0.6367063228696217</v>
          </cell>
          <cell r="O488">
            <v>-0.29613012098734831</v>
          </cell>
          <cell r="P488">
            <v>-0.51955400366751436</v>
          </cell>
          <cell r="Q488">
            <v>-0.48142943184099579</v>
          </cell>
          <cell r="R488">
            <v>0.40295036845359711</v>
          </cell>
          <cell r="S488">
            <v>-0.34428435067392987</v>
          </cell>
          <cell r="T488">
            <v>-0.30496065300176289</v>
          </cell>
          <cell r="U488">
            <v>-0.18611066517540401</v>
          </cell>
        </row>
        <row r="489">
          <cell r="B489" t="str">
            <v>Last Reported Q</v>
          </cell>
          <cell r="C489">
            <v>-1.9933208662836408E-2</v>
          </cell>
          <cell r="D489">
            <v>4.7121114935010998E-2</v>
          </cell>
          <cell r="E489">
            <v>0.52329464885439214</v>
          </cell>
          <cell r="F489">
            <v>0.43447567580446406</v>
          </cell>
          <cell r="G489">
            <v>0.22179778818940543</v>
          </cell>
          <cell r="H489">
            <v>-0.47426963580467424</v>
          </cell>
          <cell r="I489">
            <v>-0.26506359909847371</v>
          </cell>
          <cell r="J489">
            <v>6.6774683459612613E-2</v>
          </cell>
          <cell r="K489">
            <v>0.18420323911802425</v>
          </cell>
          <cell r="M489">
            <v>-0.33690533113642818</v>
          </cell>
          <cell r="N489">
            <v>-0.79836155526275465</v>
          </cell>
          <cell r="O489">
            <v>-0.41568408664627049</v>
          </cell>
          <cell r="P489">
            <v>-0.57023011231105614</v>
          </cell>
          <cell r="Q489">
            <v>-0.52643631159272131</v>
          </cell>
          <cell r="R489">
            <v>0.18717424120299675</v>
          </cell>
          <cell r="S489">
            <v>-0.38675637639528909</v>
          </cell>
          <cell r="T489">
            <v>-0.40674279030593186</v>
          </cell>
          <cell r="U489">
            <v>-0.28900238332255856</v>
          </cell>
        </row>
        <row r="490">
          <cell r="B490" t="str">
            <v>Last Reported Q</v>
          </cell>
          <cell r="C490">
            <v>308</v>
          </cell>
          <cell r="D490">
            <v>237.6</v>
          </cell>
          <cell r="E490">
            <v>421.8</v>
          </cell>
          <cell r="F490">
            <v>220.7</v>
          </cell>
          <cell r="G490">
            <v>152.45599999999999</v>
          </cell>
          <cell r="H490">
            <v>124.648</v>
          </cell>
          <cell r="I490">
            <v>428.09199999999998</v>
          </cell>
          <cell r="M490">
            <v>88.73</v>
          </cell>
          <cell r="N490">
            <v>67.991</v>
          </cell>
          <cell r="O490">
            <v>209.393</v>
          </cell>
          <cell r="P490">
            <v>325.62</v>
          </cell>
          <cell r="Q490">
            <v>704</v>
          </cell>
          <cell r="R490">
            <v>328.25900000000001</v>
          </cell>
          <cell r="S490">
            <v>171.44390200000001</v>
          </cell>
        </row>
        <row r="491">
          <cell r="A491" t="str">
            <v>mscalc:bookValuePerShareReported</v>
          </cell>
          <cell r="B491" t="str">
            <v>Book Value per Share</v>
          </cell>
          <cell r="C491">
            <v>306.25</v>
          </cell>
          <cell r="D491">
            <v>229.17499999999998</v>
          </cell>
          <cell r="E491">
            <v>421.67500000000001</v>
          </cell>
          <cell r="F491">
            <v>218.42500000000001</v>
          </cell>
          <cell r="G491">
            <v>141.69149999999999</v>
          </cell>
          <cell r="H491">
            <v>126.26124999999999</v>
          </cell>
          <cell r="I491">
            <v>430.21950000000004</v>
          </cell>
          <cell r="M491">
            <v>88.140749999999997</v>
          </cell>
          <cell r="N491">
            <v>67.879500000000007</v>
          </cell>
          <cell r="O491">
            <v>208.06475</v>
          </cell>
          <cell r="P491">
            <v>326.54150000000004</v>
          </cell>
          <cell r="Q491">
            <v>701.75</v>
          </cell>
          <cell r="R491">
            <v>325.17600000000004</v>
          </cell>
          <cell r="S491">
            <v>170.63794924999999</v>
          </cell>
        </row>
        <row r="492">
          <cell r="B492" t="str">
            <v>FY0</v>
          </cell>
          <cell r="C492">
            <v>25.581971111559898</v>
          </cell>
          <cell r="D492">
            <v>20.228813559321999</v>
          </cell>
          <cell r="E492">
            <v>11.1522311579247</v>
          </cell>
          <cell r="F492">
            <v>7.2103264093207899</v>
          </cell>
          <cell r="G492">
            <v>6.7769218044169897</v>
          </cell>
          <cell r="H492">
            <v>9.4449871466029904</v>
          </cell>
          <cell r="I492">
            <v>7.0575837962216603</v>
          </cell>
          <cell r="M492">
            <v>20.809422060578498</v>
          </cell>
          <cell r="N492">
            <v>4.6120452582064999</v>
          </cell>
          <cell r="O492">
            <v>7.5511172122354298</v>
          </cell>
          <cell r="P492">
            <v>5.2874668910592098</v>
          </cell>
          <cell r="Q492">
            <v>7.3282179704913402</v>
          </cell>
          <cell r="R492">
            <v>6.7554028004188202</v>
          </cell>
          <cell r="S492">
            <v>7.6960105991444303</v>
          </cell>
        </row>
        <row r="493">
          <cell r="B493" t="str">
            <v>FY1</v>
          </cell>
          <cell r="C493">
            <v>28.987791150450199</v>
          </cell>
          <cell r="D493">
            <v>21.004944842021398</v>
          </cell>
          <cell r="E493">
            <v>12.80328947854</v>
          </cell>
          <cell r="F493">
            <v>9.2014588952335803</v>
          </cell>
          <cell r="G493">
            <v>6.6846983827321198</v>
          </cell>
          <cell r="H493">
            <v>10.5554386780573</v>
          </cell>
          <cell r="I493">
            <v>8.6548957537455706</v>
          </cell>
          <cell r="M493">
            <v>20.5779707680969</v>
          </cell>
          <cell r="N493">
            <v>5.9700213393204598</v>
          </cell>
          <cell r="O493">
            <v>7.7959405771838099</v>
          </cell>
          <cell r="P493">
            <v>6.2311363676978297</v>
          </cell>
          <cell r="Q493">
            <v>7.5766202395493298</v>
          </cell>
          <cell r="R493">
            <v>6.3691260799745004</v>
          </cell>
          <cell r="S493">
            <v>9.4237637110883892</v>
          </cell>
        </row>
        <row r="494">
          <cell r="B494" t="str">
            <v>FY2</v>
          </cell>
          <cell r="C494">
            <v>32.626001118711997</v>
          </cell>
          <cell r="D494">
            <v>21.959758464535799</v>
          </cell>
          <cell r="E494">
            <v>14.6807784009291</v>
          </cell>
          <cell r="F494">
            <v>10.9850032291769</v>
          </cell>
          <cell r="G494">
            <v>6.7748104299086203</v>
          </cell>
          <cell r="H494">
            <v>12.462182566505399</v>
          </cell>
          <cell r="I494">
            <v>10.707882158953799</v>
          </cell>
          <cell r="J494">
            <v>298.12399999999997</v>
          </cell>
          <cell r="K494">
            <v>1788.7439999999999</v>
          </cell>
          <cell r="M494">
            <v>20.862967341691199</v>
          </cell>
          <cell r="N494">
            <v>7.2792140908088303</v>
          </cell>
          <cell r="O494">
            <v>8.2988766572300605</v>
          </cell>
          <cell r="P494">
            <v>7.06096060554367</v>
          </cell>
          <cell r="Q494">
            <v>7.5439922520262002</v>
          </cell>
          <cell r="R494">
            <v>7.1588926320260802</v>
          </cell>
          <cell r="S494">
            <v>11.3433691405353</v>
          </cell>
          <cell r="T494">
            <v>104.35733333333333</v>
          </cell>
          <cell r="U494">
            <v>626.14400000000001</v>
          </cell>
        </row>
        <row r="495">
          <cell r="A495" t="str">
            <v>mstag:cashDividendsPaid</v>
          </cell>
          <cell r="B495" t="str">
            <v>FY(1)</v>
          </cell>
          <cell r="C495" t="str">
            <v>NA</v>
          </cell>
          <cell r="D495">
            <v>174</v>
          </cell>
          <cell r="E495">
            <v>230</v>
          </cell>
          <cell r="F495">
            <v>134</v>
          </cell>
          <cell r="G495">
            <v>7.43</v>
          </cell>
          <cell r="H495">
            <v>40.637999999999998</v>
          </cell>
          <cell r="I495">
            <v>151.49199999999999</v>
          </cell>
          <cell r="J495">
            <v>122.92666666666666</v>
          </cell>
          <cell r="K495">
            <v>737.56</v>
          </cell>
          <cell r="M495">
            <v>61.33</v>
          </cell>
          <cell r="N495">
            <v>0</v>
          </cell>
          <cell r="O495">
            <v>80.796000000000006</v>
          </cell>
          <cell r="P495">
            <v>0</v>
          </cell>
          <cell r="Q495">
            <v>252</v>
          </cell>
          <cell r="R495">
            <v>227</v>
          </cell>
          <cell r="S495" t="str">
            <v>NA</v>
          </cell>
          <cell r="T495">
            <v>103.521</v>
          </cell>
          <cell r="U495">
            <v>621.12599999999998</v>
          </cell>
        </row>
        <row r="496">
          <cell r="A496" t="str">
            <v>Free Cash Flow</v>
          </cell>
          <cell r="B496" t="str">
            <v>Free Cash Flow (EBITDA less interest, taxes at 38%, and capex)</v>
          </cell>
          <cell r="C496" t="str">
            <v>NA</v>
          </cell>
          <cell r="D496">
            <v>178</v>
          </cell>
          <cell r="E496">
            <v>221</v>
          </cell>
          <cell r="F496">
            <v>138</v>
          </cell>
          <cell r="G496">
            <v>1.1830000000000001</v>
          </cell>
          <cell r="H496">
            <v>49.838000000000001</v>
          </cell>
          <cell r="I496">
            <v>176.749</v>
          </cell>
          <cell r="J496">
            <v>127.46166666666666</v>
          </cell>
          <cell r="K496">
            <v>764.77</v>
          </cell>
          <cell r="M496">
            <v>60.768999999999998</v>
          </cell>
          <cell r="N496">
            <v>0</v>
          </cell>
          <cell r="O496">
            <v>82.394000000000005</v>
          </cell>
          <cell r="P496">
            <v>0</v>
          </cell>
          <cell r="Q496">
            <v>243</v>
          </cell>
          <cell r="R496">
            <v>201</v>
          </cell>
          <cell r="S496" t="str">
            <v>NA</v>
          </cell>
          <cell r="T496">
            <v>97.860500000000002</v>
          </cell>
          <cell r="U496">
            <v>587.16300000000001</v>
          </cell>
        </row>
        <row r="497">
          <cell r="B497" t="str">
            <v>FY(2)</v>
          </cell>
          <cell r="C497">
            <v>1360.4659999999999</v>
          </cell>
          <cell r="D497">
            <v>1336.1</v>
          </cell>
          <cell r="E497">
            <v>1743.44</v>
          </cell>
          <cell r="F497">
            <v>872.57001999999989</v>
          </cell>
          <cell r="G497">
            <v>141.49700592773291</v>
          </cell>
          <cell r="H497">
            <v>333.41181999999998</v>
          </cell>
          <cell r="I497">
            <v>1133.7966574336956</v>
          </cell>
          <cell r="J497">
            <v>988.754500480204</v>
          </cell>
          <cell r="K497">
            <v>6921.2815033614279</v>
          </cell>
          <cell r="M497">
            <v>181.81038000000001</v>
          </cell>
          <cell r="N497">
            <v>60.234480000000005</v>
          </cell>
          <cell r="O497">
            <v>165.19883999999999</v>
          </cell>
          <cell r="P497">
            <v>525.18407999999999</v>
          </cell>
          <cell r="Q497">
            <v>437.09999999999991</v>
          </cell>
          <cell r="R497">
            <v>-78.407379999999989</v>
          </cell>
          <cell r="S497">
            <v>61.648059999999987</v>
          </cell>
          <cell r="T497">
            <v>193.25263714285711</v>
          </cell>
          <cell r="U497">
            <v>1352.7684599999998</v>
          </cell>
        </row>
        <row r="498">
          <cell r="A498" t="str">
            <v>mstag:interestExpense</v>
          </cell>
          <cell r="B498" t="str">
            <v>FY(1)</v>
          </cell>
          <cell r="C498">
            <v>205.23620000000005</v>
          </cell>
          <cell r="D498">
            <v>-117.85800000000302</v>
          </cell>
          <cell r="E498">
            <v>414.92000000000007</v>
          </cell>
          <cell r="F498">
            <v>26.341619999999921</v>
          </cell>
          <cell r="G498">
            <v>-139.16627083414218</v>
          </cell>
          <cell r="H498">
            <v>167.75255881623235</v>
          </cell>
          <cell r="I498">
            <v>546.79914000000008</v>
          </cell>
          <cell r="J498">
            <v>157.71789256886959</v>
          </cell>
          <cell r="K498">
            <v>1104.0252479820872</v>
          </cell>
          <cell r="M498">
            <v>74.873244464512823</v>
          </cell>
          <cell r="N498">
            <v>98.973440000000011</v>
          </cell>
          <cell r="O498">
            <v>-3.5592199999999821</v>
          </cell>
          <cell r="P498">
            <v>618.83845999999994</v>
          </cell>
          <cell r="Q498">
            <v>858.59999999999991</v>
          </cell>
          <cell r="R498">
            <v>73.380319999999983</v>
          </cell>
          <cell r="S498">
            <v>117.67098000000001</v>
          </cell>
          <cell r="T498">
            <v>262.68246063778753</v>
          </cell>
          <cell r="U498">
            <v>1838.7772244645128</v>
          </cell>
        </row>
        <row r="499">
          <cell r="A499">
            <v>0.38</v>
          </cell>
          <cell r="B499" t="str">
            <v>FY0</v>
          </cell>
          <cell r="C499">
            <v>683.11999999999989</v>
          </cell>
          <cell r="D499">
            <v>-43.240000000000009</v>
          </cell>
          <cell r="E499">
            <v>846.96</v>
          </cell>
          <cell r="F499">
            <v>265.58000000000004</v>
          </cell>
          <cell r="G499">
            <v>-33.877099999999992</v>
          </cell>
          <cell r="H499">
            <v>395.02296000000001</v>
          </cell>
          <cell r="I499">
            <v>1050.4924400000002</v>
          </cell>
          <cell r="J499">
            <v>452.00832857142865</v>
          </cell>
          <cell r="K499">
            <v>3164.0583000000006</v>
          </cell>
          <cell r="M499">
            <v>62.684879999999993</v>
          </cell>
          <cell r="N499">
            <v>218.12030000000001</v>
          </cell>
          <cell r="O499">
            <v>120.84016000000001</v>
          </cell>
          <cell r="P499">
            <v>559.41203999999993</v>
          </cell>
          <cell r="Q499">
            <v>1143.46</v>
          </cell>
          <cell r="R499">
            <v>406.55790000000002</v>
          </cell>
          <cell r="S499">
            <v>144.51503698254709</v>
          </cell>
          <cell r="T499">
            <v>379.37004528322097</v>
          </cell>
          <cell r="U499">
            <v>2655.5903169825469</v>
          </cell>
        </row>
        <row r="500">
          <cell r="A500" t="str">
            <v>mstag:otherInterestIncomeExpense</v>
          </cell>
          <cell r="B500" t="str">
            <v>FY1</v>
          </cell>
          <cell r="C500">
            <v>680.79069688994991</v>
          </cell>
          <cell r="D500">
            <v>177.03400258655063</v>
          </cell>
          <cell r="E500">
            <v>935.13459901374267</v>
          </cell>
          <cell r="F500">
            <v>318.122968079369</v>
          </cell>
          <cell r="G500">
            <v>-13.694872436350408</v>
          </cell>
          <cell r="H500">
            <v>433.88313836270947</v>
          </cell>
          <cell r="I500">
            <v>1220.086555265349</v>
          </cell>
          <cell r="J500">
            <v>535.90815539447431</v>
          </cell>
          <cell r="K500">
            <v>3751.3570877613201</v>
          </cell>
          <cell r="M500">
            <v>64.570561609984964</v>
          </cell>
          <cell r="N500">
            <v>220.1304458997646</v>
          </cell>
          <cell r="O500">
            <v>224.03654899880598</v>
          </cell>
          <cell r="P500">
            <v>652.95258730104558</v>
          </cell>
          <cell r="Q500">
            <v>853.00671725937082</v>
          </cell>
          <cell r="R500">
            <v>465.44580975535899</v>
          </cell>
          <cell r="S500">
            <v>178.370021577594</v>
          </cell>
          <cell r="T500">
            <v>379.78752748598924</v>
          </cell>
          <cell r="U500">
            <v>2658.5126924019246</v>
          </cell>
        </row>
        <row r="501">
          <cell r="B501" t="str">
            <v>FY2</v>
          </cell>
          <cell r="C501">
            <v>722.01096722923512</v>
          </cell>
          <cell r="D501">
            <v>253.32779521420207</v>
          </cell>
          <cell r="E501">
            <v>924.7982950086739</v>
          </cell>
          <cell r="F501">
            <v>312.27250743986087</v>
          </cell>
          <cell r="G501">
            <v>79.398365058291446</v>
          </cell>
          <cell r="H501">
            <v>432.05155555638959</v>
          </cell>
          <cell r="I501">
            <v>1284.6515781260714</v>
          </cell>
          <cell r="J501">
            <v>572.64443766181773</v>
          </cell>
          <cell r="K501">
            <v>4008.5110636327245</v>
          </cell>
          <cell r="M501">
            <v>109.05470063555117</v>
          </cell>
          <cell r="N501">
            <v>216.65298271796476</v>
          </cell>
          <cell r="O501">
            <v>279.80100799880029</v>
          </cell>
          <cell r="P501">
            <v>680.55099082875904</v>
          </cell>
          <cell r="Q501">
            <v>939.98306811354939</v>
          </cell>
          <cell r="R501">
            <v>520.64507838295549</v>
          </cell>
          <cell r="S501">
            <v>215.82651155609608</v>
          </cell>
          <cell r="T501">
            <v>423.21633431909657</v>
          </cell>
          <cell r="U501">
            <v>2962.5143402336762</v>
          </cell>
        </row>
        <row r="502">
          <cell r="B502" t="str">
            <v>Last Reported Q</v>
          </cell>
          <cell r="C502" t="str">
            <v>NA</v>
          </cell>
          <cell r="D502">
            <v>47</v>
          </cell>
          <cell r="E502">
            <v>21</v>
          </cell>
          <cell r="F502">
            <v>35</v>
          </cell>
          <cell r="G502">
            <v>0</v>
          </cell>
          <cell r="H502">
            <v>13.734999999999999</v>
          </cell>
          <cell r="I502">
            <v>50.8</v>
          </cell>
          <cell r="J502">
            <v>27.922499999999999</v>
          </cell>
          <cell r="K502">
            <v>167.535</v>
          </cell>
          <cell r="M502">
            <v>16.858699999999999</v>
          </cell>
          <cell r="N502">
            <v>0</v>
          </cell>
          <cell r="O502">
            <v>20.757000000000001</v>
          </cell>
          <cell r="P502">
            <v>0</v>
          </cell>
          <cell r="Q502">
            <v>60</v>
          </cell>
          <cell r="R502">
            <v>49.238849999999999</v>
          </cell>
          <cell r="S502" t="str">
            <v>NA</v>
          </cell>
          <cell r="T502">
            <v>24.475758333333335</v>
          </cell>
          <cell r="U502">
            <v>146.85455000000002</v>
          </cell>
        </row>
        <row r="503">
          <cell r="B503" t="str">
            <v>Free Cash Flow/Sales</v>
          </cell>
          <cell r="C503">
            <v>0</v>
          </cell>
          <cell r="D503">
            <v>180</v>
          </cell>
          <cell r="E503">
            <v>118</v>
          </cell>
          <cell r="F503">
            <v>138</v>
          </cell>
          <cell r="G503">
            <v>0.53700000000000003</v>
          </cell>
          <cell r="H503">
            <v>54.201000000000001</v>
          </cell>
          <cell r="I503">
            <v>193.01299999999998</v>
          </cell>
          <cell r="J503">
            <v>97.678714285714278</v>
          </cell>
          <cell r="K503">
            <v>683.75099999999998</v>
          </cell>
          <cell r="M503">
            <v>62.804699999999997</v>
          </cell>
          <cell r="N503">
            <v>0</v>
          </cell>
          <cell r="O503">
            <v>83.063000000000002</v>
          </cell>
          <cell r="P503">
            <v>0</v>
          </cell>
          <cell r="Q503">
            <v>238</v>
          </cell>
          <cell r="R503">
            <v>193.23885000000001</v>
          </cell>
          <cell r="S503">
            <v>0</v>
          </cell>
          <cell r="T503">
            <v>82.443792857142853</v>
          </cell>
          <cell r="U503">
            <v>577.10654999999997</v>
          </cell>
        </row>
        <row r="504">
          <cell r="B504" t="str">
            <v>FY(2)</v>
          </cell>
          <cell r="C504">
            <v>8.2584118928959477E-2</v>
          </cell>
          <cell r="D504">
            <v>6.7272781284662894E-2</v>
          </cell>
          <cell r="E504">
            <v>6.6257743320792012E-2</v>
          </cell>
          <cell r="F504">
            <v>9.8843271958380621E-2</v>
          </cell>
          <cell r="G504">
            <v>4.3342392828759901E-2</v>
          </cell>
          <cell r="H504">
            <v>5.5799161602969057E-2</v>
          </cell>
          <cell r="I504">
            <v>6.1832011747009565E-2</v>
          </cell>
          <cell r="J504">
            <v>6.7990211667361938E-2</v>
          </cell>
          <cell r="K504">
            <v>6.9875221653607225E-2</v>
          </cell>
          <cell r="M504">
            <v>4.914250946574493E-2</v>
          </cell>
          <cell r="N504">
            <v>3.8046441883218811E-2</v>
          </cell>
          <cell r="O504">
            <v>5.4067491234426439E-2</v>
          </cell>
          <cell r="P504">
            <v>0.20103078482470135</v>
          </cell>
          <cell r="Q504">
            <v>2.7729493116792483E-2</v>
          </cell>
          <cell r="R504">
            <v>-7.7736567835179878E-3</v>
          </cell>
          <cell r="S504">
            <v>4.0888159901944908E-2</v>
          </cell>
          <cell r="T504">
            <v>5.7590174806187271E-2</v>
          </cell>
          <cell r="U504">
            <v>3.5313197223818864E-2</v>
          </cell>
        </row>
        <row r="505">
          <cell r="B505" t="str">
            <v>FY(1)</v>
          </cell>
          <cell r="C505">
            <v>1.2522878289574043E-2</v>
          </cell>
          <cell r="D505">
            <v>-6.3753643074999028E-3</v>
          </cell>
          <cell r="E505">
            <v>1.6668809255985861E-2</v>
          </cell>
          <cell r="F505">
            <v>3.1771342419490917E-3</v>
          </cell>
          <cell r="G505">
            <v>-4.5825289188847984E-2</v>
          </cell>
          <cell r="H505">
            <v>2.5863238332732671E-2</v>
          </cell>
          <cell r="I505">
            <v>2.8779651890930846E-2</v>
          </cell>
          <cell r="J505">
            <v>4.9730083592606613E-3</v>
          </cell>
          <cell r="K505">
            <v>1.1431092390628375E-2</v>
          </cell>
          <cell r="M505">
            <v>2.1490246705066201E-2</v>
          </cell>
          <cell r="N505">
            <v>5.2491017119315468E-2</v>
          </cell>
          <cell r="O505">
            <v>-1.1908457426466667E-3</v>
          </cell>
          <cell r="P505">
            <v>0.19455697495910562</v>
          </cell>
          <cell r="Q505">
            <v>5.9107806691449806E-2</v>
          </cell>
          <cell r="R505">
            <v>8.1148674494490071E-3</v>
          </cell>
          <cell r="S505">
            <v>6.4139226803617985E-2</v>
          </cell>
          <cell r="T505">
            <v>5.6958470569336783E-2</v>
          </cell>
          <cell r="U505">
            <v>4.9774058879925059E-2</v>
          </cell>
        </row>
        <row r="506">
          <cell r="B506" t="str">
            <v>FY0</v>
          </cell>
          <cell r="C506">
            <v>3.9769459160505317E-2</v>
          </cell>
          <cell r="D506">
            <v>-2.4627680711198658E-3</v>
          </cell>
          <cell r="E506">
            <v>3.605772914981481E-2</v>
          </cell>
          <cell r="F506">
            <v>3.2160329377573266E-2</v>
          </cell>
          <cell r="G506">
            <v>-1.2902072201423611E-2</v>
          </cell>
          <cell r="H506">
            <v>5.4984861946604312E-2</v>
          </cell>
          <cell r="I506">
            <v>5.1777871186178707E-2</v>
          </cell>
          <cell r="J506">
            <v>2.8483630078304706E-2</v>
          </cell>
          <cell r="K506">
            <v>3.2761061584019244E-2</v>
          </cell>
          <cell r="M506">
            <v>2.1404201630457975E-2</v>
          </cell>
          <cell r="N506">
            <v>9.7807188450768023E-2</v>
          </cell>
          <cell r="O506">
            <v>4.040722835002699E-2</v>
          </cell>
          <cell r="P506">
            <v>0.1731674915213523</v>
          </cell>
          <cell r="Q506">
            <v>8.0542368105937873E-2</v>
          </cell>
          <cell r="R506">
            <v>4.7095995481745138E-2</v>
          </cell>
          <cell r="S506">
            <v>7.4576281524576432E-2</v>
          </cell>
          <cell r="T506">
            <v>7.6428679294980664E-2</v>
          </cell>
          <cell r="U506">
            <v>7.3466191367664663E-2</v>
          </cell>
        </row>
        <row r="507">
          <cell r="B507" t="str">
            <v>FY1</v>
          </cell>
          <cell r="C507">
            <v>3.6803257951795759E-2</v>
          </cell>
          <cell r="D507">
            <v>9.9422774355722929E-3</v>
          </cell>
          <cell r="E507">
            <v>3.8099441311130286E-2</v>
          </cell>
          <cell r="F507">
            <v>3.5618222607814165E-2</v>
          </cell>
          <cell r="G507">
            <v>-5.0027060435742943E-3</v>
          </cell>
          <cell r="H507">
            <v>5.5598520850968301E-2</v>
          </cell>
          <cell r="I507">
            <v>5.5317283808356203E-2</v>
          </cell>
          <cell r="J507">
            <v>3.2339471131723245E-2</v>
          </cell>
          <cell r="K507">
            <v>3.6642275467751659E-2</v>
          </cell>
          <cell r="M507">
            <v>2.0415970470597081E-2</v>
          </cell>
          <cell r="N507">
            <v>9.0578807962802529E-2</v>
          </cell>
          <cell r="O507">
            <v>7.4955877918586475E-2</v>
          </cell>
          <cell r="P507">
            <v>0.18784054717553669</v>
          </cell>
          <cell r="Q507">
            <v>6.0678926608646197E-2</v>
          </cell>
          <cell r="R507">
            <v>5.1087560549650884E-2</v>
          </cell>
          <cell r="S507">
            <v>7.8872067209330793E-2</v>
          </cell>
          <cell r="T507">
            <v>8.0632822556450101E-2</v>
          </cell>
          <cell r="U507">
            <v>7.0916381862729541E-2</v>
          </cell>
        </row>
        <row r="508">
          <cell r="B508" t="str">
            <v>FY2</v>
          </cell>
          <cell r="C508">
            <v>3.6029295706379805E-2</v>
          </cell>
          <cell r="D508">
            <v>1.3920310414361453E-2</v>
          </cell>
          <cell r="E508">
            <v>3.736448357061728E-2</v>
          </cell>
          <cell r="F508">
            <v>3.3390176917072134E-2</v>
          </cell>
          <cell r="G508">
            <v>2.7077350511000488E-2</v>
          </cell>
          <cell r="H508">
            <v>5.2939374833065829E-2</v>
          </cell>
          <cell r="I508">
            <v>5.4643574172277366E-2</v>
          </cell>
          <cell r="J508">
            <v>3.6480652303539196E-2</v>
          </cell>
          <cell r="K508">
            <v>3.7482292599545136E-2</v>
          </cell>
          <cell r="M508">
            <v>3.1915815703665182E-2</v>
          </cell>
          <cell r="N508">
            <v>7.8763822416031151E-2</v>
          </cell>
          <cell r="O508">
            <v>8.4651764735319185E-2</v>
          </cell>
          <cell r="P508">
            <v>0.18307230899177407</v>
          </cell>
          <cell r="Q508">
            <v>6.9583157735798123E-2</v>
          </cell>
          <cell r="R508">
            <v>5.5070402142244991E-2</v>
          </cell>
          <cell r="S508">
            <v>8.3649771901842876E-2</v>
          </cell>
          <cell r="T508">
            <v>8.3815291946667939E-2</v>
          </cell>
          <cell r="U508">
            <v>7.6484772109785409E-2</v>
          </cell>
        </row>
        <row r="509">
          <cell r="B509" t="str">
            <v>FY1</v>
          </cell>
          <cell r="D509">
            <v>0.78550963147963926</v>
          </cell>
          <cell r="E509">
            <v>0.1993717773958395</v>
          </cell>
          <cell r="F509">
            <v>0.63496384836295683</v>
          </cell>
          <cell r="G509">
            <v>3.7211925699959076E-3</v>
          </cell>
          <cell r="H509">
            <v>0.44083291573044459</v>
          </cell>
          <cell r="I509">
            <v>0.46264560175149388</v>
          </cell>
          <cell r="M509">
            <v>0.73000681957512381</v>
          </cell>
          <cell r="N509">
            <v>0</v>
          </cell>
          <cell r="O509">
            <v>0.39783823264566592</v>
          </cell>
          <cell r="P509">
            <v>0.29736306688131298</v>
          </cell>
          <cell r="Q509">
            <v>0.33916219577575579</v>
          </cell>
          <cell r="R509">
            <v>0.59587734423778893</v>
          </cell>
          <cell r="S509" t="e">
            <v>#VALUE!</v>
          </cell>
        </row>
        <row r="510">
          <cell r="B510" t="str">
            <v>Free Cash Flow/Share</v>
          </cell>
          <cell r="D510">
            <v>0.86406059462760387</v>
          </cell>
          <cell r="E510">
            <v>0.2309150600599611</v>
          </cell>
          <cell r="F510">
            <v>0.63496384836295727</v>
          </cell>
          <cell r="G510">
            <v>0</v>
          </cell>
          <cell r="H510">
            <v>0.47713743550384785</v>
          </cell>
          <cell r="I510">
            <v>0.53528137752412319</v>
          </cell>
          <cell r="M510">
            <v>0.78806017555813523</v>
          </cell>
          <cell r="N510">
            <v>0</v>
          </cell>
          <cell r="O510">
            <v>0.41521422924591944</v>
          </cell>
          <cell r="P510">
            <v>0.3270077479111474</v>
          </cell>
          <cell r="Q510">
            <v>0.38380166486551759</v>
          </cell>
          <cell r="R510">
            <v>0.62236453288448068</v>
          </cell>
          <cell r="S510" t="e">
            <v>#VALUE!</v>
          </cell>
        </row>
        <row r="511">
          <cell r="B511" t="str">
            <v>FY(2)</v>
          </cell>
          <cell r="C511">
            <v>4.2490893744343969</v>
          </cell>
          <cell r="D511">
            <v>5.9336071944043516</v>
          </cell>
          <cell r="E511">
            <v>3.8593027116768126</v>
          </cell>
          <cell r="F511">
            <v>3.5063074111764871</v>
          </cell>
          <cell r="G511">
            <v>0.92162447683014992</v>
          </cell>
          <cell r="H511">
            <v>2.4313646589537625</v>
          </cell>
          <cell r="I511">
            <v>2.4224043308428991</v>
          </cell>
          <cell r="M511">
            <v>1.9864993498901917</v>
          </cell>
          <cell r="N511">
            <v>0.53651925286588464</v>
          </cell>
          <cell r="O511">
            <v>0.74994933720719081</v>
          </cell>
          <cell r="P511">
            <v>1.3917469975301837</v>
          </cell>
          <cell r="Q511">
            <v>0.55059964786060023</v>
          </cell>
          <cell r="R511">
            <v>-0.2062102633864612</v>
          </cell>
          <cell r="S511">
            <v>0.36341394076755845</v>
          </cell>
        </row>
        <row r="512">
          <cell r="B512" t="str">
            <v>FY(1)</v>
          </cell>
          <cell r="C512">
            <v>0.66934487847434565</v>
          </cell>
          <cell r="D512">
            <v>-0.52880762759395628</v>
          </cell>
          <cell r="E512">
            <v>0.98456427596844054</v>
          </cell>
          <cell r="F512">
            <v>0.12026764068028728</v>
          </cell>
          <cell r="G512">
            <v>-1.0056528994258165</v>
          </cell>
          <cell r="H512">
            <v>1.2780636112935091</v>
          </cell>
          <cell r="I512">
            <v>1.23638882545138</v>
          </cell>
          <cell r="M512">
            <v>0.83853069698528215</v>
          </cell>
          <cell r="N512">
            <v>0.97641608460597462</v>
          </cell>
          <cell r="O512">
            <v>-1.71460916649805E-2</v>
          </cell>
          <cell r="P512">
            <v>1.7177598894128945</v>
          </cell>
          <cell r="Q512">
            <v>1.1941585535465924</v>
          </cell>
          <cell r="R512">
            <v>0.21755144514839858</v>
          </cell>
          <cell r="S512">
            <v>0.6887105598096076</v>
          </cell>
        </row>
        <row r="513">
          <cell r="B513" t="str">
            <v>FY0</v>
          </cell>
          <cell r="C513">
            <v>2.22514657980456</v>
          </cell>
          <cell r="D513">
            <v>-0.18569894782048532</v>
          </cell>
          <cell r="E513">
            <v>2.0053510121936782</v>
          </cell>
          <cell r="F513">
            <v>1.209105394946506</v>
          </cell>
          <cell r="G513">
            <v>-0.23070050291294525</v>
          </cell>
          <cell r="H513">
            <v>3.1587622369933528</v>
          </cell>
          <cell r="I513">
            <v>2.4579735903402469</v>
          </cell>
          <cell r="M513">
            <v>0.70946813838531597</v>
          </cell>
          <cell r="N513">
            <v>2.1590778497348424</v>
          </cell>
          <cell r="O513">
            <v>0.57791712897425107</v>
          </cell>
          <cell r="P513">
            <v>1.7179904182789754</v>
          </cell>
          <cell r="Q513">
            <v>1.6370221904080173</v>
          </cell>
          <cell r="R513">
            <v>1.2441904732759017</v>
          </cell>
          <cell r="S513">
            <v>0.84400480291871405</v>
          </cell>
        </row>
        <row r="514">
          <cell r="B514" t="str">
            <v>FY1</v>
          </cell>
          <cell r="C514">
            <v>2.1951450951174922</v>
          </cell>
          <cell r="D514">
            <v>0.74603456631500475</v>
          </cell>
          <cell r="E514">
            <v>2.1955124058266442</v>
          </cell>
          <cell r="F514">
            <v>1.4328531067238148</v>
          </cell>
          <cell r="G514">
            <v>-9.0055927496579119E-2</v>
          </cell>
          <cell r="H514">
            <v>3.5734863855257211</v>
          </cell>
          <cell r="I514">
            <v>2.9684399163408011</v>
          </cell>
          <cell r="M514">
            <v>0.74223864787224936</v>
          </cell>
          <cell r="N514">
            <v>2.3366848582764055</v>
          </cell>
          <cell r="O514">
            <v>1.0447714364107594</v>
          </cell>
          <cell r="P514">
            <v>2.0554148784630577</v>
          </cell>
          <cell r="Q514">
            <v>1.2998429620665346</v>
          </cell>
          <cell r="R514">
            <v>1.4451999331855581</v>
          </cell>
          <cell r="S514">
            <v>1.0344969730953626</v>
          </cell>
        </row>
        <row r="515">
          <cell r="B515" t="str">
            <v>FY2</v>
          </cell>
          <cell r="C515">
            <v>2.3970045054472342</v>
          </cell>
          <cell r="D515">
            <v>1.067257525113209</v>
          </cell>
          <cell r="E515">
            <v>2.1712447937658159</v>
          </cell>
          <cell r="F515">
            <v>1.4389650502363978</v>
          </cell>
          <cell r="G515">
            <v>0.48361756194990174</v>
          </cell>
          <cell r="H515">
            <v>3.7535223162014</v>
          </cell>
          <cell r="I515">
            <v>3.260057704660106</v>
          </cell>
          <cell r="M515">
            <v>1.3127786118715399</v>
          </cell>
          <cell r="N515">
            <v>2.5241314071906578</v>
          </cell>
          <cell r="O515">
            <v>1.291288849083452</v>
          </cell>
          <cell r="P515">
            <v>2.2381603419179101</v>
          </cell>
          <cell r="Q515">
            <v>1.5436247730291666</v>
          </cell>
          <cell r="R515">
            <v>1.6420317539906257</v>
          </cell>
          <cell r="S515">
            <v>1.2551492139054254</v>
          </cell>
        </row>
        <row r="517">
          <cell r="A517" t="str">
            <v>mstag:fundsUsedToRepurchaseCommonStock</v>
          </cell>
          <cell r="B517" t="str">
            <v>Capex</v>
          </cell>
        </row>
        <row r="518">
          <cell r="B518" t="str">
            <v>FY(5)</v>
          </cell>
          <cell r="C518">
            <v>889.59799999999996</v>
          </cell>
          <cell r="D518">
            <v>398</v>
          </cell>
          <cell r="E518">
            <v>548</v>
          </cell>
          <cell r="F518">
            <v>246.851</v>
          </cell>
          <cell r="G518">
            <v>96.013000000000005</v>
          </cell>
          <cell r="H518">
            <v>149.541</v>
          </cell>
          <cell r="I518">
            <v>429.13299999999998</v>
          </cell>
          <cell r="J518">
            <v>393.87657142857142</v>
          </cell>
          <cell r="K518">
            <v>2757.136</v>
          </cell>
          <cell r="M518">
            <v>185.065</v>
          </cell>
          <cell r="N518">
            <v>46.677</v>
          </cell>
          <cell r="O518">
            <v>97.287999999999997</v>
          </cell>
          <cell r="P518">
            <v>67.692999999999998</v>
          </cell>
          <cell r="Q518">
            <v>419</v>
          </cell>
          <cell r="R518">
            <v>431</v>
          </cell>
          <cell r="S518">
            <v>75.141000000000005</v>
          </cell>
          <cell r="T518">
            <v>188.8377142857143</v>
          </cell>
          <cell r="U518">
            <v>1321.864</v>
          </cell>
        </row>
        <row r="519">
          <cell r="B519" t="str">
            <v>FY(4)</v>
          </cell>
          <cell r="C519">
            <v>828.09500000000003</v>
          </cell>
          <cell r="D519">
            <v>535</v>
          </cell>
          <cell r="E519">
            <v>656</v>
          </cell>
          <cell r="F519">
            <v>271.65899999999999</v>
          </cell>
          <cell r="G519">
            <v>130.124</v>
          </cell>
          <cell r="H519">
            <v>175.851</v>
          </cell>
          <cell r="I519">
            <v>495.94799999999998</v>
          </cell>
          <cell r="J519">
            <v>441.81099999999998</v>
          </cell>
          <cell r="K519">
            <v>3092.6769999999997</v>
          </cell>
          <cell r="M519">
            <v>256.42200000000003</v>
          </cell>
          <cell r="N519">
            <v>58.289000000000001</v>
          </cell>
          <cell r="O519">
            <v>81.545000000000002</v>
          </cell>
          <cell r="P519">
            <v>94.591999999999999</v>
          </cell>
          <cell r="Q519">
            <v>600</v>
          </cell>
          <cell r="R519">
            <v>480</v>
          </cell>
          <cell r="S519">
            <v>127.73</v>
          </cell>
          <cell r="T519">
            <v>242.654</v>
          </cell>
          <cell r="U519">
            <v>1698.578</v>
          </cell>
        </row>
        <row r="520">
          <cell r="B520" t="str">
            <v>FY(3)</v>
          </cell>
          <cell r="C520">
            <v>1163.0920000000001</v>
          </cell>
          <cell r="D520">
            <v>772</v>
          </cell>
          <cell r="E520">
            <v>1392</v>
          </cell>
          <cell r="F520">
            <v>264.43700000000001</v>
          </cell>
          <cell r="G520">
            <v>123.679</v>
          </cell>
          <cell r="H520">
            <v>223.95500000000001</v>
          </cell>
          <cell r="I520">
            <v>378.01100000000002</v>
          </cell>
          <cell r="J520">
            <v>616.73914285714284</v>
          </cell>
          <cell r="K520">
            <v>4317.174</v>
          </cell>
          <cell r="M520">
            <v>403.476</v>
          </cell>
          <cell r="N520">
            <v>44.948999999999998</v>
          </cell>
          <cell r="O520">
            <v>225.93899999999999</v>
          </cell>
          <cell r="P520">
            <v>133.876</v>
          </cell>
          <cell r="Q520">
            <v>572</v>
          </cell>
          <cell r="R520">
            <v>548</v>
          </cell>
          <cell r="S520">
            <v>212.029</v>
          </cell>
          <cell r="T520">
            <v>305.75271428571432</v>
          </cell>
          <cell r="U520">
            <v>2140.2690000000002</v>
          </cell>
        </row>
        <row r="521">
          <cell r="B521" t="str">
            <v>FY(2)</v>
          </cell>
          <cell r="C521">
            <v>1541.683</v>
          </cell>
          <cell r="D521">
            <v>1243</v>
          </cell>
          <cell r="E521">
            <v>1105</v>
          </cell>
          <cell r="F521">
            <v>501</v>
          </cell>
          <cell r="G521">
            <v>136.726</v>
          </cell>
          <cell r="H521">
            <v>236.12100000000001</v>
          </cell>
          <cell r="I521">
            <v>526.98699999999997</v>
          </cell>
          <cell r="J521">
            <v>755.78814285714282</v>
          </cell>
          <cell r="K521">
            <v>5290.5169999999998</v>
          </cell>
          <cell r="M521">
            <v>403.34500000000003</v>
          </cell>
          <cell r="N521">
            <v>82.305999999999997</v>
          </cell>
          <cell r="O521">
            <v>250.40700000000001</v>
          </cell>
          <cell r="P521">
            <v>140.87200000000001</v>
          </cell>
          <cell r="Q521">
            <v>682</v>
          </cell>
          <cell r="R521">
            <v>749</v>
          </cell>
          <cell r="S521">
            <v>115.37</v>
          </cell>
          <cell r="T521">
            <v>346.18571428571431</v>
          </cell>
          <cell r="U521">
            <v>2423.3000000000002</v>
          </cell>
        </row>
        <row r="522">
          <cell r="A522" t="str">
            <v>mstag:capitalExpenditures</v>
          </cell>
          <cell r="B522" t="str">
            <v>FY(1)</v>
          </cell>
          <cell r="C522">
            <v>1014</v>
          </cell>
          <cell r="D522">
            <v>969</v>
          </cell>
          <cell r="E522">
            <v>897</v>
          </cell>
          <cell r="F522">
            <v>563</v>
          </cell>
          <cell r="G522">
            <v>127.30500000000001</v>
          </cell>
          <cell r="H522">
            <v>224.41800000000001</v>
          </cell>
          <cell r="I522">
            <v>582.93200000000002</v>
          </cell>
          <cell r="J522">
            <v>625.37928571428563</v>
          </cell>
          <cell r="K522">
            <v>4377.6549999999997</v>
          </cell>
          <cell r="M522">
            <v>367.60199999999998</v>
          </cell>
          <cell r="N522">
            <v>83.034999999999997</v>
          </cell>
          <cell r="O522">
            <v>265.33499999999998</v>
          </cell>
          <cell r="P522">
            <v>174.72</v>
          </cell>
          <cell r="Q522">
            <v>431</v>
          </cell>
          <cell r="R522">
            <v>479</v>
          </cell>
          <cell r="S522">
            <v>112.553</v>
          </cell>
          <cell r="T522">
            <v>273.32071428571425</v>
          </cell>
          <cell r="U522">
            <v>1913.2449999999999</v>
          </cell>
        </row>
        <row r="523">
          <cell r="B523" t="str">
            <v>FY0</v>
          </cell>
          <cell r="C523">
            <v>666</v>
          </cell>
          <cell r="D523">
            <v>600</v>
          </cell>
          <cell r="E523">
            <v>460</v>
          </cell>
          <cell r="F523">
            <v>360</v>
          </cell>
          <cell r="G523">
            <v>74.576999999999998</v>
          </cell>
          <cell r="H523">
            <v>158.48699999999999</v>
          </cell>
          <cell r="I523">
            <v>429.3</v>
          </cell>
          <cell r="J523">
            <v>392.62342857142863</v>
          </cell>
          <cell r="K523">
            <v>2748.3640000000005</v>
          </cell>
          <cell r="M523">
            <v>175.47200000000001</v>
          </cell>
          <cell r="N523">
            <v>53.883000000000003</v>
          </cell>
          <cell r="O523">
            <v>127.419</v>
          </cell>
          <cell r="P523">
            <v>137.029</v>
          </cell>
          <cell r="Q523">
            <v>334</v>
          </cell>
          <cell r="R523">
            <v>202</v>
          </cell>
          <cell r="S523">
            <v>119.162038443713</v>
          </cell>
          <cell r="T523">
            <v>164.13786263481614</v>
          </cell>
          <cell r="U523">
            <v>1148.965038443713</v>
          </cell>
        </row>
        <row r="524">
          <cell r="B524" t="str">
            <v>FY1</v>
          </cell>
          <cell r="C524">
            <v>907.58838587964101</v>
          </cell>
          <cell r="D524">
            <v>516.37928113343298</v>
          </cell>
          <cell r="E524">
            <v>565.12585635259802</v>
          </cell>
          <cell r="F524">
            <v>455.23699236309801</v>
          </cell>
          <cell r="G524">
            <v>77.761425590910207</v>
          </cell>
          <cell r="H524">
            <v>216.66670210473899</v>
          </cell>
          <cell r="I524">
            <v>471.33063965813898</v>
          </cell>
          <cell r="J524">
            <v>458.58418329750833</v>
          </cell>
          <cell r="K524">
            <v>3210.0892830825583</v>
          </cell>
          <cell r="M524">
            <v>252.64958018246</v>
          </cell>
          <cell r="N524">
            <v>79.400220215663794</v>
          </cell>
          <cell r="O524">
            <v>104.611932148604</v>
          </cell>
          <cell r="P524">
            <v>109.483966350592</v>
          </cell>
          <cell r="Q524">
            <v>588.34474706810602</v>
          </cell>
          <cell r="R524">
            <v>273.32239281791698</v>
          </cell>
          <cell r="S524">
            <v>148.61906341465499</v>
          </cell>
          <cell r="T524">
            <v>222.34741459971397</v>
          </cell>
          <cell r="U524">
            <v>1556.4319021979977</v>
          </cell>
          <cell r="W524">
            <v>4766.521185280556</v>
          </cell>
        </row>
        <row r="525">
          <cell r="B525" t="str">
            <v>FY2</v>
          </cell>
          <cell r="C525">
            <v>1083.4152741635201</v>
          </cell>
          <cell r="D525">
            <v>545.95290120724496</v>
          </cell>
          <cell r="E525">
            <v>705.395843567165</v>
          </cell>
          <cell r="F525">
            <v>533.07692763290902</v>
          </cell>
          <cell r="G525">
            <v>36.653496169259</v>
          </cell>
          <cell r="H525">
            <v>234.750554079805</v>
          </cell>
          <cell r="I525">
            <v>525.90098383666202</v>
          </cell>
          <cell r="J525">
            <v>523.59228295093794</v>
          </cell>
          <cell r="K525">
            <v>3665.1459806565654</v>
          </cell>
          <cell r="M525">
            <v>269.53895223304102</v>
          </cell>
          <cell r="N525">
            <v>89.868208191571199</v>
          </cell>
          <cell r="O525">
            <v>109.075496451026</v>
          </cell>
          <cell r="P525">
            <v>139.387978389967</v>
          </cell>
          <cell r="Q525">
            <v>513.33336615648602</v>
          </cell>
          <cell r="R525">
            <v>320.49644583297498</v>
          </cell>
          <cell r="S525">
            <v>169.55707228555099</v>
          </cell>
          <cell r="T525">
            <v>230.17964564865957</v>
          </cell>
          <cell r="U525">
            <v>1611.2575195406171</v>
          </cell>
          <cell r="W525">
            <v>5276.4035001971824</v>
          </cell>
          <cell r="X525">
            <v>0.10697158264840789</v>
          </cell>
        </row>
        <row r="526">
          <cell r="B526" t="str">
            <v>Last Reported Q</v>
          </cell>
          <cell r="C526" t="str">
            <v>NA</v>
          </cell>
          <cell r="D526" t="str">
            <v>NA</v>
          </cell>
          <cell r="E526">
            <v>0</v>
          </cell>
          <cell r="F526">
            <v>0</v>
          </cell>
          <cell r="G526" t="str">
            <v>NA</v>
          </cell>
          <cell r="H526">
            <v>75.445999999999998</v>
          </cell>
          <cell r="I526">
            <v>293.8</v>
          </cell>
          <cell r="J526">
            <v>92.311499999999995</v>
          </cell>
          <cell r="K526">
            <v>369.24599999999998</v>
          </cell>
          <cell r="M526">
            <v>0</v>
          </cell>
          <cell r="N526">
            <v>20</v>
          </cell>
          <cell r="O526">
            <v>3.5000000000000003E-2</v>
          </cell>
          <cell r="P526" t="str">
            <v>NA</v>
          </cell>
          <cell r="Q526">
            <v>61</v>
          </cell>
          <cell r="R526" t="str">
            <v>NA</v>
          </cell>
          <cell r="S526">
            <v>0</v>
          </cell>
          <cell r="T526">
            <v>16.207000000000001</v>
          </cell>
          <cell r="U526">
            <v>81.034999999999997</v>
          </cell>
        </row>
        <row r="527">
          <cell r="B527" t="str">
            <v>Capex/Sales</v>
          </cell>
          <cell r="C527">
            <v>0</v>
          </cell>
          <cell r="D527">
            <v>0</v>
          </cell>
          <cell r="E527">
            <v>1</v>
          </cell>
          <cell r="F527">
            <v>0</v>
          </cell>
          <cell r="G527">
            <v>0</v>
          </cell>
          <cell r="H527">
            <v>298.41300000000001</v>
          </cell>
          <cell r="I527">
            <v>614.49799999999993</v>
          </cell>
          <cell r="J527">
            <v>130.55871428571427</v>
          </cell>
          <cell r="K527">
            <v>913.91099999999994</v>
          </cell>
          <cell r="M527">
            <v>0</v>
          </cell>
          <cell r="N527">
            <v>33.474000000000004</v>
          </cell>
          <cell r="O527">
            <v>0.2479999999999998</v>
          </cell>
          <cell r="P527">
            <v>0</v>
          </cell>
          <cell r="Q527">
            <v>218</v>
          </cell>
          <cell r="R527">
            <v>0</v>
          </cell>
          <cell r="S527">
            <v>0</v>
          </cell>
          <cell r="T527">
            <v>35.960285714285718</v>
          </cell>
          <cell r="U527">
            <v>251.72200000000001</v>
          </cell>
          <cell r="W527">
            <v>0.14175826821147752</v>
          </cell>
        </row>
        <row r="528">
          <cell r="B528" t="str">
            <v>FY(2)</v>
          </cell>
          <cell r="C528">
            <v>9.3584501356707955E-2</v>
          </cell>
          <cell r="D528">
            <v>6.2585186091487152E-2</v>
          </cell>
          <cell r="E528">
            <v>4.1994451411849654E-2</v>
          </cell>
          <cell r="F528">
            <v>5.6752441770975236E-2</v>
          </cell>
          <cell r="G528">
            <v>4.188097100041567E-2</v>
          </cell>
          <cell r="H528">
            <v>3.9516756894985482E-2</v>
          </cell>
          <cell r="I528">
            <v>2.8739427092928149E-2</v>
          </cell>
          <cell r="J528">
            <v>5.2150533659907031E-2</v>
          </cell>
          <cell r="K528">
            <v>5.3411503037065926E-2</v>
          </cell>
          <cell r="M528">
            <v>0.10902229828935447</v>
          </cell>
          <cell r="N528">
            <v>5.1987672934840759E-2</v>
          </cell>
          <cell r="O528">
            <v>8.1955044463623491E-2</v>
          </cell>
          <cell r="P528">
            <v>5.3923204831009597E-2</v>
          </cell>
          <cell r="Q528">
            <v>4.3265875785066292E-2</v>
          </cell>
          <cell r="R528">
            <v>7.4259195127486383E-2</v>
          </cell>
          <cell r="S528">
            <v>7.6519309900220475E-2</v>
          </cell>
          <cell r="T528">
            <v>7.0133228761657368E-2</v>
          </cell>
          <cell r="U528">
            <v>6.3258771447465792E-2</v>
          </cell>
        </row>
        <row r="529">
          <cell r="B529" t="str">
            <v>FY(1)</v>
          </cell>
          <cell r="C529">
            <v>6.1871144494139323E-2</v>
          </cell>
          <cell r="D529">
            <v>5.2416704966716285E-2</v>
          </cell>
          <cell r="E529">
            <v>3.6035674112164552E-2</v>
          </cell>
          <cell r="F529">
            <v>6.7904957182487027E-2</v>
          </cell>
          <cell r="G529">
            <v>4.1919557125583824E-2</v>
          </cell>
          <cell r="H529">
            <v>3.4599628530933429E-2</v>
          </cell>
          <cell r="I529">
            <v>3.0681430910963207E-2</v>
          </cell>
          <cell r="J529">
            <v>4.6489871046141093E-2</v>
          </cell>
          <cell r="K529">
            <v>4.5326299240674772E-2</v>
          </cell>
          <cell r="M529">
            <v>0.10550975486336762</v>
          </cell>
          <cell r="N529">
            <v>4.4037992480632775E-2</v>
          </cell>
          <cell r="O529">
            <v>8.8775927064119339E-2</v>
          </cell>
          <cell r="P529">
            <v>5.4930320046454352E-2</v>
          </cell>
          <cell r="Q529">
            <v>2.9670934875395842E-2</v>
          </cell>
          <cell r="R529">
            <v>5.2970898849801627E-2</v>
          </cell>
          <cell r="S529">
            <v>6.1349556147383272E-2</v>
          </cell>
          <cell r="T529">
            <v>6.2463626332450693E-2</v>
          </cell>
          <cell r="U529">
            <v>5.1789835122335176E-2</v>
          </cell>
        </row>
        <row r="530">
          <cell r="B530" t="str">
            <v>FY0</v>
          </cell>
          <cell r="C530">
            <v>3.8772777551376841E-2</v>
          </cell>
          <cell r="D530">
            <v>3.4173469997037909E-2</v>
          </cell>
          <cell r="E530">
            <v>1.9583634892928605E-2</v>
          </cell>
          <cell r="F530">
            <v>4.359409057883265E-2</v>
          </cell>
          <cell r="G530">
            <v>2.8402603486295135E-2</v>
          </cell>
          <cell r="H530">
            <v>2.206045394255432E-2</v>
          </cell>
          <cell r="I530">
            <v>2.115982871825952E-2</v>
          </cell>
          <cell r="J530">
            <v>2.9678122738183571E-2</v>
          </cell>
          <cell r="K530">
            <v>2.8456909994136789E-2</v>
          </cell>
          <cell r="M530">
            <v>5.9916172265141496E-2</v>
          </cell>
          <cell r="N530">
            <v>2.4161642613240185E-2</v>
          </cell>
          <cell r="O530">
            <v>4.2607098742107656E-2</v>
          </cell>
          <cell r="P530">
            <v>4.2417693040141556E-2</v>
          </cell>
          <cell r="Q530">
            <v>2.3526097062759738E-2</v>
          </cell>
          <cell r="R530">
            <v>2.3399843139962396E-2</v>
          </cell>
          <cell r="S530">
            <v>6.149299001386252E-2</v>
          </cell>
          <cell r="T530">
            <v>3.9645933839602229E-2</v>
          </cell>
          <cell r="U530">
            <v>3.1785808544811306E-2</v>
          </cell>
        </row>
        <row r="531">
          <cell r="B531" t="str">
            <v>FY1</v>
          </cell>
          <cell r="C531">
            <v>4.906384536712001E-2</v>
          </cell>
          <cell r="D531">
            <v>2.9000000000000019E-2</v>
          </cell>
          <cell r="E531">
            <v>2.3024470937356083E-2</v>
          </cell>
          <cell r="F531">
            <v>5.0970015246604841E-2</v>
          </cell>
          <cell r="G531">
            <v>2.8406073555532135E-2</v>
          </cell>
          <cell r="H531">
            <v>2.7764038492343043E-2</v>
          </cell>
          <cell r="I531">
            <v>2.1369574682242889E-2</v>
          </cell>
          <cell r="J531">
            <v>3.2799716897314146E-2</v>
          </cell>
          <cell r="K531">
            <v>3.1355313033391612E-2</v>
          </cell>
          <cell r="M531">
            <v>7.9882941077226516E-2</v>
          </cell>
          <cell r="N531">
            <v>3.2671433838796095E-2</v>
          </cell>
          <cell r="O531">
            <v>3.500000000000001E-2</v>
          </cell>
          <cell r="P531">
            <v>3.1496204389433645E-2</v>
          </cell>
          <cell r="Q531">
            <v>4.1852106209232701E-2</v>
          </cell>
          <cell r="R531">
            <v>3.0000000000000061E-2</v>
          </cell>
          <cell r="S531">
            <v>6.5716719965351583E-2</v>
          </cell>
          <cell r="T531">
            <v>4.5231343640005806E-2</v>
          </cell>
          <cell r="U531">
            <v>4.1518146381270146E-2</v>
          </cell>
        </row>
        <row r="532">
          <cell r="B532" t="str">
            <v>FY2</v>
          </cell>
          <cell r="C532">
            <v>5.4063845367119855E-2</v>
          </cell>
          <cell r="D532">
            <v>0.03</v>
          </cell>
          <cell r="E532">
            <v>2.8499999999999838E-2</v>
          </cell>
          <cell r="F532">
            <v>5.7000000000000065E-2</v>
          </cell>
          <cell r="G532">
            <v>1.2499999999999957E-2</v>
          </cell>
          <cell r="H532">
            <v>2.8764038492343064E-2</v>
          </cell>
          <cell r="I532">
            <v>2.2369574682242845E-2</v>
          </cell>
          <cell r="J532">
            <v>3.3313922648815095E-2</v>
          </cell>
          <cell r="K532">
            <v>3.4271596581928084E-2</v>
          </cell>
          <cell r="M532">
            <v>7.8882941077226418E-2</v>
          </cell>
          <cell r="N532">
            <v>3.2671433838796143E-2</v>
          </cell>
          <cell r="O532">
            <v>3.2999999999999953E-2</v>
          </cell>
          <cell r="P532">
            <v>3.7496204389433692E-2</v>
          </cell>
          <cell r="Q532">
            <v>3.800000000000011E-2</v>
          </cell>
          <cell r="R532">
            <v>3.3899999999999965E-2</v>
          </cell>
          <cell r="S532">
            <v>6.5716719965351306E-2</v>
          </cell>
          <cell r="T532">
            <v>4.5666757038686799E-2</v>
          </cell>
          <cell r="U532">
            <v>4.1598672627023166E-2</v>
          </cell>
        </row>
        <row r="533">
          <cell r="B533" t="str">
            <v>FY1</v>
          </cell>
          <cell r="C533">
            <v>0</v>
          </cell>
          <cell r="D533">
            <v>182.945193171608</v>
          </cell>
          <cell r="E533">
            <v>85.1</v>
          </cell>
          <cell r="F533">
            <v>139.1936024</v>
          </cell>
          <cell r="G533">
            <v>0.54100000000000004</v>
          </cell>
          <cell r="H533">
            <v>355.01931090619053</v>
          </cell>
          <cell r="I533">
            <v>823.37161142857099</v>
          </cell>
          <cell r="J533">
            <v>226.59581684376707</v>
          </cell>
          <cell r="K533">
            <v>1586.1707179063694</v>
          </cell>
          <cell r="M533">
            <v>64.431664990000002</v>
          </cell>
          <cell r="N533">
            <v>88.472999999999999</v>
          </cell>
          <cell r="O533">
            <v>83.486885200000003</v>
          </cell>
          <cell r="P533">
            <v>95.706649923605795</v>
          </cell>
          <cell r="Q533">
            <v>492.82129880369598</v>
          </cell>
          <cell r="R533">
            <v>194.73504270000001</v>
          </cell>
          <cell r="S533">
            <v>0</v>
          </cell>
          <cell r="T533">
            <v>145.6649345167574</v>
          </cell>
          <cell r="U533">
            <v>1019.6545416173018</v>
          </cell>
        </row>
        <row r="534">
          <cell r="A534" t="str">
            <v>mstag:averageDilutedSharesOutstanding</v>
          </cell>
          <cell r="B534" t="str">
            <v>Shares</v>
          </cell>
          <cell r="C534">
            <v>0</v>
          </cell>
          <cell r="D534">
            <v>205.90563969975801</v>
          </cell>
          <cell r="E534">
            <v>97.307606309267598</v>
          </cell>
          <cell r="F534">
            <v>286.66186174613699</v>
          </cell>
          <cell r="G534">
            <v>0</v>
          </cell>
          <cell r="H534">
            <v>307.96242645149999</v>
          </cell>
          <cell r="I534">
            <v>923.40618542842799</v>
          </cell>
          <cell r="J534">
            <v>260.17767423358436</v>
          </cell>
          <cell r="K534">
            <v>1821.2437196350907</v>
          </cell>
          <cell r="M534">
            <v>265.18449312984052</v>
          </cell>
          <cell r="N534">
            <v>175.375337620886</v>
          </cell>
          <cell r="O534">
            <v>139.4917100024507</v>
          </cell>
          <cell r="P534">
            <v>102.025034707074</v>
          </cell>
          <cell r="Q534">
            <v>1424.371796259763</v>
          </cell>
          <cell r="R534">
            <v>200</v>
          </cell>
          <cell r="S534">
            <v>0</v>
          </cell>
          <cell r="T534">
            <v>329.49262453143058</v>
          </cell>
          <cell r="U534">
            <v>2306.4483717200142</v>
          </cell>
        </row>
        <row r="535">
          <cell r="B535" t="str">
            <v>FY(2)</v>
          </cell>
          <cell r="C535">
            <v>320.17824999999999</v>
          </cell>
          <cell r="D535">
            <v>225.17500000000001</v>
          </cell>
          <cell r="E535">
            <v>451.75</v>
          </cell>
          <cell r="F535">
            <v>248.85724999999999</v>
          </cell>
          <cell r="G535">
            <v>153.53</v>
          </cell>
          <cell r="H535">
            <v>137.12950000000001</v>
          </cell>
          <cell r="I535">
            <v>468.04599999999999</v>
          </cell>
          <cell r="J535">
            <v>49.120571428571417</v>
          </cell>
          <cell r="K535">
            <v>343.84399999999994</v>
          </cell>
          <cell r="M535">
            <v>91.522999999999996</v>
          </cell>
          <cell r="N535">
            <v>112.26900000000001</v>
          </cell>
          <cell r="O535">
            <v>220.28</v>
          </cell>
          <cell r="P535">
            <v>377.35599999999999</v>
          </cell>
          <cell r="Q535">
            <v>793.86175000000003</v>
          </cell>
          <cell r="R535">
            <v>380.23025000000001</v>
          </cell>
          <cell r="S535">
            <v>169.63592499999999</v>
          </cell>
          <cell r="T535">
            <v>36.599857142857147</v>
          </cell>
          <cell r="U535">
            <v>256.19900000000001</v>
          </cell>
        </row>
        <row r="536">
          <cell r="B536" t="str">
            <v>FY(1)</v>
          </cell>
          <cell r="C536">
            <v>306.6225</v>
          </cell>
          <cell r="D536">
            <v>222.875</v>
          </cell>
          <cell r="E536">
            <v>421.42500000000001</v>
          </cell>
          <cell r="F536">
            <v>219.02500000000001</v>
          </cell>
          <cell r="G536">
            <v>138.38399999999999</v>
          </cell>
          <cell r="H536">
            <v>131.25524999999999</v>
          </cell>
          <cell r="I536">
            <v>442.255</v>
          </cell>
          <cell r="J536">
            <v>44.920142857142864</v>
          </cell>
          <cell r="K536">
            <v>314.44100000000003</v>
          </cell>
          <cell r="M536">
            <v>89.290999999999997</v>
          </cell>
          <cell r="N536">
            <v>101.364</v>
          </cell>
          <cell r="O536">
            <v>207.58199999999999</v>
          </cell>
          <cell r="P536">
            <v>360.25900000000001</v>
          </cell>
          <cell r="Q536">
            <v>719</v>
          </cell>
          <cell r="R536">
            <v>337.30099999999999</v>
          </cell>
          <cell r="S536">
            <v>170.85694175</v>
          </cell>
          <cell r="T536">
            <v>26.853857142857144</v>
          </cell>
          <cell r="U536">
            <v>187.977</v>
          </cell>
        </row>
        <row r="537">
          <cell r="B537" t="str">
            <v>FY0</v>
          </cell>
          <cell r="C537">
            <v>307</v>
          </cell>
          <cell r="D537">
            <v>232.85</v>
          </cell>
          <cell r="E537">
            <v>422.35</v>
          </cell>
          <cell r="F537">
            <v>219.65</v>
          </cell>
          <cell r="G537">
            <v>146.84450000000001</v>
          </cell>
          <cell r="H537">
            <v>125.05625000000001</v>
          </cell>
          <cell r="I537">
            <v>427.38150000000002</v>
          </cell>
          <cell r="J537">
            <v>57.513714285714286</v>
          </cell>
          <cell r="K537">
            <v>402.596</v>
          </cell>
          <cell r="M537">
            <v>88.354749999999996</v>
          </cell>
          <cell r="N537">
            <v>101.02475</v>
          </cell>
          <cell r="O537">
            <v>209.096</v>
          </cell>
          <cell r="P537">
            <v>325.62</v>
          </cell>
          <cell r="Q537">
            <v>698.5</v>
          </cell>
          <cell r="R537">
            <v>326.76499999999999</v>
          </cell>
          <cell r="S537">
            <v>171.22537274999999</v>
          </cell>
          <cell r="T537">
            <v>22.394714285714286</v>
          </cell>
          <cell r="U537">
            <v>156.76300000000001</v>
          </cell>
        </row>
        <row r="538">
          <cell r="B538" t="str">
            <v>FY1</v>
          </cell>
          <cell r="C538">
            <v>310.13471428571398</v>
          </cell>
          <cell r="D538">
            <v>237.3</v>
          </cell>
          <cell r="E538">
            <v>425.93</v>
          </cell>
          <cell r="F538">
            <v>222.02064300000001</v>
          </cell>
          <cell r="G538">
            <v>152.07075</v>
          </cell>
          <cell r="H538">
            <v>121.417319545455</v>
          </cell>
          <cell r="I538">
            <v>411.01945454545398</v>
          </cell>
          <cell r="J538">
            <v>76.682999999999993</v>
          </cell>
          <cell r="K538">
            <v>536.78099999999995</v>
          </cell>
          <cell r="M538">
            <v>86.994340425531902</v>
          </cell>
          <cell r="N538">
            <v>94.206304765520699</v>
          </cell>
          <cell r="O538">
            <v>214.43594377777799</v>
          </cell>
          <cell r="P538">
            <v>317.67435087815102</v>
          </cell>
          <cell r="Q538">
            <v>656.23828581818202</v>
          </cell>
          <cell r="R538">
            <v>322.06326548148098</v>
          </cell>
          <cell r="S538">
            <v>172.42198500000001</v>
          </cell>
          <cell r="T538">
            <v>32.55565</v>
          </cell>
          <cell r="U538">
            <v>227.88954999999999</v>
          </cell>
        </row>
        <row r="539">
          <cell r="B539" t="str">
            <v>FY2</v>
          </cell>
          <cell r="C539">
            <v>301.21385487113298</v>
          </cell>
          <cell r="D539">
            <v>237.363325395462</v>
          </cell>
          <cell r="E539">
            <v>425.93</v>
          </cell>
          <cell r="F539">
            <v>217.01187766065601</v>
          </cell>
          <cell r="G539">
            <v>164.17593426128801</v>
          </cell>
          <cell r="H539">
            <v>115.105631233766</v>
          </cell>
          <cell r="I539">
            <v>394.05792611882902</v>
          </cell>
          <cell r="J539">
            <v>228.23742857142858</v>
          </cell>
          <cell r="K539">
            <v>1597.662</v>
          </cell>
          <cell r="M539">
            <v>83.071661626235098</v>
          </cell>
          <cell r="N539">
            <v>85.832687672587596</v>
          </cell>
          <cell r="O539">
            <v>216.68351600604399</v>
          </cell>
          <cell r="P539">
            <v>304.067129634504</v>
          </cell>
          <cell r="Q539">
            <v>608.94531141072105</v>
          </cell>
          <cell r="R539">
            <v>317.07369672823501</v>
          </cell>
          <cell r="S539">
            <v>171.952871551062</v>
          </cell>
          <cell r="T539">
            <v>118.40407857142857</v>
          </cell>
          <cell r="U539">
            <v>828.82854999999995</v>
          </cell>
        </row>
        <row r="540">
          <cell r="B540" t="str">
            <v>FQ(3)</v>
          </cell>
          <cell r="C540">
            <v>306</v>
          </cell>
          <cell r="D540">
            <v>222.7</v>
          </cell>
          <cell r="E540">
            <v>421.4</v>
          </cell>
          <cell r="F540">
            <v>217.4</v>
          </cell>
          <cell r="G540">
            <v>138.297</v>
          </cell>
          <cell r="H540">
            <v>126.56399999999999</v>
          </cell>
          <cell r="I540">
            <v>431.798</v>
          </cell>
          <cell r="M540">
            <v>87.697000000000003</v>
          </cell>
          <cell r="N540">
            <v>101.685</v>
          </cell>
          <cell r="O540">
            <v>207.286</v>
          </cell>
          <cell r="P540">
            <v>321.35500000000002</v>
          </cell>
          <cell r="Q540">
            <v>697</v>
          </cell>
          <cell r="R540">
            <v>323.28500000000003</v>
          </cell>
          <cell r="S540">
            <v>170.31670800000001</v>
          </cell>
        </row>
        <row r="541">
          <cell r="B541" t="str">
            <v>FQ(2)</v>
          </cell>
          <cell r="C541">
            <v>306</v>
          </cell>
          <cell r="D541">
            <v>233.8</v>
          </cell>
          <cell r="E541">
            <v>422.1</v>
          </cell>
          <cell r="F541">
            <v>218.8</v>
          </cell>
          <cell r="G541">
            <v>138.32499999999999</v>
          </cell>
          <cell r="H541">
            <v>125.658</v>
          </cell>
          <cell r="I541">
            <v>430.45299999999997</v>
          </cell>
          <cell r="M541">
            <v>87.878</v>
          </cell>
          <cell r="N541">
            <v>102.4455</v>
          </cell>
          <cell r="O541">
            <v>209.01499999999999</v>
          </cell>
          <cell r="P541">
            <v>320.512</v>
          </cell>
          <cell r="Q541">
            <v>700</v>
          </cell>
          <cell r="R541">
            <v>325.697</v>
          </cell>
          <cell r="S541">
            <v>170.71927400000001</v>
          </cell>
        </row>
        <row r="542">
          <cell r="B542" t="str">
            <v>FQ(1)</v>
          </cell>
          <cell r="C542">
            <v>308</v>
          </cell>
          <cell r="D542">
            <v>237.6</v>
          </cell>
          <cell r="E542">
            <v>421.8</v>
          </cell>
          <cell r="F542">
            <v>220.7</v>
          </cell>
          <cell r="G542">
            <v>152.45599999999999</v>
          </cell>
          <cell r="H542">
            <v>124.648</v>
          </cell>
          <cell r="I542">
            <v>428.09199999999998</v>
          </cell>
          <cell r="J542">
            <v>5.9822026995043656</v>
          </cell>
          <cell r="K542">
            <v>1.0740709902116266</v>
          </cell>
          <cell r="M542">
            <v>88.73</v>
          </cell>
          <cell r="N542">
            <v>101.98650000000001</v>
          </cell>
          <cell r="O542">
            <v>209.393</v>
          </cell>
          <cell r="P542">
            <v>321.11500000000001</v>
          </cell>
          <cell r="Q542">
            <v>704</v>
          </cell>
          <cell r="R542">
            <v>328.25900000000001</v>
          </cell>
          <cell r="S542">
            <v>171.44390200000001</v>
          </cell>
          <cell r="T542">
            <v>0.54803252730191898</v>
          </cell>
          <cell r="U542">
            <v>0.62421656550496152</v>
          </cell>
        </row>
        <row r="543">
          <cell r="B543" t="str">
            <v>Last Reported Q</v>
          </cell>
          <cell r="C543">
            <v>307</v>
          </cell>
          <cell r="D543">
            <v>232.85</v>
          </cell>
          <cell r="E543">
            <v>422.35</v>
          </cell>
          <cell r="F543">
            <v>219.65</v>
          </cell>
          <cell r="G543">
            <v>146.84450000000001</v>
          </cell>
          <cell r="H543">
            <v>125.05625000000001</v>
          </cell>
          <cell r="I543">
            <v>427.38150000000002</v>
          </cell>
          <cell r="J543">
            <v>1.2055641241313226</v>
          </cell>
          <cell r="K543">
            <v>1.345688514126187</v>
          </cell>
          <cell r="M543">
            <v>88.354749999999996</v>
          </cell>
          <cell r="N543">
            <v>101.02475</v>
          </cell>
          <cell r="O543">
            <v>209.096</v>
          </cell>
          <cell r="P543">
            <v>321.38099999999997</v>
          </cell>
          <cell r="Q543">
            <v>698.5</v>
          </cell>
          <cell r="R543">
            <v>326.76499999999999</v>
          </cell>
          <cell r="S543">
            <v>171.22537274999999</v>
          </cell>
          <cell r="T543">
            <v>0.98358433469455953</v>
          </cell>
          <cell r="U543">
            <v>1.0261221323087046</v>
          </cell>
        </row>
        <row r="544">
          <cell r="B544" t="str">
            <v>LTM</v>
          </cell>
          <cell r="C544">
            <v>306.75</v>
          </cell>
          <cell r="D544">
            <v>231.73750000000001</v>
          </cell>
          <cell r="E544">
            <v>421.91250000000002</v>
          </cell>
          <cell r="F544">
            <v>219.13750000000002</v>
          </cell>
          <cell r="G544">
            <v>143.980625</v>
          </cell>
          <cell r="H544">
            <v>125.4815625</v>
          </cell>
          <cell r="I544">
            <v>429.43112499999995</v>
          </cell>
          <cell r="J544">
            <v>0.53601675902895107</v>
          </cell>
          <cell r="K544">
            <v>0.53144082268673543</v>
          </cell>
          <cell r="M544">
            <v>88.164937500000008</v>
          </cell>
          <cell r="N544">
            <v>101.78543749999999</v>
          </cell>
          <cell r="O544">
            <v>208.69749999999999</v>
          </cell>
          <cell r="P544">
            <v>321.09074999999996</v>
          </cell>
          <cell r="Q544">
            <v>699.875</v>
          </cell>
          <cell r="R544">
            <v>326.00149999999996</v>
          </cell>
          <cell r="S544">
            <v>170.9263141875</v>
          </cell>
          <cell r="T544">
            <v>0.33995816525749134</v>
          </cell>
          <cell r="U544">
            <v>0.48329425673440402</v>
          </cell>
        </row>
        <row r="545">
          <cell r="B545" t="str">
            <v>FY1</v>
          </cell>
          <cell r="C545">
            <v>0</v>
          </cell>
          <cell r="D545">
            <v>0.75886991644161217</v>
          </cell>
          <cell r="E545">
            <v>0.13544901852545316</v>
          </cell>
          <cell r="F545">
            <v>0.3501044562658292</v>
          </cell>
          <cell r="G545">
            <v>-7.8789507472054546E-3</v>
          </cell>
          <cell r="H545">
            <v>0.83723039615621164</v>
          </cell>
          <cell r="I545">
            <v>0.71266152001253269</v>
          </cell>
          <cell r="J545">
            <v>0.39806233666491903</v>
          </cell>
          <cell r="K545">
            <v>0.42529092369424204</v>
          </cell>
          <cell r="M545">
            <v>0.72421096097612114</v>
          </cell>
          <cell r="N545">
            <v>0.40902156005660512</v>
          </cell>
          <cell r="O545">
            <v>0.53922669551942037</v>
          </cell>
          <cell r="P545">
            <v>0.13932993511019859</v>
          </cell>
          <cell r="Q545">
            <v>0.45705508052969995</v>
          </cell>
          <cell r="R545">
            <v>0.5372637429287398</v>
          </cell>
          <cell r="S545">
            <v>0</v>
          </cell>
          <cell r="T545">
            <v>0.40087256787439784</v>
          </cell>
          <cell r="U545">
            <v>0.36417724611131913</v>
          </cell>
        </row>
        <row r="546">
          <cell r="B546" t="str">
            <v>Dividends</v>
          </cell>
          <cell r="C546">
            <v>0</v>
          </cell>
          <cell r="D546">
            <v>0.56460161768085815</v>
          </cell>
          <cell r="E546">
            <v>0.17369223170512707</v>
          </cell>
          <cell r="F546">
            <v>0.65325836349800881</v>
          </cell>
          <cell r="G546">
            <v>0</v>
          </cell>
          <cell r="H546">
            <v>0.71527012076771046</v>
          </cell>
          <cell r="I546">
            <v>0.70968320578337618</v>
          </cell>
          <cell r="J546">
            <v>0.40235793420501148</v>
          </cell>
          <cell r="K546">
            <v>0.43866553937993219</v>
          </cell>
          <cell r="M546">
            <v>1.9999999999999738</v>
          </cell>
          <cell r="N546">
            <v>0.79999999999998717</v>
          </cell>
          <cell r="O546">
            <v>0.7000000000000085</v>
          </cell>
          <cell r="P546">
            <v>0.13879332235659583</v>
          </cell>
          <cell r="Q546">
            <v>1.3200000000000276</v>
          </cell>
          <cell r="R546">
            <v>0.48792508469895424</v>
          </cell>
          <cell r="S546">
            <v>0</v>
          </cell>
          <cell r="T546">
            <v>0.77810262957936394</v>
          </cell>
          <cell r="U546">
            <v>0.75795426630354901</v>
          </cell>
        </row>
        <row r="547">
          <cell r="B547" t="str">
            <v>FY(2)</v>
          </cell>
          <cell r="C547" t="str">
            <v>NA</v>
          </cell>
          <cell r="D547">
            <v>174</v>
          </cell>
          <cell r="E547">
            <v>230</v>
          </cell>
          <cell r="F547">
            <v>134</v>
          </cell>
          <cell r="G547">
            <v>7.43</v>
          </cell>
          <cell r="H547">
            <v>40.637999999999998</v>
          </cell>
          <cell r="I547">
            <v>151.49199999999999</v>
          </cell>
          <cell r="J547">
            <v>122.92666666666666</v>
          </cell>
          <cell r="K547">
            <v>737.56</v>
          </cell>
          <cell r="M547">
            <v>61.33</v>
          </cell>
          <cell r="N547">
            <v>0</v>
          </cell>
          <cell r="O547">
            <v>80.796000000000006</v>
          </cell>
          <cell r="P547">
            <v>0</v>
          </cell>
          <cell r="Q547">
            <v>252</v>
          </cell>
          <cell r="R547">
            <v>227</v>
          </cell>
          <cell r="S547" t="str">
            <v>NA</v>
          </cell>
          <cell r="T547">
            <v>103.521</v>
          </cell>
          <cell r="U547">
            <v>621.12599999999998</v>
          </cell>
        </row>
        <row r="548">
          <cell r="A548" t="str">
            <v>mstag:cashDividendsPaid</v>
          </cell>
          <cell r="B548" t="str">
            <v>FY(1)</v>
          </cell>
          <cell r="C548" t="str">
            <v>NA</v>
          </cell>
          <cell r="D548">
            <v>178</v>
          </cell>
          <cell r="E548">
            <v>221</v>
          </cell>
          <cell r="F548">
            <v>138</v>
          </cell>
          <cell r="G548">
            <v>1.1830000000000001</v>
          </cell>
          <cell r="H548">
            <v>49.838000000000001</v>
          </cell>
          <cell r="I548">
            <v>176.749</v>
          </cell>
          <cell r="J548">
            <v>127.46166666666666</v>
          </cell>
          <cell r="K548">
            <v>764.77</v>
          </cell>
          <cell r="M548">
            <v>60.768999999999998</v>
          </cell>
          <cell r="N548">
            <v>0</v>
          </cell>
          <cell r="O548">
            <v>82.394000000000005</v>
          </cell>
          <cell r="P548">
            <v>0</v>
          </cell>
          <cell r="Q548">
            <v>243</v>
          </cell>
          <cell r="R548">
            <v>201</v>
          </cell>
          <cell r="S548" t="str">
            <v>NA</v>
          </cell>
          <cell r="T548">
            <v>97.860500000000002</v>
          </cell>
          <cell r="U548">
            <v>587.16300000000001</v>
          </cell>
        </row>
        <row r="549">
          <cell r="B549" t="str">
            <v>FY0</v>
          </cell>
          <cell r="C549" t="str">
            <v>NA</v>
          </cell>
          <cell r="D549">
            <v>183</v>
          </cell>
          <cell r="E549">
            <v>84</v>
          </cell>
          <cell r="F549">
            <v>139</v>
          </cell>
          <cell r="G549">
            <v>0.78100000000000003</v>
          </cell>
          <cell r="H549">
            <v>55.201999999999998</v>
          </cell>
          <cell r="I549">
            <v>197.7</v>
          </cell>
          <cell r="J549">
            <v>109.94716666666666</v>
          </cell>
          <cell r="K549">
            <v>659.68299999999999</v>
          </cell>
          <cell r="M549">
            <v>61.5</v>
          </cell>
          <cell r="N549">
            <v>0</v>
          </cell>
          <cell r="O549">
            <v>82.984999999999999</v>
          </cell>
          <cell r="P549">
            <v>0</v>
          </cell>
          <cell r="Q549">
            <v>234</v>
          </cell>
          <cell r="R549">
            <v>193</v>
          </cell>
          <cell r="S549" t="str">
            <v>NA</v>
          </cell>
          <cell r="T549">
            <v>95.247500000000002</v>
          </cell>
          <cell r="U549">
            <v>571.48500000000001</v>
          </cell>
        </row>
        <row r="550">
          <cell r="B550" t="str">
            <v>FY1</v>
          </cell>
          <cell r="C550" t="str">
            <v>NA</v>
          </cell>
          <cell r="D550">
            <v>188.775411841813</v>
          </cell>
          <cell r="E550">
            <v>85.186000000000007</v>
          </cell>
          <cell r="F550">
            <v>142.09321152000001</v>
          </cell>
          <cell r="G550">
            <v>0</v>
          </cell>
          <cell r="H550">
            <v>77.707084509090905</v>
          </cell>
          <cell r="I550">
            <v>197.28933818181801</v>
          </cell>
          <cell r="J550">
            <v>115.17517434212033</v>
          </cell>
          <cell r="K550">
            <v>691.05104605272197</v>
          </cell>
          <cell r="M550">
            <v>64.343897021276604</v>
          </cell>
          <cell r="N550">
            <v>0</v>
          </cell>
          <cell r="O550">
            <v>90.0630963866667</v>
          </cell>
          <cell r="P550">
            <v>94.252655263445405</v>
          </cell>
          <cell r="Q550">
            <v>262.49531432727298</v>
          </cell>
          <cell r="R550">
            <v>518.07900254814797</v>
          </cell>
          <cell r="S550" t="str">
            <v>NA</v>
          </cell>
          <cell r="T550">
            <v>171.53899425780162</v>
          </cell>
          <cell r="U550">
            <v>1029.2339655468097</v>
          </cell>
        </row>
        <row r="551">
          <cell r="B551" t="str">
            <v>FY2</v>
          </cell>
          <cell r="C551" t="str">
            <v>NA</v>
          </cell>
          <cell r="D551">
            <v>207.70836687078599</v>
          </cell>
          <cell r="E551">
            <v>96.910411835832903</v>
          </cell>
          <cell r="F551">
            <v>151.06358340229599</v>
          </cell>
          <cell r="G551">
            <v>0</v>
          </cell>
          <cell r="H551">
            <v>81.592438734545496</v>
          </cell>
          <cell r="I551">
            <v>213.29758054177</v>
          </cell>
          <cell r="J551">
            <v>125.09539689753841</v>
          </cell>
          <cell r="K551">
            <v>750.57238138523041</v>
          </cell>
          <cell r="M551">
            <v>68.188106938637006</v>
          </cell>
          <cell r="N551">
            <v>0</v>
          </cell>
          <cell r="O551">
            <v>98.400875799278495</v>
          </cell>
          <cell r="P551">
            <v>99.137817779386296</v>
          </cell>
          <cell r="Q551">
            <v>262.348142727675</v>
          </cell>
          <cell r="R551">
            <v>200</v>
          </cell>
          <cell r="S551" t="str">
            <v>NA</v>
          </cell>
          <cell r="T551">
            <v>121.3458238741628</v>
          </cell>
          <cell r="U551">
            <v>728.07494324497679</v>
          </cell>
        </row>
        <row r="552">
          <cell r="B552" t="str">
            <v>FQ(3)</v>
          </cell>
          <cell r="C552" t="str">
            <v>NA</v>
          </cell>
          <cell r="D552">
            <v>89</v>
          </cell>
          <cell r="E552">
            <v>21</v>
          </cell>
          <cell r="F552">
            <v>35</v>
          </cell>
          <cell r="G552">
            <v>0.47099999999999997</v>
          </cell>
          <cell r="H552">
            <v>13.967000000000001</v>
          </cell>
          <cell r="I552">
            <v>45.408000000000001</v>
          </cell>
          <cell r="J552">
            <v>34.140999999999998</v>
          </cell>
          <cell r="K552">
            <v>204.846</v>
          </cell>
          <cell r="M552">
            <v>15.337999999999999</v>
          </cell>
          <cell r="N552">
            <v>0</v>
          </cell>
          <cell r="O552">
            <v>20.638999999999999</v>
          </cell>
          <cell r="P552">
            <v>0</v>
          </cell>
          <cell r="Q552">
            <v>59</v>
          </cell>
          <cell r="R552">
            <v>48</v>
          </cell>
          <cell r="S552" t="str">
            <v>NA</v>
          </cell>
          <cell r="T552">
            <v>23.829499999999999</v>
          </cell>
          <cell r="U552">
            <v>142.977</v>
          </cell>
        </row>
        <row r="553">
          <cell r="A553" t="str">
            <v>Modelware DuPont (Non-lease Adjusted)ROIC</v>
          </cell>
          <cell r="B553" t="str">
            <v>FQ(2)</v>
          </cell>
          <cell r="C553" t="str">
            <v>NA</v>
          </cell>
          <cell r="D553">
            <v>0</v>
          </cell>
          <cell r="E553">
            <v>21</v>
          </cell>
          <cell r="F553">
            <v>34</v>
          </cell>
          <cell r="G553">
            <v>7.0000000000000104E-2</v>
          </cell>
          <cell r="H553">
            <v>13.858000000000001</v>
          </cell>
          <cell r="I553">
            <v>51.192</v>
          </cell>
          <cell r="J553">
            <v>20.02</v>
          </cell>
          <cell r="K553">
            <v>120.12</v>
          </cell>
          <cell r="M553">
            <v>15.374000000000001</v>
          </cell>
          <cell r="N553">
            <v>0</v>
          </cell>
          <cell r="O553">
            <v>20.721</v>
          </cell>
          <cell r="P553">
            <v>0</v>
          </cell>
          <cell r="Q553">
            <v>59</v>
          </cell>
          <cell r="R553">
            <v>48</v>
          </cell>
          <cell r="S553" t="str">
            <v>NA</v>
          </cell>
          <cell r="T553">
            <v>23.849166666666665</v>
          </cell>
          <cell r="U553">
            <v>143.095</v>
          </cell>
        </row>
        <row r="554">
          <cell r="B554" t="str">
            <v>FQ(1)</v>
          </cell>
          <cell r="C554" t="str">
            <v>NA</v>
          </cell>
          <cell r="D554">
            <v>47</v>
          </cell>
          <cell r="E554">
            <v>21</v>
          </cell>
          <cell r="F554">
            <v>35</v>
          </cell>
          <cell r="G554">
            <v>0.24</v>
          </cell>
          <cell r="H554">
            <v>13.734999999999999</v>
          </cell>
          <cell r="I554">
            <v>50.802999999999997</v>
          </cell>
          <cell r="J554">
            <v>27.962999999999997</v>
          </cell>
          <cell r="K554">
            <v>167.77799999999999</v>
          </cell>
          <cell r="M554">
            <v>15.391999999999999</v>
          </cell>
          <cell r="N554">
            <v>0</v>
          </cell>
          <cell r="O554">
            <v>20.757000000000001</v>
          </cell>
          <cell r="P554">
            <v>23.843</v>
          </cell>
          <cell r="Q554">
            <v>60</v>
          </cell>
          <cell r="R554">
            <v>49</v>
          </cell>
          <cell r="S554" t="str">
            <v>NA</v>
          </cell>
          <cell r="T554">
            <v>28.165333333333336</v>
          </cell>
          <cell r="U554">
            <v>168.99200000000002</v>
          </cell>
        </row>
        <row r="555">
          <cell r="B555" t="str">
            <v>Last Reported Q</v>
          </cell>
          <cell r="C555" t="str">
            <v>NA</v>
          </cell>
          <cell r="D555">
            <v>183</v>
          </cell>
          <cell r="E555">
            <v>84</v>
          </cell>
          <cell r="F555">
            <v>139</v>
          </cell>
          <cell r="G555">
            <v>0.78100000000000003</v>
          </cell>
          <cell r="H555">
            <v>55.201999999999998</v>
          </cell>
          <cell r="I555">
            <v>197.7</v>
          </cell>
          <cell r="J555">
            <v>109.94716666666666</v>
          </cell>
          <cell r="K555">
            <v>659.68299999999999</v>
          </cell>
          <cell r="M555">
            <v>61.5</v>
          </cell>
          <cell r="N555">
            <v>0</v>
          </cell>
          <cell r="O555">
            <v>82.984999999999999</v>
          </cell>
          <cell r="P555">
            <v>23.882999999999999</v>
          </cell>
          <cell r="Q555">
            <v>234</v>
          </cell>
          <cell r="R555">
            <v>193</v>
          </cell>
          <cell r="S555" t="str">
            <v>NA</v>
          </cell>
          <cell r="T555">
            <v>99.228000000000009</v>
          </cell>
          <cell r="U555">
            <v>595.36800000000005</v>
          </cell>
        </row>
        <row r="556">
          <cell r="B556" t="str">
            <v>LTM</v>
          </cell>
          <cell r="C556">
            <v>0</v>
          </cell>
          <cell r="D556">
            <v>319</v>
          </cell>
          <cell r="E556">
            <v>147</v>
          </cell>
          <cell r="F556">
            <v>243</v>
          </cell>
          <cell r="G556">
            <v>1.5620000000000001</v>
          </cell>
          <cell r="H556">
            <v>96.762</v>
          </cell>
          <cell r="I556">
            <v>345.10299999999995</v>
          </cell>
          <cell r="J556">
            <v>164.63242857142859</v>
          </cell>
          <cell r="K556">
            <v>1152.4270000000001</v>
          </cell>
          <cell r="M556">
            <v>107.604</v>
          </cell>
          <cell r="N556">
            <v>0</v>
          </cell>
          <cell r="O556">
            <v>145.102</v>
          </cell>
          <cell r="P556">
            <v>47.725999999999999</v>
          </cell>
          <cell r="Q556">
            <v>412</v>
          </cell>
          <cell r="R556">
            <v>338</v>
          </cell>
          <cell r="S556">
            <v>0</v>
          </cell>
          <cell r="T556">
            <v>150.06171428571429</v>
          </cell>
          <cell r="U556">
            <v>1050.432</v>
          </cell>
        </row>
        <row r="558">
          <cell r="A558" t="str">
            <v>Modelware DuPont (Non-lease Adjusted)ROE</v>
          </cell>
          <cell r="B558" t="str">
            <v>Dividends/Share</v>
          </cell>
        </row>
        <row r="559">
          <cell r="B559" t="str">
            <v>FY(2)</v>
          </cell>
          <cell r="D559">
            <v>0.77273231930720543</v>
          </cell>
          <cell r="E559">
            <v>0.50913115661317099</v>
          </cell>
          <cell r="F559">
            <v>0.53846130663261771</v>
          </cell>
          <cell r="G559">
            <v>4.8394450595974726E-2</v>
          </cell>
          <cell r="H559">
            <v>0.29634761302272666</v>
          </cell>
          <cell r="I559">
            <v>0.32366904107715905</v>
          </cell>
          <cell r="M559">
            <v>0.67010478240442295</v>
          </cell>
          <cell r="N559">
            <v>0</v>
          </cell>
          <cell r="O559">
            <v>0.3667877247140004</v>
          </cell>
          <cell r="P559">
            <v>0</v>
          </cell>
          <cell r="Q559">
            <v>0.31743562402395631</v>
          </cell>
          <cell r="R559">
            <v>0.59700668213536401</v>
          </cell>
          <cell r="S559" t="e">
            <v>#VALUE!</v>
          </cell>
        </row>
        <row r="560">
          <cell r="B560" t="str">
            <v>FY(1)</v>
          </cell>
          <cell r="D560">
            <v>0.79865395401009531</v>
          </cell>
          <cell r="E560">
            <v>0.52441122382393068</v>
          </cell>
          <cell r="F560">
            <v>0.63006506106608828</v>
          </cell>
          <cell r="G560">
            <v>8.5486761475315077E-3</v>
          </cell>
          <cell r="H560">
            <v>0.37970290712181043</v>
          </cell>
          <cell r="I560">
            <v>0.39965404574284064</v>
          </cell>
          <cell r="M560">
            <v>0.68057251010740161</v>
          </cell>
          <cell r="N560">
            <v>0</v>
          </cell>
          <cell r="O560">
            <v>0.39692266188783232</v>
          </cell>
          <cell r="P560">
            <v>0</v>
          </cell>
          <cell r="Q560">
            <v>0.33796940194714881</v>
          </cell>
          <cell r="R560">
            <v>0.59590691993204881</v>
          </cell>
          <cell r="S560" t="e">
            <v>#VALUE!</v>
          </cell>
        </row>
        <row r="561">
          <cell r="B561" t="str">
            <v>FY0</v>
          </cell>
          <cell r="D561">
            <v>0.78591367833369119</v>
          </cell>
          <cell r="E561">
            <v>0.19888717888007576</v>
          </cell>
          <cell r="F561">
            <v>0.63282494878215345</v>
          </cell>
          <cell r="G561">
            <v>5.3185512566013707E-3</v>
          </cell>
          <cell r="H561">
            <v>0.44141736218701583</v>
          </cell>
          <cell r="I561">
            <v>0.46258436549078513</v>
          </cell>
          <cell r="M561">
            <v>0.69605765394616592</v>
          </cell>
          <cell r="N561">
            <v>0</v>
          </cell>
          <cell r="O561">
            <v>0.39687511956230631</v>
          </cell>
          <cell r="P561">
            <v>0</v>
          </cell>
          <cell r="Q561">
            <v>0.33500357909806727</v>
          </cell>
          <cell r="R561">
            <v>0.59063853227854879</v>
          </cell>
          <cell r="S561" t="e">
            <v>#VALUE!</v>
          </cell>
        </row>
        <row r="562">
          <cell r="B562" t="str">
            <v>FY1</v>
          </cell>
          <cell r="D562">
            <v>0.79551374564607247</v>
          </cell>
          <cell r="E562">
            <v>0.2</v>
          </cell>
          <cell r="F562">
            <v>0.64</v>
          </cell>
          <cell r="G562">
            <v>0</v>
          </cell>
          <cell r="H562">
            <v>0.63999999999999757</v>
          </cell>
          <cell r="I562">
            <v>0.48000000000000026</v>
          </cell>
          <cell r="M562">
            <v>0.7396331382770317</v>
          </cell>
          <cell r="N562">
            <v>0</v>
          </cell>
          <cell r="O562">
            <v>0.41999999999999976</v>
          </cell>
          <cell r="P562">
            <v>0.29669583018868745</v>
          </cell>
          <cell r="Q562">
            <v>0.40000000000000024</v>
          </cell>
          <cell r="R562">
            <v>1.6086249444612246</v>
          </cell>
          <cell r="S562" t="e">
            <v>#VALUE!</v>
          </cell>
        </row>
        <row r="563">
          <cell r="A563" t="str">
            <v>Modelware DuPont (Lease Adjusted)ROIC</v>
          </cell>
          <cell r="B563" t="str">
            <v>FY2</v>
          </cell>
          <cell r="D563">
            <v>0.87506512021067695</v>
          </cell>
          <cell r="E563">
            <v>0.22752661666431784</v>
          </cell>
          <cell r="F563">
            <v>0.69610744366036903</v>
          </cell>
          <cell r="G563">
            <v>0</v>
          </cell>
          <cell r="H563">
            <v>0.70884836701725606</v>
          </cell>
          <cell r="I563">
            <v>0.54128483759377466</v>
          </cell>
          <cell r="M563">
            <v>0.82083475403966555</v>
          </cell>
          <cell r="N563">
            <v>0</v>
          </cell>
          <cell r="O563">
            <v>0.45412257292582325</v>
          </cell>
          <cell r="P563">
            <v>0.32603924632877068</v>
          </cell>
          <cell r="Q563">
            <v>0.43082381588570373</v>
          </cell>
          <cell r="R563">
            <v>0.63076818438024118</v>
          </cell>
          <cell r="S563" t="e">
            <v>#VALUE!</v>
          </cell>
        </row>
        <row r="564">
          <cell r="B564" t="str">
            <v>FQ(3)</v>
          </cell>
          <cell r="D564">
            <v>0.39964077233947015</v>
          </cell>
          <cell r="E564">
            <v>4.9833887043189369E-2</v>
          </cell>
          <cell r="F564">
            <v>0.16099356025758968</v>
          </cell>
          <cell r="G564">
            <v>3.4057137898869821E-3</v>
          </cell>
          <cell r="H564">
            <v>0.11035523529597675</v>
          </cell>
          <cell r="I564">
            <v>0.10516028328060806</v>
          </cell>
          <cell r="M564">
            <v>0.17489765898491394</v>
          </cell>
          <cell r="N564">
            <v>0</v>
          </cell>
          <cell r="O564">
            <v>9.9567746977605814E-2</v>
          </cell>
          <cell r="P564">
            <v>0</v>
          </cell>
          <cell r="Q564">
            <v>8.4648493543758974E-2</v>
          </cell>
          <cell r="R564">
            <v>0.14847580308396616</v>
          </cell>
          <cell r="S564" t="e">
            <v>#VALUE!</v>
          </cell>
        </row>
        <row r="565">
          <cell r="B565" t="str">
            <v>FQ(2)</v>
          </cell>
          <cell r="D565">
            <v>0</v>
          </cell>
          <cell r="E565">
            <v>4.9751243781094523E-2</v>
          </cell>
          <cell r="F565">
            <v>0.15539305301645337</v>
          </cell>
          <cell r="G565">
            <v>5.0605458160130209E-4</v>
          </cell>
          <cell r="H565">
            <v>0.11028346782536727</v>
          </cell>
          <cell r="I565">
            <v>0.11892587576343992</v>
          </cell>
          <cell r="M565">
            <v>0.17494708573249279</v>
          </cell>
          <cell r="N565">
            <v>0</v>
          </cell>
          <cell r="O565">
            <v>9.9136425615386464E-2</v>
          </cell>
          <cell r="P565">
            <v>0</v>
          </cell>
          <cell r="Q565">
            <v>8.4285714285714283E-2</v>
          </cell>
          <cell r="R565">
            <v>0.14737624233566782</v>
          </cell>
          <cell r="S565" t="e">
            <v>#VALUE!</v>
          </cell>
        </row>
        <row r="566">
          <cell r="B566" t="str">
            <v>FQ(1)</v>
          </cell>
          <cell r="D566">
            <v>0.19781144781144783</v>
          </cell>
          <cell r="E566">
            <v>4.9786628733997154E-2</v>
          </cell>
          <cell r="F566">
            <v>0.15858631626642503</v>
          </cell>
          <cell r="G566">
            <v>1.5742246943380386E-3</v>
          </cell>
          <cell r="H566">
            <v>0.11019029587317887</v>
          </cell>
          <cell r="I566">
            <v>0.1186730889621857</v>
          </cell>
          <cell r="M566">
            <v>0.17347007776400314</v>
          </cell>
          <cell r="N566">
            <v>0</v>
          </cell>
          <cell r="O566">
            <v>9.9129388279455388E-2</v>
          </cell>
          <cell r="P566">
            <v>7.4250657864005101E-2</v>
          </cell>
          <cell r="Q566">
            <v>8.5227272727272721E-2</v>
          </cell>
          <cell r="R566">
            <v>0.14927237333934484</v>
          </cell>
          <cell r="S566" t="e">
            <v>#VALUE!</v>
          </cell>
        </row>
        <row r="567">
          <cell r="B567" t="str">
            <v>Last Reported Q</v>
          </cell>
          <cell r="D567">
            <v>0.78591367833369119</v>
          </cell>
          <cell r="E567">
            <v>0.19888717888007576</v>
          </cell>
          <cell r="F567">
            <v>0.63282494878215345</v>
          </cell>
          <cell r="G567">
            <v>5.3185512566013707E-3</v>
          </cell>
          <cell r="H567">
            <v>0.44141736218701583</v>
          </cell>
          <cell r="I567">
            <v>0.46258436549078513</v>
          </cell>
          <cell r="M567">
            <v>0.69605765394616592</v>
          </cell>
          <cell r="N567">
            <v>0</v>
          </cell>
          <cell r="O567">
            <v>0.39687511956230631</v>
          </cell>
          <cell r="P567">
            <v>7.4313665089099853E-2</v>
          </cell>
          <cell r="Q567">
            <v>0.33500357909806727</v>
          </cell>
          <cell r="R567">
            <v>0.59063853227854879</v>
          </cell>
          <cell r="S567" t="e">
            <v>#VALUE!</v>
          </cell>
        </row>
        <row r="568">
          <cell r="A568" t="str">
            <v>Modelware DuPont (Lease Adjusted)ROE</v>
          </cell>
          <cell r="B568" t="str">
            <v>LTM</v>
          </cell>
          <cell r="C568">
            <v>0</v>
          </cell>
          <cell r="D568">
            <v>1.3765575273747235</v>
          </cell>
          <cell r="E568">
            <v>0.34841347435783482</v>
          </cell>
          <cell r="F568">
            <v>1.1088928184359135</v>
          </cell>
          <cell r="G568">
            <v>1.0848681897303892E-2</v>
          </cell>
          <cell r="H568">
            <v>0.77112524001285054</v>
          </cell>
          <cell r="I568">
            <v>0.80362828847117218</v>
          </cell>
          <cell r="M568">
            <v>1.22048518437389</v>
          </cell>
          <cell r="N568">
            <v>0</v>
          </cell>
          <cell r="O568">
            <v>0.69527426059248443</v>
          </cell>
          <cell r="P568">
            <v>0.14863710648780759</v>
          </cell>
          <cell r="Q568">
            <v>0.58867654938381853</v>
          </cell>
          <cell r="R568">
            <v>1.0368050453755582</v>
          </cell>
          <cell r="S568">
            <v>0</v>
          </cell>
        </row>
        <row r="569">
          <cell r="B569" t="str">
            <v>FY0</v>
          </cell>
        </row>
        <row r="570">
          <cell r="A570" t="str">
            <v>mstag:fundsUsedToRepurchaseCommonStock</v>
          </cell>
          <cell r="B570" t="str">
            <v>Repurchases</v>
          </cell>
        </row>
        <row r="571">
          <cell r="B571" t="str">
            <v>FY(2)</v>
          </cell>
          <cell r="C571" t="str">
            <v>NA</v>
          </cell>
          <cell r="D571" t="str">
            <v>NA</v>
          </cell>
          <cell r="E571">
            <v>3322</v>
          </cell>
          <cell r="F571">
            <v>1702</v>
          </cell>
          <cell r="G571" t="str">
            <v>NA</v>
          </cell>
          <cell r="H571">
            <v>200</v>
          </cell>
          <cell r="I571">
            <v>940.20799999999997</v>
          </cell>
          <cell r="J571">
            <v>1541.0519999999999</v>
          </cell>
          <cell r="K571">
            <v>6164.2079999999996</v>
          </cell>
          <cell r="M571">
            <v>287.916</v>
          </cell>
          <cell r="N571">
            <v>266.69200000000001</v>
          </cell>
          <cell r="O571">
            <v>450.601</v>
          </cell>
          <cell r="P571" t="str">
            <v>NA</v>
          </cell>
          <cell r="Q571">
            <v>1700</v>
          </cell>
          <cell r="R571" t="str">
            <v>NA</v>
          </cell>
          <cell r="S571">
            <v>0</v>
          </cell>
          <cell r="T571">
            <v>541.04179999999997</v>
          </cell>
          <cell r="U571">
            <v>2705.2089999999998</v>
          </cell>
        </row>
        <row r="572">
          <cell r="B572" t="str">
            <v>FY(1)</v>
          </cell>
          <cell r="C572" t="str">
            <v>NA</v>
          </cell>
          <cell r="D572" t="str">
            <v>NA</v>
          </cell>
          <cell r="E572">
            <v>1</v>
          </cell>
          <cell r="F572">
            <v>264</v>
          </cell>
          <cell r="G572" t="str">
            <v>NA</v>
          </cell>
          <cell r="H572">
            <v>300</v>
          </cell>
          <cell r="I572">
            <v>751.09699999999998</v>
          </cell>
          <cell r="J572">
            <v>329.02424999999999</v>
          </cell>
          <cell r="K572">
            <v>1316.097</v>
          </cell>
          <cell r="M572">
            <v>50</v>
          </cell>
          <cell r="N572">
            <v>6.681</v>
          </cell>
          <cell r="O572">
            <v>3.4319999999999999</v>
          </cell>
          <cell r="P572" t="str">
            <v>NA</v>
          </cell>
          <cell r="Q572">
            <v>705</v>
          </cell>
          <cell r="R572" t="str">
            <v>NA</v>
          </cell>
          <cell r="S572">
            <v>0</v>
          </cell>
          <cell r="T572">
            <v>153.02260000000001</v>
          </cell>
          <cell r="U572">
            <v>765.11300000000006</v>
          </cell>
        </row>
        <row r="573">
          <cell r="B573" t="str">
            <v>FY0</v>
          </cell>
          <cell r="C573" t="str">
            <v>NA</v>
          </cell>
          <cell r="D573" t="str">
            <v>NA</v>
          </cell>
          <cell r="E573">
            <v>1</v>
          </cell>
          <cell r="F573">
            <v>0</v>
          </cell>
          <cell r="G573" t="str">
            <v>NA</v>
          </cell>
          <cell r="H573">
            <v>300</v>
          </cell>
          <cell r="I573">
            <v>944.8</v>
          </cell>
          <cell r="J573">
            <v>311.45</v>
          </cell>
          <cell r="K573">
            <v>1245.8</v>
          </cell>
          <cell r="M573">
            <v>0</v>
          </cell>
          <cell r="N573">
            <v>174.25700000000001</v>
          </cell>
          <cell r="O573">
            <v>0.247</v>
          </cell>
          <cell r="P573" t="str">
            <v>NA</v>
          </cell>
          <cell r="Q573">
            <v>547</v>
          </cell>
          <cell r="R573" t="str">
            <v>NA</v>
          </cell>
          <cell r="S573">
            <v>0</v>
          </cell>
          <cell r="T573">
            <v>144.30080000000001</v>
          </cell>
          <cell r="U573">
            <v>721.50400000000002</v>
          </cell>
        </row>
        <row r="574">
          <cell r="B574" t="str">
            <v>FY1</v>
          </cell>
          <cell r="C574" t="str">
            <v>NA</v>
          </cell>
          <cell r="D574" t="str">
            <v>NA</v>
          </cell>
          <cell r="E574">
            <v>0</v>
          </cell>
          <cell r="F574">
            <v>0</v>
          </cell>
          <cell r="G574" t="str">
            <v>NA</v>
          </cell>
          <cell r="H574">
            <v>380</v>
          </cell>
          <cell r="I574">
            <v>700</v>
          </cell>
          <cell r="J574">
            <v>270</v>
          </cell>
          <cell r="K574">
            <v>1080</v>
          </cell>
          <cell r="M574">
            <v>200</v>
          </cell>
          <cell r="N574">
            <v>175</v>
          </cell>
          <cell r="O574">
            <v>54</v>
          </cell>
          <cell r="P574" t="str">
            <v>NA</v>
          </cell>
          <cell r="Q574">
            <v>1000</v>
          </cell>
          <cell r="R574" t="str">
            <v>NA</v>
          </cell>
          <cell r="S574">
            <v>0</v>
          </cell>
          <cell r="T574">
            <v>285.8</v>
          </cell>
          <cell r="U574">
            <v>1429</v>
          </cell>
        </row>
        <row r="575">
          <cell r="B575" t="str">
            <v>FY2</v>
          </cell>
          <cell r="C575" t="str">
            <v>NA</v>
          </cell>
          <cell r="D575" t="str">
            <v>NA</v>
          </cell>
          <cell r="E575">
            <v>0</v>
          </cell>
          <cell r="F575">
            <v>200</v>
          </cell>
          <cell r="G575" t="str">
            <v>NA</v>
          </cell>
          <cell r="H575">
            <v>380</v>
          </cell>
          <cell r="I575">
            <v>700</v>
          </cell>
          <cell r="J575">
            <v>320</v>
          </cell>
          <cell r="K575">
            <v>1280</v>
          </cell>
          <cell r="M575">
            <v>186.99280696096599</v>
          </cell>
          <cell r="N575">
            <v>204.936656106768</v>
          </cell>
          <cell r="O575">
            <v>88.082124465709697</v>
          </cell>
          <cell r="P575" t="str">
            <v>NA</v>
          </cell>
          <cell r="Q575">
            <v>1134.53939702649</v>
          </cell>
          <cell r="R575" t="str">
            <v>NA</v>
          </cell>
          <cell r="S575">
            <v>33.456420596740301</v>
          </cell>
          <cell r="T575">
            <v>329.6014810313348</v>
          </cell>
          <cell r="U575">
            <v>1648.0074051566739</v>
          </cell>
        </row>
        <row r="576">
          <cell r="B576" t="str">
            <v>FQ(3)</v>
          </cell>
          <cell r="C576" t="str">
            <v>NA</v>
          </cell>
          <cell r="D576" t="str">
            <v>NA</v>
          </cell>
          <cell r="E576">
            <v>0</v>
          </cell>
          <cell r="F576">
            <v>0</v>
          </cell>
          <cell r="G576" t="str">
            <v>NA</v>
          </cell>
          <cell r="H576">
            <v>77.171000000000006</v>
          </cell>
          <cell r="I576">
            <v>32.423999999999999</v>
          </cell>
          <cell r="J576">
            <v>27.39875</v>
          </cell>
          <cell r="K576">
            <v>109.595</v>
          </cell>
          <cell r="M576">
            <v>0</v>
          </cell>
          <cell r="N576">
            <v>0</v>
          </cell>
          <cell r="O576">
            <v>0</v>
          </cell>
          <cell r="P576" t="str">
            <v>NA</v>
          </cell>
          <cell r="Q576">
            <v>45</v>
          </cell>
          <cell r="R576" t="str">
            <v>NA</v>
          </cell>
          <cell r="S576">
            <v>0</v>
          </cell>
          <cell r="T576">
            <v>9</v>
          </cell>
          <cell r="U576">
            <v>45</v>
          </cell>
        </row>
        <row r="577">
          <cell r="B577" t="str">
            <v>FQ(2)</v>
          </cell>
          <cell r="C577" t="str">
            <v>NA</v>
          </cell>
          <cell r="D577" t="str">
            <v>NA</v>
          </cell>
          <cell r="E577">
            <v>1</v>
          </cell>
          <cell r="F577">
            <v>0</v>
          </cell>
          <cell r="G577" t="str">
            <v>NA</v>
          </cell>
          <cell r="H577">
            <v>77.2</v>
          </cell>
          <cell r="I577">
            <v>204.27600000000001</v>
          </cell>
          <cell r="J577">
            <v>70.619</v>
          </cell>
          <cell r="K577">
            <v>282.476</v>
          </cell>
          <cell r="M577">
            <v>0</v>
          </cell>
          <cell r="N577">
            <v>13.473000000000001</v>
          </cell>
          <cell r="O577">
            <v>0.19500000000000001</v>
          </cell>
          <cell r="P577" t="str">
            <v>NA</v>
          </cell>
          <cell r="Q577">
            <v>0</v>
          </cell>
          <cell r="R577" t="str">
            <v>NA</v>
          </cell>
          <cell r="S577">
            <v>0</v>
          </cell>
          <cell r="T577">
            <v>2.7336</v>
          </cell>
          <cell r="U577">
            <v>13.668000000000001</v>
          </cell>
        </row>
        <row r="578">
          <cell r="B578" t="str">
            <v>FQ(1)</v>
          </cell>
          <cell r="C578" t="str">
            <v>NA</v>
          </cell>
          <cell r="D578" t="str">
            <v>NA</v>
          </cell>
          <cell r="E578">
            <v>0</v>
          </cell>
          <cell r="F578">
            <v>0</v>
          </cell>
          <cell r="G578" t="str">
            <v>NA</v>
          </cell>
          <cell r="H578">
            <v>75.445999999999998</v>
          </cell>
          <cell r="I578">
            <v>293.80099999999999</v>
          </cell>
          <cell r="J578">
            <v>92.311749999999989</v>
          </cell>
          <cell r="K578">
            <v>369.24699999999996</v>
          </cell>
          <cell r="M578">
            <v>0</v>
          </cell>
          <cell r="N578">
            <v>49.567999999999998</v>
          </cell>
          <cell r="O578">
            <v>3.5000000000000003E-2</v>
          </cell>
          <cell r="P578" t="str">
            <v>NA</v>
          </cell>
          <cell r="Q578">
            <v>61</v>
          </cell>
          <cell r="R578" t="str">
            <v>NA</v>
          </cell>
          <cell r="S578">
            <v>0</v>
          </cell>
          <cell r="T578">
            <v>22.1206</v>
          </cell>
          <cell r="U578">
            <v>110.60299999999999</v>
          </cell>
        </row>
        <row r="579">
          <cell r="B579" t="str">
            <v>Last Reported Q</v>
          </cell>
          <cell r="C579" t="str">
            <v>NA</v>
          </cell>
          <cell r="D579" t="str">
            <v>NA</v>
          </cell>
          <cell r="E579">
            <v>1</v>
          </cell>
          <cell r="F579">
            <v>0</v>
          </cell>
          <cell r="G579" t="str">
            <v>NA</v>
          </cell>
          <cell r="H579">
            <v>300</v>
          </cell>
          <cell r="I579">
            <v>944.8</v>
          </cell>
          <cell r="J579">
            <v>311.45</v>
          </cell>
          <cell r="K579">
            <v>1245.8</v>
          </cell>
          <cell r="M579">
            <v>0</v>
          </cell>
          <cell r="N579">
            <v>174.25700000000001</v>
          </cell>
          <cell r="O579">
            <v>0.247</v>
          </cell>
          <cell r="P579" t="str">
            <v>NA</v>
          </cell>
          <cell r="Q579">
            <v>547</v>
          </cell>
          <cell r="R579" t="str">
            <v>NA</v>
          </cell>
          <cell r="S579">
            <v>0</v>
          </cell>
          <cell r="T579">
            <v>144.30080000000001</v>
          </cell>
          <cell r="U579">
            <v>721.50400000000002</v>
          </cell>
        </row>
        <row r="580">
          <cell r="B580" t="str">
            <v>LTM</v>
          </cell>
          <cell r="C580">
            <v>0</v>
          </cell>
          <cell r="D580">
            <v>0</v>
          </cell>
          <cell r="E580">
            <v>2</v>
          </cell>
          <cell r="F580">
            <v>0</v>
          </cell>
          <cell r="G580">
            <v>0</v>
          </cell>
          <cell r="H580">
            <v>529.81700000000001</v>
          </cell>
          <cell r="I580">
            <v>1475.3009999999999</v>
          </cell>
          <cell r="J580">
            <v>286.73114285714286</v>
          </cell>
          <cell r="K580">
            <v>2007.1179999999999</v>
          </cell>
          <cell r="M580">
            <v>0</v>
          </cell>
          <cell r="N580">
            <v>237.298</v>
          </cell>
          <cell r="O580">
            <v>0.47699999999999998</v>
          </cell>
          <cell r="P580">
            <v>0</v>
          </cell>
          <cell r="Q580">
            <v>653</v>
          </cell>
          <cell r="R580">
            <v>0</v>
          </cell>
          <cell r="S580">
            <v>0</v>
          </cell>
          <cell r="T580">
            <v>127.25357142857142</v>
          </cell>
          <cell r="U580">
            <v>890.77499999999998</v>
          </cell>
        </row>
        <row r="581">
          <cell r="B581" t="str">
            <v>EV/EBITDA</v>
          </cell>
        </row>
        <row r="582">
          <cell r="B582" t="str">
            <v>Repurchases &amp; Dividends</v>
          </cell>
          <cell r="C582" t="e">
            <v>#VALUE!</v>
          </cell>
          <cell r="D582" t="e">
            <v>#VALUE!</v>
          </cell>
          <cell r="E582" t="e">
            <v>#VALUE!</v>
          </cell>
          <cell r="F582" t="e">
            <v>#VALUE!</v>
          </cell>
          <cell r="G582" t="e">
            <v>#VALUE!</v>
          </cell>
          <cell r="H582" t="e">
            <v>#VALUE!</v>
          </cell>
          <cell r="I582" t="e">
            <v>#VALUE!</v>
          </cell>
          <cell r="J582" t="e">
            <v>#VALUE!</v>
          </cell>
          <cell r="M582" t="e">
            <v>#VALUE!</v>
          </cell>
          <cell r="N582" t="e">
            <v>#VALUE!</v>
          </cell>
          <cell r="O582" t="e">
            <v>#VALUE!</v>
          </cell>
          <cell r="P582" t="e">
            <v>#VALUE!</v>
          </cell>
          <cell r="Q582" t="e">
            <v>#VALUE!</v>
          </cell>
          <cell r="R582" t="e">
            <v>#VALUE!</v>
          </cell>
          <cell r="S582" t="e">
            <v>#VALUE!</v>
          </cell>
          <cell r="T582" t="e">
            <v>#VALUE!</v>
          </cell>
        </row>
        <row r="583">
          <cell r="B583" t="str">
            <v>FY(2)</v>
          </cell>
          <cell r="C583">
            <v>0</v>
          </cell>
          <cell r="D583">
            <v>174</v>
          </cell>
          <cell r="E583">
            <v>3552</v>
          </cell>
          <cell r="F583">
            <v>1836</v>
          </cell>
          <cell r="G583">
            <v>7.43</v>
          </cell>
          <cell r="H583">
            <v>240.63800000000001</v>
          </cell>
          <cell r="I583">
            <v>1091.7</v>
          </cell>
          <cell r="J583">
            <v>985.96685714285718</v>
          </cell>
          <cell r="K583">
            <v>6901.768</v>
          </cell>
          <cell r="M583">
            <v>349.24599999999998</v>
          </cell>
          <cell r="N583">
            <v>266.69200000000001</v>
          </cell>
          <cell r="O583">
            <v>531.39700000000005</v>
          </cell>
          <cell r="P583">
            <v>0</v>
          </cell>
          <cell r="Q583">
            <v>1952</v>
          </cell>
          <cell r="R583">
            <v>227</v>
          </cell>
          <cell r="S583">
            <v>0</v>
          </cell>
          <cell r="T583">
            <v>475.19071428571431</v>
          </cell>
          <cell r="U583">
            <v>3326.335</v>
          </cell>
        </row>
        <row r="584">
          <cell r="B584" t="str">
            <v>FY(1)</v>
          </cell>
          <cell r="C584">
            <v>0</v>
          </cell>
          <cell r="D584">
            <v>178</v>
          </cell>
          <cell r="E584">
            <v>222</v>
          </cell>
          <cell r="F584">
            <v>402</v>
          </cell>
          <cell r="G584">
            <v>1.1830000000000001</v>
          </cell>
          <cell r="H584">
            <v>349.83800000000002</v>
          </cell>
          <cell r="I584">
            <v>927.846</v>
          </cell>
          <cell r="J584">
            <v>297.26671428571433</v>
          </cell>
          <cell r="K584">
            <v>2080.8670000000002</v>
          </cell>
          <cell r="M584">
            <v>110.76900000000001</v>
          </cell>
          <cell r="N584">
            <v>6.681</v>
          </cell>
          <cell r="O584">
            <v>85.826000000000008</v>
          </cell>
          <cell r="P584">
            <v>0</v>
          </cell>
          <cell r="Q584">
            <v>948</v>
          </cell>
          <cell r="R584">
            <v>201</v>
          </cell>
          <cell r="S584">
            <v>0</v>
          </cell>
          <cell r="T584">
            <v>193.18228571428571</v>
          </cell>
          <cell r="U584">
            <v>1352.2760000000001</v>
          </cell>
        </row>
        <row r="585">
          <cell r="B585" t="str">
            <v>FY0</v>
          </cell>
          <cell r="C585">
            <v>0</v>
          </cell>
          <cell r="D585">
            <v>183</v>
          </cell>
          <cell r="E585">
            <v>85</v>
          </cell>
          <cell r="F585">
            <v>139</v>
          </cell>
          <cell r="G585">
            <v>0.78100000000000003</v>
          </cell>
          <cell r="H585">
            <v>355.202</v>
          </cell>
          <cell r="I585">
            <v>1142.5</v>
          </cell>
          <cell r="J585">
            <v>272.21185714285713</v>
          </cell>
          <cell r="K585">
            <v>1905.4829999999999</v>
          </cell>
          <cell r="M585">
            <v>61.5</v>
          </cell>
          <cell r="N585">
            <v>174.25700000000001</v>
          </cell>
          <cell r="O585">
            <v>83.231999999999999</v>
          </cell>
          <cell r="P585">
            <v>0</v>
          </cell>
          <cell r="Q585">
            <v>781</v>
          </cell>
          <cell r="R585">
            <v>193</v>
          </cell>
          <cell r="S585">
            <v>0</v>
          </cell>
          <cell r="T585">
            <v>184.7127142857143</v>
          </cell>
          <cell r="U585">
            <v>1292.989</v>
          </cell>
        </row>
        <row r="586">
          <cell r="B586" t="str">
            <v>FY1</v>
          </cell>
          <cell r="C586">
            <v>0</v>
          </cell>
          <cell r="D586">
            <v>188.775411841813</v>
          </cell>
          <cell r="E586">
            <v>85.186000000000007</v>
          </cell>
          <cell r="F586">
            <v>142.09321152000001</v>
          </cell>
          <cell r="G586">
            <v>0</v>
          </cell>
          <cell r="H586">
            <v>457.70708450909092</v>
          </cell>
          <cell r="I586">
            <v>897.28933818181804</v>
          </cell>
          <cell r="J586">
            <v>253.00729229324602</v>
          </cell>
          <cell r="K586">
            <v>1771.0510460527221</v>
          </cell>
          <cell r="M586">
            <v>264.34389702127658</v>
          </cell>
          <cell r="N586">
            <v>175</v>
          </cell>
          <cell r="O586">
            <v>144.0630963866667</v>
          </cell>
          <cell r="P586">
            <v>94.252655263445405</v>
          </cell>
          <cell r="Q586">
            <v>1262.495314327273</v>
          </cell>
          <cell r="R586">
            <v>518.07900254814797</v>
          </cell>
          <cell r="S586">
            <v>0</v>
          </cell>
          <cell r="T586">
            <v>351.17628079240137</v>
          </cell>
          <cell r="U586">
            <v>2458.2339655468095</v>
          </cell>
        </row>
        <row r="587">
          <cell r="B587" t="str">
            <v>FY2</v>
          </cell>
          <cell r="C587">
            <v>0</v>
          </cell>
          <cell r="D587">
            <v>207.70836687078599</v>
          </cell>
          <cell r="E587">
            <v>96.910411835832903</v>
          </cell>
          <cell r="F587">
            <v>351.06358340229599</v>
          </cell>
          <cell r="G587">
            <v>0</v>
          </cell>
          <cell r="H587">
            <v>461.59243873454551</v>
          </cell>
          <cell r="I587">
            <v>913.29758054177</v>
          </cell>
          <cell r="J587">
            <v>290.08176876931867</v>
          </cell>
          <cell r="K587">
            <v>2030.5723813852305</v>
          </cell>
          <cell r="M587">
            <v>255.18091389960301</v>
          </cell>
          <cell r="N587">
            <v>204.936656106768</v>
          </cell>
          <cell r="O587">
            <v>186.48300026498819</v>
          </cell>
          <cell r="P587">
            <v>99.137817779386296</v>
          </cell>
          <cell r="Q587">
            <v>1396.8875397541649</v>
          </cell>
          <cell r="R587">
            <v>200</v>
          </cell>
          <cell r="S587">
            <v>33.456420596740301</v>
          </cell>
          <cell r="T587">
            <v>339.44033548595007</v>
          </cell>
          <cell r="U587">
            <v>2376.0823484016505</v>
          </cell>
        </row>
        <row r="588">
          <cell r="B588" t="str">
            <v>FQ(3)</v>
          </cell>
          <cell r="C588">
            <v>0</v>
          </cell>
          <cell r="D588">
            <v>89</v>
          </cell>
          <cell r="E588">
            <v>21</v>
          </cell>
          <cell r="F588">
            <v>35</v>
          </cell>
          <cell r="G588">
            <v>0.47099999999999997</v>
          </cell>
          <cell r="H588">
            <v>91.138000000000005</v>
          </cell>
          <cell r="I588">
            <v>77.831999999999994</v>
          </cell>
          <cell r="J588">
            <v>44.920142857142864</v>
          </cell>
          <cell r="K588">
            <v>314.44100000000003</v>
          </cell>
          <cell r="M588">
            <v>15.337999999999999</v>
          </cell>
          <cell r="N588">
            <v>0</v>
          </cell>
          <cell r="O588">
            <v>20.638999999999999</v>
          </cell>
          <cell r="P588">
            <v>0</v>
          </cell>
          <cell r="Q588">
            <v>104</v>
          </cell>
          <cell r="R588">
            <v>48</v>
          </cell>
          <cell r="S588">
            <v>0</v>
          </cell>
          <cell r="T588">
            <v>26.853857142857144</v>
          </cell>
          <cell r="U588">
            <v>187.977</v>
          </cell>
        </row>
        <row r="589">
          <cell r="B589" t="str">
            <v>FQ(2)</v>
          </cell>
          <cell r="C589">
            <v>0</v>
          </cell>
          <cell r="D589">
            <v>0</v>
          </cell>
          <cell r="E589">
            <v>22</v>
          </cell>
          <cell r="F589">
            <v>34</v>
          </cell>
          <cell r="G589">
            <v>7.0000000000000104E-2</v>
          </cell>
          <cell r="H589">
            <v>91.058000000000007</v>
          </cell>
          <cell r="I589">
            <v>255.46800000000002</v>
          </cell>
          <cell r="J589">
            <v>57.513714285714286</v>
          </cell>
          <cell r="K589">
            <v>402.596</v>
          </cell>
          <cell r="M589">
            <v>15.374000000000001</v>
          </cell>
          <cell r="N589">
            <v>13.473000000000001</v>
          </cell>
          <cell r="O589">
            <v>20.916</v>
          </cell>
          <cell r="P589">
            <v>0</v>
          </cell>
          <cell r="Q589">
            <v>59</v>
          </cell>
          <cell r="R589">
            <v>48</v>
          </cell>
          <cell r="S589">
            <v>0</v>
          </cell>
          <cell r="T589">
            <v>22.394714285714286</v>
          </cell>
          <cell r="U589">
            <v>156.76300000000001</v>
          </cell>
        </row>
        <row r="590">
          <cell r="B590" t="str">
            <v>FQ(1)</v>
          </cell>
          <cell r="C590">
            <v>0</v>
          </cell>
          <cell r="D590">
            <v>47</v>
          </cell>
          <cell r="E590">
            <v>21</v>
          </cell>
          <cell r="F590">
            <v>35</v>
          </cell>
          <cell r="G590">
            <v>0.24</v>
          </cell>
          <cell r="H590">
            <v>89.180999999999997</v>
          </cell>
          <cell r="I590">
            <v>344.60399999999998</v>
          </cell>
          <cell r="J590">
            <v>76.717857142857142</v>
          </cell>
          <cell r="K590">
            <v>537.02499999999998</v>
          </cell>
          <cell r="M590">
            <v>15.391999999999999</v>
          </cell>
          <cell r="N590">
            <v>49.567999999999998</v>
          </cell>
          <cell r="O590">
            <v>20.792000000000002</v>
          </cell>
          <cell r="P590">
            <v>23.843</v>
          </cell>
          <cell r="Q590">
            <v>121</v>
          </cell>
          <cell r="R590">
            <v>49</v>
          </cell>
          <cell r="S590">
            <v>0</v>
          </cell>
          <cell r="T590">
            <v>39.942142857142862</v>
          </cell>
          <cell r="U590">
            <v>279.59500000000003</v>
          </cell>
        </row>
        <row r="591">
          <cell r="B591" t="str">
            <v>Last Reported Q</v>
          </cell>
          <cell r="C591">
            <v>0</v>
          </cell>
          <cell r="D591">
            <v>183</v>
          </cell>
          <cell r="E591">
            <v>85</v>
          </cell>
          <cell r="F591">
            <v>139</v>
          </cell>
          <cell r="G591">
            <v>0.78100000000000003</v>
          </cell>
          <cell r="H591">
            <v>355.202</v>
          </cell>
          <cell r="I591">
            <v>1142.5</v>
          </cell>
          <cell r="J591">
            <v>272.21185714285713</v>
          </cell>
          <cell r="K591">
            <v>1905.4829999999999</v>
          </cell>
          <cell r="M591">
            <v>61.5</v>
          </cell>
          <cell r="N591">
            <v>174.25700000000001</v>
          </cell>
          <cell r="O591">
            <v>83.231999999999999</v>
          </cell>
          <cell r="P591">
            <v>23.882999999999999</v>
          </cell>
          <cell r="Q591">
            <v>781</v>
          </cell>
          <cell r="R591">
            <v>193</v>
          </cell>
          <cell r="S591">
            <v>0</v>
          </cell>
          <cell r="T591">
            <v>188.12457142857144</v>
          </cell>
          <cell r="U591">
            <v>1316.8720000000001</v>
          </cell>
        </row>
        <row r="592">
          <cell r="B592" t="str">
            <v>LTM</v>
          </cell>
          <cell r="C592">
            <v>0</v>
          </cell>
          <cell r="D592">
            <v>319</v>
          </cell>
          <cell r="E592">
            <v>149</v>
          </cell>
          <cell r="F592">
            <v>243</v>
          </cell>
          <cell r="G592">
            <v>1.5620000000000001</v>
          </cell>
          <cell r="H592">
            <v>626.57899999999995</v>
          </cell>
          <cell r="I592">
            <v>1820.404</v>
          </cell>
          <cell r="J592">
            <v>451.36357142857145</v>
          </cell>
          <cell r="K592">
            <v>3159.5450000000001</v>
          </cell>
          <cell r="M592">
            <v>107.604</v>
          </cell>
          <cell r="N592">
            <v>237.298</v>
          </cell>
          <cell r="O592">
            <v>145.57900000000001</v>
          </cell>
          <cell r="P592">
            <v>47.725999999999999</v>
          </cell>
          <cell r="Q592">
            <v>1065</v>
          </cell>
          <cell r="R592">
            <v>338</v>
          </cell>
          <cell r="S592">
            <v>0</v>
          </cell>
          <cell r="T592">
            <v>277.31528571428572</v>
          </cell>
          <cell r="U592">
            <v>1941.2069999999999</v>
          </cell>
        </row>
        <row r="593">
          <cell r="B593" t="str">
            <v>FY1</v>
          </cell>
          <cell r="C593" t="str">
            <v/>
          </cell>
          <cell r="D593" t="str">
            <v/>
          </cell>
          <cell r="E593" t="str">
            <v/>
          </cell>
          <cell r="F593" t="str">
            <v/>
          </cell>
          <cell r="G593" t="str">
            <v/>
          </cell>
          <cell r="H593" t="str">
            <v/>
          </cell>
          <cell r="I593" t="str">
            <v/>
          </cell>
          <cell r="J593" t="e">
            <v>#NUM!</v>
          </cell>
          <cell r="M593" t="str">
            <v/>
          </cell>
          <cell r="N593" t="str">
            <v/>
          </cell>
          <cell r="O593" t="str">
            <v/>
          </cell>
          <cell r="P593" t="str">
            <v/>
          </cell>
          <cell r="Q593" t="str">
            <v/>
          </cell>
          <cell r="R593" t="str">
            <v/>
          </cell>
          <cell r="S593" t="str">
            <v/>
          </cell>
          <cell r="T593" t="e">
            <v>#NUM!</v>
          </cell>
        </row>
        <row r="594">
          <cell r="B594" t="str">
            <v>Total Payout Ratio</v>
          </cell>
          <cell r="C594" t="str">
            <v/>
          </cell>
          <cell r="D594" t="str">
            <v/>
          </cell>
          <cell r="E594" t="str">
            <v/>
          </cell>
          <cell r="F594" t="str">
            <v/>
          </cell>
          <cell r="G594" t="str">
            <v/>
          </cell>
          <cell r="H594" t="str">
            <v/>
          </cell>
          <cell r="I594" t="str">
            <v/>
          </cell>
          <cell r="J594" t="e">
            <v>#NUM!</v>
          </cell>
          <cell r="M594" t="str">
            <v/>
          </cell>
          <cell r="N594" t="str">
            <v/>
          </cell>
          <cell r="O594" t="str">
            <v/>
          </cell>
          <cell r="P594" t="str">
            <v/>
          </cell>
          <cell r="Q594" t="str">
            <v/>
          </cell>
          <cell r="R594" t="str">
            <v/>
          </cell>
          <cell r="S594" t="str">
            <v/>
          </cell>
          <cell r="T594" t="e">
            <v>#NUM!</v>
          </cell>
        </row>
        <row r="595">
          <cell r="B595" t="str">
            <v>FY(2)</v>
          </cell>
          <cell r="C595">
            <v>0</v>
          </cell>
          <cell r="D595">
            <v>0.16216216216216217</v>
          </cell>
          <cell r="E595">
            <v>3.6661247985587697</v>
          </cell>
          <cell r="F595">
            <v>2.6454340327307624</v>
          </cell>
          <cell r="G595">
            <v>0.11723994317024553</v>
          </cell>
          <cell r="H595">
            <v>0.92180455160102825</v>
          </cell>
          <cell r="I595">
            <v>1.2096020253757214</v>
          </cell>
          <cell r="J595">
            <v>1.2460525019426698</v>
          </cell>
          <cell r="K595">
            <v>1.3675882547173104</v>
          </cell>
          <cell r="M595">
            <v>0.69971370012041023</v>
          </cell>
          <cell r="N595">
            <v>2.1272224039052094</v>
          </cell>
          <cell r="O595">
            <v>1.328429399603519</v>
          </cell>
          <cell r="P595">
            <v>0</v>
          </cell>
          <cell r="Q595">
            <v>2.1977264654447031</v>
          </cell>
          <cell r="R595">
            <v>0.49192140793886452</v>
          </cell>
          <cell r="S595">
            <v>0</v>
          </cell>
          <cell r="T595">
            <v>0.97785905385895788</v>
          </cell>
          <cell r="U595">
            <v>1.051565317099219</v>
          </cell>
        </row>
        <row r="596">
          <cell r="B596" t="str">
            <v>FY(1)</v>
          </cell>
          <cell r="C596">
            <v>0</v>
          </cell>
          <cell r="D596">
            <v>0.31642285419859939</v>
          </cell>
          <cell r="E596">
            <v>0.40733944954128443</v>
          </cell>
          <cell r="F596">
            <v>1.0188796885573728</v>
          </cell>
          <cell r="G596">
            <v>-1.0778540196118701E-2</v>
          </cell>
          <cell r="H596">
            <v>1.1554399257639285</v>
          </cell>
          <cell r="I596">
            <v>1.0497673417532609</v>
          </cell>
          <cell r="J596">
            <v>0.56243867423118965</v>
          </cell>
          <cell r="K596">
            <v>0.60060872654977804</v>
          </cell>
          <cell r="M596">
            <v>0.34727063277060433</v>
          </cell>
          <cell r="N596">
            <v>4.4712291362717677E-2</v>
          </cell>
          <cell r="O596">
            <v>0.41889227285150915</v>
          </cell>
          <cell r="P596">
            <v>0</v>
          </cell>
          <cell r="Q596">
            <v>0.98035160289555323</v>
          </cell>
          <cell r="R596">
            <v>0.56878958181231642</v>
          </cell>
          <cell r="S596">
            <v>0</v>
          </cell>
          <cell r="T596">
            <v>0.33714519738467158</v>
          </cell>
          <cell r="U596">
            <v>0.46073696249193502</v>
          </cell>
        </row>
        <row r="597">
          <cell r="B597" t="str">
            <v>FY0</v>
          </cell>
          <cell r="C597">
            <v>0</v>
          </cell>
          <cell r="D597">
            <v>0.73322595379474487</v>
          </cell>
          <cell r="E597">
            <v>0.14756944444444445</v>
          </cell>
          <cell r="F597">
            <v>0.32491818606825618</v>
          </cell>
          <cell r="G597">
            <v>-1.6362232382747848E-2</v>
          </cell>
          <cell r="H597">
            <v>0.80225044437467952</v>
          </cell>
          <cell r="I597">
            <v>0.94143569561591744</v>
          </cell>
          <cell r="J597">
            <v>0.41900535598789918</v>
          </cell>
          <cell r="K597">
            <v>0.49466351475021214</v>
          </cell>
          <cell r="M597">
            <v>0.6411004160272602</v>
          </cell>
          <cell r="N597">
            <v>0.75328644484694962</v>
          </cell>
          <cell r="O597">
            <v>0.52325453102828579</v>
          </cell>
          <cell r="P597">
            <v>0</v>
          </cell>
          <cell r="Q597">
            <v>0.7101291143844336</v>
          </cell>
          <cell r="R597">
            <v>0.47634326332156873</v>
          </cell>
          <cell r="S597">
            <v>0</v>
          </cell>
          <cell r="T597">
            <v>0.44344482422978537</v>
          </cell>
          <cell r="U597">
            <v>0.45635204390278128</v>
          </cell>
        </row>
        <row r="598">
          <cell r="B598" t="str">
            <v>FY1</v>
          </cell>
          <cell r="C598">
            <v>0</v>
          </cell>
          <cell r="D598">
            <v>0.50753937868714571</v>
          </cell>
          <cell r="E598">
            <v>0.10909301206497163</v>
          </cell>
          <cell r="F598">
            <v>0.24746240936388547</v>
          </cell>
          <cell r="G598">
            <v>0</v>
          </cell>
          <cell r="H598">
            <v>0.87878285220050112</v>
          </cell>
          <cell r="I598">
            <v>0.63479295131495372</v>
          </cell>
          <cell r="J598">
            <v>0.33966722909020824</v>
          </cell>
          <cell r="K598">
            <v>0.36616541991203905</v>
          </cell>
          <cell r="M598">
            <v>1.7009033921522962</v>
          </cell>
          <cell r="N598">
            <v>0.67981251994719039</v>
          </cell>
          <cell r="O598">
            <v>0.57942808192479767</v>
          </cell>
          <cell r="P598">
            <v>0.13620642135194008</v>
          </cell>
          <cell r="Q598">
            <v>1.1647794572958605</v>
          </cell>
          <cell r="R598">
            <v>0.94883089374659302</v>
          </cell>
          <cell r="S598">
            <v>0</v>
          </cell>
          <cell r="T598">
            <v>0.74428010948838252</v>
          </cell>
          <cell r="U598">
            <v>0.75346194903587538</v>
          </cell>
        </row>
        <row r="599">
          <cell r="B599" t="str">
            <v>FY2</v>
          </cell>
          <cell r="C599">
            <v>0</v>
          </cell>
          <cell r="D599">
            <v>0.45040175903104468</v>
          </cell>
          <cell r="E599">
            <v>0.10909301206497171</v>
          </cell>
          <cell r="F599">
            <v>0.55559423355219895</v>
          </cell>
          <cell r="G599">
            <v>0</v>
          </cell>
          <cell r="H599">
            <v>0.82303887166694112</v>
          </cell>
          <cell r="I599">
            <v>0.59762613597557279</v>
          </cell>
          <cell r="J599">
            <v>0.36225057318438986</v>
          </cell>
          <cell r="K599">
            <v>0.37125601240434875</v>
          </cell>
          <cell r="M599">
            <v>1.2500000000000455</v>
          </cell>
          <cell r="N599">
            <v>0.80000000000000626</v>
          </cell>
          <cell r="O599">
            <v>0.60942808192479714</v>
          </cell>
          <cell r="P599">
            <v>0.13454396508448954</v>
          </cell>
          <cell r="Q599">
            <v>1.300000000000052</v>
          </cell>
          <cell r="R599">
            <v>0.31730075807378577</v>
          </cell>
          <cell r="S599">
            <v>9.9999999999998201E-2</v>
          </cell>
          <cell r="T599">
            <v>0.64446754358331049</v>
          </cell>
          <cell r="U599">
            <v>0.6707236257254281</v>
          </cell>
        </row>
        <row r="600">
          <cell r="B600" t="str">
            <v>FQ(3)</v>
          </cell>
          <cell r="C600">
            <v>0</v>
          </cell>
          <cell r="D600">
            <v>3.56</v>
          </cell>
          <cell r="E600">
            <v>-0.30882352941176472</v>
          </cell>
          <cell r="F600">
            <v>0.51470588235294112</v>
          </cell>
          <cell r="G600">
            <v>-9.8247809762202751E-2</v>
          </cell>
          <cell r="H600">
            <v>0.99727532362371019</v>
          </cell>
          <cell r="I600">
            <v>0.37202099285898649</v>
          </cell>
          <cell r="J600">
            <v>0.71956155138023858</v>
          </cell>
          <cell r="K600">
            <v>0.68684183509644903</v>
          </cell>
          <cell r="M600">
            <v>-0.66383899588833584</v>
          </cell>
          <cell r="N600">
            <v>0</v>
          </cell>
          <cell r="O600">
            <v>1.3161788151265863</v>
          </cell>
          <cell r="P600">
            <v>0</v>
          </cell>
          <cell r="Q600">
            <v>0.48372093023255813</v>
          </cell>
          <cell r="R600">
            <v>18.45444059976932</v>
          </cell>
          <cell r="S600">
            <v>0</v>
          </cell>
          <cell r="T600">
            <v>2.7986430498914467</v>
          </cell>
          <cell r="U600">
            <v>0.47313378739598599</v>
          </cell>
        </row>
        <row r="601">
          <cell r="B601" t="str">
            <v>FQ(2)</v>
          </cell>
          <cell r="C601">
            <v>0</v>
          </cell>
          <cell r="D601">
            <v>0</v>
          </cell>
          <cell r="E601">
            <v>0.26190476190476192</v>
          </cell>
          <cell r="F601">
            <v>0.32380952380952382</v>
          </cell>
          <cell r="G601">
            <v>-1.2749758665282426E-3</v>
          </cell>
          <cell r="H601">
            <v>0.88057868422834051</v>
          </cell>
          <cell r="I601">
            <v>0.97670524275408044</v>
          </cell>
          <cell r="J601">
            <v>0.34881760526145406</v>
          </cell>
          <cell r="K601">
            <v>0.55336081380309454</v>
          </cell>
          <cell r="M601">
            <v>2.2314825700803707</v>
          </cell>
          <cell r="N601">
            <v>0.34580734580734585</v>
          </cell>
          <cell r="O601">
            <v>0.7320453590928182</v>
          </cell>
          <cell r="P601">
            <v>0</v>
          </cell>
          <cell r="Q601">
            <v>0.25877192982456143</v>
          </cell>
          <cell r="R601">
            <v>0.79650863714053399</v>
          </cell>
          <cell r="S601">
            <v>0</v>
          </cell>
          <cell r="T601">
            <v>0.6235165488493758</v>
          </cell>
          <cell r="U601">
            <v>0.28607817774243055</v>
          </cell>
        </row>
        <row r="602">
          <cell r="B602" t="str">
            <v>FQ(1)</v>
          </cell>
          <cell r="C602">
            <v>0</v>
          </cell>
          <cell r="D602">
            <v>1.7407407407407407</v>
          </cell>
          <cell r="E602">
            <v>-1.75</v>
          </cell>
          <cell r="F602">
            <v>0.42168674698795183</v>
          </cell>
          <cell r="G602">
            <v>0.12727187703110288</v>
          </cell>
          <cell r="H602">
            <v>0.84869623144271034</v>
          </cell>
          <cell r="I602">
            <v>0.99081365961374246</v>
          </cell>
          <cell r="J602">
            <v>0.33988703654517832</v>
          </cell>
          <cell r="K602">
            <v>0.72009975886680333</v>
          </cell>
          <cell r="M602">
            <v>0.50262874310159023</v>
          </cell>
          <cell r="N602">
            <v>0.79145443803988569</v>
          </cell>
          <cell r="O602">
            <v>0.4672203110502593</v>
          </cell>
          <cell r="P602">
            <v>0.16930702209093426</v>
          </cell>
          <cell r="Q602">
            <v>0.39413680781758959</v>
          </cell>
          <cell r="R602">
            <v>8.0341039514674542</v>
          </cell>
          <cell r="S602">
            <v>0</v>
          </cell>
          <cell r="T602">
            <v>1.4798358962239591</v>
          </cell>
          <cell r="U602">
            <v>0.42746856310768105</v>
          </cell>
        </row>
        <row r="603">
          <cell r="B603" t="str">
            <v>Last Reported Q</v>
          </cell>
          <cell r="C603">
            <v>0</v>
          </cell>
          <cell r="D603">
            <v>0.73322595379474487</v>
          </cell>
          <cell r="E603">
            <v>0.14756944444444445</v>
          </cell>
          <cell r="F603">
            <v>0.32491818606825618</v>
          </cell>
          <cell r="G603">
            <v>-1.6362232382747848E-2</v>
          </cell>
          <cell r="H603">
            <v>0.80225044437467952</v>
          </cell>
          <cell r="I603">
            <v>0.94143569561591744</v>
          </cell>
          <cell r="J603">
            <v>0.41900535598789918</v>
          </cell>
          <cell r="K603">
            <v>0.49466351475021214</v>
          </cell>
          <cell r="M603">
            <v>0.6411004160272602</v>
          </cell>
          <cell r="N603">
            <v>0.75328644484694962</v>
          </cell>
          <cell r="O603">
            <v>0.52325453102828579</v>
          </cell>
          <cell r="P603">
            <v>9.9120149408590999E-2</v>
          </cell>
          <cell r="Q603">
            <v>0.7101291143844336</v>
          </cell>
          <cell r="R603">
            <v>0.47634326332156873</v>
          </cell>
          <cell r="S603">
            <v>0</v>
          </cell>
          <cell r="T603">
            <v>0.45760484557386988</v>
          </cell>
          <cell r="U603">
            <v>0.53703039732530433</v>
          </cell>
        </row>
        <row r="604">
          <cell r="B604" t="str">
            <v>LTM</v>
          </cell>
          <cell r="C604">
            <v>0</v>
          </cell>
          <cell r="D604">
            <v>1.0599274331813773</v>
          </cell>
          <cell r="E604">
            <v>0.25689655172413794</v>
          </cell>
          <cell r="F604">
            <v>0.35536706639368237</v>
          </cell>
          <cell r="G604">
            <v>-1.4799634611464611E-2</v>
          </cell>
          <cell r="H604">
            <v>0.84372858122001371</v>
          </cell>
          <cell r="I604">
            <v>0.89580374638436422</v>
          </cell>
          <cell r="J604">
            <v>0.48527482061315869</v>
          </cell>
          <cell r="K604">
            <v>0.54633181846653156</v>
          </cell>
          <cell r="M604">
            <v>0.97523573362915594</v>
          </cell>
          <cell r="N604">
            <v>0.64818871655913513</v>
          </cell>
          <cell r="O604">
            <v>0.58743732559956308</v>
          </cell>
          <cell r="P604">
            <v>7.4433707430581988E-2</v>
          </cell>
          <cell r="Q604">
            <v>0.57573791761271487</v>
          </cell>
          <cell r="R604">
            <v>0.71288014122619592</v>
          </cell>
          <cell r="S604">
            <v>0</v>
          </cell>
          <cell r="T604">
            <v>0.51055907743676376</v>
          </cell>
          <cell r="U604">
            <v>0.47913493836607302</v>
          </cell>
        </row>
        <row r="606">
          <cell r="A606" t="str">
            <v>Modelware DuPont (Non-lease Adjusted)ROIC</v>
          </cell>
          <cell r="B606" t="str">
            <v>Unadjusted ROIC</v>
          </cell>
        </row>
        <row r="607">
          <cell r="B607" t="str">
            <v>FY0</v>
          </cell>
        </row>
        <row r="608">
          <cell r="B608" t="str">
            <v>FY1</v>
          </cell>
          <cell r="C608">
            <v>1606.99</v>
          </cell>
          <cell r="D608">
            <v>3135</v>
          </cell>
          <cell r="E608">
            <v>3215</v>
          </cell>
          <cell r="F608">
            <v>901.32299999999998</v>
          </cell>
          <cell r="G608">
            <v>1438.452</v>
          </cell>
          <cell r="H608">
            <v>841.49099999999999</v>
          </cell>
          <cell r="I608">
            <v>1941.6980000000001</v>
          </cell>
          <cell r="M608">
            <v>170.703</v>
          </cell>
          <cell r="N608">
            <v>61.807000000000002</v>
          </cell>
          <cell r="O608">
            <v>134.40100000000001</v>
          </cell>
          <cell r="P608">
            <v>161.91300000000001</v>
          </cell>
          <cell r="Q608">
            <v>1703.855</v>
          </cell>
          <cell r="R608">
            <v>943.42600000000004</v>
          </cell>
          <cell r="S608">
            <v>63.247</v>
          </cell>
        </row>
        <row r="609">
          <cell r="B609" t="str">
            <v>FY2</v>
          </cell>
          <cell r="C609">
            <v>1946.9770000000001</v>
          </cell>
          <cell r="D609">
            <v>3142</v>
          </cell>
          <cell r="E609">
            <v>3120</v>
          </cell>
          <cell r="F609">
            <v>917.18200000000002</v>
          </cell>
          <cell r="G609">
            <v>1516.271</v>
          </cell>
          <cell r="H609">
            <v>853.11199999999997</v>
          </cell>
          <cell r="I609">
            <v>2352.0320000000002</v>
          </cell>
          <cell r="M609">
            <v>211.19800000000001</v>
          </cell>
          <cell r="N609">
            <v>81.238</v>
          </cell>
          <cell r="O609">
            <v>170.57599999999999</v>
          </cell>
          <cell r="P609">
            <v>184.41900000000001</v>
          </cell>
          <cell r="Q609">
            <v>1814</v>
          </cell>
          <cell r="R609">
            <v>1142</v>
          </cell>
          <cell r="S609">
            <v>98.995999999999995</v>
          </cell>
        </row>
        <row r="610">
          <cell r="B610" t="str">
            <v>FY(3)</v>
          </cell>
          <cell r="C610">
            <v>2237.5680000000002</v>
          </cell>
          <cell r="D610">
            <v>3210</v>
          </cell>
          <cell r="E610">
            <v>5459</v>
          </cell>
          <cell r="F610">
            <v>955.97799999999995</v>
          </cell>
          <cell r="G610">
            <v>807.21100000000001</v>
          </cell>
          <cell r="H610">
            <v>938.09100000000001</v>
          </cell>
          <cell r="I610">
            <v>2365.8609999999999</v>
          </cell>
          <cell r="M610">
            <v>362.536</v>
          </cell>
          <cell r="N610">
            <v>91.908000000000001</v>
          </cell>
          <cell r="O610">
            <v>210.739</v>
          </cell>
          <cell r="P610">
            <v>233.494</v>
          </cell>
          <cell r="Q610">
            <v>1696</v>
          </cell>
          <cell r="R610">
            <v>1159.69</v>
          </cell>
          <cell r="S610">
            <v>140.37700000000001</v>
          </cell>
        </row>
        <row r="611">
          <cell r="A611" t="str">
            <v>Modelware DuPont (Non-lease Adjusted)ROE</v>
          </cell>
          <cell r="B611" t="str">
            <v>Unadjusted ROE</v>
          </cell>
          <cell r="C611">
            <v>2578.3780000000002</v>
          </cell>
          <cell r="D611">
            <v>3400</v>
          </cell>
          <cell r="E611">
            <v>5317</v>
          </cell>
          <cell r="F611">
            <v>997.28899999999999</v>
          </cell>
          <cell r="G611">
            <v>785.30200000000002</v>
          </cell>
          <cell r="H611">
            <v>1051.729</v>
          </cell>
          <cell r="I611">
            <v>2581.9690000000001</v>
          </cell>
          <cell r="M611">
            <v>427.447</v>
          </cell>
          <cell r="N611">
            <v>101.476</v>
          </cell>
          <cell r="O611">
            <v>263.64400000000001</v>
          </cell>
          <cell r="P611">
            <v>291.19200000000001</v>
          </cell>
          <cell r="Q611">
            <v>1796</v>
          </cell>
          <cell r="R611">
            <v>1770</v>
          </cell>
          <cell r="S611">
            <v>154.387</v>
          </cell>
        </row>
        <row r="612">
          <cell r="B612" t="str">
            <v>FY0</v>
          </cell>
          <cell r="C612">
            <v>2855.7330000000002</v>
          </cell>
          <cell r="D612">
            <v>3641</v>
          </cell>
          <cell r="E612">
            <v>5060</v>
          </cell>
          <cell r="F612">
            <v>956</v>
          </cell>
          <cell r="G612">
            <v>857.173</v>
          </cell>
          <cell r="H612">
            <v>1025.2950000000001</v>
          </cell>
          <cell r="I612">
            <v>2737.3780000000002</v>
          </cell>
          <cell r="M612">
            <v>333.15300000000002</v>
          </cell>
          <cell r="N612">
            <v>136.488</v>
          </cell>
          <cell r="O612">
            <v>286.48500000000001</v>
          </cell>
          <cell r="P612">
            <v>318.49</v>
          </cell>
          <cell r="Q612">
            <v>1575</v>
          </cell>
          <cell r="R612">
            <v>1250.625</v>
          </cell>
          <cell r="S612">
            <v>171.92500000000001</v>
          </cell>
        </row>
        <row r="613">
          <cell r="B613" t="str">
            <v>FY1</v>
          </cell>
          <cell r="C613">
            <v>2799</v>
          </cell>
          <cell r="D613">
            <v>3259</v>
          </cell>
          <cell r="E613">
            <v>4769</v>
          </cell>
          <cell r="F613">
            <v>900</v>
          </cell>
          <cell r="G613">
            <v>728.84100000000001</v>
          </cell>
          <cell r="H613">
            <v>881.05799999999999</v>
          </cell>
          <cell r="I613">
            <v>2619.3359999999998</v>
          </cell>
          <cell r="M613">
            <v>372.42200000000003</v>
          </cell>
          <cell r="N613">
            <v>126.36</v>
          </cell>
          <cell r="O613">
            <v>294.928</v>
          </cell>
          <cell r="P613">
            <v>326.14800000000002</v>
          </cell>
          <cell r="Q613">
            <v>1506</v>
          </cell>
          <cell r="R613">
            <v>1181.865</v>
          </cell>
          <cell r="S613">
            <v>169.69800000000001</v>
          </cell>
        </row>
        <row r="614">
          <cell r="B614" t="str">
            <v>FY2</v>
          </cell>
          <cell r="C614">
            <v>2940.0436170483199</v>
          </cell>
          <cell r="D614">
            <v>2918.8564274536802</v>
          </cell>
          <cell r="E614">
            <v>4731.2153421261601</v>
          </cell>
          <cell r="F614">
            <v>839.35617027476405</v>
          </cell>
          <cell r="G614">
            <v>585.00673201635198</v>
          </cell>
          <cell r="H614">
            <v>864.04781667707402</v>
          </cell>
          <cell r="I614">
            <v>2616.37292347927</v>
          </cell>
          <cell r="M614">
            <v>287.47271947598</v>
          </cell>
          <cell r="N614">
            <v>124.497120668248</v>
          </cell>
          <cell r="O614">
            <v>314.06161596097701</v>
          </cell>
          <cell r="P614">
            <v>346.15462013569299</v>
          </cell>
          <cell r="Q614">
            <v>1484.11506380842</v>
          </cell>
          <cell r="R614">
            <v>1032.0259323569901</v>
          </cell>
          <cell r="S614">
            <v>173.71380577112001</v>
          </cell>
        </row>
        <row r="615">
          <cell r="B615" t="str">
            <v>FY2</v>
          </cell>
          <cell r="C615">
            <v>3047.8533847793501</v>
          </cell>
          <cell r="D615">
            <v>2899.7434629710201</v>
          </cell>
          <cell r="E615">
            <v>4616.6879030365199</v>
          </cell>
          <cell r="F615">
            <v>859.99964804245894</v>
          </cell>
          <cell r="G615">
            <v>574.46682556849896</v>
          </cell>
          <cell r="H615">
            <v>905.12218771622202</v>
          </cell>
          <cell r="I615">
            <v>2755.9473532789998</v>
          </cell>
          <cell r="M615">
            <v>306.71986794402397</v>
          </cell>
          <cell r="N615">
            <v>137.961510175505</v>
          </cell>
          <cell r="O615">
            <v>324.52754417494299</v>
          </cell>
          <cell r="P615">
            <v>370.54645784883797</v>
          </cell>
          <cell r="Q615">
            <v>1426.10530468362</v>
          </cell>
          <cell r="R615">
            <v>1008.9558266789099</v>
          </cell>
          <cell r="S615">
            <v>180.024105564092</v>
          </cell>
        </row>
        <row r="616">
          <cell r="A616" t="str">
            <v>Modelware DuPont (Lease Adjusted)ROIC</v>
          </cell>
          <cell r="B616" t="str">
            <v>Lease Adjusted ROIC</v>
          </cell>
          <cell r="C616">
            <v>2799</v>
          </cell>
          <cell r="D616">
            <v>3259</v>
          </cell>
          <cell r="E616">
            <v>4769</v>
          </cell>
          <cell r="F616">
            <v>900</v>
          </cell>
          <cell r="G616">
            <v>728.84100000000001</v>
          </cell>
          <cell r="H616">
            <v>881.05799999999999</v>
          </cell>
          <cell r="I616">
            <v>2619.3359999999998</v>
          </cell>
          <cell r="M616">
            <v>372.42200000000003</v>
          </cell>
          <cell r="N616">
            <v>126.36</v>
          </cell>
          <cell r="O616">
            <v>294.928</v>
          </cell>
          <cell r="P616">
            <v>401.79700000000003</v>
          </cell>
          <cell r="Q616">
            <v>1506</v>
          </cell>
          <cell r="R616">
            <v>1181.865</v>
          </cell>
          <cell r="S616">
            <v>169.69800000000001</v>
          </cell>
        </row>
        <row r="617">
          <cell r="B617" t="str">
            <v>FY0</v>
          </cell>
          <cell r="C617">
            <v>2804</v>
          </cell>
          <cell r="D617">
            <v>3237</v>
          </cell>
          <cell r="E617">
            <v>5026</v>
          </cell>
          <cell r="F617">
            <v>1004</v>
          </cell>
          <cell r="G617">
            <v>779.47400000000005</v>
          </cell>
          <cell r="H617">
            <v>917.66099999999994</v>
          </cell>
          <cell r="I617">
            <v>2817.7</v>
          </cell>
          <cell r="M617">
            <v>274.74200000000002</v>
          </cell>
          <cell r="N617">
            <v>128.929</v>
          </cell>
          <cell r="O617">
            <v>279.233</v>
          </cell>
          <cell r="P617">
            <v>383.08100000000002</v>
          </cell>
          <cell r="Q617">
            <v>1393</v>
          </cell>
          <cell r="R617">
            <v>1213.425</v>
          </cell>
          <cell r="S617">
            <v>189.881</v>
          </cell>
        </row>
        <row r="618">
          <cell r="B618" t="str">
            <v>FY1</v>
          </cell>
          <cell r="C618">
            <v>2724</v>
          </cell>
          <cell r="D618">
            <v>3258</v>
          </cell>
          <cell r="E618">
            <v>4634</v>
          </cell>
          <cell r="F618">
            <v>929</v>
          </cell>
          <cell r="G618">
            <v>670.26300000000003</v>
          </cell>
          <cell r="H618">
            <v>926.24400000000003</v>
          </cell>
          <cell r="I618">
            <v>3100.1750000000002</v>
          </cell>
          <cell r="M618">
            <v>325.596</v>
          </cell>
          <cell r="N618">
            <v>200.99299999999999</v>
          </cell>
          <cell r="O618">
            <v>352.81900000000002</v>
          </cell>
          <cell r="P618">
            <v>357.67</v>
          </cell>
          <cell r="Q618">
            <v>1473</v>
          </cell>
          <cell r="R618">
            <v>1091.412</v>
          </cell>
          <cell r="S618">
            <v>217.05</v>
          </cell>
        </row>
        <row r="619">
          <cell r="B619" t="str">
            <v>FY2</v>
          </cell>
          <cell r="C619">
            <v>3807</v>
          </cell>
          <cell r="D619">
            <v>4018</v>
          </cell>
          <cell r="E619">
            <v>6406</v>
          </cell>
          <cell r="F619">
            <v>1193</v>
          </cell>
          <cell r="G619">
            <v>799.11</v>
          </cell>
          <cell r="H619">
            <v>1014.638</v>
          </cell>
          <cell r="I619">
            <v>3267.7</v>
          </cell>
          <cell r="M619">
            <v>347.18</v>
          </cell>
          <cell r="N619">
            <v>221.51599999999999</v>
          </cell>
          <cell r="O619">
            <v>425.41500000000002</v>
          </cell>
          <cell r="P619">
            <v>326.14800000000002</v>
          </cell>
          <cell r="Q619">
            <v>1999</v>
          </cell>
          <cell r="R619">
            <v>1426.4559999999999</v>
          </cell>
          <cell r="S619">
            <v>234.52099999999999</v>
          </cell>
        </row>
        <row r="621">
          <cell r="A621" t="str">
            <v>Modelware DuPont (Lease Adjusted)ROE</v>
          </cell>
          <cell r="B621" t="str">
            <v>Lease Adjusted ROE</v>
          </cell>
        </row>
        <row r="622">
          <cell r="B622" t="str">
            <v>FY0</v>
          </cell>
          <cell r="C622">
            <v>3.5163894967177245</v>
          </cell>
          <cell r="D622">
            <v>3.1008902077151335E-2</v>
          </cell>
          <cell r="E622">
            <v>3.8273809523809522E-2</v>
          </cell>
          <cell r="F622">
            <v>4.7891764080765141E-2</v>
          </cell>
          <cell r="G622">
            <v>4.1769775016315805E-2</v>
          </cell>
          <cell r="H622">
            <v>6.3170257488176562E-2</v>
          </cell>
          <cell r="I622">
            <v>3.2099487518598119E-2</v>
          </cell>
          <cell r="M622">
            <v>3.4031698564593302E-2</v>
          </cell>
          <cell r="N622">
            <v>3.8349685946680118E-2</v>
          </cell>
          <cell r="O622">
            <v>3.1702109943703226E-2</v>
          </cell>
          <cell r="P622">
            <v>0.20698026111422885</v>
          </cell>
          <cell r="Q622">
            <v>4.6680958904109587E-2</v>
          </cell>
          <cell r="R622">
            <v>5.8824417009602198E-2</v>
          </cell>
          <cell r="S622">
            <v>4.3658244310008247E-2</v>
          </cell>
        </row>
        <row r="623">
          <cell r="B623" t="str">
            <v>FY1</v>
          </cell>
          <cell r="C623">
            <v>3.5922084870848709</v>
          </cell>
          <cell r="D623">
            <v>3.1016781836130308E-2</v>
          </cell>
          <cell r="E623">
            <v>3.7454981992797121E-2</v>
          </cell>
          <cell r="F623">
            <v>4.7511305654122094E-2</v>
          </cell>
          <cell r="G623">
            <v>4.4652013683553426E-2</v>
          </cell>
          <cell r="H623">
            <v>5.5930767717825999E-2</v>
          </cell>
          <cell r="I623">
            <v>3.5904500213714365E-2</v>
          </cell>
          <cell r="M623">
            <v>3.7781395348837211E-2</v>
          </cell>
          <cell r="N623">
            <v>4.1062350195056017E-2</v>
          </cell>
          <cell r="O623">
            <v>3.7571019989669815E-2</v>
          </cell>
          <cell r="P623">
            <v>0.20381483495351646</v>
          </cell>
          <cell r="Q623">
            <v>4.9562841530054642E-2</v>
          </cell>
          <cell r="R623">
            <v>7.2273906714764885E-2</v>
          </cell>
          <cell r="S623">
            <v>5.6573701081058525E-2</v>
          </cell>
        </row>
        <row r="624">
          <cell r="B624" t="str">
            <v>FY2</v>
          </cell>
          <cell r="C624">
            <v>3.5126656200941917</v>
          </cell>
          <cell r="D624">
            <v>3.1656804733727811E-2</v>
          </cell>
          <cell r="E624">
            <v>3.4441640378548896E-2</v>
          </cell>
          <cell r="F624">
            <v>4.8353759388988643E-2</v>
          </cell>
          <cell r="G624">
            <v>0.10639396335837617</v>
          </cell>
          <cell r="H624">
            <v>5.4165425255499743E-2</v>
          </cell>
          <cell r="I624">
            <v>3.3522649663478565E-2</v>
          </cell>
          <cell r="M624">
            <v>6.0171950207468877E-2</v>
          </cell>
          <cell r="N624">
            <v>3.872296948566975E-2</v>
          </cell>
          <cell r="O624">
            <v>4.4157061087856289E-2</v>
          </cell>
          <cell r="P624">
            <v>0.22479120836803163</v>
          </cell>
          <cell r="Q624">
            <v>4.4867724867724869E-2</v>
          </cell>
          <cell r="R624">
            <v>7.5638533785546566E-2</v>
          </cell>
          <cell r="S624">
            <v>6.6417827118810877E-2</v>
          </cell>
        </row>
        <row r="625">
          <cell r="B625" t="str">
            <v>FY(2)</v>
          </cell>
          <cell r="C625">
            <v>3.5223743169398909</v>
          </cell>
          <cell r="D625">
            <v>3.2977691561590687E-2</v>
          </cell>
          <cell r="E625">
            <v>3.3996163682864448E-2</v>
          </cell>
          <cell r="F625">
            <v>4.9567047713717692E-2</v>
          </cell>
          <cell r="G625">
            <v>0.10470693333333334</v>
          </cell>
          <cell r="H625">
            <v>5.6417176268640706E-2</v>
          </cell>
          <cell r="I625">
            <v>3.4897603633070678E-2</v>
          </cell>
          <cell r="M625">
            <v>6.3864784102793962E-2</v>
          </cell>
          <cell r="N625">
            <v>3.8642802741812643E-2</v>
          </cell>
          <cell r="O625">
            <v>5.0964756870443342E-2</v>
          </cell>
          <cell r="P625">
            <v>0.23790759748392731</v>
          </cell>
          <cell r="Q625">
            <v>4.6051282051282054E-2</v>
          </cell>
          <cell r="R625">
            <v>0.11363440844751772</v>
          </cell>
          <cell r="S625">
            <v>6.1813201112411009E-2</v>
          </cell>
        </row>
        <row r="626">
          <cell r="B626" t="str">
            <v>Valuation</v>
          </cell>
          <cell r="C626">
            <v>3.495389228886169</v>
          </cell>
          <cell r="D626">
            <v>3.4155722326454037E-2</v>
          </cell>
          <cell r="E626">
            <v>3.2653377301385511E-2</v>
          </cell>
          <cell r="F626">
            <v>4.7010228166797799E-2</v>
          </cell>
          <cell r="G626">
            <v>0.11369850112747049</v>
          </cell>
          <cell r="H626">
            <v>4.8592180094786733E-2</v>
          </cell>
          <cell r="I626">
            <v>3.5820177963883801E-2</v>
          </cell>
          <cell r="M626">
            <v>4.5407250919994549E-2</v>
          </cell>
          <cell r="N626">
            <v>4.6500187039173288E-2</v>
          </cell>
          <cell r="O626">
            <v>5.0173101886327197E-2</v>
          </cell>
          <cell r="P626">
            <v>0.21723459014982835</v>
          </cell>
          <cell r="Q626">
            <v>3.9772727272727272E-2</v>
          </cell>
          <cell r="R626">
            <v>0.12129036950829211</v>
          </cell>
          <cell r="S626">
            <v>5.9560927615761435E-2</v>
          </cell>
        </row>
        <row r="627">
          <cell r="B627" t="str">
            <v>FY0</v>
          </cell>
          <cell r="C627">
            <v>3.0129171151776104</v>
          </cell>
          <cell r="D627">
            <v>2.9844988318980185E-2</v>
          </cell>
          <cell r="E627">
            <v>3.0949244277731991E-2</v>
          </cell>
          <cell r="F627">
            <v>4.247486903582047E-2</v>
          </cell>
          <cell r="G627">
            <v>9.6932003937825792E-2</v>
          </cell>
          <cell r="H627">
            <v>3.9158133333333331E-2</v>
          </cell>
          <cell r="I627">
            <v>3.3125257655656222E-2</v>
          </cell>
          <cell r="M627">
            <v>4.6425081027175269E-2</v>
          </cell>
          <cell r="N627">
            <v>3.8470273828218472E-2</v>
          </cell>
          <cell r="O627">
            <v>4.6605596849767082E-2</v>
          </cell>
          <cell r="P627">
            <v>0.19290833500424975</v>
          </cell>
          <cell r="Q627">
            <v>3.8126582278481015E-2</v>
          </cell>
          <cell r="R627">
            <v>0.10844489507537872</v>
          </cell>
          <cell r="S627">
            <v>5.0495503885011242E-2</v>
          </cell>
        </row>
        <row r="628">
          <cell r="B628" t="str">
            <v>P/E</v>
          </cell>
          <cell r="C628">
            <v>2.9283302958648605</v>
          </cell>
          <cell r="D628">
            <v>2.6344405470617231E-2</v>
          </cell>
          <cell r="E628">
            <v>3.0595667073588382E-2</v>
          </cell>
          <cell r="F628">
            <v>3.7598825043664401E-2</v>
          </cell>
          <cell r="G628">
            <v>7.7172013017913738E-2</v>
          </cell>
          <cell r="H628">
            <v>3.6531643939030634E-2</v>
          </cell>
          <cell r="I628">
            <v>3.1966778372598967E-2</v>
          </cell>
          <cell r="M628">
            <v>3.6368491137515113E-2</v>
          </cell>
          <cell r="N628">
            <v>3.6506160063337061E-2</v>
          </cell>
          <cell r="O628">
            <v>4.8375056091979202E-2</v>
          </cell>
          <cell r="P628">
            <v>0.18771998345874799</v>
          </cell>
          <cell r="Q628">
            <v>3.8166062114152112E-2</v>
          </cell>
          <cell r="R628">
            <v>9.5052702931567076E-2</v>
          </cell>
          <cell r="S628">
            <v>4.6624074602340408E-2</v>
          </cell>
        </row>
        <row r="629">
          <cell r="B629" t="str">
            <v>Price/ Peak EPS</v>
          </cell>
          <cell r="C629" t="e">
            <v>#VALUE!</v>
          </cell>
          <cell r="D629" t="e">
            <v>#VALUE!</v>
          </cell>
          <cell r="E629" t="e">
            <v>#VALUE!</v>
          </cell>
          <cell r="F629" t="e">
            <v>#VALUE!</v>
          </cell>
          <cell r="G629" t="e">
            <v>#VALUE!</v>
          </cell>
          <cell r="H629" t="e">
            <v>#VALUE!</v>
          </cell>
          <cell r="I629" t="e">
            <v>#VALUE!</v>
          </cell>
          <cell r="J629" t="e">
            <v>#VALUE!</v>
          </cell>
          <cell r="M629" t="e">
            <v>#VALUE!</v>
          </cell>
          <cell r="N629" t="e">
            <v>#VALUE!</v>
          </cell>
          <cell r="O629" t="e">
            <v>#VALUE!</v>
          </cell>
          <cell r="P629" t="e">
            <v>#VALUE!</v>
          </cell>
          <cell r="Q629" t="e">
            <v>#VALUE!</v>
          </cell>
          <cell r="R629" t="e">
            <v>#VALUE!</v>
          </cell>
          <cell r="S629" t="e">
            <v>#VALUE!</v>
          </cell>
          <cell r="T629" t="e">
            <v>#VALUE!</v>
          </cell>
        </row>
        <row r="630">
          <cell r="B630" t="str">
            <v>LTM</v>
          </cell>
          <cell r="C630" t="e">
            <v>#VALUE!</v>
          </cell>
          <cell r="D630" t="e">
            <v>#VALUE!</v>
          </cell>
          <cell r="E630" t="e">
            <v>#VALUE!</v>
          </cell>
          <cell r="F630" t="e">
            <v>#VALUE!</v>
          </cell>
          <cell r="G630" t="e">
            <v>#VALUE!</v>
          </cell>
          <cell r="H630" t="e">
            <v>#VALUE!</v>
          </cell>
          <cell r="I630" t="e">
            <v>#VALUE!</v>
          </cell>
          <cell r="J630" t="e">
            <v>#VALUE!</v>
          </cell>
          <cell r="M630" t="e">
            <v>#VALUE!</v>
          </cell>
          <cell r="N630" t="e">
            <v>#VALUE!</v>
          </cell>
          <cell r="O630" t="e">
            <v>#VALUE!</v>
          </cell>
          <cell r="P630" t="e">
            <v>#VALUE!</v>
          </cell>
          <cell r="Q630" t="e">
            <v>#VALUE!</v>
          </cell>
          <cell r="R630" t="e">
            <v>#VALUE!</v>
          </cell>
          <cell r="S630" t="e">
            <v>#VALUE!</v>
          </cell>
          <cell r="T630" t="e">
            <v>#VALUE!</v>
          </cell>
        </row>
        <row r="631">
          <cell r="B631" t="str">
            <v>FY1</v>
          </cell>
          <cell r="C631" t="e">
            <v>#VALUE!</v>
          </cell>
          <cell r="D631" t="e">
            <v>#VALUE!</v>
          </cell>
          <cell r="E631" t="e">
            <v>#VALUE!</v>
          </cell>
          <cell r="F631" t="e">
            <v>#VALUE!</v>
          </cell>
          <cell r="G631" t="e">
            <v>#VALUE!</v>
          </cell>
          <cell r="H631" t="e">
            <v>#VALUE!</v>
          </cell>
          <cell r="I631" t="e">
            <v>#VALUE!</v>
          </cell>
          <cell r="J631" t="e">
            <v>#VALUE!</v>
          </cell>
          <cell r="M631" t="e">
            <v>#VALUE!</v>
          </cell>
          <cell r="N631" t="e">
            <v>#VALUE!</v>
          </cell>
          <cell r="O631" t="e">
            <v>#VALUE!</v>
          </cell>
          <cell r="P631" t="e">
            <v>#VALUE!</v>
          </cell>
          <cell r="Q631" t="e">
            <v>#VALUE!</v>
          </cell>
          <cell r="R631" t="e">
            <v>#VALUE!</v>
          </cell>
          <cell r="S631" t="e">
            <v>#VALUE!</v>
          </cell>
          <cell r="T631" t="e">
            <v>#VALUE!</v>
          </cell>
        </row>
        <row r="632">
          <cell r="B632" t="str">
            <v>FY2</v>
          </cell>
          <cell r="C632" t="e">
            <v>#VALUE!</v>
          </cell>
          <cell r="D632" t="e">
            <v>#VALUE!</v>
          </cell>
          <cell r="E632" t="e">
            <v>#VALUE!</v>
          </cell>
          <cell r="F632" t="e">
            <v>#VALUE!</v>
          </cell>
          <cell r="G632" t="e">
            <v>#VALUE!</v>
          </cell>
          <cell r="H632" t="e">
            <v>#VALUE!</v>
          </cell>
          <cell r="I632" t="e">
            <v>#VALUE!</v>
          </cell>
          <cell r="J632" t="e">
            <v>#VALUE!</v>
          </cell>
          <cell r="M632" t="e">
            <v>#VALUE!</v>
          </cell>
          <cell r="N632" t="e">
            <v>#VALUE!</v>
          </cell>
          <cell r="O632" t="e">
            <v>#VALUE!</v>
          </cell>
          <cell r="P632" t="e">
            <v>#VALUE!</v>
          </cell>
          <cell r="Q632" t="e">
            <v>#VALUE!</v>
          </cell>
          <cell r="R632" t="e">
            <v>#VALUE!</v>
          </cell>
          <cell r="S632" t="e">
            <v>#VALUE!</v>
          </cell>
          <cell r="T632" t="e">
            <v>#VALUE!</v>
          </cell>
        </row>
        <row r="633">
          <cell r="B633" t="str">
            <v>FY(4)</v>
          </cell>
          <cell r="C633">
            <v>2.1561601875422998E-2</v>
          </cell>
          <cell r="D633">
            <v>2.5411280152276561E-4</v>
          </cell>
          <cell r="E633">
            <v>-2.1393938601879214E-2</v>
          </cell>
          <cell r="F633">
            <v>-7.9441305607669266E-3</v>
          </cell>
          <cell r="G633">
            <v>6.900297322912996E-2</v>
          </cell>
          <cell r="H633">
            <v>-0.11460282193254578</v>
          </cell>
          <cell r="I633">
            <v>0.11853811351074239</v>
          </cell>
          <cell r="J633">
            <v>9.3451300459465991E-3</v>
          </cell>
          <cell r="M633">
            <v>0.11018247523340219</v>
          </cell>
          <cell r="N633">
            <v>7.0734979476689386E-2</v>
          </cell>
          <cell r="O633">
            <v>0.18512679617819217</v>
          </cell>
          <cell r="P633">
            <v>-1.5293372148977302E-2</v>
          </cell>
          <cell r="Q633">
            <v>6.1735720379371806E-2</v>
          </cell>
          <cell r="R633">
            <v>0.22863787503354716</v>
          </cell>
          <cell r="S633">
            <v>0.29583087856992751</v>
          </cell>
          <cell r="T633">
            <v>0.13385076467459328</v>
          </cell>
        </row>
        <row r="634">
          <cell r="B634" t="str">
            <v>EV/EBITDA</v>
          </cell>
          <cell r="C634">
            <v>-2.2143165486263161E-2</v>
          </cell>
          <cell r="D634">
            <v>2.0634729321014289E-2</v>
          </cell>
          <cell r="E634">
            <v>-8.0452357841947819E-2</v>
          </cell>
          <cell r="F634">
            <v>1.7731647726112465E-2</v>
          </cell>
          <cell r="G634">
            <v>1.3827360645453717</v>
          </cell>
          <cell r="H634">
            <v>-3.1562993578642007E-2</v>
          </cell>
          <cell r="I634">
            <v>-6.6338496178983353E-2</v>
          </cell>
          <cell r="J634">
            <v>0.1743722040723803</v>
          </cell>
          <cell r="M634">
            <v>0.59263440780571308</v>
          </cell>
          <cell r="N634">
            <v>-5.697142755525797E-2</v>
          </cell>
          <cell r="O634">
            <v>0.17529577583992428</v>
          </cell>
          <cell r="P634">
            <v>0.10291877634569246</v>
          </cell>
          <cell r="Q634">
            <v>-9.473057874380908E-2</v>
          </cell>
          <cell r="R634">
            <v>4.655382867374902E-2</v>
          </cell>
          <cell r="S634">
            <v>0.17400533904698468</v>
          </cell>
          <cell r="T634">
            <v>0.13424373163042808</v>
          </cell>
        </row>
        <row r="635">
          <cell r="B635" t="str">
            <v>LTM</v>
          </cell>
          <cell r="C635" t="e">
            <v>#VALUE!</v>
          </cell>
          <cell r="D635" t="e">
            <v>#VALUE!</v>
          </cell>
          <cell r="E635" t="e">
            <v>#VALUE!</v>
          </cell>
          <cell r="F635" t="e">
            <v>#VALUE!</v>
          </cell>
          <cell r="G635" t="e">
            <v>#VALUE!</v>
          </cell>
          <cell r="H635" t="e">
            <v>#VALUE!</v>
          </cell>
          <cell r="I635" t="e">
            <v>#VALUE!</v>
          </cell>
          <cell r="J635" t="e">
            <v>#VALUE!</v>
          </cell>
          <cell r="M635" t="e">
            <v>#VALUE!</v>
          </cell>
          <cell r="N635" t="e">
            <v>#VALUE!</v>
          </cell>
          <cell r="O635" t="e">
            <v>#VALUE!</v>
          </cell>
          <cell r="P635" t="e">
            <v>#VALUE!</v>
          </cell>
          <cell r="Q635" t="e">
            <v>#VALUE!</v>
          </cell>
          <cell r="R635" t="e">
            <v>#VALUE!</v>
          </cell>
          <cell r="S635" t="e">
            <v>#VALUE!</v>
          </cell>
          <cell r="T635" t="e">
            <v>#VALUE!</v>
          </cell>
        </row>
        <row r="636">
          <cell r="B636" t="str">
            <v>FY1</v>
          </cell>
          <cell r="C636" t="e">
            <v>#VALUE!</v>
          </cell>
          <cell r="D636" t="e">
            <v>#VALUE!</v>
          </cell>
          <cell r="E636" t="e">
            <v>#VALUE!</v>
          </cell>
          <cell r="F636" t="e">
            <v>#VALUE!</v>
          </cell>
          <cell r="G636" t="e">
            <v>#VALUE!</v>
          </cell>
          <cell r="H636" t="e">
            <v>#VALUE!</v>
          </cell>
          <cell r="I636" t="e">
            <v>#VALUE!</v>
          </cell>
          <cell r="J636" t="e">
            <v>#VALUE!</v>
          </cell>
          <cell r="M636" t="e">
            <v>#VALUE!</v>
          </cell>
          <cell r="N636" t="e">
            <v>#VALUE!</v>
          </cell>
          <cell r="O636" t="e">
            <v>#VALUE!</v>
          </cell>
          <cell r="P636" t="e">
            <v>#VALUE!</v>
          </cell>
          <cell r="Q636" t="e">
            <v>#VALUE!</v>
          </cell>
          <cell r="R636" t="e">
            <v>#VALUE!</v>
          </cell>
          <cell r="S636" t="e">
            <v>#VALUE!</v>
          </cell>
          <cell r="T636" t="e">
            <v>#VALUE!</v>
          </cell>
        </row>
        <row r="637">
          <cell r="B637" t="str">
            <v>FY2</v>
          </cell>
          <cell r="C637" t="e">
            <v>#VALUE!</v>
          </cell>
          <cell r="D637" t="e">
            <v>#VALUE!</v>
          </cell>
          <cell r="E637" t="e">
            <v>#VALUE!</v>
          </cell>
          <cell r="F637" t="e">
            <v>#VALUE!</v>
          </cell>
          <cell r="G637" t="e">
            <v>#VALUE!</v>
          </cell>
          <cell r="H637" t="e">
            <v>#VALUE!</v>
          </cell>
          <cell r="I637" t="e">
            <v>#VALUE!</v>
          </cell>
          <cell r="J637" t="e">
            <v>#VALUE!</v>
          </cell>
          <cell r="M637" t="e">
            <v>#VALUE!</v>
          </cell>
          <cell r="N637" t="e">
            <v>#VALUE!</v>
          </cell>
          <cell r="O637" t="e">
            <v>#VALUE!</v>
          </cell>
          <cell r="P637" t="e">
            <v>#VALUE!</v>
          </cell>
          <cell r="Q637" t="e">
            <v>#VALUE!</v>
          </cell>
          <cell r="R637" t="e">
            <v>#VALUE!</v>
          </cell>
          <cell r="S637" t="e">
            <v>#VALUE!</v>
          </cell>
          <cell r="T637" t="e">
            <v>#VALUE!</v>
          </cell>
        </row>
        <row r="638">
          <cell r="B638" t="str">
            <v>FY1</v>
          </cell>
          <cell r="C638">
            <v>-2.8074724952320329E-2</v>
          </cell>
          <cell r="D638">
            <v>-0.11729215005712457</v>
          </cell>
          <cell r="E638">
            <v>-1.1424421254705996E-2</v>
          </cell>
          <cell r="F638">
            <v>-0.11479832905532772</v>
          </cell>
          <cell r="G638">
            <v>-0.20385414638272126</v>
          </cell>
          <cell r="H638">
            <v>-6.7073917235653813E-2</v>
          </cell>
          <cell r="I638">
            <v>-3.4972687461026997E-2</v>
          </cell>
          <cell r="J638">
            <v>-8.2498625199840095E-2</v>
          </cell>
          <cell r="M638">
            <v>-0.21661975955999857</v>
          </cell>
          <cell r="N638">
            <v>-5.1055362216858136E-2</v>
          </cell>
          <cell r="O638">
            <v>3.7966668422163119E-2</v>
          </cell>
          <cell r="P638">
            <v>-2.6895424427293202E-2</v>
          </cell>
          <cell r="Q638">
            <v>1.0354936978806961E-3</v>
          </cell>
          <cell r="R638">
            <v>-0.12349306193254084</v>
          </cell>
          <cell r="S638">
            <v>-7.666879196783305E-2</v>
          </cell>
          <cell r="T638">
            <v>-6.5104319712068565E-2</v>
          </cell>
        </row>
        <row r="639">
          <cell r="B639" t="str">
            <v>FCF Yield</v>
          </cell>
          <cell r="C639">
            <v>-1.717080001305693E-2</v>
          </cell>
          <cell r="D639">
            <v>-8.3364925020563696E-3</v>
          </cell>
          <cell r="E639">
            <v>-2.6487959627819579E-2</v>
          </cell>
          <cell r="F639">
            <v>-1.6931885456709206E-2</v>
          </cell>
          <cell r="G639">
            <v>-5.6563156961221495E-2</v>
          </cell>
          <cell r="H639">
            <v>-2.0621464663999056E-3</v>
          </cell>
          <cell r="I639">
            <v>7.9871148560513028E-3</v>
          </cell>
          <cell r="J639">
            <v>-1.708076088160174E-2</v>
          </cell>
          <cell r="M639">
            <v>-2.6007948492032806E-2</v>
          </cell>
          <cell r="N639">
            <v>3.5756463590146836E-2</v>
          </cell>
          <cell r="O639">
            <v>-3.1064536814966459E-2</v>
          </cell>
          <cell r="P639">
            <v>1.2895585404308463E-2</v>
          </cell>
          <cell r="Q639">
            <v>-1.0981203497142378E-3</v>
          </cell>
          <cell r="R639">
            <v>-3.4797680849844359E-2</v>
          </cell>
          <cell r="S639">
            <v>-8.0801684127954743E-2</v>
          </cell>
          <cell r="T639">
            <v>-1.7873988805722472E-2</v>
          </cell>
        </row>
        <row r="640">
          <cell r="B640" t="str">
            <v>FY0</v>
          </cell>
          <cell r="C640" t="e">
            <v>#VALUE!</v>
          </cell>
          <cell r="D640" t="e">
            <v>#VALUE!</v>
          </cell>
          <cell r="E640" t="e">
            <v>#VALUE!</v>
          </cell>
          <cell r="F640" t="e">
            <v>#VALUE!</v>
          </cell>
          <cell r="G640" t="e">
            <v>#VALUE!</v>
          </cell>
          <cell r="H640" t="e">
            <v>#VALUE!</v>
          </cell>
          <cell r="I640" t="e">
            <v>#VALUE!</v>
          </cell>
          <cell r="J640" t="e">
            <v>#VALUE!</v>
          </cell>
          <cell r="M640" t="e">
            <v>#VALUE!</v>
          </cell>
          <cell r="N640" t="e">
            <v>#VALUE!</v>
          </cell>
          <cell r="O640" t="e">
            <v>#VALUE!</v>
          </cell>
          <cell r="P640" t="e">
            <v>#VALUE!</v>
          </cell>
          <cell r="Q640" t="e">
            <v>#VALUE!</v>
          </cell>
          <cell r="R640" t="e">
            <v>#VALUE!</v>
          </cell>
          <cell r="S640" t="e">
            <v>#VALUE!</v>
          </cell>
          <cell r="T640" t="e">
            <v>#VALUE!</v>
          </cell>
        </row>
        <row r="641">
          <cell r="B641" t="str">
            <v>FY1</v>
          </cell>
          <cell r="C641" t="e">
            <v>#VALUE!</v>
          </cell>
          <cell r="D641" t="e">
            <v>#VALUE!</v>
          </cell>
          <cell r="E641" t="e">
            <v>#VALUE!</v>
          </cell>
          <cell r="F641" t="e">
            <v>#VALUE!</v>
          </cell>
          <cell r="G641" t="e">
            <v>#VALUE!</v>
          </cell>
          <cell r="H641" t="e">
            <v>#VALUE!</v>
          </cell>
          <cell r="I641" t="e">
            <v>#VALUE!</v>
          </cell>
          <cell r="J641" t="e">
            <v>#VALUE!</v>
          </cell>
          <cell r="M641" t="e">
            <v>#VALUE!</v>
          </cell>
          <cell r="N641" t="e">
            <v>#VALUE!</v>
          </cell>
          <cell r="O641" t="e">
            <v>#VALUE!</v>
          </cell>
          <cell r="P641" t="e">
            <v>#VALUE!</v>
          </cell>
          <cell r="Q641" t="e">
            <v>#VALUE!</v>
          </cell>
          <cell r="R641" t="e">
            <v>#VALUE!</v>
          </cell>
          <cell r="S641" t="e">
            <v>#VALUE!</v>
          </cell>
          <cell r="T641" t="e">
            <v>#VALUE!</v>
          </cell>
        </row>
        <row r="642">
          <cell r="B642" t="str">
            <v>FY2</v>
          </cell>
          <cell r="C642" t="e">
            <v>#VALUE!</v>
          </cell>
          <cell r="D642" t="e">
            <v>#VALUE!</v>
          </cell>
          <cell r="E642" t="e">
            <v>#VALUE!</v>
          </cell>
          <cell r="F642" t="e">
            <v>#VALUE!</v>
          </cell>
          <cell r="G642" t="e">
            <v>#VALUE!</v>
          </cell>
          <cell r="H642" t="e">
            <v>#VALUE!</v>
          </cell>
          <cell r="I642" t="e">
            <v>#VALUE!</v>
          </cell>
          <cell r="J642" t="e">
            <v>#VALUE!</v>
          </cell>
          <cell r="M642" t="e">
            <v>#VALUE!</v>
          </cell>
          <cell r="N642" t="e">
            <v>#VALUE!</v>
          </cell>
          <cell r="O642" t="e">
            <v>#VALUE!</v>
          </cell>
          <cell r="P642" t="e">
            <v>#VALUE!</v>
          </cell>
          <cell r="Q642" t="e">
            <v>#VALUE!</v>
          </cell>
          <cell r="R642" t="e">
            <v>#VALUE!</v>
          </cell>
          <cell r="S642" t="e">
            <v>#VALUE!</v>
          </cell>
          <cell r="T642" t="e">
            <v>#VALUE!</v>
          </cell>
        </row>
        <row r="643">
          <cell r="B643" t="str">
            <v>FY(4)</v>
          </cell>
          <cell r="C643">
            <v>-1.6104116425834508E-2</v>
          </cell>
          <cell r="D643">
            <v>4.8745887198477236E-2</v>
          </cell>
          <cell r="E643">
            <v>4.739393860187921E-2</v>
          </cell>
          <cell r="F643">
            <v>0.10414967075315233</v>
          </cell>
          <cell r="G643">
            <v>-1.6002973229129962E-2</v>
          </cell>
          <cell r="H643">
            <v>0.10460282193254579</v>
          </cell>
          <cell r="I643">
            <v>-6.8538113510742391E-2</v>
          </cell>
          <cell r="J643">
            <v>2.9178159331478239E-2</v>
          </cell>
          <cell r="M643">
            <v>-9.0182475233402185E-2</v>
          </cell>
          <cell r="N643">
            <v>1.6265020523310608E-2</v>
          </cell>
          <cell r="O643">
            <v>2.887320382180783E-2</v>
          </cell>
          <cell r="P643">
            <v>0.1972933721489773</v>
          </cell>
          <cell r="Q643">
            <v>-6.1735720379371806E-2</v>
          </cell>
          <cell r="R643">
            <v>-0.18863787503354715</v>
          </cell>
          <cell r="S643">
            <v>-7.9830878569927516E-2</v>
          </cell>
          <cell r="T643">
            <v>-2.5422193246021844E-2</v>
          </cell>
        </row>
        <row r="644">
          <cell r="B644" t="str">
            <v>Dividend Yield</v>
          </cell>
          <cell r="C644">
            <v>5.9034041611078461E-2</v>
          </cell>
          <cell r="D644">
            <v>8.3652706789857124E-3</v>
          </cell>
          <cell r="E644">
            <v>9.3452357841947817E-2</v>
          </cell>
          <cell r="F644">
            <v>4.2432082369352635E-2</v>
          </cell>
          <cell r="G644">
            <v>-1.3427360645453716</v>
          </cell>
          <cell r="H644">
            <v>9.1562993578642005E-2</v>
          </cell>
          <cell r="I644">
            <v>8.6338496178983357E-2</v>
          </cell>
          <cell r="J644">
            <v>-0.1373644031837688</v>
          </cell>
          <cell r="M644">
            <v>-0.33263440780571307</v>
          </cell>
          <cell r="N644">
            <v>9.1971427555257973E-2</v>
          </cell>
          <cell r="O644">
            <v>-2.0295775839924285E-2</v>
          </cell>
          <cell r="P644">
            <v>0.10408122365430753</v>
          </cell>
          <cell r="Q644">
            <v>4.4730578743809077E-2</v>
          </cell>
          <cell r="R644">
            <v>-5.6553828673749022E-2</v>
          </cell>
          <cell r="S644">
            <v>-6.5005339046984675E-2</v>
          </cell>
          <cell r="T644">
            <v>-3.3386588773285208E-2</v>
          </cell>
        </row>
        <row r="645">
          <cell r="B645" t="str">
            <v>FY0</v>
          </cell>
          <cell r="C645" t="str">
            <v/>
          </cell>
          <cell r="D645" t="str">
            <v/>
          </cell>
          <cell r="E645" t="str">
            <v/>
          </cell>
          <cell r="F645" t="str">
            <v/>
          </cell>
          <cell r="G645" t="str">
            <v/>
          </cell>
          <cell r="H645" t="str">
            <v/>
          </cell>
          <cell r="I645" t="str">
            <v/>
          </cell>
          <cell r="J645" t="e">
            <v>#NUM!</v>
          </cell>
          <cell r="M645" t="str">
            <v/>
          </cell>
          <cell r="N645" t="str">
            <v/>
          </cell>
          <cell r="O645" t="str">
            <v/>
          </cell>
          <cell r="P645" t="str">
            <v/>
          </cell>
          <cell r="Q645" t="str">
            <v/>
          </cell>
          <cell r="R645" t="str">
            <v/>
          </cell>
          <cell r="S645" t="str">
            <v/>
          </cell>
          <cell r="T645" t="e">
            <v>#NUM!</v>
          </cell>
        </row>
        <row r="646">
          <cell r="B646" t="str">
            <v>FY1</v>
          </cell>
          <cell r="C646" t="str">
            <v/>
          </cell>
          <cell r="D646" t="str">
            <v/>
          </cell>
          <cell r="E646" t="str">
            <v/>
          </cell>
          <cell r="F646" t="str">
            <v/>
          </cell>
          <cell r="G646" t="str">
            <v/>
          </cell>
          <cell r="H646" t="str">
            <v/>
          </cell>
          <cell r="I646" t="str">
            <v/>
          </cell>
          <cell r="J646" t="e">
            <v>#NUM!</v>
          </cell>
          <cell r="M646" t="str">
            <v/>
          </cell>
          <cell r="N646" t="str">
            <v/>
          </cell>
          <cell r="O646" t="str">
            <v/>
          </cell>
          <cell r="P646" t="str">
            <v/>
          </cell>
          <cell r="Q646" t="str">
            <v/>
          </cell>
          <cell r="R646" t="str">
            <v/>
          </cell>
          <cell r="S646" t="str">
            <v/>
          </cell>
          <cell r="T646" t="e">
            <v>#NUM!</v>
          </cell>
        </row>
        <row r="647">
          <cell r="B647" t="str">
            <v>FY2</v>
          </cell>
          <cell r="C647" t="str">
            <v/>
          </cell>
          <cell r="D647" t="str">
            <v/>
          </cell>
          <cell r="E647" t="str">
            <v/>
          </cell>
          <cell r="F647" t="str">
            <v/>
          </cell>
          <cell r="G647" t="str">
            <v/>
          </cell>
          <cell r="H647" t="str">
            <v/>
          </cell>
          <cell r="I647" t="str">
            <v/>
          </cell>
          <cell r="J647" t="e">
            <v>#NUM!</v>
          </cell>
          <cell r="M647" t="str">
            <v/>
          </cell>
          <cell r="N647" t="str">
            <v/>
          </cell>
          <cell r="O647" t="str">
            <v/>
          </cell>
          <cell r="P647" t="str">
            <v/>
          </cell>
          <cell r="Q647" t="str">
            <v/>
          </cell>
          <cell r="R647" t="str">
            <v/>
          </cell>
          <cell r="S647" t="str">
            <v/>
          </cell>
          <cell r="T647" t="e">
            <v>#NUM!</v>
          </cell>
        </row>
        <row r="648">
          <cell r="B648" t="str">
            <v>FY1</v>
          </cell>
          <cell r="C648">
            <v>3.2045591556247421E-2</v>
          </cell>
          <cell r="D648">
            <v>5.1981526084222462E-2</v>
          </cell>
          <cell r="E648">
            <v>-4.4125390416967503E-2</v>
          </cell>
          <cell r="F648">
            <v>5.4178625789718916E-2</v>
          </cell>
          <cell r="G648">
            <v>5.2904749737220258E-2</v>
          </cell>
          <cell r="H648">
            <v>0.12167763905476112</v>
          </cell>
          <cell r="I648">
            <v>7.3259545141423105E-2</v>
          </cell>
          <cell r="J648">
            <v>4.8846040992375106E-2</v>
          </cell>
          <cell r="M648">
            <v>2.1177557729705754E-3</v>
          </cell>
          <cell r="N648">
            <v>0.14143994216824063</v>
          </cell>
          <cell r="O648">
            <v>-8.2462858476940015E-2</v>
          </cell>
          <cell r="P648">
            <v>6.3903958320594201E-2</v>
          </cell>
          <cell r="Q648">
            <v>-2.9552812927526595E-2</v>
          </cell>
          <cell r="R648">
            <v>8.4541000412301337E-2</v>
          </cell>
          <cell r="S648">
            <v>5.9908180705699046E-2</v>
          </cell>
          <cell r="T648">
            <v>3.4270737996477021E-2</v>
          </cell>
        </row>
        <row r="649">
          <cell r="B649" t="str">
            <v>P/Sales</v>
          </cell>
          <cell r="C649">
            <v>4.2170800013056932E-2</v>
          </cell>
          <cell r="D649">
            <v>-1.6635074979436306E-3</v>
          </cell>
          <cell r="E649">
            <v>1.6487959627819578E-2</v>
          </cell>
          <cell r="F649">
            <v>-3.0681145432907946E-3</v>
          </cell>
          <cell r="G649">
            <v>2.6563156961221496E-2</v>
          </cell>
          <cell r="H649">
            <v>2.2062146466399906E-2</v>
          </cell>
          <cell r="I649">
            <v>1.2012885143948698E-2</v>
          </cell>
          <cell r="J649">
            <v>1.6366475167316027E-2</v>
          </cell>
          <cell r="M649">
            <v>-4.4652141651022992E-2</v>
          </cell>
          <cell r="N649">
            <v>4.2435364098531644E-3</v>
          </cell>
          <cell r="O649">
            <v>4.1064536814966461E-2</v>
          </cell>
          <cell r="P649">
            <v>2.7104414595691538E-2</v>
          </cell>
          <cell r="Q649">
            <v>-9.9569220345095619E-3</v>
          </cell>
          <cell r="R649">
            <v>2.2843379017423959E-2</v>
          </cell>
          <cell r="S649">
            <v>0.13265176300151366</v>
          </cell>
          <cell r="T649">
            <v>2.4756938021988032E-2</v>
          </cell>
        </row>
        <row r="650">
          <cell r="B650" t="str">
            <v>FY0</v>
          </cell>
          <cell r="C650" t="e">
            <v>#VALUE!</v>
          </cell>
          <cell r="D650" t="e">
            <v>#VALUE!</v>
          </cell>
          <cell r="E650" t="e">
            <v>#VALUE!</v>
          </cell>
          <cell r="F650" t="e">
            <v>#VALUE!</v>
          </cell>
          <cell r="G650" t="e">
            <v>#VALUE!</v>
          </cell>
          <cell r="H650" t="e">
            <v>#VALUE!</v>
          </cell>
          <cell r="I650" t="e">
            <v>#VALUE!</v>
          </cell>
          <cell r="J650" t="e">
            <v>#VALUE!</v>
          </cell>
          <cell r="M650" t="e">
            <v>#VALUE!</v>
          </cell>
          <cell r="N650" t="e">
            <v>#VALUE!</v>
          </cell>
          <cell r="O650" t="e">
            <v>#VALUE!</v>
          </cell>
          <cell r="P650" t="e">
            <v>#VALUE!</v>
          </cell>
          <cell r="Q650" t="e">
            <v>#VALUE!</v>
          </cell>
          <cell r="R650" t="e">
            <v>#VALUE!</v>
          </cell>
          <cell r="S650" t="e">
            <v>#VALUE!</v>
          </cell>
          <cell r="T650" t="e">
            <v>#VALUE!</v>
          </cell>
        </row>
        <row r="651">
          <cell r="B651" t="str">
            <v>FY1</v>
          </cell>
          <cell r="C651" t="e">
            <v>#VALUE!</v>
          </cell>
          <cell r="D651" t="e">
            <v>#VALUE!</v>
          </cell>
          <cell r="E651" t="e">
            <v>#VALUE!</v>
          </cell>
          <cell r="F651" t="e">
            <v>#VALUE!</v>
          </cell>
          <cell r="G651" t="e">
            <v>#VALUE!</v>
          </cell>
          <cell r="H651" t="e">
            <v>#VALUE!</v>
          </cell>
          <cell r="I651" t="e">
            <v>#VALUE!</v>
          </cell>
          <cell r="J651" t="e">
            <v>#VALUE!</v>
          </cell>
          <cell r="M651" t="e">
            <v>#VALUE!</v>
          </cell>
          <cell r="N651" t="e">
            <v>#VALUE!</v>
          </cell>
          <cell r="O651" t="e">
            <v>#VALUE!</v>
          </cell>
          <cell r="P651" t="e">
            <v>#VALUE!</v>
          </cell>
          <cell r="Q651" t="e">
            <v>#VALUE!</v>
          </cell>
          <cell r="R651" t="e">
            <v>#VALUE!</v>
          </cell>
          <cell r="S651" t="e">
            <v>#VALUE!</v>
          </cell>
          <cell r="T651" t="e">
            <v>#VALUE!</v>
          </cell>
        </row>
        <row r="652">
          <cell r="B652" t="str">
            <v>FY2</v>
          </cell>
          <cell r="C652" t="e">
            <v>#VALUE!</v>
          </cell>
          <cell r="D652" t="e">
            <v>#VALUE!</v>
          </cell>
          <cell r="E652" t="e">
            <v>#VALUE!</v>
          </cell>
          <cell r="F652" t="e">
            <v>#VALUE!</v>
          </cell>
          <cell r="G652" t="e">
            <v>#VALUE!</v>
          </cell>
          <cell r="H652" t="e">
            <v>#VALUE!</v>
          </cell>
          <cell r="I652" t="e">
            <v>#VALUE!</v>
          </cell>
          <cell r="J652" t="e">
            <v>#VALUE!</v>
          </cell>
          <cell r="K652">
            <v>56.223660362650925</v>
          </cell>
          <cell r="M652" t="e">
            <v>#VALUE!</v>
          </cell>
          <cell r="N652" t="e">
            <v>#VALUE!</v>
          </cell>
          <cell r="O652" t="e">
            <v>#VALUE!</v>
          </cell>
          <cell r="P652" t="e">
            <v>#VALUE!</v>
          </cell>
          <cell r="Q652" t="e">
            <v>#VALUE!</v>
          </cell>
          <cell r="R652" t="e">
            <v>#VALUE!</v>
          </cell>
          <cell r="S652" t="e">
            <v>#VALUE!</v>
          </cell>
          <cell r="T652" t="e">
            <v>#VALUE!</v>
          </cell>
          <cell r="U652">
            <v>153.15566538025266</v>
          </cell>
        </row>
        <row r="653">
          <cell r="B653" t="str">
            <v>FY(1)</v>
          </cell>
          <cell r="C653">
            <v>52.896736253201503</v>
          </cell>
          <cell r="D653">
            <v>54.68105065666041</v>
          </cell>
          <cell r="E653">
            <v>55.200986054555663</v>
          </cell>
          <cell r="F653">
            <v>116.0395357985838</v>
          </cell>
          <cell r="G653">
            <v>107.16633806833863</v>
          </cell>
          <cell r="H653">
            <v>44.355497630331755</v>
          </cell>
          <cell r="I653">
            <v>39.693848600778857</v>
          </cell>
          <cell r="K653">
            <v>55.197959773596573</v>
          </cell>
          <cell r="M653">
            <v>242.96088319476624</v>
          </cell>
          <cell r="N653">
            <v>117.81253428199783</v>
          </cell>
          <cell r="O653">
            <v>125.25192944504418</v>
          </cell>
          <cell r="P653">
            <v>837.50417641254148</v>
          </cell>
          <cell r="Q653">
            <v>109.72222222222223</v>
          </cell>
          <cell r="R653">
            <v>252.39239646978953</v>
          </cell>
          <cell r="S653">
            <v>121.88537141352623</v>
          </cell>
          <cell r="U653">
            <v>161.87029690248212</v>
          </cell>
        </row>
        <row r="654">
          <cell r="B654" t="str">
            <v>Current Price/Book Value</v>
          </cell>
          <cell r="C654">
            <v>52.485891828461703</v>
          </cell>
          <cell r="D654">
            <v>53.160526907542184</v>
          </cell>
          <cell r="E654">
            <v>54.889643132953907</v>
          </cell>
          <cell r="F654">
            <v>112.69838123554675</v>
          </cell>
          <cell r="G654">
            <v>101.53403110118391</v>
          </cell>
          <cell r="H654">
            <v>46.163326249732442</v>
          </cell>
          <cell r="I654">
            <v>39.743768451555518</v>
          </cell>
          <cell r="K654">
            <v>54.489639577494366</v>
          </cell>
          <cell r="M654">
            <v>236.73855081325479</v>
          </cell>
          <cell r="N654">
            <v>123.57098885896485</v>
          </cell>
          <cell r="O654">
            <v>115.9958326004987</v>
          </cell>
          <cell r="P654">
            <v>782.12610361811073</v>
          </cell>
          <cell r="Q654">
            <v>98.708860759493675</v>
          </cell>
          <cell r="R654">
            <v>210.0189020305919</v>
          </cell>
          <cell r="S654">
            <v>123.20304255242671</v>
          </cell>
          <cell r="U654">
            <v>150.00822074468337</v>
          </cell>
        </row>
        <row r="655">
          <cell r="B655" t="str">
            <v>FY0</v>
          </cell>
          <cell r="C655" t="e">
            <v>#VALUE!</v>
          </cell>
          <cell r="D655" t="e">
            <v>#VALUE!</v>
          </cell>
          <cell r="E655" t="e">
            <v>#VALUE!</v>
          </cell>
          <cell r="F655" t="e">
            <v>#VALUE!</v>
          </cell>
          <cell r="G655" t="e">
            <v>#VALUE!</v>
          </cell>
          <cell r="H655" t="e">
            <v>#VALUE!</v>
          </cell>
          <cell r="I655" t="e">
            <v>#VALUE!</v>
          </cell>
          <cell r="J655" t="e">
            <v>#VALUE!</v>
          </cell>
          <cell r="K655">
            <v>54.172660862097118</v>
          </cell>
          <cell r="M655" t="e">
            <v>#VALUE!</v>
          </cell>
          <cell r="N655" t="e">
            <v>#VALUE!</v>
          </cell>
          <cell r="O655" t="e">
            <v>#VALUE!</v>
          </cell>
          <cell r="P655" t="e">
            <v>#VALUE!</v>
          </cell>
          <cell r="Q655" t="e">
            <v>#VALUE!</v>
          </cell>
          <cell r="R655" t="e">
            <v>#VALUE!</v>
          </cell>
          <cell r="S655" t="e">
            <v>#VALUE!</v>
          </cell>
          <cell r="T655" t="e">
            <v>#VALUE!</v>
          </cell>
          <cell r="U655">
            <v>149.72934531906631</v>
          </cell>
        </row>
        <row r="656">
          <cell r="B656" t="str">
            <v>FY1</v>
          </cell>
          <cell r="C656" t="e">
            <v>#VALUE!</v>
          </cell>
          <cell r="D656" t="e">
            <v>#VALUE!</v>
          </cell>
          <cell r="E656" t="e">
            <v>#VALUE!</v>
          </cell>
          <cell r="F656" t="e">
            <v>#VALUE!</v>
          </cell>
          <cell r="G656" t="e">
            <v>#VALUE!</v>
          </cell>
          <cell r="H656" t="e">
            <v>#VALUE!</v>
          </cell>
          <cell r="I656" t="e">
            <v>#VALUE!</v>
          </cell>
          <cell r="J656" t="e">
            <v>#VALUE!</v>
          </cell>
          <cell r="K656">
            <v>53.715653746568783</v>
          </cell>
          <cell r="M656" t="e">
            <v>#VALUE!</v>
          </cell>
          <cell r="N656" t="e">
            <v>#VALUE!</v>
          </cell>
          <cell r="O656" t="e">
            <v>#VALUE!</v>
          </cell>
          <cell r="P656" t="e">
            <v>#VALUE!</v>
          </cell>
          <cell r="Q656" t="e">
            <v>#VALUE!</v>
          </cell>
          <cell r="R656" t="e">
            <v>#VALUE!</v>
          </cell>
          <cell r="S656" t="e">
            <v>#VALUE!</v>
          </cell>
          <cell r="T656" t="e">
            <v>#VALUE!</v>
          </cell>
          <cell r="U656">
            <v>154.80379580954013</v>
          </cell>
        </row>
        <row r="657">
          <cell r="B657" t="str">
            <v>FY2</v>
          </cell>
          <cell r="C657" t="e">
            <v>#VALUE!</v>
          </cell>
          <cell r="D657" t="e">
            <v>#VALUE!</v>
          </cell>
          <cell r="E657" t="e">
            <v>#VALUE!</v>
          </cell>
          <cell r="F657" t="e">
            <v>#VALUE!</v>
          </cell>
          <cell r="G657" t="e">
            <v>#VALUE!</v>
          </cell>
          <cell r="H657" t="e">
            <v>#VALUE!</v>
          </cell>
          <cell r="I657" t="e">
            <v>#VALUE!</v>
          </cell>
          <cell r="J657" t="e">
            <v>#VALUE!</v>
          </cell>
          <cell r="M657" t="e">
            <v>#VALUE!</v>
          </cell>
          <cell r="N657" t="e">
            <v>#VALUE!</v>
          </cell>
          <cell r="O657" t="e">
            <v>#VALUE!</v>
          </cell>
          <cell r="P657" t="e">
            <v>#VALUE!</v>
          </cell>
          <cell r="Q657" t="e">
            <v>#VALUE!</v>
          </cell>
          <cell r="R657" t="e">
            <v>#VALUE!</v>
          </cell>
          <cell r="S657" t="e">
            <v>#VALUE!</v>
          </cell>
          <cell r="T657" t="e">
            <v>#VALUE!</v>
          </cell>
        </row>
        <row r="658">
          <cell r="B658" t="str">
            <v>FQ(2)</v>
          </cell>
          <cell r="C658">
            <v>12.814700234691701</v>
          </cell>
          <cell r="D658">
            <v>13.498469709167473</v>
          </cell>
          <cell r="E658">
            <v>12.693797820768248</v>
          </cell>
          <cell r="F658">
            <v>25.437727122563594</v>
          </cell>
          <cell r="G658">
            <v>20.671901141774427</v>
          </cell>
          <cell r="H658">
            <v>12.090222222222222</v>
          </cell>
          <cell r="I658">
            <v>9.2958492215560344</v>
          </cell>
          <cell r="M658">
            <v>53.777736225380202</v>
          </cell>
          <cell r="N658">
            <v>28.662728710283766</v>
          </cell>
          <cell r="O658">
            <v>25.077087883426593</v>
          </cell>
          <cell r="P658">
            <v>203.27393151549455</v>
          </cell>
          <cell r="Q658">
            <v>22.430379746835442</v>
          </cell>
          <cell r="R658">
            <v>44.332051787893519</v>
          </cell>
          <cell r="S658">
            <v>28.918464242741916</v>
          </cell>
        </row>
        <row r="659">
          <cell r="B659" t="str">
            <v>FQ(1)</v>
          </cell>
          <cell r="C659">
            <v>12.881374013228077</v>
          </cell>
          <cell r="D659">
            <v>13.370261720070904</v>
          </cell>
          <cell r="E659">
            <v>12.077279010454861</v>
          </cell>
          <cell r="F659">
            <v>28.694133748643164</v>
          </cell>
          <cell r="G659">
            <v>20.606334745343176</v>
          </cell>
          <cell r="H659">
            <v>12.718133333333334</v>
          </cell>
          <cell r="I659">
            <v>10.001760474286144</v>
          </cell>
          <cell r="M659">
            <v>53.785838942907006</v>
          </cell>
          <cell r="N659">
            <v>30.652612453091901</v>
          </cell>
          <cell r="O659">
            <v>26.417602443171933</v>
          </cell>
          <cell r="P659">
            <v>193.01066015097985</v>
          </cell>
          <cell r="Q659">
            <v>23.11392405063291</v>
          </cell>
          <cell r="R659">
            <v>47.655689419450738</v>
          </cell>
          <cell r="S659">
            <v>32.33000092580037</v>
          </cell>
        </row>
        <row r="660">
          <cell r="B660" t="str">
            <v>mstag:propertyPlantAndEquipmentNet</v>
          </cell>
          <cell r="C660">
            <v>13.694794111371881</v>
          </cell>
          <cell r="D660">
            <v>14.524133621940035</v>
          </cell>
          <cell r="E660">
            <v>13.193502540706465</v>
          </cell>
          <cell r="F660">
            <v>27.41988767756855</v>
          </cell>
          <cell r="G660">
            <v>21.618557551100253</v>
          </cell>
          <cell r="H660">
            <v>12.733822222222223</v>
          </cell>
          <cell r="I660">
            <v>10.927744956920218</v>
          </cell>
          <cell r="M660">
            <v>55.858015457491895</v>
          </cell>
          <cell r="N660">
            <v>35.692474062401246</v>
          </cell>
          <cell r="O660">
            <v>30.54107137185223</v>
          </cell>
          <cell r="P660">
            <v>782.12610361811073</v>
          </cell>
          <cell r="Q660">
            <v>25.924050632911392</v>
          </cell>
          <cell r="R660">
            <v>46.233173981263128</v>
          </cell>
          <cell r="S660">
            <v>34.019254632710343</v>
          </cell>
        </row>
        <row r="661">
          <cell r="B661" t="str">
            <v>Assets</v>
          </cell>
        </row>
        <row r="662">
          <cell r="B662" t="str">
            <v>FY(5)</v>
          </cell>
        </row>
        <row r="663">
          <cell r="B663" t="str">
            <v>FY(4)</v>
          </cell>
        </row>
        <row r="664">
          <cell r="B664" t="str">
            <v>FY(3)</v>
          </cell>
        </row>
        <row r="665">
          <cell r="B665" t="str">
            <v>FY(2)</v>
          </cell>
        </row>
        <row r="666">
          <cell r="B666" t="str">
            <v>FY(1)</v>
          </cell>
        </row>
        <row r="667">
          <cell r="B667" t="str">
            <v>FY0</v>
          </cell>
        </row>
        <row r="668">
          <cell r="B668" t="str">
            <v>FY1</v>
          </cell>
        </row>
        <row r="669">
          <cell r="B669" t="str">
            <v>FY2</v>
          </cell>
        </row>
        <row r="671">
          <cell r="A671" t="str">
            <v>mstag:inventories</v>
          </cell>
        </row>
        <row r="672">
          <cell r="B672" t="str">
            <v>Inventory</v>
          </cell>
        </row>
        <row r="673">
          <cell r="B673" t="str">
            <v>FY(5)</v>
          </cell>
          <cell r="C673">
            <v>1946.9770000000001</v>
          </cell>
          <cell r="D673">
            <v>3142</v>
          </cell>
          <cell r="E673">
            <v>3120</v>
          </cell>
          <cell r="F673">
            <v>917.18200000000002</v>
          </cell>
          <cell r="G673">
            <v>1516.271</v>
          </cell>
          <cell r="H673">
            <v>853.11199999999997</v>
          </cell>
          <cell r="I673">
            <v>2352.0320000000002</v>
          </cell>
          <cell r="M673">
            <v>211.19800000000001</v>
          </cell>
          <cell r="N673">
            <v>81.238</v>
          </cell>
          <cell r="O673">
            <v>170.57599999999999</v>
          </cell>
          <cell r="P673">
            <v>161.91300000000001</v>
          </cell>
          <cell r="Q673">
            <v>1814</v>
          </cell>
          <cell r="R673">
            <v>1142</v>
          </cell>
          <cell r="S673">
            <v>98.995999999999995</v>
          </cell>
        </row>
        <row r="674">
          <cell r="B674" t="str">
            <v>FY(4)</v>
          </cell>
          <cell r="C674">
            <v>2237.5680000000002</v>
          </cell>
          <cell r="D674">
            <v>3210</v>
          </cell>
          <cell r="E674">
            <v>5459</v>
          </cell>
          <cell r="F674">
            <v>955.97799999999995</v>
          </cell>
          <cell r="G674">
            <v>807.21100000000001</v>
          </cell>
          <cell r="H674">
            <v>938.09100000000001</v>
          </cell>
          <cell r="I674">
            <v>2365.8609999999999</v>
          </cell>
          <cell r="M674">
            <v>362.536</v>
          </cell>
          <cell r="N674">
            <v>91.908000000000001</v>
          </cell>
          <cell r="O674">
            <v>210.739</v>
          </cell>
          <cell r="P674">
            <v>184.41900000000001</v>
          </cell>
          <cell r="Q674">
            <v>1696</v>
          </cell>
          <cell r="R674">
            <v>1159.69</v>
          </cell>
          <cell r="S674">
            <v>140.37700000000001</v>
          </cell>
        </row>
        <row r="675">
          <cell r="B675" t="str">
            <v>FY(3)</v>
          </cell>
          <cell r="C675">
            <v>2578.3780000000002</v>
          </cell>
          <cell r="D675">
            <v>3400</v>
          </cell>
          <cell r="E675">
            <v>5317</v>
          </cell>
          <cell r="F675">
            <v>997.28899999999999</v>
          </cell>
          <cell r="G675">
            <v>785.30200000000002</v>
          </cell>
          <cell r="H675">
            <v>1051.729</v>
          </cell>
          <cell r="I675">
            <v>2581.9690000000001</v>
          </cell>
          <cell r="M675">
            <v>427.447</v>
          </cell>
          <cell r="N675">
            <v>101.476</v>
          </cell>
          <cell r="O675">
            <v>263.64400000000001</v>
          </cell>
          <cell r="P675">
            <v>233.494</v>
          </cell>
          <cell r="Q675">
            <v>1796</v>
          </cell>
          <cell r="R675">
            <v>1770</v>
          </cell>
          <cell r="S675">
            <v>154.387</v>
          </cell>
        </row>
        <row r="676">
          <cell r="B676" t="str">
            <v>FY(2)</v>
          </cell>
          <cell r="C676">
            <v>2855.7330000000002</v>
          </cell>
          <cell r="D676">
            <v>3641</v>
          </cell>
          <cell r="E676">
            <v>5060</v>
          </cell>
          <cell r="F676">
            <v>956</v>
          </cell>
          <cell r="G676">
            <v>857.173</v>
          </cell>
          <cell r="H676">
            <v>1025.2950000000001</v>
          </cell>
          <cell r="I676">
            <v>2737.3780000000002</v>
          </cell>
          <cell r="M676">
            <v>333.15300000000002</v>
          </cell>
          <cell r="N676">
            <v>136.488</v>
          </cell>
          <cell r="O676">
            <v>286.48500000000001</v>
          </cell>
          <cell r="P676">
            <v>291.19200000000001</v>
          </cell>
          <cell r="Q676">
            <v>1575</v>
          </cell>
          <cell r="R676">
            <v>1250.625</v>
          </cell>
          <cell r="S676">
            <v>171.92500000000001</v>
          </cell>
        </row>
        <row r="677">
          <cell r="B677" t="str">
            <v>FY(1)</v>
          </cell>
          <cell r="C677">
            <v>2799</v>
          </cell>
          <cell r="D677">
            <v>3259</v>
          </cell>
          <cell r="E677">
            <v>4769</v>
          </cell>
          <cell r="F677">
            <v>900</v>
          </cell>
          <cell r="G677">
            <v>728.84100000000001</v>
          </cell>
          <cell r="H677">
            <v>881.05799999999999</v>
          </cell>
          <cell r="I677">
            <v>2619.3359999999998</v>
          </cell>
          <cell r="M677">
            <v>372.42200000000003</v>
          </cell>
          <cell r="N677">
            <v>126.36</v>
          </cell>
          <cell r="O677">
            <v>294.928</v>
          </cell>
          <cell r="P677">
            <v>318.49</v>
          </cell>
          <cell r="Q677">
            <v>1506</v>
          </cell>
          <cell r="R677">
            <v>1181.865</v>
          </cell>
          <cell r="S677">
            <v>169.69800000000001</v>
          </cell>
        </row>
        <row r="678">
          <cell r="B678" t="str">
            <v>FY0</v>
          </cell>
          <cell r="C678">
            <v>2923</v>
          </cell>
          <cell r="D678">
            <v>3024</v>
          </cell>
          <cell r="E678">
            <v>4615</v>
          </cell>
          <cell r="F678">
            <v>898</v>
          </cell>
          <cell r="G678">
            <v>649.19600000000003</v>
          </cell>
          <cell r="H678">
            <v>872.49800000000005</v>
          </cell>
          <cell r="I678">
            <v>2532.3000000000002</v>
          </cell>
          <cell r="M678">
            <v>310.64499999999998</v>
          </cell>
          <cell r="N678">
            <v>132.91499999999999</v>
          </cell>
          <cell r="O678">
            <v>326.45400000000001</v>
          </cell>
          <cell r="P678">
            <v>326.14800000000002</v>
          </cell>
          <cell r="Q678">
            <v>1477</v>
          </cell>
          <cell r="R678">
            <v>1036.5530000000001</v>
          </cell>
          <cell r="S678">
            <v>186.13</v>
          </cell>
        </row>
        <row r="679">
          <cell r="B679" t="str">
            <v>FY1</v>
          </cell>
          <cell r="C679">
            <v>3123.9971107842498</v>
          </cell>
          <cell r="D679">
            <v>3252.61217088179</v>
          </cell>
          <cell r="E679">
            <v>4721.2360639694298</v>
          </cell>
          <cell r="F679">
            <v>914.11790804880604</v>
          </cell>
          <cell r="G679">
            <v>669.12691891221596</v>
          </cell>
          <cell r="H679">
            <v>834.78757252013304</v>
          </cell>
          <cell r="I679">
            <v>2625.2613280778201</v>
          </cell>
          <cell r="M679">
            <v>258.51078977779201</v>
          </cell>
          <cell r="N679">
            <v>145.12914927307301</v>
          </cell>
          <cell r="O679">
            <v>328.46417729998097</v>
          </cell>
          <cell r="P679">
            <v>343.01583673532502</v>
          </cell>
          <cell r="Q679">
            <v>1540.78859277573</v>
          </cell>
          <cell r="R679">
            <v>1056.0597821485901</v>
          </cell>
          <cell r="S679">
            <v>206.454753751087</v>
          </cell>
        </row>
        <row r="680">
          <cell r="B680" t="str">
            <v>FY2</v>
          </cell>
          <cell r="C680">
            <v>3334.1784300244799</v>
          </cell>
          <cell r="D680">
            <v>3343.2669776559701</v>
          </cell>
          <cell r="E680">
            <v>4712.7406133039703</v>
          </cell>
          <cell r="F680">
            <v>971.95523796844395</v>
          </cell>
          <cell r="G680">
            <v>697.66154527773404</v>
          </cell>
          <cell r="H680">
            <v>872.19591833105596</v>
          </cell>
          <cell r="I680">
            <v>2780.3311198893398</v>
          </cell>
          <cell r="M680">
            <v>269.88188642931402</v>
          </cell>
          <cell r="N680">
            <v>164.92922352314</v>
          </cell>
          <cell r="O680">
            <v>353.36622884730599</v>
          </cell>
          <cell r="P680">
            <v>366.82580611037599</v>
          </cell>
          <cell r="Q680">
            <v>1462.23084953795</v>
          </cell>
          <cell r="R680">
            <v>1070.8595931551099</v>
          </cell>
          <cell r="S680">
            <v>230.21031860692699</v>
          </cell>
        </row>
        <row r="681">
          <cell r="B681" t="str">
            <v>FQ(3)</v>
          </cell>
          <cell r="C681">
            <v>2804</v>
          </cell>
          <cell r="D681">
            <v>3237</v>
          </cell>
          <cell r="E681">
            <v>5026</v>
          </cell>
          <cell r="F681">
            <v>1004</v>
          </cell>
          <cell r="G681">
            <v>779.47400000000005</v>
          </cell>
          <cell r="H681">
            <v>917.66099999999994</v>
          </cell>
          <cell r="I681">
            <v>2817.7</v>
          </cell>
          <cell r="M681">
            <v>274.74200000000002</v>
          </cell>
          <cell r="N681">
            <v>128.929</v>
          </cell>
          <cell r="O681">
            <v>279.233</v>
          </cell>
          <cell r="P681">
            <v>357.67</v>
          </cell>
          <cell r="Q681">
            <v>1393</v>
          </cell>
          <cell r="R681">
            <v>1213.425</v>
          </cell>
          <cell r="S681">
            <v>189.881</v>
          </cell>
        </row>
        <row r="682">
          <cell r="B682" t="str">
            <v>FQ(2)</v>
          </cell>
          <cell r="C682">
            <v>2724</v>
          </cell>
          <cell r="D682">
            <v>3258</v>
          </cell>
          <cell r="E682">
            <v>4634</v>
          </cell>
          <cell r="F682">
            <v>929</v>
          </cell>
          <cell r="G682">
            <v>670.26300000000003</v>
          </cell>
          <cell r="H682">
            <v>926.24400000000003</v>
          </cell>
          <cell r="I682">
            <v>3100.1750000000002</v>
          </cell>
          <cell r="M682">
            <v>325.596</v>
          </cell>
          <cell r="N682">
            <v>200.99299999999999</v>
          </cell>
          <cell r="O682">
            <v>352.81900000000002</v>
          </cell>
          <cell r="P682">
            <v>326.14800000000002</v>
          </cell>
          <cell r="Q682">
            <v>1473</v>
          </cell>
          <cell r="R682">
            <v>1091</v>
          </cell>
          <cell r="S682">
            <v>217.05</v>
          </cell>
        </row>
        <row r="683">
          <cell r="B683" t="str">
            <v>FQ(1)</v>
          </cell>
          <cell r="C683">
            <v>3807</v>
          </cell>
          <cell r="D683">
            <v>4018</v>
          </cell>
          <cell r="E683">
            <v>6406</v>
          </cell>
          <cell r="F683">
            <v>1193</v>
          </cell>
          <cell r="G683">
            <v>799.11</v>
          </cell>
          <cell r="H683">
            <v>1014.638</v>
          </cell>
          <cell r="I683">
            <v>3267.6669999999999</v>
          </cell>
          <cell r="M683">
            <v>347.18</v>
          </cell>
          <cell r="N683">
            <v>221.51599999999999</v>
          </cell>
          <cell r="O683">
            <v>425.41500000000002</v>
          </cell>
          <cell r="P683">
            <v>337.54500000000002</v>
          </cell>
          <cell r="Q683">
            <v>1999</v>
          </cell>
          <cell r="R683">
            <v>1426.4559999999999</v>
          </cell>
          <cell r="S683">
            <v>234.52099999999999</v>
          </cell>
        </row>
        <row r="684">
          <cell r="B684" t="str">
            <v>Last Reported Q</v>
          </cell>
          <cell r="C684">
            <v>2923</v>
          </cell>
          <cell r="D684">
            <v>3024</v>
          </cell>
          <cell r="E684">
            <v>4615</v>
          </cell>
          <cell r="F684">
            <v>898</v>
          </cell>
          <cell r="G684">
            <v>649.19600000000003</v>
          </cell>
          <cell r="H684">
            <v>872.49800000000005</v>
          </cell>
          <cell r="I684">
            <v>2532.3000000000002</v>
          </cell>
          <cell r="M684">
            <v>310.64499999999998</v>
          </cell>
          <cell r="N684">
            <v>132.91499999999999</v>
          </cell>
          <cell r="O684">
            <v>326.45400000000001</v>
          </cell>
          <cell r="P684">
            <v>269.2</v>
          </cell>
          <cell r="Q684">
            <v>1477</v>
          </cell>
          <cell r="R684">
            <v>1036.5530000000001</v>
          </cell>
          <cell r="S684">
            <v>186.13</v>
          </cell>
        </row>
        <row r="686">
          <cell r="B686" t="str">
            <v>Inventory/Store</v>
          </cell>
        </row>
        <row r="687">
          <cell r="B687" t="str">
            <v>FY(5)</v>
          </cell>
          <cell r="C687">
            <v>3.5922084870848709</v>
          </cell>
          <cell r="D687">
            <v>3.1016781836130308E-2</v>
          </cell>
          <cell r="E687">
            <v>1.9948849104859334E-2</v>
          </cell>
          <cell r="F687">
            <v>4.7511305654122094E-2</v>
          </cell>
          <cell r="G687">
            <v>0.20216946666666666</v>
          </cell>
          <cell r="H687">
            <v>5.5930767717825999E-2</v>
          </cell>
          <cell r="I687">
            <v>3.5904500213714365E-2</v>
          </cell>
          <cell r="M687">
            <v>3.7781395348837211E-2</v>
          </cell>
          <cell r="N687">
            <v>4.1062350195056017E-2</v>
          </cell>
          <cell r="O687">
            <v>3.7571019989669815E-2</v>
          </cell>
          <cell r="P687">
            <v>0.20698026111422885</v>
          </cell>
          <cell r="Q687">
            <v>4.9562841530054642E-2</v>
          </cell>
          <cell r="R687">
            <v>0.11075550383086025</v>
          </cell>
          <cell r="S687">
            <v>5.6573701081058525E-2</v>
          </cell>
        </row>
        <row r="688">
          <cell r="B688" t="str">
            <v>FY(4)</v>
          </cell>
          <cell r="C688">
            <v>3.5126656200941917</v>
          </cell>
          <cell r="D688">
            <v>3.1656804733727811E-2</v>
          </cell>
          <cell r="E688">
            <v>3.4904092071611256E-2</v>
          </cell>
          <cell r="F688">
            <v>4.8353759388988643E-2</v>
          </cell>
          <cell r="G688">
            <v>0.10762813333333333</v>
          </cell>
          <cell r="H688">
            <v>5.4165425255499743E-2</v>
          </cell>
          <cell r="I688">
            <v>3.3522649663478565E-2</v>
          </cell>
          <cell r="M688">
            <v>6.0171950207468877E-2</v>
          </cell>
          <cell r="N688">
            <v>3.872296948566975E-2</v>
          </cell>
          <cell r="O688">
            <v>4.4157061087856289E-2</v>
          </cell>
          <cell r="P688">
            <v>0.20381483495351646</v>
          </cell>
          <cell r="Q688">
            <v>4.4867724867724869E-2</v>
          </cell>
          <cell r="R688">
            <v>0.11247114731839783</v>
          </cell>
          <cell r="S688">
            <v>6.6417827118810877E-2</v>
          </cell>
        </row>
        <row r="689">
          <cell r="B689" t="str">
            <v>FY(3)</v>
          </cell>
          <cell r="C689">
            <v>3.5223743169398909</v>
          </cell>
          <cell r="D689">
            <v>3.2977691561590687E-2</v>
          </cell>
          <cell r="E689">
            <v>3.3996163682864448E-2</v>
          </cell>
          <cell r="F689">
            <v>4.9567047713717692E-2</v>
          </cell>
          <cell r="G689">
            <v>0.10470693333333334</v>
          </cell>
          <cell r="H689">
            <v>5.6417176268640706E-2</v>
          </cell>
          <cell r="I689">
            <v>3.4897603633070678E-2</v>
          </cell>
          <cell r="M689">
            <v>6.3864784102793962E-2</v>
          </cell>
          <cell r="N689">
            <v>3.8642802741812643E-2</v>
          </cell>
          <cell r="O689">
            <v>5.0964756870443342E-2</v>
          </cell>
          <cell r="P689">
            <v>0.22479120836803163</v>
          </cell>
          <cell r="Q689">
            <v>4.6051282051282054E-2</v>
          </cell>
          <cell r="R689">
            <v>0.17166133255746291</v>
          </cell>
          <cell r="S689">
            <v>6.1813201112411009E-2</v>
          </cell>
        </row>
        <row r="690">
          <cell r="B690" t="str">
            <v>FY(2)</v>
          </cell>
          <cell r="C690">
            <v>3.495389228886169</v>
          </cell>
          <cell r="D690">
            <v>3.4155722326454037E-2</v>
          </cell>
          <cell r="E690">
            <v>3.2653377301385511E-2</v>
          </cell>
          <cell r="F690">
            <v>4.7010228166797799E-2</v>
          </cell>
          <cell r="G690">
            <v>0.11369850112747049</v>
          </cell>
          <cell r="H690">
            <v>4.8592180094786733E-2</v>
          </cell>
          <cell r="I690">
            <v>3.5820177963883801E-2</v>
          </cell>
          <cell r="M690">
            <v>4.5407250919994549E-2</v>
          </cell>
          <cell r="N690">
            <v>4.6500187039173288E-2</v>
          </cell>
          <cell r="O690">
            <v>5.0173101886327197E-2</v>
          </cell>
          <cell r="P690">
            <v>0.23790759748392731</v>
          </cell>
          <cell r="Q690">
            <v>3.9772727272727272E-2</v>
          </cell>
          <cell r="R690">
            <v>0.12129036950829211</v>
          </cell>
          <cell r="S690">
            <v>5.9560927615761435E-2</v>
          </cell>
        </row>
        <row r="691">
          <cell r="B691" t="str">
            <v>FY(1)</v>
          </cell>
          <cell r="C691">
            <v>3.0129171151776104</v>
          </cell>
          <cell r="D691">
            <v>2.9844988318980185E-2</v>
          </cell>
          <cell r="E691">
            <v>3.0949244277731991E-2</v>
          </cell>
          <cell r="F691">
            <v>4.247486903582047E-2</v>
          </cell>
          <cell r="G691">
            <v>9.6932003937825792E-2</v>
          </cell>
          <cell r="H691">
            <v>3.9158133333333331E-2</v>
          </cell>
          <cell r="I691">
            <v>3.3125257655656222E-2</v>
          </cell>
          <cell r="M691">
            <v>4.7992525773195877E-2</v>
          </cell>
          <cell r="N691">
            <v>3.8470273828218472E-2</v>
          </cell>
          <cell r="O691">
            <v>4.6605596849767082E-2</v>
          </cell>
          <cell r="P691">
            <v>0.21723459014982835</v>
          </cell>
          <cell r="Q691">
            <v>3.8126582278481015E-2</v>
          </cell>
          <cell r="R691">
            <v>0.10844489507537872</v>
          </cell>
          <cell r="S691">
            <v>5.0495503885011242E-2</v>
          </cell>
        </row>
        <row r="692">
          <cell r="B692" t="str">
            <v>FY0</v>
          </cell>
          <cell r="C692">
            <v>2.9113545816733066</v>
          </cell>
          <cell r="D692">
            <v>2.7318021416815018E-2</v>
          </cell>
          <cell r="E692">
            <v>2.9889896373056994E-2</v>
          </cell>
          <cell r="F692">
            <v>4.0224865058567941E-2</v>
          </cell>
          <cell r="G692">
            <v>8.6639688600556014E-2</v>
          </cell>
          <cell r="H692">
            <v>3.6814261603375531E-2</v>
          </cell>
          <cell r="I692">
            <v>3.0962136448200613E-2</v>
          </cell>
          <cell r="M692">
            <v>3.9587740537785139E-2</v>
          </cell>
          <cell r="N692">
            <v>3.8769084837835754E-2</v>
          </cell>
          <cell r="O692">
            <v>5.0977699540230355E-2</v>
          </cell>
          <cell r="P692">
            <v>0.19290833500424975</v>
          </cell>
          <cell r="Q692">
            <v>3.8067010309278351E-2</v>
          </cell>
          <cell r="R692">
            <v>9.4809567364858696E-2</v>
          </cell>
          <cell r="S692">
            <v>4.995653032417971E-2</v>
          </cell>
        </row>
        <row r="693">
          <cell r="B693" t="str">
            <v>FY1</v>
          </cell>
          <cell r="C693">
            <v>2.9527382899662098</v>
          </cell>
          <cell r="D693">
            <v>2.9330300917219145E-2</v>
          </cell>
          <cell r="E693">
            <v>3.0470411154580945E-2</v>
          </cell>
          <cell r="F693">
            <v>3.9293073303284999E-2</v>
          </cell>
          <cell r="G693">
            <v>8.8609781426668283E-2</v>
          </cell>
          <cell r="H693">
            <v>3.3681465125949293E-2</v>
          </cell>
          <cell r="I693">
            <v>3.0667679893737684E-2</v>
          </cell>
          <cell r="M693">
            <v>3.1708217119172578E-2</v>
          </cell>
          <cell r="N693">
            <v>4.0112064796655827E-2</v>
          </cell>
          <cell r="O693">
            <v>5.2295895435949875E-2</v>
          </cell>
          <cell r="P693">
            <v>0.18614099688799227</v>
          </cell>
          <cell r="Q693">
            <v>4.0743780641510838E-2</v>
          </cell>
          <cell r="R693">
            <v>9.7251438577294805E-2</v>
          </cell>
          <cell r="S693">
            <v>4.9148885064112975E-2</v>
          </cell>
        </row>
        <row r="694">
          <cell r="B694" t="str">
            <v>FY2</v>
          </cell>
          <cell r="C694">
            <v>3.0645022334783825</v>
          </cell>
          <cell r="D694">
            <v>3.0012585207337347E-2</v>
          </cell>
          <cell r="E694">
            <v>3.0433400395724029E-2</v>
          </cell>
          <cell r="F694">
            <v>4.0138235427392123E-2</v>
          </cell>
          <cell r="G694">
            <v>8.8748465123669365E-2</v>
          </cell>
          <cell r="H694">
            <v>3.3440798480200512E-2</v>
          </cell>
          <cell r="I694">
            <v>3.1080543928809247E-2</v>
          </cell>
          <cell r="M694">
            <v>3.0938014934536497E-2</v>
          </cell>
          <cell r="N694">
            <v>4.1486904049822193E-2</v>
          </cell>
          <cell r="O694">
            <v>5.2958724188948397E-2</v>
          </cell>
          <cell r="P694">
            <v>0.18836190825466373</v>
          </cell>
          <cell r="Q694">
            <v>4.0043346162256285E-2</v>
          </cell>
          <cell r="R694">
            <v>9.7349787106169941E-2</v>
          </cell>
          <cell r="S694">
            <v>4.9120105458739363E-2</v>
          </cell>
        </row>
        <row r="696">
          <cell r="B696" t="str">
            <v>Inventory/Store Y/Y ∆</v>
          </cell>
        </row>
        <row r="697">
          <cell r="B697" t="str">
            <v>FY(5)</v>
          </cell>
        </row>
        <row r="698">
          <cell r="B698" t="str">
            <v>FY(4)</v>
          </cell>
          <cell r="C698">
            <v>-2.2143165486263161E-2</v>
          </cell>
          <cell r="D698">
            <v>2.0634729321014289E-2</v>
          </cell>
          <cell r="E698">
            <v>0.7496794871794874</v>
          </cell>
          <cell r="F698">
            <v>1.7731647726112465E-2</v>
          </cell>
          <cell r="G698">
            <v>-0.46763408388078387</v>
          </cell>
          <cell r="H698">
            <v>-3.1562993578642007E-2</v>
          </cell>
          <cell r="I698">
            <v>-6.6338496178983353E-2</v>
          </cell>
          <cell r="J698">
            <v>2.8623875014563111E-2</v>
          </cell>
          <cell r="M698">
            <v>0.59263440780571308</v>
          </cell>
          <cell r="N698">
            <v>-5.697142755525797E-2</v>
          </cell>
          <cell r="O698">
            <v>0.17529577583992428</v>
          </cell>
          <cell r="P698">
            <v>-1.5293372148977302E-2</v>
          </cell>
          <cell r="Q698">
            <v>-9.473057874380908E-2</v>
          </cell>
          <cell r="R698">
            <v>1.5490367775831793E-2</v>
          </cell>
          <cell r="S698">
            <v>0.17400533904698468</v>
          </cell>
          <cell r="T698">
            <v>0.11291864457434421</v>
          </cell>
        </row>
        <row r="699">
          <cell r="B699" t="str">
            <v>FY(3)</v>
          </cell>
          <cell r="C699">
            <v>2.7639114836779388E-3</v>
          </cell>
          <cell r="D699">
            <v>4.1725210076416053E-2</v>
          </cell>
          <cell r="E699">
            <v>-2.6012090126396936E-2</v>
          </cell>
          <cell r="F699">
            <v>2.5091913018977063E-2</v>
          </cell>
          <cell r="G699">
            <v>-2.7141602381533403E-2</v>
          </cell>
          <cell r="H699">
            <v>4.1571740691029202E-2</v>
          </cell>
          <cell r="I699">
            <v>4.1015670998407527E-2</v>
          </cell>
          <cell r="J699">
            <v>1.4144964822939634E-2</v>
          </cell>
          <cell r="M699">
            <v>6.1371351312238254E-2</v>
          </cell>
          <cell r="N699">
            <v>-2.0702633326397102E-3</v>
          </cell>
          <cell r="O699">
            <v>0.15417003792535566</v>
          </cell>
          <cell r="P699">
            <v>0.10291877634569246</v>
          </cell>
          <cell r="Q699">
            <v>2.6378809869376019E-2</v>
          </cell>
          <cell r="R699">
            <v>0.52626995145254329</v>
          </cell>
          <cell r="S699">
            <v>-6.9328163930490017E-2</v>
          </cell>
          <cell r="T699">
            <v>0.11424435709172513</v>
          </cell>
        </row>
        <row r="700">
          <cell r="B700" t="str">
            <v>FY(2)</v>
          </cell>
          <cell r="C700">
            <v>-7.661050650961343E-3</v>
          </cell>
          <cell r="D700">
            <v>3.5722050546297401E-2</v>
          </cell>
          <cell r="E700">
            <v>-3.9498173794114355E-2</v>
          </cell>
          <cell r="F700">
            <v>-5.1583050935113395E-2</v>
          </cell>
          <cell r="G700">
            <v>8.5873661923729472E-2</v>
          </cell>
          <cell r="H700">
            <v>-0.13869882704858927</v>
          </cell>
          <cell r="I700">
            <v>2.643660981749596E-2</v>
          </cell>
          <cell r="J700">
            <v>-1.2772682877322219E-2</v>
          </cell>
          <cell r="M700">
            <v>-0.28900956046592086</v>
          </cell>
          <cell r="N700">
            <v>0.2033337061459759</v>
          </cell>
          <cell r="O700">
            <v>-1.5533380962232335E-2</v>
          </cell>
          <cell r="P700">
            <v>5.8349208632845428E-2</v>
          </cell>
          <cell r="Q700">
            <v>-0.13633832759667952</v>
          </cell>
          <cell r="R700">
            <v>-0.29343220338983056</v>
          </cell>
          <cell r="S700">
            <v>-3.6436771694668968E-2</v>
          </cell>
          <cell r="T700">
            <v>-7.2723904190072991E-2</v>
          </cell>
        </row>
        <row r="701">
          <cell r="B701" t="str">
            <v>FY(1)</v>
          </cell>
          <cell r="C701">
            <v>-0.13803101231799064</v>
          </cell>
          <cell r="D701">
            <v>-0.1262082519079134</v>
          </cell>
          <cell r="E701">
            <v>-5.2188568671615254E-2</v>
          </cell>
          <cell r="F701">
            <v>-9.6476007622965487E-2</v>
          </cell>
          <cell r="G701">
            <v>-0.14746454019518973</v>
          </cell>
          <cell r="H701">
            <v>-0.19414742748834901</v>
          </cell>
          <cell r="I701">
            <v>-7.5234699027591945E-2</v>
          </cell>
          <cell r="J701">
            <v>-0.11853578674737364</v>
          </cell>
          <cell r="M701">
            <v>5.6935286783964534E-2</v>
          </cell>
          <cell r="N701">
            <v>-0.17268561101034174</v>
          </cell>
          <cell r="O701">
            <v>-7.1103936221497688E-2</v>
          </cell>
          <cell r="P701">
            <v>-8.689511202136202E-2</v>
          </cell>
          <cell r="Q701">
            <v>-4.1388788426763079E-2</v>
          </cell>
          <cell r="R701">
            <v>-0.10590679610416398</v>
          </cell>
          <cell r="S701">
            <v>-0.15220420657705191</v>
          </cell>
          <cell r="T701">
            <v>-8.1892737653887979E-2</v>
          </cell>
        </row>
        <row r="702">
          <cell r="B702" t="str">
            <v>FY0</v>
          </cell>
          <cell r="C702">
            <v>-3.3709036665058312E-2</v>
          </cell>
          <cell r="D702">
            <v>-8.4669723276725839E-2</v>
          </cell>
          <cell r="E702">
            <v>-3.4228554828952595E-2</v>
          </cell>
          <cell r="F702">
            <v>-5.2972593637782062E-2</v>
          </cell>
          <cell r="G702">
            <v>-0.1061807753801467</v>
          </cell>
          <cell r="H702">
            <v>-5.9856574622840331E-2</v>
          </cell>
          <cell r="I702">
            <v>-6.5301264368769374E-2</v>
          </cell>
          <cell r="J702">
            <v>-6.2416931825753599E-2</v>
          </cell>
          <cell r="M702">
            <v>-0.17512696195924871</v>
          </cell>
          <cell r="N702">
            <v>7.767322139467181E-3</v>
          </cell>
          <cell r="O702">
            <v>9.3810679102699357E-2</v>
          </cell>
          <cell r="P702">
            <v>-0.1119814994877224</v>
          </cell>
          <cell r="Q702">
            <v>-1.5624786079051489E-3</v>
          </cell>
          <cell r="R702">
            <v>-0.12573508140740297</v>
          </cell>
          <cell r="S702">
            <v>-1.0673694078959683E-2</v>
          </cell>
          <cell r="T702">
            <v>-4.6214530614153197E-2</v>
          </cell>
        </row>
        <row r="703">
          <cell r="B703" t="str">
            <v>FY1</v>
          </cell>
          <cell r="C703">
            <v>1.4214588821783947E-2</v>
          </cell>
          <cell r="D703">
            <v>7.3661246167905592E-2</v>
          </cell>
          <cell r="E703">
            <v>1.9421772972328943E-2</v>
          </cell>
          <cell r="F703">
            <v>-2.3164571314937654E-2</v>
          </cell>
          <cell r="G703">
            <v>2.2738918594169766E-2</v>
          </cell>
          <cell r="H703">
            <v>-8.5097360125755972E-2</v>
          </cell>
          <cell r="I703">
            <v>-9.5102143534426808E-3</v>
          </cell>
          <cell r="J703">
            <v>1.7520543945788486E-3</v>
          </cell>
          <cell r="M703">
            <v>-0.19903948322314147</v>
          </cell>
          <cell r="N703">
            <v>3.464048647105078E-2</v>
          </cell>
          <cell r="O703">
            <v>2.5858285242535084E-2</v>
          </cell>
          <cell r="P703">
            <v>-3.5080589525115169E-2</v>
          </cell>
          <cell r="Q703">
            <v>7.0317324909018541E-2</v>
          </cell>
          <cell r="R703">
            <v>2.5755535863158041E-2</v>
          </cell>
          <cell r="S703">
            <v>-1.6166960652105655E-2</v>
          </cell>
          <cell r="T703">
            <v>-1.3387914416371407E-2</v>
          </cell>
        </row>
        <row r="704">
          <cell r="B704" t="str">
            <v>FY2</v>
          </cell>
          <cell r="C704">
            <v>3.7850948013903318E-2</v>
          </cell>
          <cell r="D704">
            <v>2.3262096493447348E-2</v>
          </cell>
          <cell r="E704">
            <v>-1.214645863134356E-3</v>
          </cell>
          <cell r="F704">
            <v>2.1509188593717532E-2</v>
          </cell>
          <cell r="G704">
            <v>1.5651059597281414E-3</v>
          </cell>
          <cell r="H704">
            <v>-7.1453734227067134E-3</v>
          </cell>
          <cell r="I704">
            <v>1.3462512863774423E-2</v>
          </cell>
          <cell r="J704">
            <v>1.2755690376961384E-2</v>
          </cell>
          <cell r="M704">
            <v>-2.4290302470849845E-2</v>
          </cell>
          <cell r="N704">
            <v>3.427495592999219E-2</v>
          </cell>
          <cell r="O704">
            <v>1.2674584639445152E-2</v>
          </cell>
          <cell r="P704">
            <v>1.1931339166555865E-2</v>
          </cell>
          <cell r="Q704">
            <v>-1.7191199938400681E-2</v>
          </cell>
          <cell r="R704">
            <v>1.0112809672935263E-3</v>
          </cell>
          <cell r="S704">
            <v>-5.8555967924944774E-4</v>
          </cell>
          <cell r="T704">
            <v>2.5464426592552514E-3</v>
          </cell>
        </row>
        <row r="706">
          <cell r="B706" t="str">
            <v>Sales Y/Y ∆ - Inventory Y/Y ∆</v>
          </cell>
        </row>
        <row r="707">
          <cell r="B707" t="str">
            <v>FY(5)</v>
          </cell>
        </row>
        <row r="708">
          <cell r="B708" t="str">
            <v>FY(4)</v>
          </cell>
          <cell r="C708">
            <v>1.4747710638552139E-2</v>
          </cell>
          <cell r="D708">
            <v>8.3652706789857124E-3</v>
          </cell>
          <cell r="E708">
            <v>-0.73667948717948739</v>
          </cell>
          <cell r="F708">
            <v>4.2432082369352635E-2</v>
          </cell>
          <cell r="G708">
            <v>0.5076340838807839</v>
          </cell>
          <cell r="H708">
            <v>9.1562993578642005E-2</v>
          </cell>
          <cell r="I708">
            <v>8.6338496178983357E-2</v>
          </cell>
          <cell r="J708">
            <v>2.0573071636874668E-3</v>
          </cell>
          <cell r="M708">
            <v>-0.33263440780571307</v>
          </cell>
          <cell r="N708">
            <v>9.1971427555257973E-2</v>
          </cell>
          <cell r="O708">
            <v>-2.0295775839924285E-2</v>
          </cell>
          <cell r="P708">
            <v>0.1972933721489773</v>
          </cell>
          <cell r="Q708">
            <v>4.4730578743809077E-2</v>
          </cell>
          <cell r="R708">
            <v>-2.5490367775831795E-2</v>
          </cell>
          <cell r="S708">
            <v>-6.5005339046984675E-2</v>
          </cell>
          <cell r="T708">
            <v>-1.5632930288629925E-2</v>
          </cell>
        </row>
        <row r="709">
          <cell r="B709" t="str">
            <v>FY(3)</v>
          </cell>
          <cell r="C709">
            <v>5.6236088516322058E-2</v>
          </cell>
          <cell r="D709">
            <v>-4.7252100764160546E-3</v>
          </cell>
          <cell r="E709">
            <v>7.0012090126396934E-2</v>
          </cell>
          <cell r="F709">
            <v>4.9908086981022934E-2</v>
          </cell>
          <cell r="G709">
            <v>7.6141602381533405E-2</v>
          </cell>
          <cell r="H709">
            <v>-1.5717406910292012E-3</v>
          </cell>
          <cell r="I709">
            <v>-1.0156709984075266E-3</v>
          </cell>
          <cell r="J709">
            <v>3.4997892319917505E-2</v>
          </cell>
          <cell r="M709">
            <v>-5.1371351312238252E-2</v>
          </cell>
          <cell r="N709">
            <v>2.2145462454071209E-2</v>
          </cell>
          <cell r="O709">
            <v>-3.4170037925355667E-2</v>
          </cell>
          <cell r="P709">
            <v>0.10408122365430753</v>
          </cell>
          <cell r="Q709">
            <v>-9.6378809869376025E-2</v>
          </cell>
          <cell r="R709">
            <v>-0.45626995145254329</v>
          </cell>
          <cell r="S709">
            <v>7.328163930490017E-3</v>
          </cell>
          <cell r="T709">
            <v>-7.209075721723493E-2</v>
          </cell>
        </row>
        <row r="710">
          <cell r="B710" t="str">
            <v>FY(2)</v>
          </cell>
          <cell r="C710">
            <v>-3.3775957382118672E-4</v>
          </cell>
          <cell r="D710">
            <v>-4.6722050546297397E-2</v>
          </cell>
          <cell r="E710">
            <v>2.6498173794114357E-2</v>
          </cell>
          <cell r="F710">
            <v>9.0583050935113402E-2</v>
          </cell>
          <cell r="G710">
            <v>3.2021143403546531E-2</v>
          </cell>
          <cell r="H710">
            <v>0.14869882704858928</v>
          </cell>
          <cell r="I710">
            <v>1.3563390182504041E-2</v>
          </cell>
          <cell r="J710">
            <v>3.7757825034821287E-2</v>
          </cell>
          <cell r="M710">
            <v>0.27900956046592085</v>
          </cell>
          <cell r="N710">
            <v>-0.1703337061459759</v>
          </cell>
          <cell r="O710">
            <v>2.5533380962232337E-2</v>
          </cell>
          <cell r="P710">
            <v>0.16465079136715458</v>
          </cell>
          <cell r="Q710">
            <v>9.6338327596679513E-2</v>
          </cell>
          <cell r="R710">
            <v>0.27343220338983054</v>
          </cell>
          <cell r="S710">
            <v>9.1436771694668961E-2</v>
          </cell>
          <cell r="T710">
            <v>0.10858104704721584</v>
          </cell>
        </row>
        <row r="711">
          <cell r="B711" t="str">
            <v>FY(1)</v>
          </cell>
          <cell r="C711">
            <v>6.9031012317990637E-2</v>
          </cell>
          <cell r="D711">
            <v>4.1208251907913399E-2</v>
          </cell>
          <cell r="E711">
            <v>7.1885686716152558E-3</v>
          </cell>
          <cell r="F711">
            <v>6.0835338562304914E-3</v>
          </cell>
          <cell r="G711">
            <v>8.6464540195189732E-2</v>
          </cell>
          <cell r="H711">
            <v>0.214147427488349</v>
          </cell>
          <cell r="I711">
            <v>6.8032782451344309E-2</v>
          </cell>
          <cell r="J711">
            <v>7.0308016698376122E-2</v>
          </cell>
          <cell r="M711">
            <v>-0.18693528678396454</v>
          </cell>
          <cell r="N711">
            <v>0.25268561101034176</v>
          </cell>
          <cell r="O711">
            <v>-2.8635683166373813E-2</v>
          </cell>
          <cell r="P711">
            <v>0.18489511202136202</v>
          </cell>
          <cell r="Q711">
            <v>-7.8611211573236917E-2</v>
          </cell>
          <cell r="R711">
            <v>2.1599926344653575E-2</v>
          </cell>
          <cell r="S711">
            <v>0.23020420657705193</v>
          </cell>
          <cell r="T711">
            <v>5.6457524918547719E-2</v>
          </cell>
        </row>
        <row r="712">
          <cell r="B712" t="str">
            <v>FY0</v>
          </cell>
          <cell r="C712">
            <v>4.0263149723217484E-2</v>
          </cell>
          <cell r="D712">
            <v>2.1590798269081543E-2</v>
          </cell>
          <cell r="E712">
            <v>-1.8771445171047403E-2</v>
          </cell>
          <cell r="F712">
            <v>1.8747962976605061E-2</v>
          </cell>
          <cell r="G712">
            <v>-4.0819224619853295E-2</v>
          </cell>
          <cell r="H712">
            <v>0.12128599911234253</v>
          </cell>
          <cell r="I712">
            <v>0.12204341768520897</v>
          </cell>
          <cell r="J712">
            <v>3.7762951139364988E-2</v>
          </cell>
          <cell r="M712">
            <v>-5.4873038040751304E-2</v>
          </cell>
          <cell r="N712">
            <v>9.4532305008133824E-2</v>
          </cell>
          <cell r="O712">
            <v>-0.13003070225556915</v>
          </cell>
          <cell r="P712">
            <v>4.3981499487722397E-2</v>
          </cell>
          <cell r="Q712">
            <v>-2.8376240839865553E-2</v>
          </cell>
          <cell r="R712">
            <v>8.7525402527508067E-2</v>
          </cell>
          <cell r="S712">
            <v>-1.2583025527034417E-2</v>
          </cell>
          <cell r="T712">
            <v>2.5171480020552993E-5</v>
          </cell>
        </row>
        <row r="713">
          <cell r="B713" t="str">
            <v>FY1</v>
          </cell>
          <cell r="C713">
            <v>3.8189580671070554E-2</v>
          </cell>
          <cell r="D713">
            <v>-5.5057896267013295E-2</v>
          </cell>
          <cell r="E713">
            <v>2.4258000180453758E-2</v>
          </cell>
          <cell r="F713">
            <v>6.2896131621855561E-2</v>
          </cell>
          <cell r="G713">
            <v>1.9853019004442134E-2</v>
          </cell>
          <cell r="H713">
            <v>0.13802114106915758</v>
          </cell>
          <cell r="I713">
            <v>4.8249392988002279E-2</v>
          </cell>
          <cell r="J713">
            <v>3.9487052752566934E-2</v>
          </cell>
          <cell r="M713">
            <v>0.15522199481682566</v>
          </cell>
          <cell r="N713">
            <v>1.6591947791695233E-3</v>
          </cell>
          <cell r="O713">
            <v>7.6484708422973127E-3</v>
          </cell>
          <cell r="P713">
            <v>5.6873403718557966E-2</v>
          </cell>
          <cell r="Q713">
            <v>-6.3855583503323071E-2</v>
          </cell>
          <cell r="R713">
            <v>4.4144378659531358E-2</v>
          </cell>
          <cell r="S713">
            <v>8.181051279234966E-2</v>
          </cell>
          <cell r="T713">
            <v>4.0500338872201204E-2</v>
          </cell>
        </row>
        <row r="714">
          <cell r="B714" t="str">
            <v>FY2</v>
          </cell>
          <cell r="C714">
            <v>2.1490519860966825E-3</v>
          </cell>
          <cell r="D714">
            <v>-3.262096493447348E-3</v>
          </cell>
          <cell r="E714">
            <v>1.1214645863134356E-2</v>
          </cell>
          <cell r="F714">
            <v>-1.5091885937175316E-3</v>
          </cell>
          <cell r="G714">
            <v>1.8434894040271859E-2</v>
          </cell>
          <cell r="H714">
            <v>2.7145373422706714E-2</v>
          </cell>
          <cell r="I714">
            <v>6.5374871362255775E-3</v>
          </cell>
          <cell r="J714">
            <v>8.6728810516100447E-3</v>
          </cell>
          <cell r="M714">
            <v>3.4740861372141343E-2</v>
          </cell>
          <cell r="N714">
            <v>-4.2749559299921913E-3</v>
          </cell>
          <cell r="O714">
            <v>2.7325415360554849E-2</v>
          </cell>
          <cell r="P714">
            <v>2.8068660833444135E-2</v>
          </cell>
          <cell r="Q714">
            <v>-1.3816588614358919E-2</v>
          </cell>
          <cell r="R714">
            <v>1.7198619622447973E-2</v>
          </cell>
          <cell r="S714">
            <v>5.1605746186286147E-2</v>
          </cell>
          <cell r="T714">
            <v>2.0121108404360481E-2</v>
          </cell>
        </row>
        <row r="716">
          <cell r="B716" t="str">
            <v>SG&amp;A per Sq Foot</v>
          </cell>
          <cell r="M716">
            <v>2008</v>
          </cell>
          <cell r="N716">
            <v>2009</v>
          </cell>
          <cell r="O716" t="str">
            <v>2010E</v>
          </cell>
          <cell r="Z716">
            <v>2008</v>
          </cell>
          <cell r="AA716">
            <v>2009</v>
          </cell>
          <cell r="AB716" t="str">
            <v>2010E</v>
          </cell>
        </row>
        <row r="717">
          <cell r="B717" t="str">
            <v>FY(2)</v>
          </cell>
          <cell r="C717">
            <v>52.896736253201503</v>
          </cell>
          <cell r="D717">
            <v>54.68105065666041</v>
          </cell>
          <cell r="E717">
            <v>55.200986054555663</v>
          </cell>
          <cell r="F717">
            <v>116.0395357985838</v>
          </cell>
          <cell r="G717">
            <v>107.16633806833863</v>
          </cell>
          <cell r="H717">
            <v>44.355497630331755</v>
          </cell>
          <cell r="I717">
            <v>39.693848600778857</v>
          </cell>
          <cell r="K717">
            <v>55.197959773596573</v>
          </cell>
          <cell r="M717">
            <v>234.55881150333923</v>
          </cell>
          <cell r="N717">
            <v>117.81253428199783</v>
          </cell>
          <cell r="O717">
            <v>125.25192944504418</v>
          </cell>
          <cell r="P717">
            <v>841.18741375408399</v>
          </cell>
          <cell r="Q717">
            <v>109.72222222222223</v>
          </cell>
          <cell r="R717">
            <v>252.39239646978953</v>
          </cell>
          <cell r="S717">
            <v>121.88537141352623</v>
          </cell>
          <cell r="U717">
            <v>158.71709387982401</v>
          </cell>
        </row>
        <row r="718">
          <cell r="B718" t="str">
            <v>FY(1)</v>
          </cell>
          <cell r="C718">
            <v>52.485891828461703</v>
          </cell>
          <cell r="D718">
            <v>53.160526907542184</v>
          </cell>
          <cell r="E718">
            <v>54.889643132953907</v>
          </cell>
          <cell r="F718">
            <v>112.69838123554675</v>
          </cell>
          <cell r="G718">
            <v>101.53403110118391</v>
          </cell>
          <cell r="H718">
            <v>46.163326249732442</v>
          </cell>
          <cell r="I718">
            <v>39.743768451555518</v>
          </cell>
          <cell r="K718">
            <v>54.489639577494366</v>
          </cell>
          <cell r="M718">
            <v>237.13353748243429</v>
          </cell>
          <cell r="N718">
            <v>123.57098885896485</v>
          </cell>
          <cell r="O718">
            <v>115.9958326004987</v>
          </cell>
          <cell r="P718">
            <v>837.50417641254148</v>
          </cell>
          <cell r="Q718">
            <v>98.708860759493675</v>
          </cell>
          <cell r="R718">
            <v>210.0189020305919</v>
          </cell>
          <cell r="S718">
            <v>123.20304255242671</v>
          </cell>
          <cell r="U718">
            <v>148.90036849942348</v>
          </cell>
        </row>
        <row r="719">
          <cell r="B719" t="str">
            <v>FY0</v>
          </cell>
          <cell r="C719">
            <v>52.859839787744271</v>
          </cell>
          <cell r="D719">
            <v>56.388587858386025</v>
          </cell>
          <cell r="E719">
            <v>52.215025906735754</v>
          </cell>
          <cell r="F719">
            <v>110.41680664740532</v>
          </cell>
          <cell r="G719">
            <v>88.533175162187149</v>
          </cell>
          <cell r="H719">
            <v>47.713628691983125</v>
          </cell>
          <cell r="I719">
            <v>40.702609626197031</v>
          </cell>
          <cell r="K719">
            <v>54.378279420653108</v>
          </cell>
          <cell r="M719">
            <v>222.50783739008537</v>
          </cell>
          <cell r="N719">
            <v>135.2132904908913</v>
          </cell>
          <cell r="O719">
            <v>118.09379313317174</v>
          </cell>
          <cell r="P719">
            <v>782.12610361811073</v>
          </cell>
          <cell r="Q719">
            <v>100.85051546391753</v>
          </cell>
          <cell r="R719">
            <v>198.15265709320406</v>
          </cell>
          <cell r="S719">
            <v>120.01618254064644</v>
          </cell>
          <cell r="U719">
            <v>148.49535433222312</v>
          </cell>
        </row>
        <row r="720">
          <cell r="B720" t="str">
            <v>FY1</v>
          </cell>
          <cell r="C720">
            <v>54.660697029543407</v>
          </cell>
          <cell r="D720">
            <v>56.330481381458142</v>
          </cell>
          <cell r="E720">
            <v>53.23223728048459</v>
          </cell>
          <cell r="F720">
            <v>111.3435621311129</v>
          </cell>
          <cell r="G720">
            <v>92.135174686125254</v>
          </cell>
          <cell r="H720">
            <v>48.868265359069312</v>
          </cell>
          <cell r="I720">
            <v>41.484965361504422</v>
          </cell>
          <cell r="K720">
            <v>55.26394523108582</v>
          </cell>
          <cell r="M720">
            <v>219.90137404078646</v>
          </cell>
          <cell r="N720">
            <v>139.38463296672333</v>
          </cell>
          <cell r="O720">
            <v>116.01069892276183</v>
          </cell>
          <cell r="P720">
            <v>771.48163062645665</v>
          </cell>
          <cell r="Q720">
            <v>105.38036877790195</v>
          </cell>
          <cell r="R720">
            <v>204.95568413596428</v>
          </cell>
          <cell r="S720">
            <v>120.49203233387102</v>
          </cell>
          <cell r="U720">
            <v>153.41770204011613</v>
          </cell>
        </row>
        <row r="721">
          <cell r="B721" t="str">
            <v>FY2</v>
          </cell>
          <cell r="C721">
            <v>56.368533000120259</v>
          </cell>
          <cell r="D721">
            <v>57.202401810027098</v>
          </cell>
          <cell r="E721">
            <v>53.550962635377644</v>
          </cell>
          <cell r="F721">
            <v>110.53303481797337</v>
          </cell>
          <cell r="G721">
            <v>93.691852969544541</v>
          </cell>
          <cell r="H721">
            <v>48.564815386543323</v>
          </cell>
          <cell r="I721">
            <v>42.183260739804915</v>
          </cell>
          <cell r="K721">
            <v>55.944695325662821</v>
          </cell>
          <cell r="M721">
            <v>218.51730193407133</v>
          </cell>
          <cell r="N721">
            <v>149.42657176224444</v>
          </cell>
          <cell r="O721">
            <v>118.29002202803564</v>
          </cell>
          <cell r="P721">
            <v>776.86874480702522</v>
          </cell>
          <cell r="Q721">
            <v>104.50149290532764</v>
          </cell>
          <cell r="R721">
            <v>208.31603147252716</v>
          </cell>
          <cell r="S721">
            <v>120.40219193875612</v>
          </cell>
          <cell r="U721">
            <v>156.06577308599788</v>
          </cell>
        </row>
        <row r="722">
          <cell r="B722" t="str">
            <v>FQ(3)</v>
          </cell>
          <cell r="C722">
            <v>12.258278483596103</v>
          </cell>
          <cell r="D722">
            <v>13.315728693249119</v>
          </cell>
          <cell r="E722">
            <v>12.66839378238342</v>
          </cell>
          <cell r="F722">
            <v>24.143877802414387</v>
          </cell>
          <cell r="G722">
            <v>20.743740500463378</v>
          </cell>
          <cell r="H722">
            <v>11.478059071729957</v>
          </cell>
          <cell r="I722">
            <v>8.9874561194191038</v>
          </cell>
          <cell r="M722">
            <v>53.097362049190771</v>
          </cell>
          <cell r="N722">
            <v>27.460815266470188</v>
          </cell>
          <cell r="O722">
            <v>24.780683022533758</v>
          </cell>
          <cell r="P722">
            <v>193.01066015097985</v>
          </cell>
          <cell r="Q722">
            <v>22.835051546391753</v>
          </cell>
          <cell r="R722">
            <v>44.191347297173692</v>
          </cell>
          <cell r="S722">
            <v>26.084056302344624</v>
          </cell>
        </row>
        <row r="723">
          <cell r="B723" t="str">
            <v>FQ(2)</v>
          </cell>
          <cell r="C723">
            <v>12.322057247818766</v>
          </cell>
          <cell r="D723">
            <v>13.189256371874976</v>
          </cell>
          <cell r="E723">
            <v>12.053108808290155</v>
          </cell>
          <cell r="F723">
            <v>27.234652511814375</v>
          </cell>
          <cell r="G723">
            <v>20.677946246524549</v>
          </cell>
          <cell r="H723">
            <v>12.074177215189874</v>
          </cell>
          <cell r="I723">
            <v>9.6699485154235703</v>
          </cell>
          <cell r="M723">
            <v>53.391359755320508</v>
          </cell>
          <cell r="N723">
            <v>29.367257266997552</v>
          </cell>
          <cell r="O723">
            <v>26.105353037910426</v>
          </cell>
          <cell r="P723">
            <v>193.78549218691313</v>
          </cell>
          <cell r="Q723">
            <v>23.530927835051546</v>
          </cell>
          <cell r="R723">
            <v>47.504436110857036</v>
          </cell>
          <cell r="S723">
            <v>29.161215385602134</v>
          </cell>
        </row>
        <row r="724">
          <cell r="B724" t="str">
            <v>FQ(1)</v>
          </cell>
          <cell r="C724">
            <v>13.100158171335272</v>
          </cell>
          <cell r="D724">
            <v>14.327507264242268</v>
          </cell>
          <cell r="E724">
            <v>13.167098445595855</v>
          </cell>
          <cell r="F724">
            <v>26.025218929875248</v>
          </cell>
          <cell r="G724">
            <v>21.69368674698794</v>
          </cell>
          <cell r="H724">
            <v>12.089071729957807</v>
          </cell>
          <cell r="I724">
            <v>10.565213133704855</v>
          </cell>
          <cell r="M724">
            <v>55.719255766534978</v>
          </cell>
          <cell r="N724">
            <v>34.195782492935429</v>
          </cell>
          <cell r="O724">
            <v>30.180083602715179</v>
          </cell>
          <cell r="P724">
            <v>193.37145980129992</v>
          </cell>
          <cell r="Q724">
            <v>26.391752577319586</v>
          </cell>
          <cell r="R724">
            <v>46.086435562059819</v>
          </cell>
          <cell r="S724">
            <v>30.684898954346391</v>
          </cell>
        </row>
        <row r="725">
          <cell r="B725" t="str">
            <v>Last Reported Q</v>
          </cell>
          <cell r="C725">
            <v>52.859839787744271</v>
          </cell>
          <cell r="D725">
            <v>56.388587858386025</v>
          </cell>
          <cell r="E725">
            <v>52.215025906735754</v>
          </cell>
          <cell r="F725">
            <v>110.41680664740532</v>
          </cell>
          <cell r="G725">
            <v>88.533175162187149</v>
          </cell>
          <cell r="H725">
            <v>47.713628691983125</v>
          </cell>
          <cell r="I725">
            <v>40.702609626197031</v>
          </cell>
          <cell r="M725">
            <v>222.50783739008537</v>
          </cell>
          <cell r="N725">
            <v>135.2132904908913</v>
          </cell>
          <cell r="O725">
            <v>118.09379313317174</v>
          </cell>
          <cell r="P725">
            <v>230.7355167035451</v>
          </cell>
          <cell r="Q725">
            <v>100.85051546391753</v>
          </cell>
          <cell r="R725">
            <v>198.15265709320406</v>
          </cell>
          <cell r="S725">
            <v>120.01618254064644</v>
          </cell>
        </row>
        <row r="727">
          <cell r="A727" t="str">
            <v>mstag:tradeAndOtherPayables</v>
          </cell>
        </row>
        <row r="728">
          <cell r="A728" t="str">
            <v>mstag:tradePayablesCurrent</v>
          </cell>
        </row>
        <row r="729">
          <cell r="B729" t="str">
            <v>Accounts Payable</v>
          </cell>
        </row>
        <row r="730">
          <cell r="B730" t="str">
            <v>FY(5)</v>
          </cell>
          <cell r="C730">
            <v>704.65499999999997</v>
          </cell>
          <cell r="D730">
            <v>2770</v>
          </cell>
          <cell r="E730">
            <v>2707</v>
          </cell>
          <cell r="F730">
            <v>482.39400000000001</v>
          </cell>
          <cell r="G730">
            <v>378.39400000000001</v>
          </cell>
          <cell r="H730">
            <v>711.56100000000004</v>
          </cell>
          <cell r="I730">
            <v>1276.0350000000001</v>
          </cell>
          <cell r="J730">
            <v>1290.0055714285716</v>
          </cell>
          <cell r="M730">
            <v>137.33699999999999</v>
          </cell>
          <cell r="N730">
            <v>44.857999999999997</v>
          </cell>
          <cell r="O730">
            <v>108.929</v>
          </cell>
          <cell r="P730">
            <v>44.771000000000001</v>
          </cell>
          <cell r="Q730">
            <v>1240</v>
          </cell>
          <cell r="R730">
            <v>496</v>
          </cell>
          <cell r="S730">
            <v>39.101999999999997</v>
          </cell>
          <cell r="T730">
            <v>301.57099999999997</v>
          </cell>
        </row>
        <row r="731">
          <cell r="B731" t="str">
            <v>FY(4)</v>
          </cell>
          <cell r="C731">
            <v>829.971</v>
          </cell>
          <cell r="D731">
            <v>2733</v>
          </cell>
          <cell r="E731">
            <v>5246</v>
          </cell>
          <cell r="F731">
            <v>540.01900000000001</v>
          </cell>
          <cell r="G731">
            <v>190.06399999999999</v>
          </cell>
          <cell r="H731">
            <v>803.39700000000005</v>
          </cell>
          <cell r="I731">
            <v>1313.472</v>
          </cell>
          <cell r="J731">
            <v>1665.1318571428571</v>
          </cell>
          <cell r="M731">
            <v>145.31299999999999</v>
          </cell>
          <cell r="N731">
            <v>57.164999999999999</v>
          </cell>
          <cell r="O731">
            <v>139.197</v>
          </cell>
          <cell r="P731">
            <v>64.984999999999999</v>
          </cell>
          <cell r="Q731">
            <v>1132</v>
          </cell>
          <cell r="R731">
            <v>534.96</v>
          </cell>
          <cell r="S731">
            <v>41.290999999999997</v>
          </cell>
          <cell r="T731">
            <v>302.13014285714286</v>
          </cell>
        </row>
        <row r="732">
          <cell r="B732" t="str">
            <v>FY(3)</v>
          </cell>
          <cell r="C732">
            <v>934.37599999999998</v>
          </cell>
          <cell r="D732">
            <v>3058</v>
          </cell>
          <cell r="E732">
            <v>4604</v>
          </cell>
          <cell r="F732">
            <v>576.79600000000005</v>
          </cell>
          <cell r="G732">
            <v>231.03800000000001</v>
          </cell>
          <cell r="H732">
            <v>1049.68</v>
          </cell>
          <cell r="I732">
            <v>1372.3520000000001</v>
          </cell>
          <cell r="J732">
            <v>1689.4631428571431</v>
          </cell>
          <cell r="M732">
            <v>128.31</v>
          </cell>
          <cell r="N732">
            <v>63.917999999999999</v>
          </cell>
          <cell r="O732">
            <v>171.15</v>
          </cell>
          <cell r="P732">
            <v>79.819000000000003</v>
          </cell>
          <cell r="Q732">
            <v>1109</v>
          </cell>
          <cell r="R732">
            <v>593</v>
          </cell>
          <cell r="S732">
            <v>58</v>
          </cell>
          <cell r="T732">
            <v>314.7424285714286</v>
          </cell>
        </row>
        <row r="733">
          <cell r="B733" t="str">
            <v>FY(2)</v>
          </cell>
          <cell r="C733">
            <v>835.98500000000001</v>
          </cell>
          <cell r="D733">
            <v>3135</v>
          </cell>
          <cell r="E733">
            <v>4127</v>
          </cell>
          <cell r="F733">
            <v>556</v>
          </cell>
          <cell r="G733">
            <v>176.84399999999999</v>
          </cell>
          <cell r="H733">
            <v>988.78700000000003</v>
          </cell>
          <cell r="I733">
            <v>1516.7539999999999</v>
          </cell>
          <cell r="J733">
            <v>1619.4814285714285</v>
          </cell>
          <cell r="M733">
            <v>151.798</v>
          </cell>
          <cell r="N733">
            <v>99.369</v>
          </cell>
          <cell r="O733">
            <v>157.928</v>
          </cell>
          <cell r="P733">
            <v>109.309</v>
          </cell>
          <cell r="Q733">
            <v>1006</v>
          </cell>
          <cell r="R733">
            <v>516.76099999999997</v>
          </cell>
          <cell r="S733">
            <v>74.02</v>
          </cell>
          <cell r="T733">
            <v>302.16928571428571</v>
          </cell>
        </row>
        <row r="734">
          <cell r="B734" t="str">
            <v>FY(1)</v>
          </cell>
          <cell r="C734">
            <v>881</v>
          </cell>
          <cell r="D734">
            <v>2794</v>
          </cell>
          <cell r="E734">
            <v>3910</v>
          </cell>
          <cell r="F734">
            <v>563</v>
          </cell>
          <cell r="G734">
            <v>90.207999999999998</v>
          </cell>
          <cell r="H734">
            <v>946.13900000000001</v>
          </cell>
          <cell r="I734">
            <v>1276.098</v>
          </cell>
          <cell r="J734">
            <v>1494.3492857142858</v>
          </cell>
          <cell r="M734">
            <v>149.75299999999999</v>
          </cell>
          <cell r="N734">
            <v>77.247</v>
          </cell>
          <cell r="O734">
            <v>152.06800000000001</v>
          </cell>
          <cell r="P734">
            <v>134.726</v>
          </cell>
          <cell r="Q734">
            <v>975</v>
          </cell>
          <cell r="R734">
            <v>493.90300000000002</v>
          </cell>
          <cell r="S734">
            <v>62.954999999999998</v>
          </cell>
          <cell r="T734">
            <v>292.23599999999999</v>
          </cell>
        </row>
        <row r="735">
          <cell r="B735" t="str">
            <v>FY0</v>
          </cell>
          <cell r="C735">
            <v>1188</v>
          </cell>
          <cell r="D735">
            <v>2856</v>
          </cell>
          <cell r="E735">
            <v>3938</v>
          </cell>
          <cell r="F735">
            <v>726</v>
          </cell>
          <cell r="G735">
            <v>101.739</v>
          </cell>
          <cell r="H735">
            <v>1136.115</v>
          </cell>
          <cell r="I735">
            <v>1507.9</v>
          </cell>
          <cell r="J735">
            <v>1636.2505714285712</v>
          </cell>
          <cell r="M735">
            <v>150.13399999999999</v>
          </cell>
          <cell r="N735">
            <v>90.85</v>
          </cell>
          <cell r="O735">
            <v>158.52600000000001</v>
          </cell>
          <cell r="P735">
            <v>103.029</v>
          </cell>
          <cell r="Q735">
            <v>1027</v>
          </cell>
          <cell r="R735">
            <v>488.45499999999998</v>
          </cell>
          <cell r="S735">
            <v>78.040999999999997</v>
          </cell>
          <cell r="T735">
            <v>299.43357142857138</v>
          </cell>
        </row>
        <row r="736">
          <cell r="B736" t="str">
            <v>FY1</v>
          </cell>
          <cell r="C736">
            <v>1269.6916071199801</v>
          </cell>
          <cell r="D736">
            <v>2892.1602847367799</v>
          </cell>
          <cell r="E736">
            <v>4118.1697470886402</v>
          </cell>
          <cell r="F736">
            <v>753.68267523087604</v>
          </cell>
          <cell r="G736">
            <v>108.63976761920701</v>
          </cell>
          <cell r="H736">
            <v>1173.2217283637401</v>
          </cell>
          <cell r="I736">
            <v>1593.30915259626</v>
          </cell>
          <cell r="J736">
            <v>1701.2678518222117</v>
          </cell>
          <cell r="M736">
            <v>141.50169895792101</v>
          </cell>
          <cell r="N736">
            <v>99.821948445322505</v>
          </cell>
          <cell r="O736">
            <v>135.073519008745</v>
          </cell>
          <cell r="P736">
            <v>104.31901523977101</v>
          </cell>
          <cell r="Q736">
            <v>1024.01699386411</v>
          </cell>
          <cell r="R736">
            <v>549.30521832310706</v>
          </cell>
          <cell r="S736">
            <v>107.28236147298099</v>
          </cell>
          <cell r="T736">
            <v>308.76010790170818</v>
          </cell>
        </row>
        <row r="737">
          <cell r="B737" t="str">
            <v>FY2</v>
          </cell>
          <cell r="C737">
            <v>1402.4585315177301</v>
          </cell>
          <cell r="D737">
            <v>2916.0701545976799</v>
          </cell>
          <cell r="E737">
            <v>4185.8680136579596</v>
          </cell>
          <cell r="F737">
            <v>796.08710155634799</v>
          </cell>
          <cell r="G737">
            <v>111.626232365036</v>
          </cell>
          <cell r="H737">
            <v>1227.77340097977</v>
          </cell>
          <cell r="I737">
            <v>1701.7828263164299</v>
          </cell>
          <cell r="J737">
            <v>1763.0951801415647</v>
          </cell>
          <cell r="M737">
            <v>146.245428790235</v>
          </cell>
          <cell r="N737">
            <v>110.33197556911</v>
          </cell>
          <cell r="O737">
            <v>142.28219595082501</v>
          </cell>
          <cell r="P737">
            <v>111.560175244902</v>
          </cell>
          <cell r="Q737">
            <v>989.89255577830295</v>
          </cell>
          <cell r="R737">
            <v>566.37945329844604</v>
          </cell>
          <cell r="S737">
            <v>125.897043188971</v>
          </cell>
          <cell r="T737">
            <v>313.22697540297031</v>
          </cell>
        </row>
        <row r="740">
          <cell r="A740" t="str">
            <v>Productivity Ratios</v>
          </cell>
        </row>
        <row r="741">
          <cell r="B741" t="str">
            <v>Sales/Ave. Sq. Ft.</v>
          </cell>
        </row>
        <row r="742">
          <cell r="B742" t="str">
            <v>FY(5)</v>
          </cell>
        </row>
        <row r="743">
          <cell r="B743" t="str">
            <v>FY(4)</v>
          </cell>
          <cell r="C743">
            <v>253.2875245433593</v>
          </cell>
          <cell r="D743">
            <v>185.30833744449927</v>
          </cell>
          <cell r="E743">
            <v>143.15856777493607</v>
          </cell>
          <cell r="F743">
            <v>395.27124760076777</v>
          </cell>
          <cell r="H743">
            <v>303.58461255065697</v>
          </cell>
          <cell r="I743">
            <v>234.50310472285295</v>
          </cell>
          <cell r="J743">
            <v>252.51889910617868</v>
          </cell>
          <cell r="M743">
            <v>476.65329315540254</v>
          </cell>
          <cell r="N743">
            <v>553.48342475357208</v>
          </cell>
          <cell r="O743">
            <v>498.67201169342724</v>
          </cell>
          <cell r="P743">
            <v>1958.0403995260501</v>
          </cell>
          <cell r="Q743">
            <v>430.72580645161293</v>
          </cell>
          <cell r="R743">
            <v>937.78488992338282</v>
          </cell>
          <cell r="S743">
            <v>565.36012422209126</v>
          </cell>
          <cell r="T743">
            <v>774.38856424650555</v>
          </cell>
          <cell r="V743">
            <v>577.11325836658148</v>
          </cell>
        </row>
        <row r="744">
          <cell r="B744" t="str">
            <v>FY(3)</v>
          </cell>
          <cell r="C744">
            <v>261.97745877527694</v>
          </cell>
          <cell r="D744">
            <v>194.6512273838631</v>
          </cell>
          <cell r="E744">
            <v>172.44245524296676</v>
          </cell>
          <cell r="F744">
            <v>429.20986199721739</v>
          </cell>
          <cell r="G744">
            <v>392.00040000000001</v>
          </cell>
          <cell r="H744">
            <v>309.79171880648482</v>
          </cell>
          <cell r="I744">
            <v>240.79131445331413</v>
          </cell>
          <cell r="J744">
            <v>285.83777666558899</v>
          </cell>
          <cell r="M744">
            <v>516.46107878597263</v>
          </cell>
          <cell r="N744">
            <v>565.34256096890169</v>
          </cell>
          <cell r="O744">
            <v>561.94145885517469</v>
          </cell>
          <cell r="P744">
            <v>2094.1925372681239</v>
          </cell>
          <cell r="Q744">
            <v>414.66145833333337</v>
          </cell>
          <cell r="R744">
            <v>1034.880418970032</v>
          </cell>
          <cell r="S744">
            <v>531.19438790314507</v>
          </cell>
          <cell r="T744">
            <v>816.95341444066901</v>
          </cell>
          <cell r="V744">
            <v>604.08022730275991</v>
          </cell>
        </row>
        <row r="745">
          <cell r="B745" t="str">
            <v>FY(2)</v>
          </cell>
          <cell r="C745">
            <v>249.13721398000695</v>
          </cell>
          <cell r="D745">
            <v>189.42231759656653</v>
          </cell>
          <cell r="E745">
            <v>169.01924133080252</v>
          </cell>
          <cell r="F745">
            <v>436.41556258651377</v>
          </cell>
          <cell r="G745">
            <v>434.15559545182526</v>
          </cell>
          <cell r="H745">
            <v>300.70011574656536</v>
          </cell>
          <cell r="I745">
            <v>243.82809310736866</v>
          </cell>
          <cell r="J745">
            <v>288.95401997137844</v>
          </cell>
          <cell r="K745">
            <v>1.0902139465754468E-2</v>
          </cell>
          <cell r="M745">
            <v>527.39215965787605</v>
          </cell>
          <cell r="N745">
            <v>569.36596937287436</v>
          </cell>
          <cell r="O745">
            <v>561.50323297893033</v>
          </cell>
          <cell r="P745">
            <v>2309.1635339591971</v>
          </cell>
          <cell r="Q745">
            <v>401.09414758269719</v>
          </cell>
          <cell r="R745">
            <v>978.20706042090967</v>
          </cell>
          <cell r="S745">
            <v>560.0572640800508</v>
          </cell>
          <cell r="T745">
            <v>843.82619543607655</v>
          </cell>
          <cell r="V745">
            <v>599.60330568222309</v>
          </cell>
          <cell r="W745">
            <v>-7.4111374916646655E-3</v>
          </cell>
        </row>
        <row r="746">
          <cell r="B746" t="str">
            <v>FY(1)</v>
          </cell>
          <cell r="C746">
            <v>226.23946549236962</v>
          </cell>
          <cell r="D746">
            <v>171.33161931310519</v>
          </cell>
          <cell r="E746">
            <v>161.08616025782069</v>
          </cell>
          <cell r="F746">
            <v>399.32570740517758</v>
          </cell>
          <cell r="G746">
            <v>403.35618655037223</v>
          </cell>
          <cell r="H746">
            <v>297.52931192660554</v>
          </cell>
          <cell r="I746">
            <v>244.3765571400719</v>
          </cell>
          <cell r="J746">
            <v>271.89214401221756</v>
          </cell>
          <cell r="K746">
            <v>-5.9047027485033432E-2</v>
          </cell>
          <cell r="M746">
            <v>461.55620321918263</v>
          </cell>
          <cell r="N746">
            <v>606.29683007311451</v>
          </cell>
          <cell r="O746">
            <v>496.5596312175204</v>
          </cell>
          <cell r="P746">
            <v>2364.8030958382346</v>
          </cell>
          <cell r="Q746">
            <v>367.28192161820476</v>
          </cell>
          <cell r="R746">
            <v>852.71093341128631</v>
          </cell>
          <cell r="S746">
            <v>587.34129849293402</v>
          </cell>
          <cell r="T746">
            <v>819.50713055292533</v>
          </cell>
          <cell r="V746">
            <v>561.95780300537376</v>
          </cell>
          <cell r="W746">
            <v>-6.2784014564457147E-2</v>
          </cell>
        </row>
        <row r="747">
          <cell r="B747" t="str">
            <v>FY0</v>
          </cell>
          <cell r="C747">
            <v>223.96797663441728</v>
          </cell>
          <cell r="D747">
            <v>159.69059484575871</v>
          </cell>
          <cell r="E747">
            <v>152.28321085542203</v>
          </cell>
          <cell r="F747">
            <v>379.56036632309514</v>
          </cell>
          <cell r="G747">
            <v>349.81129360689715</v>
          </cell>
          <cell r="H747">
            <v>311.00489177489175</v>
          </cell>
          <cell r="I747">
            <v>252.24865546942056</v>
          </cell>
          <cell r="J747">
            <v>261.22385564427179</v>
          </cell>
          <cell r="K747">
            <v>-3.923720711646006E-2</v>
          </cell>
          <cell r="M747">
            <v>375.29634138527587</v>
          </cell>
          <cell r="N747">
            <v>664.41481366723326</v>
          </cell>
          <cell r="O747">
            <v>469.76938312881236</v>
          </cell>
          <cell r="P747">
            <v>2046.6726460811669</v>
          </cell>
          <cell r="Q747">
            <v>362.6309067688378</v>
          </cell>
          <cell r="R747">
            <v>790.84035307104932</v>
          </cell>
          <cell r="S747">
            <v>546.90366330753955</v>
          </cell>
          <cell r="T747">
            <v>750.93258677284496</v>
          </cell>
          <cell r="V747">
            <v>534.97591022145798</v>
          </cell>
          <cell r="W747">
            <v>-4.801409045237115E-2</v>
          </cell>
        </row>
        <row r="748">
          <cell r="B748" t="str">
            <v>FY1</v>
          </cell>
          <cell r="C748">
            <v>232.98788437346485</v>
          </cell>
          <cell r="D748">
            <v>160.71132410829935</v>
          </cell>
          <cell r="E748">
            <v>158.68741877190834</v>
          </cell>
          <cell r="F748">
            <v>391.8289687419649</v>
          </cell>
          <cell r="G748">
            <v>363.92077385737963</v>
          </cell>
          <cell r="H748">
            <v>321.90975401001765</v>
          </cell>
          <cell r="I748">
            <v>263.52932791049108</v>
          </cell>
          <cell r="J748">
            <v>270.51077882478938</v>
          </cell>
          <cell r="K748">
            <v>3.5551589105875081E-2</v>
          </cell>
          <cell r="M748">
            <v>395.34836284270295</v>
          </cell>
          <cell r="N748">
            <v>689.78224411268457</v>
          </cell>
          <cell r="O748">
            <v>471.26119763265149</v>
          </cell>
          <cell r="P748">
            <v>1967.531611892407</v>
          </cell>
          <cell r="Q748">
            <v>366.96280945963935</v>
          </cell>
          <cell r="R748">
            <v>836.15261274183558</v>
          </cell>
          <cell r="S748">
            <v>570.6246939212491</v>
          </cell>
          <cell r="T748">
            <v>756.80907608616712</v>
          </cell>
          <cell r="V748">
            <v>555.02198678512718</v>
          </cell>
          <cell r="W748">
            <v>3.7470989217759376E-2</v>
          </cell>
        </row>
        <row r="749">
          <cell r="B749" t="str">
            <v>FY2</v>
          </cell>
          <cell r="C749">
            <v>244.17915207720719</v>
          </cell>
          <cell r="D749">
            <v>163.73484708508263</v>
          </cell>
          <cell r="E749">
            <v>159.78565538973211</v>
          </cell>
          <cell r="F749">
            <v>393.94969944487127</v>
          </cell>
          <cell r="G749">
            <v>380.50669178144102</v>
          </cell>
          <cell r="H749">
            <v>320.88863145898</v>
          </cell>
          <cell r="I749">
            <v>268.59091585605967</v>
          </cell>
          <cell r="J749">
            <v>275.94794187048194</v>
          </cell>
          <cell r="K749">
            <v>2.0099616988697555E-2</v>
          </cell>
          <cell r="M749">
            <v>404.94502377164315</v>
          </cell>
          <cell r="N749">
            <v>724.47485977030351</v>
          </cell>
          <cell r="O749">
            <v>510.34132156188548</v>
          </cell>
          <cell r="P749">
            <v>1961.5656721886198</v>
          </cell>
          <cell r="Q749">
            <v>363.46766466263972</v>
          </cell>
          <cell r="R749">
            <v>865.00671660501121</v>
          </cell>
          <cell r="S749">
            <v>580.63219499255422</v>
          </cell>
          <cell r="T749">
            <v>772.91906479323666</v>
          </cell>
          <cell r="V749">
            <v>574.8112968940062</v>
          </cell>
          <cell r="W749">
            <v>3.5655002108124334E-2</v>
          </cell>
        </row>
        <row r="751">
          <cell r="B751" t="str">
            <v>Gross Profit/Ave. Sq. Ft.</v>
          </cell>
        </row>
        <row r="752">
          <cell r="B752" t="str">
            <v>FY(5)</v>
          </cell>
        </row>
        <row r="753">
          <cell r="B753" t="str">
            <v>FY(4)</v>
          </cell>
          <cell r="C753">
            <v>89.970347356487451</v>
          </cell>
          <cell r="D753">
            <v>70.94227923038973</v>
          </cell>
          <cell r="E753">
            <v>58.29923273657289</v>
          </cell>
          <cell r="F753">
            <v>145.08452975047985</v>
          </cell>
          <cell r="G753">
            <v>136.46666666666664</v>
          </cell>
          <cell r="H753">
            <v>67.026157435834463</v>
          </cell>
          <cell r="I753">
            <v>55.088027159895049</v>
          </cell>
          <cell r="J753">
            <v>88.98246290518945</v>
          </cell>
          <cell r="M753">
            <v>319.27421437795954</v>
          </cell>
          <cell r="N753">
            <v>166.58313956654604</v>
          </cell>
          <cell r="O753">
            <v>231.0768377663681</v>
          </cell>
          <cell r="P753">
            <v>1502.6397383911672</v>
          </cell>
          <cell r="Q753">
            <v>157.7956989247312</v>
          </cell>
          <cell r="R753">
            <v>334.6084763844438</v>
          </cell>
          <cell r="S753">
            <v>232.23360338023238</v>
          </cell>
          <cell r="T753">
            <v>420.60167268449266</v>
          </cell>
        </row>
        <row r="754">
          <cell r="B754" t="str">
            <v>FY(3)</v>
          </cell>
          <cell r="C754">
            <v>95.267906069825671</v>
          </cell>
          <cell r="D754">
            <v>76.371638141809285</v>
          </cell>
          <cell r="E754">
            <v>70.019181585677757</v>
          </cell>
          <cell r="F754">
            <v>160.77757862147632</v>
          </cell>
          <cell r="G754">
            <v>151.42786666666669</v>
          </cell>
          <cell r="H754">
            <v>69.66897472261617</v>
          </cell>
          <cell r="I754">
            <v>57.98112920407852</v>
          </cell>
          <cell r="J754">
            <v>97.359182144592936</v>
          </cell>
          <cell r="M754">
            <v>346.07123761597734</v>
          </cell>
          <cell r="N754">
            <v>179.22561868996246</v>
          </cell>
          <cell r="O754">
            <v>269.55346470462376</v>
          </cell>
          <cell r="P754">
            <v>1627.5069833991522</v>
          </cell>
          <cell r="Q754">
            <v>147.31770833333331</v>
          </cell>
          <cell r="R754">
            <v>389.24565997478419</v>
          </cell>
          <cell r="S754">
            <v>196.01091433823262</v>
          </cell>
          <cell r="T754">
            <v>450.70451243658084</v>
          </cell>
        </row>
        <row r="755">
          <cell r="B755" t="str">
            <v>FY(2)</v>
          </cell>
          <cell r="C755">
            <v>90.953223537951999</v>
          </cell>
          <cell r="D755">
            <v>73.104434907010017</v>
          </cell>
          <cell r="E755">
            <v>68.319410587710081</v>
          </cell>
          <cell r="F755">
            <v>163.22107969151674</v>
          </cell>
          <cell r="G755">
            <v>169.377219230002</v>
          </cell>
          <cell r="H755">
            <v>68.290070957677031</v>
          </cell>
          <cell r="I755">
            <v>59.719483750821425</v>
          </cell>
          <cell r="J755">
            <v>98.997846094669882</v>
          </cell>
          <cell r="M755">
            <v>354.69223093371352</v>
          </cell>
          <cell r="N755">
            <v>196.18126545750619</v>
          </cell>
          <cell r="O755">
            <v>261.53420790247395</v>
          </cell>
          <cell r="P755">
            <v>1788.1279152299524</v>
          </cell>
          <cell r="Q755">
            <v>144.88549618320613</v>
          </cell>
          <cell r="R755">
            <v>335.9071864998545</v>
          </cell>
          <cell r="S755">
            <v>214.24700297798475</v>
          </cell>
          <cell r="T755">
            <v>470.79647216924167</v>
          </cell>
        </row>
        <row r="756">
          <cell r="B756" t="str">
            <v>FY(1)</v>
          </cell>
          <cell r="C756">
            <v>83.589801285192706</v>
          </cell>
          <cell r="D756">
            <v>64.097109304426311</v>
          </cell>
          <cell r="E756">
            <v>63.956874571269559</v>
          </cell>
          <cell r="F756">
            <v>137.8214087898856</v>
          </cell>
          <cell r="G756">
            <v>129.41795944979313</v>
          </cell>
          <cell r="H756">
            <v>70.163440366972495</v>
          </cell>
          <cell r="I756">
            <v>58.875923717719836</v>
          </cell>
          <cell r="J756">
            <v>86.846073926465664</v>
          </cell>
          <cell r="M756">
            <v>308.81565874014706</v>
          </cell>
          <cell r="N756">
            <v>210.35372682331408</v>
          </cell>
          <cell r="O756">
            <v>195.05588050073356</v>
          </cell>
          <cell r="P756">
            <v>1789.6131727137602</v>
          </cell>
          <cell r="Q756">
            <v>137.724399494311</v>
          </cell>
          <cell r="R756">
            <v>283.49789950634846</v>
          </cell>
          <cell r="S756">
            <v>228.41544941025407</v>
          </cell>
          <cell r="T756">
            <v>450.49659816983831</v>
          </cell>
        </row>
        <row r="757">
          <cell r="B757" t="str">
            <v>FY0</v>
          </cell>
          <cell r="C757">
            <v>84.713276136334002</v>
          </cell>
          <cell r="D757">
            <v>62.848543174558898</v>
          </cell>
          <cell r="E757">
            <v>61.69385816766129</v>
          </cell>
          <cell r="F757">
            <v>134.67084927666127</v>
          </cell>
          <cell r="G757">
            <v>127.57838539091584</v>
          </cell>
          <cell r="H757">
            <v>80.386796536796524</v>
          </cell>
          <cell r="I757">
            <v>66.144384006341227</v>
          </cell>
          <cell r="J757">
            <v>88.290870384181289</v>
          </cell>
          <cell r="M757">
            <v>241.37835586595756</v>
          </cell>
          <cell r="N757">
            <v>253.1053971479177</v>
          </cell>
          <cell r="O757">
            <v>181.91715913869484</v>
          </cell>
          <cell r="P757">
            <v>1471.4964997376783</v>
          </cell>
          <cell r="Q757">
            <v>146.20689655172413</v>
          </cell>
          <cell r="R757">
            <v>277.40821664307668</v>
          </cell>
          <cell r="S757">
            <v>221.87132434773477</v>
          </cell>
          <cell r="T757">
            <v>399.05483563325481</v>
          </cell>
        </row>
        <row r="758">
          <cell r="B758" t="str">
            <v>FY1</v>
          </cell>
          <cell r="C758">
            <v>89.441866664750805</v>
          </cell>
          <cell r="D758">
            <v>63.650239246080858</v>
          </cell>
          <cell r="E758">
            <v>64.649536084434075</v>
          </cell>
          <cell r="F758">
            <v>142.51297101066149</v>
          </cell>
          <cell r="G758">
            <v>138.56135541811679</v>
          </cell>
          <cell r="H758">
            <v>85.196708669039481</v>
          </cell>
          <cell r="I758">
            <v>70.318331251795755</v>
          </cell>
          <cell r="J758">
            <v>93.475858334982746</v>
          </cell>
          <cell r="M758">
            <v>254.11165435640649</v>
          </cell>
          <cell r="N758">
            <v>263.95313541078667</v>
          </cell>
          <cell r="O758">
            <v>199.76427781995659</v>
          </cell>
          <cell r="P758">
            <v>1423.9245515610419</v>
          </cell>
          <cell r="Q758">
            <v>150.411207625456</v>
          </cell>
          <cell r="R758">
            <v>301.09415930361337</v>
          </cell>
          <cell r="S758">
            <v>235.83035087439166</v>
          </cell>
          <cell r="T758">
            <v>404.15561956452171</v>
          </cell>
        </row>
        <row r="759">
          <cell r="B759" t="str">
            <v>FY2</v>
          </cell>
          <cell r="C759">
            <v>94.470626975915735</v>
          </cell>
          <cell r="D759">
            <v>65.17518498561455</v>
          </cell>
          <cell r="E759">
            <v>65.256745287340706</v>
          </cell>
          <cell r="F759">
            <v>143.6782563113386</v>
          </cell>
          <cell r="G759">
            <v>149.54497462907122</v>
          </cell>
          <cell r="H759">
            <v>84.926458142572343</v>
          </cell>
          <cell r="I759">
            <v>71.266043768232706</v>
          </cell>
          <cell r="J759">
            <v>96.331184300012268</v>
          </cell>
          <cell r="M759">
            <v>263.45795421699074</v>
          </cell>
          <cell r="N759">
            <v>268.96338053982186</v>
          </cell>
          <cell r="O759">
            <v>220.15043447163885</v>
          </cell>
          <cell r="P759">
            <v>1419.6069345194633</v>
          </cell>
          <cell r="Q759">
            <v>150.06901599080251</v>
          </cell>
          <cell r="R759">
            <v>315.80940397101631</v>
          </cell>
          <cell r="S759">
            <v>241.70819270352629</v>
          </cell>
          <cell r="T759">
            <v>411.39504520189433</v>
          </cell>
        </row>
        <row r="760">
          <cell r="L760">
            <v>2006</v>
          </cell>
          <cell r="M760">
            <v>2007</v>
          </cell>
          <cell r="N760">
            <v>2008</v>
          </cell>
          <cell r="O760">
            <v>2009</v>
          </cell>
          <cell r="P760" t="str">
            <v>2010E</v>
          </cell>
          <cell r="Q760" t="str">
            <v>2011E</v>
          </cell>
          <cell r="Y760">
            <v>2006</v>
          </cell>
          <cell r="Z760">
            <v>2007</v>
          </cell>
          <cell r="AA760">
            <v>2008</v>
          </cell>
          <cell r="AB760">
            <v>2009</v>
          </cell>
          <cell r="AC760" t="str">
            <v>2010E</v>
          </cell>
          <cell r="AD760" t="str">
            <v>2011E</v>
          </cell>
        </row>
        <row r="761">
          <cell r="B761" t="str">
            <v>SG&amp;A/Ave. Sq. Ft.</v>
          </cell>
        </row>
        <row r="762">
          <cell r="B762" t="str">
            <v>FY(5)</v>
          </cell>
        </row>
        <row r="763">
          <cell r="B763" t="str">
            <v>FY(4)</v>
          </cell>
          <cell r="C763">
            <v>56.00704205162176</v>
          </cell>
          <cell r="D763">
            <v>55.392205229403061</v>
          </cell>
          <cell r="E763">
            <v>44.629156010230183</v>
          </cell>
          <cell r="F763">
            <v>107.51969289827257</v>
          </cell>
          <cell r="G763">
            <v>106.87679102827374</v>
          </cell>
          <cell r="H763">
            <v>47.043104506938469</v>
          </cell>
          <cell r="I763">
            <v>39.524716547395336</v>
          </cell>
          <cell r="J763">
            <v>65.284672610305023</v>
          </cell>
          <cell r="M763">
            <v>218.41256995264743</v>
          </cell>
          <cell r="N763">
            <v>104.34292665631251</v>
          </cell>
          <cell r="O763">
            <v>116.46501475101104</v>
          </cell>
          <cell r="P763">
            <v>867.63254557082882</v>
          </cell>
          <cell r="Q763">
            <v>112.5</v>
          </cell>
          <cell r="R763">
            <v>241.87285423334305</v>
          </cell>
          <cell r="S763">
            <v>125.54061794744167</v>
          </cell>
          <cell r="T763">
            <v>255.25236130165493</v>
          </cell>
        </row>
        <row r="764">
          <cell r="B764" t="str">
            <v>FY(3)</v>
          </cell>
          <cell r="C764">
            <v>57.411944663898744</v>
          </cell>
          <cell r="D764">
            <v>58.063569682151588</v>
          </cell>
          <cell r="E764">
            <v>55.485933503836314</v>
          </cell>
          <cell r="F764">
            <v>115.15839610934933</v>
          </cell>
          <cell r="G764">
            <v>99.98234510535373</v>
          </cell>
          <cell r="H764">
            <v>47.998275910013625</v>
          </cell>
          <cell r="I764">
            <v>40.350299525463122</v>
          </cell>
          <cell r="J764">
            <v>67.778680642866632</v>
          </cell>
          <cell r="M764">
            <v>237.877181946847</v>
          </cell>
          <cell r="N764">
            <v>115.90657018986992</v>
          </cell>
          <cell r="O764">
            <v>133.85018750090495</v>
          </cell>
          <cell r="P764">
            <v>892.04303236676367</v>
          </cell>
          <cell r="Q764">
            <v>116.58854166666667</v>
          </cell>
          <cell r="R764">
            <v>275.18446319464653</v>
          </cell>
          <cell r="S764">
            <v>124.8842487674527</v>
          </cell>
          <cell r="T764">
            <v>270.90488937616448</v>
          </cell>
        </row>
        <row r="765">
          <cell r="B765" t="str">
            <v>FY(2)</v>
          </cell>
          <cell r="C765">
            <v>55.909441495394944</v>
          </cell>
          <cell r="D765">
            <v>55.593705293276109</v>
          </cell>
          <cell r="E765">
            <v>54.945866694929677</v>
          </cell>
          <cell r="F765">
            <v>116.65908641487049</v>
          </cell>
          <cell r="G765">
            <v>107.44424798154198</v>
          </cell>
          <cell r="H765">
            <v>47.098837501887168</v>
          </cell>
          <cell r="I765">
            <v>40.335940615417101</v>
          </cell>
          <cell r="J765">
            <v>68.283875142473917</v>
          </cell>
          <cell r="M765">
            <v>245.32544547398433</v>
          </cell>
          <cell r="N765">
            <v>124.36313366110349</v>
          </cell>
          <cell r="O765">
            <v>131.4307079198864</v>
          </cell>
          <cell r="P765">
            <v>910.05910674304778</v>
          </cell>
          <cell r="Q765">
            <v>110.55979643765903</v>
          </cell>
          <cell r="R765">
            <v>252.39239646978956</v>
          </cell>
          <cell r="S765">
            <v>130.68921569829229</v>
          </cell>
          <cell r="T765">
            <v>272.11711462910898</v>
          </cell>
        </row>
        <row r="766">
          <cell r="B766" t="str">
            <v>FY(1)</v>
          </cell>
          <cell r="C766">
            <v>54.334550424141192</v>
          </cell>
          <cell r="D766">
            <v>53.800422138836723</v>
          </cell>
          <cell r="E766">
            <v>54.735125480501665</v>
          </cell>
          <cell r="F766">
            <v>115.01341360626128</v>
          </cell>
          <cell r="G766">
            <v>101.39981901082912</v>
          </cell>
          <cell r="H766">
            <v>47.645634890778894</v>
          </cell>
          <cell r="I766">
            <v>40.422041776999137</v>
          </cell>
          <cell r="J766">
            <v>66.764429618335427</v>
          </cell>
          <cell r="M766">
            <v>243.77773741321985</v>
          </cell>
          <cell r="N766">
            <v>130.51261224586915</v>
          </cell>
          <cell r="O766">
            <v>121.95297613020131</v>
          </cell>
          <cell r="P766">
            <v>912.8896789346926</v>
          </cell>
          <cell r="Q766">
            <v>98.584070796460168</v>
          </cell>
          <cell r="R766">
            <v>215.83446884149876</v>
          </cell>
          <cell r="S766">
            <v>132.55323628783208</v>
          </cell>
          <cell r="T766">
            <v>265.15782580711056</v>
          </cell>
        </row>
        <row r="767">
          <cell r="B767" t="str">
            <v>FY0</v>
          </cell>
          <cell r="C767">
            <v>54.032910005997856</v>
          </cell>
          <cell r="D767">
            <v>56.772880824254223</v>
          </cell>
          <cell r="E767">
            <v>52.267327085717248</v>
          </cell>
          <cell r="F767">
            <v>113.29817183173039</v>
          </cell>
          <cell r="G767">
            <v>88.379605972524715</v>
          </cell>
          <cell r="H767">
            <v>48.952943722943722</v>
          </cell>
          <cell r="I767">
            <v>41.389159668084687</v>
          </cell>
          <cell r="J767">
            <v>65.013285587321832</v>
          </cell>
          <cell r="M767">
            <v>223.74818991478182</v>
          </cell>
          <cell r="N767">
            <v>138.10894996119467</v>
          </cell>
          <cell r="O767">
            <v>118.79586171124691</v>
          </cell>
          <cell r="P767">
            <v>837.76738647087723</v>
          </cell>
          <cell r="Q767">
            <v>99.94891443167306</v>
          </cell>
          <cell r="R767">
            <v>198.46761301434174</v>
          </cell>
          <cell r="S767">
            <v>126.20089584829444</v>
          </cell>
          <cell r="T767">
            <v>249.00540162177285</v>
          </cell>
        </row>
        <row r="768">
          <cell r="B768" t="str">
            <v>FY1</v>
          </cell>
          <cell r="C768">
            <v>55.348580166865275</v>
          </cell>
          <cell r="D768">
            <v>56.381275323190636</v>
          </cell>
          <cell r="E768">
            <v>53.326011039639944</v>
          </cell>
          <cell r="F768">
            <v>113.63839445500386</v>
          </cell>
          <cell r="G768">
            <v>92.492419639671866</v>
          </cell>
          <cell r="H768">
            <v>49.961621490643836</v>
          </cell>
          <cell r="I768">
            <v>42.430828483391224</v>
          </cell>
          <cell r="J768">
            <v>66.225590085486672</v>
          </cell>
          <cell r="M768">
            <v>224.104307425526</v>
          </cell>
          <cell r="N768">
            <v>143.13736750927575</v>
          </cell>
          <cell r="O768">
            <v>114.88595930240508</v>
          </cell>
          <cell r="P768">
            <v>804.68729077882745</v>
          </cell>
          <cell r="Q768">
            <v>104.02768504250595</v>
          </cell>
          <cell r="R768">
            <v>204.26032967175414</v>
          </cell>
          <cell r="S768">
            <v>127.70898912929687</v>
          </cell>
          <cell r="T768">
            <v>246.11598983708447</v>
          </cell>
        </row>
        <row r="769">
          <cell r="B769" t="str">
            <v>FY2</v>
          </cell>
          <cell r="C769">
            <v>57.518818378727502</v>
          </cell>
          <cell r="D769">
            <v>57.330946533195807</v>
          </cell>
          <cell r="E769">
            <v>53.535281598406499</v>
          </cell>
          <cell r="F769">
            <v>112.74721576913295</v>
          </cell>
          <cell r="G769">
            <v>95.574639597660976</v>
          </cell>
          <cell r="H769">
            <v>49.803139376464415</v>
          </cell>
          <cell r="I769">
            <v>43.111498751194262</v>
          </cell>
          <cell r="J769">
            <v>67.088791429254613</v>
          </cell>
          <cell r="M769">
            <v>225.90442975327224</v>
          </cell>
          <cell r="N769">
            <v>156.45874830429116</v>
          </cell>
          <cell r="O769">
            <v>121.86615690934654</v>
          </cell>
          <cell r="P769">
            <v>798.32419057795209</v>
          </cell>
          <cell r="Q769">
            <v>102.67340356034649</v>
          </cell>
          <cell r="R769">
            <v>209.66028850840351</v>
          </cell>
          <cell r="S769">
            <v>126.98749949091251</v>
          </cell>
          <cell r="T769">
            <v>248.83924530064638</v>
          </cell>
        </row>
        <row r="771">
          <cell r="B771" t="str">
            <v>Capex/Ave. Sq. Ft.</v>
          </cell>
        </row>
        <row r="772">
          <cell r="B772" t="str">
            <v>FY(5)</v>
          </cell>
        </row>
        <row r="773">
          <cell r="B773" t="str">
            <v>FY(4)</v>
          </cell>
          <cell r="C773">
            <v>15.650127041585197</v>
          </cell>
          <cell r="D773">
            <v>5.2787370498273312</v>
          </cell>
          <cell r="E773">
            <v>4.1943734015345262</v>
          </cell>
          <cell r="F773">
            <v>13.904491362763915</v>
          </cell>
          <cell r="G773">
            <v>17.349866666666664</v>
          </cell>
          <cell r="H773">
            <v>10.797678988087929</v>
          </cell>
          <cell r="I773">
            <v>7.2889045655959963</v>
          </cell>
          <cell r="J773">
            <v>10.637739868008794</v>
          </cell>
          <cell r="M773">
            <v>44.15359448988378</v>
          </cell>
          <cell r="N773">
            <v>26.787956747898207</v>
          </cell>
          <cell r="O773">
            <v>17.51286592697922</v>
          </cell>
          <cell r="P773">
            <v>112.13568379804623</v>
          </cell>
          <cell r="Q773">
            <v>16.129032258064516</v>
          </cell>
          <cell r="R773">
            <v>46.552225778295025</v>
          </cell>
          <cell r="S773">
            <v>66.123052655909831</v>
          </cell>
          <cell r="T773">
            <v>47.056344522153829</v>
          </cell>
        </row>
        <row r="774">
          <cell r="B774" t="str">
            <v>FY(3)</v>
          </cell>
          <cell r="C774">
            <v>19.550721957943221</v>
          </cell>
          <cell r="D774">
            <v>7.5501222493887532</v>
          </cell>
          <cell r="E774">
            <v>8.9002557544757028</v>
          </cell>
          <cell r="F774">
            <v>13.258144169664458</v>
          </cell>
          <cell r="G774">
            <v>16.490533333333335</v>
          </cell>
          <cell r="H774">
            <v>12.45543783543283</v>
          </cell>
          <cell r="I774">
            <v>5.2297422559178761</v>
          </cell>
          <cell r="J774">
            <v>11.919279650879451</v>
          </cell>
          <cell r="M774">
            <v>63.449598993552442</v>
          </cell>
          <cell r="N774">
            <v>17.981488056245905</v>
          </cell>
          <cell r="O774">
            <v>45.435185497999505</v>
          </cell>
          <cell r="P774">
            <v>137.7643293126859</v>
          </cell>
          <cell r="Q774">
            <v>14.895833333333334</v>
          </cell>
          <cell r="R774">
            <v>53.147124430220153</v>
          </cell>
          <cell r="S774">
            <v>91.962971749976475</v>
          </cell>
          <cell r="T774">
            <v>60.662361624859102</v>
          </cell>
        </row>
        <row r="775">
          <cell r="B775" t="str">
            <v>FY(2)</v>
          </cell>
          <cell r="C775">
            <v>23.315381939718403</v>
          </cell>
          <cell r="D775">
            <v>11.855030996661897</v>
          </cell>
          <cell r="E775">
            <v>7.0978703177340767</v>
          </cell>
          <cell r="F775">
            <v>24.767648803638519</v>
          </cell>
          <cell r="G775">
            <v>18.18285790278609</v>
          </cell>
          <cell r="H775">
            <v>11.882693372251019</v>
          </cell>
          <cell r="I775">
            <v>7.0074797050669178</v>
          </cell>
          <cell r="J775">
            <v>14.872709005408135</v>
          </cell>
          <cell r="M775">
            <v>57.497505345687813</v>
          </cell>
          <cell r="N775">
            <v>29.600011795985552</v>
          </cell>
          <cell r="O775">
            <v>46.018022425256582</v>
          </cell>
          <cell r="P775">
            <v>124.51749822997978</v>
          </cell>
          <cell r="Q775">
            <v>17.353689567430024</v>
          </cell>
          <cell r="R775">
            <v>72.640868974881201</v>
          </cell>
          <cell r="S775">
            <v>42.855195352011023</v>
          </cell>
          <cell r="T775">
            <v>55.783255955890283</v>
          </cell>
        </row>
        <row r="776">
          <cell r="B776" t="str">
            <v>FY(1)</v>
          </cell>
          <cell r="C776">
            <v>13.997694659755247</v>
          </cell>
          <cell r="D776">
            <v>8.980638941004786</v>
          </cell>
          <cell r="E776">
            <v>5.8048483750307396</v>
          </cell>
          <cell r="F776">
            <v>27.116195063214931</v>
          </cell>
          <cell r="G776">
            <v>16.908512704055976</v>
          </cell>
          <cell r="H776">
            <v>10.294403669724771</v>
          </cell>
          <cell r="I776">
            <v>7.4978224541521676</v>
          </cell>
          <cell r="J776">
            <v>12.942873695276946</v>
          </cell>
          <cell r="M776">
            <v>48.698681857322647</v>
          </cell>
          <cell r="N776">
            <v>26.700095243791303</v>
          </cell>
          <cell r="O776">
            <v>44.082541603952585</v>
          </cell>
          <cell r="P776">
            <v>129.89939090124025</v>
          </cell>
          <cell r="Q776">
            <v>10.897597977243993</v>
          </cell>
          <cell r="R776">
            <v>45.168864601849187</v>
          </cell>
          <cell r="S776">
            <v>36.033127969569257</v>
          </cell>
          <cell r="T776">
            <v>48.782900022138456</v>
          </cell>
        </row>
        <row r="777">
          <cell r="B777" t="str">
            <v>FY0</v>
          </cell>
          <cell r="C777">
            <v>8.6838605366782282</v>
          </cell>
          <cell r="D777">
            <v>5.4571817517706718</v>
          </cell>
          <cell r="E777">
            <v>2.9822588017154472</v>
          </cell>
          <cell r="F777">
            <v>16.54658898962391</v>
          </cell>
          <cell r="G777">
            <v>9.9355514673446681</v>
          </cell>
          <cell r="H777">
            <v>6.8609090909090904</v>
          </cell>
          <cell r="I777">
            <v>5.3375383441441961</v>
          </cell>
          <cell r="J777">
            <v>7.9719841403123155</v>
          </cell>
          <cell r="M777">
            <v>22.486320240917536</v>
          </cell>
          <cell r="N777">
            <v>16.053353274770263</v>
          </cell>
          <cell r="O777">
            <v>20.015510492988312</v>
          </cell>
          <cell r="P777">
            <v>86.815132055125204</v>
          </cell>
          <cell r="Q777">
            <v>8.5312899106002558</v>
          </cell>
          <cell r="R777">
            <v>18.505540210615035</v>
          </cell>
          <cell r="S777">
            <v>33.63074150631536</v>
          </cell>
          <cell r="T777">
            <v>29.433983955904569</v>
          </cell>
        </row>
        <row r="778">
          <cell r="B778" t="str">
            <v>FY1</v>
          </cell>
          <cell r="C778">
            <v>11.431281531312116</v>
          </cell>
          <cell r="D778">
            <v>4.6606283991406849</v>
          </cell>
          <cell r="E778">
            <v>3.6536938616378576</v>
          </cell>
          <cell r="F778">
            <v>19.971528510839402</v>
          </cell>
          <cell r="G778">
            <v>10.337560270578901</v>
          </cell>
          <cell r="H778">
            <v>8.9375148013948102</v>
          </cell>
          <cell r="I778">
            <v>5.631509653744514</v>
          </cell>
          <cell r="J778">
            <v>9.2319595755211843</v>
          </cell>
          <cell r="M778">
            <v>31.581589973941607</v>
          </cell>
          <cell r="N778">
            <v>22.536174951703867</v>
          </cell>
          <cell r="O778">
            <v>16.494141917142809</v>
          </cell>
          <cell r="P778">
            <v>61.969777790835089</v>
          </cell>
          <cell r="Q778">
            <v>15.358166476343248</v>
          </cell>
          <cell r="R778">
            <v>25.08457838225512</v>
          </cell>
          <cell r="S778">
            <v>37.499583215737189</v>
          </cell>
          <cell r="T778">
            <v>30.074858958279851</v>
          </cell>
        </row>
        <row r="779">
          <cell r="B779" t="str">
            <v>FY2</v>
          </cell>
          <cell r="C779">
            <v>13.201263919776572</v>
          </cell>
          <cell r="D779">
            <v>4.9120454125524784</v>
          </cell>
          <cell r="E779">
            <v>4.5538911786073388</v>
          </cell>
          <cell r="F779">
            <v>22.455132868357687</v>
          </cell>
          <cell r="G779">
            <v>4.7563336472679971</v>
          </cell>
          <cell r="H779">
            <v>9.2300529470413881</v>
          </cell>
          <cell r="I779">
            <v>6.0082645512141291</v>
          </cell>
          <cell r="J779">
            <v>9.3024263606882265</v>
          </cell>
          <cell r="M779">
            <v>31.943254449694578</v>
          </cell>
          <cell r="N779">
            <v>23.669632448856579</v>
          </cell>
          <cell r="O779">
            <v>16.841263611542193</v>
          </cell>
          <cell r="P779">
            <v>73.551267367681376</v>
          </cell>
          <cell r="Q779">
            <v>13.81177125718035</v>
          </cell>
          <cell r="R779">
            <v>29.323727692909848</v>
          </cell>
          <cell r="S779">
            <v>38.157243361192954</v>
          </cell>
          <cell r="T779">
            <v>32.47116574129398</v>
          </cell>
        </row>
        <row r="781">
          <cell r="B781" t="str">
            <v>Inventories/Ave. Sq. Ft.</v>
          </cell>
        </row>
        <row r="782">
          <cell r="B782" t="str">
            <v>FY(5)</v>
          </cell>
        </row>
        <row r="783">
          <cell r="B783" t="str">
            <v>FY(4)</v>
          </cell>
          <cell r="C783">
            <v>42.287688567357257</v>
          </cell>
          <cell r="D783">
            <v>31.672422298963983</v>
          </cell>
          <cell r="E783">
            <v>34.904092071611259</v>
          </cell>
          <cell r="F783">
            <v>48.93041586692258</v>
          </cell>
          <cell r="G783">
            <v>107.62813333333334</v>
          </cell>
          <cell r="H783">
            <v>57.601068402308734</v>
          </cell>
          <cell r="I783">
            <v>34.770853082310062</v>
          </cell>
          <cell r="J783">
            <v>51.113524803258166</v>
          </cell>
          <cell r="M783">
            <v>62.425484287559186</v>
          </cell>
          <cell r="N783">
            <v>42.238287306109697</v>
          </cell>
          <cell r="O783">
            <v>45.258984028274867</v>
          </cell>
          <cell r="P783">
            <v>218.62261787838176</v>
          </cell>
          <cell r="Q783">
            <v>45.591397849462368</v>
          </cell>
          <cell r="R783">
            <v>112.47114731839783</v>
          </cell>
          <cell r="S783">
            <v>72.670130452349909</v>
          </cell>
          <cell r="T783">
            <v>85.611149874362226</v>
          </cell>
        </row>
        <row r="784">
          <cell r="B784" t="str">
            <v>FY(3)</v>
          </cell>
          <cell r="C784">
            <v>43.340639760636066</v>
          </cell>
          <cell r="D784">
            <v>33.251833740831295</v>
          </cell>
          <cell r="E784">
            <v>33.996163682864449</v>
          </cell>
          <cell r="F784">
            <v>50.001328637144184</v>
          </cell>
          <cell r="G784">
            <v>104.70693333333334</v>
          </cell>
          <cell r="H784">
            <v>58.492756041266929</v>
          </cell>
          <cell r="I784">
            <v>35.721268383115891</v>
          </cell>
          <cell r="J784">
            <v>51.358703368456027</v>
          </cell>
          <cell r="M784">
            <v>67.219216857996543</v>
          </cell>
          <cell r="N784">
            <v>40.594662439556153</v>
          </cell>
          <cell r="O784">
            <v>53.017469518031781</v>
          </cell>
          <cell r="P784">
            <v>240.27566037629057</v>
          </cell>
          <cell r="Q784">
            <v>46.770833333333329</v>
          </cell>
          <cell r="R784">
            <v>171.66133255746291</v>
          </cell>
          <cell r="S784">
            <v>66.962006704571621</v>
          </cell>
          <cell r="T784">
            <v>98.071597398177559</v>
          </cell>
        </row>
        <row r="785">
          <cell r="B785" t="str">
            <v>FY(2)</v>
          </cell>
          <cell r="C785">
            <v>43.188194728006899</v>
          </cell>
          <cell r="D785">
            <v>34.725798760133522</v>
          </cell>
          <cell r="E785">
            <v>32.502464984375045</v>
          </cell>
          <cell r="F785">
            <v>47.261222068420011</v>
          </cell>
          <cell r="G785">
            <v>113.99335062171687</v>
          </cell>
          <cell r="H785">
            <v>51.597554224749636</v>
          </cell>
          <cell r="I785">
            <v>36.399609060748503</v>
          </cell>
          <cell r="J785">
            <v>51.381170635450069</v>
          </cell>
          <cell r="M785">
            <v>47.49151817533857</v>
          </cell>
          <cell r="N785">
            <v>49.085685247861349</v>
          </cell>
          <cell r="O785">
            <v>52.648181378713971</v>
          </cell>
          <cell r="P785">
            <v>257.38613311789618</v>
          </cell>
          <cell r="Q785">
            <v>40.07633587786259</v>
          </cell>
          <cell r="R785">
            <v>121.29036950829212</v>
          </cell>
          <cell r="S785">
            <v>63.863044646740875</v>
          </cell>
          <cell r="T785">
            <v>90.26303827895795</v>
          </cell>
        </row>
        <row r="786">
          <cell r="B786" t="str">
            <v>FY(1)</v>
          </cell>
          <cell r="C786">
            <v>38.638606856661674</v>
          </cell>
          <cell r="D786">
            <v>30.204233548745712</v>
          </cell>
          <cell r="E786">
            <v>30.862120290436561</v>
          </cell>
          <cell r="F786">
            <v>43.347381095725467</v>
          </cell>
          <cell r="G786">
            <v>96.803875006770056</v>
          </cell>
          <cell r="H786">
            <v>40.415504587155958</v>
          </cell>
          <cell r="I786">
            <v>33.690578447862052</v>
          </cell>
          <cell r="J786">
            <v>44.851757119051065</v>
          </cell>
          <cell r="M786">
            <v>49.337219315095716</v>
          </cell>
          <cell r="N786">
            <v>40.631348648226286</v>
          </cell>
          <cell r="O786">
            <v>48.999098611832324</v>
          </cell>
          <cell r="P786">
            <v>236.7883299458334</v>
          </cell>
          <cell r="Q786">
            <v>38.078381795195952</v>
          </cell>
          <cell r="R786">
            <v>111.44780827278598</v>
          </cell>
          <cell r="S786">
            <v>54.327736712304102</v>
          </cell>
          <cell r="T786">
            <v>82.801417614467681</v>
          </cell>
        </row>
        <row r="787">
          <cell r="B787" t="str">
            <v>FY0</v>
          </cell>
          <cell r="C787">
            <v>38.112499022087775</v>
          </cell>
          <cell r="D787">
            <v>27.504196028924184</v>
          </cell>
          <cell r="E787">
            <v>29.919835586775626</v>
          </cell>
          <cell r="F787">
            <v>41.274546979672976</v>
          </cell>
          <cell r="G787">
            <v>86.489403842931324</v>
          </cell>
          <cell r="H787">
            <v>37.770476190476195</v>
          </cell>
          <cell r="I787">
            <v>31.484389352146167</v>
          </cell>
          <cell r="J787">
            <v>41.793621000430612</v>
          </cell>
          <cell r="M787">
            <v>39.808419299032487</v>
          </cell>
          <cell r="N787">
            <v>39.599343958504335</v>
          </cell>
          <cell r="O787">
            <v>51.280762386127712</v>
          </cell>
          <cell r="P787">
            <v>206.63203912686348</v>
          </cell>
          <cell r="Q787">
            <v>37.726692209450832</v>
          </cell>
          <cell r="R787">
            <v>94.960263474919032</v>
          </cell>
          <cell r="S787">
            <v>52.530906640433855</v>
          </cell>
          <cell r="T787">
            <v>74.648346727904524</v>
          </cell>
        </row>
        <row r="788">
          <cell r="B788" t="str">
            <v>FY1</v>
          </cell>
          <cell r="C788">
            <v>39.347452029995708</v>
          </cell>
          <cell r="D788">
            <v>29.356748438334701</v>
          </cell>
          <cell r="E788">
            <v>30.52408774498835</v>
          </cell>
          <cell r="F788">
            <v>40.102918192343012</v>
          </cell>
          <cell r="G788">
            <v>88.953357019349212</v>
          </cell>
          <cell r="H788">
            <v>34.435038762035724</v>
          </cell>
          <cell r="I788">
            <v>31.366907365486593</v>
          </cell>
          <cell r="J788">
            <v>42.012358507504757</v>
          </cell>
          <cell r="M788">
            <v>32.314250277819518</v>
          </cell>
          <cell r="N788">
            <v>41.192025535021067</v>
          </cell>
          <cell r="O788">
            <v>51.788879564784338</v>
          </cell>
          <cell r="P788">
            <v>194.15276857213092</v>
          </cell>
          <cell r="Q788">
            <v>40.220785229448175</v>
          </cell>
          <cell r="R788">
            <v>96.921492997836197</v>
          </cell>
          <cell r="S788">
            <v>52.092692826174805</v>
          </cell>
          <cell r="T788">
            <v>72.668985000459287</v>
          </cell>
        </row>
        <row r="789">
          <cell r="B789" t="str">
            <v>FY2</v>
          </cell>
          <cell r="C789">
            <v>40.626498868924216</v>
          </cell>
          <cell r="D789">
            <v>30.080029219039286</v>
          </cell>
          <cell r="E789">
            <v>30.424488748700757</v>
          </cell>
          <cell r="F789">
            <v>40.942278457992401</v>
          </cell>
          <cell r="G789">
            <v>90.531911795975219</v>
          </cell>
          <cell r="H789">
            <v>34.293484579602911</v>
          </cell>
          <cell r="I789">
            <v>31.764467878342945</v>
          </cell>
          <cell r="J789">
            <v>42.666165649796817</v>
          </cell>
          <cell r="M789">
            <v>31.98389582712926</v>
          </cell>
          <cell r="N789">
            <v>43.439322753006394</v>
          </cell>
          <cell r="O789">
            <v>54.5597682803675</v>
          </cell>
          <cell r="P789">
            <v>193.56405949949226</v>
          </cell>
          <cell r="Q789">
            <v>39.34285076815766</v>
          </cell>
          <cell r="R789">
            <v>97.977982331153342</v>
          </cell>
          <cell r="S789">
            <v>51.806692772736874</v>
          </cell>
          <cell r="T789">
            <v>73.239224604577615</v>
          </cell>
        </row>
        <row r="791">
          <cell r="A791" t="str">
            <v>Turnover Ratios</v>
          </cell>
        </row>
        <row r="792">
          <cell r="B792" t="str">
            <v>Inventory Turnover</v>
          </cell>
          <cell r="C792" t="str">
            <v>COGS/ Average Inventory</v>
          </cell>
        </row>
        <row r="793">
          <cell r="B793" t="str">
            <v>FY(5)</v>
          </cell>
        </row>
        <row r="794">
          <cell r="B794" t="str">
            <v>FY(4)</v>
          </cell>
          <cell r="C794">
            <v>3.5887445581823387</v>
          </cell>
          <cell r="D794">
            <v>3.5071104387291983</v>
          </cell>
          <cell r="E794">
            <v>2.4632516703786194</v>
          </cell>
          <cell r="F794">
            <v>5.0049716705396659</v>
          </cell>
          <cell r="G794">
            <v>2.2038539088848883</v>
          </cell>
          <cell r="H794">
            <v>3.8723010121518526</v>
          </cell>
          <cell r="I794">
            <v>4.9345555526362066</v>
          </cell>
          <cell r="J794">
            <v>3.65354125878611</v>
          </cell>
          <cell r="M794">
            <v>2.3139206793057574</v>
          </cell>
          <cell r="N794">
            <v>8.706738923592436</v>
          </cell>
          <cell r="O794">
            <v>5.2531435569993015</v>
          </cell>
          <cell r="P794">
            <v>1.8384352724131579</v>
          </cell>
          <cell r="Q794">
            <v>5.8150057273768612</v>
          </cell>
          <cell r="R794">
            <v>4.2457406756346234</v>
          </cell>
          <cell r="S794">
            <v>4.366211613358483</v>
          </cell>
          <cell r="T794">
            <v>4.648456635525803</v>
          </cell>
        </row>
        <row r="795">
          <cell r="B795" t="str">
            <v>FY(3)</v>
          </cell>
          <cell r="C795">
            <v>3.6501712975682681</v>
          </cell>
          <cell r="D795">
            <v>3.4353324811816504</v>
          </cell>
          <cell r="E795">
            <v>3.0874048376216634</v>
          </cell>
          <cell r="F795">
            <v>5.4819834648124264</v>
          </cell>
          <cell r="G795">
            <v>2.1970428773649524</v>
          </cell>
          <cell r="H795">
            <v>4.1574165729428252</v>
          </cell>
          <cell r="I795">
            <v>4.9681673333211762</v>
          </cell>
          <cell r="J795">
            <v>3.8539312664018519</v>
          </cell>
          <cell r="M795">
            <v>2.8490901919537208</v>
          </cell>
          <cell r="N795">
            <v>8.1120757761678242</v>
          </cell>
          <cell r="O795">
            <v>5.2859602020616983</v>
          </cell>
          <cell r="P795">
            <v>1.7287047394205184</v>
          </cell>
          <cell r="Q795">
            <v>6.0907742509641052</v>
          </cell>
          <cell r="R795">
            <v>4.4077897786054212</v>
          </cell>
          <cell r="S795">
            <v>4.736546617960725</v>
          </cell>
          <cell r="T795">
            <v>4.7444202224477161</v>
          </cell>
        </row>
        <row r="796">
          <cell r="B796" t="str">
            <v>FY(2)</v>
          </cell>
          <cell r="C796">
            <v>3.6994142782691952</v>
          </cell>
          <cell r="D796">
            <v>3.5350521739130434</v>
          </cell>
          <cell r="E796">
            <v>3.1899481127276426</v>
          </cell>
          <cell r="F796">
            <v>5.954933189655172</v>
          </cell>
          <cell r="G796">
            <v>2.5106978879127166</v>
          </cell>
          <cell r="H796">
            <v>4.8450837803911453</v>
          </cell>
          <cell r="I796">
            <v>5.1694422378141152</v>
          </cell>
          <cell r="J796">
            <v>4.1292245229547193</v>
          </cell>
          <cell r="M796">
            <v>3.4340502427098456</v>
          </cell>
          <cell r="N796">
            <v>7.8956659362064769</v>
          </cell>
          <cell r="O796">
            <v>5.6148761723594065</v>
          </cell>
          <cell r="P796">
            <v>1.9336965828087429</v>
          </cell>
          <cell r="Q796">
            <v>6.5361895488477764</v>
          </cell>
          <cell r="R796">
            <v>5.4452466402739583</v>
          </cell>
          <cell r="S796">
            <v>5.4501716804781868</v>
          </cell>
          <cell r="T796">
            <v>5.1871281148120563</v>
          </cell>
        </row>
        <row r="797">
          <cell r="B797" t="str">
            <v>FY(1)</v>
          </cell>
          <cell r="C797">
            <v>3.6118885005242918</v>
          </cell>
          <cell r="D797">
            <v>3.6831045611032631</v>
          </cell>
          <cell r="E797">
            <v>3.198849104859335</v>
          </cell>
          <cell r="F797">
            <v>6.0394694104560624</v>
          </cell>
          <cell r="G797">
            <v>2.9933797133168416</v>
          </cell>
          <cell r="H797">
            <v>5.6531710421566235</v>
          </cell>
          <cell r="I797">
            <v>5.5990322297615744</v>
          </cell>
          <cell r="J797">
            <v>4.3969849374539987</v>
          </cell>
          <cell r="M797">
            <v>3.3758386805393905</v>
          </cell>
          <cell r="N797">
            <v>9.4984013113489549</v>
          </cell>
          <cell r="O797">
            <v>5.8410639509995459</v>
          </cell>
          <cell r="P797">
            <v>2.4002742624542766</v>
          </cell>
          <cell r="Q797">
            <v>6.0871605766007377</v>
          </cell>
          <cell r="R797">
            <v>5.4419906437830923</v>
          </cell>
          <cell r="S797">
            <v>6.3015839113279464</v>
          </cell>
          <cell r="T797">
            <v>5.5637590481505637</v>
          </cell>
        </row>
        <row r="798">
          <cell r="B798" t="str">
            <v>FY0</v>
          </cell>
          <cell r="C798">
            <v>3.5323317687561731</v>
          </cell>
          <cell r="D798">
            <v>3.392747310751735</v>
          </cell>
          <cell r="E798">
            <v>2.9932833540756003</v>
          </cell>
          <cell r="F798">
            <v>5.8804120596511433</v>
          </cell>
          <cell r="G798">
            <v>2.5306349090500406</v>
          </cell>
          <cell r="H798">
            <v>6.2406407993436952</v>
          </cell>
          <cell r="I798">
            <v>5.8044599173301963</v>
          </cell>
          <cell r="J798">
            <v>4.3392157312797979</v>
          </cell>
          <cell r="M798">
            <v>3.6722072190744006</v>
          </cell>
          <cell r="N798">
            <v>9.9304948772299113</v>
          </cell>
          <cell r="O798">
            <v>5.5960303546763486</v>
          </cell>
          <cell r="P798">
            <v>2.7134102297852838</v>
          </cell>
          <cell r="Q798">
            <v>5.615370155671922</v>
          </cell>
          <cell r="R798">
            <v>5.3564095066318336</v>
          </cell>
          <cell r="S798">
            <v>5.8671152610791442</v>
          </cell>
          <cell r="T798">
            <v>5.5358625148784055</v>
          </cell>
        </row>
        <row r="799">
          <cell r="B799" t="str">
            <v>FY1</v>
          </cell>
          <cell r="C799">
            <v>3.5294359731233071</v>
          </cell>
          <cell r="D799">
            <v>3.2608196426672098</v>
          </cell>
          <cell r="E799">
            <v>3.0835504775409524</v>
          </cell>
          <cell r="F799">
            <v>6.0262598083973495</v>
          </cell>
          <cell r="G799">
            <v>2.4805647249526515</v>
          </cell>
          <cell r="H799">
            <v>6.7235442342658001</v>
          </cell>
          <cell r="I799">
            <v>5.9830051554892743</v>
          </cell>
          <cell r="J799">
            <v>4.4410257166337912</v>
          </cell>
          <cell r="M799">
            <v>4.276666494651332</v>
          </cell>
          <cell r="N799">
            <v>9.6775044370445986</v>
          </cell>
          <cell r="O799">
            <v>5.0509147014061533</v>
          </cell>
          <cell r="P799">
            <v>2.7059775822106986</v>
          </cell>
          <cell r="Q799">
            <v>5.5249170463734361</v>
          </cell>
          <cell r="R799">
            <v>5.4821208658836831</v>
          </cell>
          <cell r="S799">
            <v>6.0772587951321562</v>
          </cell>
          <cell r="T799">
            <v>5.542194274671723</v>
          </cell>
        </row>
        <row r="800">
          <cell r="B800" t="str">
            <v>FY2</v>
          </cell>
          <cell r="C800">
            <v>4.0032845383298508</v>
          </cell>
          <cell r="D800">
            <v>3.3294959588521795</v>
          </cell>
          <cell r="E800">
            <v>3.0070600124608067</v>
          </cell>
          <cell r="F800">
            <v>6.0136541557279175</v>
          </cell>
          <cell r="G800">
            <v>2.409865145409928</v>
          </cell>
          <cell r="H800">
            <v>6.7058911884400656</v>
          </cell>
          <cell r="I800">
            <v>6.1706576678799614</v>
          </cell>
          <cell r="J800">
            <v>4.5199869524429586</v>
          </cell>
          <cell r="M800">
            <v>4.3842209929167737</v>
          </cell>
          <cell r="N800">
            <v>11.770801651037218</v>
          </cell>
          <cell r="O800">
            <v>5.9420682003315219</v>
          </cell>
          <cell r="P800">
            <v>2.8352770417443303</v>
          </cell>
          <cell r="Q800">
            <v>5.5555946367844902</v>
          </cell>
          <cell r="R800">
            <v>5.2554780722033101</v>
          </cell>
          <cell r="S800">
            <v>7.170138296630852</v>
          </cell>
          <cell r="T800">
            <v>6.1305112702355</v>
          </cell>
        </row>
        <row r="802">
          <cell r="B802" t="str">
            <v>Receivables Turnover</v>
          </cell>
        </row>
        <row r="803">
          <cell r="B803" t="str">
            <v>FY(5)</v>
          </cell>
        </row>
        <row r="804">
          <cell r="B804" t="str">
            <v>FY(4)</v>
          </cell>
        </row>
        <row r="805">
          <cell r="B805" t="str">
            <v>FY(3)</v>
          </cell>
        </row>
        <row r="806">
          <cell r="B806" t="str">
            <v>FY(2)</v>
          </cell>
        </row>
        <row r="807">
          <cell r="B807" t="str">
            <v>FY(1)</v>
          </cell>
        </row>
        <row r="808">
          <cell r="B808" t="str">
            <v>FY0</v>
          </cell>
        </row>
        <row r="809">
          <cell r="B809" t="str">
            <v>FY1</v>
          </cell>
        </row>
        <row r="810">
          <cell r="B810" t="str">
            <v>FY2</v>
          </cell>
        </row>
        <row r="812">
          <cell r="B812" t="str">
            <v>A/P Turnover</v>
          </cell>
          <cell r="C812" t="str">
            <v>COGS/ Average Accounts Payable</v>
          </cell>
        </row>
        <row r="813">
          <cell r="B813" t="str">
            <v>FY(5)</v>
          </cell>
        </row>
        <row r="814">
          <cell r="B814" t="str">
            <v>FY(4)</v>
          </cell>
          <cell r="C814">
            <v>9.7958054736398239</v>
          </cell>
          <cell r="D814">
            <v>4.0031082714557069</v>
          </cell>
          <cell r="E814">
            <v>2.6948223350253806</v>
          </cell>
          <cell r="F814">
            <v>8.753505280641825</v>
          </cell>
          <cell r="G814">
            <v>8.3344795322748411</v>
          </cell>
          <cell r="H814">
            <v>4.1580473990017675</v>
          </cell>
          <cell r="I814">
            <v>9.0904474753371769</v>
          </cell>
          <cell r="J814">
            <v>6.6900308239109316</v>
          </cell>
          <cell r="M814">
            <v>6.6805714431900833</v>
          </cell>
          <cell r="N814">
            <v>13.905701048041426</v>
          </cell>
          <cell r="O814">
            <v>8.0297280141261229</v>
          </cell>
          <cell r="P814">
            <v>5.3058340929808567</v>
          </cell>
          <cell r="Q814">
            <v>9.0611334225792053</v>
          </cell>
          <cell r="R814">
            <v>11.027610908188233</v>
          </cell>
          <cell r="S814">
            <v>12.961920012891399</v>
          </cell>
          <cell r="T814">
            <v>9.5674998488567606</v>
          </cell>
        </row>
        <row r="815">
          <cell r="B815" t="str">
            <v>FY(3)</v>
          </cell>
          <cell r="C815">
            <v>11.204175871474803</v>
          </cell>
          <cell r="D815">
            <v>3.9057284030356856</v>
          </cell>
          <cell r="E815">
            <v>3.669453670828084</v>
          </cell>
          <cell r="F815">
            <v>9.4526269513663532</v>
          </cell>
          <cell r="G815">
            <v>8.8471371622184858</v>
          </cell>
          <cell r="H815">
            <v>4.2360528769904047</v>
          </cell>
          <cell r="I815">
            <v>9.1472607789399216</v>
          </cell>
          <cell r="J815">
            <v>7.2089193878362483</v>
          </cell>
          <cell r="M815">
            <v>7.7363659731246521</v>
          </cell>
          <cell r="N815">
            <v>11.822018899238763</v>
          </cell>
          <cell r="O815">
            <v>8.8366891739952234</v>
          </cell>
          <cell r="P815">
            <v>4.7958376068461268</v>
          </cell>
          <cell r="Q815">
            <v>9.7078014184397166</v>
          </cell>
          <cell r="R815">
            <v>11.997430077286912</v>
          </cell>
          <cell r="S815">
            <v>11.707256476291473</v>
          </cell>
          <cell r="T815">
            <v>9.5147713750318381</v>
          </cell>
        </row>
        <row r="816">
          <cell r="B816" t="str">
            <v>FY(2)</v>
          </cell>
          <cell r="C816">
            <v>12.183682443352737</v>
          </cell>
          <cell r="D816">
            <v>4.1139922415247092</v>
          </cell>
          <cell r="E816">
            <v>3.9012069180042306</v>
          </cell>
          <cell r="F816">
            <v>9.8769937444146549</v>
          </cell>
          <cell r="G816">
            <v>14.910961161122177</v>
          </cell>
          <cell r="H816">
            <v>4.7735365590208625</v>
          </cell>
          <cell r="I816">
            <v>9.9150343833078871</v>
          </cell>
          <cell r="J816">
            <v>8.5250582072496091</v>
          </cell>
          <cell r="M816">
            <v>8.035058746281722</v>
          </cell>
          <cell r="N816">
            <v>11.75069076414368</v>
          </cell>
          <cell r="O816">
            <v>10.530981044916709</v>
          </cell>
          <cell r="P816">
            <v>4.8310283360993305</v>
          </cell>
          <cell r="Q816">
            <v>10.165572942958102</v>
          </cell>
          <cell r="R816">
            <v>13.105748300127441</v>
          </cell>
          <cell r="S816">
            <v>13.593020624201497</v>
          </cell>
          <cell r="T816">
            <v>10.287442965532639</v>
          </cell>
        </row>
        <row r="817">
          <cell r="B817" t="str">
            <v>FY(1)</v>
          </cell>
          <cell r="C817">
            <v>9.9889927501208309</v>
          </cell>
          <cell r="D817">
            <v>4.095742647329522</v>
          </cell>
          <cell r="E817">
            <v>3.8249235474006116</v>
          </cell>
          <cell r="F817">
            <v>8.424333591931731</v>
          </cell>
          <cell r="G817">
            <v>21.490244702964883</v>
          </cell>
          <cell r="H817">
            <v>4.7607794246042996</v>
          </cell>
          <cell r="I817">
            <v>10.360702845332504</v>
          </cell>
          <cell r="J817">
            <v>8.9922456442406258</v>
          </cell>
          <cell r="M817">
            <v>7.6893096399643879</v>
          </cell>
          <cell r="N817">
            <v>14.650457771405796</v>
          </cell>
          <cell r="O817">
            <v>11.685776286728011</v>
          </cell>
          <cell r="P817">
            <v>6.5079935227440009</v>
          </cell>
          <cell r="Q817">
            <v>9.06993006993007</v>
          </cell>
          <cell r="R817">
            <v>12.289419946699677</v>
          </cell>
          <cell r="S817">
            <v>15.90314618854436</v>
          </cell>
          <cell r="T817">
            <v>11.11371906085947</v>
          </cell>
        </row>
        <row r="818">
          <cell r="B818" t="str">
            <v>FY0</v>
          </cell>
          <cell r="C818">
            <v>8.691082289624811</v>
          </cell>
          <cell r="D818">
            <v>3.7046564480701401</v>
          </cell>
          <cell r="E818">
            <v>3.4688941367079806</v>
          </cell>
          <cell r="F818">
            <v>7.2015440731826743</v>
          </cell>
          <cell r="G818">
            <v>15.85803566469516</v>
          </cell>
          <cell r="H818">
            <v>4.6136866352743597</v>
          </cell>
          <cell r="I818">
            <v>9.6532857111354655</v>
          </cell>
          <cell r="J818">
            <v>7.598740708384371</v>
          </cell>
          <cell r="M818">
            <v>7.1666740644860711</v>
          </cell>
          <cell r="N818">
            <v>14.480976475633927</v>
          </cell>
          <cell r="O818">
            <v>12.482792929544404</v>
          </cell>
          <cell r="P818">
            <v>8.7568525693402997</v>
          </cell>
          <cell r="Q818">
            <v>8.2622426097376138</v>
          </cell>
          <cell r="R818">
            <v>10.801041321580231</v>
          </cell>
          <cell r="S818">
            <v>12.428762254756602</v>
          </cell>
          <cell r="T818">
            <v>10.625620317868449</v>
          </cell>
        </row>
        <row r="819">
          <cell r="B819" t="str">
            <v>FY1</v>
          </cell>
          <cell r="C819">
            <v>8.5301034342688062</v>
          </cell>
          <cell r="D819">
            <v>3.703016351168654</v>
          </cell>
          <cell r="E819">
            <v>3.503132346751415</v>
          </cell>
          <cell r="F819">
            <v>7.3339711264105985</v>
          </cell>
          <cell r="G819">
            <v>15.392331322057588</v>
          </cell>
          <cell r="H819">
            <v>4.7800925822942011</v>
          </cell>
          <cell r="I819">
            <v>9.8151091658853993</v>
          </cell>
          <cell r="J819">
            <v>7.5796794755480947</v>
          </cell>
          <cell r="M819">
            <v>7.8532817061926741</v>
          </cell>
          <cell r="N819">
            <v>14.27806448321237</v>
          </cell>
          <cell r="O819">
            <v>12.416788393118456</v>
          </cell>
          <cell r="P819">
            <v>8.897641167486471</v>
          </cell>
          <cell r="Q819">
            <v>8.2384202956759669</v>
          </cell>
          <cell r="R819">
            <v>10.451007694188212</v>
          </cell>
          <cell r="S819">
            <v>11.380621952277288</v>
          </cell>
          <cell r="T819">
            <v>10.502260813164492</v>
          </cell>
        </row>
        <row r="820">
          <cell r="B820" t="str">
            <v>FY2</v>
          </cell>
          <cell r="C820">
            <v>8.7606422044558485</v>
          </cell>
          <cell r="D820">
            <v>3.7565921169164573</v>
          </cell>
          <cell r="E820">
            <v>3.4980770266096792</v>
          </cell>
          <cell r="F820">
            <v>7.4631980628191394</v>
          </cell>
          <cell r="G820">
            <v>15.944717429726143</v>
          </cell>
          <cell r="H820">
            <v>4.8879482678263715</v>
          </cell>
          <cell r="I820">
            <v>10.14921913677626</v>
          </cell>
          <cell r="J820">
            <v>7.7800563207328421</v>
          </cell>
          <cell r="M820">
            <v>8.1635080695484721</v>
          </cell>
          <cell r="N820">
            <v>15.675178681317171</v>
          </cell>
          <cell r="O820">
            <v>13.209480413793205</v>
          </cell>
          <cell r="P820">
            <v>9.2064498885710986</v>
          </cell>
          <cell r="Q820">
            <v>8.0122358239186706</v>
          </cell>
          <cell r="R820">
            <v>10.598025334503671</v>
          </cell>
          <cell r="S820">
            <v>11.962603629636121</v>
          </cell>
          <cell r="T820">
            <v>10.975354548755488</v>
          </cell>
        </row>
        <row r="823">
          <cell r="A823" t="str">
            <v>DuPont Analysis: ROE</v>
          </cell>
        </row>
        <row r="825">
          <cell r="B825" t="str">
            <v>Net Profit/ Sales</v>
          </cell>
        </row>
        <row r="826">
          <cell r="B826" t="str">
            <v>FY(5)</v>
          </cell>
          <cell r="C826">
            <v>6.0125709402001584E-2</v>
          </cell>
        </row>
        <row r="827">
          <cell r="B827" t="str">
            <v>FY(4)</v>
          </cell>
        </row>
        <row r="828">
          <cell r="B828" t="str">
            <v>FY(3)</v>
          </cell>
        </row>
        <row r="829">
          <cell r="B829" t="str">
            <v>FY(2)</v>
          </cell>
        </row>
        <row r="830">
          <cell r="B830" t="str">
            <v>FY(1)</v>
          </cell>
        </row>
        <row r="831">
          <cell r="B831" t="str">
            <v>FY0</v>
          </cell>
        </row>
        <row r="832">
          <cell r="B832" t="str">
            <v>FY1</v>
          </cell>
        </row>
        <row r="833">
          <cell r="B833" t="str">
            <v>FY2</v>
          </cell>
        </row>
        <row r="835">
          <cell r="B835" t="str">
            <v>Sales/ Assets</v>
          </cell>
        </row>
        <row r="836">
          <cell r="B836" t="str">
            <v>FY(5)</v>
          </cell>
        </row>
        <row r="837">
          <cell r="B837" t="str">
            <v>FY(4)</v>
          </cell>
        </row>
        <row r="838">
          <cell r="B838" t="str">
            <v>FY(3)</v>
          </cell>
        </row>
        <row r="839">
          <cell r="B839" t="str">
            <v>FY(2)</v>
          </cell>
        </row>
        <row r="840">
          <cell r="B840" t="str">
            <v>FY(1)</v>
          </cell>
        </row>
        <row r="841">
          <cell r="B841" t="str">
            <v>FY0</v>
          </cell>
        </row>
        <row r="842">
          <cell r="B842" t="str">
            <v>FY1</v>
          </cell>
        </row>
        <row r="843">
          <cell r="B843" t="str">
            <v>FY2</v>
          </cell>
        </row>
        <row r="845">
          <cell r="B845" t="str">
            <v>Assets/ Equity</v>
          </cell>
        </row>
        <row r="846">
          <cell r="B846" t="str">
            <v>FY(5)</v>
          </cell>
        </row>
        <row r="847">
          <cell r="B847" t="str">
            <v>FY(4)</v>
          </cell>
        </row>
        <row r="848">
          <cell r="B848" t="str">
            <v>FY(3)</v>
          </cell>
        </row>
        <row r="849">
          <cell r="B849" t="str">
            <v>FY(2)</v>
          </cell>
        </row>
        <row r="850">
          <cell r="B850" t="str">
            <v>FY(1)</v>
          </cell>
        </row>
        <row r="851">
          <cell r="B851" t="str">
            <v>FY0</v>
          </cell>
        </row>
        <row r="852">
          <cell r="B852" t="str">
            <v>FY1</v>
          </cell>
        </row>
        <row r="853">
          <cell r="B853" t="str">
            <v>FY2</v>
          </cell>
        </row>
      </sheetData>
      <sheetData sheetId="5"/>
      <sheetData sheetId="6"/>
      <sheetData sheetId="7"/>
      <sheetData sheetId="8" refreshError="1"/>
      <sheetData sheetId="9" refreshError="1"/>
      <sheetData sheetId="10" refreshError="1"/>
      <sheetData sheetId="11" refreshError="1"/>
      <sheetData sheetId="12">
        <row r="1">
          <cell r="R1" t="str">
            <v>SmartCharts</v>
          </cell>
          <cell r="AO1" t="str">
            <v>SmartCharts</v>
          </cell>
          <cell r="CA1" t="str">
            <v>.</v>
          </cell>
        </row>
        <row r="2">
          <cell r="CA2" t="str">
            <v>.</v>
          </cell>
        </row>
        <row r="3">
          <cell r="CA3" t="str">
            <v>.</v>
          </cell>
        </row>
        <row r="4">
          <cell r="CA4" t="str">
            <v>.</v>
          </cell>
        </row>
        <row r="10">
          <cell r="B10" t="str">
            <v>Input your data here:</v>
          </cell>
          <cell r="C10">
            <v>40286</v>
          </cell>
          <cell r="AG10" t="str">
            <v>Base</v>
          </cell>
          <cell r="AJ10" t="str">
            <v>up</v>
          </cell>
          <cell r="AK10" t="str">
            <v>dn</v>
          </cell>
          <cell r="AO10" t="str">
            <v>PT</v>
          </cell>
          <cell r="AP10" t="str">
            <v>BEAR</v>
          </cell>
          <cell r="AQ10" t="str">
            <v>BASE</v>
          </cell>
          <cell r="AR10" t="str">
            <v>BULL</v>
          </cell>
          <cell r="CA10" t="str">
            <v>.</v>
          </cell>
        </row>
        <row r="11">
          <cell r="C11" t="str">
            <v>current
price</v>
          </cell>
          <cell r="D11" t="str">
            <v>Bear</v>
          </cell>
          <cell r="E11" t="str">
            <v>Base</v>
          </cell>
          <cell r="F11" t="str">
            <v>Bull</v>
          </cell>
          <cell r="G11" t="str">
            <v>price
target</v>
          </cell>
          <cell r="I11" t="str">
            <v>sortPT</v>
          </cell>
          <cell r="AC11" t="str">
            <v>Ticker</v>
          </cell>
          <cell r="AD11" t="str">
            <v>BearNeg</v>
          </cell>
          <cell r="AE11" t="str">
            <v>BearPos</v>
          </cell>
          <cell r="AF11" t="str">
            <v>BaseNeg</v>
          </cell>
          <cell r="AG11" t="str">
            <v>BasePos</v>
          </cell>
          <cell r="AH11" t="str">
            <v>BullPos</v>
          </cell>
          <cell r="AI11" t="str">
            <v>BullNeg</v>
          </cell>
          <cell r="AJ11" t="str">
            <v>PTPos</v>
          </cell>
          <cell r="AK11" t="str">
            <v>PTNeg</v>
          </cell>
          <cell r="AL11" t="str">
            <v>current
price</v>
          </cell>
          <cell r="AM11" t="str">
            <v>Legend+</v>
          </cell>
          <cell r="AN11" t="str">
            <v>Legend-</v>
          </cell>
          <cell r="AO11" t="str">
            <v>PT_label</v>
          </cell>
          <cell r="AP11" t="str">
            <v>Bear_label</v>
          </cell>
          <cell r="AQ11" t="str">
            <v>Base_label</v>
          </cell>
          <cell r="AR11" t="str">
            <v>Bull_label</v>
          </cell>
          <cell r="CA11" t="str">
            <v>.</v>
          </cell>
        </row>
        <row r="12">
          <cell r="B12" t="str">
            <v>PVH</v>
          </cell>
          <cell r="C12" t="str">
            <v>#Calc</v>
          </cell>
          <cell r="D12">
            <v>42</v>
          </cell>
          <cell r="E12">
            <v>65</v>
          </cell>
          <cell r="F12">
            <v>81</v>
          </cell>
          <cell r="G12">
            <v>65</v>
          </cell>
          <cell r="I12" t="e">
            <v>#VALUE!</v>
          </cell>
          <cell r="AC12" t="str">
            <v>PVH</v>
          </cell>
          <cell r="AD12" t="e">
            <v>#VALUE!</v>
          </cell>
          <cell r="AE12" t="e">
            <v>#VALUE!</v>
          </cell>
          <cell r="AF12" t="e">
            <v>#VALUE!</v>
          </cell>
          <cell r="AG12" t="e">
            <v>#VALUE!</v>
          </cell>
          <cell r="AH12" t="e">
            <v>#VALUE!</v>
          </cell>
          <cell r="AI12" t="e">
            <v>#VALUE!</v>
          </cell>
          <cell r="AJ12" t="e">
            <v>#VALUE!</v>
          </cell>
          <cell r="AK12" t="e">
            <v>#VALUE!</v>
          </cell>
          <cell r="AL12">
            <v>0</v>
          </cell>
          <cell r="AM12" t="e">
            <v>#N/A</v>
          </cell>
          <cell r="AN12" t="e">
            <v>#N/A</v>
          </cell>
          <cell r="AO12" t="e">
            <v>#N/A</v>
          </cell>
          <cell r="AP12" t="e">
            <v>#N/A</v>
          </cell>
          <cell r="AQ12" t="e">
            <v>#N/A</v>
          </cell>
          <cell r="AR12" t="e">
            <v>#N/A</v>
          </cell>
          <cell r="CA12" t="str">
            <v>.</v>
          </cell>
        </row>
        <row r="13">
          <cell r="B13" t="str">
            <v>JNY</v>
          </cell>
          <cell r="C13" t="str">
            <v>#Calc</v>
          </cell>
          <cell r="D13">
            <v>13</v>
          </cell>
          <cell r="E13">
            <v>21</v>
          </cell>
          <cell r="F13">
            <v>25</v>
          </cell>
          <cell r="G13">
            <v>21</v>
          </cell>
          <cell r="I13" t="e">
            <v>#VALUE!</v>
          </cell>
          <cell r="AC13" t="str">
            <v>JNY</v>
          </cell>
          <cell r="AD13" t="e">
            <v>#VALUE!</v>
          </cell>
          <cell r="AE13" t="e">
            <v>#VALUE!</v>
          </cell>
          <cell r="AF13" t="e">
            <v>#VALUE!</v>
          </cell>
          <cell r="AG13" t="e">
            <v>#VALUE!</v>
          </cell>
          <cell r="AH13" t="e">
            <v>#VALUE!</v>
          </cell>
          <cell r="AI13" t="e">
            <v>#VALUE!</v>
          </cell>
          <cell r="AJ13" t="e">
            <v>#VALUE!</v>
          </cell>
          <cell r="AK13" t="e">
            <v>#VALUE!</v>
          </cell>
          <cell r="AM13" t="e">
            <v>#N/A</v>
          </cell>
          <cell r="AN13" t="e">
            <v>#N/A</v>
          </cell>
          <cell r="AO13" t="e">
            <v>#N/A</v>
          </cell>
          <cell r="AP13" t="e">
            <v>#N/A</v>
          </cell>
          <cell r="AQ13" t="e">
            <v>#N/A</v>
          </cell>
          <cell r="AR13" t="e">
            <v>#N/A</v>
          </cell>
          <cell r="CA13" t="str">
            <v>.</v>
          </cell>
        </row>
        <row r="14">
          <cell r="B14" t="str">
            <v>WRC</v>
          </cell>
          <cell r="C14" t="str">
            <v>#Calc</v>
          </cell>
          <cell r="D14">
            <v>37</v>
          </cell>
          <cell r="E14">
            <v>48</v>
          </cell>
          <cell r="F14">
            <v>63</v>
          </cell>
          <cell r="G14">
            <v>48</v>
          </cell>
          <cell r="I14" t="e">
            <v>#VALUE!</v>
          </cell>
          <cell r="AC14" t="str">
            <v>WRC</v>
          </cell>
          <cell r="AD14" t="e">
            <v>#VALUE!</v>
          </cell>
          <cell r="AE14" t="e">
            <v>#VALUE!</v>
          </cell>
          <cell r="AF14" t="e">
            <v>#VALUE!</v>
          </cell>
          <cell r="AG14" t="e">
            <v>#VALUE!</v>
          </cell>
          <cell r="AH14" t="e">
            <v>#VALUE!</v>
          </cell>
          <cell r="AI14" t="e">
            <v>#VALUE!</v>
          </cell>
          <cell r="AJ14" t="e">
            <v>#VALUE!</v>
          </cell>
          <cell r="AK14" t="e">
            <v>#VALUE!</v>
          </cell>
          <cell r="AM14" t="e">
            <v>#N/A</v>
          </cell>
          <cell r="AN14" t="e">
            <v>#N/A</v>
          </cell>
          <cell r="AO14" t="e">
            <v>#N/A</v>
          </cell>
          <cell r="AP14" t="e">
            <v>#N/A</v>
          </cell>
          <cell r="AQ14" t="e">
            <v>#N/A</v>
          </cell>
          <cell r="AR14" t="e">
            <v>#N/A</v>
          </cell>
          <cell r="CA14" t="str">
            <v>.</v>
          </cell>
        </row>
        <row r="15">
          <cell r="B15" t="str">
            <v>GES</v>
          </cell>
          <cell r="C15" t="str">
            <v>#Calc</v>
          </cell>
          <cell r="D15">
            <v>39</v>
          </cell>
          <cell r="E15">
            <v>48</v>
          </cell>
          <cell r="F15">
            <v>52</v>
          </cell>
          <cell r="G15">
            <v>48</v>
          </cell>
          <cell r="I15" t="e">
            <v>#VALUE!</v>
          </cell>
          <cell r="AC15" t="str">
            <v>GES</v>
          </cell>
          <cell r="AD15" t="e">
            <v>#VALUE!</v>
          </cell>
          <cell r="AE15" t="e">
            <v>#VALUE!</v>
          </cell>
          <cell r="AF15" t="e">
            <v>#VALUE!</v>
          </cell>
          <cell r="AG15" t="e">
            <v>#VALUE!</v>
          </cell>
          <cell r="AH15" t="e">
            <v>#VALUE!</v>
          </cell>
          <cell r="AI15" t="e">
            <v>#VALUE!</v>
          </cell>
          <cell r="AJ15" t="e">
            <v>#VALUE!</v>
          </cell>
          <cell r="AK15" t="e">
            <v>#VALUE!</v>
          </cell>
          <cell r="AM15" t="e">
            <v>#N/A</v>
          </cell>
          <cell r="AN15" t="e">
            <v>#N/A</v>
          </cell>
          <cell r="AO15" t="e">
            <v>#N/A</v>
          </cell>
          <cell r="AP15" t="e">
            <v>#N/A</v>
          </cell>
          <cell r="AQ15" t="e">
            <v>#N/A</v>
          </cell>
          <cell r="AR15" t="e">
            <v>#N/A</v>
          </cell>
          <cell r="CA15" t="str">
            <v>.</v>
          </cell>
        </row>
        <row r="16">
          <cell r="B16" t="str">
            <v>RL</v>
          </cell>
          <cell r="C16" t="str">
            <v>#Calc</v>
          </cell>
          <cell r="D16">
            <v>60</v>
          </cell>
          <cell r="E16">
            <v>80</v>
          </cell>
          <cell r="F16">
            <v>107</v>
          </cell>
          <cell r="G16">
            <v>80</v>
          </cell>
          <cell r="I16" t="e">
            <v>#VALUE!</v>
          </cell>
          <cell r="AC16" t="str">
            <v>RL</v>
          </cell>
          <cell r="AD16" t="e">
            <v>#VALUE!</v>
          </cell>
          <cell r="AE16" t="e">
            <v>#VALUE!</v>
          </cell>
          <cell r="AF16" t="e">
            <v>#VALUE!</v>
          </cell>
          <cell r="AG16" t="e">
            <v>#VALUE!</v>
          </cell>
          <cell r="AH16" t="e">
            <v>#VALUE!</v>
          </cell>
          <cell r="AI16" t="e">
            <v>#VALUE!</v>
          </cell>
          <cell r="AJ16" t="e">
            <v>#VALUE!</v>
          </cell>
          <cell r="AK16" t="e">
            <v>#VALUE!</v>
          </cell>
          <cell r="AM16" t="e">
            <v>#N/A</v>
          </cell>
          <cell r="AN16" t="e">
            <v>#N/A</v>
          </cell>
          <cell r="AO16" t="e">
            <v>#N/A</v>
          </cell>
          <cell r="AP16" t="e">
            <v>#N/A</v>
          </cell>
          <cell r="AQ16" t="e">
            <v>#N/A</v>
          </cell>
          <cell r="AR16" t="e">
            <v>#N/A</v>
          </cell>
          <cell r="CA16" t="str">
            <v>.</v>
          </cell>
        </row>
        <row r="17">
          <cell r="B17" t="str">
            <v>UA</v>
          </cell>
          <cell r="C17" t="str">
            <v>#Calc</v>
          </cell>
          <cell r="D17">
            <v>21</v>
          </cell>
          <cell r="E17">
            <v>27</v>
          </cell>
          <cell r="F17">
            <v>35</v>
          </cell>
          <cell r="G17">
            <v>27</v>
          </cell>
          <cell r="I17" t="e">
            <v>#VALUE!</v>
          </cell>
          <cell r="AC17" t="str">
            <v>UA</v>
          </cell>
          <cell r="AD17" t="e">
            <v>#VALUE!</v>
          </cell>
          <cell r="AE17" t="e">
            <v>#VALUE!</v>
          </cell>
          <cell r="AF17" t="e">
            <v>#VALUE!</v>
          </cell>
          <cell r="AG17" t="e">
            <v>#VALUE!</v>
          </cell>
          <cell r="AH17" t="e">
            <v>#VALUE!</v>
          </cell>
          <cell r="AI17" t="e">
            <v>#VALUE!</v>
          </cell>
          <cell r="AJ17" t="e">
            <v>#VALUE!</v>
          </cell>
          <cell r="AK17" t="e">
            <v>#VALUE!</v>
          </cell>
          <cell r="AM17" t="e">
            <v>#N/A</v>
          </cell>
          <cell r="AN17" t="e">
            <v>#N/A</v>
          </cell>
          <cell r="AO17" t="e">
            <v>#N/A</v>
          </cell>
          <cell r="AP17" t="e">
            <v>#N/A</v>
          </cell>
          <cell r="AQ17" t="e">
            <v>#N/A</v>
          </cell>
          <cell r="AR17" t="e">
            <v>#N/A</v>
          </cell>
          <cell r="CA17" t="str">
            <v>.</v>
          </cell>
        </row>
        <row r="18">
          <cell r="B18" t="str">
            <v>LIZ</v>
          </cell>
          <cell r="C18" t="str">
            <v>#Calc</v>
          </cell>
          <cell r="D18">
            <v>2.5</v>
          </cell>
          <cell r="E18">
            <v>6</v>
          </cell>
          <cell r="F18">
            <v>12</v>
          </cell>
          <cell r="G18">
            <v>6</v>
          </cell>
          <cell r="I18" t="e">
            <v>#VALUE!</v>
          </cell>
          <cell r="AC18" t="str">
            <v>LIZ</v>
          </cell>
          <cell r="AD18" t="e">
            <v>#VALUE!</v>
          </cell>
          <cell r="AE18" t="e">
            <v>#VALUE!</v>
          </cell>
          <cell r="AF18" t="e">
            <v>#VALUE!</v>
          </cell>
          <cell r="AG18" t="e">
            <v>#VALUE!</v>
          </cell>
          <cell r="AH18" t="e">
            <v>#VALUE!</v>
          </cell>
          <cell r="AI18" t="e">
            <v>#VALUE!</v>
          </cell>
          <cell r="AJ18" t="e">
            <v>#VALUE!</v>
          </cell>
          <cell r="AK18" t="e">
            <v>#VALUE!</v>
          </cell>
          <cell r="AM18" t="e">
            <v>#N/A</v>
          </cell>
          <cell r="AN18" t="e">
            <v>#N/A</v>
          </cell>
          <cell r="AO18" t="e">
            <v>#N/A</v>
          </cell>
          <cell r="AP18" t="e">
            <v>#N/A</v>
          </cell>
          <cell r="AQ18" t="e">
            <v>#N/A</v>
          </cell>
          <cell r="AR18" t="e">
            <v>#N/A</v>
          </cell>
          <cell r="CA18" t="str">
            <v>.</v>
          </cell>
        </row>
        <row r="19">
          <cell r="I19" t="e">
            <v>#DIV/0!</v>
          </cell>
          <cell r="AC19">
            <v>0</v>
          </cell>
          <cell r="AD19" t="e">
            <v>#VALUE!</v>
          </cell>
          <cell r="AE19">
            <v>0</v>
          </cell>
          <cell r="AF19">
            <v>0</v>
          </cell>
          <cell r="AG19" t="e">
            <v>#VALUE!</v>
          </cell>
          <cell r="AH19" t="e">
            <v>#VALUE!</v>
          </cell>
          <cell r="AI19">
            <v>0</v>
          </cell>
          <cell r="AJ19" t="e">
            <v>#N/A</v>
          </cell>
          <cell r="AK19" t="e">
            <v>#N/A</v>
          </cell>
          <cell r="AM19">
            <v>1</v>
          </cell>
          <cell r="AN19">
            <v>-1</v>
          </cell>
          <cell r="AO19" t="e">
            <v>#VALUE!</v>
          </cell>
          <cell r="AP19" t="e">
            <v>#VALUE!</v>
          </cell>
          <cell r="AQ19" t="e">
            <v>#VALUE!</v>
          </cell>
          <cell r="AR19" t="e">
            <v>#VALUE!</v>
          </cell>
        </row>
        <row r="20">
          <cell r="I20" t="e">
            <v>#DIV/0!</v>
          </cell>
          <cell r="AC20" t="e">
            <v>#N/A</v>
          </cell>
          <cell r="AD20" t="e">
            <v>#VALUE!</v>
          </cell>
          <cell r="AE20">
            <v>0</v>
          </cell>
          <cell r="AF20">
            <v>0</v>
          </cell>
          <cell r="AG20" t="e">
            <v>#VALUE!</v>
          </cell>
          <cell r="AH20" t="e">
            <v>#VALUE!</v>
          </cell>
          <cell r="AI20">
            <v>0</v>
          </cell>
          <cell r="AJ20" t="e">
            <v>#N/A</v>
          </cell>
          <cell r="AK20" t="e">
            <v>#N/A</v>
          </cell>
          <cell r="AM20">
            <v>1</v>
          </cell>
          <cell r="AN20">
            <v>-1</v>
          </cell>
          <cell r="AO20" t="e">
            <v>#VALUE!</v>
          </cell>
          <cell r="AP20" t="e">
            <v>#VALUE!</v>
          </cell>
          <cell r="AQ20" t="e">
            <v>#VALUE!</v>
          </cell>
          <cell r="AR20" t="e">
            <v>#VALUE!</v>
          </cell>
          <cell r="CA20" t="str">
            <v>.</v>
          </cell>
        </row>
        <row r="21">
          <cell r="AD21" t="e">
            <v>#VALUE!</v>
          </cell>
          <cell r="AE21">
            <v>0</v>
          </cell>
          <cell r="AF21">
            <v>0</v>
          </cell>
          <cell r="AG21" t="e">
            <v>#VALUE!</v>
          </cell>
          <cell r="AH21" t="e">
            <v>#VALUE!</v>
          </cell>
          <cell r="AI21">
            <v>0</v>
          </cell>
          <cell r="AJ21" t="e">
            <v>#N/A</v>
          </cell>
          <cell r="AK21" t="e">
            <v>#N/A</v>
          </cell>
          <cell r="AM21">
            <v>2</v>
          </cell>
          <cell r="AN21">
            <v>-2</v>
          </cell>
          <cell r="AO21" t="e">
            <v>#VALUE!</v>
          </cell>
          <cell r="AP21" t="e">
            <v>#VALUE!</v>
          </cell>
          <cell r="AQ21" t="e">
            <v>#VALUE!</v>
          </cell>
          <cell r="AR21" t="e">
            <v>#VALUE!</v>
          </cell>
          <cell r="CA21" t="str">
            <v>.</v>
          </cell>
        </row>
        <row r="22">
          <cell r="B22" t="str">
            <v>GES</v>
          </cell>
          <cell r="C22" t="str">
            <v>#Calc</v>
          </cell>
          <cell r="D22">
            <v>39</v>
          </cell>
          <cell r="E22">
            <v>48</v>
          </cell>
          <cell r="F22">
            <v>52</v>
          </cell>
          <cell r="G22">
            <v>48</v>
          </cell>
          <cell r="CA22" t="str">
            <v>.</v>
          </cell>
        </row>
        <row r="23">
          <cell r="B23" t="str">
            <v>JNY</v>
          </cell>
          <cell r="C23" t="str">
            <v>#Calc</v>
          </cell>
          <cell r="D23">
            <v>13</v>
          </cell>
          <cell r="E23">
            <v>21</v>
          </cell>
          <cell r="F23">
            <v>25</v>
          </cell>
          <cell r="G23">
            <v>21</v>
          </cell>
          <cell r="AD23" t="e">
            <v>#VALUE!</v>
          </cell>
          <cell r="AE23" t="e">
            <v>#VALUE!</v>
          </cell>
          <cell r="AF23" t="e">
            <v>#VALUE!</v>
          </cell>
          <cell r="AG23" t="e">
            <v>#VALUE!</v>
          </cell>
          <cell r="CA23" t="str">
            <v>.</v>
          </cell>
        </row>
        <row r="24">
          <cell r="B24" t="str">
            <v>LIZ</v>
          </cell>
          <cell r="C24" t="str">
            <v>#Calc</v>
          </cell>
          <cell r="D24">
            <v>2.5</v>
          </cell>
          <cell r="E24">
            <v>6</v>
          </cell>
          <cell r="F24">
            <v>12</v>
          </cell>
          <cell r="G24">
            <v>6</v>
          </cell>
          <cell r="AD24" t="e">
            <v>#VALUE!</v>
          </cell>
          <cell r="AE24" t="e">
            <v>#VALUE!</v>
          </cell>
          <cell r="AF24" t="e">
            <v>#VALUE!</v>
          </cell>
          <cell r="AG24" t="e">
            <v>#VALUE!</v>
          </cell>
          <cell r="CA24" t="str">
            <v>.</v>
          </cell>
        </row>
        <row r="25">
          <cell r="B25" t="str">
            <v>PVH</v>
          </cell>
          <cell r="C25" t="str">
            <v>#Calc</v>
          </cell>
          <cell r="D25">
            <v>42</v>
          </cell>
          <cell r="E25">
            <v>65</v>
          </cell>
          <cell r="F25">
            <v>81</v>
          </cell>
          <cell r="G25">
            <v>65</v>
          </cell>
          <cell r="AD25" t="e">
            <v>#VALUE!</v>
          </cell>
          <cell r="AE25" t="e">
            <v>#VALUE!</v>
          </cell>
          <cell r="AF25" t="e">
            <v>#VALUE!</v>
          </cell>
          <cell r="AG25" t="e">
            <v>#VALUE!</v>
          </cell>
          <cell r="CA25" t="str">
            <v>.</v>
          </cell>
        </row>
        <row r="26">
          <cell r="B26" t="str">
            <v>RL</v>
          </cell>
          <cell r="C26" t="str">
            <v>#Calc</v>
          </cell>
          <cell r="D26">
            <v>60</v>
          </cell>
          <cell r="E26">
            <v>80</v>
          </cell>
          <cell r="F26">
            <v>107</v>
          </cell>
          <cell r="G26">
            <v>80</v>
          </cell>
          <cell r="AD26" t="e">
            <v>#VALUE!</v>
          </cell>
          <cell r="AE26" t="e">
            <v>#VALUE!</v>
          </cell>
          <cell r="AF26" t="e">
            <v>#VALUE!</v>
          </cell>
          <cell r="AG26" t="e">
            <v>#VALUE!</v>
          </cell>
          <cell r="CA26" t="str">
            <v>.</v>
          </cell>
        </row>
        <row r="27">
          <cell r="B27" t="str">
            <v>UA</v>
          </cell>
          <cell r="C27" t="str">
            <v>#Calc</v>
          </cell>
          <cell r="D27">
            <v>21</v>
          </cell>
          <cell r="E27">
            <v>27</v>
          </cell>
          <cell r="F27">
            <v>35</v>
          </cell>
          <cell r="G27">
            <v>27</v>
          </cell>
          <cell r="AD27" t="e">
            <v>#VALUE!</v>
          </cell>
          <cell r="AE27" t="e">
            <v>#VALUE!</v>
          </cell>
          <cell r="AF27" t="e">
            <v>#VALUE!</v>
          </cell>
          <cell r="AG27" t="e">
            <v>#VALUE!</v>
          </cell>
          <cell r="CA27" t="str">
            <v>.</v>
          </cell>
        </row>
        <row r="28">
          <cell r="B28" t="str">
            <v>WRC</v>
          </cell>
          <cell r="C28" t="str">
            <v>#Calc</v>
          </cell>
          <cell r="D28">
            <v>37</v>
          </cell>
          <cell r="E28">
            <v>48</v>
          </cell>
          <cell r="F28">
            <v>63</v>
          </cell>
          <cell r="G28">
            <v>48</v>
          </cell>
          <cell r="AD28" t="e">
            <v>#VALUE!</v>
          </cell>
          <cell r="AE28" t="e">
            <v>#VALUE!</v>
          </cell>
          <cell r="AF28" t="e">
            <v>#VALUE!</v>
          </cell>
          <cell r="AG28" t="e">
            <v>#VALUE!</v>
          </cell>
          <cell r="CA28" t="str">
            <v>.</v>
          </cell>
        </row>
        <row r="29">
          <cell r="AD29" t="e">
            <v>#VALUE!</v>
          </cell>
          <cell r="AE29" t="e">
            <v>#VALUE!</v>
          </cell>
          <cell r="AF29" t="e">
            <v>#VALUE!</v>
          </cell>
          <cell r="AG29" t="e">
            <v>#VALUE!</v>
          </cell>
          <cell r="CA29" t="str">
            <v>.</v>
          </cell>
        </row>
        <row r="30">
          <cell r="AD30" t="e">
            <v>#DIV/0!</v>
          </cell>
          <cell r="AE30" t="e">
            <v>#DIV/0!</v>
          </cell>
          <cell r="AF30" t="e">
            <v>#DIV/0!</v>
          </cell>
          <cell r="AG30" t="e">
            <v>#DIV/0!</v>
          </cell>
          <cell r="CA30" t="str">
            <v>.</v>
          </cell>
        </row>
        <row r="31">
          <cell r="B31" t="str">
            <v>GES</v>
          </cell>
          <cell r="D31" t="e">
            <v>#VALUE!</v>
          </cell>
          <cell r="E31" t="e">
            <v>#VALUE!</v>
          </cell>
          <cell r="F31" t="e">
            <v>#VALUE!</v>
          </cell>
          <cell r="G31" t="e">
            <v>#VALUE!</v>
          </cell>
          <cell r="AD31" t="e">
            <v>#DIV/0!</v>
          </cell>
          <cell r="AE31" t="e">
            <v>#DIV/0!</v>
          </cell>
          <cell r="AF31" t="e">
            <v>#DIV/0!</v>
          </cell>
          <cell r="AG31" t="e">
            <v>#DIV/0!</v>
          </cell>
          <cell r="CA31" t="str">
            <v>.</v>
          </cell>
        </row>
        <row r="32">
          <cell r="B32" t="str">
            <v>JNY</v>
          </cell>
          <cell r="D32" t="e">
            <v>#VALUE!</v>
          </cell>
          <cell r="E32" t="e">
            <v>#VALUE!</v>
          </cell>
          <cell r="F32" t="e">
            <v>#VALUE!</v>
          </cell>
          <cell r="G32" t="e">
            <v>#VALUE!</v>
          </cell>
          <cell r="CA32" t="str">
            <v>.</v>
          </cell>
        </row>
        <row r="33">
          <cell r="B33" t="str">
            <v>LIZ</v>
          </cell>
          <cell r="D33" t="e">
            <v>#VALUE!</v>
          </cell>
          <cell r="E33" t="e">
            <v>#VALUE!</v>
          </cell>
          <cell r="F33" t="e">
            <v>#VALUE!</v>
          </cell>
          <cell r="G33" t="e">
            <v>#VALUE!</v>
          </cell>
          <cell r="CA33" t="str">
            <v>.</v>
          </cell>
        </row>
        <row r="34">
          <cell r="B34" t="str">
            <v>PVH</v>
          </cell>
          <cell r="D34" t="e">
            <v>#VALUE!</v>
          </cell>
          <cell r="E34" t="e">
            <v>#VALUE!</v>
          </cell>
          <cell r="F34" t="e">
            <v>#VALUE!</v>
          </cell>
          <cell r="G34" t="e">
            <v>#VALUE!</v>
          </cell>
          <cell r="CA34" t="str">
            <v>.</v>
          </cell>
        </row>
        <row r="35">
          <cell r="B35" t="str">
            <v>RL</v>
          </cell>
          <cell r="D35" t="e">
            <v>#VALUE!</v>
          </cell>
          <cell r="E35" t="e">
            <v>#VALUE!</v>
          </cell>
          <cell r="F35" t="e">
            <v>#VALUE!</v>
          </cell>
          <cell r="G35" t="e">
            <v>#VALUE!</v>
          </cell>
        </row>
        <row r="36">
          <cell r="B36" t="str">
            <v>UA</v>
          </cell>
          <cell r="D36" t="e">
            <v>#VALUE!</v>
          </cell>
          <cell r="E36" t="e">
            <v>#VALUE!</v>
          </cell>
          <cell r="F36" t="e">
            <v>#VALUE!</v>
          </cell>
          <cell r="G36" t="e">
            <v>#VALUE!</v>
          </cell>
        </row>
        <row r="37">
          <cell r="B37" t="str">
            <v>WRC</v>
          </cell>
          <cell r="D37" t="e">
            <v>#VALUE!</v>
          </cell>
          <cell r="E37" t="e">
            <v>#VALUE!</v>
          </cell>
          <cell r="F37" t="e">
            <v>#VALUE!</v>
          </cell>
          <cell r="G37" t="e">
            <v>#VALUE!</v>
          </cell>
          <cell r="CA37" t="str">
            <v>.</v>
          </cell>
        </row>
        <row r="38">
          <cell r="D38" t="e">
            <v>#VALUE!</v>
          </cell>
          <cell r="E38" t="e">
            <v>#VALUE!</v>
          </cell>
          <cell r="F38" t="e">
            <v>#VALUE!</v>
          </cell>
          <cell r="G38" t="e">
            <v>#VALUE!</v>
          </cell>
          <cell r="I38" t="str">
            <v>click here for link to SmartChart FAQ</v>
          </cell>
          <cell r="CA38" t="str">
            <v>.</v>
          </cell>
        </row>
        <row r="39">
          <cell r="CA39" t="str">
            <v>.</v>
          </cell>
        </row>
        <row r="40">
          <cell r="I40" t="str">
            <v>Do not change the width of the exhibit or font sizes (they are optimized for export to Word).</v>
          </cell>
          <cell r="CA40" t="str">
            <v>.</v>
          </cell>
        </row>
        <row r="41">
          <cell r="CA41" t="str">
            <v>.</v>
          </cell>
        </row>
        <row r="42">
          <cell r="I42" t="str">
            <v>Do not delete any rows or columns (some gray cells are used for calculations).</v>
          </cell>
          <cell r="CA42" t="str">
            <v>.</v>
          </cell>
        </row>
        <row r="43">
          <cell r="B43" t="str">
            <v>Company Name</v>
          </cell>
          <cell r="C43" t="str">
            <v>Ticker</v>
          </cell>
          <cell r="D43" t="str">
            <v>Price</v>
          </cell>
          <cell r="E43" t="str">
            <v>Rating</v>
          </cell>
          <cell r="F43" t="str">
            <v>Price Target</v>
          </cell>
          <cell r="G43" t="str">
            <v>% to Price Target</v>
          </cell>
          <cell r="CA43" t="str">
            <v>.</v>
          </cell>
        </row>
        <row r="44">
          <cell r="B44" t="str">
            <v>Liz Claiborne</v>
          </cell>
          <cell r="C44" t="str">
            <v>PVH</v>
          </cell>
          <cell r="D44" t="str">
            <v>#Calc</v>
          </cell>
          <cell r="E44" t="str">
            <v>Underweight</v>
          </cell>
          <cell r="F44">
            <v>65</v>
          </cell>
          <cell r="G44" t="e">
            <v>#VALUE!</v>
          </cell>
          <cell r="I44" t="str">
            <v>You can move the worksheet into another workbook (please use MOVE; do not COPY)</v>
          </cell>
          <cell r="CA44" t="str">
            <v>.</v>
          </cell>
        </row>
        <row r="45">
          <cell r="B45" t="str">
            <v>Jones Apparel Group</v>
          </cell>
          <cell r="C45" t="str">
            <v>JNY</v>
          </cell>
          <cell r="D45" t="str">
            <v>#Calc</v>
          </cell>
          <cell r="E45" t="str">
            <v>Equal-Weight</v>
          </cell>
          <cell r="F45">
            <v>21</v>
          </cell>
          <cell r="G45" t="e">
            <v>#VALUE!</v>
          </cell>
          <cell r="CA45" t="str">
            <v>.</v>
          </cell>
        </row>
        <row r="46">
          <cell r="B46" t="str">
            <v>Under Armour</v>
          </cell>
          <cell r="C46" t="str">
            <v>WRC</v>
          </cell>
          <cell r="D46" t="str">
            <v>#Calc</v>
          </cell>
          <cell r="E46" t="str">
            <v>Underweight</v>
          </cell>
          <cell r="F46">
            <v>48</v>
          </cell>
          <cell r="G46" t="e">
            <v>#VALUE!</v>
          </cell>
          <cell r="I46" t="str">
            <v>Color palette may be affected after moving the worksheet to another workbook. See instructions in FAQ on the intranet</v>
          </cell>
          <cell r="CA46" t="str">
            <v>.</v>
          </cell>
        </row>
        <row r="47">
          <cell r="B47" t="str">
            <v>Polo Ralph Lauren</v>
          </cell>
          <cell r="C47" t="str">
            <v>GES</v>
          </cell>
          <cell r="D47" t="str">
            <v>#Calc</v>
          </cell>
          <cell r="E47" t="str">
            <v>Equal-Weight</v>
          </cell>
          <cell r="F47">
            <v>48</v>
          </cell>
          <cell r="G47" t="e">
            <v>#VALUE!</v>
          </cell>
          <cell r="CA47" t="str">
            <v>.</v>
          </cell>
        </row>
        <row r="48">
          <cell r="B48" t="str">
            <v>Phillips-Van Heusen</v>
          </cell>
          <cell r="C48" t="str">
            <v>RL</v>
          </cell>
          <cell r="D48" t="str">
            <v>#Calc</v>
          </cell>
          <cell r="E48" t="str">
            <v>Overweight</v>
          </cell>
          <cell r="F48">
            <v>80</v>
          </cell>
          <cell r="G48" t="e">
            <v>#VALUE!</v>
          </cell>
          <cell r="CA48" t="str">
            <v>.</v>
          </cell>
        </row>
        <row r="49">
          <cell r="B49" t="str">
            <v>Guess?</v>
          </cell>
          <cell r="C49" t="str">
            <v>UA</v>
          </cell>
          <cell r="D49" t="str">
            <v>#Calc</v>
          </cell>
          <cell r="E49" t="str">
            <v>Equal-Weight</v>
          </cell>
          <cell r="F49">
            <v>27</v>
          </cell>
          <cell r="G49" t="e">
            <v>#VALUE!</v>
          </cell>
          <cell r="CA49" t="str">
            <v>.</v>
          </cell>
        </row>
        <row r="50">
          <cell r="B50" t="str">
            <v>Warnaco</v>
          </cell>
          <cell r="C50" t="str">
            <v>LIZ</v>
          </cell>
          <cell r="D50" t="str">
            <v>#Calc</v>
          </cell>
          <cell r="E50" t="str">
            <v>Equal-Weight</v>
          </cell>
          <cell r="F50">
            <v>6</v>
          </cell>
          <cell r="G50" t="e">
            <v>#VALUE!</v>
          </cell>
          <cell r="CA50" t="str">
            <v>.</v>
          </cell>
        </row>
        <row r="51">
          <cell r="CA51" t="str">
            <v>.</v>
          </cell>
        </row>
        <row r="52">
          <cell r="CA52" t="str">
            <v>.</v>
          </cell>
        </row>
        <row r="53">
          <cell r="CA53" t="str">
            <v>.</v>
          </cell>
        </row>
        <row r="54">
          <cell r="CA54" t="str">
            <v>.</v>
          </cell>
        </row>
        <row r="55">
          <cell r="CA55" t="str">
            <v>.</v>
          </cell>
        </row>
        <row r="56">
          <cell r="CA56" t="str">
            <v>.</v>
          </cell>
        </row>
        <row r="57">
          <cell r="CA57" t="str">
            <v>.</v>
          </cell>
        </row>
        <row r="58">
          <cell r="CA58" t="str">
            <v>.</v>
          </cell>
        </row>
        <row r="59">
          <cell r="CA59" t="str">
            <v>.</v>
          </cell>
        </row>
        <row r="60">
          <cell r="CA60" t="str">
            <v>.</v>
          </cell>
        </row>
        <row r="61">
          <cell r="CA61" t="str">
            <v>.</v>
          </cell>
        </row>
        <row r="62">
          <cell r="CA62" t="str">
            <v>.</v>
          </cell>
        </row>
        <row r="63">
          <cell r="CA63" t="str">
            <v>.</v>
          </cell>
        </row>
        <row r="64">
          <cell r="CA64" t="str">
            <v>.</v>
          </cell>
        </row>
        <row r="65">
          <cell r="CA65" t="str">
            <v>.</v>
          </cell>
        </row>
        <row r="66">
          <cell r="CA66" t="str">
            <v>.</v>
          </cell>
        </row>
        <row r="67">
          <cell r="CA67" t="str">
            <v>.</v>
          </cell>
        </row>
        <row r="68">
          <cell r="CA68" t="str">
            <v>.</v>
          </cell>
        </row>
        <row r="69">
          <cell r="CA69" t="str">
            <v>.</v>
          </cell>
        </row>
        <row r="70">
          <cell r="CA70" t="str">
            <v>.</v>
          </cell>
        </row>
        <row r="71">
          <cell r="CA71" t="str">
            <v>.</v>
          </cell>
        </row>
        <row r="72">
          <cell r="CA72" t="str">
            <v>.</v>
          </cell>
        </row>
        <row r="73">
          <cell r="CA73" t="str">
            <v>.</v>
          </cell>
        </row>
        <row r="74">
          <cell r="CA74" t="str">
            <v>.</v>
          </cell>
        </row>
        <row r="75">
          <cell r="CA75" t="str">
            <v>.</v>
          </cell>
        </row>
        <row r="76">
          <cell r="CA76" t="str">
            <v>.</v>
          </cell>
        </row>
        <row r="77">
          <cell r="CA77" t="str">
            <v>.</v>
          </cell>
        </row>
        <row r="78">
          <cell r="CA78" t="str">
            <v>.</v>
          </cell>
        </row>
        <row r="79">
          <cell r="CA79" t="str">
            <v>.</v>
          </cell>
        </row>
        <row r="80">
          <cell r="CA80" t="str">
            <v>.</v>
          </cell>
        </row>
        <row r="81">
          <cell r="CA81" t="str">
            <v>.</v>
          </cell>
        </row>
        <row r="82">
          <cell r="CA82" t="str">
            <v>.</v>
          </cell>
        </row>
        <row r="83">
          <cell r="CA83" t="str">
            <v>.</v>
          </cell>
        </row>
        <row r="84">
          <cell r="CA84" t="str">
            <v>.</v>
          </cell>
        </row>
        <row r="85">
          <cell r="CA85" t="str">
            <v>.</v>
          </cell>
        </row>
        <row r="86">
          <cell r="CA86" t="str">
            <v>.</v>
          </cell>
        </row>
        <row r="87">
          <cell r="CA87" t="str">
            <v>.</v>
          </cell>
        </row>
        <row r="88">
          <cell r="CA88" t="str">
            <v>.</v>
          </cell>
        </row>
        <row r="89">
          <cell r="CA89" t="str">
            <v>.</v>
          </cell>
        </row>
        <row r="90">
          <cell r="CA90" t="str">
            <v>.</v>
          </cell>
        </row>
        <row r="91">
          <cell r="CA91" t="str">
            <v>.</v>
          </cell>
        </row>
        <row r="92">
          <cell r="CA92" t="str">
            <v>.</v>
          </cell>
        </row>
        <row r="93">
          <cell r="CA93" t="str">
            <v>.</v>
          </cell>
        </row>
        <row r="94">
          <cell r="CA94" t="str">
            <v>.</v>
          </cell>
        </row>
        <row r="95">
          <cell r="CA95" t="str">
            <v>.</v>
          </cell>
        </row>
        <row r="96">
          <cell r="CA96" t="str">
            <v>.</v>
          </cell>
        </row>
        <row r="97">
          <cell r="CA97" t="str">
            <v>.</v>
          </cell>
        </row>
        <row r="98">
          <cell r="CA98" t="str">
            <v>.</v>
          </cell>
        </row>
        <row r="99">
          <cell r="CA99" t="str">
            <v>.</v>
          </cell>
        </row>
        <row r="100">
          <cell r="CA100" t="str">
            <v>.</v>
          </cell>
        </row>
        <row r="101">
          <cell r="CA101" t="str">
            <v>.</v>
          </cell>
        </row>
        <row r="102">
          <cell r="CA102" t="str">
            <v>.</v>
          </cell>
        </row>
        <row r="103">
          <cell r="CA103" t="str">
            <v>.</v>
          </cell>
        </row>
        <row r="104">
          <cell r="CA104" t="str">
            <v>.</v>
          </cell>
        </row>
        <row r="105">
          <cell r="CA105" t="str">
            <v>.</v>
          </cell>
        </row>
        <row r="106">
          <cell r="CA106" t="str">
            <v>.</v>
          </cell>
        </row>
        <row r="107">
          <cell r="CA107" t="str">
            <v>.</v>
          </cell>
        </row>
        <row r="108">
          <cell r="CA108" t="str">
            <v>.</v>
          </cell>
        </row>
        <row r="109">
          <cell r="CA109" t="str">
            <v>.</v>
          </cell>
        </row>
        <row r="110">
          <cell r="CA110" t="str">
            <v>.</v>
          </cell>
        </row>
        <row r="111">
          <cell r="CA111" t="str">
            <v>.</v>
          </cell>
        </row>
        <row r="112">
          <cell r="CA112" t="str">
            <v>.</v>
          </cell>
        </row>
        <row r="113">
          <cell r="CA113" t="str">
            <v>.</v>
          </cell>
        </row>
        <row r="114">
          <cell r="CA114" t="str">
            <v>.</v>
          </cell>
        </row>
        <row r="115">
          <cell r="CA115" t="str">
            <v>.</v>
          </cell>
        </row>
        <row r="116">
          <cell r="CA116" t="str">
            <v>.</v>
          </cell>
        </row>
        <row r="117">
          <cell r="CA117" t="str">
            <v>.</v>
          </cell>
        </row>
        <row r="118">
          <cell r="CA118" t="str">
            <v>.</v>
          </cell>
        </row>
        <row r="119">
          <cell r="CA119" t="str">
            <v>.</v>
          </cell>
        </row>
        <row r="120">
          <cell r="CA120" t="str">
            <v>.</v>
          </cell>
        </row>
        <row r="121">
          <cell r="CA121" t="str">
            <v>.</v>
          </cell>
        </row>
        <row r="122">
          <cell r="CA122" t="str">
            <v>.</v>
          </cell>
        </row>
        <row r="123">
          <cell r="CA123" t="str">
            <v>.</v>
          </cell>
        </row>
        <row r="124">
          <cell r="CA124" t="str">
            <v>.</v>
          </cell>
        </row>
        <row r="125">
          <cell r="CA125" t="str">
            <v>.</v>
          </cell>
        </row>
        <row r="126">
          <cell r="CA126" t="str">
            <v>.</v>
          </cell>
        </row>
        <row r="127">
          <cell r="CA127" t="str">
            <v>.</v>
          </cell>
        </row>
        <row r="128">
          <cell r="CA128" t="str">
            <v>.</v>
          </cell>
        </row>
        <row r="129">
          <cell r="CA129" t="str">
            <v>.</v>
          </cell>
        </row>
        <row r="130">
          <cell r="CA130" t="str">
            <v>.</v>
          </cell>
        </row>
        <row r="131">
          <cell r="CA131" t="str">
            <v>.</v>
          </cell>
        </row>
        <row r="132">
          <cell r="CA132" t="str">
            <v>.</v>
          </cell>
        </row>
        <row r="133">
          <cell r="CA133" t="str">
            <v>.</v>
          </cell>
        </row>
        <row r="134">
          <cell r="CA134" t="str">
            <v>.</v>
          </cell>
        </row>
        <row r="135">
          <cell r="CA135" t="str">
            <v>.</v>
          </cell>
        </row>
        <row r="136">
          <cell r="CA136" t="str">
            <v>.</v>
          </cell>
        </row>
        <row r="137">
          <cell r="CA137" t="str">
            <v>.</v>
          </cell>
        </row>
        <row r="138">
          <cell r="CA138" t="str">
            <v>.</v>
          </cell>
        </row>
        <row r="139">
          <cell r="CA139" t="str">
            <v>.</v>
          </cell>
        </row>
        <row r="140">
          <cell r="CA140" t="str">
            <v>.</v>
          </cell>
        </row>
        <row r="141">
          <cell r="CA141" t="str">
            <v>.</v>
          </cell>
        </row>
        <row r="142">
          <cell r="CA142" t="str">
            <v>.</v>
          </cell>
        </row>
        <row r="143">
          <cell r="CA143" t="str">
            <v>.</v>
          </cell>
        </row>
        <row r="144">
          <cell r="CA144" t="str">
            <v>.</v>
          </cell>
        </row>
        <row r="145">
          <cell r="CA145" t="str">
            <v>.</v>
          </cell>
        </row>
        <row r="146">
          <cell r="CA146" t="str">
            <v>.</v>
          </cell>
        </row>
        <row r="147">
          <cell r="CA147" t="str">
            <v>.</v>
          </cell>
        </row>
        <row r="148">
          <cell r="CA148" t="str">
            <v>.</v>
          </cell>
        </row>
        <row r="149">
          <cell r="CA149" t="str">
            <v>.</v>
          </cell>
        </row>
        <row r="150">
          <cell r="CA150" t="str">
            <v>.</v>
          </cell>
        </row>
        <row r="151">
          <cell r="CA151" t="str">
            <v>.</v>
          </cell>
        </row>
        <row r="152">
          <cell r="CA152" t="str">
            <v>.</v>
          </cell>
        </row>
        <row r="153">
          <cell r="CA153" t="str">
            <v>.</v>
          </cell>
        </row>
        <row r="154">
          <cell r="CA154" t="str">
            <v>.</v>
          </cell>
        </row>
        <row r="155">
          <cell r="CA155" t="str">
            <v>.</v>
          </cell>
        </row>
        <row r="156">
          <cell r="CA156" t="str">
            <v>.</v>
          </cell>
        </row>
        <row r="157">
          <cell r="CA157" t="str">
            <v>.</v>
          </cell>
        </row>
        <row r="158">
          <cell r="CA158" t="str">
            <v>.</v>
          </cell>
        </row>
        <row r="159">
          <cell r="CA159" t="str">
            <v>.</v>
          </cell>
        </row>
        <row r="160">
          <cell r="CA160" t="str">
            <v>.</v>
          </cell>
        </row>
        <row r="161">
          <cell r="CA161" t="str">
            <v>.</v>
          </cell>
        </row>
        <row r="162">
          <cell r="CA162" t="str">
            <v>.</v>
          </cell>
        </row>
        <row r="163">
          <cell r="CA163" t="str">
            <v>.</v>
          </cell>
        </row>
        <row r="164">
          <cell r="CA164" t="str">
            <v>.</v>
          </cell>
        </row>
        <row r="165">
          <cell r="CA165" t="str">
            <v>.</v>
          </cell>
        </row>
        <row r="166">
          <cell r="CA166" t="str">
            <v>.</v>
          </cell>
        </row>
        <row r="167">
          <cell r="CA167" t="str">
            <v>.</v>
          </cell>
        </row>
        <row r="168">
          <cell r="CA168" t="str">
            <v>.</v>
          </cell>
        </row>
        <row r="169">
          <cell r="CA169" t="str">
            <v>.</v>
          </cell>
        </row>
        <row r="170">
          <cell r="CA170" t="str">
            <v>.</v>
          </cell>
        </row>
        <row r="171">
          <cell r="CA171" t="str">
            <v>.</v>
          </cell>
        </row>
        <row r="172">
          <cell r="CA172" t="str">
            <v>.</v>
          </cell>
        </row>
        <row r="173">
          <cell r="CA173" t="str">
            <v>.</v>
          </cell>
        </row>
        <row r="174">
          <cell r="CA174" t="str">
            <v>.</v>
          </cell>
        </row>
        <row r="175">
          <cell r="CA175" t="str">
            <v>.</v>
          </cell>
        </row>
        <row r="176">
          <cell r="CA176" t="str">
            <v>.</v>
          </cell>
        </row>
        <row r="177">
          <cell r="CA177" t="str">
            <v>.</v>
          </cell>
        </row>
        <row r="178">
          <cell r="CA178" t="str">
            <v>.</v>
          </cell>
        </row>
        <row r="179">
          <cell r="CA179" t="str">
            <v>.</v>
          </cell>
        </row>
        <row r="180">
          <cell r="CA180" t="str">
            <v>.</v>
          </cell>
        </row>
        <row r="181">
          <cell r="CA181" t="str">
            <v>.</v>
          </cell>
        </row>
        <row r="182">
          <cell r="CA182" t="str">
            <v>.</v>
          </cell>
        </row>
        <row r="183">
          <cell r="CA183" t="str">
            <v>.</v>
          </cell>
        </row>
        <row r="184">
          <cell r="CA184" t="str">
            <v>.</v>
          </cell>
        </row>
        <row r="185">
          <cell r="CA185" t="str">
            <v>.</v>
          </cell>
        </row>
        <row r="186">
          <cell r="CA186" t="str">
            <v>.</v>
          </cell>
        </row>
        <row r="187">
          <cell r="CA187" t="str">
            <v>.</v>
          </cell>
        </row>
        <row r="188">
          <cell r="CA188" t="str">
            <v>.</v>
          </cell>
        </row>
        <row r="189">
          <cell r="CA189" t="str">
            <v>.</v>
          </cell>
        </row>
        <row r="190">
          <cell r="CA190" t="str">
            <v>.</v>
          </cell>
        </row>
        <row r="191">
          <cell r="CA191" t="str">
            <v>.</v>
          </cell>
        </row>
        <row r="192">
          <cell r="CA192" t="str">
            <v>.</v>
          </cell>
        </row>
        <row r="193">
          <cell r="CA193" t="str">
            <v>.</v>
          </cell>
        </row>
        <row r="194">
          <cell r="CA194" t="str">
            <v>.</v>
          </cell>
        </row>
        <row r="195">
          <cell r="CA195" t="str">
            <v>.</v>
          </cell>
        </row>
        <row r="196">
          <cell r="CA196" t="str">
            <v>.</v>
          </cell>
        </row>
        <row r="197">
          <cell r="CA197" t="str">
            <v>.</v>
          </cell>
        </row>
        <row r="198">
          <cell r="CA198" t="str">
            <v>.</v>
          </cell>
        </row>
        <row r="199">
          <cell r="CA199" t="str">
            <v>.</v>
          </cell>
        </row>
        <row r="200">
          <cell r="CA200" t="str">
            <v>.</v>
          </cell>
        </row>
        <row r="201">
          <cell r="CA201" t="str">
            <v>.</v>
          </cell>
        </row>
        <row r="202">
          <cell r="CA202" t="str">
            <v>.</v>
          </cell>
        </row>
        <row r="203">
          <cell r="CA203" t="str">
            <v>.</v>
          </cell>
        </row>
        <row r="204">
          <cell r="CA204" t="str">
            <v>.</v>
          </cell>
        </row>
        <row r="205">
          <cell r="CA205" t="str">
            <v>.</v>
          </cell>
        </row>
        <row r="206">
          <cell r="CA206" t="str">
            <v>.</v>
          </cell>
        </row>
        <row r="207">
          <cell r="CA207" t="str">
            <v>.</v>
          </cell>
        </row>
        <row r="208">
          <cell r="CA208" t="str">
            <v>.</v>
          </cell>
        </row>
        <row r="209">
          <cell r="CA209" t="str">
            <v>.</v>
          </cell>
        </row>
        <row r="210">
          <cell r="CA210" t="str">
            <v>.</v>
          </cell>
        </row>
        <row r="211">
          <cell r="CA211" t="str">
            <v>.</v>
          </cell>
        </row>
        <row r="212">
          <cell r="CA212" t="str">
            <v>.</v>
          </cell>
        </row>
        <row r="213">
          <cell r="CA213" t="str">
            <v>.</v>
          </cell>
        </row>
        <row r="214">
          <cell r="CA214" t="str">
            <v>.</v>
          </cell>
        </row>
        <row r="215">
          <cell r="CA215" t="str">
            <v>.</v>
          </cell>
        </row>
        <row r="216">
          <cell r="CA216" t="str">
            <v>.</v>
          </cell>
        </row>
        <row r="217">
          <cell r="CA217" t="str">
            <v>.</v>
          </cell>
        </row>
        <row r="218">
          <cell r="CA218" t="str">
            <v>.</v>
          </cell>
        </row>
        <row r="219">
          <cell r="CA219" t="str">
            <v>.</v>
          </cell>
        </row>
        <row r="220">
          <cell r="CA220" t="str">
            <v>.</v>
          </cell>
        </row>
        <row r="221">
          <cell r="CA221" t="str">
            <v>.</v>
          </cell>
        </row>
        <row r="222">
          <cell r="CA222" t="str">
            <v>.</v>
          </cell>
        </row>
        <row r="223">
          <cell r="CA223" t="str">
            <v>.</v>
          </cell>
        </row>
        <row r="224">
          <cell r="CA224" t="str">
            <v>.</v>
          </cell>
        </row>
        <row r="225">
          <cell r="CA225" t="str">
            <v>.</v>
          </cell>
        </row>
        <row r="226">
          <cell r="CA226" t="str">
            <v>.</v>
          </cell>
        </row>
        <row r="227">
          <cell r="CA227" t="str">
            <v>.</v>
          </cell>
        </row>
        <row r="228">
          <cell r="CA228" t="str">
            <v>.</v>
          </cell>
        </row>
        <row r="229">
          <cell r="CA229" t="str">
            <v>.</v>
          </cell>
        </row>
        <row r="230">
          <cell r="CA230" t="str">
            <v>.</v>
          </cell>
        </row>
        <row r="231">
          <cell r="CA231" t="str">
            <v>.</v>
          </cell>
        </row>
        <row r="232">
          <cell r="CA232" t="str">
            <v>.</v>
          </cell>
        </row>
        <row r="233">
          <cell r="CA233" t="str">
            <v>.</v>
          </cell>
        </row>
        <row r="234">
          <cell r="CA234" t="str">
            <v>.</v>
          </cell>
        </row>
        <row r="235">
          <cell r="CA235" t="str">
            <v>.</v>
          </cell>
        </row>
        <row r="236">
          <cell r="CA236" t="str">
            <v>.</v>
          </cell>
        </row>
        <row r="237">
          <cell r="CA237" t="str">
            <v>.</v>
          </cell>
        </row>
        <row r="238">
          <cell r="CA238" t="str">
            <v>.</v>
          </cell>
        </row>
        <row r="239">
          <cell r="CA239" t="str">
            <v>.</v>
          </cell>
        </row>
        <row r="240">
          <cell r="CA240" t="str">
            <v>.</v>
          </cell>
        </row>
        <row r="241">
          <cell r="CA241" t="str">
            <v>.</v>
          </cell>
        </row>
        <row r="242">
          <cell r="CA242" t="str">
            <v>.</v>
          </cell>
        </row>
        <row r="243">
          <cell r="CA243" t="str">
            <v>.</v>
          </cell>
        </row>
        <row r="244">
          <cell r="CA244" t="str">
            <v>.</v>
          </cell>
        </row>
        <row r="245">
          <cell r="CA245" t="str">
            <v>.</v>
          </cell>
        </row>
        <row r="246">
          <cell r="CA246" t="str">
            <v>.</v>
          </cell>
        </row>
        <row r="247">
          <cell r="CA247" t="str">
            <v>.</v>
          </cell>
        </row>
        <row r="248">
          <cell r="CA248" t="str">
            <v>.</v>
          </cell>
        </row>
        <row r="249">
          <cell r="CA249" t="str">
            <v>.</v>
          </cell>
        </row>
        <row r="250">
          <cell r="CA250" t="str">
            <v>.</v>
          </cell>
        </row>
        <row r="251">
          <cell r="CA251" t="str">
            <v>.</v>
          </cell>
        </row>
        <row r="252">
          <cell r="CA252" t="str">
            <v>.</v>
          </cell>
        </row>
        <row r="253">
          <cell r="CA253" t="str">
            <v>.</v>
          </cell>
        </row>
        <row r="254">
          <cell r="CA254" t="str">
            <v>.</v>
          </cell>
        </row>
        <row r="255">
          <cell r="CA255" t="str">
            <v>.</v>
          </cell>
        </row>
        <row r="256">
          <cell r="CA256" t="str">
            <v>.</v>
          </cell>
        </row>
        <row r="257">
          <cell r="CA257" t="str">
            <v>.</v>
          </cell>
        </row>
        <row r="258">
          <cell r="CA258" t="str">
            <v>.</v>
          </cell>
        </row>
        <row r="259">
          <cell r="CA259" t="str">
            <v>.</v>
          </cell>
        </row>
        <row r="260">
          <cell r="CA260" t="str">
            <v>.</v>
          </cell>
        </row>
        <row r="261">
          <cell r="CA261" t="str">
            <v>.</v>
          </cell>
        </row>
        <row r="262">
          <cell r="CA262" t="str">
            <v>.</v>
          </cell>
        </row>
        <row r="263">
          <cell r="CA263" t="str">
            <v>.</v>
          </cell>
        </row>
        <row r="264">
          <cell r="CA264" t="str">
            <v>.</v>
          </cell>
        </row>
        <row r="265">
          <cell r="CA265" t="str">
            <v>.</v>
          </cell>
        </row>
        <row r="266">
          <cell r="CA266" t="str">
            <v>.</v>
          </cell>
        </row>
        <row r="267">
          <cell r="CA267" t="str">
            <v>.</v>
          </cell>
        </row>
        <row r="268">
          <cell r="CA268" t="str">
            <v>.</v>
          </cell>
        </row>
        <row r="269">
          <cell r="CA269" t="str">
            <v>.</v>
          </cell>
        </row>
        <row r="270">
          <cell r="CA270" t="str">
            <v>.</v>
          </cell>
        </row>
        <row r="271">
          <cell r="CA271" t="str">
            <v>.</v>
          </cell>
        </row>
        <row r="272">
          <cell r="CA272" t="str">
            <v>.</v>
          </cell>
        </row>
        <row r="273">
          <cell r="CA273" t="str">
            <v>.</v>
          </cell>
        </row>
        <row r="274">
          <cell r="CA274" t="str">
            <v>.</v>
          </cell>
        </row>
        <row r="275">
          <cell r="CA275" t="str">
            <v>.</v>
          </cell>
        </row>
        <row r="276">
          <cell r="CA276" t="str">
            <v>.</v>
          </cell>
        </row>
        <row r="277">
          <cell r="CA277" t="str">
            <v>.</v>
          </cell>
        </row>
        <row r="278">
          <cell r="CA278" t="str">
            <v>.</v>
          </cell>
        </row>
        <row r="279">
          <cell r="CA279" t="str">
            <v>.</v>
          </cell>
        </row>
        <row r="280">
          <cell r="CA280" t="str">
            <v>.</v>
          </cell>
        </row>
        <row r="281">
          <cell r="CA281" t="str">
            <v>.</v>
          </cell>
        </row>
        <row r="282">
          <cell r="CA282" t="str">
            <v>.</v>
          </cell>
        </row>
        <row r="283">
          <cell r="CA283" t="str">
            <v>.</v>
          </cell>
        </row>
        <row r="284">
          <cell r="CA284" t="str">
            <v>.</v>
          </cell>
        </row>
        <row r="285">
          <cell r="CA285" t="str">
            <v>.</v>
          </cell>
        </row>
        <row r="286">
          <cell r="CA286" t="str">
            <v>.</v>
          </cell>
        </row>
        <row r="287">
          <cell r="CA287" t="str">
            <v>.</v>
          </cell>
        </row>
        <row r="288">
          <cell r="CA288" t="str">
            <v>.</v>
          </cell>
        </row>
        <row r="289">
          <cell r="CA289" t="str">
            <v>.</v>
          </cell>
        </row>
        <row r="290">
          <cell r="CA290" t="str">
            <v>.</v>
          </cell>
        </row>
        <row r="291">
          <cell r="CA291" t="str">
            <v>.</v>
          </cell>
        </row>
        <row r="292">
          <cell r="CA292" t="str">
            <v>.</v>
          </cell>
        </row>
        <row r="293">
          <cell r="CA293" t="str">
            <v>.</v>
          </cell>
        </row>
        <row r="294">
          <cell r="CA294" t="str">
            <v>.</v>
          </cell>
        </row>
        <row r="295">
          <cell r="CA295" t="str">
            <v>.</v>
          </cell>
        </row>
        <row r="296">
          <cell r="CA296" t="str">
            <v>.</v>
          </cell>
        </row>
        <row r="297">
          <cell r="CA297" t="str">
            <v>.</v>
          </cell>
        </row>
        <row r="298">
          <cell r="CA298" t="str">
            <v>.</v>
          </cell>
        </row>
        <row r="299">
          <cell r="CA299" t="str">
            <v>.</v>
          </cell>
        </row>
        <row r="300">
          <cell r="CA300" t="str">
            <v>.</v>
          </cell>
        </row>
        <row r="301">
          <cell r="CA301" t="str">
            <v>.</v>
          </cell>
        </row>
        <row r="302">
          <cell r="CA302" t="str">
            <v>.</v>
          </cell>
        </row>
        <row r="303">
          <cell r="CA303" t="str">
            <v>.</v>
          </cell>
        </row>
        <row r="304">
          <cell r="CA304" t="str">
            <v>.</v>
          </cell>
        </row>
        <row r="305">
          <cell r="CA305" t="str">
            <v>.</v>
          </cell>
        </row>
        <row r="306">
          <cell r="CA306" t="str">
            <v>.</v>
          </cell>
        </row>
        <row r="307">
          <cell r="CA307" t="str">
            <v>.</v>
          </cell>
        </row>
        <row r="308">
          <cell r="CA308" t="str">
            <v>.</v>
          </cell>
        </row>
        <row r="309">
          <cell r="CA309" t="str">
            <v>.</v>
          </cell>
        </row>
        <row r="310">
          <cell r="CA310" t="str">
            <v>.</v>
          </cell>
        </row>
        <row r="311">
          <cell r="CA311" t="str">
            <v>.</v>
          </cell>
        </row>
        <row r="312">
          <cell r="CA312" t="str">
            <v>.</v>
          </cell>
        </row>
        <row r="313">
          <cell r="CA313" t="str">
            <v>.</v>
          </cell>
        </row>
        <row r="314">
          <cell r="CA314" t="str">
            <v>.</v>
          </cell>
        </row>
        <row r="315">
          <cell r="CA315" t="str">
            <v>.</v>
          </cell>
        </row>
        <row r="316">
          <cell r="CA316" t="str">
            <v>.</v>
          </cell>
        </row>
        <row r="317">
          <cell r="CA317" t="str">
            <v>.</v>
          </cell>
        </row>
        <row r="318">
          <cell r="CA318" t="str">
            <v>.</v>
          </cell>
        </row>
        <row r="319">
          <cell r="CA319" t="str">
            <v>.</v>
          </cell>
        </row>
        <row r="320">
          <cell r="CA320" t="str">
            <v>.</v>
          </cell>
        </row>
        <row r="321">
          <cell r="CA321" t="str">
            <v>.</v>
          </cell>
        </row>
        <row r="322">
          <cell r="CA322" t="str">
            <v>.</v>
          </cell>
        </row>
        <row r="323">
          <cell r="CA323" t="str">
            <v>.</v>
          </cell>
        </row>
        <row r="324">
          <cell r="CA324" t="str">
            <v>.</v>
          </cell>
        </row>
        <row r="325">
          <cell r="CA325" t="str">
            <v>.</v>
          </cell>
        </row>
        <row r="326">
          <cell r="CA326" t="str">
            <v>.</v>
          </cell>
        </row>
        <row r="327">
          <cell r="CA327" t="str">
            <v>.</v>
          </cell>
        </row>
        <row r="328">
          <cell r="CA328" t="str">
            <v>.</v>
          </cell>
        </row>
        <row r="329">
          <cell r="CA329" t="str">
            <v>.</v>
          </cell>
        </row>
        <row r="330">
          <cell r="CA330" t="str">
            <v>.</v>
          </cell>
        </row>
        <row r="331">
          <cell r="CA331" t="str">
            <v>.</v>
          </cell>
        </row>
        <row r="332">
          <cell r="CA332" t="str">
            <v>.</v>
          </cell>
        </row>
        <row r="333">
          <cell r="CA333" t="str">
            <v>.</v>
          </cell>
        </row>
        <row r="334">
          <cell r="CA334" t="str">
            <v>.</v>
          </cell>
        </row>
        <row r="335">
          <cell r="CA335" t="str">
            <v>.</v>
          </cell>
        </row>
        <row r="336">
          <cell r="CA336" t="str">
            <v>.</v>
          </cell>
        </row>
        <row r="337">
          <cell r="CA337" t="str">
            <v>.</v>
          </cell>
        </row>
        <row r="338">
          <cell r="CA338" t="str">
            <v>.</v>
          </cell>
        </row>
        <row r="339">
          <cell r="CA339" t="str">
            <v>.</v>
          </cell>
        </row>
        <row r="340">
          <cell r="CA340" t="str">
            <v>.</v>
          </cell>
        </row>
        <row r="341">
          <cell r="CA341" t="str">
            <v>.</v>
          </cell>
        </row>
        <row r="342">
          <cell r="CA342" t="str">
            <v>.</v>
          </cell>
        </row>
        <row r="343">
          <cell r="CA343" t="str">
            <v>.</v>
          </cell>
        </row>
        <row r="344">
          <cell r="CA344" t="str">
            <v>.</v>
          </cell>
        </row>
        <row r="345">
          <cell r="CA345" t="str">
            <v>.</v>
          </cell>
        </row>
        <row r="346">
          <cell r="CA346" t="str">
            <v>.</v>
          </cell>
        </row>
        <row r="347">
          <cell r="CA347" t="str">
            <v>.</v>
          </cell>
        </row>
        <row r="348">
          <cell r="CA348" t="str">
            <v>.</v>
          </cell>
        </row>
        <row r="349">
          <cell r="CA349" t="str">
            <v>.</v>
          </cell>
        </row>
        <row r="350">
          <cell r="CA350" t="str">
            <v>.</v>
          </cell>
        </row>
        <row r="351">
          <cell r="CA351" t="str">
            <v>.</v>
          </cell>
        </row>
        <row r="352">
          <cell r="CA352" t="str">
            <v>.</v>
          </cell>
        </row>
        <row r="353">
          <cell r="CA353" t="str">
            <v>.</v>
          </cell>
        </row>
        <row r="354">
          <cell r="CA354" t="str">
            <v>.</v>
          </cell>
        </row>
        <row r="355">
          <cell r="CA355" t="str">
            <v>.</v>
          </cell>
        </row>
        <row r="356">
          <cell r="CA356" t="str">
            <v>.</v>
          </cell>
        </row>
        <row r="357">
          <cell r="CA357" t="str">
            <v>.</v>
          </cell>
        </row>
        <row r="358">
          <cell r="CA358" t="str">
            <v>.</v>
          </cell>
        </row>
        <row r="359">
          <cell r="CA359" t="str">
            <v>.</v>
          </cell>
        </row>
        <row r="360">
          <cell r="CA360" t="str">
            <v>.</v>
          </cell>
        </row>
        <row r="361">
          <cell r="CA361" t="str">
            <v>.</v>
          </cell>
        </row>
        <row r="362">
          <cell r="CA362" t="str">
            <v>.</v>
          </cell>
        </row>
        <row r="363">
          <cell r="CA363" t="str">
            <v>.</v>
          </cell>
        </row>
        <row r="364">
          <cell r="CA364" t="str">
            <v>.</v>
          </cell>
        </row>
        <row r="365">
          <cell r="CA365" t="str">
            <v>.</v>
          </cell>
        </row>
        <row r="366">
          <cell r="CA366" t="str">
            <v>.</v>
          </cell>
        </row>
        <row r="367">
          <cell r="CA367" t="str">
            <v>.</v>
          </cell>
        </row>
        <row r="368">
          <cell r="CA368" t="str">
            <v>.</v>
          </cell>
        </row>
        <row r="369">
          <cell r="CA369" t="str">
            <v>.</v>
          </cell>
        </row>
        <row r="370">
          <cell r="CA370" t="str">
            <v>.</v>
          </cell>
        </row>
        <row r="371">
          <cell r="CA371" t="str">
            <v>.</v>
          </cell>
        </row>
        <row r="372">
          <cell r="CA372" t="str">
            <v>.</v>
          </cell>
        </row>
        <row r="373">
          <cell r="CA373" t="str">
            <v>.</v>
          </cell>
        </row>
        <row r="374">
          <cell r="CA374" t="str">
            <v>.</v>
          </cell>
        </row>
        <row r="375">
          <cell r="CA375" t="str">
            <v>.</v>
          </cell>
        </row>
        <row r="376">
          <cell r="CA376" t="str">
            <v>.</v>
          </cell>
        </row>
        <row r="377">
          <cell r="CA377" t="str">
            <v>.</v>
          </cell>
        </row>
        <row r="378">
          <cell r="CA378" t="str">
            <v>.</v>
          </cell>
        </row>
        <row r="379">
          <cell r="CA379" t="str">
            <v>.</v>
          </cell>
        </row>
        <row r="380">
          <cell r="CA380" t="str">
            <v>.</v>
          </cell>
        </row>
        <row r="381">
          <cell r="CA381" t="str">
            <v>.</v>
          </cell>
        </row>
        <row r="382">
          <cell r="CA382" t="str">
            <v>.</v>
          </cell>
        </row>
        <row r="383">
          <cell r="CA383" t="str">
            <v>.</v>
          </cell>
        </row>
        <row r="384">
          <cell r="CA384" t="str">
            <v>.</v>
          </cell>
        </row>
        <row r="385">
          <cell r="CA385" t="str">
            <v>.</v>
          </cell>
        </row>
        <row r="386">
          <cell r="CA386" t="str">
            <v>.</v>
          </cell>
        </row>
        <row r="387">
          <cell r="CA387" t="str">
            <v>.</v>
          </cell>
        </row>
        <row r="388">
          <cell r="CA388" t="str">
            <v>.</v>
          </cell>
        </row>
        <row r="389">
          <cell r="CA389" t="str">
            <v>.</v>
          </cell>
        </row>
        <row r="390">
          <cell r="CA390" t="str">
            <v>.</v>
          </cell>
        </row>
        <row r="391">
          <cell r="CA391" t="str">
            <v>.</v>
          </cell>
        </row>
        <row r="392">
          <cell r="CA392" t="str">
            <v>.</v>
          </cell>
        </row>
        <row r="393">
          <cell r="CA393" t="str">
            <v>.</v>
          </cell>
        </row>
        <row r="394">
          <cell r="CA394" t="str">
            <v>.</v>
          </cell>
        </row>
        <row r="395">
          <cell r="CA395" t="str">
            <v>.</v>
          </cell>
        </row>
        <row r="396">
          <cell r="CA396" t="str">
            <v>.</v>
          </cell>
        </row>
        <row r="397">
          <cell r="CA397" t="str">
            <v>.</v>
          </cell>
        </row>
        <row r="398">
          <cell r="CA398" t="str">
            <v>.</v>
          </cell>
        </row>
        <row r="399">
          <cell r="CA399" t="str">
            <v>.</v>
          </cell>
        </row>
        <row r="400">
          <cell r="CA400" t="str">
            <v>.</v>
          </cell>
        </row>
        <row r="401">
          <cell r="CA401" t="str">
            <v>.</v>
          </cell>
        </row>
        <row r="402">
          <cell r="CA402" t="str">
            <v>.</v>
          </cell>
        </row>
        <row r="403">
          <cell r="CA403" t="str">
            <v>.</v>
          </cell>
        </row>
        <row r="404">
          <cell r="CA404" t="str">
            <v>.</v>
          </cell>
        </row>
        <row r="405">
          <cell r="CA405" t="str">
            <v>.</v>
          </cell>
        </row>
        <row r="406">
          <cell r="CA406" t="str">
            <v>.</v>
          </cell>
        </row>
        <row r="407">
          <cell r="CA407" t="str">
            <v>.</v>
          </cell>
        </row>
        <row r="408">
          <cell r="CA408" t="str">
            <v>.</v>
          </cell>
        </row>
        <row r="409">
          <cell r="CA409" t="str">
            <v>.</v>
          </cell>
        </row>
        <row r="410">
          <cell r="CA410" t="str">
            <v>.</v>
          </cell>
        </row>
        <row r="411">
          <cell r="CA411" t="str">
            <v>.</v>
          </cell>
        </row>
        <row r="412">
          <cell r="CA412" t="str">
            <v>.</v>
          </cell>
        </row>
        <row r="413">
          <cell r="CA413" t="str">
            <v>.</v>
          </cell>
        </row>
        <row r="414">
          <cell r="CA414" t="str">
            <v>.</v>
          </cell>
        </row>
        <row r="415">
          <cell r="CA415" t="str">
            <v>.</v>
          </cell>
        </row>
        <row r="416">
          <cell r="CA416" t="str">
            <v>.</v>
          </cell>
        </row>
        <row r="417">
          <cell r="CA417" t="str">
            <v>.</v>
          </cell>
        </row>
        <row r="418">
          <cell r="CA418" t="str">
            <v>.</v>
          </cell>
        </row>
        <row r="419">
          <cell r="CA419" t="str">
            <v>.</v>
          </cell>
        </row>
        <row r="420">
          <cell r="CA420" t="str">
            <v>.</v>
          </cell>
        </row>
        <row r="421">
          <cell r="CA421" t="str">
            <v>.</v>
          </cell>
        </row>
        <row r="422">
          <cell r="CA422" t="str">
            <v>.</v>
          </cell>
        </row>
        <row r="423">
          <cell r="CA423" t="str">
            <v>.</v>
          </cell>
        </row>
        <row r="424">
          <cell r="CA424" t="str">
            <v>.</v>
          </cell>
        </row>
        <row r="425">
          <cell r="CA425" t="str">
            <v>.</v>
          </cell>
        </row>
        <row r="426">
          <cell r="CA426" t="str">
            <v>.</v>
          </cell>
        </row>
        <row r="427">
          <cell r="CA427" t="str">
            <v>.</v>
          </cell>
        </row>
        <row r="428">
          <cell r="CA428" t="str">
            <v>.</v>
          </cell>
        </row>
        <row r="429">
          <cell r="CA429" t="str">
            <v>.</v>
          </cell>
        </row>
        <row r="430">
          <cell r="CA430" t="str">
            <v>.</v>
          </cell>
        </row>
        <row r="431">
          <cell r="CA431" t="str">
            <v>.</v>
          </cell>
        </row>
        <row r="432">
          <cell r="CA432" t="str">
            <v>.</v>
          </cell>
        </row>
        <row r="433">
          <cell r="CA433" t="str">
            <v>.</v>
          </cell>
        </row>
        <row r="434">
          <cell r="CA434" t="str">
            <v>.</v>
          </cell>
        </row>
        <row r="435">
          <cell r="CA435" t="str">
            <v>.</v>
          </cell>
        </row>
        <row r="436">
          <cell r="CA436" t="str">
            <v>.</v>
          </cell>
        </row>
        <row r="437">
          <cell r="CA437" t="str">
            <v>.</v>
          </cell>
        </row>
        <row r="438">
          <cell r="CA438" t="str">
            <v>.</v>
          </cell>
        </row>
        <row r="439">
          <cell r="CA439" t="str">
            <v>.</v>
          </cell>
        </row>
        <row r="440">
          <cell r="CA440" t="str">
            <v>.</v>
          </cell>
        </row>
        <row r="441">
          <cell r="CA441" t="str">
            <v>.</v>
          </cell>
        </row>
        <row r="442">
          <cell r="CA442" t="str">
            <v>.</v>
          </cell>
        </row>
        <row r="443">
          <cell r="CA443" t="str">
            <v>.</v>
          </cell>
        </row>
        <row r="444">
          <cell r="CA444" t="str">
            <v>.</v>
          </cell>
        </row>
        <row r="445">
          <cell r="CA445" t="str">
            <v>.</v>
          </cell>
        </row>
        <row r="446">
          <cell r="CA446" t="str">
            <v>.</v>
          </cell>
        </row>
        <row r="447">
          <cell r="CA447" t="str">
            <v>.</v>
          </cell>
        </row>
        <row r="448">
          <cell r="CA448" t="str">
            <v>.</v>
          </cell>
        </row>
        <row r="449">
          <cell r="CA449" t="str">
            <v>.</v>
          </cell>
        </row>
        <row r="450">
          <cell r="CA450" t="str">
            <v>.</v>
          </cell>
        </row>
        <row r="451">
          <cell r="CA451" t="str">
            <v>.</v>
          </cell>
        </row>
        <row r="452">
          <cell r="CA452" t="str">
            <v>.</v>
          </cell>
        </row>
        <row r="453">
          <cell r="CA453" t="str">
            <v>.</v>
          </cell>
        </row>
        <row r="454">
          <cell r="CA454" t="str">
            <v>.</v>
          </cell>
        </row>
        <row r="455">
          <cell r="CA455" t="str">
            <v>.</v>
          </cell>
        </row>
        <row r="456">
          <cell r="CA456" t="str">
            <v>.</v>
          </cell>
        </row>
        <row r="457">
          <cell r="CA457" t="str">
            <v>.</v>
          </cell>
        </row>
        <row r="458">
          <cell r="CA458" t="str">
            <v>.</v>
          </cell>
        </row>
        <row r="459">
          <cell r="CA459" t="str">
            <v>.</v>
          </cell>
        </row>
        <row r="460">
          <cell r="CA460" t="str">
            <v>.</v>
          </cell>
        </row>
        <row r="461">
          <cell r="CA461" t="str">
            <v>.</v>
          </cell>
        </row>
        <row r="462">
          <cell r="CA462" t="str">
            <v>.</v>
          </cell>
        </row>
        <row r="463">
          <cell r="CA463" t="str">
            <v>.</v>
          </cell>
        </row>
        <row r="464">
          <cell r="CA464" t="str">
            <v>.</v>
          </cell>
        </row>
        <row r="465">
          <cell r="CA465" t="str">
            <v>.</v>
          </cell>
        </row>
        <row r="466">
          <cell r="CA466" t="str">
            <v>.</v>
          </cell>
        </row>
        <row r="467">
          <cell r="CA467" t="str">
            <v>.</v>
          </cell>
        </row>
        <row r="468">
          <cell r="CA468" t="str">
            <v>.</v>
          </cell>
        </row>
        <row r="469">
          <cell r="CA469" t="str">
            <v>.</v>
          </cell>
        </row>
        <row r="470">
          <cell r="CA470" t="str">
            <v>.</v>
          </cell>
        </row>
        <row r="471">
          <cell r="CA471" t="str">
            <v>.</v>
          </cell>
        </row>
        <row r="472">
          <cell r="CA472" t="str">
            <v>.</v>
          </cell>
        </row>
        <row r="473">
          <cell r="CA473" t="str">
            <v>.</v>
          </cell>
        </row>
        <row r="474">
          <cell r="CA474" t="str">
            <v>.</v>
          </cell>
        </row>
        <row r="475">
          <cell r="CA475" t="str">
            <v>.</v>
          </cell>
        </row>
        <row r="476">
          <cell r="CA476" t="str">
            <v>.</v>
          </cell>
        </row>
        <row r="477">
          <cell r="CA477" t="str">
            <v>.</v>
          </cell>
        </row>
        <row r="478">
          <cell r="CA478" t="str">
            <v>.</v>
          </cell>
        </row>
        <row r="479">
          <cell r="CA479" t="str">
            <v>.</v>
          </cell>
        </row>
        <row r="480">
          <cell r="CA480" t="str">
            <v>.</v>
          </cell>
        </row>
        <row r="481">
          <cell r="CA481" t="str">
            <v>.</v>
          </cell>
        </row>
        <row r="482">
          <cell r="CA482" t="str">
            <v>.</v>
          </cell>
        </row>
        <row r="483">
          <cell r="CA483" t="str">
            <v>.</v>
          </cell>
        </row>
        <row r="484">
          <cell r="CA484" t="str">
            <v>.</v>
          </cell>
        </row>
        <row r="485">
          <cell r="CA485" t="str">
            <v>.</v>
          </cell>
        </row>
        <row r="486">
          <cell r="CA486" t="str">
            <v>.</v>
          </cell>
        </row>
        <row r="487">
          <cell r="CA487" t="str">
            <v>.</v>
          </cell>
        </row>
        <row r="488">
          <cell r="CA488" t="str">
            <v>.</v>
          </cell>
        </row>
        <row r="489">
          <cell r="CA489" t="str">
            <v>.</v>
          </cell>
        </row>
        <row r="490">
          <cell r="CA490" t="str">
            <v>.</v>
          </cell>
        </row>
        <row r="491">
          <cell r="CA491" t="str">
            <v>.</v>
          </cell>
        </row>
        <row r="492">
          <cell r="CA492" t="str">
            <v>.</v>
          </cell>
        </row>
        <row r="493">
          <cell r="CA493" t="str">
            <v>.</v>
          </cell>
        </row>
        <row r="494">
          <cell r="CA494" t="str">
            <v>.</v>
          </cell>
        </row>
        <row r="495">
          <cell r="CA495" t="str">
            <v>.</v>
          </cell>
        </row>
        <row r="496">
          <cell r="CA496" t="str">
            <v>.</v>
          </cell>
        </row>
        <row r="497">
          <cell r="CA497" t="str">
            <v>.</v>
          </cell>
        </row>
        <row r="498">
          <cell r="CA498" t="str">
            <v>.</v>
          </cell>
        </row>
        <row r="499">
          <cell r="CA499" t="str">
            <v>.</v>
          </cell>
        </row>
        <row r="500">
          <cell r="CA500" t="str">
            <v>.</v>
          </cell>
        </row>
        <row r="501">
          <cell r="CA501" t="str">
            <v>.</v>
          </cell>
        </row>
        <row r="502">
          <cell r="CA502" t="str">
            <v>.</v>
          </cell>
        </row>
        <row r="503">
          <cell r="CA503" t="str">
            <v>.</v>
          </cell>
        </row>
        <row r="504">
          <cell r="CA504" t="str">
            <v>.</v>
          </cell>
        </row>
        <row r="505">
          <cell r="CA505" t="str">
            <v>.</v>
          </cell>
        </row>
        <row r="506">
          <cell r="CA506" t="str">
            <v>.</v>
          </cell>
        </row>
        <row r="507">
          <cell r="CA507" t="str">
            <v>.</v>
          </cell>
        </row>
        <row r="508">
          <cell r="CA508" t="str">
            <v>.</v>
          </cell>
        </row>
        <row r="509">
          <cell r="CA509" t="str">
            <v>.</v>
          </cell>
        </row>
        <row r="510">
          <cell r="CA510" t="str">
            <v>.</v>
          </cell>
        </row>
        <row r="511">
          <cell r="CA511" t="str">
            <v>.</v>
          </cell>
        </row>
        <row r="512">
          <cell r="CA512" t="str">
            <v>.</v>
          </cell>
        </row>
        <row r="513">
          <cell r="CA513" t="str">
            <v>.</v>
          </cell>
        </row>
        <row r="514">
          <cell r="CA514" t="str">
            <v>.</v>
          </cell>
        </row>
        <row r="515">
          <cell r="CA515" t="str">
            <v>.</v>
          </cell>
        </row>
        <row r="516">
          <cell r="CA516" t="str">
            <v>.</v>
          </cell>
        </row>
        <row r="517">
          <cell r="CA517" t="str">
            <v>.</v>
          </cell>
        </row>
        <row r="518">
          <cell r="CA518" t="str">
            <v>.</v>
          </cell>
        </row>
        <row r="519">
          <cell r="CA519" t="str">
            <v>.</v>
          </cell>
        </row>
        <row r="520">
          <cell r="CA520" t="str">
            <v>.</v>
          </cell>
        </row>
        <row r="521">
          <cell r="CA521" t="str">
            <v>.</v>
          </cell>
        </row>
        <row r="522">
          <cell r="CA522" t="str">
            <v>.</v>
          </cell>
        </row>
        <row r="523">
          <cell r="CA523" t="str">
            <v>.</v>
          </cell>
        </row>
        <row r="524">
          <cell r="CA524" t="str">
            <v>.</v>
          </cell>
        </row>
        <row r="525">
          <cell r="CA525" t="str">
            <v>.</v>
          </cell>
        </row>
        <row r="526">
          <cell r="CA526" t="str">
            <v>.</v>
          </cell>
        </row>
        <row r="527">
          <cell r="CA527" t="str">
            <v>.</v>
          </cell>
        </row>
        <row r="528">
          <cell r="CA528" t="str">
            <v>.</v>
          </cell>
        </row>
        <row r="529">
          <cell r="CA529" t="str">
            <v>.</v>
          </cell>
        </row>
        <row r="530">
          <cell r="CA530" t="str">
            <v>.</v>
          </cell>
        </row>
        <row r="531">
          <cell r="CA531" t="str">
            <v>.</v>
          </cell>
        </row>
        <row r="532">
          <cell r="CA532" t="str">
            <v>.</v>
          </cell>
        </row>
        <row r="533">
          <cell r="CA533" t="str">
            <v>.</v>
          </cell>
        </row>
        <row r="534">
          <cell r="CA534" t="str">
            <v>.</v>
          </cell>
        </row>
        <row r="535">
          <cell r="CA535" t="str">
            <v>.</v>
          </cell>
        </row>
        <row r="536">
          <cell r="CA536" t="str">
            <v>.</v>
          </cell>
        </row>
        <row r="537">
          <cell r="CA537" t="str">
            <v>.</v>
          </cell>
        </row>
        <row r="538">
          <cell r="CA538" t="str">
            <v>.</v>
          </cell>
        </row>
        <row r="539">
          <cell r="CA539" t="str">
            <v>.</v>
          </cell>
        </row>
        <row r="540">
          <cell r="CA540" t="str">
            <v>.</v>
          </cell>
        </row>
        <row r="541">
          <cell r="CA541" t="str">
            <v>.</v>
          </cell>
        </row>
        <row r="542">
          <cell r="CA542" t="str">
            <v>.</v>
          </cell>
        </row>
        <row r="543">
          <cell r="CA543" t="str">
            <v>.</v>
          </cell>
        </row>
        <row r="544">
          <cell r="CA544" t="str">
            <v>.</v>
          </cell>
        </row>
        <row r="545">
          <cell r="CA545" t="str">
            <v>.</v>
          </cell>
        </row>
        <row r="546">
          <cell r="CA546" t="str">
            <v>.</v>
          </cell>
        </row>
        <row r="547">
          <cell r="CA547" t="str">
            <v>.</v>
          </cell>
        </row>
        <row r="548">
          <cell r="CA548" t="str">
            <v>.</v>
          </cell>
        </row>
        <row r="549">
          <cell r="CA549" t="str">
            <v>.</v>
          </cell>
        </row>
        <row r="550">
          <cell r="CA550" t="str">
            <v>.</v>
          </cell>
        </row>
        <row r="551">
          <cell r="CA551" t="str">
            <v>.</v>
          </cell>
        </row>
        <row r="552">
          <cell r="CA552" t="str">
            <v>.</v>
          </cell>
        </row>
        <row r="553">
          <cell r="CA553" t="str">
            <v>.</v>
          </cell>
        </row>
        <row r="554">
          <cell r="CA554" t="str">
            <v>.</v>
          </cell>
        </row>
        <row r="555">
          <cell r="CA555" t="str">
            <v>.</v>
          </cell>
        </row>
        <row r="556">
          <cell r="CA556" t="str">
            <v>.</v>
          </cell>
        </row>
        <row r="557">
          <cell r="CA557" t="str">
            <v>.</v>
          </cell>
        </row>
        <row r="558">
          <cell r="CA558" t="str">
            <v>.</v>
          </cell>
        </row>
        <row r="559">
          <cell r="CA559" t="str">
            <v>.</v>
          </cell>
        </row>
        <row r="560">
          <cell r="CA560" t="str">
            <v>.</v>
          </cell>
        </row>
        <row r="561">
          <cell r="CA561" t="str">
            <v>.</v>
          </cell>
        </row>
        <row r="562">
          <cell r="CA562" t="str">
            <v>.</v>
          </cell>
        </row>
        <row r="563">
          <cell r="CA563" t="str">
            <v>.</v>
          </cell>
        </row>
        <row r="564">
          <cell r="CA564" t="str">
            <v>.</v>
          </cell>
        </row>
        <row r="565">
          <cell r="CA565" t="str">
            <v>.</v>
          </cell>
        </row>
        <row r="566">
          <cell r="CA566" t="str">
            <v>.</v>
          </cell>
        </row>
        <row r="567">
          <cell r="CA567" t="str">
            <v>.</v>
          </cell>
        </row>
        <row r="568">
          <cell r="CA568" t="str">
            <v>.</v>
          </cell>
        </row>
        <row r="569">
          <cell r="CA569" t="str">
            <v>.</v>
          </cell>
        </row>
        <row r="570">
          <cell r="CA570" t="str">
            <v>.</v>
          </cell>
        </row>
        <row r="571">
          <cell r="CA571" t="str">
            <v>.</v>
          </cell>
        </row>
        <row r="572">
          <cell r="CA572" t="str">
            <v>.</v>
          </cell>
        </row>
        <row r="573">
          <cell r="CA573" t="str">
            <v>.</v>
          </cell>
        </row>
        <row r="574">
          <cell r="CA574" t="str">
            <v>.</v>
          </cell>
        </row>
        <row r="575">
          <cell r="CA575" t="str">
            <v>.</v>
          </cell>
        </row>
        <row r="576">
          <cell r="CA576" t="str">
            <v>.</v>
          </cell>
        </row>
        <row r="577">
          <cell r="CA577" t="str">
            <v>.</v>
          </cell>
        </row>
        <row r="578">
          <cell r="CA578" t="str">
            <v>.</v>
          </cell>
        </row>
        <row r="579">
          <cell r="CA579" t="str">
            <v>.</v>
          </cell>
        </row>
        <row r="580">
          <cell r="CA580" t="str">
            <v>.</v>
          </cell>
        </row>
        <row r="581">
          <cell r="CA581" t="str">
            <v>.</v>
          </cell>
        </row>
        <row r="582">
          <cell r="CA582" t="str">
            <v>.</v>
          </cell>
        </row>
        <row r="583">
          <cell r="CA583" t="str">
            <v>.</v>
          </cell>
        </row>
        <row r="584">
          <cell r="CA584" t="str">
            <v>.</v>
          </cell>
        </row>
        <row r="585">
          <cell r="CA585" t="str">
            <v>.</v>
          </cell>
        </row>
        <row r="586">
          <cell r="CA586" t="str">
            <v>.</v>
          </cell>
        </row>
        <row r="587">
          <cell r="CA587" t="str">
            <v>.</v>
          </cell>
        </row>
        <row r="588">
          <cell r="CA588" t="str">
            <v>.</v>
          </cell>
        </row>
        <row r="589">
          <cell r="CA589" t="str">
            <v>.</v>
          </cell>
        </row>
        <row r="590">
          <cell r="CA590" t="str">
            <v>.</v>
          </cell>
        </row>
        <row r="591">
          <cell r="CA591" t="str">
            <v>.</v>
          </cell>
        </row>
        <row r="592">
          <cell r="CA592" t="str">
            <v>.</v>
          </cell>
        </row>
        <row r="593">
          <cell r="CA593" t="str">
            <v>.</v>
          </cell>
        </row>
        <row r="594">
          <cell r="CA594" t="str">
            <v>.</v>
          </cell>
        </row>
        <row r="595">
          <cell r="CA595" t="str">
            <v>.</v>
          </cell>
        </row>
        <row r="596">
          <cell r="CA596" t="str">
            <v>.</v>
          </cell>
        </row>
        <row r="597">
          <cell r="CA597" t="str">
            <v>.</v>
          </cell>
        </row>
        <row r="598">
          <cell r="CA598" t="str">
            <v>.</v>
          </cell>
        </row>
        <row r="599">
          <cell r="CA599" t="str">
            <v>.</v>
          </cell>
        </row>
        <row r="600">
          <cell r="CA600" t="str">
            <v>.</v>
          </cell>
        </row>
        <row r="601">
          <cell r="CA601" t="str">
            <v>.</v>
          </cell>
        </row>
        <row r="602">
          <cell r="CA602" t="str">
            <v>.</v>
          </cell>
        </row>
        <row r="603">
          <cell r="CA603" t="str">
            <v>.</v>
          </cell>
        </row>
        <row r="604">
          <cell r="CA604" t="str">
            <v>.</v>
          </cell>
        </row>
        <row r="605">
          <cell r="CA605" t="str">
            <v>.</v>
          </cell>
        </row>
        <row r="606">
          <cell r="CA606" t="str">
            <v>.</v>
          </cell>
        </row>
        <row r="607">
          <cell r="CA607" t="str">
            <v>.</v>
          </cell>
        </row>
        <row r="608">
          <cell r="CA608" t="str">
            <v>.</v>
          </cell>
        </row>
        <row r="609">
          <cell r="CA609" t="str">
            <v>.</v>
          </cell>
        </row>
        <row r="610">
          <cell r="CA610" t="str">
            <v>.</v>
          </cell>
        </row>
        <row r="611">
          <cell r="CA611" t="str">
            <v>.</v>
          </cell>
        </row>
        <row r="612">
          <cell r="CA612" t="str">
            <v>.</v>
          </cell>
        </row>
        <row r="613">
          <cell r="CA613" t="str">
            <v>.</v>
          </cell>
        </row>
        <row r="614">
          <cell r="CA614" t="str">
            <v>.</v>
          </cell>
        </row>
        <row r="615">
          <cell r="CA615" t="str">
            <v>.</v>
          </cell>
        </row>
        <row r="616">
          <cell r="CA616" t="str">
            <v>.</v>
          </cell>
        </row>
        <row r="617">
          <cell r="CA617" t="str">
            <v>.</v>
          </cell>
        </row>
        <row r="618">
          <cell r="CA618" t="str">
            <v>.</v>
          </cell>
        </row>
        <row r="619">
          <cell r="CA619" t="str">
            <v>.</v>
          </cell>
        </row>
        <row r="620">
          <cell r="CA620" t="str">
            <v>.</v>
          </cell>
        </row>
        <row r="621">
          <cell r="CA621" t="str">
            <v>.</v>
          </cell>
        </row>
        <row r="622">
          <cell r="CA622" t="str">
            <v>.</v>
          </cell>
        </row>
        <row r="623">
          <cell r="CA623" t="str">
            <v>.</v>
          </cell>
        </row>
        <row r="624">
          <cell r="CA624" t="str">
            <v>.</v>
          </cell>
        </row>
        <row r="625">
          <cell r="CA625" t="str">
            <v>.</v>
          </cell>
        </row>
        <row r="626">
          <cell r="CA626" t="str">
            <v>.</v>
          </cell>
        </row>
        <row r="627">
          <cell r="CA627" t="str">
            <v>.</v>
          </cell>
        </row>
        <row r="628">
          <cell r="CA628" t="str">
            <v>.</v>
          </cell>
        </row>
        <row r="629">
          <cell r="CA629" t="str">
            <v>.</v>
          </cell>
        </row>
        <row r="630">
          <cell r="CA630" t="str">
            <v>.</v>
          </cell>
        </row>
        <row r="631">
          <cell r="CA631" t="str">
            <v>.</v>
          </cell>
        </row>
        <row r="632">
          <cell r="CA632" t="str">
            <v>.</v>
          </cell>
        </row>
        <row r="633">
          <cell r="CA633" t="str">
            <v>.</v>
          </cell>
        </row>
        <row r="634">
          <cell r="CA634" t="str">
            <v>.</v>
          </cell>
        </row>
        <row r="635">
          <cell r="CA635" t="str">
            <v>.</v>
          </cell>
        </row>
        <row r="636">
          <cell r="CA636" t="str">
            <v>.</v>
          </cell>
        </row>
        <row r="637">
          <cell r="CA637" t="str">
            <v>.</v>
          </cell>
        </row>
        <row r="638">
          <cell r="CA638" t="str">
            <v>.</v>
          </cell>
        </row>
        <row r="639">
          <cell r="CA639" t="str">
            <v>.</v>
          </cell>
        </row>
        <row r="640">
          <cell r="CA640" t="str">
            <v>.</v>
          </cell>
        </row>
        <row r="641">
          <cell r="CA641" t="str">
            <v>.</v>
          </cell>
        </row>
        <row r="642">
          <cell r="CA642" t="str">
            <v>.</v>
          </cell>
        </row>
        <row r="643">
          <cell r="CA643" t="str">
            <v>.</v>
          </cell>
        </row>
        <row r="644">
          <cell r="CA644" t="str">
            <v>.</v>
          </cell>
        </row>
        <row r="645">
          <cell r="CA645" t="str">
            <v>.</v>
          </cell>
        </row>
        <row r="646">
          <cell r="CA646" t="str">
            <v>.</v>
          </cell>
        </row>
        <row r="647">
          <cell r="CA647" t="str">
            <v>.</v>
          </cell>
        </row>
        <row r="648">
          <cell r="CA648" t="str">
            <v>.</v>
          </cell>
        </row>
        <row r="649">
          <cell r="CA649" t="str">
            <v>.</v>
          </cell>
        </row>
        <row r="650">
          <cell r="CA650" t="str">
            <v>.</v>
          </cell>
        </row>
        <row r="651">
          <cell r="CA651" t="str">
            <v>.</v>
          </cell>
        </row>
        <row r="652">
          <cell r="CA652" t="str">
            <v>.</v>
          </cell>
        </row>
        <row r="653">
          <cell r="CA653" t="str">
            <v>.</v>
          </cell>
        </row>
        <row r="654">
          <cell r="CA654" t="str">
            <v>.</v>
          </cell>
        </row>
        <row r="655">
          <cell r="CA655" t="str">
            <v>.</v>
          </cell>
        </row>
        <row r="656">
          <cell r="CA656" t="str">
            <v>.</v>
          </cell>
        </row>
        <row r="657">
          <cell r="CA657" t="str">
            <v>.</v>
          </cell>
        </row>
        <row r="658">
          <cell r="CA658" t="str">
            <v>.</v>
          </cell>
        </row>
        <row r="659">
          <cell r="CA659" t="str">
            <v>.</v>
          </cell>
        </row>
        <row r="660">
          <cell r="CA660" t="str">
            <v>.</v>
          </cell>
        </row>
        <row r="661">
          <cell r="CA661" t="str">
            <v>.</v>
          </cell>
        </row>
        <row r="662">
          <cell r="CA662" t="str">
            <v>.</v>
          </cell>
        </row>
        <row r="663">
          <cell r="CA663" t="str">
            <v>.</v>
          </cell>
        </row>
        <row r="664">
          <cell r="CA664" t="str">
            <v>.</v>
          </cell>
        </row>
        <row r="665">
          <cell r="CA665" t="str">
            <v>.</v>
          </cell>
        </row>
        <row r="666">
          <cell r="CA666" t="str">
            <v>.</v>
          </cell>
        </row>
        <row r="667">
          <cell r="CA667" t="str">
            <v>.</v>
          </cell>
        </row>
        <row r="668">
          <cell r="CA668" t="str">
            <v>.</v>
          </cell>
        </row>
        <row r="669">
          <cell r="CA669" t="str">
            <v>.</v>
          </cell>
        </row>
        <row r="670">
          <cell r="CA670" t="str">
            <v>.</v>
          </cell>
        </row>
        <row r="671">
          <cell r="CA671" t="str">
            <v>.</v>
          </cell>
        </row>
        <row r="672">
          <cell r="CA672" t="str">
            <v>.</v>
          </cell>
        </row>
        <row r="673">
          <cell r="CA673" t="str">
            <v>.</v>
          </cell>
        </row>
        <row r="674">
          <cell r="CA674" t="str">
            <v>.</v>
          </cell>
        </row>
        <row r="675">
          <cell r="CA675" t="str">
            <v>.</v>
          </cell>
        </row>
        <row r="676">
          <cell r="CA676" t="str">
            <v>.</v>
          </cell>
        </row>
        <row r="677">
          <cell r="CA677" t="str">
            <v>.</v>
          </cell>
        </row>
        <row r="678">
          <cell r="CA678" t="str">
            <v>.</v>
          </cell>
        </row>
        <row r="679">
          <cell r="CA679" t="str">
            <v>.</v>
          </cell>
        </row>
        <row r="680">
          <cell r="CA680" t="str">
            <v>.</v>
          </cell>
        </row>
        <row r="681">
          <cell r="CA681" t="str">
            <v>.</v>
          </cell>
        </row>
        <row r="682">
          <cell r="CA682" t="str">
            <v>.</v>
          </cell>
        </row>
        <row r="683">
          <cell r="CA683" t="str">
            <v>.</v>
          </cell>
        </row>
        <row r="684">
          <cell r="CA684" t="str">
            <v>.</v>
          </cell>
        </row>
        <row r="685">
          <cell r="CA685" t="str">
            <v>.</v>
          </cell>
        </row>
        <row r="686">
          <cell r="CA686" t="str">
            <v>.</v>
          </cell>
        </row>
        <row r="687">
          <cell r="CA687" t="str">
            <v>.</v>
          </cell>
        </row>
        <row r="688">
          <cell r="CA688" t="str">
            <v>.</v>
          </cell>
        </row>
        <row r="689">
          <cell r="CA689" t="str">
            <v>.</v>
          </cell>
        </row>
        <row r="690">
          <cell r="CA690" t="str">
            <v>.</v>
          </cell>
        </row>
        <row r="691">
          <cell r="CA691" t="str">
            <v>.</v>
          </cell>
        </row>
        <row r="692">
          <cell r="CA692" t="str">
            <v>.</v>
          </cell>
        </row>
        <row r="693">
          <cell r="CA693" t="str">
            <v>.</v>
          </cell>
        </row>
        <row r="694">
          <cell r="CA694" t="str">
            <v>.</v>
          </cell>
        </row>
        <row r="695">
          <cell r="CA695" t="str">
            <v>.</v>
          </cell>
        </row>
        <row r="696">
          <cell r="CA696" t="str">
            <v>.</v>
          </cell>
        </row>
        <row r="697">
          <cell r="CA697" t="str">
            <v>.</v>
          </cell>
        </row>
        <row r="698">
          <cell r="CA698" t="str">
            <v>.</v>
          </cell>
        </row>
        <row r="699">
          <cell r="CA699" t="str">
            <v>.</v>
          </cell>
        </row>
        <row r="700">
          <cell r="CA700" t="str">
            <v>.</v>
          </cell>
        </row>
        <row r="701">
          <cell r="CA701" t="str">
            <v>.</v>
          </cell>
        </row>
        <row r="702">
          <cell r="CA702" t="str">
            <v>.</v>
          </cell>
        </row>
        <row r="703">
          <cell r="CA703" t="str">
            <v>.</v>
          </cell>
        </row>
        <row r="704">
          <cell r="CA704" t="str">
            <v>.</v>
          </cell>
        </row>
        <row r="705">
          <cell r="CA705" t="str">
            <v>.</v>
          </cell>
        </row>
        <row r="706">
          <cell r="CA706" t="str">
            <v>.</v>
          </cell>
        </row>
        <row r="707">
          <cell r="CA707" t="str">
            <v>.</v>
          </cell>
        </row>
        <row r="708">
          <cell r="CA708" t="str">
            <v>.</v>
          </cell>
        </row>
        <row r="709">
          <cell r="CA709" t="str">
            <v>.</v>
          </cell>
        </row>
        <row r="710">
          <cell r="CA710" t="str">
            <v>.</v>
          </cell>
        </row>
        <row r="711">
          <cell r="CA711" t="str">
            <v>.</v>
          </cell>
        </row>
        <row r="712">
          <cell r="CA712" t="str">
            <v>.</v>
          </cell>
        </row>
        <row r="713">
          <cell r="CA713" t="str">
            <v>.</v>
          </cell>
        </row>
        <row r="714">
          <cell r="CA714" t="str">
            <v>.</v>
          </cell>
        </row>
        <row r="715">
          <cell r="CA715" t="str">
            <v>.</v>
          </cell>
        </row>
        <row r="716">
          <cell r="CA716" t="str">
            <v>.</v>
          </cell>
        </row>
        <row r="717">
          <cell r="CA717" t="str">
            <v>.</v>
          </cell>
        </row>
        <row r="718">
          <cell r="CA718" t="str">
            <v>.</v>
          </cell>
        </row>
        <row r="719">
          <cell r="CA719" t="str">
            <v>.</v>
          </cell>
        </row>
        <row r="720">
          <cell r="CA720" t="str">
            <v>.</v>
          </cell>
        </row>
        <row r="721">
          <cell r="CA721" t="str">
            <v>.</v>
          </cell>
        </row>
        <row r="722">
          <cell r="CA722" t="str">
            <v>.</v>
          </cell>
        </row>
        <row r="723">
          <cell r="CA723" t="str">
            <v>.</v>
          </cell>
        </row>
        <row r="724">
          <cell r="CA724" t="str">
            <v>.</v>
          </cell>
        </row>
        <row r="725">
          <cell r="CA725" t="str">
            <v>.</v>
          </cell>
        </row>
        <row r="726">
          <cell r="CA726" t="str">
            <v>.</v>
          </cell>
        </row>
        <row r="727">
          <cell r="CA727" t="str">
            <v>.</v>
          </cell>
        </row>
        <row r="728">
          <cell r="CA728" t="str">
            <v>.</v>
          </cell>
        </row>
        <row r="729">
          <cell r="CA729" t="str">
            <v>.</v>
          </cell>
        </row>
        <row r="730">
          <cell r="CA730" t="str">
            <v>.</v>
          </cell>
        </row>
        <row r="731">
          <cell r="CA731" t="str">
            <v>.</v>
          </cell>
        </row>
        <row r="732">
          <cell r="CA732" t="str">
            <v>.</v>
          </cell>
        </row>
        <row r="733">
          <cell r="CA733" t="str">
            <v>.</v>
          </cell>
        </row>
        <row r="734">
          <cell r="CA734" t="str">
            <v>.</v>
          </cell>
        </row>
        <row r="735">
          <cell r="CA735" t="str">
            <v>.</v>
          </cell>
        </row>
        <row r="736">
          <cell r="CA736" t="str">
            <v>.</v>
          </cell>
        </row>
        <row r="737">
          <cell r="CA737" t="str">
            <v>.</v>
          </cell>
        </row>
        <row r="738">
          <cell r="CA738" t="str">
            <v>.</v>
          </cell>
        </row>
        <row r="739">
          <cell r="CA739" t="str">
            <v>.</v>
          </cell>
        </row>
        <row r="740">
          <cell r="CA740" t="str">
            <v>.</v>
          </cell>
        </row>
        <row r="741">
          <cell r="CA741" t="str">
            <v>.</v>
          </cell>
        </row>
        <row r="742">
          <cell r="CA742" t="str">
            <v>.</v>
          </cell>
        </row>
        <row r="743">
          <cell r="CA743" t="str">
            <v>.</v>
          </cell>
        </row>
        <row r="744">
          <cell r="CA744" t="str">
            <v>.</v>
          </cell>
        </row>
        <row r="745">
          <cell r="CA745" t="str">
            <v>.</v>
          </cell>
        </row>
        <row r="746">
          <cell r="CA746" t="str">
            <v>.</v>
          </cell>
        </row>
        <row r="747">
          <cell r="CA747" t="str">
            <v>.</v>
          </cell>
        </row>
        <row r="748">
          <cell r="CA748" t="str">
            <v>.</v>
          </cell>
        </row>
        <row r="749">
          <cell r="CA749" t="str">
            <v>.</v>
          </cell>
        </row>
        <row r="750">
          <cell r="CA750" t="str">
            <v>.</v>
          </cell>
        </row>
        <row r="751">
          <cell r="CA751" t="str">
            <v>.</v>
          </cell>
        </row>
        <row r="752">
          <cell r="CA752" t="str">
            <v>.</v>
          </cell>
        </row>
        <row r="753">
          <cell r="CA753" t="str">
            <v>.</v>
          </cell>
        </row>
        <row r="754">
          <cell r="CA754" t="str">
            <v>.</v>
          </cell>
        </row>
        <row r="755">
          <cell r="CA755" t="str">
            <v>.</v>
          </cell>
        </row>
        <row r="756">
          <cell r="CA756" t="str">
            <v>.</v>
          </cell>
        </row>
        <row r="757">
          <cell r="CA757" t="str">
            <v>.</v>
          </cell>
        </row>
        <row r="758">
          <cell r="CA758" t="str">
            <v>.</v>
          </cell>
        </row>
        <row r="759">
          <cell r="CA759" t="str">
            <v>.</v>
          </cell>
        </row>
        <row r="760">
          <cell r="CA760" t="str">
            <v>.</v>
          </cell>
        </row>
        <row r="761">
          <cell r="CA761" t="str">
            <v>.</v>
          </cell>
        </row>
        <row r="762">
          <cell r="CA762" t="str">
            <v>.</v>
          </cell>
        </row>
        <row r="763">
          <cell r="CA763" t="str">
            <v>.</v>
          </cell>
        </row>
        <row r="764">
          <cell r="CA764" t="str">
            <v>.</v>
          </cell>
        </row>
        <row r="765">
          <cell r="CA765" t="str">
            <v>.</v>
          </cell>
        </row>
        <row r="766">
          <cell r="CA766" t="str">
            <v>.</v>
          </cell>
        </row>
        <row r="767">
          <cell r="CA767" t="str">
            <v>.</v>
          </cell>
        </row>
        <row r="768">
          <cell r="CA768" t="str">
            <v>.</v>
          </cell>
        </row>
        <row r="769">
          <cell r="CA769" t="str">
            <v>.</v>
          </cell>
        </row>
        <row r="770">
          <cell r="CA770" t="str">
            <v>.</v>
          </cell>
        </row>
        <row r="771">
          <cell r="CA771" t="str">
            <v>.</v>
          </cell>
        </row>
        <row r="772">
          <cell r="CA772" t="str">
            <v>.</v>
          </cell>
        </row>
        <row r="773">
          <cell r="CA773" t="str">
            <v>.</v>
          </cell>
        </row>
        <row r="774">
          <cell r="CA774" t="str">
            <v>.</v>
          </cell>
        </row>
        <row r="775">
          <cell r="CA775" t="str">
            <v>.</v>
          </cell>
        </row>
        <row r="776">
          <cell r="CA776" t="str">
            <v>.</v>
          </cell>
        </row>
        <row r="777">
          <cell r="CA777" t="str">
            <v>.</v>
          </cell>
        </row>
        <row r="778">
          <cell r="CA778" t="str">
            <v>.</v>
          </cell>
        </row>
        <row r="779">
          <cell r="CA779" t="str">
            <v>.</v>
          </cell>
        </row>
        <row r="780">
          <cell r="CA780" t="str">
            <v>.</v>
          </cell>
        </row>
        <row r="781">
          <cell r="CA781" t="str">
            <v>.</v>
          </cell>
        </row>
        <row r="782">
          <cell r="CA782" t="str">
            <v>.</v>
          </cell>
        </row>
        <row r="783">
          <cell r="CA783" t="str">
            <v>.</v>
          </cell>
        </row>
        <row r="784">
          <cell r="CA784" t="str">
            <v>.</v>
          </cell>
        </row>
        <row r="785">
          <cell r="CA785" t="str">
            <v>.</v>
          </cell>
        </row>
        <row r="786">
          <cell r="CA786" t="str">
            <v>.</v>
          </cell>
        </row>
        <row r="787">
          <cell r="CA787" t="str">
            <v>.</v>
          </cell>
        </row>
        <row r="788">
          <cell r="CA788" t="str">
            <v>.</v>
          </cell>
        </row>
        <row r="789">
          <cell r="CA789" t="str">
            <v>.</v>
          </cell>
        </row>
        <row r="790">
          <cell r="CA790" t="str">
            <v>.</v>
          </cell>
        </row>
        <row r="791">
          <cell r="CA791" t="str">
            <v>.</v>
          </cell>
        </row>
        <row r="792">
          <cell r="CA792" t="str">
            <v>.</v>
          </cell>
        </row>
        <row r="793">
          <cell r="CA793" t="str">
            <v>.</v>
          </cell>
        </row>
        <row r="794">
          <cell r="CA794" t="str">
            <v>.</v>
          </cell>
        </row>
        <row r="795">
          <cell r="CA795" t="str">
            <v>.</v>
          </cell>
        </row>
        <row r="796">
          <cell r="CA796" t="str">
            <v>.</v>
          </cell>
        </row>
        <row r="797">
          <cell r="CA797" t="str">
            <v>.</v>
          </cell>
        </row>
        <row r="798">
          <cell r="CA798" t="str">
            <v>.</v>
          </cell>
        </row>
        <row r="799">
          <cell r="CA799" t="str">
            <v>.</v>
          </cell>
        </row>
        <row r="800">
          <cell r="CA800" t="str">
            <v>.</v>
          </cell>
        </row>
        <row r="801">
          <cell r="CA801" t="str">
            <v>.</v>
          </cell>
        </row>
        <row r="802">
          <cell r="CA802" t="str">
            <v>.</v>
          </cell>
        </row>
        <row r="803">
          <cell r="CA803" t="str">
            <v>.</v>
          </cell>
        </row>
        <row r="804">
          <cell r="CA804" t="str">
            <v>.</v>
          </cell>
        </row>
        <row r="805">
          <cell r="CA805" t="str">
            <v>.</v>
          </cell>
        </row>
        <row r="806">
          <cell r="CA806" t="str">
            <v>.</v>
          </cell>
        </row>
        <row r="807">
          <cell r="CA807" t="str">
            <v>.</v>
          </cell>
        </row>
        <row r="808">
          <cell r="CA808" t="str">
            <v>.</v>
          </cell>
        </row>
        <row r="809">
          <cell r="CA809" t="str">
            <v>.</v>
          </cell>
        </row>
        <row r="810">
          <cell r="CA810" t="str">
            <v>.</v>
          </cell>
        </row>
        <row r="811">
          <cell r="CA811" t="str">
            <v>.</v>
          </cell>
        </row>
        <row r="812">
          <cell r="CA812" t="str">
            <v>.</v>
          </cell>
        </row>
        <row r="813">
          <cell r="CA813" t="str">
            <v>.</v>
          </cell>
        </row>
        <row r="814">
          <cell r="CA814" t="str">
            <v>.</v>
          </cell>
        </row>
        <row r="815">
          <cell r="CA815" t="str">
            <v>.</v>
          </cell>
        </row>
        <row r="816">
          <cell r="CA816" t="str">
            <v>.</v>
          </cell>
        </row>
        <row r="817">
          <cell r="CA817" t="str">
            <v>.</v>
          </cell>
        </row>
        <row r="818">
          <cell r="CA818" t="str">
            <v>.</v>
          </cell>
        </row>
        <row r="819">
          <cell r="CA819" t="str">
            <v>.</v>
          </cell>
        </row>
        <row r="820">
          <cell r="CA820" t="str">
            <v>.</v>
          </cell>
        </row>
        <row r="821">
          <cell r="CA821" t="str">
            <v>.</v>
          </cell>
        </row>
        <row r="822">
          <cell r="CA822" t="str">
            <v>.</v>
          </cell>
        </row>
        <row r="823">
          <cell r="CA823" t="str">
            <v>.</v>
          </cell>
        </row>
        <row r="824">
          <cell r="CA824" t="str">
            <v>.</v>
          </cell>
        </row>
        <row r="825">
          <cell r="CA825" t="str">
            <v>.</v>
          </cell>
        </row>
        <row r="826">
          <cell r="CA826" t="str">
            <v>.</v>
          </cell>
        </row>
        <row r="827">
          <cell r="CA827" t="str">
            <v>.</v>
          </cell>
        </row>
        <row r="828">
          <cell r="CA828" t="str">
            <v>.</v>
          </cell>
        </row>
        <row r="829">
          <cell r="CA829" t="str">
            <v>.</v>
          </cell>
        </row>
        <row r="830">
          <cell r="CA830" t="str">
            <v>.</v>
          </cell>
        </row>
        <row r="831">
          <cell r="CA831" t="str">
            <v>.</v>
          </cell>
        </row>
        <row r="832">
          <cell r="CA832" t="str">
            <v>.</v>
          </cell>
        </row>
        <row r="833">
          <cell r="CA833" t="str">
            <v>.</v>
          </cell>
        </row>
        <row r="834">
          <cell r="CA834" t="str">
            <v>.</v>
          </cell>
        </row>
        <row r="835">
          <cell r="CA835" t="str">
            <v>.</v>
          </cell>
        </row>
        <row r="836">
          <cell r="CA836" t="str">
            <v>.</v>
          </cell>
        </row>
        <row r="837">
          <cell r="CA837" t="str">
            <v>.</v>
          </cell>
        </row>
        <row r="838">
          <cell r="CA838" t="str">
            <v>.</v>
          </cell>
        </row>
        <row r="839">
          <cell r="CA839" t="str">
            <v>.</v>
          </cell>
        </row>
        <row r="840">
          <cell r="CA840" t="str">
            <v>.</v>
          </cell>
        </row>
        <row r="841">
          <cell r="CA841" t="str">
            <v>.</v>
          </cell>
        </row>
        <row r="842">
          <cell r="CA842" t="str">
            <v>.</v>
          </cell>
        </row>
        <row r="843">
          <cell r="CA843" t="str">
            <v>.</v>
          </cell>
        </row>
        <row r="844">
          <cell r="CA844" t="str">
            <v>.</v>
          </cell>
        </row>
        <row r="845">
          <cell r="CA845" t="str">
            <v>.</v>
          </cell>
        </row>
        <row r="846">
          <cell r="CA846" t="str">
            <v>.</v>
          </cell>
        </row>
        <row r="847">
          <cell r="CA847" t="str">
            <v>.</v>
          </cell>
        </row>
        <row r="848">
          <cell r="CA848" t="str">
            <v>.</v>
          </cell>
        </row>
        <row r="849">
          <cell r="CA849" t="str">
            <v>.</v>
          </cell>
        </row>
        <row r="850">
          <cell r="CA850" t="str">
            <v>.</v>
          </cell>
        </row>
        <row r="851">
          <cell r="CA851" t="str">
            <v>.</v>
          </cell>
        </row>
        <row r="852">
          <cell r="CA852" t="str">
            <v>.</v>
          </cell>
        </row>
        <row r="853">
          <cell r="CA853" t="str">
            <v>.</v>
          </cell>
        </row>
        <row r="854">
          <cell r="CA854" t="str">
            <v>.</v>
          </cell>
        </row>
        <row r="855">
          <cell r="CA855" t="str">
            <v>.</v>
          </cell>
        </row>
        <row r="856">
          <cell r="CA856" t="str">
            <v>.</v>
          </cell>
        </row>
        <row r="857">
          <cell r="CA857" t="str">
            <v>.</v>
          </cell>
        </row>
        <row r="858">
          <cell r="CA858" t="str">
            <v>.</v>
          </cell>
        </row>
        <row r="859">
          <cell r="CA859" t="str">
            <v>.</v>
          </cell>
        </row>
        <row r="860">
          <cell r="CA860" t="str">
            <v>.</v>
          </cell>
        </row>
        <row r="861">
          <cell r="CA861" t="str">
            <v>.</v>
          </cell>
        </row>
        <row r="862">
          <cell r="CA862" t="str">
            <v>.</v>
          </cell>
        </row>
        <row r="863">
          <cell r="CA863" t="str">
            <v>.</v>
          </cell>
        </row>
        <row r="864">
          <cell r="CA864" t="str">
            <v>.</v>
          </cell>
        </row>
        <row r="865">
          <cell r="CA865" t="str">
            <v>.</v>
          </cell>
        </row>
        <row r="866">
          <cell r="CA866" t="str">
            <v>.</v>
          </cell>
        </row>
        <row r="867">
          <cell r="CA867" t="str">
            <v>.</v>
          </cell>
        </row>
        <row r="868">
          <cell r="CA868" t="str">
            <v>.</v>
          </cell>
        </row>
        <row r="869">
          <cell r="CA869" t="str">
            <v>.</v>
          </cell>
        </row>
        <row r="870">
          <cell r="CA870" t="str">
            <v>.</v>
          </cell>
        </row>
        <row r="871">
          <cell r="CA871" t="str">
            <v>.</v>
          </cell>
        </row>
        <row r="872">
          <cell r="CA872" t="str">
            <v>.</v>
          </cell>
        </row>
        <row r="873">
          <cell r="CA873" t="str">
            <v>.</v>
          </cell>
        </row>
        <row r="874">
          <cell r="CA874" t="str">
            <v>.</v>
          </cell>
        </row>
        <row r="875">
          <cell r="CA875" t="str">
            <v>.</v>
          </cell>
        </row>
        <row r="876">
          <cell r="CA876" t="str">
            <v>.</v>
          </cell>
        </row>
        <row r="877">
          <cell r="CA877" t="str">
            <v>.</v>
          </cell>
        </row>
        <row r="878">
          <cell r="CA878" t="str">
            <v>.</v>
          </cell>
        </row>
        <row r="879">
          <cell r="CA879" t="str">
            <v>.</v>
          </cell>
        </row>
        <row r="880">
          <cell r="CA880" t="str">
            <v>.</v>
          </cell>
        </row>
        <row r="881">
          <cell r="CA881" t="str">
            <v>.</v>
          </cell>
        </row>
        <row r="882">
          <cell r="CA882" t="str">
            <v>.</v>
          </cell>
        </row>
        <row r="883">
          <cell r="CA883" t="str">
            <v>.</v>
          </cell>
        </row>
        <row r="884">
          <cell r="CA884" t="str">
            <v>.</v>
          </cell>
        </row>
        <row r="885">
          <cell r="CA885" t="str">
            <v>.</v>
          </cell>
        </row>
        <row r="886">
          <cell r="CA886" t="str">
            <v>.</v>
          </cell>
        </row>
        <row r="887">
          <cell r="CA887" t="str">
            <v>.</v>
          </cell>
        </row>
        <row r="888">
          <cell r="CA888" t="str">
            <v>.</v>
          </cell>
        </row>
        <row r="889">
          <cell r="CA889" t="str">
            <v>.</v>
          </cell>
        </row>
        <row r="890">
          <cell r="CA890" t="str">
            <v>.</v>
          </cell>
        </row>
        <row r="891">
          <cell r="CA891" t="str">
            <v>.</v>
          </cell>
        </row>
        <row r="892">
          <cell r="CA892" t="str">
            <v>.</v>
          </cell>
        </row>
        <row r="893">
          <cell r="CA893" t="str">
            <v>.</v>
          </cell>
        </row>
        <row r="894">
          <cell r="CA894" t="str">
            <v>.</v>
          </cell>
        </row>
        <row r="895">
          <cell r="CA895" t="str">
            <v>.</v>
          </cell>
        </row>
        <row r="896">
          <cell r="CA896" t="str">
            <v>.</v>
          </cell>
        </row>
        <row r="897">
          <cell r="CA897" t="str">
            <v>.</v>
          </cell>
        </row>
        <row r="898">
          <cell r="CA898" t="str">
            <v>.</v>
          </cell>
        </row>
        <row r="899">
          <cell r="CA899" t="str">
            <v>.</v>
          </cell>
        </row>
        <row r="900">
          <cell r="CA900" t="str">
            <v>.</v>
          </cell>
        </row>
        <row r="901">
          <cell r="CA901" t="str">
            <v>.</v>
          </cell>
        </row>
        <row r="902">
          <cell r="CA902" t="str">
            <v>.</v>
          </cell>
        </row>
        <row r="903">
          <cell r="CA903" t="str">
            <v>.</v>
          </cell>
        </row>
        <row r="904">
          <cell r="CA904" t="str">
            <v>.</v>
          </cell>
        </row>
        <row r="905">
          <cell r="CA905" t="str">
            <v>.</v>
          </cell>
        </row>
        <row r="906">
          <cell r="CA906" t="str">
            <v>.</v>
          </cell>
        </row>
        <row r="907">
          <cell r="CA907" t="str">
            <v>.</v>
          </cell>
        </row>
        <row r="908">
          <cell r="CA908" t="str">
            <v>.</v>
          </cell>
        </row>
        <row r="909">
          <cell r="CA909" t="str">
            <v>.</v>
          </cell>
        </row>
        <row r="910">
          <cell r="CA910" t="str">
            <v>.</v>
          </cell>
        </row>
        <row r="911">
          <cell r="CA911" t="str">
            <v>.</v>
          </cell>
        </row>
        <row r="912">
          <cell r="CA912" t="str">
            <v>.</v>
          </cell>
        </row>
        <row r="913">
          <cell r="CA913" t="str">
            <v>.</v>
          </cell>
        </row>
        <row r="914">
          <cell r="CA914" t="str">
            <v>.</v>
          </cell>
        </row>
        <row r="915">
          <cell r="CA915" t="str">
            <v>.</v>
          </cell>
        </row>
        <row r="916">
          <cell r="CA916" t="str">
            <v>.</v>
          </cell>
        </row>
        <row r="917">
          <cell r="CA917" t="str">
            <v>.</v>
          </cell>
        </row>
        <row r="918">
          <cell r="CA918" t="str">
            <v>.</v>
          </cell>
        </row>
        <row r="919">
          <cell r="CA919" t="str">
            <v>.</v>
          </cell>
        </row>
        <row r="920">
          <cell r="CA920" t="str">
            <v>.</v>
          </cell>
        </row>
        <row r="921">
          <cell r="CA921" t="str">
            <v>.</v>
          </cell>
        </row>
        <row r="922">
          <cell r="CA922" t="str">
            <v>.</v>
          </cell>
        </row>
        <row r="923">
          <cell r="CA923" t="str">
            <v>.</v>
          </cell>
        </row>
        <row r="924">
          <cell r="CA924" t="str">
            <v>.</v>
          </cell>
        </row>
        <row r="925">
          <cell r="CA925" t="str">
            <v>.</v>
          </cell>
        </row>
        <row r="926">
          <cell r="CA926" t="str">
            <v>.</v>
          </cell>
        </row>
        <row r="927">
          <cell r="CA927" t="str">
            <v>.</v>
          </cell>
        </row>
        <row r="928">
          <cell r="CA928" t="str">
            <v>.</v>
          </cell>
        </row>
        <row r="929">
          <cell r="CA929" t="str">
            <v>.</v>
          </cell>
        </row>
        <row r="930">
          <cell r="CA930" t="str">
            <v>.</v>
          </cell>
        </row>
        <row r="931">
          <cell r="CA931" t="str">
            <v>.</v>
          </cell>
        </row>
        <row r="932">
          <cell r="CA932" t="str">
            <v>.</v>
          </cell>
        </row>
        <row r="933">
          <cell r="CA933" t="str">
            <v>.</v>
          </cell>
        </row>
        <row r="934">
          <cell r="CA934" t="str">
            <v>.</v>
          </cell>
        </row>
        <row r="935">
          <cell r="CA935" t="str">
            <v>.</v>
          </cell>
        </row>
        <row r="936">
          <cell r="CA936" t="str">
            <v>.</v>
          </cell>
        </row>
        <row r="937">
          <cell r="CA937" t="str">
            <v>.</v>
          </cell>
        </row>
        <row r="938">
          <cell r="CA938" t="str">
            <v>.</v>
          </cell>
        </row>
        <row r="939">
          <cell r="CA939" t="str">
            <v>.</v>
          </cell>
        </row>
        <row r="940">
          <cell r="CA940" t="str">
            <v>.</v>
          </cell>
        </row>
        <row r="941">
          <cell r="CA941" t="str">
            <v>.</v>
          </cell>
        </row>
        <row r="942">
          <cell r="CA942" t="str">
            <v>.</v>
          </cell>
        </row>
        <row r="943">
          <cell r="CA943" t="str">
            <v>.</v>
          </cell>
        </row>
        <row r="944">
          <cell r="CA944" t="str">
            <v>.</v>
          </cell>
        </row>
        <row r="945">
          <cell r="CA945" t="str">
            <v>.</v>
          </cell>
        </row>
        <row r="946">
          <cell r="CA946" t="str">
            <v>.</v>
          </cell>
        </row>
        <row r="947">
          <cell r="CA947" t="str">
            <v>.</v>
          </cell>
        </row>
        <row r="948">
          <cell r="CA948" t="str">
            <v>.</v>
          </cell>
        </row>
        <row r="949">
          <cell r="CA949" t="str">
            <v>.</v>
          </cell>
        </row>
        <row r="950">
          <cell r="CA950" t="str">
            <v>.</v>
          </cell>
        </row>
        <row r="951">
          <cell r="CA951" t="str">
            <v>.</v>
          </cell>
        </row>
        <row r="952">
          <cell r="CA952" t="str">
            <v>.</v>
          </cell>
        </row>
        <row r="953">
          <cell r="CA953" t="str">
            <v>.</v>
          </cell>
        </row>
        <row r="954">
          <cell r="CA954" t="str">
            <v>.</v>
          </cell>
        </row>
        <row r="955">
          <cell r="CA955" t="str">
            <v>.</v>
          </cell>
        </row>
        <row r="956">
          <cell r="CA956" t="str">
            <v>.</v>
          </cell>
        </row>
        <row r="957">
          <cell r="CA957" t="str">
            <v>.</v>
          </cell>
        </row>
        <row r="958">
          <cell r="CA958" t="str">
            <v>.</v>
          </cell>
        </row>
        <row r="959">
          <cell r="CA959" t="str">
            <v>.</v>
          </cell>
        </row>
        <row r="960">
          <cell r="CA960" t="str">
            <v>.</v>
          </cell>
        </row>
        <row r="961">
          <cell r="CA961" t="str">
            <v>.</v>
          </cell>
        </row>
        <row r="962">
          <cell r="CA962" t="str">
            <v>.</v>
          </cell>
        </row>
        <row r="963">
          <cell r="CA963" t="str">
            <v>.</v>
          </cell>
        </row>
        <row r="964">
          <cell r="CA964" t="str">
            <v>.</v>
          </cell>
        </row>
        <row r="965">
          <cell r="CA965" t="str">
            <v>.</v>
          </cell>
        </row>
        <row r="966">
          <cell r="CA966" t="str">
            <v>.</v>
          </cell>
        </row>
        <row r="967">
          <cell r="CA967" t="str">
            <v>.</v>
          </cell>
        </row>
        <row r="968">
          <cell r="CA968" t="str">
            <v>.</v>
          </cell>
        </row>
        <row r="969">
          <cell r="CA969" t="str">
            <v>.</v>
          </cell>
        </row>
        <row r="970">
          <cell r="CA970" t="str">
            <v>.</v>
          </cell>
        </row>
        <row r="971">
          <cell r="CA971" t="str">
            <v>.</v>
          </cell>
        </row>
        <row r="972">
          <cell r="CA972" t="str">
            <v>.</v>
          </cell>
        </row>
        <row r="973">
          <cell r="CA973" t="str">
            <v>.</v>
          </cell>
        </row>
        <row r="974">
          <cell r="CA974" t="str">
            <v>.</v>
          </cell>
        </row>
        <row r="975">
          <cell r="CA975" t="str">
            <v>.</v>
          </cell>
        </row>
        <row r="976">
          <cell r="CA976" t="str">
            <v>.</v>
          </cell>
        </row>
        <row r="977">
          <cell r="CA977" t="str">
            <v>.</v>
          </cell>
        </row>
        <row r="978">
          <cell r="CA978" t="str">
            <v>.</v>
          </cell>
        </row>
        <row r="979">
          <cell r="CA979" t="str">
            <v>.</v>
          </cell>
        </row>
        <row r="980">
          <cell r="CA980" t="str">
            <v>.</v>
          </cell>
        </row>
        <row r="981">
          <cell r="CA981" t="str">
            <v>.</v>
          </cell>
        </row>
        <row r="982">
          <cell r="CA982" t="str">
            <v>.</v>
          </cell>
        </row>
        <row r="983">
          <cell r="CA983" t="str">
            <v>.</v>
          </cell>
        </row>
        <row r="984">
          <cell r="CA984" t="str">
            <v>.</v>
          </cell>
        </row>
        <row r="985">
          <cell r="CA985" t="str">
            <v>.</v>
          </cell>
        </row>
        <row r="986">
          <cell r="CA986" t="str">
            <v>.</v>
          </cell>
        </row>
        <row r="987">
          <cell r="CA987" t="str">
            <v>.</v>
          </cell>
        </row>
        <row r="988">
          <cell r="CA988" t="str">
            <v>.</v>
          </cell>
        </row>
        <row r="989">
          <cell r="CA989" t="str">
            <v>.</v>
          </cell>
        </row>
        <row r="990">
          <cell r="CA990" t="str">
            <v>.</v>
          </cell>
        </row>
        <row r="991">
          <cell r="CA991" t="str">
            <v>.</v>
          </cell>
        </row>
        <row r="992">
          <cell r="CA992" t="str">
            <v>.</v>
          </cell>
        </row>
        <row r="993">
          <cell r="CA993" t="str">
            <v>.</v>
          </cell>
        </row>
        <row r="994">
          <cell r="CA994" t="str">
            <v>.</v>
          </cell>
        </row>
        <row r="995">
          <cell r="CA995" t="str">
            <v>.</v>
          </cell>
        </row>
        <row r="996">
          <cell r="CA996" t="str">
            <v>.</v>
          </cell>
        </row>
        <row r="997">
          <cell r="CA997" t="str">
            <v>.</v>
          </cell>
        </row>
        <row r="998">
          <cell r="CA998" t="str">
            <v>.</v>
          </cell>
        </row>
        <row r="999">
          <cell r="A999" t="str">
            <v>.</v>
          </cell>
          <cell r="B999" t="str">
            <v>.</v>
          </cell>
          <cell r="G999" t="str">
            <v>.</v>
          </cell>
          <cell r="I999" t="str">
            <v>.</v>
          </cell>
          <cell r="W999" t="str">
            <v>.</v>
          </cell>
          <cell r="AS999" t="str">
            <v>.</v>
          </cell>
          <cell r="AT999" t="str">
            <v>.</v>
          </cell>
          <cell r="AU999" t="str">
            <v>.</v>
          </cell>
          <cell r="AV999" t="str">
            <v>.</v>
          </cell>
          <cell r="AW999" t="str">
            <v>.</v>
          </cell>
          <cell r="AX999" t="str">
            <v>.</v>
          </cell>
          <cell r="AY999" t="str">
            <v>.</v>
          </cell>
          <cell r="AZ999" t="str">
            <v>.</v>
          </cell>
          <cell r="BA999" t="str">
            <v>.</v>
          </cell>
          <cell r="BB999" t="str">
            <v>.</v>
          </cell>
          <cell r="BC999" t="str">
            <v>.</v>
          </cell>
          <cell r="BD999" t="str">
            <v>.</v>
          </cell>
          <cell r="BE999" t="str">
            <v>.</v>
          </cell>
          <cell r="BF999" t="str">
            <v>.</v>
          </cell>
          <cell r="BG999" t="str">
            <v>.</v>
          </cell>
          <cell r="BH999" t="str">
            <v>.</v>
          </cell>
          <cell r="BI999" t="str">
            <v>.</v>
          </cell>
          <cell r="BJ999" t="str">
            <v>.</v>
          </cell>
          <cell r="BK999" t="str">
            <v>.</v>
          </cell>
          <cell r="BL999" t="str">
            <v>.</v>
          </cell>
          <cell r="BM999" t="str">
            <v>.</v>
          </cell>
          <cell r="BN999" t="str">
            <v>.</v>
          </cell>
          <cell r="BO999" t="str">
            <v>.</v>
          </cell>
          <cell r="BP999" t="str">
            <v>.</v>
          </cell>
          <cell r="BQ999" t="str">
            <v>.</v>
          </cell>
          <cell r="BR999" t="str">
            <v>.</v>
          </cell>
          <cell r="BS999" t="str">
            <v>.</v>
          </cell>
          <cell r="BT999" t="str">
            <v>.</v>
          </cell>
          <cell r="BU999" t="str">
            <v>.</v>
          </cell>
          <cell r="BV999" t="str">
            <v>.</v>
          </cell>
          <cell r="BW999" t="str">
            <v>.</v>
          </cell>
          <cell r="BX999" t="str">
            <v>.</v>
          </cell>
          <cell r="BY999" t="str">
            <v>.</v>
          </cell>
          <cell r="BZ999" t="str">
            <v>.</v>
          </cell>
          <cell r="CA999" t="str">
            <v>.</v>
          </cell>
        </row>
      </sheetData>
      <sheetData sheetId="13">
        <row r="1">
          <cell r="C1" t="str">
            <v>mstag:revenueNet</v>
          </cell>
          <cell r="G1" t="str">
            <v>Total Sales % Change</v>
          </cell>
          <cell r="K1" t="str">
            <v>Operating Margin</v>
          </cell>
          <cell r="O1" t="str">
            <v>mstag:adjEpsForConsensus</v>
          </cell>
        </row>
        <row r="2">
          <cell r="C2" t="str">
            <v>Sales</v>
          </cell>
          <cell r="G2" t="str">
            <v>Sales Growth</v>
          </cell>
          <cell r="K2" t="str">
            <v>Operating Margin</v>
          </cell>
          <cell r="O2" t="str">
            <v>EPS</v>
          </cell>
        </row>
        <row r="3">
          <cell r="A3" t="str">
            <v>Name</v>
          </cell>
          <cell r="B3" t="str">
            <v>Ticker</v>
          </cell>
          <cell r="C3" t="str">
            <v>MS</v>
          </cell>
          <cell r="D3" t="str">
            <v>Cons.</v>
          </cell>
          <cell r="E3" t="str">
            <v>MS vs C</v>
          </cell>
          <cell r="G3" t="str">
            <v>MS</v>
          </cell>
          <cell r="H3" t="str">
            <v>Cons.</v>
          </cell>
          <cell r="I3" t="str">
            <v>MS vs C</v>
          </cell>
          <cell r="K3" t="str">
            <v>MS</v>
          </cell>
          <cell r="L3" t="str">
            <v>Cons.</v>
          </cell>
          <cell r="M3" t="str">
            <v>MS vs C</v>
          </cell>
          <cell r="O3" t="str">
            <v>MS</v>
          </cell>
          <cell r="P3" t="str">
            <v>Cons.</v>
          </cell>
          <cell r="Q3" t="str">
            <v>MS vs C</v>
          </cell>
          <cell r="S3" t="str">
            <v>Name</v>
          </cell>
          <cell r="T3" t="str">
            <v>Ticker</v>
          </cell>
          <cell r="U3" t="str">
            <v>Release Date</v>
          </cell>
          <cell r="V3" t="str">
            <v>Release Time</v>
          </cell>
          <cell r="W3" t="str">
            <v>Conf Call Date</v>
          </cell>
          <cell r="X3" t="str">
            <v>Conf Call Time</v>
          </cell>
          <cell r="Y3" t="str">
            <v>Confirmed/Projected</v>
          </cell>
          <cell r="AB3" t="str">
            <v>UA</v>
          </cell>
          <cell r="AC3" t="str">
            <v>JNY</v>
          </cell>
          <cell r="AD3" t="str">
            <v>RL</v>
          </cell>
          <cell r="AE3" t="str">
            <v>WRC</v>
          </cell>
          <cell r="AF3" t="str">
            <v>LIZ</v>
          </cell>
          <cell r="AG3" t="str">
            <v>PVH</v>
          </cell>
          <cell r="AH3" t="str">
            <v>GES</v>
          </cell>
          <cell r="AI3" t="str">
            <v>Group Average</v>
          </cell>
        </row>
        <row r="4">
          <cell r="A4" t="str">
            <v>3Q09</v>
          </cell>
          <cell r="S4" t="str">
            <v>Under Armour</v>
          </cell>
          <cell r="T4" t="str">
            <v>UA</v>
          </cell>
          <cell r="U4" t="str">
            <v>7:00am</v>
          </cell>
          <cell r="V4">
            <v>0</v>
          </cell>
          <cell r="W4" t="str">
            <v>7:00am</v>
          </cell>
          <cell r="X4">
            <v>0</v>
          </cell>
          <cell r="Y4" t="str">
            <v>Confirmed</v>
          </cell>
          <cell r="AA4" t="str">
            <v>Sales</v>
          </cell>
          <cell r="AB4">
            <v>214.78640832525764</v>
          </cell>
          <cell r="AC4">
            <v>866.81399336316736</v>
          </cell>
          <cell r="AD4">
            <v>1269.2502193813905</v>
          </cell>
          <cell r="AE4">
            <v>597.08067638411103</v>
          </cell>
          <cell r="AF4">
            <v>628.96346254952391</v>
          </cell>
          <cell r="AG4">
            <v>599.47275927416752</v>
          </cell>
          <cell r="AH4">
            <v>512.7152527089213</v>
          </cell>
        </row>
        <row r="5">
          <cell r="A5" t="str">
            <v>Under Armour</v>
          </cell>
          <cell r="B5" t="str">
            <v>UA</v>
          </cell>
          <cell r="C5" t="e">
            <v>#N/A</v>
          </cell>
          <cell r="D5">
            <v>214.86</v>
          </cell>
          <cell r="E5" t="e">
            <v>#N/A</v>
          </cell>
          <cell r="G5" t="e">
            <v>#N/A</v>
          </cell>
          <cell r="H5">
            <v>7.4300000000000033E-2</v>
          </cell>
          <cell r="I5" t="e">
            <v>#N/A</v>
          </cell>
          <cell r="K5" t="e">
            <v>#N/A</v>
          </cell>
          <cell r="L5">
            <v>4.3015768407335002E-2</v>
          </cell>
          <cell r="M5" t="e">
            <v>#N/A</v>
          </cell>
          <cell r="O5" t="e">
            <v>#N/A</v>
          </cell>
          <cell r="P5">
            <v>0.10034075000000001</v>
          </cell>
          <cell r="Q5" t="e">
            <v>#N/A</v>
          </cell>
          <cell r="S5" t="str">
            <v>Jones Apparel Group</v>
          </cell>
          <cell r="T5" t="str">
            <v>JNY</v>
          </cell>
          <cell r="U5" t="str">
            <v>7:00am</v>
          </cell>
          <cell r="V5">
            <v>0</v>
          </cell>
          <cell r="W5" t="str">
            <v>7:00am</v>
          </cell>
          <cell r="X5">
            <v>0</v>
          </cell>
          <cell r="Y5" t="str">
            <v>Confirmed</v>
          </cell>
          <cell r="AA5" t="str">
            <v>Sales Growth</v>
          </cell>
          <cell r="AB5">
            <v>7.3932041626288303E-2</v>
          </cell>
          <cell r="AC5">
            <v>-2.8997430981105077E-2</v>
          </cell>
          <cell r="AD5">
            <v>3.663036538826403E-2</v>
          </cell>
          <cell r="AE5">
            <v>0.11013728215637064</v>
          </cell>
          <cell r="AF5">
            <v>-0.19329011492176262</v>
          </cell>
          <cell r="AG5">
            <v>7.5432137550643708E-2</v>
          </cell>
          <cell r="AH5">
            <v>0.16208996060507874</v>
          </cell>
          <cell r="AI5">
            <v>3.3704891631968249E-2</v>
          </cell>
        </row>
        <row r="6">
          <cell r="A6" t="str">
            <v>Jones Apparel</v>
          </cell>
          <cell r="B6" t="str">
            <v>JNY</v>
          </cell>
          <cell r="C6" t="e">
            <v>#N/A</v>
          </cell>
          <cell r="D6">
            <v>864.08680000000004</v>
          </cell>
          <cell r="E6" t="e">
            <v>#N/A</v>
          </cell>
          <cell r="G6" t="e">
            <v>#N/A</v>
          </cell>
          <cell r="H6">
            <v>-3.2052425226839709E-2</v>
          </cell>
          <cell r="I6" t="e">
            <v>#N/A</v>
          </cell>
          <cell r="K6" t="e">
            <v>#N/A</v>
          </cell>
          <cell r="L6">
            <v>6.2044600148966518E-2</v>
          </cell>
          <cell r="M6" t="e">
            <v>#N/A</v>
          </cell>
          <cell r="O6" t="e">
            <v>#N/A</v>
          </cell>
          <cell r="P6">
            <v>0.3370881</v>
          </cell>
          <cell r="Q6" t="e">
            <v>#N/A</v>
          </cell>
          <cell r="S6" t="str">
            <v>Polo Ralph Lauren</v>
          </cell>
          <cell r="T6" t="str">
            <v>RL</v>
          </cell>
          <cell r="U6" t="str">
            <v>8:00am</v>
          </cell>
          <cell r="V6">
            <v>0</v>
          </cell>
          <cell r="W6" t="str">
            <v>8:00am</v>
          </cell>
          <cell r="X6">
            <v>0</v>
          </cell>
          <cell r="Y6" t="str">
            <v>Confirmed</v>
          </cell>
        </row>
        <row r="7">
          <cell r="A7" t="str">
            <v>Ralph Lauren</v>
          </cell>
          <cell r="B7" t="str">
            <v>RL</v>
          </cell>
          <cell r="C7" t="e">
            <v>#N/A</v>
          </cell>
          <cell r="D7">
            <v>1236.9849999999999</v>
          </cell>
          <cell r="E7" t="e">
            <v>#N/A</v>
          </cell>
          <cell r="G7" t="e">
            <v>#N/A</v>
          </cell>
          <cell r="H7">
            <v>1.0278503756941948E-2</v>
          </cell>
          <cell r="I7" t="e">
            <v>#N/A</v>
          </cell>
          <cell r="K7" t="e">
            <v>#N/A</v>
          </cell>
          <cell r="L7">
            <v>7.646775021524109E-2</v>
          </cell>
          <cell r="M7" t="e">
            <v>#N/A</v>
          </cell>
          <cell r="O7" t="e">
            <v>#N/A</v>
          </cell>
          <cell r="P7">
            <v>0.61383189999999999</v>
          </cell>
          <cell r="Q7" t="e">
            <v>#N/A</v>
          </cell>
          <cell r="S7" t="str">
            <v>Warnaco</v>
          </cell>
          <cell r="T7" t="str">
            <v>WRC</v>
          </cell>
          <cell r="U7" t="str">
            <v>7:30am</v>
          </cell>
          <cell r="V7">
            <v>0</v>
          </cell>
          <cell r="W7" t="str">
            <v>7:30am</v>
          </cell>
          <cell r="X7">
            <v>0</v>
          </cell>
          <cell r="Y7" t="str">
            <v>Projected</v>
          </cell>
          <cell r="AA7" t="str">
            <v>Gross Profit</v>
          </cell>
          <cell r="AB7">
            <v>101.32656205948193</v>
          </cell>
          <cell r="AC7">
            <v>307.8665876663847</v>
          </cell>
          <cell r="AD7">
            <v>723.63931521014706</v>
          </cell>
          <cell r="AE7">
            <v>263.80059562174603</v>
          </cell>
          <cell r="AF7">
            <v>318.17316651223837</v>
          </cell>
          <cell r="AG7">
            <v>296.78759848752674</v>
          </cell>
          <cell r="AH7">
            <v>221.18263057082578</v>
          </cell>
        </row>
        <row r="8">
          <cell r="A8" t="str">
            <v>Warnaco</v>
          </cell>
          <cell r="B8" t="str">
            <v>WRC</v>
          </cell>
          <cell r="C8" t="e">
            <v>#N/A</v>
          </cell>
          <cell r="D8">
            <v>576.10699999999997</v>
          </cell>
          <cell r="E8" t="e">
            <v>#N/A</v>
          </cell>
          <cell r="G8" t="e">
            <v>#N/A</v>
          </cell>
          <cell r="H8">
            <v>7.1141446218605964E-2</v>
          </cell>
          <cell r="I8" t="e">
            <v>#N/A</v>
          </cell>
          <cell r="K8" t="e">
            <v>#N/A</v>
          </cell>
          <cell r="L8">
            <v>0.13685265063607979</v>
          </cell>
          <cell r="M8" t="e">
            <v>#N/A</v>
          </cell>
          <cell r="O8" t="e">
            <v>#N/A</v>
          </cell>
          <cell r="P8">
            <v>1.0554539999999999</v>
          </cell>
          <cell r="Q8" t="e">
            <v>#N/A</v>
          </cell>
          <cell r="S8" t="str">
            <v>Liz Claiborne</v>
          </cell>
          <cell r="T8" t="str">
            <v>LIZ</v>
          </cell>
          <cell r="U8" t="str">
            <v>7:00am</v>
          </cell>
          <cell r="V8">
            <v>0</v>
          </cell>
          <cell r="W8" t="str">
            <v>7:00am</v>
          </cell>
          <cell r="X8">
            <v>0</v>
          </cell>
          <cell r="Y8" t="str">
            <v>Projected</v>
          </cell>
          <cell r="AA8" t="str">
            <v>Gross Margin</v>
          </cell>
          <cell r="AB8">
            <v>0.47175500000000004</v>
          </cell>
          <cell r="AC8">
            <v>0.35517030184513698</v>
          </cell>
          <cell r="AD8">
            <v>0.57013132963083968</v>
          </cell>
          <cell r="AE8">
            <v>0.44181733902243908</v>
          </cell>
          <cell r="AF8">
            <v>0.5058690773904625</v>
          </cell>
          <cell r="AG8">
            <v>0.49508104229268507</v>
          </cell>
          <cell r="AH8">
            <v>0.43139467648409435</v>
          </cell>
          <cell r="AI8">
            <v>0.46731696666652262</v>
          </cell>
        </row>
        <row r="9">
          <cell r="A9" t="str">
            <v>Liz Claiborne</v>
          </cell>
          <cell r="B9" t="str">
            <v>LIZ</v>
          </cell>
          <cell r="C9" t="e">
            <v>#N/A</v>
          </cell>
          <cell r="D9">
            <v>833.25</v>
          </cell>
          <cell r="E9" t="e">
            <v>#N/A</v>
          </cell>
          <cell r="G9" t="e">
            <v>#N/A</v>
          </cell>
          <cell r="H9">
            <v>6.8728235844882191E-2</v>
          </cell>
          <cell r="I9" t="e">
            <v>#N/A</v>
          </cell>
          <cell r="K9" t="e">
            <v>#N/A</v>
          </cell>
          <cell r="L9" t="str">
            <v>NA</v>
          </cell>
          <cell r="M9" t="e">
            <v>#N/A</v>
          </cell>
          <cell r="O9" t="e">
            <v>#N/A</v>
          </cell>
          <cell r="P9">
            <v>-0.19700000000000001</v>
          </cell>
          <cell r="Q9" t="e">
            <v>#N/A</v>
          </cell>
          <cell r="S9" t="str">
            <v>Phillips-Van Heusen</v>
          </cell>
          <cell r="T9" t="str">
            <v>PVH</v>
          </cell>
          <cell r="U9" t="str">
            <v>4:00pm</v>
          </cell>
          <cell r="V9">
            <v>0</v>
          </cell>
          <cell r="W9" t="e">
            <v>#VALUE!</v>
          </cell>
          <cell r="X9">
            <v>0</v>
          </cell>
          <cell r="Y9" t="str">
            <v>Confirmed</v>
          </cell>
          <cell r="AA9" t="str">
            <v>Gross Margin ∆</v>
          </cell>
          <cell r="AB9">
            <v>190.00000000000017</v>
          </cell>
          <cell r="AC9">
            <v>260.26546935474846</v>
          </cell>
          <cell r="AD9">
            <v>520.00000000000045</v>
          </cell>
          <cell r="AE9">
            <v>201.9322496706244</v>
          </cell>
          <cell r="AF9">
            <v>580.13908824475823</v>
          </cell>
          <cell r="AG9">
            <v>59.999999999999496</v>
          </cell>
          <cell r="AH9">
            <v>290.76912018465293</v>
          </cell>
          <cell r="AI9">
            <v>300.44370392211198</v>
          </cell>
        </row>
        <row r="10">
          <cell r="A10" t="str">
            <v>Phillips Van Heusen</v>
          </cell>
          <cell r="B10" t="str">
            <v>PVH</v>
          </cell>
          <cell r="C10" t="e">
            <v>#N/A</v>
          </cell>
          <cell r="D10">
            <v>582.41770000000008</v>
          </cell>
          <cell r="E10" t="e">
            <v>#N/A</v>
          </cell>
          <cell r="G10" t="e">
            <v>#N/A</v>
          </cell>
          <cell r="H10">
            <v>4.4835986904067981E-2</v>
          </cell>
          <cell r="I10" t="e">
            <v>#N/A</v>
          </cell>
          <cell r="K10" t="e">
            <v>#N/A</v>
          </cell>
          <cell r="L10">
            <v>0.12305821062787069</v>
          </cell>
          <cell r="M10" t="e">
            <v>#N/A</v>
          </cell>
          <cell r="O10" t="e">
            <v>#N/A</v>
          </cell>
          <cell r="P10">
            <v>0.73555549999999992</v>
          </cell>
          <cell r="Q10" t="e">
            <v>#N/A</v>
          </cell>
          <cell r="S10" t="str">
            <v>Guess</v>
          </cell>
          <cell r="T10" t="str">
            <v>GES</v>
          </cell>
          <cell r="U10" t="str">
            <v>4:00pm</v>
          </cell>
          <cell r="V10">
            <v>0</v>
          </cell>
          <cell r="W10" t="str">
            <v>4:00pm</v>
          </cell>
          <cell r="X10">
            <v>0</v>
          </cell>
          <cell r="Y10" t="str">
            <v>Projected</v>
          </cell>
        </row>
        <row r="11">
          <cell r="A11" t="str">
            <v>Guess</v>
          </cell>
          <cell r="B11" t="str">
            <v>GES</v>
          </cell>
          <cell r="C11" t="e">
            <v>#N/A</v>
          </cell>
          <cell r="D11">
            <v>505.16060000000004</v>
          </cell>
          <cell r="E11" t="e">
            <v>#N/A</v>
          </cell>
          <cell r="G11" t="e">
            <v>#N/A</v>
          </cell>
          <cell r="H11">
            <v>0.14496703316628956</v>
          </cell>
          <cell r="I11" t="e">
            <v>#N/A</v>
          </cell>
          <cell r="K11" t="e">
            <v>#N/A</v>
          </cell>
          <cell r="L11">
            <v>0.13145639228395881</v>
          </cell>
          <cell r="M11" t="e">
            <v>#N/A</v>
          </cell>
          <cell r="O11" t="e">
            <v>#N/A</v>
          </cell>
          <cell r="P11">
            <v>0.48545459999999996</v>
          </cell>
          <cell r="Q11" t="e">
            <v>#N/A</v>
          </cell>
          <cell r="AA11" t="str">
            <v>SG&amp;A</v>
          </cell>
          <cell r="AB11">
            <v>91.201999999999998</v>
          </cell>
          <cell r="AC11">
            <v>242.72567459367625</v>
          </cell>
          <cell r="AD11">
            <v>617.58926113190068</v>
          </cell>
          <cell r="AE11">
            <v>179.21286391771531</v>
          </cell>
          <cell r="AF11">
            <v>349.54764148875796</v>
          </cell>
          <cell r="AG11">
            <v>225.35576</v>
          </cell>
          <cell r="AH11">
            <v>152.75932179216377</v>
          </cell>
        </row>
        <row r="12">
          <cell r="AA12" t="str">
            <v>SG&amp;A Growth</v>
          </cell>
          <cell r="AB12">
            <v>0.10340572258181591</v>
          </cell>
          <cell r="AC12">
            <v>-7.6710589627362324E-3</v>
          </cell>
          <cell r="AD12">
            <v>0.18607501657749315</v>
          </cell>
          <cell r="AE12">
            <v>0.18480010523413548</v>
          </cell>
          <cell r="AF12">
            <v>-0.11021486466988772</v>
          </cell>
          <cell r="AG12">
            <v>3.0000000000000027E-2</v>
          </cell>
          <cell r="AH12">
            <v>0.17989110746328296</v>
          </cell>
          <cell r="AI12">
            <v>8.0898004032014789E-2</v>
          </cell>
        </row>
        <row r="13">
          <cell r="A13" t="str">
            <v>4Q09</v>
          </cell>
          <cell r="AA13" t="str">
            <v>Expense Ratio</v>
          </cell>
          <cell r="AB13">
            <v>0.42461718463064951</v>
          </cell>
          <cell r="AC13">
            <v>0.28002048473158642</v>
          </cell>
          <cell r="AD13">
            <v>0.4865780219702483</v>
          </cell>
          <cell r="AE13">
            <v>0.30014849082542566</v>
          </cell>
          <cell r="AF13">
            <v>0.55575190341240999</v>
          </cell>
          <cell r="AG13">
            <v>0.37592327009630483</v>
          </cell>
          <cell r="AH13">
            <v>0.29794183220620568</v>
          </cell>
          <cell r="AI13">
            <v>0.3887115982675472</v>
          </cell>
        </row>
        <row r="14">
          <cell r="A14" t="str">
            <v>Under Armour</v>
          </cell>
          <cell r="B14" t="str">
            <v>UA</v>
          </cell>
          <cell r="C14" t="e">
            <v>#N/A</v>
          </cell>
          <cell r="D14">
            <v>187.67500000000001</v>
          </cell>
          <cell r="E14" t="e">
            <v>#N/A</v>
          </cell>
          <cell r="G14" t="e">
            <v>#N/A</v>
          </cell>
          <cell r="H14">
            <v>4.6832032753417963E-2</v>
          </cell>
          <cell r="I14" t="e">
            <v>#N/A</v>
          </cell>
          <cell r="K14" t="e">
            <v>#N/A</v>
          </cell>
          <cell r="L14">
            <v>2.0807481017716796E-2</v>
          </cell>
          <cell r="M14" t="e">
            <v>#N/A</v>
          </cell>
          <cell r="O14" t="e">
            <v>#N/A</v>
          </cell>
          <cell r="P14">
            <v>3.6795920000000003E-2</v>
          </cell>
          <cell r="Q14" t="e">
            <v>#N/A</v>
          </cell>
          <cell r="AA14" t="str">
            <v>Expense Ratio ∆</v>
          </cell>
          <cell r="AB14">
            <v>113.4218463064951</v>
          </cell>
          <cell r="AC14">
            <v>60.179853506112103</v>
          </cell>
          <cell r="AD14">
            <v>613.08502205465516</v>
          </cell>
          <cell r="AE14">
            <v>189.14527073854603</v>
          </cell>
          <cell r="AF14">
            <v>518.8806445593508</v>
          </cell>
          <cell r="AG14">
            <v>-165.81551180100129</v>
          </cell>
          <cell r="AH14">
            <v>44.950811788961317</v>
          </cell>
          <cell r="AI14">
            <v>196.2639910218742</v>
          </cell>
        </row>
        <row r="15">
          <cell r="A15" t="str">
            <v>Jones Apparel</v>
          </cell>
          <cell r="B15" t="str">
            <v>JNY</v>
          </cell>
          <cell r="C15" t="e">
            <v>#N/A</v>
          </cell>
          <cell r="D15">
            <v>798.6</v>
          </cell>
          <cell r="E15" t="e">
            <v>#N/A</v>
          </cell>
          <cell r="G15" t="e">
            <v>#N/A</v>
          </cell>
          <cell r="H15">
            <v>-5.8032554847841422E-2</v>
          </cell>
          <cell r="I15" t="e">
            <v>#N/A</v>
          </cell>
          <cell r="K15" t="e">
            <v>#N/A</v>
          </cell>
          <cell r="L15">
            <v>2.8737791134485349E-2</v>
          </cell>
          <cell r="M15" t="e">
            <v>#N/A</v>
          </cell>
          <cell r="O15" t="e">
            <v>#N/A</v>
          </cell>
          <cell r="P15">
            <v>8.1000000000000003E-2</v>
          </cell>
          <cell r="Q15" t="e">
            <v>#N/A</v>
          </cell>
        </row>
        <row r="16">
          <cell r="A16" t="str">
            <v>Ralph Lauren</v>
          </cell>
          <cell r="B16" t="str">
            <v>RL</v>
          </cell>
          <cell r="C16" t="e">
            <v>#N/A</v>
          </cell>
          <cell r="D16">
            <v>1108.462</v>
          </cell>
          <cell r="E16" t="e">
            <v>#N/A</v>
          </cell>
          <cell r="G16" t="e">
            <v>#N/A</v>
          </cell>
          <cell r="H16">
            <v>-0.10888174290537811</v>
          </cell>
          <cell r="I16" t="e">
            <v>#N/A</v>
          </cell>
          <cell r="K16" t="e">
            <v>#N/A</v>
          </cell>
          <cell r="L16">
            <v>0.112385900463886</v>
          </cell>
          <cell r="M16" t="e">
            <v>#N/A</v>
          </cell>
          <cell r="O16" t="e">
            <v>#N/A</v>
          </cell>
          <cell r="P16">
            <v>0.82237299999999991</v>
          </cell>
          <cell r="Q16" t="e">
            <v>#N/A</v>
          </cell>
          <cell r="AA16" t="str">
            <v>Operating Income</v>
          </cell>
          <cell r="AB16">
            <v>10.124562059481931</v>
          </cell>
          <cell r="AC16">
            <v>65.140913072708457</v>
          </cell>
          <cell r="AD16">
            <v>100.75005407824642</v>
          </cell>
          <cell r="AE16">
            <v>81.937834011523449</v>
          </cell>
          <cell r="AF16">
            <v>-31.374474976519593</v>
          </cell>
          <cell r="AG16">
            <v>71.431838487526733</v>
          </cell>
          <cell r="AH16">
            <v>68.423308778662005</v>
          </cell>
        </row>
        <row r="17">
          <cell r="A17" t="str">
            <v>Warnaco</v>
          </cell>
          <cell r="B17" t="str">
            <v>WRC</v>
          </cell>
          <cell r="C17" t="e">
            <v>#N/A</v>
          </cell>
          <cell r="D17">
            <v>0.10290132050622826</v>
          </cell>
          <cell r="E17" t="e">
            <v>#N/A</v>
          </cell>
          <cell r="G17" t="e">
            <v>#N/A</v>
          </cell>
          <cell r="H17">
            <v>-0.99976890544669572</v>
          </cell>
          <cell r="I17" t="e">
            <v>#N/A</v>
          </cell>
          <cell r="K17" t="e">
            <v>#N/A</v>
          </cell>
          <cell r="L17">
            <v>15</v>
          </cell>
          <cell r="M17" t="e">
            <v>#N/A</v>
          </cell>
          <cell r="O17" t="e">
            <v>#N/A</v>
          </cell>
          <cell r="P17">
            <v>6.2026000000000039</v>
          </cell>
          <cell r="Q17" t="e">
            <v>#N/A</v>
          </cell>
          <cell r="AA17" t="str">
            <v>Operating Margin</v>
          </cell>
          <cell r="AB17">
            <v>4.7137815369350543E-2</v>
          </cell>
          <cell r="AC17">
            <v>7.5149817113550565E-2</v>
          </cell>
          <cell r="AD17">
            <v>7.9377614074670144E-2</v>
          </cell>
          <cell r="AE17">
            <v>0.13723075834196249</v>
          </cell>
          <cell r="AF17">
            <v>-4.9882826021947498E-2</v>
          </cell>
          <cell r="AG17">
            <v>0.11915777219638023</v>
          </cell>
          <cell r="AH17">
            <v>0.13345284427788864</v>
          </cell>
          <cell r="AI17">
            <v>7.7374827907407878E-2</v>
          </cell>
        </row>
        <row r="18">
          <cell r="A18" t="str">
            <v>Liz Claiborne</v>
          </cell>
          <cell r="B18" t="str">
            <v>LIZ</v>
          </cell>
          <cell r="C18">
            <v>829.95670917128177</v>
          </cell>
          <cell r="D18">
            <v>586.43330000000003</v>
          </cell>
          <cell r="E18">
            <v>0.41526190475759428</v>
          </cell>
          <cell r="G18">
            <v>-9.9423699661363663E-2</v>
          </cell>
          <cell r="H18">
            <v>-0.35639741300499461</v>
          </cell>
          <cell r="I18">
            <v>2569.7371334363097</v>
          </cell>
          <cell r="K18">
            <v>-2.3757520567743219E-3</v>
          </cell>
          <cell r="L18">
            <v>-2.6772013117263294E-2</v>
          </cell>
          <cell r="M18">
            <v>243.9626106048897</v>
          </cell>
          <cell r="O18">
            <v>-9.6899689599035332E-2</v>
          </cell>
          <cell r="P18">
            <v>-0.28250000000000003</v>
          </cell>
          <cell r="Q18">
            <v>0.1856003104009647</v>
          </cell>
          <cell r="AA18" t="str">
            <v>Operating Margin ∆</v>
          </cell>
          <cell r="AB18">
            <v>76.578153693505413</v>
          </cell>
          <cell r="AC18">
            <v>200.08561584863631</v>
          </cell>
          <cell r="AD18">
            <v>-92.372176796585023</v>
          </cell>
          <cell r="AE18">
            <v>12.786978932077808</v>
          </cell>
          <cell r="AF18">
            <v>61.258443685408075</v>
          </cell>
          <cell r="AG18">
            <v>225.81551180100053</v>
          </cell>
          <cell r="AH18">
            <v>245.81830839569164</v>
          </cell>
          <cell r="AI18">
            <v>104.28154793710496</v>
          </cell>
        </row>
        <row r="19">
          <cell r="A19" t="str">
            <v>Phillips Van Heusen</v>
          </cell>
          <cell r="B19" t="str">
            <v>PVH</v>
          </cell>
          <cell r="C19" t="e">
            <v>#N/A</v>
          </cell>
          <cell r="D19">
            <v>576.50450000000001</v>
          </cell>
          <cell r="E19" t="e">
            <v>#N/A</v>
          </cell>
          <cell r="G19" t="e">
            <v>#N/A</v>
          </cell>
          <cell r="H19">
            <v>2.7115458278771154E-2</v>
          </cell>
          <cell r="I19" t="e">
            <v>#N/A</v>
          </cell>
          <cell r="K19" t="e">
            <v>#N/A</v>
          </cell>
          <cell r="L19">
            <v>0.12509456561050261</v>
          </cell>
          <cell r="M19" t="e">
            <v>#N/A</v>
          </cell>
          <cell r="O19" t="e">
            <v>#N/A</v>
          </cell>
          <cell r="P19">
            <v>0.68888879999999997</v>
          </cell>
          <cell r="Q19" t="e">
            <v>#N/A</v>
          </cell>
        </row>
        <row r="20">
          <cell r="A20" t="str">
            <v>Guess</v>
          </cell>
          <cell r="B20" t="str">
            <v>GES</v>
          </cell>
          <cell r="C20">
            <v>617.47692860256416</v>
          </cell>
          <cell r="D20">
            <v>590.62139999999999</v>
          </cell>
          <cell r="E20">
            <v>4.5469955207454671E-2</v>
          </cell>
          <cell r="G20">
            <v>0.10053456538856853</v>
          </cell>
          <cell r="H20">
            <v>5.2669720355748684E-2</v>
          </cell>
          <cell r="I20">
            <v>478.64845032819846</v>
          </cell>
          <cell r="K20">
            <v>0.1883119414517091</v>
          </cell>
          <cell r="L20">
            <v>0.18074387416371979</v>
          </cell>
          <cell r="M20">
            <v>75.680672879893109</v>
          </cell>
          <cell r="O20">
            <v>0.84066480668887278</v>
          </cell>
          <cell r="P20">
            <v>0.77545449999999994</v>
          </cell>
          <cell r="Q20">
            <v>6.5210306688872843E-2</v>
          </cell>
          <cell r="AA20" t="str">
            <v>EPS</v>
          </cell>
          <cell r="AB20">
            <v>0.10824466868765577</v>
          </cell>
          <cell r="AC20">
            <v>0.38370956721072103</v>
          </cell>
          <cell r="AD20">
            <v>0.63294858177896596</v>
          </cell>
          <cell r="AE20">
            <v>1.0792630922177753</v>
          </cell>
          <cell r="AF20">
            <v>-0.40562658531416712</v>
          </cell>
          <cell r="AG20">
            <v>0.55991220629973937</v>
          </cell>
          <cell r="AH20">
            <v>0.5042002207324322</v>
          </cell>
        </row>
        <row r="21">
          <cell r="AA21" t="str">
            <v>EPS Growth</v>
          </cell>
          <cell r="AB21">
            <v>0</v>
          </cell>
          <cell r="AC21">
            <v>0.36798361325009821</v>
          </cell>
          <cell r="AD21">
            <v>0.18607501657749315</v>
          </cell>
          <cell r="AE21">
            <v>0.11505908224347494</v>
          </cell>
          <cell r="AF21">
            <v>8.8453585105013444E-2</v>
          </cell>
          <cell r="AG21">
            <v>5.1789170036681265E-2</v>
          </cell>
          <cell r="AH21">
            <v>0.43586015999772165</v>
          </cell>
          <cell r="AI21">
            <v>0.17788866103006895</v>
          </cell>
        </row>
        <row r="22">
          <cell r="A22">
            <v>2009</v>
          </cell>
        </row>
        <row r="23">
          <cell r="A23" t="str">
            <v>Under Armour</v>
          </cell>
          <cell r="B23" t="str">
            <v>UA</v>
          </cell>
          <cell r="C23">
            <v>955.61670873865933</v>
          </cell>
          <cell r="D23">
            <v>953.822</v>
          </cell>
          <cell r="E23">
            <v>1.8815971309733559E-3</v>
          </cell>
          <cell r="G23">
            <v>0.11583890064310176</v>
          </cell>
          <cell r="H23">
            <v>0.31470985527222606</v>
          </cell>
          <cell r="I23">
            <v>-1988.709546291243</v>
          </cell>
          <cell r="K23">
            <v>9.9650993469039648E-2</v>
          </cell>
          <cell r="L23">
            <v>9.9845065431495614E-2</v>
          </cell>
          <cell r="M23">
            <v>-1.9407196245596614</v>
          </cell>
          <cell r="O23">
            <v>1.0485101164267066</v>
          </cell>
          <cell r="P23">
            <v>1.0471139999999999</v>
          </cell>
          <cell r="Q23">
            <v>1.3961164267066728E-3</v>
          </cell>
        </row>
        <row r="24">
          <cell r="A24" t="str">
            <v>Jones Apparel</v>
          </cell>
          <cell r="B24" t="str">
            <v>JNY</v>
          </cell>
          <cell r="C24">
            <v>3407.1067162675386</v>
          </cell>
          <cell r="D24">
            <v>3381.18</v>
          </cell>
          <cell r="E24">
            <v>7.6679491383300213E-3</v>
          </cell>
          <cell r="G24">
            <v>2.3032283289556199E-2</v>
          </cell>
          <cell r="H24">
            <v>1.5247417727600077E-2</v>
          </cell>
          <cell r="I24">
            <v>77.848655619561228</v>
          </cell>
          <cell r="K24">
            <v>7.1075925880296348E-2</v>
          </cell>
          <cell r="L24">
            <v>6.9552345630815277E-2</v>
          </cell>
          <cell r="M24">
            <v>15.235802494810713</v>
          </cell>
          <cell r="O24">
            <v>1.3645274997482593</v>
          </cell>
          <cell r="P24">
            <v>1.3541859999999999</v>
          </cell>
          <cell r="Q24">
            <v>1.0341499748259375E-2</v>
          </cell>
        </row>
        <row r="25">
          <cell r="A25" t="str">
            <v>Ralph Lauren</v>
          </cell>
          <cell r="B25" t="str">
            <v>RL</v>
          </cell>
          <cell r="C25">
            <v>4911.05021938139</v>
          </cell>
          <cell r="D25">
            <v>4875.2759999999998</v>
          </cell>
          <cell r="E25">
            <v>7.3378859743304936E-3</v>
          </cell>
          <cell r="G25">
            <v>-2.1488728729125883E-2</v>
          </cell>
          <cell r="H25">
            <v>-2.8616629141843819E-2</v>
          </cell>
          <cell r="I25">
            <v>71.279004127179363</v>
          </cell>
          <cell r="K25">
            <v>0.13230368761329642</v>
          </cell>
          <cell r="L25">
            <v>0.13159769826364703</v>
          </cell>
          <cell r="M25">
            <v>7.0598934964938298</v>
          </cell>
          <cell r="O25">
            <v>4.3340293193425694</v>
          </cell>
          <cell r="P25">
            <v>4.2647000000000004</v>
          </cell>
          <cell r="Q25">
            <v>6.9329319342569029E-2</v>
          </cell>
        </row>
        <row r="26">
          <cell r="A26" t="str">
            <v>Warnaco</v>
          </cell>
          <cell r="B26" t="str">
            <v>WRC</v>
          </cell>
          <cell r="C26">
            <v>2019.626</v>
          </cell>
          <cell r="D26">
            <v>2178.1950000000002</v>
          </cell>
          <cell r="E26">
            <v>-7.2798349091793946E-2</v>
          </cell>
          <cell r="G26">
            <v>-2.0953060548784763E-2</v>
          </cell>
          <cell r="H26">
            <v>5.591587169007517E-2</v>
          </cell>
          <cell r="I26">
            <v>-768.68932238859929</v>
          </cell>
          <cell r="K26">
            <v>0.11270849157220193</v>
          </cell>
          <cell r="L26">
            <v>0.11457160630705698</v>
          </cell>
          <cell r="M26">
            <v>-18.63114734855051</v>
          </cell>
          <cell r="O26">
            <v>2.8241511390163154</v>
          </cell>
          <cell r="P26">
            <v>3.2527269999999997</v>
          </cell>
          <cell r="Q26">
            <v>-0.42857586098368428</v>
          </cell>
        </row>
        <row r="27">
          <cell r="A27" t="str">
            <v>Liz Claiborne</v>
          </cell>
          <cell r="B27" t="str">
            <v>LIZ</v>
          </cell>
          <cell r="C27">
            <v>3011.8590000000004</v>
          </cell>
          <cell r="D27">
            <v>2703.2330000000002</v>
          </cell>
          <cell r="E27">
            <v>0.11416921885756803</v>
          </cell>
          <cell r="G27">
            <v>-0.24419076193253286</v>
          </cell>
          <cell r="H27">
            <v>-0.32163873738816018</v>
          </cell>
          <cell r="I27">
            <v>774.47975455627318</v>
          </cell>
          <cell r="K27">
            <v>-4.5223896603393245E-2</v>
          </cell>
          <cell r="L27">
            <v>4.7474017223080658E-3</v>
          </cell>
          <cell r="M27">
            <v>-499.71298325701309</v>
          </cell>
          <cell r="O27">
            <v>-1.4655063139449973</v>
          </cell>
          <cell r="P27">
            <v>-0.43044179999999999</v>
          </cell>
          <cell r="Q27">
            <v>-1.0350645139449974</v>
          </cell>
        </row>
        <row r="28">
          <cell r="A28" t="str">
            <v>Phillips Van Heusen</v>
          </cell>
          <cell r="B28" t="str">
            <v>PVH</v>
          </cell>
          <cell r="C28">
            <v>3749.1064498860405</v>
          </cell>
          <cell r="D28">
            <v>3066.89</v>
          </cell>
          <cell r="E28">
            <v>0.22244568598353398</v>
          </cell>
          <cell r="G28">
            <v>0.56295409943259211</v>
          </cell>
          <cell r="H28">
            <v>0.27854686498819592</v>
          </cell>
          <cell r="I28">
            <v>2844.0723444439618</v>
          </cell>
          <cell r="K28">
            <v>0.12811321863881991</v>
          </cell>
          <cell r="L28">
            <v>0.12899083436314965</v>
          </cell>
          <cell r="M28">
            <v>-8.7761572432973338</v>
          </cell>
          <cell r="O28">
            <v>3.6497830573148669</v>
          </cell>
          <cell r="P28">
            <v>3.4630000000000001</v>
          </cell>
          <cell r="Q28">
            <v>0.18678305731486677</v>
          </cell>
        </row>
        <row r="29">
          <cell r="A29" t="str">
            <v>Guess</v>
          </cell>
          <cell r="B29" t="str">
            <v>GES</v>
          </cell>
          <cell r="C29">
            <v>2339.5358472059361</v>
          </cell>
          <cell r="D29">
            <v>2363.75</v>
          </cell>
          <cell r="E29">
            <v>-1.0243956761105788E-2</v>
          </cell>
          <cell r="G29">
            <v>9.9165242576548573E-2</v>
          </cell>
          <cell r="H29">
            <v>0.11054158252938984</v>
          </cell>
          <cell r="I29">
            <v>-113.76339952841263</v>
          </cell>
          <cell r="K29">
            <v>0.1733295159390906</v>
          </cell>
          <cell r="L29">
            <v>0.17557652035959809</v>
          </cell>
          <cell r="M29">
            <v>-22.470044205074867</v>
          </cell>
          <cell r="O29">
            <v>2.9820721986947794</v>
          </cell>
          <cell r="P29">
            <v>3.0154540000000001</v>
          </cell>
          <cell r="Q29">
            <v>-3.3381801305220726E-2</v>
          </cell>
        </row>
        <row r="30">
          <cell r="A30" t="str">
            <v>Q2E2009E</v>
          </cell>
        </row>
        <row r="31">
          <cell r="A31" t="str">
            <v>Q3E2009E</v>
          </cell>
        </row>
        <row r="32">
          <cell r="A32" t="str">
            <v>Q4E2009E</v>
          </cell>
        </row>
      </sheetData>
      <sheetData sheetId="14"/>
      <sheetData sheetId="15">
        <row r="2">
          <cell r="A2" t="str">
            <v>Comps - 1H vs 2H</v>
          </cell>
        </row>
        <row r="4">
          <cell r="A4" t="str">
            <v>All</v>
          </cell>
        </row>
        <row r="5">
          <cell r="B5">
            <v>2005</v>
          </cell>
          <cell r="C5">
            <v>2006</v>
          </cell>
          <cell r="D5">
            <v>2007</v>
          </cell>
          <cell r="E5">
            <v>2008</v>
          </cell>
          <cell r="F5">
            <v>2009</v>
          </cell>
        </row>
        <row r="6">
          <cell r="A6" t="str">
            <v>1H Average</v>
          </cell>
          <cell r="B6">
            <v>7.343394807078546E-2</v>
          </cell>
          <cell r="C6">
            <v>3.6103699295473378E-2</v>
          </cell>
          <cell r="D6">
            <v>3.5750000000000004E-2</v>
          </cell>
          <cell r="E6">
            <v>-6.4642857142857158E-3</v>
          </cell>
          <cell r="F6">
            <v>-7.9104931190213501E-2</v>
          </cell>
          <cell r="I6" t="str">
            <v>adjust for COH, TJX</v>
          </cell>
        </row>
        <row r="7">
          <cell r="A7" t="str">
            <v>2H Average</v>
          </cell>
          <cell r="B7">
            <v>6.6390123171896021E-2</v>
          </cell>
          <cell r="C7">
            <v>5.727112891066783E-2</v>
          </cell>
          <cell r="D7">
            <v>1.8832722098564406E-2</v>
          </cell>
          <cell r="E7">
            <v>-7.3265786902211694E-2</v>
          </cell>
          <cell r="F7">
            <v>-3.1323701477169409E-3</v>
          </cell>
        </row>
        <row r="10">
          <cell r="A10" t="str">
            <v>Inventory performance - Gross Margin perf</v>
          </cell>
        </row>
        <row r="11">
          <cell r="B11">
            <v>2005</v>
          </cell>
          <cell r="C11">
            <v>2006</v>
          </cell>
          <cell r="D11">
            <v>2007</v>
          </cell>
          <cell r="E11">
            <v>2008</v>
          </cell>
          <cell r="F11">
            <v>2009</v>
          </cell>
        </row>
        <row r="12">
          <cell r="A12" t="str">
            <v>Avg. y/y inventory change</v>
          </cell>
          <cell r="B12">
            <v>5.7284524754549301E-2</v>
          </cell>
          <cell r="C12">
            <v>0.16859864286702</v>
          </cell>
          <cell r="D12">
            <v>-3.0164244389156207E-2</v>
          </cell>
          <cell r="E12">
            <v>-8.3614642141829371E-2</v>
          </cell>
          <cell r="F12">
            <v>-8.9823836642227775E-2</v>
          </cell>
          <cell r="G12" t="str">
            <v>inv</v>
          </cell>
        </row>
        <row r="13">
          <cell r="A13" t="str">
            <v>Avg. GM change, bps</v>
          </cell>
          <cell r="B13">
            <v>-46.259275288913322</v>
          </cell>
          <cell r="C13">
            <v>43.577692302823763</v>
          </cell>
          <cell r="D13">
            <v>2.0201815697073249</v>
          </cell>
          <cell r="E13">
            <v>-136.05015774008214</v>
          </cell>
          <cell r="F13">
            <v>115.57467902423799</v>
          </cell>
          <cell r="G13" t="str">
            <v>gm chg</v>
          </cell>
        </row>
        <row r="14">
          <cell r="B14">
            <v>2005</v>
          </cell>
          <cell r="C14">
            <v>2006</v>
          </cell>
          <cell r="D14">
            <v>2007</v>
          </cell>
          <cell r="E14">
            <v>2008</v>
          </cell>
          <cell r="F14">
            <v>2009</v>
          </cell>
        </row>
        <row r="15">
          <cell r="A15" t="str">
            <v>Avg. y/y inventory change - dept store</v>
          </cell>
          <cell r="B15">
            <v>6.4354638711914907E-4</v>
          </cell>
          <cell r="C15">
            <v>0.22375429462687266</v>
          </cell>
          <cell r="D15">
            <v>-7.9138376331201309E-3</v>
          </cell>
          <cell r="E15">
            <v>-0.11582389939374201</v>
          </cell>
          <cell r="F15">
            <v>-7.9383150790566556E-2</v>
          </cell>
          <cell r="G15" t="str">
            <v>inv</v>
          </cell>
        </row>
        <row r="16">
          <cell r="A16" t="str">
            <v>Avg. GM change, bps</v>
          </cell>
          <cell r="B16">
            <v>-20.136216979536993</v>
          </cell>
          <cell r="C16">
            <v>74.57171959282671</v>
          </cell>
          <cell r="D16">
            <v>3.9521848350601987</v>
          </cell>
          <cell r="E16">
            <v>-154.32368383100911</v>
          </cell>
          <cell r="F16">
            <v>191.11845927863604</v>
          </cell>
          <cell r="G16" t="str">
            <v>gm chg</v>
          </cell>
        </row>
        <row r="17">
          <cell r="B17">
            <v>2005</v>
          </cell>
          <cell r="C17">
            <v>2006</v>
          </cell>
          <cell r="D17">
            <v>2007</v>
          </cell>
          <cell r="E17">
            <v>2008</v>
          </cell>
          <cell r="F17">
            <v>2009</v>
          </cell>
        </row>
        <row r="18">
          <cell r="A18" t="str">
            <v>Avg. y/y inventory change - spec</v>
          </cell>
          <cell r="B18">
            <v>0.11392550312197945</v>
          </cell>
          <cell r="C18">
            <v>0.11344299110716731</v>
          </cell>
          <cell r="D18">
            <v>-5.2414651145192281E-2</v>
          </cell>
          <cell r="E18">
            <v>-5.140538488991675E-2</v>
          </cell>
          <cell r="F18">
            <v>-0.10026452249388899</v>
          </cell>
          <cell r="G18" t="str">
            <v>inv</v>
          </cell>
        </row>
        <row r="19">
          <cell r="A19" t="str">
            <v>Avg. GM change, bps</v>
          </cell>
          <cell r="B19">
            <v>-72.382333598289662</v>
          </cell>
          <cell r="C19">
            <v>12.583665012820811</v>
          </cell>
          <cell r="D19">
            <v>8.8178304354443071E-2</v>
          </cell>
          <cell r="E19">
            <v>-117.77663164915512</v>
          </cell>
          <cell r="F19">
            <v>40.030898769839915</v>
          </cell>
          <cell r="G19" t="str">
            <v>gm chg</v>
          </cell>
        </row>
        <row r="24">
          <cell r="A24" t="str">
            <v>Gross margins over past five years: peak (shaded), trough (outlined)</v>
          </cell>
        </row>
        <row r="25">
          <cell r="B25" t="str">
            <v>High</v>
          </cell>
          <cell r="C25" t="str">
            <v>Low</v>
          </cell>
        </row>
        <row r="27">
          <cell r="B27">
            <v>2005</v>
          </cell>
          <cell r="C27">
            <v>2006</v>
          </cell>
          <cell r="D27">
            <v>2007</v>
          </cell>
          <cell r="E27">
            <v>2008</v>
          </cell>
          <cell r="F27">
            <v>2009</v>
          </cell>
          <cell r="G27">
            <v>2010</v>
          </cell>
          <cell r="I27" t="str">
            <v>max</v>
          </cell>
          <cell r="J27" t="str">
            <v>min</v>
          </cell>
          <cell r="K27" t="str">
            <v>2010 vs peak</v>
          </cell>
        </row>
        <row r="28">
          <cell r="A28" t="str">
            <v>JCP</v>
          </cell>
          <cell r="B28">
            <v>0.3828337149246579</v>
          </cell>
          <cell r="C28">
            <v>0.39235117686260546</v>
          </cell>
          <cell r="D28">
            <v>0.38593358921258969</v>
          </cell>
          <cell r="E28">
            <v>0.37411138446832803</v>
          </cell>
          <cell r="F28">
            <v>0.39356446279921997</v>
          </cell>
          <cell r="G28">
            <v>0.39605323146481297</v>
          </cell>
          <cell r="I28">
            <v>0.39605323146481297</v>
          </cell>
          <cell r="J28">
            <v>0.37411138446832803</v>
          </cell>
          <cell r="K28">
            <v>0</v>
          </cell>
        </row>
        <row r="29">
          <cell r="A29" t="str">
            <v>JWN</v>
          </cell>
          <cell r="B29">
            <v>0.36705055232607831</v>
          </cell>
          <cell r="C29">
            <v>0.37458966546886718</v>
          </cell>
          <cell r="D29">
            <v>0.37400380207376371</v>
          </cell>
          <cell r="E29">
            <v>0.34513532746351461</v>
          </cell>
          <cell r="F29">
            <v>0.35480745943327685</v>
          </cell>
          <cell r="G29">
            <v>0.36371218664159566</v>
          </cell>
          <cell r="I29">
            <v>0.37458966546886718</v>
          </cell>
          <cell r="J29">
            <v>0.34513532746351461</v>
          </cell>
          <cell r="K29">
            <v>-108.77478827271526</v>
          </cell>
        </row>
        <row r="30">
          <cell r="A30" t="str">
            <v>KSS</v>
          </cell>
          <cell r="B30">
            <v>0.35521033860112516</v>
          </cell>
          <cell r="C30">
            <v>0.3636492487376406</v>
          </cell>
          <cell r="D30">
            <v>0.36507281302925265</v>
          </cell>
          <cell r="E30">
            <v>0.36947488849160115</v>
          </cell>
          <cell r="F30">
            <v>0.37823834196891193</v>
          </cell>
          <cell r="G30">
            <v>0.38389063407855639</v>
          </cell>
          <cell r="I30">
            <v>0.38389063407855639</v>
          </cell>
          <cell r="J30">
            <v>0.35521033860112516</v>
          </cell>
          <cell r="K30">
            <v>0</v>
          </cell>
        </row>
        <row r="31">
          <cell r="A31" t="str">
            <v>M</v>
          </cell>
          <cell r="B31">
            <v>0.40723537293434564</v>
          </cell>
          <cell r="C31">
            <v>0.40604375231738965</v>
          </cell>
          <cell r="D31">
            <v>0.40421084634971305</v>
          </cell>
          <cell r="E31">
            <v>0.39703519202956772</v>
          </cell>
          <cell r="F31">
            <v>0.4051258035676274</v>
          </cell>
          <cell r="G31">
            <v>0.40740177504153008</v>
          </cell>
          <cell r="I31">
            <v>0.40740177504153008</v>
          </cell>
          <cell r="J31">
            <v>0.39703519202956772</v>
          </cell>
          <cell r="K31">
            <v>0</v>
          </cell>
        </row>
        <row r="32">
          <cell r="A32" t="str">
            <v>SKS</v>
          </cell>
          <cell r="B32">
            <v>0.36838636693297744</v>
          </cell>
          <cell r="C32">
            <v>0.38629518405253327</v>
          </cell>
          <cell r="D32">
            <v>0.39013022290713839</v>
          </cell>
          <cell r="E32">
            <v>0.32085279404442968</v>
          </cell>
          <cell r="F32">
            <v>0.36470630800811976</v>
          </cell>
          <cell r="G32">
            <v>0.38074593530189327</v>
          </cell>
          <cell r="I32">
            <v>0.39013022290713839</v>
          </cell>
          <cell r="J32">
            <v>0.32085279404442968</v>
          </cell>
          <cell r="K32">
            <v>-93.842876052451231</v>
          </cell>
        </row>
        <row r="33">
          <cell r="A33" t="str">
            <v>Dept. store avg</v>
          </cell>
          <cell r="B33">
            <v>0.37614326914383689</v>
          </cell>
          <cell r="C33">
            <v>0.38458580548780724</v>
          </cell>
          <cell r="D33">
            <v>0.38387025471449154</v>
          </cell>
          <cell r="E33">
            <v>0.36132191729948826</v>
          </cell>
          <cell r="F33">
            <v>0.37928847515543118</v>
          </cell>
          <cell r="G33">
            <v>0.3863607525056777</v>
          </cell>
          <cell r="I33">
            <v>0.26466022730826666</v>
          </cell>
          <cell r="J33">
            <v>0.22078245953473774</v>
          </cell>
          <cell r="K33">
            <v>0</v>
          </cell>
        </row>
        <row r="34">
          <cell r="I34">
            <v>0.26683303831625027</v>
          </cell>
          <cell r="J34">
            <v>0.23491384996800246</v>
          </cell>
          <cell r="K34">
            <v>0</v>
          </cell>
        </row>
        <row r="35">
          <cell r="A35" t="str">
            <v>ROST</v>
          </cell>
          <cell r="B35">
            <v>0.22078245953473774</v>
          </cell>
          <cell r="C35">
            <v>0.22488972588107092</v>
          </cell>
          <cell r="D35">
            <v>0.22710357389829849</v>
          </cell>
          <cell r="E35">
            <v>0.2358202622546326</v>
          </cell>
          <cell r="F35">
            <v>0.25847437986596433</v>
          </cell>
          <cell r="G35">
            <v>0.26466022730826666</v>
          </cell>
          <cell r="I35">
            <v>0.67253982532430046</v>
          </cell>
          <cell r="J35">
            <v>0.64275377929795496</v>
          </cell>
          <cell r="K35">
            <v>-297.86046026345491</v>
          </cell>
        </row>
        <row r="36">
          <cell r="A36" t="str">
            <v>TJX</v>
          </cell>
          <cell r="B36">
            <v>0.23491384996800246</v>
          </cell>
          <cell r="C36">
            <v>0.24079410561679626</v>
          </cell>
          <cell r="D36">
            <v>0.24492454085068949</v>
          </cell>
          <cell r="E36">
            <v>0.24092296088766529</v>
          </cell>
          <cell r="F36">
            <v>0.26221897549166406</v>
          </cell>
          <cell r="G36">
            <v>0.26683303831625027</v>
          </cell>
          <cell r="I36">
            <v>0.38266153944036096</v>
          </cell>
          <cell r="J36">
            <v>0.30097222810369439</v>
          </cell>
          <cell r="K36">
            <v>0</v>
          </cell>
        </row>
        <row r="37">
          <cell r="A37" t="str">
            <v>Off-price avg</v>
          </cell>
          <cell r="B37">
            <v>0.2278481547513701</v>
          </cell>
          <cell r="C37">
            <v>0.23284191574893359</v>
          </cell>
          <cell r="D37">
            <v>0.23601405737449399</v>
          </cell>
          <cell r="E37">
            <v>0.23837161157114894</v>
          </cell>
          <cell r="F37">
            <v>0.2603466776788142</v>
          </cell>
          <cell r="G37">
            <v>0.26574663281225847</v>
          </cell>
          <cell r="I37">
            <v>0.47968246595255026</v>
          </cell>
          <cell r="J37">
            <v>0.38724779790259878</v>
          </cell>
          <cell r="K37">
            <v>-557.89561500711568</v>
          </cell>
        </row>
        <row r="38">
          <cell r="I38">
            <v>0.38266153944036096</v>
          </cell>
          <cell r="J38">
            <v>0.30097222810369439</v>
          </cell>
          <cell r="K38">
            <v>0</v>
          </cell>
        </row>
        <row r="39">
          <cell r="A39" t="str">
            <v>ANF</v>
          </cell>
          <cell r="B39">
            <v>0.66982483696775197</v>
          </cell>
          <cell r="C39">
            <v>0.67008193227159563</v>
          </cell>
          <cell r="D39">
            <v>0.67253982532430046</v>
          </cell>
          <cell r="E39">
            <v>0.66907487449258141</v>
          </cell>
          <cell r="F39">
            <v>0.6431673566946946</v>
          </cell>
          <cell r="G39">
            <v>0.64275377929795496</v>
          </cell>
          <cell r="I39">
            <v>0.77715250839458938</v>
          </cell>
          <cell r="J39">
            <v>0.7189701306436096</v>
          </cell>
          <cell r="K39">
            <v>-534.41365481116327</v>
          </cell>
        </row>
        <row r="40">
          <cell r="A40" t="str">
            <v>ARO</v>
          </cell>
          <cell r="B40">
            <v>0.30097222810369439</v>
          </cell>
          <cell r="C40">
            <v>0.31702127358463861</v>
          </cell>
          <cell r="D40">
            <v>0.34456092567946972</v>
          </cell>
          <cell r="E40">
            <v>0.34694841930469456</v>
          </cell>
          <cell r="F40">
            <v>0.38094484340423429</v>
          </cell>
          <cell r="G40">
            <v>0.38266153944036096</v>
          </cell>
          <cell r="I40">
            <v>0.40988133878454813</v>
          </cell>
          <cell r="J40">
            <v>0.35527224769201782</v>
          </cell>
          <cell r="K40">
            <v>0</v>
          </cell>
        </row>
        <row r="41">
          <cell r="A41" t="str">
            <v>AEO</v>
          </cell>
          <cell r="B41">
            <v>0.46338441369841543</v>
          </cell>
          <cell r="C41">
            <v>0.47968246595255026</v>
          </cell>
          <cell r="D41">
            <v>0.46577507045678512</v>
          </cell>
          <cell r="E41">
            <v>0.39281461528089534</v>
          </cell>
          <cell r="F41">
            <v>0.38724779790259878</v>
          </cell>
          <cell r="G41">
            <v>0.42389290445183869</v>
          </cell>
          <cell r="I41">
            <v>0.37612621984111183</v>
          </cell>
          <cell r="J41">
            <v>0.33246659377546584</v>
          </cell>
          <cell r="K41">
            <v>-160.31477906032765</v>
          </cell>
        </row>
        <row r="42">
          <cell r="A42" t="str">
            <v>COH</v>
          </cell>
          <cell r="B42">
            <v>0.76742019151131191</v>
          </cell>
          <cell r="C42">
            <v>0.77715250839458938</v>
          </cell>
          <cell r="D42">
            <v>0.77436175001607688</v>
          </cell>
          <cell r="E42">
            <v>0.75677047948019927</v>
          </cell>
          <cell r="F42">
            <v>0.7189701306436096</v>
          </cell>
          <cell r="G42">
            <v>0.72371114291347305</v>
          </cell>
          <cell r="I42">
            <v>0.41328451675268396</v>
          </cell>
          <cell r="J42">
            <v>0.36900034865197429</v>
          </cell>
          <cell r="K42">
            <v>0</v>
          </cell>
        </row>
        <row r="43">
          <cell r="A43" t="str">
            <v>GPS</v>
          </cell>
          <cell r="B43">
            <v>0.36634837421207012</v>
          </cell>
          <cell r="C43">
            <v>0.35527224769201782</v>
          </cell>
          <cell r="D43">
            <v>0.36122565501490833</v>
          </cell>
          <cell r="E43">
            <v>0.37498278948093078</v>
          </cell>
          <cell r="F43">
            <v>0.40318377121927162</v>
          </cell>
          <cell r="G43">
            <v>0.40988133878454813</v>
          </cell>
        </row>
        <row r="44">
          <cell r="A44" t="str">
            <v>LTD</v>
          </cell>
          <cell r="B44">
            <v>0.35680728062464451</v>
          </cell>
          <cell r="C44">
            <v>0.37612621984111183</v>
          </cell>
          <cell r="D44">
            <v>0.34339067881529917</v>
          </cell>
          <cell r="E44">
            <v>0.33246659377546584</v>
          </cell>
          <cell r="F44">
            <v>0.35077650699768259</v>
          </cell>
          <cell r="G44">
            <v>0.36009474193507907</v>
          </cell>
        </row>
        <row r="45">
          <cell r="A45" t="str">
            <v>URBN</v>
          </cell>
          <cell r="B45">
            <v>0.41077110576161491</v>
          </cell>
          <cell r="C45">
            <v>0.36900034865197429</v>
          </cell>
          <cell r="D45">
            <v>0.38254481589468625</v>
          </cell>
          <cell r="E45">
            <v>0.38889730723235016</v>
          </cell>
          <cell r="F45">
            <v>0.40568630132391381</v>
          </cell>
          <cell r="G45">
            <v>0.41328451675268396</v>
          </cell>
        </row>
        <row r="46">
          <cell r="A46" t="str">
            <v>Specialty avg</v>
          </cell>
          <cell r="B46">
            <v>0.47650406155421482</v>
          </cell>
          <cell r="C46">
            <v>0.47776242805549679</v>
          </cell>
          <cell r="D46">
            <v>0.47777124588593228</v>
          </cell>
          <cell r="E46">
            <v>0.46599358272101682</v>
          </cell>
          <cell r="F46">
            <v>0.46999667259800076</v>
          </cell>
          <cell r="G46">
            <v>0.47946856622513412</v>
          </cell>
        </row>
        <row r="57">
          <cell r="A57" t="str">
            <v>SG&amp;A Growth vs Sales Growth - Comps Growth</v>
          </cell>
        </row>
        <row r="58">
          <cell r="A58" t="str">
            <v>SG&amp;A growth</v>
          </cell>
          <cell r="B58">
            <v>2005</v>
          </cell>
          <cell r="C58">
            <v>2006</v>
          </cell>
          <cell r="D58">
            <v>2007</v>
          </cell>
          <cell r="E58">
            <v>2008</v>
          </cell>
          <cell r="F58">
            <v>2009</v>
          </cell>
          <cell r="G58">
            <v>2010</v>
          </cell>
        </row>
        <row r="59">
          <cell r="A59" t="str">
            <v>JCP</v>
          </cell>
          <cell r="B59">
            <v>1.9800181653042648E-2</v>
          </cell>
          <cell r="C59">
            <v>5.753473459209113E-2</v>
          </cell>
          <cell r="D59">
            <v>-1.8191005558362838E-2</v>
          </cell>
          <cell r="E59">
            <v>-4.1173443129182141E-3</v>
          </cell>
          <cell r="F59">
            <v>7.5279931093884533E-2</v>
          </cell>
          <cell r="G59">
            <v>7.7272891567914392E-4</v>
          </cell>
        </row>
        <row r="60">
          <cell r="A60" t="str">
            <v>JWN</v>
          </cell>
          <cell r="B60">
            <v>3.9813724456535526E-2</v>
          </cell>
          <cell r="C60">
            <v>9.3397522500006991E-2</v>
          </cell>
          <cell r="D60">
            <v>2.7392578486396646E-2</v>
          </cell>
          <cell r="E60">
            <v>1.1944333793828088E-2</v>
          </cell>
          <cell r="F60">
            <v>3.2259253272450383E-2</v>
          </cell>
          <cell r="G60">
            <v>5.0834702266653098E-2</v>
          </cell>
        </row>
        <row r="61">
          <cell r="A61" t="str">
            <v>KSS</v>
          </cell>
          <cell r="B61">
            <v>0.14732221151534408</v>
          </cell>
          <cell r="C61">
            <v>0.15252033069006243</v>
          </cell>
          <cell r="D61">
            <v>8.2391009909547508E-2</v>
          </cell>
          <cell r="E61">
            <v>6.4681760393843435E-2</v>
          </cell>
          <cell r="F61">
            <v>5.2839643680853365E-2</v>
          </cell>
          <cell r="G61">
            <v>6.0426926393679858E-2</v>
          </cell>
        </row>
        <row r="62">
          <cell r="A62" t="str">
            <v>M</v>
          </cell>
          <cell r="B62">
            <v>0.41553437436625429</v>
          </cell>
          <cell r="C62">
            <v>0.24326647564469916</v>
          </cell>
          <cell r="D62">
            <v>-1.4289006683567695E-2</v>
          </cell>
          <cell r="E62">
            <v>-1.1222819733458067E-2</v>
          </cell>
          <cell r="F62">
            <v>-4.6819579096713193E-2</v>
          </cell>
          <cell r="G62">
            <v>2.3079369153637952E-2</v>
          </cell>
        </row>
        <row r="63">
          <cell r="A63" t="str">
            <v>SKS</v>
          </cell>
          <cell r="B63">
            <v>6.2793070223896574E-3</v>
          </cell>
          <cell r="C63">
            <v>-6.4508354494813736E-2</v>
          </cell>
          <cell r="D63">
            <v>7.7426248732044733E-2</v>
          </cell>
          <cell r="E63">
            <v>-5.5058117202405166E-2</v>
          </cell>
          <cell r="F63">
            <v>-0.13106406133853599</v>
          </cell>
          <cell r="G63">
            <v>4.8787028931422949E-2</v>
          </cell>
        </row>
        <row r="64">
          <cell r="A64" t="str">
            <v>ROST</v>
          </cell>
          <cell r="B64">
            <v>0.16494036504740994</v>
          </cell>
          <cell r="C64">
            <v>0.12646317141425123</v>
          </cell>
          <cell r="D64">
            <v>8.4432460867660764E-2</v>
          </cell>
          <cell r="E64">
            <v>0.10981272658003349</v>
          </cell>
          <cell r="F64">
            <v>8.8707414272316543E-2</v>
          </cell>
          <cell r="G64">
            <v>7.1078079459742538E-2</v>
          </cell>
        </row>
        <row r="65">
          <cell r="A65" t="str">
            <v>TJX</v>
          </cell>
          <cell r="B65">
            <v>6.6846265118965631E-2</v>
          </cell>
          <cell r="C65">
            <v>8.4496792669717324E-2</v>
          </cell>
          <cell r="D65">
            <v>4.0062234300518362E-2</v>
          </cell>
          <cell r="E65">
            <v>3.6026224389584804E-2</v>
          </cell>
          <cell r="F65">
            <v>5.9267136455885217E-2</v>
          </cell>
          <cell r="G65">
            <v>6.6782449189689119E-2</v>
          </cell>
        </row>
        <row r="66">
          <cell r="A66" t="str">
            <v>ANF</v>
          </cell>
          <cell r="B66">
            <v>0.32517499320921894</v>
          </cell>
          <cell r="C66">
            <v>0.19254496302912805</v>
          </cell>
          <cell r="D66">
            <v>0.13770236688854931</v>
          </cell>
          <cell r="E66">
            <v>6.9262730911323844E-2</v>
          </cell>
          <cell r="F66">
            <v>-5.1157205166412423E-2</v>
          </cell>
          <cell r="G66">
            <v>2.6799926349323933E-2</v>
          </cell>
        </row>
        <row r="67">
          <cell r="A67" t="str">
            <v>ARO</v>
          </cell>
          <cell r="B67">
            <v>0.23408904373916317</v>
          </cell>
          <cell r="C67">
            <v>0.27612268987509014</v>
          </cell>
          <cell r="D67">
            <v>0.19351754700831103</v>
          </cell>
          <cell r="E67">
            <v>0.17373375168086058</v>
          </cell>
          <cell r="F67">
            <v>0.14210745461130436</v>
          </cell>
          <cell r="G67">
            <v>8.7894294822347341E-2</v>
          </cell>
        </row>
        <row r="68">
          <cell r="A68" t="str">
            <v>AEO</v>
          </cell>
          <cell r="B68">
            <v>0.21365220252042727</v>
          </cell>
          <cell r="C68">
            <v>0.22738915166099627</v>
          </cell>
          <cell r="D68">
            <v>7.4477882594383704E-2</v>
          </cell>
          <cell r="E68">
            <v>2.6372381778014153E-2</v>
          </cell>
          <cell r="F68">
            <v>3.0263977080299265E-2</v>
          </cell>
          <cell r="G68">
            <v>-3.6504660730932281E-2</v>
          </cell>
        </row>
        <row r="69">
          <cell r="A69" t="str">
            <v>COH</v>
          </cell>
          <cell r="B69">
            <v>0.26445354341591498</v>
          </cell>
          <cell r="C69">
            <v>0.18441894189124874</v>
          </cell>
          <cell r="D69">
            <v>0.18771473109049008</v>
          </cell>
          <cell r="E69">
            <v>0.19258655638317834</v>
          </cell>
          <cell r="F69">
            <v>7.6928088712685527E-2</v>
          </cell>
          <cell r="G69">
            <v>7.5120685716945523E-2</v>
          </cell>
        </row>
        <row r="70">
          <cell r="A70" t="str">
            <v>GPS</v>
          </cell>
          <cell r="B70">
            <v>-2.583798882681565E-2</v>
          </cell>
          <cell r="C70">
            <v>6.9772998805256892E-2</v>
          </cell>
          <cell r="D70">
            <v>-2.9484029484029506E-2</v>
          </cell>
          <cell r="E70">
            <v>-0.10264672036823941</v>
          </cell>
          <cell r="F70">
            <v>3.5906642728904536E-3</v>
          </cell>
          <cell r="G70">
            <v>1.8430965572890257E-2</v>
          </cell>
        </row>
        <row r="71">
          <cell r="A71" t="str">
            <v>LTD</v>
          </cell>
          <cell r="B71">
            <v>5.3515321049683484E-2</v>
          </cell>
          <cell r="C71">
            <v>0.13772363610993166</v>
          </cell>
          <cell r="D71">
            <v>-8.2824685886191962E-2</v>
          </cell>
          <cell r="E71">
            <v>-0.12049140453224649</v>
          </cell>
          <cell r="F71">
            <v>-5.3496757540580586E-2</v>
          </cell>
          <cell r="G71">
            <v>2.7337611856118382E-2</v>
          </cell>
        </row>
        <row r="72">
          <cell r="A72" t="str">
            <v>URBN</v>
          </cell>
          <cell r="B72">
            <v>0.27377825867719996</v>
          </cell>
          <cell r="C72">
            <v>0.18731418062159033</v>
          </cell>
          <cell r="D72">
            <v>0.2219100343136573</v>
          </cell>
          <cell r="E72">
            <v>0.17683691132289447</v>
          </cell>
          <cell r="F72">
            <v>7.9986861268032561E-2</v>
          </cell>
          <cell r="G72">
            <v>0.13189366124946944</v>
          </cell>
        </row>
        <row r="73">
          <cell r="A73" t="str">
            <v>Average</v>
          </cell>
          <cell r="B73">
            <v>0.15709727164033813</v>
          </cell>
          <cell r="C73">
            <v>0.14060408821494691</v>
          </cell>
          <cell r="D73">
            <v>7.0159883327100533E-2</v>
          </cell>
          <cell r="E73">
            <v>4.0551497934592416E-2</v>
          </cell>
          <cell r="F73">
            <v>2.5620915827025716E-2</v>
          </cell>
          <cell r="G73">
            <v>4.6623840653333373E-2</v>
          </cell>
        </row>
        <row r="75">
          <cell r="A75" t="str">
            <v>Total Sales</v>
          </cell>
          <cell r="B75">
            <v>2005</v>
          </cell>
          <cell r="C75">
            <v>2006</v>
          </cell>
          <cell r="D75">
            <v>2007</v>
          </cell>
          <cell r="E75">
            <v>2008</v>
          </cell>
          <cell r="F75">
            <v>2009</v>
          </cell>
          <cell r="G75">
            <v>2010</v>
          </cell>
        </row>
        <row r="76">
          <cell r="A76" t="str">
            <v>JCP</v>
          </cell>
          <cell r="B76">
            <v>3.7853669319186656E-2</v>
          </cell>
          <cell r="C76">
            <v>5.9745913423140395E-2</v>
          </cell>
          <cell r="D76">
            <v>-2.1181637743851178E-3</v>
          </cell>
          <cell r="E76">
            <v>-6.9204061506389691E-2</v>
          </cell>
          <cell r="F76">
            <v>-5.0252606220807183E-2</v>
          </cell>
          <cell r="G76">
            <v>1.4165050052032502E-2</v>
          </cell>
        </row>
        <row r="77">
          <cell r="A77" t="str">
            <v>JWN</v>
          </cell>
          <cell r="B77">
            <v>8.2900681814389365E-2</v>
          </cell>
          <cell r="C77">
            <v>0.10852364459071628</v>
          </cell>
          <cell r="D77">
            <v>3.1202595863094373E-2</v>
          </cell>
          <cell r="E77">
            <v>-6.0809391770148324E-2</v>
          </cell>
          <cell r="F77">
            <v>-3.9802195151369402E-3</v>
          </cell>
          <cell r="G77">
            <v>8.1553241749334093E-2</v>
          </cell>
        </row>
        <row r="78">
          <cell r="A78" t="str">
            <v>KSS</v>
          </cell>
          <cell r="B78">
            <v>0.14541865016622935</v>
          </cell>
          <cell r="C78">
            <v>0.16289124173643121</v>
          </cell>
          <cell r="D78">
            <v>5.7002363958193802E-2</v>
          </cell>
          <cell r="E78">
            <v>-5.147598900064887E-3</v>
          </cell>
          <cell r="F78">
            <v>4.8087425025474362E-2</v>
          </cell>
          <cell r="G78">
            <v>7.6911540806537948E-2</v>
          </cell>
        </row>
        <row r="79">
          <cell r="A79" t="str">
            <v>M</v>
          </cell>
          <cell r="B79">
            <v>0.41924442190669375</v>
          </cell>
          <cell r="C79">
            <v>0.20455560518088434</v>
          </cell>
          <cell r="D79">
            <v>-2.4360400444938812E-2</v>
          </cell>
          <cell r="E79">
            <v>-5.4003724394785846E-2</v>
          </cell>
          <cell r="F79">
            <v>-5.6363490278000916E-2</v>
          </cell>
          <cell r="G79">
            <v>4.4939125238239175E-2</v>
          </cell>
        </row>
        <row r="80">
          <cell r="A80" t="str">
            <v>SKS</v>
          </cell>
          <cell r="B80">
            <v>4.1041179597807176E-3</v>
          </cell>
          <cell r="C80">
            <v>5.8189569068934466E-2</v>
          </cell>
          <cell r="D80">
            <v>0.11041825467525013</v>
          </cell>
          <cell r="E80">
            <v>-6.9761287103328296E-2</v>
          </cell>
          <cell r="F80">
            <v>-0.13539452228728877</v>
          </cell>
          <cell r="G80">
            <v>4.2572459349391245E-2</v>
          </cell>
        </row>
        <row r="81">
          <cell r="A81" t="str">
            <v>ROST</v>
          </cell>
          <cell r="B81">
            <v>0.16608270302524297</v>
          </cell>
          <cell r="C81">
            <v>0.12661980887018864</v>
          </cell>
          <cell r="D81">
            <v>7.270856933580605E-2</v>
          </cell>
          <cell r="E81">
            <v>8.5507761063540411E-2</v>
          </cell>
          <cell r="F81">
            <v>0.10762550725477826</v>
          </cell>
          <cell r="G81">
            <v>8.6251364890475912E-2</v>
          </cell>
        </row>
        <row r="82">
          <cell r="A82" t="str">
            <v>TJX</v>
          </cell>
          <cell r="B82">
            <v>6.990050546877602E-2</v>
          </cell>
          <cell r="C82">
            <v>9.07933802470966E-2</v>
          </cell>
          <cell r="D82">
            <v>5.3554061483729987E-2</v>
          </cell>
          <cell r="E82">
            <v>3.6144893041429649E-2</v>
          </cell>
          <cell r="F82">
            <v>6.7840662164619481E-2</v>
          </cell>
          <cell r="G82">
            <v>8.7128931474232285E-2</v>
          </cell>
        </row>
        <row r="83">
          <cell r="A83" t="str">
            <v>ANF</v>
          </cell>
          <cell r="B83">
            <v>0.36952802567119236</v>
          </cell>
          <cell r="C83">
            <v>0.18640947573915412</v>
          </cell>
          <cell r="D83">
            <v>0.12650966330671687</v>
          </cell>
          <cell r="E83">
            <v>-5.8275418038866378E-2</v>
          </cell>
          <cell r="F83">
            <v>-0.1594210427670959</v>
          </cell>
          <cell r="G83">
            <v>7.9942840110693636E-2</v>
          </cell>
        </row>
        <row r="84">
          <cell r="A84" t="str">
            <v>ARO</v>
          </cell>
          <cell r="B84">
            <v>0.24904792721932512</v>
          </cell>
          <cell r="C84">
            <v>0.17342260992886604</v>
          </cell>
          <cell r="D84">
            <v>0.12027599617324558</v>
          </cell>
          <cell r="E84">
            <v>0.1909747641302364</v>
          </cell>
          <cell r="F84">
            <v>0.1827463987598188</v>
          </cell>
          <cell r="G84">
            <v>8.975332030843397E-2</v>
          </cell>
        </row>
        <row r="85">
          <cell r="A85" t="str">
            <v>AEO</v>
          </cell>
          <cell r="B85">
            <v>0.23427141977024735</v>
          </cell>
          <cell r="C85">
            <v>0.20346887675164371</v>
          </cell>
          <cell r="D85">
            <v>9.3404365645830545E-2</v>
          </cell>
          <cell r="E85">
            <v>-2.1797992353912776E-2</v>
          </cell>
          <cell r="F85">
            <v>5.8250471674914372E-4</v>
          </cell>
          <cell r="G85">
            <v>-5.5028288935698999E-4</v>
          </cell>
        </row>
        <row r="86">
          <cell r="A86" t="str">
            <v>COH</v>
          </cell>
          <cell r="B86">
            <v>0.29820325394954028</v>
          </cell>
          <cell r="C86">
            <v>0.23211241239350389</v>
          </cell>
          <cell r="D86">
            <v>0.283708542886415</v>
          </cell>
          <cell r="E86">
            <v>0.21753514700343279</v>
          </cell>
          <cell r="F86">
            <v>1.5628669527411265E-2</v>
          </cell>
          <cell r="G86">
            <v>7.6036142797213824E-2</v>
          </cell>
        </row>
        <row r="87">
          <cell r="A87" t="str">
            <v>GPS</v>
          </cell>
          <cell r="B87">
            <v>-1.4999692629249384E-2</v>
          </cell>
          <cell r="C87">
            <v>-6.2410285215003247E-3</v>
          </cell>
          <cell r="D87">
            <v>-1.0048357721534895E-2</v>
          </cell>
          <cell r="E87">
            <v>-7.8474909598426734E-2</v>
          </cell>
          <cell r="F87">
            <v>-2.2649043095139709E-2</v>
          </cell>
          <cell r="G87">
            <v>-9.811269648707488E-3</v>
          </cell>
          <cell r="M87">
            <v>2005</v>
          </cell>
          <cell r="N87">
            <v>2006</v>
          </cell>
          <cell r="O87">
            <v>2007</v>
          </cell>
          <cell r="P87">
            <v>2008</v>
          </cell>
          <cell r="Q87">
            <v>2009</v>
          </cell>
          <cell r="R87">
            <v>2010</v>
          </cell>
        </row>
        <row r="88">
          <cell r="A88" t="str">
            <v>LTD</v>
          </cell>
          <cell r="B88">
            <v>2.7761409272991866E-2</v>
          </cell>
          <cell r="C88">
            <v>0.10353710119447745</v>
          </cell>
          <cell r="D88">
            <v>-5.476319535113694E-2</v>
          </cell>
          <cell r="E88">
            <v>-0.10346635775899038</v>
          </cell>
          <cell r="F88">
            <v>-4.5358626808516544E-2</v>
          </cell>
          <cell r="G88">
            <v>5.5396224187859611E-2</v>
          </cell>
          <cell r="L88" t="str">
            <v>Avg - Dept Stores SG&amp;A growth</v>
          </cell>
          <cell r="M88">
            <v>0.12293377559713455</v>
          </cell>
          <cell r="N88">
            <v>9.9024381859430646E-2</v>
          </cell>
          <cell r="O88">
            <v>3.9889217150605352E-2</v>
          </cell>
          <cell r="P88">
            <v>2.1723823415501196E-2</v>
          </cell>
          <cell r="Q88">
            <v>1.8638534048591553E-2</v>
          </cell>
          <cell r="R88">
            <v>4.5965897758643522E-2</v>
          </cell>
        </row>
        <row r="89">
          <cell r="A89" t="str">
            <v>URBN</v>
          </cell>
          <cell r="B89">
            <v>0.31936816671700385</v>
          </cell>
          <cell r="C89">
            <v>0.12142583098542548</v>
          </cell>
          <cell r="D89">
            <v>0.23107950653089637</v>
          </cell>
          <cell r="E89">
            <v>0.21681289148411786</v>
          </cell>
          <cell r="F89">
            <v>5.6249856918443086E-2</v>
          </cell>
          <cell r="G89">
            <v>0.16704157529874619</v>
          </cell>
          <cell r="L89" t="str">
            <v>Avg - Dept Stores comps</v>
          </cell>
          <cell r="M89">
            <v>3.700780088861149E-2</v>
          </cell>
          <cell r="N89">
            <v>4.9142857142857134E-2</v>
          </cell>
          <cell r="O89">
            <v>2.4985142157499068E-2</v>
          </cell>
          <cell r="P89">
            <v>-4.8227770048997518E-2</v>
          </cell>
          <cell r="Q89">
            <v>-2.4653980686388615E-2</v>
          </cell>
          <cell r="R89">
            <v>4.1239107147145793E-2</v>
          </cell>
        </row>
        <row r="90">
          <cell r="A90" t="str">
            <v>Average</v>
          </cell>
          <cell r="B90">
            <v>0.17204894711652502</v>
          </cell>
          <cell r="C90">
            <v>0.13038960297064014</v>
          </cell>
          <cell r="D90">
            <v>7.7755271611941637E-2</v>
          </cell>
          <cell r="E90">
            <v>1.6145336806988844E-2</v>
          </cell>
          <cell r="F90">
            <v>3.815338139506027E-4</v>
          </cell>
          <cell r="G90">
            <v>6.3666447408937565E-2</v>
          </cell>
          <cell r="M90">
            <v>2005</v>
          </cell>
          <cell r="N90">
            <v>2006</v>
          </cell>
          <cell r="O90">
            <v>2007</v>
          </cell>
          <cell r="P90">
            <v>2008</v>
          </cell>
          <cell r="Q90">
            <v>2009</v>
          </cell>
          <cell r="R90">
            <v>2010</v>
          </cell>
        </row>
        <row r="91">
          <cell r="L91" t="str">
            <v>Avg - Specialty SG&amp;A growth</v>
          </cell>
          <cell r="M91">
            <v>0.19126076768354175</v>
          </cell>
          <cell r="N91">
            <v>0.18218379457046316</v>
          </cell>
          <cell r="O91">
            <v>0.10043054950359571</v>
          </cell>
          <cell r="P91">
            <v>5.937917245368364E-2</v>
          </cell>
          <cell r="Q91">
            <v>3.260329760545988E-2</v>
          </cell>
          <cell r="R91">
            <v>4.7281783548023225E-2</v>
          </cell>
        </row>
        <row r="92">
          <cell r="L92" t="str">
            <v>Avg - Specialty comps</v>
          </cell>
          <cell r="M92">
            <v>9.7285714285714295E-2</v>
          </cell>
          <cell r="N92">
            <v>4.2153599874490209E-2</v>
          </cell>
          <cell r="O92">
            <v>3.5857142857142858E-2</v>
          </cell>
          <cell r="P92">
            <v>-2.5435212735340273E-2</v>
          </cell>
          <cell r="Q92">
            <v>-4.6189359134132642E-2</v>
          </cell>
          <cell r="R92">
            <v>2.7112424455829794E-2</v>
          </cell>
        </row>
        <row r="93">
          <cell r="A93" t="str">
            <v>SG&amp;A growth less sales growth</v>
          </cell>
        </row>
        <row r="94">
          <cell r="B94">
            <v>2005</v>
          </cell>
          <cell r="C94">
            <v>2006</v>
          </cell>
          <cell r="D94">
            <v>2007</v>
          </cell>
          <cell r="E94">
            <v>2008</v>
          </cell>
          <cell r="F94">
            <v>2009</v>
          </cell>
          <cell r="G94">
            <v>2010</v>
          </cell>
        </row>
        <row r="95">
          <cell r="A95" t="str">
            <v>JCP</v>
          </cell>
          <cell r="B95">
            <v>-180.53487666144008</v>
          </cell>
          <cell r="C95">
            <v>-22.111788310492653</v>
          </cell>
          <cell r="D95">
            <v>-160.72841783977719</v>
          </cell>
          <cell r="E95">
            <v>650.86717193471475</v>
          </cell>
          <cell r="F95">
            <v>1255.3253731469172</v>
          </cell>
          <cell r="G95">
            <v>-133.92321136353357</v>
          </cell>
        </row>
        <row r="96">
          <cell r="A96" t="str">
            <v>JWN</v>
          </cell>
          <cell r="B96">
            <v>-430.86957357853839</v>
          </cell>
          <cell r="C96">
            <v>-151.26122090709293</v>
          </cell>
          <cell r="D96">
            <v>-38.100173766977278</v>
          </cell>
          <cell r="E96">
            <v>727.53725563976411</v>
          </cell>
          <cell r="F96">
            <v>362.39472787587323</v>
          </cell>
          <cell r="G96">
            <v>-307.18539482680995</v>
          </cell>
        </row>
        <row r="97">
          <cell r="A97" t="str">
            <v>KSS</v>
          </cell>
          <cell r="B97">
            <v>19.035613491147352</v>
          </cell>
          <cell r="C97">
            <v>-103.70911046368781</v>
          </cell>
          <cell r="D97">
            <v>253.88645951353706</v>
          </cell>
          <cell r="E97">
            <v>698.29359293908317</v>
          </cell>
          <cell r="F97">
            <v>47.522186553790036</v>
          </cell>
          <cell r="G97">
            <v>-164.8461441285809</v>
          </cell>
        </row>
        <row r="98">
          <cell r="A98" t="str">
            <v>M</v>
          </cell>
          <cell r="B98">
            <v>-37.100475404394651</v>
          </cell>
          <cell r="C98">
            <v>387.10870463814831</v>
          </cell>
          <cell r="D98">
            <v>100.71393761371117</v>
          </cell>
          <cell r="E98">
            <v>427.80904661327781</v>
          </cell>
          <cell r="F98">
            <v>95.439111812877229</v>
          </cell>
          <cell r="G98">
            <v>-218.59756084601224</v>
          </cell>
        </row>
        <row r="99">
          <cell r="A99" t="str">
            <v>SKS</v>
          </cell>
          <cell r="B99">
            <v>21.751890626089398</v>
          </cell>
          <cell r="C99">
            <v>-1226.9792356374819</v>
          </cell>
          <cell r="D99">
            <v>-329.92005943205396</v>
          </cell>
          <cell r="E99">
            <v>147.03169900923129</v>
          </cell>
          <cell r="F99">
            <v>43.304609487527792</v>
          </cell>
          <cell r="G99">
            <v>62.145695820317037</v>
          </cell>
        </row>
        <row r="100">
          <cell r="A100" t="str">
            <v>ROST</v>
          </cell>
          <cell r="B100">
            <v>-11.4233797783303</v>
          </cell>
          <cell r="C100">
            <v>-1.5663745593741396</v>
          </cell>
          <cell r="D100">
            <v>117.23891531854713</v>
          </cell>
          <cell r="E100">
            <v>243.04965516493081</v>
          </cell>
          <cell r="F100">
            <v>-189.18092982461721</v>
          </cell>
          <cell r="G100">
            <v>-151.73285430733375</v>
          </cell>
        </row>
        <row r="101">
          <cell r="A101" t="str">
            <v>TJX</v>
          </cell>
          <cell r="B101">
            <v>-30.542403498103887</v>
          </cell>
          <cell r="C101">
            <v>-62.96587577379276</v>
          </cell>
          <cell r="D101">
            <v>-134.91827183211623</v>
          </cell>
          <cell r="E101">
            <v>-1.1866865184484432</v>
          </cell>
          <cell r="F101">
            <v>-85.735257087342646</v>
          </cell>
          <cell r="G101">
            <v>-203.46482284543166</v>
          </cell>
        </row>
        <row r="102">
          <cell r="A102" t="str">
            <v>ANF</v>
          </cell>
          <cell r="B102">
            <v>-443.53032461973419</v>
          </cell>
          <cell r="C102">
            <v>61.354872899739291</v>
          </cell>
          <cell r="D102">
            <v>111.92703581832441</v>
          </cell>
          <cell r="E102">
            <v>1275.3814895019023</v>
          </cell>
          <cell r="F102">
            <v>1082.6383760068347</v>
          </cell>
          <cell r="G102">
            <v>-531.42913761369698</v>
          </cell>
        </row>
        <row r="103">
          <cell r="A103" t="str">
            <v>ARO</v>
          </cell>
          <cell r="B103">
            <v>-149.58883480161944</v>
          </cell>
          <cell r="C103">
            <v>1027.000799462241</v>
          </cell>
          <cell r="D103">
            <v>732.41550835065448</v>
          </cell>
          <cell r="E103">
            <v>-172.41012449375813</v>
          </cell>
          <cell r="F103">
            <v>-406.38944148514435</v>
          </cell>
          <cell r="G103">
            <v>-18.590254860866295</v>
          </cell>
        </row>
        <row r="104">
          <cell r="A104" t="str">
            <v>AEO</v>
          </cell>
          <cell r="B104">
            <v>-206.19217249820076</v>
          </cell>
          <cell r="C104">
            <v>239.20274909352557</v>
          </cell>
          <cell r="D104">
            <v>-189.2648305144684</v>
          </cell>
          <cell r="E104">
            <v>481.70374131926928</v>
          </cell>
          <cell r="F104">
            <v>296.8147236355012</v>
          </cell>
          <cell r="G104">
            <v>-359.54377841575291</v>
          </cell>
        </row>
        <row r="105">
          <cell r="A105" t="str">
            <v>COH</v>
          </cell>
          <cell r="B105">
            <v>-337.49710533625301</v>
          </cell>
          <cell r="C105">
            <v>-476.93470502255144</v>
          </cell>
          <cell r="D105">
            <v>-959.93811795924921</v>
          </cell>
          <cell r="E105">
            <v>-249.48590620254453</v>
          </cell>
          <cell r="F105">
            <v>612.99419185274257</v>
          </cell>
          <cell r="G105">
            <v>-9.1545708026830042</v>
          </cell>
        </row>
        <row r="106">
          <cell r="A106" t="str">
            <v>GPS</v>
          </cell>
          <cell r="B106">
            <v>-108.38296197566267</v>
          </cell>
          <cell r="C106">
            <v>760.14027326757218</v>
          </cell>
          <cell r="D106">
            <v>-194.3567176249461</v>
          </cell>
          <cell r="E106">
            <v>-241.71810769812674</v>
          </cell>
          <cell r="F106">
            <v>262.39707368030162</v>
          </cell>
          <cell r="G106">
            <v>282.42235221597747</v>
          </cell>
        </row>
        <row r="107">
          <cell r="A107" t="str">
            <v>LTD</v>
          </cell>
          <cell r="B107">
            <v>257.53911776691621</v>
          </cell>
          <cell r="C107">
            <v>341.86534915454206</v>
          </cell>
          <cell r="D107">
            <v>-280.6149053505502</v>
          </cell>
          <cell r="E107">
            <v>-170.25046773256113</v>
          </cell>
          <cell r="F107">
            <v>-81.381307320640417</v>
          </cell>
          <cell r="G107">
            <v>-280.58612331741227</v>
          </cell>
        </row>
        <row r="108">
          <cell r="A108" t="str">
            <v>URBN</v>
          </cell>
          <cell r="B108">
            <v>-455.89908039803896</v>
          </cell>
          <cell r="C108">
            <v>658.88349636164855</v>
          </cell>
          <cell r="D108">
            <v>-91.694722172390726</v>
          </cell>
          <cell r="E108">
            <v>-399.7598016122339</v>
          </cell>
          <cell r="F108">
            <v>237.37004349589475</v>
          </cell>
          <cell r="G108">
            <v>-351.4791404927675</v>
          </cell>
        </row>
        <row r="109">
          <cell r="A109" t="str">
            <v>Average</v>
          </cell>
          <cell r="B109">
            <v>-149.51675476186884</v>
          </cell>
          <cell r="C109">
            <v>102.14485244306739</v>
          </cell>
          <cell r="D109">
            <v>-75.953882848411084</v>
          </cell>
          <cell r="E109">
            <v>244.06161127603579</v>
          </cell>
          <cell r="F109">
            <v>252.39382013075115</v>
          </cell>
          <cell r="G109">
            <v>-170.42606755604191</v>
          </cell>
        </row>
        <row r="111">
          <cell r="A111" t="str">
            <v>Avg - Dept Stores</v>
          </cell>
          <cell r="B111">
            <v>-92.811886400510062</v>
          </cell>
          <cell r="C111">
            <v>-168.78355728768199</v>
          </cell>
          <cell r="D111">
            <v>-27.403944346447041</v>
          </cell>
          <cell r="E111">
            <v>413.34310496893619</v>
          </cell>
          <cell r="F111">
            <v>218.43854599500369</v>
          </cell>
          <cell r="G111">
            <v>-159.65775607105499</v>
          </cell>
        </row>
        <row r="113">
          <cell r="A113" t="str">
            <v>Avg - Spec</v>
          </cell>
          <cell r="B113">
            <v>-206.22162312322754</v>
          </cell>
          <cell r="C113">
            <v>373.07326217381677</v>
          </cell>
          <cell r="D113">
            <v>-124.50382135037511</v>
          </cell>
          <cell r="E113">
            <v>74.780117583135308</v>
          </cell>
          <cell r="F113">
            <v>286.34909426649858</v>
          </cell>
          <cell r="G113">
            <v>-181.19437904102878</v>
          </cell>
        </row>
        <row r="116">
          <cell r="A116" t="str">
            <v>2009 - in Order</v>
          </cell>
          <cell r="B116" t="str">
            <v>(hardcoded)</v>
          </cell>
        </row>
        <row r="117">
          <cell r="A117" t="str">
            <v>TJX</v>
          </cell>
          <cell r="B117">
            <v>-214.23431782687351</v>
          </cell>
        </row>
        <row r="118">
          <cell r="A118" t="str">
            <v>ARO</v>
          </cell>
          <cell r="B118">
            <v>-160.93243556556169</v>
          </cell>
        </row>
        <row r="119">
          <cell r="A119" t="str">
            <v>ROST</v>
          </cell>
          <cell r="B119">
            <v>-139.48426974530469</v>
          </cell>
        </row>
        <row r="120">
          <cell r="A120" t="str">
            <v>LTD</v>
          </cell>
          <cell r="B120">
            <v>-26.472566827170361</v>
          </cell>
        </row>
        <row r="121">
          <cell r="A121" t="str">
            <v>KSS</v>
          </cell>
          <cell r="B121">
            <v>19.20113782717614</v>
          </cell>
        </row>
        <row r="122">
          <cell r="A122" t="str">
            <v>SKS</v>
          </cell>
          <cell r="B122">
            <v>187.91141726734796</v>
          </cell>
        </row>
        <row r="123">
          <cell r="A123" t="str">
            <v>URBN</v>
          </cell>
          <cell r="B123">
            <v>210.07871886226326</v>
          </cell>
        </row>
        <row r="124">
          <cell r="A124" t="str">
            <v>AEO</v>
          </cell>
          <cell r="B124">
            <v>211.26231705635544</v>
          </cell>
        </row>
        <row r="125">
          <cell r="A125" t="str">
            <v>M</v>
          </cell>
          <cell r="B125">
            <v>256.49965099774573</v>
          </cell>
        </row>
        <row r="126">
          <cell r="A126" t="str">
            <v>GPS</v>
          </cell>
          <cell r="B126">
            <v>265.45830679659764</v>
          </cell>
        </row>
        <row r="127">
          <cell r="A127" t="str">
            <v>JWN</v>
          </cell>
          <cell r="B127">
            <v>341.94187585199984</v>
          </cell>
        </row>
        <row r="128">
          <cell r="A128" t="str">
            <v>COH</v>
          </cell>
          <cell r="B128">
            <v>612.99419185274257</v>
          </cell>
        </row>
        <row r="129">
          <cell r="A129" t="str">
            <v>ANF</v>
          </cell>
          <cell r="B129">
            <v>1018.4323376746818</v>
          </cell>
        </row>
        <row r="130">
          <cell r="A130" t="str">
            <v>JCP</v>
          </cell>
          <cell r="B130">
            <v>1358.9998352094078</v>
          </cell>
        </row>
        <row r="132">
          <cell r="A132" t="str">
            <v>2008 - in Order</v>
          </cell>
          <cell r="B132" t="str">
            <v>(hardcoded)</v>
          </cell>
        </row>
        <row r="133">
          <cell r="A133" t="str">
            <v>URBN</v>
          </cell>
          <cell r="B133">
            <v>-399.7598016122339</v>
          </cell>
        </row>
        <row r="134">
          <cell r="A134" t="str">
            <v>COH</v>
          </cell>
          <cell r="B134">
            <v>-249.48590620254453</v>
          </cell>
        </row>
        <row r="135">
          <cell r="A135" t="str">
            <v>GPS</v>
          </cell>
          <cell r="B135">
            <v>-241.71810769812674</v>
          </cell>
        </row>
        <row r="136">
          <cell r="A136" t="str">
            <v>ARO</v>
          </cell>
          <cell r="B136">
            <v>-172.41012449375813</v>
          </cell>
        </row>
        <row r="137">
          <cell r="A137" t="str">
            <v>LTD</v>
          </cell>
          <cell r="B137">
            <v>-170.25046773256113</v>
          </cell>
        </row>
        <row r="138">
          <cell r="A138" t="str">
            <v>TJX</v>
          </cell>
          <cell r="B138">
            <v>-1.1866865184484432</v>
          </cell>
        </row>
        <row r="139">
          <cell r="A139" t="str">
            <v>SKS</v>
          </cell>
          <cell r="B139">
            <v>159.52008591213817</v>
          </cell>
        </row>
        <row r="140">
          <cell r="A140" t="str">
            <v>ROST</v>
          </cell>
          <cell r="B140">
            <v>243.04965516493081</v>
          </cell>
        </row>
        <row r="141">
          <cell r="A141" t="str">
            <v>M</v>
          </cell>
          <cell r="B141">
            <v>427.80904661327781</v>
          </cell>
        </row>
        <row r="142">
          <cell r="A142" t="str">
            <v>AEO</v>
          </cell>
          <cell r="B142">
            <v>481.70374131926928</v>
          </cell>
        </row>
        <row r="143">
          <cell r="A143" t="str">
            <v>JCP</v>
          </cell>
          <cell r="B143">
            <v>650.86717193471475</v>
          </cell>
        </row>
        <row r="144">
          <cell r="A144" t="str">
            <v>KSS</v>
          </cell>
          <cell r="B144">
            <v>698.29359293908317</v>
          </cell>
        </row>
        <row r="145">
          <cell r="A145" t="str">
            <v>JWN</v>
          </cell>
          <cell r="B145">
            <v>727.53725563976411</v>
          </cell>
        </row>
        <row r="146">
          <cell r="A146" t="str">
            <v>ANF</v>
          </cell>
          <cell r="B146">
            <v>1212.4880986772769</v>
          </cell>
        </row>
        <row r="148">
          <cell r="A148" t="str">
            <v>2007 - in Order</v>
          </cell>
          <cell r="B148" t="str">
            <v>(hardcoded)</v>
          </cell>
        </row>
        <row r="149">
          <cell r="A149" t="str">
            <v>COH</v>
          </cell>
          <cell r="B149">
            <v>-959.93811795924921</v>
          </cell>
        </row>
        <row r="150">
          <cell r="A150" t="str">
            <v>SKS</v>
          </cell>
          <cell r="B150">
            <v>-329.92005943205396</v>
          </cell>
        </row>
        <row r="151">
          <cell r="A151" t="str">
            <v>LTD</v>
          </cell>
          <cell r="B151">
            <v>-280.6149053505502</v>
          </cell>
        </row>
        <row r="152">
          <cell r="A152" t="str">
            <v>GPS</v>
          </cell>
          <cell r="B152">
            <v>-194.3567176249461</v>
          </cell>
        </row>
        <row r="153">
          <cell r="A153" t="str">
            <v>AEO</v>
          </cell>
          <cell r="B153">
            <v>-189.2648305144684</v>
          </cell>
        </row>
        <row r="154">
          <cell r="A154" t="str">
            <v>JCP</v>
          </cell>
          <cell r="B154">
            <v>-160.72841783977719</v>
          </cell>
        </row>
        <row r="155">
          <cell r="A155" t="str">
            <v>TJX</v>
          </cell>
          <cell r="B155">
            <v>-134.91827183211623</v>
          </cell>
        </row>
        <row r="156">
          <cell r="A156" t="str">
            <v>URBN</v>
          </cell>
          <cell r="B156">
            <v>-91.694722172390726</v>
          </cell>
        </row>
        <row r="157">
          <cell r="A157" t="str">
            <v>JWN</v>
          </cell>
          <cell r="B157">
            <v>-38.100173766977278</v>
          </cell>
        </row>
        <row r="158">
          <cell r="A158" t="str">
            <v>M</v>
          </cell>
          <cell r="B158">
            <v>100.71393761371117</v>
          </cell>
        </row>
        <row r="159">
          <cell r="A159" t="str">
            <v>ROST</v>
          </cell>
          <cell r="B159">
            <v>117.23891531854713</v>
          </cell>
        </row>
        <row r="160">
          <cell r="A160" t="str">
            <v>ANF</v>
          </cell>
          <cell r="B160">
            <v>119.36625141564683</v>
          </cell>
        </row>
        <row r="161">
          <cell r="A161" t="str">
            <v>KSS</v>
          </cell>
          <cell r="B161">
            <v>253.88645951353706</v>
          </cell>
        </row>
        <row r="162">
          <cell r="A162" t="str">
            <v>ARO</v>
          </cell>
          <cell r="B162">
            <v>732.41550835065448</v>
          </cell>
        </row>
        <row r="165">
          <cell r="A165" t="str">
            <v>Operating margin per quarter - dept store and softines averages</v>
          </cell>
        </row>
        <row r="166">
          <cell r="B166" t="str">
            <v>1Q05</v>
          </cell>
          <cell r="C166" t="str">
            <v>2Q05</v>
          </cell>
          <cell r="D166" t="str">
            <v>3Q05</v>
          </cell>
          <cell r="E166" t="str">
            <v>4Q05</v>
          </cell>
          <cell r="F166" t="str">
            <v>1Q06</v>
          </cell>
          <cell r="G166" t="str">
            <v>2Q06</v>
          </cell>
          <cell r="H166" t="str">
            <v>3Q06</v>
          </cell>
          <cell r="I166" t="str">
            <v>4Q06</v>
          </cell>
          <cell r="J166" t="str">
            <v>1Q07</v>
          </cell>
          <cell r="K166" t="str">
            <v>2Q07</v>
          </cell>
          <cell r="L166" t="str">
            <v>3Q07</v>
          </cell>
          <cell r="M166" t="str">
            <v>4Q07</v>
          </cell>
          <cell r="N166" t="str">
            <v>1Q08</v>
          </cell>
          <cell r="O166" t="str">
            <v>2Q08</v>
          </cell>
          <cell r="P166" t="str">
            <v>3Q08</v>
          </cell>
          <cell r="Q166" t="str">
            <v>4Q08</v>
          </cell>
          <cell r="R166" t="str">
            <v>1Q09</v>
          </cell>
          <cell r="S166" t="str">
            <v>2Q09</v>
          </cell>
          <cell r="T166" t="str">
            <v>3Q09</v>
          </cell>
          <cell r="U166" t="str">
            <v>4Q09</v>
          </cell>
        </row>
        <row r="167">
          <cell r="A167" t="str">
            <v>Department Stores Average</v>
          </cell>
          <cell r="B167">
            <v>6.8895458045228869E-2</v>
          </cell>
          <cell r="C167">
            <v>5.0381614729388138E-2</v>
          </cell>
          <cell r="D167">
            <v>5.8850908929155663E-2</v>
          </cell>
          <cell r="E167">
            <v>9.61852868874606E-2</v>
          </cell>
          <cell r="F167">
            <v>7.2635663425478267E-2</v>
          </cell>
          <cell r="G167">
            <v>5.944892792875256E-2</v>
          </cell>
          <cell r="H167">
            <v>8.0497421892793006E-2</v>
          </cell>
          <cell r="I167">
            <v>0.1127214661643382</v>
          </cell>
          <cell r="J167">
            <v>8.4050034085017683E-2</v>
          </cell>
          <cell r="K167">
            <v>6.804467912976582E-2</v>
          </cell>
          <cell r="L167">
            <v>7.7674969272626404E-2</v>
          </cell>
          <cell r="M167">
            <v>0.11086515574020774</v>
          </cell>
          <cell r="N167">
            <v>6.8356473350861688E-2</v>
          </cell>
          <cell r="O167">
            <v>6.0966790403798217E-2</v>
          </cell>
          <cell r="P167">
            <v>4.9309735773725973E-2</v>
          </cell>
          <cell r="Q167">
            <v>5.6946938565969989E-2</v>
          </cell>
          <cell r="R167">
            <v>5.1272690672644061E-2</v>
          </cell>
          <cell r="S167">
            <v>4.8279382532345698E-2</v>
          </cell>
          <cell r="T167">
            <v>6.4633547072114189E-2</v>
          </cell>
          <cell r="U167">
            <v>0.1020897665719154</v>
          </cell>
        </row>
        <row r="168">
          <cell r="B168" t="str">
            <v>1Q05</v>
          </cell>
          <cell r="C168" t="str">
            <v>2Q05</v>
          </cell>
          <cell r="D168" t="str">
            <v>3Q05</v>
          </cell>
          <cell r="E168" t="str">
            <v>4Q05</v>
          </cell>
          <cell r="F168" t="str">
            <v>1Q06</v>
          </cell>
          <cell r="G168" t="str">
            <v>2Q06</v>
          </cell>
          <cell r="H168" t="str">
            <v>3Q06</v>
          </cell>
          <cell r="I168" t="str">
            <v>4Q06</v>
          </cell>
          <cell r="J168" t="str">
            <v>1Q07</v>
          </cell>
          <cell r="K168" t="str">
            <v>2Q07</v>
          </cell>
          <cell r="L168" t="str">
            <v>3Q07</v>
          </cell>
          <cell r="M168" t="str">
            <v>4Q07</v>
          </cell>
          <cell r="N168" t="str">
            <v>1Q08</v>
          </cell>
          <cell r="O168" t="str">
            <v>2Q08</v>
          </cell>
          <cell r="P168" t="str">
            <v>3Q08</v>
          </cell>
          <cell r="Q168" t="str">
            <v>4Q08</v>
          </cell>
          <cell r="R168" t="str">
            <v>1Q09</v>
          </cell>
          <cell r="S168" t="str">
            <v>2Q09</v>
          </cell>
          <cell r="T168" t="str">
            <v>3Q09</v>
          </cell>
          <cell r="U168" t="str">
            <v>4Q09</v>
          </cell>
        </row>
        <row r="169">
          <cell r="A169" t="str">
            <v>Specialty Stores</v>
          </cell>
          <cell r="B169">
            <v>0.15422920734198622</v>
          </cell>
          <cell r="C169">
            <v>0.14889808899378965</v>
          </cell>
          <cell r="D169">
            <v>0.1604035975191784</v>
          </cell>
          <cell r="E169">
            <v>0.21862254168681086</v>
          </cell>
          <cell r="F169">
            <v>0.14336442322773496</v>
          </cell>
          <cell r="G169">
            <v>0.13910215874741497</v>
          </cell>
          <cell r="H169">
            <v>0.16214181785163623</v>
          </cell>
          <cell r="I169">
            <v>0.21167570055926174</v>
          </cell>
          <cell r="J169">
            <v>0.14278819378862215</v>
          </cell>
          <cell r="K169">
            <v>0.14759061099706394</v>
          </cell>
          <cell r="L169">
            <v>0.16636766252483629</v>
          </cell>
          <cell r="M169">
            <v>0.21528973973658486</v>
          </cell>
          <cell r="N169">
            <v>0.13864206934579909</v>
          </cell>
          <cell r="O169">
            <v>0.15729483083185869</v>
          </cell>
          <cell r="P169">
            <v>0.14512414393148346</v>
          </cell>
          <cell r="Q169">
            <v>0.1573688038954609</v>
          </cell>
          <cell r="R169">
            <v>9.5018026082193244E-2</v>
          </cell>
          <cell r="S169">
            <v>0.12412464617273845</v>
          </cell>
          <cell r="T169">
            <v>0.14216244672037553</v>
          </cell>
          <cell r="U169">
            <v>0.19155284062283701</v>
          </cell>
        </row>
        <row r="171">
          <cell r="A171" t="str">
            <v>Group by quarter</v>
          </cell>
        </row>
        <row r="172">
          <cell r="B172" t="str">
            <v>1Q05</v>
          </cell>
          <cell r="C172" t="str">
            <v>1Q06</v>
          </cell>
          <cell r="D172" t="str">
            <v>1Q07</v>
          </cell>
          <cell r="E172" t="str">
            <v>1Q08</v>
          </cell>
          <cell r="F172" t="str">
            <v>1Q09</v>
          </cell>
          <cell r="G172" t="str">
            <v>2Q05</v>
          </cell>
          <cell r="H172" t="str">
            <v>2Q06</v>
          </cell>
          <cell r="I172" t="str">
            <v>2Q07</v>
          </cell>
          <cell r="J172" t="str">
            <v>2Q08</v>
          </cell>
          <cell r="K172" t="str">
            <v>2Q09</v>
          </cell>
          <cell r="L172" t="str">
            <v>3Q05</v>
          </cell>
          <cell r="M172" t="str">
            <v>3Q06</v>
          </cell>
          <cell r="N172" t="str">
            <v>3Q07</v>
          </cell>
          <cell r="O172" t="str">
            <v>3Q08</v>
          </cell>
          <cell r="P172" t="str">
            <v>3Q09</v>
          </cell>
          <cell r="Q172" t="str">
            <v>4Q05</v>
          </cell>
          <cell r="R172" t="str">
            <v>4Q06</v>
          </cell>
          <cell r="S172" t="str">
            <v>4Q07</v>
          </cell>
          <cell r="T172" t="str">
            <v>4Q08</v>
          </cell>
          <cell r="U172" t="str">
            <v>4Q09</v>
          </cell>
        </row>
        <row r="173">
          <cell r="A173" t="str">
            <v>Department Stores Average</v>
          </cell>
          <cell r="B173">
            <v>6.8895458045228869E-2</v>
          </cell>
          <cell r="C173">
            <v>7.2635663425478267E-2</v>
          </cell>
          <cell r="D173">
            <v>8.4050034085017683E-2</v>
          </cell>
          <cell r="E173">
            <v>6.8356473350861688E-2</v>
          </cell>
          <cell r="F173">
            <v>5.1272690672644061E-2</v>
          </cell>
          <cell r="G173">
            <v>5.0381614729388138E-2</v>
          </cell>
          <cell r="H173">
            <v>5.944892792875256E-2</v>
          </cell>
          <cell r="I173">
            <v>6.804467912976582E-2</v>
          </cell>
          <cell r="J173">
            <v>6.0966790403798217E-2</v>
          </cell>
          <cell r="K173">
            <v>4.8279382532345698E-2</v>
          </cell>
          <cell r="L173">
            <v>5.8850908929155663E-2</v>
          </cell>
          <cell r="M173">
            <v>8.0497421892793006E-2</v>
          </cell>
          <cell r="N173">
            <v>7.7674969272626404E-2</v>
          </cell>
          <cell r="O173">
            <v>4.9309735773725973E-2</v>
          </cell>
          <cell r="P173">
            <v>6.4633547072114189E-2</v>
          </cell>
          <cell r="Q173">
            <v>9.61852868874606E-2</v>
          </cell>
          <cell r="R173">
            <v>0.1127214661643382</v>
          </cell>
          <cell r="S173">
            <v>0.11086515574020774</v>
          </cell>
          <cell r="T173">
            <v>5.6946938565969989E-2</v>
          </cell>
          <cell r="U173">
            <v>0.1020897665719154</v>
          </cell>
        </row>
        <row r="174">
          <cell r="B174" t="str">
            <v>1Q05</v>
          </cell>
          <cell r="C174" t="str">
            <v>1Q06</v>
          </cell>
          <cell r="D174" t="str">
            <v>1Q07</v>
          </cell>
          <cell r="E174" t="str">
            <v>1Q08</v>
          </cell>
          <cell r="F174" t="str">
            <v>1Q09</v>
          </cell>
          <cell r="G174" t="str">
            <v>2Q05</v>
          </cell>
          <cell r="H174" t="str">
            <v>2Q06</v>
          </cell>
          <cell r="I174" t="str">
            <v>2Q07</v>
          </cell>
          <cell r="J174" t="str">
            <v>2Q08</v>
          </cell>
          <cell r="K174" t="str">
            <v>2Q09</v>
          </cell>
          <cell r="L174" t="str">
            <v>3Q05</v>
          </cell>
          <cell r="M174" t="str">
            <v>3Q06</v>
          </cell>
          <cell r="N174" t="str">
            <v>3Q07</v>
          </cell>
          <cell r="O174" t="str">
            <v>3Q08</v>
          </cell>
          <cell r="P174" t="str">
            <v>3Q09</v>
          </cell>
          <cell r="Q174" t="str">
            <v>4Q05</v>
          </cell>
          <cell r="R174" t="str">
            <v>4Q06</v>
          </cell>
          <cell r="S174" t="str">
            <v>4Q07</v>
          </cell>
          <cell r="T174" t="str">
            <v>4Q08</v>
          </cell>
          <cell r="U174" t="str">
            <v>4Q09</v>
          </cell>
        </row>
        <row r="175">
          <cell r="A175" t="str">
            <v>Specialty Stores</v>
          </cell>
          <cell r="B175">
            <v>0.15422920734198622</v>
          </cell>
          <cell r="C175">
            <v>0.14336442322773496</v>
          </cell>
          <cell r="D175">
            <v>0.14278819378862215</v>
          </cell>
          <cell r="E175">
            <v>0.13864206934579909</v>
          </cell>
          <cell r="F175">
            <v>9.5018026082193244E-2</v>
          </cell>
          <cell r="G175">
            <v>0.14889808899378965</v>
          </cell>
          <cell r="H175">
            <v>0.13910215874741497</v>
          </cell>
          <cell r="I175">
            <v>0.14759061099706394</v>
          </cell>
          <cell r="J175">
            <v>0.15729483083185869</v>
          </cell>
          <cell r="K175">
            <v>0.12412464617273845</v>
          </cell>
          <cell r="L175">
            <v>0.1604035975191784</v>
          </cell>
          <cell r="M175">
            <v>0.16214181785163623</v>
          </cell>
          <cell r="N175">
            <v>0.16636766252483629</v>
          </cell>
          <cell r="O175">
            <v>0.14512414393148346</v>
          </cell>
          <cell r="P175">
            <v>0.14216244672037553</v>
          </cell>
          <cell r="Q175">
            <v>0.21862254168681086</v>
          </cell>
          <cell r="R175">
            <v>0.21167570055926174</v>
          </cell>
          <cell r="S175">
            <v>0.21528973973658486</v>
          </cell>
          <cell r="T175">
            <v>0.1573688038954609</v>
          </cell>
          <cell r="U175">
            <v>0.19155284062283701</v>
          </cell>
        </row>
        <row r="177">
          <cell r="A177" t="str">
            <v>Teen retail comps - monthly</v>
          </cell>
        </row>
        <row r="178">
          <cell r="B178">
            <v>38353</v>
          </cell>
          <cell r="C178">
            <v>38384</v>
          </cell>
          <cell r="D178">
            <v>38415</v>
          </cell>
          <cell r="E178">
            <v>38446</v>
          </cell>
          <cell r="F178">
            <v>38477</v>
          </cell>
          <cell r="G178">
            <v>38508</v>
          </cell>
          <cell r="H178">
            <v>38539</v>
          </cell>
          <cell r="I178">
            <v>38570</v>
          </cell>
          <cell r="J178">
            <v>38601</v>
          </cell>
          <cell r="K178">
            <v>38632</v>
          </cell>
          <cell r="L178">
            <v>38663</v>
          </cell>
          <cell r="M178">
            <v>38694</v>
          </cell>
          <cell r="N178">
            <v>38725</v>
          </cell>
          <cell r="O178">
            <v>38756</v>
          </cell>
          <cell r="P178">
            <v>38787</v>
          </cell>
          <cell r="Q178">
            <v>38818</v>
          </cell>
          <cell r="R178">
            <v>38849</v>
          </cell>
          <cell r="S178">
            <v>38880</v>
          </cell>
          <cell r="T178">
            <v>38911</v>
          </cell>
          <cell r="U178">
            <v>38942</v>
          </cell>
          <cell r="V178">
            <v>38973</v>
          </cell>
          <cell r="W178">
            <v>39004</v>
          </cell>
          <cell r="X178">
            <v>39035</v>
          </cell>
          <cell r="Y178">
            <v>39066</v>
          </cell>
          <cell r="Z178">
            <v>39097</v>
          </cell>
          <cell r="AA178">
            <v>39128</v>
          </cell>
          <cell r="AB178">
            <v>39159</v>
          </cell>
          <cell r="AC178">
            <v>39190</v>
          </cell>
          <cell r="AD178">
            <v>39221</v>
          </cell>
          <cell r="AE178">
            <v>39252</v>
          </cell>
          <cell r="AF178">
            <v>39283</v>
          </cell>
          <cell r="AG178">
            <v>39314</v>
          </cell>
          <cell r="AH178">
            <v>39345</v>
          </cell>
          <cell r="AI178">
            <v>39376</v>
          </cell>
          <cell r="AJ178">
            <v>39407</v>
          </cell>
          <cell r="AK178">
            <v>39438</v>
          </cell>
          <cell r="AL178">
            <v>39469</v>
          </cell>
          <cell r="AM178">
            <v>39500</v>
          </cell>
          <cell r="AN178">
            <v>39531</v>
          </cell>
          <cell r="AO178">
            <v>39562</v>
          </cell>
          <cell r="AP178">
            <v>39593</v>
          </cell>
          <cell r="AQ178">
            <v>39624</v>
          </cell>
          <cell r="AR178">
            <v>39655</v>
          </cell>
          <cell r="AS178">
            <v>39686</v>
          </cell>
          <cell r="AT178">
            <v>39717</v>
          </cell>
          <cell r="AU178">
            <v>39748</v>
          </cell>
          <cell r="AV178">
            <v>39779</v>
          </cell>
          <cell r="AW178">
            <v>39810</v>
          </cell>
          <cell r="AX178">
            <v>39841</v>
          </cell>
          <cell r="AY178">
            <v>39872</v>
          </cell>
          <cell r="AZ178">
            <v>39903</v>
          </cell>
          <cell r="BA178">
            <v>39933</v>
          </cell>
          <cell r="BB178">
            <v>39964</v>
          </cell>
          <cell r="BC178">
            <v>39994</v>
          </cell>
          <cell r="BD178">
            <v>40024</v>
          </cell>
          <cell r="BE178">
            <v>40054</v>
          </cell>
          <cell r="BF178">
            <v>40084</v>
          </cell>
          <cell r="BG178">
            <v>40114</v>
          </cell>
          <cell r="BH178">
            <v>40144</v>
          </cell>
          <cell r="BI178">
            <v>40174</v>
          </cell>
          <cell r="IV178">
            <v>31</v>
          </cell>
        </row>
        <row r="179">
          <cell r="A179" t="str">
            <v>ARO</v>
          </cell>
          <cell r="B179">
            <v>9.0999999999999998E-2</v>
          </cell>
          <cell r="C179">
            <v>0</v>
          </cell>
          <cell r="D179">
            <v>0</v>
          </cell>
          <cell r="E179">
            <v>0</v>
          </cell>
          <cell r="F179">
            <v>0.13400000000000001</v>
          </cell>
          <cell r="G179">
            <v>6.8000000000000005E-2</v>
          </cell>
          <cell r="H179">
            <v>-5.7000000000000002E-2</v>
          </cell>
          <cell r="I179">
            <v>-4.9000000000000002E-2</v>
          </cell>
          <cell r="J179">
            <v>0.02</v>
          </cell>
          <cell r="K179">
            <v>-4.2000000000000003E-2</v>
          </cell>
          <cell r="L179">
            <v>1.2999999999999999E-2</v>
          </cell>
          <cell r="M179">
            <v>-4.2000000000000003E-2</v>
          </cell>
          <cell r="N179">
            <v>-2.5000000000000001E-2</v>
          </cell>
          <cell r="O179">
            <v>0</v>
          </cell>
          <cell r="P179">
            <v>0</v>
          </cell>
          <cell r="Q179">
            <v>0</v>
          </cell>
          <cell r="R179">
            <v>-5.3999999999999999E-2</v>
          </cell>
          <cell r="S179">
            <v>-9.2999999999999999E-2</v>
          </cell>
          <cell r="T179">
            <v>8.4000000000000005E-2</v>
          </cell>
          <cell r="U179">
            <v>-1.0999999999999999E-2</v>
          </cell>
          <cell r="V179">
            <v>5.2999999999999999E-2</v>
          </cell>
          <cell r="W179">
            <v>-1.9E-2</v>
          </cell>
          <cell r="X179">
            <v>3.3000000000000002E-2</v>
          </cell>
          <cell r="Y179">
            <v>8.5000000000000006E-2</v>
          </cell>
          <cell r="Z179">
            <v>5.6000000000000001E-2</v>
          </cell>
          <cell r="AA179">
            <v>0</v>
          </cell>
          <cell r="AB179">
            <v>0</v>
          </cell>
          <cell r="AC179">
            <v>0</v>
          </cell>
          <cell r="AD179">
            <v>2.3E-2</v>
          </cell>
          <cell r="AE179">
            <v>0.159</v>
          </cell>
          <cell r="AF179">
            <v>-0.14000000000000001</v>
          </cell>
          <cell r="AG179">
            <v>1.9E-2</v>
          </cell>
          <cell r="AH179">
            <v>2E-3</v>
          </cell>
          <cell r="AI179">
            <v>-0.11899999999999999</v>
          </cell>
          <cell r="AJ179">
            <v>1.7000000000000001E-2</v>
          </cell>
          <cell r="AK179">
            <v>1.2999999999999999E-2</v>
          </cell>
          <cell r="AL179">
            <v>0.03</v>
          </cell>
          <cell r="AM179">
            <v>0</v>
          </cell>
          <cell r="AN179">
            <v>0</v>
          </cell>
          <cell r="AO179">
            <v>0</v>
          </cell>
          <cell r="AP179">
            <v>7.0000000000000007E-2</v>
          </cell>
          <cell r="AQ179">
            <v>2.5000000000000001E-2</v>
          </cell>
          <cell r="AR179">
            <v>0.25</v>
          </cell>
          <cell r="AS179">
            <v>0.06</v>
          </cell>
          <cell r="AT179">
            <v>0.12</v>
          </cell>
          <cell r="AU179">
            <v>0.13</v>
          </cell>
          <cell r="AV179">
            <v>0.13</v>
          </cell>
          <cell r="AW179">
            <v>0.05</v>
          </cell>
          <cell r="AX179">
            <v>0.01</v>
          </cell>
          <cell r="AY179">
            <v>0</v>
          </cell>
          <cell r="AZ179">
            <v>0</v>
          </cell>
          <cell r="BA179">
            <v>0</v>
          </cell>
          <cell r="BB179">
            <v>0.11</v>
          </cell>
          <cell r="BC179">
            <v>0.03</v>
          </cell>
          <cell r="BD179">
            <v>0.2</v>
          </cell>
          <cell r="BE179">
            <v>0.19</v>
          </cell>
          <cell r="BF179">
            <v>0.12</v>
          </cell>
          <cell r="BG179">
            <v>0.06</v>
          </cell>
          <cell r="BH179">
            <v>0.19</v>
          </cell>
          <cell r="BI179">
            <v>0.12</v>
          </cell>
        </row>
        <row r="182">
          <cell r="A182" t="str">
            <v>URBN sales productivity by division</v>
          </cell>
        </row>
        <row r="183">
          <cell r="A183" t="str">
            <v>LTM Sales/Gross Average Sq. Ft.</v>
          </cell>
          <cell r="N183" t="str">
            <v>2000-2009</v>
          </cell>
        </row>
        <row r="184">
          <cell r="B184">
            <v>2000</v>
          </cell>
          <cell r="C184">
            <v>2001</v>
          </cell>
          <cell r="D184">
            <v>2002</v>
          </cell>
          <cell r="E184">
            <v>2003</v>
          </cell>
          <cell r="F184">
            <v>2004</v>
          </cell>
          <cell r="G184">
            <v>2005</v>
          </cell>
          <cell r="H184">
            <v>2006</v>
          </cell>
          <cell r="I184">
            <v>2007</v>
          </cell>
          <cell r="J184">
            <v>2008</v>
          </cell>
          <cell r="K184" t="str">
            <v>2009</v>
          </cell>
          <cell r="L184">
            <v>2010</v>
          </cell>
          <cell r="N184" t="str">
            <v>Max</v>
          </cell>
          <cell r="O184" t="str">
            <v>Min</v>
          </cell>
          <cell r="P184" t="str">
            <v>2010 vs max</v>
          </cell>
        </row>
        <row r="185">
          <cell r="A185" t="str">
            <v>Urban Outfitters (division)</v>
          </cell>
          <cell r="B185">
            <v>270.96178184451503</v>
          </cell>
          <cell r="C185">
            <v>264.44541967873494</v>
          </cell>
          <cell r="D185">
            <v>284.4972339992741</v>
          </cell>
          <cell r="E185">
            <v>318.46555482575133</v>
          </cell>
          <cell r="F185">
            <v>382.65593609442482</v>
          </cell>
          <cell r="G185">
            <v>421.72142644903295</v>
          </cell>
          <cell r="H185">
            <v>387.50814312663522</v>
          </cell>
          <cell r="I185">
            <v>387.49369418039146</v>
          </cell>
          <cell r="J185">
            <v>408.70311941571555</v>
          </cell>
          <cell r="K185">
            <v>368.97415400758092</v>
          </cell>
          <cell r="L185">
            <v>394.65492014811076</v>
          </cell>
          <cell r="N185">
            <v>421.72142644903295</v>
          </cell>
          <cell r="O185">
            <v>264.44541967873494</v>
          </cell>
          <cell r="P185">
            <v>-6.4181008133323503E-2</v>
          </cell>
        </row>
        <row r="186">
          <cell r="A186" t="str">
            <v>Anthropologie</v>
          </cell>
          <cell r="B186">
            <v>280.14666638523443</v>
          </cell>
          <cell r="C186">
            <v>307.40807612789365</v>
          </cell>
          <cell r="D186">
            <v>330.99998331831983</v>
          </cell>
          <cell r="E186">
            <v>348.37875117971998</v>
          </cell>
          <cell r="F186">
            <v>432.85046981315469</v>
          </cell>
          <cell r="G186">
            <v>442.81396763923766</v>
          </cell>
          <cell r="H186">
            <v>413.58764694304784</v>
          </cell>
          <cell r="I186">
            <v>459.54237922896903</v>
          </cell>
          <cell r="J186">
            <v>468.68309808032865</v>
          </cell>
          <cell r="K186">
            <v>454.35598884429891</v>
          </cell>
          <cell r="L186">
            <v>466.43259180928817</v>
          </cell>
          <cell r="N186">
            <v>468.68309808032865</v>
          </cell>
          <cell r="O186">
            <v>280.14666638523443</v>
          </cell>
          <cell r="P186">
            <v>-4.8017653725049847E-3</v>
          </cell>
        </row>
        <row r="187">
          <cell r="A187" t="str">
            <v>Free People (Retail)</v>
          </cell>
          <cell r="B187" t="str">
            <v>NM</v>
          </cell>
          <cell r="C187" t="str">
            <v>NM</v>
          </cell>
          <cell r="D187">
            <v>82.727272727267646</v>
          </cell>
          <cell r="E187">
            <v>394.54545454548133</v>
          </cell>
          <cell r="F187">
            <v>312.64762722782973</v>
          </cell>
          <cell r="G187">
            <v>306.08120521771826</v>
          </cell>
          <cell r="H187">
            <v>444.39894439894516</v>
          </cell>
          <cell r="I187">
            <v>408.45371602356954</v>
          </cell>
          <cell r="J187">
            <v>412.08895647215564</v>
          </cell>
          <cell r="K187">
            <v>406.20772163645915</v>
          </cell>
          <cell r="L187">
            <v>357.74086573642296</v>
          </cell>
          <cell r="N187">
            <v>444.39894439894516</v>
          </cell>
          <cell r="O187">
            <v>82.727272727267646</v>
          </cell>
          <cell r="P187">
            <v>-0.19500064020117847</v>
          </cell>
        </row>
        <row r="188">
          <cell r="A188" t="str">
            <v>Terrain</v>
          </cell>
          <cell r="B188" t="str">
            <v>NM</v>
          </cell>
          <cell r="C188" t="str">
            <v>NM</v>
          </cell>
          <cell r="D188" t="str">
            <v>NM</v>
          </cell>
          <cell r="E188" t="str">
            <v>NM</v>
          </cell>
          <cell r="F188" t="str">
            <v>NM</v>
          </cell>
          <cell r="G188" t="str">
            <v>NM</v>
          </cell>
          <cell r="H188" t="str">
            <v>NM</v>
          </cell>
          <cell r="I188" t="str">
            <v>NM</v>
          </cell>
          <cell r="J188">
            <v>297.68421052631578</v>
          </cell>
          <cell r="K188">
            <v>329.4736842105263</v>
          </cell>
          <cell r="L188">
            <v>152.85087719298247</v>
          </cell>
          <cell r="N188">
            <v>329.4736842105263</v>
          </cell>
          <cell r="O188">
            <v>297.68421052631578</v>
          </cell>
          <cell r="P188">
            <v>-0.5360756123535676</v>
          </cell>
        </row>
        <row r="190">
          <cell r="A190" t="str">
            <v>Urban Outfitters (division)</v>
          </cell>
          <cell r="C190">
            <v>-2.4049008393070559E-2</v>
          </cell>
          <cell r="D190">
            <v>7.5825908971686395E-2</v>
          </cell>
          <cell r="E190">
            <v>0.1193977190884179</v>
          </cell>
          <cell r="F190">
            <v>0.20156145710576245</v>
          </cell>
          <cell r="G190">
            <v>0.10209038112234659</v>
          </cell>
          <cell r="H190">
            <v>-8.1127685663210158E-2</v>
          </cell>
          <cell r="I190">
            <v>-3.7286819645099278E-5</v>
          </cell>
          <cell r="J190">
            <v>5.4734891312709699E-2</v>
          </cell>
          <cell r="K190">
            <v>-9.7207394611842912E-2</v>
          </cell>
          <cell r="L190">
            <v>6.9600447244340558E-2</v>
          </cell>
        </row>
        <row r="191">
          <cell r="A191" t="str">
            <v>Anthropologie</v>
          </cell>
          <cell r="C191">
            <v>9.731120521409875E-2</v>
          </cell>
          <cell r="D191">
            <v>7.6744591383510086E-2</v>
          </cell>
          <cell r="E191">
            <v>5.2503833043058279E-2</v>
          </cell>
          <cell r="F191">
            <v>0.24247092667789549</v>
          </cell>
          <cell r="G191">
            <v>2.3018336633396475E-2</v>
          </cell>
          <cell r="H191">
            <v>-6.6001352333132868E-2</v>
          </cell>
          <cell r="I191">
            <v>0.11111243922681591</v>
          </cell>
          <cell r="J191">
            <v>1.9890915973182155E-2</v>
          </cell>
          <cell r="K191">
            <v>-3.056886261679137E-2</v>
          </cell>
          <cell r="L191">
            <v>2.6579605554902797E-2</v>
          </cell>
        </row>
        <row r="192">
          <cell r="A192" t="str">
            <v>Free People (Retail)</v>
          </cell>
          <cell r="C192" t="e">
            <v>#VALUE!</v>
          </cell>
          <cell r="D192" t="e">
            <v>#VALUE!</v>
          </cell>
          <cell r="E192">
            <v>3.7692307692313856</v>
          </cell>
          <cell r="F192">
            <v>-0.20757513836269736</v>
          </cell>
          <cell r="G192">
            <v>-2.100262864085789E-2</v>
          </cell>
          <cell r="H192">
            <v>0.4518988321509001</v>
          </cell>
          <cell r="I192">
            <v>-8.0885044459302113E-2</v>
          </cell>
          <cell r="J192">
            <v>8.9000058170025653E-3</v>
          </cell>
          <cell r="K192">
            <v>-1.4271760364667485E-2</v>
          </cell>
          <cell r="L192">
            <v>-0.11931544704463359</v>
          </cell>
        </row>
        <row r="193">
          <cell r="A193" t="str">
            <v>Terrain</v>
          </cell>
          <cell r="C193" t="e">
            <v>#VALUE!</v>
          </cell>
          <cell r="D193" t="e">
            <v>#VALUE!</v>
          </cell>
          <cell r="E193" t="e">
            <v>#VALUE!</v>
          </cell>
          <cell r="F193" t="e">
            <v>#VALUE!</v>
          </cell>
          <cell r="G193" t="e">
            <v>#VALUE!</v>
          </cell>
          <cell r="H193" t="e">
            <v>#VALUE!</v>
          </cell>
          <cell r="I193" t="e">
            <v>#VALUE!</v>
          </cell>
          <cell r="J193" t="e">
            <v>#VALUE!</v>
          </cell>
          <cell r="K193">
            <v>0.10678925035360676</v>
          </cell>
          <cell r="L193">
            <v>-0.5360756123535676</v>
          </cell>
        </row>
        <row r="196">
          <cell r="A196" t="str">
            <v>GAP - Gap division sales productivity</v>
          </cell>
          <cell r="B196">
            <v>2000</v>
          </cell>
          <cell r="C196">
            <v>2001</v>
          </cell>
          <cell r="D196">
            <v>2002</v>
          </cell>
          <cell r="E196">
            <v>2003</v>
          </cell>
          <cell r="F196">
            <v>2004</v>
          </cell>
          <cell r="G196">
            <v>2005</v>
          </cell>
          <cell r="H196">
            <v>2006</v>
          </cell>
          <cell r="I196">
            <v>2007</v>
          </cell>
          <cell r="J196">
            <v>2008</v>
          </cell>
          <cell r="K196" t="str">
            <v>2009</v>
          </cell>
          <cell r="L196">
            <v>2010</v>
          </cell>
          <cell r="N196" t="str">
            <v>Max</v>
          </cell>
          <cell r="O196" t="str">
            <v>Min</v>
          </cell>
          <cell r="P196" t="str">
            <v>2010 vs max</v>
          </cell>
        </row>
        <row r="197">
          <cell r="A197" t="str">
            <v>Gap (division)</v>
          </cell>
          <cell r="B197" t="str">
            <v>NM</v>
          </cell>
          <cell r="C197">
            <v>395.07042253521126</v>
          </cell>
          <cell r="D197">
            <v>380.1398601398601</v>
          </cell>
          <cell r="E197">
            <v>414.12186379928318</v>
          </cell>
          <cell r="F197">
            <v>429.60747663551405</v>
          </cell>
          <cell r="G197">
            <v>420.11650485436894</v>
          </cell>
          <cell r="H197">
            <v>408.27037773359842</v>
          </cell>
          <cell r="I197">
            <v>392.63157894736844</v>
          </cell>
          <cell r="J197">
            <v>373.60995850622402</v>
          </cell>
          <cell r="K197">
            <v>354.94646680942179</v>
          </cell>
          <cell r="L197">
            <v>354.82623096253781</v>
          </cell>
          <cell r="N197">
            <v>429.60747663551405</v>
          </cell>
          <cell r="O197">
            <v>354.94646680942179</v>
          </cell>
          <cell r="P197">
            <v>-0.17406877147164235</v>
          </cell>
        </row>
        <row r="199">
          <cell r="A199" t="str">
            <v>VS calculations</v>
          </cell>
          <cell r="C199">
            <v>2001</v>
          </cell>
          <cell r="D199">
            <v>2002</v>
          </cell>
          <cell r="E199">
            <v>2003</v>
          </cell>
          <cell r="F199">
            <v>2004</v>
          </cell>
          <cell r="G199">
            <v>2005</v>
          </cell>
          <cell r="H199">
            <v>2006</v>
          </cell>
          <cell r="I199">
            <v>2007</v>
          </cell>
          <cell r="J199">
            <v>2008</v>
          </cell>
          <cell r="K199">
            <v>2009</v>
          </cell>
          <cell r="L199" t="str">
            <v>2010E</v>
          </cell>
          <cell r="N199" t="str">
            <v>Max</v>
          </cell>
          <cell r="O199" t="str">
            <v>Min</v>
          </cell>
          <cell r="P199" t="str">
            <v>2010 vs max</v>
          </cell>
        </row>
        <row r="200">
          <cell r="A200" t="str">
            <v>Victoria's Secret Stores</v>
          </cell>
          <cell r="C200">
            <v>550.8625136110951</v>
          </cell>
          <cell r="D200">
            <v>577.77050253724008</v>
          </cell>
          <cell r="E200">
            <v>601.54543032240872</v>
          </cell>
          <cell r="F200">
            <v>648.74439929144523</v>
          </cell>
          <cell r="G200">
            <v>652.34070550129047</v>
          </cell>
          <cell r="H200">
            <v>731.47827806059399</v>
          </cell>
          <cell r="I200">
            <v>682.69936370814185</v>
          </cell>
          <cell r="J200">
            <v>613.98471323961724</v>
          </cell>
          <cell r="K200">
            <v>578.92143670427492</v>
          </cell>
          <cell r="L200">
            <v>627.9275198661386</v>
          </cell>
          <cell r="N200">
            <v>731.47827806059399</v>
          </cell>
          <cell r="O200">
            <v>550.8625136110951</v>
          </cell>
          <cell r="P200">
            <v>-0.14156368179381196</v>
          </cell>
        </row>
        <row r="202">
          <cell r="A202" t="str">
            <v>AEO calculations</v>
          </cell>
          <cell r="B202">
            <v>2000</v>
          </cell>
          <cell r="C202">
            <v>2001</v>
          </cell>
          <cell r="D202">
            <v>2002</v>
          </cell>
          <cell r="E202">
            <v>2003</v>
          </cell>
          <cell r="F202">
            <v>2004</v>
          </cell>
          <cell r="G202">
            <v>2005</v>
          </cell>
          <cell r="H202">
            <v>2006</v>
          </cell>
          <cell r="I202">
            <v>2007</v>
          </cell>
          <cell r="J202">
            <v>2008</v>
          </cell>
          <cell r="K202" t="str">
            <v>2009</v>
          </cell>
          <cell r="L202">
            <v>2010</v>
          </cell>
          <cell r="N202" t="str">
            <v>Max</v>
          </cell>
          <cell r="O202" t="str">
            <v>Min</v>
          </cell>
          <cell r="P202" t="str">
            <v>2010 vs max</v>
          </cell>
        </row>
        <row r="203">
          <cell r="A203" t="str">
            <v>aerie</v>
          </cell>
          <cell r="B203" t="str">
            <v>NA</v>
          </cell>
          <cell r="C203" t="str">
            <v>NA</v>
          </cell>
          <cell r="D203" t="str">
            <v>NA</v>
          </cell>
          <cell r="E203" t="str">
            <v>NA</v>
          </cell>
          <cell r="F203" t="str">
            <v>NA</v>
          </cell>
          <cell r="G203" t="str">
            <v>NA</v>
          </cell>
          <cell r="H203" t="str">
            <v>NA</v>
          </cell>
          <cell r="I203">
            <v>65.076999999999998</v>
          </cell>
          <cell r="J203">
            <v>338.88775000000004</v>
          </cell>
          <cell r="K203">
            <v>514.66875000000005</v>
          </cell>
          <cell r="L203">
            <v>567.74511678832118</v>
          </cell>
          <cell r="N203">
            <v>514.66875000000005</v>
          </cell>
          <cell r="O203">
            <v>65.076999999999998</v>
          </cell>
          <cell r="P203">
            <v>0.10312723822521019</v>
          </cell>
        </row>
      </sheetData>
      <sheetData sheetId="16"/>
      <sheetData sheetId="17"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ood 2-32"/>
      <sheetName val="Good 12-00 (3)"/>
      <sheetName val="Good 12-43"/>
      <sheetName val="Good 12-07"/>
      <sheetName val="Good 12-00 (2)"/>
      <sheetName val="Good 12-00"/>
      <sheetName val="Good 11-50"/>
      <sheetName val="Good 11-40"/>
      <sheetName val="Good 11-36"/>
      <sheetName val="Good 11-18"/>
      <sheetName val="Good 10-48 pm (2)"/>
      <sheetName val="Samples"/>
      <sheetName val="Good 10-48 pm"/>
      <sheetName val="Good 11-04 pm"/>
      <sheetName val="Sheet3 (6)"/>
      <sheetName val="Sheet3 (5)"/>
      <sheetName val="Sheet3 (3)"/>
      <sheetName val="Sheet3 (2)"/>
      <sheetName val="Sheet1"/>
      <sheetName val="Sheet2"/>
      <sheetName val="Sheet3"/>
      <sheetName val="Sheet3 (4)"/>
      <sheetName val="Good 12-22_tbnt"/>
    </sheetNames>
    <sheetDataSet>
      <sheetData sheetId="0" refreshError="1"/>
      <sheetData sheetId="1" refreshError="1"/>
      <sheetData sheetId="2" refreshError="1"/>
      <sheetData sheetId="3" refreshError="1"/>
      <sheetData sheetId="4" refreshError="1">
        <row r="3">
          <cell r="A3" t="str">
            <v>Base</v>
          </cell>
          <cell r="B3">
            <v>40</v>
          </cell>
        </row>
        <row r="4">
          <cell r="A4" t="str">
            <v>Price Target</v>
          </cell>
          <cell r="B4">
            <v>40</v>
          </cell>
          <cell r="S4" t="str">
            <v>Bear</v>
          </cell>
          <cell r="U4" t="str">
            <v>Base</v>
          </cell>
          <cell r="X4" t="str">
            <v>Bull</v>
          </cell>
        </row>
        <row r="5">
          <cell r="R5">
            <v>-30</v>
          </cell>
          <cell r="S5">
            <v>-30</v>
          </cell>
          <cell r="U5">
            <v>40</v>
          </cell>
          <cell r="X5">
            <v>17</v>
          </cell>
          <cell r="Z5">
            <v>17</v>
          </cell>
        </row>
        <row r="6">
          <cell r="C6" t="str">
            <v>Bear</v>
          </cell>
          <cell r="S6" t="str">
            <v>-space2</v>
          </cell>
          <cell r="T6" t="str">
            <v>-bear</v>
          </cell>
          <cell r="U6" t="str">
            <v>-space1</v>
          </cell>
          <cell r="V6" t="str">
            <v>+space1</v>
          </cell>
          <cell r="W6" t="str">
            <v>+bull</v>
          </cell>
          <cell r="X6" t="str">
            <v>+space2</v>
          </cell>
        </row>
        <row r="7">
          <cell r="A7" t="str">
            <v>Binary driver one</v>
          </cell>
          <cell r="C7">
            <v>-5</v>
          </cell>
          <cell r="S7">
            <v>-23</v>
          </cell>
          <cell r="T7">
            <v>-7</v>
          </cell>
          <cell r="U7">
            <v>0</v>
          </cell>
          <cell r="V7">
            <v>0</v>
          </cell>
          <cell r="W7">
            <v>3</v>
          </cell>
          <cell r="X7">
            <v>14</v>
          </cell>
          <cell r="Y7">
            <v>17</v>
          </cell>
        </row>
        <row r="8">
          <cell r="A8" t="str">
            <v>Binary driver two</v>
          </cell>
          <cell r="C8">
            <v>-5</v>
          </cell>
          <cell r="S8">
            <v>-18</v>
          </cell>
          <cell r="T8">
            <v>-5</v>
          </cell>
          <cell r="U8">
            <v>-7</v>
          </cell>
          <cell r="V8">
            <v>3</v>
          </cell>
          <cell r="W8">
            <v>2</v>
          </cell>
          <cell r="X8">
            <v>12</v>
          </cell>
          <cell r="Y8">
            <v>17</v>
          </cell>
        </row>
        <row r="9">
          <cell r="A9" t="str">
            <v>Binary driver three</v>
          </cell>
          <cell r="C9">
            <v>-6</v>
          </cell>
          <cell r="S9">
            <v>-12</v>
          </cell>
          <cell r="T9">
            <v>-6</v>
          </cell>
          <cell r="U9">
            <v>-12</v>
          </cell>
          <cell r="V9">
            <v>5</v>
          </cell>
          <cell r="W9">
            <v>3</v>
          </cell>
          <cell r="X9">
            <v>9</v>
          </cell>
          <cell r="Y9">
            <v>17</v>
          </cell>
        </row>
        <row r="10">
          <cell r="A10" t="str">
            <v>Bull only driver one</v>
          </cell>
          <cell r="C10">
            <v>0</v>
          </cell>
          <cell r="S10">
            <v>-12</v>
          </cell>
          <cell r="U10">
            <v>-18</v>
          </cell>
          <cell r="V10">
            <v>8</v>
          </cell>
          <cell r="W10">
            <v>4</v>
          </cell>
          <cell r="X10">
            <v>5</v>
          </cell>
          <cell r="Y10">
            <v>17</v>
          </cell>
        </row>
        <row r="11">
          <cell r="A11" t="str">
            <v>Bull only driver two</v>
          </cell>
          <cell r="C11">
            <v>0</v>
          </cell>
          <cell r="S11">
            <v>-12</v>
          </cell>
          <cell r="U11">
            <v>-18</v>
          </cell>
          <cell r="V11">
            <v>12</v>
          </cell>
          <cell r="W11">
            <v>5</v>
          </cell>
          <cell r="X11">
            <v>0</v>
          </cell>
          <cell r="Y11">
            <v>17</v>
          </cell>
        </row>
        <row r="12">
          <cell r="A12" t="str">
            <v>Bear only driver one</v>
          </cell>
          <cell r="C12">
            <v>-4</v>
          </cell>
          <cell r="S12">
            <v>-8</v>
          </cell>
          <cell r="T12">
            <v>-4</v>
          </cell>
          <cell r="U12">
            <v>-18</v>
          </cell>
          <cell r="V12">
            <v>17</v>
          </cell>
          <cell r="X12">
            <v>0</v>
          </cell>
          <cell r="Y12">
            <v>17</v>
          </cell>
        </row>
        <row r="13">
          <cell r="A13" t="str">
            <v>Bear only driver two</v>
          </cell>
          <cell r="C13">
            <v>-3</v>
          </cell>
          <cell r="S13">
            <v>-5</v>
          </cell>
          <cell r="T13">
            <v>-3</v>
          </cell>
          <cell r="U13">
            <v>-22</v>
          </cell>
          <cell r="V13">
            <v>17</v>
          </cell>
          <cell r="X13">
            <v>0</v>
          </cell>
          <cell r="Y13">
            <v>17</v>
          </cell>
        </row>
        <row r="14">
          <cell r="A14" t="str">
            <v>Bear only driver three</v>
          </cell>
          <cell r="C14">
            <v>-5</v>
          </cell>
          <cell r="S14">
            <v>0</v>
          </cell>
          <cell r="T14">
            <v>-5</v>
          </cell>
          <cell r="U14">
            <v>-25</v>
          </cell>
          <cell r="V14">
            <v>17</v>
          </cell>
          <cell r="X14">
            <v>0</v>
          </cell>
          <cell r="Y14">
            <v>17</v>
          </cell>
        </row>
        <row r="15">
          <cell r="C15">
            <v>0</v>
          </cell>
        </row>
        <row r="16">
          <cell r="S16" t="str">
            <v>-space1</v>
          </cell>
          <cell r="T16" t="str">
            <v>-bear</v>
          </cell>
          <cell r="U16" t="str">
            <v>-space2</v>
          </cell>
          <cell r="V16" t="str">
            <v>+space1</v>
          </cell>
          <cell r="W16" t="str">
            <v>+bull</v>
          </cell>
          <cell r="X16" t="str">
            <v>+space2</v>
          </cell>
          <cell r="Y16" t="str">
            <v>Bear 
10.00</v>
          </cell>
          <cell r="Z16" t="str">
            <v>Base 
40.00</v>
          </cell>
          <cell r="AA16" t="str">
            <v>Bull
57.00</v>
          </cell>
          <cell r="AB16" t="str">
            <v/>
          </cell>
        </row>
        <row r="18">
          <cell r="R18" t="str">
            <v>Binary driver one</v>
          </cell>
          <cell r="S18">
            <v>0</v>
          </cell>
          <cell r="T18">
            <v>-5</v>
          </cell>
          <cell r="U18">
            <v>-23</v>
          </cell>
          <cell r="V18">
            <v>0</v>
          </cell>
          <cell r="W18">
            <v>3</v>
          </cell>
          <cell r="X18">
            <v>14</v>
          </cell>
          <cell r="Y18">
            <v>-30</v>
          </cell>
          <cell r="Z18">
            <v>0</v>
          </cell>
          <cell r="AA18">
            <v>17</v>
          </cell>
          <cell r="AB18" t="str">
            <v/>
          </cell>
        </row>
        <row r="19">
          <cell r="R19" t="str">
            <v>Binary driver two</v>
          </cell>
          <cell r="S19">
            <v>-7</v>
          </cell>
          <cell r="T19">
            <v>-5</v>
          </cell>
          <cell r="U19">
            <v>-18</v>
          </cell>
          <cell r="V19">
            <v>3</v>
          </cell>
          <cell r="W19">
            <v>2</v>
          </cell>
          <cell r="X19">
            <v>12</v>
          </cell>
          <cell r="Y19">
            <v>-30</v>
          </cell>
          <cell r="Z19">
            <v>0</v>
          </cell>
          <cell r="AA19">
            <v>17</v>
          </cell>
          <cell r="AB19" t="str">
            <v/>
          </cell>
        </row>
        <row r="20">
          <cell r="R20" t="str">
            <v>Binary driver three</v>
          </cell>
          <cell r="S20">
            <v>-12</v>
          </cell>
          <cell r="T20">
            <v>-6</v>
          </cell>
          <cell r="U20">
            <v>-12</v>
          </cell>
          <cell r="V20">
            <v>5</v>
          </cell>
          <cell r="W20">
            <v>3</v>
          </cell>
          <cell r="X20">
            <v>9</v>
          </cell>
          <cell r="Y20">
            <v>-30</v>
          </cell>
          <cell r="Z20">
            <v>0</v>
          </cell>
          <cell r="AA20">
            <v>17</v>
          </cell>
          <cell r="AB20" t="str">
            <v/>
          </cell>
        </row>
        <row r="21">
          <cell r="R21" t="str">
            <v>Bull only driver one</v>
          </cell>
          <cell r="S21">
            <v>-18</v>
          </cell>
          <cell r="T21">
            <v>0</v>
          </cell>
          <cell r="U21">
            <v>-12</v>
          </cell>
          <cell r="V21">
            <v>8</v>
          </cell>
          <cell r="W21">
            <v>4</v>
          </cell>
          <cell r="X21">
            <v>5</v>
          </cell>
          <cell r="Y21">
            <v>-30</v>
          </cell>
          <cell r="Z21">
            <v>0</v>
          </cell>
          <cell r="AA21">
            <v>17</v>
          </cell>
          <cell r="AB21" t="str">
            <v/>
          </cell>
        </row>
        <row r="22">
          <cell r="R22" t="str">
            <v>Bull only driver two</v>
          </cell>
          <cell r="S22">
            <v>-18</v>
          </cell>
          <cell r="T22">
            <v>0</v>
          </cell>
          <cell r="U22">
            <v>-12</v>
          </cell>
          <cell r="V22">
            <v>12</v>
          </cell>
          <cell r="W22">
            <v>5</v>
          </cell>
          <cell r="X22">
            <v>0</v>
          </cell>
          <cell r="Y22">
            <v>-30</v>
          </cell>
          <cell r="Z22">
            <v>0</v>
          </cell>
          <cell r="AA22">
            <v>17</v>
          </cell>
          <cell r="AB22" t="str">
            <v/>
          </cell>
        </row>
        <row r="23">
          <cell r="R23" t="str">
            <v>Bear only driver one</v>
          </cell>
          <cell r="S23">
            <v>-18</v>
          </cell>
          <cell r="T23">
            <v>-4</v>
          </cell>
          <cell r="U23">
            <v>-8</v>
          </cell>
          <cell r="V23">
            <v>17</v>
          </cell>
          <cell r="W23">
            <v>0</v>
          </cell>
          <cell r="X23">
            <v>0</v>
          </cell>
          <cell r="Y23">
            <v>-30</v>
          </cell>
          <cell r="Z23">
            <v>0</v>
          </cell>
          <cell r="AA23">
            <v>17</v>
          </cell>
          <cell r="AB23" t="str">
            <v/>
          </cell>
        </row>
        <row r="24">
          <cell r="R24" t="str">
            <v>Bear only driver two</v>
          </cell>
          <cell r="S24">
            <v>-22</v>
          </cell>
          <cell r="T24">
            <v>-3</v>
          </cell>
          <cell r="U24">
            <v>-5</v>
          </cell>
          <cell r="V24">
            <v>17</v>
          </cell>
          <cell r="W24">
            <v>0</v>
          </cell>
          <cell r="X24">
            <v>0</v>
          </cell>
          <cell r="Y24">
            <v>-30</v>
          </cell>
          <cell r="Z24">
            <v>0</v>
          </cell>
          <cell r="AA24">
            <v>17</v>
          </cell>
          <cell r="AB24" t="str">
            <v/>
          </cell>
        </row>
        <row r="25">
          <cell r="R25" t="str">
            <v>Bear only driver three</v>
          </cell>
          <cell r="S25">
            <v>-25</v>
          </cell>
          <cell r="T25">
            <v>-5</v>
          </cell>
          <cell r="U25">
            <v>0</v>
          </cell>
          <cell r="V25">
            <v>17</v>
          </cell>
          <cell r="W25">
            <v>0</v>
          </cell>
          <cell r="X25">
            <v>0</v>
          </cell>
          <cell r="Y25">
            <v>-30</v>
          </cell>
          <cell r="Z25">
            <v>0</v>
          </cell>
          <cell r="AA25">
            <v>17</v>
          </cell>
          <cell r="AB25" t="str">
            <v/>
          </cell>
        </row>
        <row r="26">
          <cell r="Y26">
            <v>-30</v>
          </cell>
          <cell r="Z26">
            <v>0</v>
          </cell>
          <cell r="AA26">
            <v>17</v>
          </cell>
          <cell r="AB26" t="str">
            <v/>
          </cell>
        </row>
        <row r="27">
          <cell r="Y27">
            <v>-30</v>
          </cell>
          <cell r="Z27">
            <v>0</v>
          </cell>
          <cell r="AA27">
            <v>17</v>
          </cell>
          <cell r="AB27" t="str">
            <v/>
          </cell>
        </row>
        <row r="29">
          <cell r="AA29" t="str">
            <v>Note: Price Target = Base Case unless otherwise indicated.</v>
          </cell>
        </row>
        <row r="31">
          <cell r="R31" t="str">
            <v>Bear</v>
          </cell>
          <cell r="S31">
            <v>10</v>
          </cell>
        </row>
        <row r="32">
          <cell r="S32">
            <v>20</v>
          </cell>
        </row>
        <row r="33">
          <cell r="R33" t="str">
            <v>Bull</v>
          </cell>
          <cell r="S33">
            <v>57</v>
          </cell>
        </row>
      </sheetData>
      <sheetData sheetId="5" refreshError="1"/>
      <sheetData sheetId="6" refreshError="1">
        <row r="4">
          <cell r="C4" t="str">
            <v>Bear</v>
          </cell>
          <cell r="E4" t="str">
            <v>Base</v>
          </cell>
          <cell r="H4" t="str">
            <v>Bull</v>
          </cell>
        </row>
        <row r="5">
          <cell r="B5">
            <v>-30</v>
          </cell>
          <cell r="C5">
            <v>-30</v>
          </cell>
          <cell r="E5">
            <v>40</v>
          </cell>
          <cell r="H5">
            <v>17</v>
          </cell>
          <cell r="J5">
            <v>17</v>
          </cell>
        </row>
        <row r="6">
          <cell r="C6" t="str">
            <v>-space2</v>
          </cell>
          <cell r="D6" t="str">
            <v>-bear</v>
          </cell>
          <cell r="E6" t="str">
            <v>-space1</v>
          </cell>
          <cell r="F6" t="str">
            <v>+space1</v>
          </cell>
          <cell r="G6" t="str">
            <v>+bull</v>
          </cell>
          <cell r="H6" t="str">
            <v>+space2</v>
          </cell>
        </row>
        <row r="7">
          <cell r="B7" t="str">
            <v>Binary driver one</v>
          </cell>
          <cell r="C7">
            <v>-23</v>
          </cell>
          <cell r="D7">
            <v>-7</v>
          </cell>
          <cell r="E7">
            <v>0</v>
          </cell>
          <cell r="F7">
            <v>0</v>
          </cell>
          <cell r="G7">
            <v>3</v>
          </cell>
          <cell r="H7">
            <v>14</v>
          </cell>
          <cell r="I7">
            <v>17</v>
          </cell>
        </row>
        <row r="8">
          <cell r="B8" t="str">
            <v>Binary driver two</v>
          </cell>
          <cell r="C8">
            <v>-18</v>
          </cell>
          <cell r="D8">
            <v>-5</v>
          </cell>
          <cell r="E8">
            <v>-7</v>
          </cell>
          <cell r="F8">
            <v>3</v>
          </cell>
          <cell r="G8">
            <v>2</v>
          </cell>
          <cell r="H8">
            <v>12</v>
          </cell>
          <cell r="I8">
            <v>17</v>
          </cell>
        </row>
        <row r="9">
          <cell r="B9" t="str">
            <v>Binary driver three</v>
          </cell>
          <cell r="C9">
            <v>-12</v>
          </cell>
          <cell r="D9">
            <v>-6</v>
          </cell>
          <cell r="E9">
            <v>-12</v>
          </cell>
          <cell r="F9">
            <v>5</v>
          </cell>
          <cell r="G9">
            <v>3</v>
          </cell>
          <cell r="H9">
            <v>9</v>
          </cell>
          <cell r="I9">
            <v>17</v>
          </cell>
        </row>
        <row r="10">
          <cell r="B10" t="str">
            <v>Bull only driver one</v>
          </cell>
          <cell r="C10">
            <v>-12</v>
          </cell>
          <cell r="E10">
            <v>-18</v>
          </cell>
          <cell r="F10">
            <v>8</v>
          </cell>
          <cell r="G10">
            <v>4</v>
          </cell>
          <cell r="H10">
            <v>5</v>
          </cell>
          <cell r="I10">
            <v>17</v>
          </cell>
        </row>
        <row r="11">
          <cell r="B11" t="str">
            <v>Bull only driver two</v>
          </cell>
          <cell r="C11">
            <v>-12</v>
          </cell>
          <cell r="E11">
            <v>-18</v>
          </cell>
          <cell r="F11">
            <v>12</v>
          </cell>
          <cell r="G11">
            <v>5</v>
          </cell>
          <cell r="H11">
            <v>0</v>
          </cell>
          <cell r="I11">
            <v>17</v>
          </cell>
        </row>
        <row r="12">
          <cell r="B12" t="str">
            <v>Bear only driver one</v>
          </cell>
          <cell r="C12">
            <v>-8</v>
          </cell>
          <cell r="D12">
            <v>-4</v>
          </cell>
          <cell r="E12">
            <v>-18</v>
          </cell>
          <cell r="F12">
            <v>17</v>
          </cell>
          <cell r="H12">
            <v>0</v>
          </cell>
          <cell r="I12">
            <v>17</v>
          </cell>
        </row>
        <row r="13">
          <cell r="B13" t="str">
            <v>Bear only driver two</v>
          </cell>
          <cell r="C13">
            <v>-5</v>
          </cell>
          <cell r="D13">
            <v>-3</v>
          </cell>
          <cell r="E13">
            <v>-22</v>
          </cell>
          <cell r="F13">
            <v>17</v>
          </cell>
          <cell r="H13">
            <v>0</v>
          </cell>
          <cell r="I13">
            <v>17</v>
          </cell>
        </row>
        <row r="14">
          <cell r="B14" t="str">
            <v>Bear only driver three</v>
          </cell>
          <cell r="C14">
            <v>0</v>
          </cell>
          <cell r="D14">
            <v>-5</v>
          </cell>
          <cell r="E14">
            <v>-25</v>
          </cell>
          <cell r="F14">
            <v>17</v>
          </cell>
          <cell r="H14">
            <v>0</v>
          </cell>
          <cell r="I14">
            <v>17</v>
          </cell>
        </row>
        <row r="16">
          <cell r="C16" t="str">
            <v>-space1</v>
          </cell>
          <cell r="D16" t="str">
            <v>-bear</v>
          </cell>
          <cell r="E16" t="str">
            <v>-space2</v>
          </cell>
          <cell r="F16" t="str">
            <v>+space1</v>
          </cell>
          <cell r="G16" t="str">
            <v>+bull</v>
          </cell>
          <cell r="H16" t="str">
            <v>+space2</v>
          </cell>
          <cell r="I16" t="str">
            <v>Bear  10.00</v>
          </cell>
          <cell r="J16" t="str">
            <v>Base  40.00</v>
          </cell>
          <cell r="K16" t="str">
            <v>Bull: 57.00</v>
          </cell>
          <cell r="L16" t="str">
            <v/>
          </cell>
        </row>
        <row r="18">
          <cell r="B18" t="str">
            <v>Binary driver one</v>
          </cell>
          <cell r="C18">
            <v>0</v>
          </cell>
          <cell r="D18">
            <v>-7</v>
          </cell>
          <cell r="E18">
            <v>-23</v>
          </cell>
          <cell r="F18">
            <v>0</v>
          </cell>
          <cell r="G18">
            <v>3</v>
          </cell>
          <cell r="H18">
            <v>14</v>
          </cell>
          <cell r="I18">
            <v>-30</v>
          </cell>
          <cell r="J18">
            <v>0</v>
          </cell>
          <cell r="K18">
            <v>17</v>
          </cell>
          <cell r="L18" t="str">
            <v/>
          </cell>
        </row>
        <row r="19">
          <cell r="B19" t="str">
            <v>Binary driver two</v>
          </cell>
          <cell r="C19">
            <v>-7</v>
          </cell>
          <cell r="D19">
            <v>-5</v>
          </cell>
          <cell r="E19">
            <v>-18</v>
          </cell>
          <cell r="F19">
            <v>3</v>
          </cell>
          <cell r="G19">
            <v>2</v>
          </cell>
          <cell r="H19">
            <v>12</v>
          </cell>
          <cell r="I19">
            <v>-30</v>
          </cell>
          <cell r="J19">
            <v>0</v>
          </cell>
          <cell r="K19">
            <v>17</v>
          </cell>
          <cell r="L19" t="str">
            <v/>
          </cell>
        </row>
        <row r="20">
          <cell r="B20" t="str">
            <v>Binary driver three</v>
          </cell>
          <cell r="C20">
            <v>-12</v>
          </cell>
          <cell r="D20">
            <v>-6</v>
          </cell>
          <cell r="E20">
            <v>-12</v>
          </cell>
          <cell r="F20">
            <v>5</v>
          </cell>
          <cell r="G20">
            <v>3</v>
          </cell>
          <cell r="H20">
            <v>9</v>
          </cell>
          <cell r="I20">
            <v>-30</v>
          </cell>
          <cell r="J20">
            <v>0</v>
          </cell>
          <cell r="K20">
            <v>17</v>
          </cell>
          <cell r="L20" t="str">
            <v/>
          </cell>
        </row>
        <row r="21">
          <cell r="B21" t="str">
            <v>Bull only driver one</v>
          </cell>
          <cell r="C21">
            <v>-18</v>
          </cell>
          <cell r="D21">
            <v>0</v>
          </cell>
          <cell r="E21">
            <v>-12</v>
          </cell>
          <cell r="F21">
            <v>8</v>
          </cell>
          <cell r="G21">
            <v>4</v>
          </cell>
          <cell r="H21">
            <v>5</v>
          </cell>
          <cell r="I21">
            <v>-30</v>
          </cell>
          <cell r="J21">
            <v>0</v>
          </cell>
          <cell r="K21">
            <v>17</v>
          </cell>
          <cell r="L21" t="str">
            <v/>
          </cell>
        </row>
        <row r="22">
          <cell r="B22" t="str">
            <v>Bull only driver two</v>
          </cell>
          <cell r="C22">
            <v>-18</v>
          </cell>
          <cell r="D22">
            <v>0</v>
          </cell>
          <cell r="E22">
            <v>-12</v>
          </cell>
          <cell r="F22">
            <v>12</v>
          </cell>
          <cell r="G22">
            <v>5</v>
          </cell>
          <cell r="H22">
            <v>0</v>
          </cell>
          <cell r="I22">
            <v>-30</v>
          </cell>
          <cell r="J22">
            <v>0</v>
          </cell>
          <cell r="K22">
            <v>17</v>
          </cell>
          <cell r="L22" t="str">
            <v/>
          </cell>
        </row>
        <row r="23">
          <cell r="B23" t="str">
            <v>Bear only driver one</v>
          </cell>
          <cell r="C23">
            <v>-18</v>
          </cell>
          <cell r="D23">
            <v>-4</v>
          </cell>
          <cell r="E23">
            <v>-8</v>
          </cell>
          <cell r="F23">
            <v>17</v>
          </cell>
          <cell r="G23">
            <v>0</v>
          </cell>
          <cell r="H23">
            <v>0</v>
          </cell>
          <cell r="I23">
            <v>-30</v>
          </cell>
          <cell r="J23">
            <v>0</v>
          </cell>
          <cell r="K23">
            <v>17</v>
          </cell>
          <cell r="L23" t="str">
            <v/>
          </cell>
        </row>
        <row r="24">
          <cell r="B24" t="str">
            <v>Bear only driver two</v>
          </cell>
          <cell r="C24">
            <v>-22</v>
          </cell>
          <cell r="D24">
            <v>-3</v>
          </cell>
          <cell r="E24">
            <v>-5</v>
          </cell>
          <cell r="F24">
            <v>17</v>
          </cell>
          <cell r="G24">
            <v>0</v>
          </cell>
          <cell r="H24">
            <v>0</v>
          </cell>
          <cell r="I24">
            <v>-30</v>
          </cell>
          <cell r="J24">
            <v>0</v>
          </cell>
          <cell r="K24">
            <v>17</v>
          </cell>
          <cell r="L24" t="str">
            <v/>
          </cell>
        </row>
        <row r="25">
          <cell r="B25" t="str">
            <v>Bear only driver three</v>
          </cell>
          <cell r="C25">
            <v>-25</v>
          </cell>
          <cell r="D25">
            <v>-5</v>
          </cell>
          <cell r="E25">
            <v>0</v>
          </cell>
          <cell r="F25">
            <v>17</v>
          </cell>
          <cell r="G25">
            <v>0</v>
          </cell>
          <cell r="H25">
            <v>0</v>
          </cell>
          <cell r="I25">
            <v>-30</v>
          </cell>
          <cell r="J25">
            <v>0</v>
          </cell>
          <cell r="K25">
            <v>17</v>
          </cell>
          <cell r="L25" t="str">
            <v/>
          </cell>
        </row>
        <row r="26">
          <cell r="I26">
            <v>-30</v>
          </cell>
          <cell r="J26">
            <v>0</v>
          </cell>
          <cell r="K26">
            <v>17</v>
          </cell>
          <cell r="L26" t="str">
            <v/>
          </cell>
        </row>
        <row r="27">
          <cell r="I27">
            <v>-30</v>
          </cell>
          <cell r="J27">
            <v>0</v>
          </cell>
          <cell r="K27">
            <v>17</v>
          </cell>
          <cell r="L27" t="str">
            <v/>
          </cell>
        </row>
        <row r="28">
          <cell r="B28" t="str">
            <v>Bear</v>
          </cell>
          <cell r="C28">
            <v>10</v>
          </cell>
        </row>
        <row r="29">
          <cell r="B29" t="str">
            <v>Base</v>
          </cell>
          <cell r="C29">
            <v>40</v>
          </cell>
          <cell r="K29" t="str">
            <v>Note: Price Target = Base Case unless otherwise indicated.</v>
          </cell>
        </row>
        <row r="30">
          <cell r="B30" t="str">
            <v>Bull</v>
          </cell>
          <cell r="C30">
            <v>57</v>
          </cell>
        </row>
        <row r="31">
          <cell r="B31" t="str">
            <v>Price Target</v>
          </cell>
          <cell r="C31">
            <v>40</v>
          </cell>
        </row>
        <row r="35">
          <cell r="I35" t="str">
            <v>s</v>
          </cell>
        </row>
      </sheetData>
      <sheetData sheetId="7" refreshError="1"/>
      <sheetData sheetId="8" refreshError="1">
        <row r="4">
          <cell r="C4" t="str">
            <v>Bear</v>
          </cell>
          <cell r="E4" t="str">
            <v>Base</v>
          </cell>
          <cell r="H4" t="str">
            <v>Bull</v>
          </cell>
        </row>
        <row r="5">
          <cell r="B5">
            <v>-30</v>
          </cell>
          <cell r="C5">
            <v>-30</v>
          </cell>
          <cell r="E5">
            <v>40</v>
          </cell>
          <cell r="H5">
            <v>17</v>
          </cell>
          <cell r="J5">
            <v>17</v>
          </cell>
        </row>
        <row r="6">
          <cell r="C6" t="str">
            <v>-space2</v>
          </cell>
          <cell r="D6" t="str">
            <v>-bear</v>
          </cell>
          <cell r="E6" t="str">
            <v>-space1</v>
          </cell>
          <cell r="F6" t="str">
            <v>+space1</v>
          </cell>
          <cell r="G6" t="str">
            <v>+bull</v>
          </cell>
          <cell r="H6" t="str">
            <v>+space2</v>
          </cell>
        </row>
        <row r="7">
          <cell r="B7" t="str">
            <v>Binary driver one</v>
          </cell>
          <cell r="C7">
            <v>-23</v>
          </cell>
          <cell r="D7">
            <v>-7</v>
          </cell>
          <cell r="E7">
            <v>0</v>
          </cell>
          <cell r="F7">
            <v>0</v>
          </cell>
          <cell r="G7">
            <v>3</v>
          </cell>
          <cell r="H7">
            <v>14</v>
          </cell>
          <cell r="I7">
            <v>17</v>
          </cell>
        </row>
        <row r="8">
          <cell r="B8" t="str">
            <v>Binary driver two</v>
          </cell>
          <cell r="C8">
            <v>-18</v>
          </cell>
          <cell r="D8">
            <v>-5</v>
          </cell>
          <cell r="E8">
            <v>-7</v>
          </cell>
          <cell r="F8">
            <v>3</v>
          </cell>
          <cell r="G8">
            <v>2</v>
          </cell>
          <cell r="H8">
            <v>12</v>
          </cell>
          <cell r="I8">
            <v>17</v>
          </cell>
        </row>
        <row r="9">
          <cell r="B9" t="str">
            <v>Driver number three</v>
          </cell>
          <cell r="C9">
            <v>-12</v>
          </cell>
          <cell r="D9">
            <v>-6</v>
          </cell>
          <cell r="E9">
            <v>-12</v>
          </cell>
          <cell r="F9">
            <v>5</v>
          </cell>
          <cell r="G9">
            <v>3</v>
          </cell>
          <cell r="H9">
            <v>9</v>
          </cell>
          <cell r="I9">
            <v>17</v>
          </cell>
        </row>
        <row r="10">
          <cell r="B10" t="str">
            <v>Bull only driver one</v>
          </cell>
          <cell r="C10">
            <v>-12</v>
          </cell>
          <cell r="E10">
            <v>-18</v>
          </cell>
          <cell r="F10">
            <v>8</v>
          </cell>
          <cell r="G10">
            <v>4</v>
          </cell>
          <cell r="H10">
            <v>5</v>
          </cell>
          <cell r="I10">
            <v>17</v>
          </cell>
        </row>
        <row r="11">
          <cell r="B11" t="str">
            <v>Bull only driver two</v>
          </cell>
          <cell r="C11">
            <v>-12</v>
          </cell>
          <cell r="E11">
            <v>-18</v>
          </cell>
          <cell r="F11">
            <v>12</v>
          </cell>
          <cell r="G11">
            <v>5</v>
          </cell>
          <cell r="H11">
            <v>0</v>
          </cell>
          <cell r="I11">
            <v>17</v>
          </cell>
        </row>
        <row r="12">
          <cell r="B12" t="str">
            <v>Bear only driver one</v>
          </cell>
          <cell r="C12">
            <v>-8</v>
          </cell>
          <cell r="D12">
            <v>-4</v>
          </cell>
          <cell r="E12">
            <v>-18</v>
          </cell>
          <cell r="F12">
            <v>17</v>
          </cell>
          <cell r="H12">
            <v>0</v>
          </cell>
          <cell r="I12">
            <v>17</v>
          </cell>
        </row>
        <row r="13">
          <cell r="B13" t="str">
            <v>Bear only driver two</v>
          </cell>
          <cell r="C13">
            <v>-5</v>
          </cell>
          <cell r="D13">
            <v>-3</v>
          </cell>
          <cell r="E13">
            <v>-22</v>
          </cell>
          <cell r="F13">
            <v>17</v>
          </cell>
          <cell r="H13">
            <v>0</v>
          </cell>
          <cell r="I13">
            <v>17</v>
          </cell>
        </row>
        <row r="14">
          <cell r="B14" t="str">
            <v>Bear only driver three</v>
          </cell>
          <cell r="C14">
            <v>0</v>
          </cell>
          <cell r="D14">
            <v>-5</v>
          </cell>
          <cell r="E14">
            <v>-25</v>
          </cell>
          <cell r="F14">
            <v>17</v>
          </cell>
          <cell r="H14">
            <v>0</v>
          </cell>
          <cell r="I14">
            <v>17</v>
          </cell>
        </row>
        <row r="16">
          <cell r="C16" t="str">
            <v>-space1</v>
          </cell>
          <cell r="D16" t="str">
            <v>-bear</v>
          </cell>
          <cell r="E16" t="str">
            <v>-space2</v>
          </cell>
          <cell r="F16" t="str">
            <v>+space1</v>
          </cell>
          <cell r="G16" t="str">
            <v>+bull</v>
          </cell>
          <cell r="H16" t="str">
            <v>+space2</v>
          </cell>
          <cell r="I16" t="str">
            <v>Bear  10.00</v>
          </cell>
          <cell r="J16" t="str">
            <v>Base  40.00</v>
          </cell>
          <cell r="K16" t="str">
            <v>Bull: 57.00</v>
          </cell>
          <cell r="L16" t="str">
            <v/>
          </cell>
        </row>
        <row r="18">
          <cell r="B18" t="str">
            <v>Binary driver one</v>
          </cell>
          <cell r="C18">
            <v>0</v>
          </cell>
          <cell r="D18">
            <v>-7</v>
          </cell>
          <cell r="E18">
            <v>-23</v>
          </cell>
          <cell r="F18">
            <v>0</v>
          </cell>
          <cell r="G18">
            <v>3</v>
          </cell>
          <cell r="H18">
            <v>14</v>
          </cell>
          <cell r="I18">
            <v>-30</v>
          </cell>
          <cell r="J18">
            <v>0</v>
          </cell>
          <cell r="K18">
            <v>17</v>
          </cell>
          <cell r="L18" t="str">
            <v/>
          </cell>
        </row>
        <row r="19">
          <cell r="B19" t="str">
            <v>Binary driver two</v>
          </cell>
          <cell r="C19">
            <v>-7</v>
          </cell>
          <cell r="D19">
            <v>-5</v>
          </cell>
          <cell r="E19">
            <v>-18</v>
          </cell>
          <cell r="F19">
            <v>3</v>
          </cell>
          <cell r="G19">
            <v>2</v>
          </cell>
          <cell r="H19">
            <v>12</v>
          </cell>
          <cell r="I19">
            <v>-30</v>
          </cell>
          <cell r="J19">
            <v>0</v>
          </cell>
          <cell r="K19">
            <v>17</v>
          </cell>
          <cell r="L19" t="str">
            <v/>
          </cell>
        </row>
        <row r="20">
          <cell r="B20" t="str">
            <v>Driver number three</v>
          </cell>
          <cell r="C20">
            <v>-12</v>
          </cell>
          <cell r="D20">
            <v>-6</v>
          </cell>
          <cell r="E20">
            <v>-12</v>
          </cell>
          <cell r="F20">
            <v>5</v>
          </cell>
          <cell r="G20">
            <v>3</v>
          </cell>
          <cell r="H20">
            <v>9</v>
          </cell>
          <cell r="I20">
            <v>-30</v>
          </cell>
          <cell r="J20">
            <v>0</v>
          </cell>
          <cell r="K20">
            <v>17</v>
          </cell>
          <cell r="L20" t="str">
            <v/>
          </cell>
        </row>
        <row r="21">
          <cell r="B21" t="str">
            <v>Bull only driver one</v>
          </cell>
          <cell r="C21">
            <v>-18</v>
          </cell>
          <cell r="D21">
            <v>0</v>
          </cell>
          <cell r="E21">
            <v>-12</v>
          </cell>
          <cell r="F21">
            <v>8</v>
          </cell>
          <cell r="G21">
            <v>4</v>
          </cell>
          <cell r="H21">
            <v>5</v>
          </cell>
          <cell r="I21">
            <v>-30</v>
          </cell>
          <cell r="J21">
            <v>0</v>
          </cell>
          <cell r="K21">
            <v>17</v>
          </cell>
          <cell r="L21" t="str">
            <v/>
          </cell>
        </row>
        <row r="22">
          <cell r="B22" t="str">
            <v>Bull only driver two</v>
          </cell>
          <cell r="C22">
            <v>-18</v>
          </cell>
          <cell r="D22">
            <v>0</v>
          </cell>
          <cell r="E22">
            <v>-12</v>
          </cell>
          <cell r="F22">
            <v>12</v>
          </cell>
          <cell r="G22">
            <v>5</v>
          </cell>
          <cell r="H22">
            <v>0</v>
          </cell>
          <cell r="I22">
            <v>-30</v>
          </cell>
          <cell r="J22">
            <v>0</v>
          </cell>
          <cell r="K22">
            <v>17</v>
          </cell>
          <cell r="L22" t="str">
            <v/>
          </cell>
        </row>
        <row r="23">
          <cell r="B23" t="str">
            <v>Bear only driver one</v>
          </cell>
          <cell r="C23">
            <v>-18</v>
          </cell>
          <cell r="D23">
            <v>-4</v>
          </cell>
          <cell r="E23">
            <v>-8</v>
          </cell>
          <cell r="F23">
            <v>17</v>
          </cell>
          <cell r="G23">
            <v>0</v>
          </cell>
          <cell r="H23">
            <v>0</v>
          </cell>
          <cell r="I23">
            <v>-30</v>
          </cell>
          <cell r="J23">
            <v>0</v>
          </cell>
          <cell r="K23">
            <v>17</v>
          </cell>
          <cell r="L23" t="str">
            <v/>
          </cell>
        </row>
        <row r="24">
          <cell r="B24" t="str">
            <v>Bear only driver two</v>
          </cell>
          <cell r="C24">
            <v>-22</v>
          </cell>
          <cell r="D24">
            <v>-3</v>
          </cell>
          <cell r="E24">
            <v>-5</v>
          </cell>
          <cell r="F24">
            <v>17</v>
          </cell>
          <cell r="G24">
            <v>0</v>
          </cell>
          <cell r="H24">
            <v>0</v>
          </cell>
          <cell r="I24">
            <v>-30</v>
          </cell>
          <cell r="J24">
            <v>0</v>
          </cell>
          <cell r="K24">
            <v>17</v>
          </cell>
          <cell r="L24" t="str">
            <v/>
          </cell>
        </row>
        <row r="25">
          <cell r="B25" t="str">
            <v>Bear only driver three</v>
          </cell>
          <cell r="C25">
            <v>-25</v>
          </cell>
          <cell r="D25">
            <v>-5</v>
          </cell>
          <cell r="E25">
            <v>0</v>
          </cell>
          <cell r="F25">
            <v>17</v>
          </cell>
          <cell r="G25">
            <v>0</v>
          </cell>
          <cell r="H25">
            <v>0</v>
          </cell>
          <cell r="I25">
            <v>-30</v>
          </cell>
          <cell r="J25">
            <v>0</v>
          </cell>
          <cell r="K25">
            <v>17</v>
          </cell>
          <cell r="L25" t="str">
            <v/>
          </cell>
        </row>
        <row r="26">
          <cell r="I26">
            <v>-30</v>
          </cell>
          <cell r="J26">
            <v>0</v>
          </cell>
          <cell r="K26">
            <v>17</v>
          </cell>
          <cell r="L26" t="str">
            <v/>
          </cell>
        </row>
        <row r="27">
          <cell r="I27">
            <v>-30</v>
          </cell>
          <cell r="J27">
            <v>0</v>
          </cell>
          <cell r="K27">
            <v>17</v>
          </cell>
          <cell r="L27" t="str">
            <v/>
          </cell>
        </row>
        <row r="28">
          <cell r="B28" t="str">
            <v>Bear</v>
          </cell>
          <cell r="C28">
            <v>10</v>
          </cell>
        </row>
        <row r="29">
          <cell r="B29" t="str">
            <v>Base</v>
          </cell>
          <cell r="C29">
            <v>40</v>
          </cell>
          <cell r="K29" t="str">
            <v>Note: Price Target = Base Case unless otherwise indicated.</v>
          </cell>
        </row>
        <row r="30">
          <cell r="B30" t="str">
            <v>Bull</v>
          </cell>
          <cell r="C30">
            <v>57</v>
          </cell>
        </row>
        <row r="31">
          <cell r="B31" t="str">
            <v>Price Target</v>
          </cell>
          <cell r="C31">
            <v>40</v>
          </cell>
        </row>
        <row r="35">
          <cell r="I35" t="str">
            <v>s</v>
          </cell>
        </row>
      </sheetData>
      <sheetData sheetId="9" refreshError="1"/>
      <sheetData sheetId="10" refreshError="1"/>
      <sheetData sheetId="11" refreshError="1"/>
      <sheetData sheetId="12" refreshError="1"/>
      <sheetData sheetId="13" refreshError="1"/>
      <sheetData sheetId="14" refreshError="1"/>
      <sheetData sheetId="15" refreshError="1">
        <row r="4">
          <cell r="C4" t="str">
            <v>Bear</v>
          </cell>
          <cell r="E4" t="str">
            <v>Base</v>
          </cell>
          <cell r="H4" t="str">
            <v>Bull</v>
          </cell>
        </row>
        <row r="5">
          <cell r="B5">
            <v>-36</v>
          </cell>
          <cell r="C5">
            <v>-36</v>
          </cell>
          <cell r="E5">
            <v>40</v>
          </cell>
          <cell r="H5">
            <v>18</v>
          </cell>
          <cell r="J5">
            <v>18</v>
          </cell>
        </row>
        <row r="6">
          <cell r="A6" t="str">
            <v>check</v>
          </cell>
          <cell r="C6" t="str">
            <v>-space2</v>
          </cell>
          <cell r="D6" t="str">
            <v>-bear</v>
          </cell>
          <cell r="E6" t="str">
            <v>-space1</v>
          </cell>
          <cell r="F6" t="str">
            <v>+space1</v>
          </cell>
          <cell r="G6" t="str">
            <v>+bull</v>
          </cell>
          <cell r="H6" t="str">
            <v>+space2</v>
          </cell>
        </row>
        <row r="7">
          <cell r="A7">
            <v>-36</v>
          </cell>
          <cell r="B7" t="str">
            <v>This is long label number one</v>
          </cell>
          <cell r="C7">
            <v>-32</v>
          </cell>
          <cell r="D7">
            <v>-4</v>
          </cell>
          <cell r="E7">
            <v>0</v>
          </cell>
          <cell r="F7">
            <v>0</v>
          </cell>
          <cell r="G7">
            <v>4</v>
          </cell>
          <cell r="H7">
            <v>14</v>
          </cell>
          <cell r="I7">
            <v>18</v>
          </cell>
        </row>
        <row r="8">
          <cell r="A8">
            <v>-36</v>
          </cell>
          <cell r="B8" t="str">
            <v>This is long label number two</v>
          </cell>
          <cell r="C8">
            <v>-27</v>
          </cell>
          <cell r="D8">
            <v>-5</v>
          </cell>
          <cell r="E8">
            <v>-4</v>
          </cell>
          <cell r="F8">
            <v>4</v>
          </cell>
          <cell r="G8">
            <v>2</v>
          </cell>
          <cell r="H8">
            <v>12</v>
          </cell>
          <cell r="I8">
            <v>18</v>
          </cell>
        </row>
        <row r="9">
          <cell r="A9">
            <v>-36</v>
          </cell>
          <cell r="B9" t="str">
            <v>This is long label number three</v>
          </cell>
          <cell r="C9">
            <v>-21</v>
          </cell>
          <cell r="D9">
            <v>-6</v>
          </cell>
          <cell r="E9">
            <v>-9</v>
          </cell>
          <cell r="F9">
            <v>6</v>
          </cell>
          <cell r="G9">
            <v>3</v>
          </cell>
          <cell r="H9">
            <v>9</v>
          </cell>
          <cell r="I9">
            <v>18</v>
          </cell>
        </row>
        <row r="10">
          <cell r="A10">
            <v>-36</v>
          </cell>
          <cell r="B10" t="str">
            <v>This is long label number four</v>
          </cell>
          <cell r="C10">
            <v>-17</v>
          </cell>
          <cell r="D10">
            <v>-4</v>
          </cell>
          <cell r="E10">
            <v>-15</v>
          </cell>
          <cell r="F10">
            <v>9</v>
          </cell>
          <cell r="G10">
            <v>4</v>
          </cell>
          <cell r="H10">
            <v>5</v>
          </cell>
          <cell r="I10">
            <v>18</v>
          </cell>
        </row>
        <row r="11">
          <cell r="A11">
            <v>-36</v>
          </cell>
          <cell r="B11" t="str">
            <v>This is long label number five</v>
          </cell>
          <cell r="C11">
            <v>-12</v>
          </cell>
          <cell r="D11">
            <v>-5</v>
          </cell>
          <cell r="E11">
            <v>-19</v>
          </cell>
          <cell r="F11">
            <v>13</v>
          </cell>
          <cell r="G11">
            <v>5</v>
          </cell>
          <cell r="H11">
            <v>0</v>
          </cell>
          <cell r="I11">
            <v>18</v>
          </cell>
        </row>
        <row r="12">
          <cell r="A12">
            <v>-36</v>
          </cell>
          <cell r="B12" t="str">
            <v>This is long label number six</v>
          </cell>
          <cell r="C12">
            <v>-8</v>
          </cell>
          <cell r="D12">
            <v>-4</v>
          </cell>
          <cell r="E12">
            <v>-24</v>
          </cell>
          <cell r="F12">
            <v>18</v>
          </cell>
          <cell r="H12">
            <v>0</v>
          </cell>
          <cell r="I12">
            <v>18</v>
          </cell>
        </row>
        <row r="13">
          <cell r="A13">
            <v>-36</v>
          </cell>
          <cell r="B13" t="str">
            <v>This is long label number seven</v>
          </cell>
          <cell r="C13">
            <v>-5</v>
          </cell>
          <cell r="D13">
            <v>-3</v>
          </cell>
          <cell r="E13">
            <v>-28</v>
          </cell>
          <cell r="F13">
            <v>18</v>
          </cell>
          <cell r="H13">
            <v>0</v>
          </cell>
          <cell r="I13">
            <v>18</v>
          </cell>
        </row>
        <row r="14">
          <cell r="A14">
            <v>-36</v>
          </cell>
          <cell r="B14" t="str">
            <v>This is long label number eight</v>
          </cell>
          <cell r="C14">
            <v>0</v>
          </cell>
          <cell r="D14">
            <v>-5</v>
          </cell>
          <cell r="E14">
            <v>-31</v>
          </cell>
          <cell r="F14">
            <v>18</v>
          </cell>
          <cell r="H14">
            <v>0</v>
          </cell>
          <cell r="I14">
            <v>18</v>
          </cell>
        </row>
        <row r="16">
          <cell r="C16" t="str">
            <v>-space1</v>
          </cell>
          <cell r="D16" t="str">
            <v>-bear</v>
          </cell>
          <cell r="E16" t="str">
            <v>-space2</v>
          </cell>
          <cell r="F16" t="str">
            <v>+space1</v>
          </cell>
          <cell r="G16" t="str">
            <v>+bull</v>
          </cell>
          <cell r="H16" t="str">
            <v>+space2</v>
          </cell>
          <cell r="I16" t="str">
            <v>Bear  4.00</v>
          </cell>
          <cell r="J16" t="str">
            <v>Base  40.00</v>
          </cell>
          <cell r="K16" t="str">
            <v>Bull: 58.00</v>
          </cell>
          <cell r="L16" t="str">
            <v>PT:
42.00</v>
          </cell>
        </row>
        <row r="18">
          <cell r="B18" t="str">
            <v>Driver number one</v>
          </cell>
          <cell r="C18">
            <v>0</v>
          </cell>
          <cell r="D18">
            <v>-4</v>
          </cell>
          <cell r="E18">
            <v>-32</v>
          </cell>
          <cell r="F18">
            <v>0</v>
          </cell>
          <cell r="G18">
            <v>4</v>
          </cell>
          <cell r="H18">
            <v>14</v>
          </cell>
          <cell r="I18">
            <v>-36</v>
          </cell>
          <cell r="J18">
            <v>0</v>
          </cell>
          <cell r="K18">
            <v>18</v>
          </cell>
          <cell r="L18">
            <v>2</v>
          </cell>
        </row>
        <row r="19">
          <cell r="B19" t="str">
            <v>Driver number two</v>
          </cell>
          <cell r="C19">
            <v>-4</v>
          </cell>
          <cell r="D19">
            <v>-5</v>
          </cell>
          <cell r="E19">
            <v>-27</v>
          </cell>
          <cell r="F19">
            <v>4</v>
          </cell>
          <cell r="G19">
            <v>2</v>
          </cell>
          <cell r="H19">
            <v>12</v>
          </cell>
          <cell r="I19">
            <v>-36</v>
          </cell>
          <cell r="J19">
            <v>0</v>
          </cell>
          <cell r="K19">
            <v>18</v>
          </cell>
          <cell r="L19">
            <v>2</v>
          </cell>
        </row>
        <row r="20">
          <cell r="B20" t="str">
            <v>Driver number three</v>
          </cell>
          <cell r="C20">
            <v>-9</v>
          </cell>
          <cell r="D20">
            <v>-6</v>
          </cell>
          <cell r="E20">
            <v>-21</v>
          </cell>
          <cell r="F20">
            <v>6</v>
          </cell>
          <cell r="G20">
            <v>3</v>
          </cell>
          <cell r="H20">
            <v>9</v>
          </cell>
          <cell r="I20">
            <v>-36</v>
          </cell>
          <cell r="J20">
            <v>0</v>
          </cell>
          <cell r="K20">
            <v>18</v>
          </cell>
          <cell r="L20">
            <v>2</v>
          </cell>
        </row>
        <row r="21">
          <cell r="B21" t="str">
            <v>Driver number four</v>
          </cell>
          <cell r="C21">
            <v>-15</v>
          </cell>
          <cell r="D21">
            <v>-4</v>
          </cell>
          <cell r="E21">
            <v>-17</v>
          </cell>
          <cell r="F21">
            <v>9</v>
          </cell>
          <cell r="G21">
            <v>4</v>
          </cell>
          <cell r="H21">
            <v>5</v>
          </cell>
          <cell r="I21">
            <v>-36</v>
          </cell>
          <cell r="J21">
            <v>0</v>
          </cell>
          <cell r="K21">
            <v>18</v>
          </cell>
          <cell r="L21">
            <v>2</v>
          </cell>
        </row>
        <row r="22">
          <cell r="B22" t="str">
            <v>Driver number five</v>
          </cell>
          <cell r="C22">
            <v>-19</v>
          </cell>
          <cell r="D22">
            <v>-5</v>
          </cell>
          <cell r="E22">
            <v>-12</v>
          </cell>
          <cell r="F22">
            <v>13</v>
          </cell>
          <cell r="G22">
            <v>5</v>
          </cell>
          <cell r="H22">
            <v>0</v>
          </cell>
          <cell r="I22">
            <v>-36</v>
          </cell>
          <cell r="J22">
            <v>0</v>
          </cell>
          <cell r="K22">
            <v>18</v>
          </cell>
          <cell r="L22">
            <v>2</v>
          </cell>
        </row>
        <row r="23">
          <cell r="B23" t="str">
            <v>Driver number six</v>
          </cell>
          <cell r="C23">
            <v>-24</v>
          </cell>
          <cell r="D23">
            <v>-4</v>
          </cell>
          <cell r="E23">
            <v>-8</v>
          </cell>
          <cell r="F23">
            <v>18</v>
          </cell>
          <cell r="G23">
            <v>0</v>
          </cell>
          <cell r="H23">
            <v>0</v>
          </cell>
          <cell r="I23">
            <v>-36</v>
          </cell>
          <cell r="J23">
            <v>0</v>
          </cell>
          <cell r="K23">
            <v>18</v>
          </cell>
          <cell r="L23">
            <v>2</v>
          </cell>
        </row>
        <row r="24">
          <cell r="B24" t="str">
            <v>Driver number seven</v>
          </cell>
          <cell r="C24">
            <v>-28</v>
          </cell>
          <cell r="D24">
            <v>-3</v>
          </cell>
          <cell r="E24">
            <v>-5</v>
          </cell>
          <cell r="F24">
            <v>18</v>
          </cell>
          <cell r="G24">
            <v>0</v>
          </cell>
          <cell r="H24">
            <v>0</v>
          </cell>
          <cell r="I24">
            <v>-36</v>
          </cell>
          <cell r="J24">
            <v>0</v>
          </cell>
          <cell r="K24">
            <v>18</v>
          </cell>
          <cell r="L24">
            <v>2</v>
          </cell>
        </row>
        <row r="25">
          <cell r="B25" t="str">
            <v>Driver number eight</v>
          </cell>
          <cell r="C25">
            <v>-31</v>
          </cell>
          <cell r="D25">
            <v>-5</v>
          </cell>
          <cell r="E25">
            <v>0</v>
          </cell>
          <cell r="F25">
            <v>18</v>
          </cell>
          <cell r="G25">
            <v>0</v>
          </cell>
          <cell r="H25">
            <v>0</v>
          </cell>
          <cell r="I25">
            <v>-36</v>
          </cell>
          <cell r="J25">
            <v>0</v>
          </cell>
          <cell r="K25">
            <v>18</v>
          </cell>
          <cell r="L25">
            <v>2</v>
          </cell>
        </row>
        <row r="26">
          <cell r="I26">
            <v>-36</v>
          </cell>
          <cell r="J26">
            <v>0</v>
          </cell>
          <cell r="K26">
            <v>18</v>
          </cell>
          <cell r="L26">
            <v>2</v>
          </cell>
        </row>
        <row r="27">
          <cell r="I27">
            <v>-36</v>
          </cell>
          <cell r="J27">
            <v>0</v>
          </cell>
          <cell r="K27">
            <v>18</v>
          </cell>
          <cell r="L27">
            <v>2</v>
          </cell>
        </row>
        <row r="28">
          <cell r="B28" t="str">
            <v>Bear</v>
          </cell>
          <cell r="C28">
            <v>4</v>
          </cell>
        </row>
        <row r="29">
          <cell r="B29" t="str">
            <v>Base</v>
          </cell>
          <cell r="C29">
            <v>40</v>
          </cell>
        </row>
        <row r="30">
          <cell r="B30" t="str">
            <v>Bull</v>
          </cell>
          <cell r="C30">
            <v>58</v>
          </cell>
        </row>
        <row r="31">
          <cell r="B31" t="str">
            <v>Price Target</v>
          </cell>
          <cell r="C31">
            <v>42</v>
          </cell>
        </row>
      </sheetData>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Analysis"/>
      <sheetName val="For Inv. Report"/>
      <sheetName val="Inv"/>
      <sheetName val="Debt"/>
      <sheetName val="  "/>
      <sheetName val="JCP"/>
      <sheetName val="JWN"/>
      <sheetName val="KSS"/>
      <sheetName val="M"/>
      <sheetName val="SKS"/>
      <sheetName val="CapEx"/>
      <sheetName val="__FDSCACHE__"/>
      <sheetName val="MW-Cache"/>
    </sheetNames>
    <sheetDataSet>
      <sheetData sheetId="0"/>
      <sheetData sheetId="1"/>
      <sheetData sheetId="2"/>
      <sheetData sheetId="3"/>
      <sheetData sheetId="4"/>
      <sheetData sheetId="5"/>
      <sheetData sheetId="6">
        <row r="54">
          <cell r="A54" t="str">
            <v>1 Yr Comps</v>
          </cell>
          <cell r="B54" t="str">
            <v>2007Q1</v>
          </cell>
          <cell r="C54" t="str">
            <v>2007Q2</v>
          </cell>
          <cell r="D54" t="str">
            <v>2007Q3</v>
          </cell>
          <cell r="E54" t="str">
            <v>2007Q4</v>
          </cell>
          <cell r="F54" t="str">
            <v>2008Q1</v>
          </cell>
          <cell r="G54" t="str">
            <v>2008Q2</v>
          </cell>
          <cell r="H54" t="str">
            <v>2008Q3</v>
          </cell>
          <cell r="I54" t="str">
            <v>2008Q4</v>
          </cell>
          <cell r="J54" t="str">
            <v>2009Q1</v>
          </cell>
          <cell r="K54" t="str">
            <v>2009Q2</v>
          </cell>
          <cell r="L54" t="str">
            <v>2009Q3</v>
          </cell>
          <cell r="M54" t="str">
            <v>2009Q4</v>
          </cell>
          <cell r="N54" t="str">
            <v>2010Q1</v>
          </cell>
          <cell r="O54" t="str">
            <v>2010Q2</v>
          </cell>
          <cell r="P54" t="str">
            <v>2010Q3</v>
          </cell>
          <cell r="Q54" t="str">
            <v>2010Q4</v>
          </cell>
          <cell r="R54" t="str">
            <v>2011Q1</v>
          </cell>
          <cell r="S54" t="str">
            <v>2011Q2</v>
          </cell>
          <cell r="T54" t="str">
            <v>2011Q3</v>
          </cell>
          <cell r="U54" t="str">
            <v>2011Q4e</v>
          </cell>
          <cell r="V54" t="str">
            <v>2012Q1e</v>
          </cell>
          <cell r="W54" t="str">
            <v>2012Q2e</v>
          </cell>
          <cell r="X54" t="str">
            <v>2012Q3e</v>
          </cell>
          <cell r="Y54" t="str">
            <v>2012Q4e</v>
          </cell>
        </row>
        <row r="55">
          <cell r="A55" t="str">
            <v>JCP</v>
          </cell>
          <cell r="B55">
            <v>2.1999999999999999E-2</v>
          </cell>
          <cell r="C55">
            <v>1.9E-2</v>
          </cell>
          <cell r="D55">
            <v>-3.5000000000000003E-2</v>
          </cell>
          <cell r="E55">
            <v>-3.5999999999999997E-2</v>
          </cell>
          <cell r="F55">
            <v>-7.3999999999999996E-2</v>
          </cell>
          <cell r="G55">
            <v>-4.2999999999999997E-2</v>
          </cell>
          <cell r="H55">
            <v>-0.10100000000000001</v>
          </cell>
          <cell r="I55">
            <v>-0.108</v>
          </cell>
          <cell r="J55">
            <v>-7.4999999999999997E-2</v>
          </cell>
          <cell r="K55">
            <v>-9.5000000000000001E-2</v>
          </cell>
          <cell r="L55">
            <v>-4.5999999999999999E-2</v>
          </cell>
          <cell r="M55">
            <v>-4.4999999999999998E-2</v>
          </cell>
          <cell r="N55">
            <v>1.6E-2</v>
          </cell>
          <cell r="O55">
            <v>8.9999999999999993E-3</v>
          </cell>
          <cell r="P55">
            <v>1.9E-2</v>
          </cell>
          <cell r="Q55">
            <v>4.4999999999999998E-2</v>
          </cell>
          <cell r="R55">
            <v>3.7999999999999999E-2</v>
          </cell>
          <cell r="S55">
            <v>1.4999999999999999E-2</v>
          </cell>
          <cell r="T55">
            <v>0</v>
          </cell>
          <cell r="U55">
            <v>0</v>
          </cell>
          <cell r="V55">
            <v>-2.1608157959071499E-2</v>
          </cell>
          <cell r="W55">
            <v>-1.1378008352056337E-2</v>
          </cell>
          <cell r="X55">
            <v>4.2433391807850905E-3</v>
          </cell>
          <cell r="Y55">
            <v>3.161220202750066E-3</v>
          </cell>
        </row>
        <row r="56">
          <cell r="A56" t="str">
            <v>M</v>
          </cell>
          <cell r="B56">
            <v>6.0000000000000001E-3</v>
          </cell>
          <cell r="C56">
            <v>-2.5999999999999999E-2</v>
          </cell>
          <cell r="D56">
            <v>-8.0000000000000002E-3</v>
          </cell>
          <cell r="E56">
            <v>-0.02</v>
          </cell>
          <cell r="F56">
            <v>-2.5999999999999999E-2</v>
          </cell>
          <cell r="G56">
            <v>-2.1000000000000001E-2</v>
          </cell>
          <cell r="H56">
            <v>-0.06</v>
          </cell>
          <cell r="I56">
            <v>-7.0000000000000007E-2</v>
          </cell>
          <cell r="J56">
            <v>-0.09</v>
          </cell>
          <cell r="K56">
            <v>-9.5000000000000001E-2</v>
          </cell>
          <cell r="L56">
            <v>-3.5999999999999997E-2</v>
          </cell>
          <cell r="M56">
            <v>-8.0000000000000002E-3</v>
          </cell>
          <cell r="N56">
            <v>5.5E-2</v>
          </cell>
          <cell r="O56">
            <v>4.9000000000000002E-2</v>
          </cell>
          <cell r="P56">
            <v>3.9E-2</v>
          </cell>
          <cell r="Q56">
            <v>4.2999999999999997E-2</v>
          </cell>
          <cell r="R56">
            <v>5.3999999999999999E-2</v>
          </cell>
          <cell r="S56">
            <v>6.4000000000000001E-2</v>
          </cell>
          <cell r="T56">
            <v>0.04</v>
          </cell>
          <cell r="U56">
            <v>5.1999999999999998E-2</v>
          </cell>
          <cell r="V56">
            <v>3.1230920582903131E-2</v>
          </cell>
          <cell r="W56">
            <v>2.9742596430138542E-2</v>
          </cell>
          <cell r="X56">
            <v>4.4925303944057193E-2</v>
          </cell>
          <cell r="Y56">
            <v>3.4620305559042677E-2</v>
          </cell>
        </row>
        <row r="57">
          <cell r="A57" t="str">
            <v>KSS</v>
          </cell>
          <cell r="B57">
            <v>3.9E-2</v>
          </cell>
          <cell r="C57">
            <v>1.2999999999999999E-2</v>
          </cell>
          <cell r="D57">
            <v>-2.5683781240196588E-2</v>
          </cell>
          <cell r="E57">
            <v>-0.04</v>
          </cell>
          <cell r="F57">
            <v>-6.7000000000000004E-2</v>
          </cell>
          <cell r="G57">
            <v>-4.5999999999999999E-2</v>
          </cell>
          <cell r="H57">
            <v>-6.7000000000000004E-2</v>
          </cell>
          <cell r="I57">
            <v>-9.0999999999999998E-2</v>
          </cell>
          <cell r="J57">
            <v>-4.2000000000000003E-2</v>
          </cell>
          <cell r="K57">
            <v>-2.3E-2</v>
          </cell>
          <cell r="L57">
            <v>2.4E-2</v>
          </cell>
          <cell r="M57">
            <v>4.4999999999999998E-2</v>
          </cell>
          <cell r="N57">
            <v>7.3999999999999996E-2</v>
          </cell>
          <cell r="O57">
            <v>4.5999999999999999E-2</v>
          </cell>
          <cell r="P57">
            <v>1.7999999999999999E-2</v>
          </cell>
          <cell r="Q57">
            <v>4.2999999999999997E-2</v>
          </cell>
          <cell r="R57">
            <v>1.2999999999999999E-2</v>
          </cell>
          <cell r="S57">
            <v>1.9E-2</v>
          </cell>
          <cell r="T57">
            <v>2.1000000000000001E-2</v>
          </cell>
          <cell r="U57">
            <v>-2.1000000000000001E-2</v>
          </cell>
          <cell r="V57">
            <v>-2.8459367930321836E-3</v>
          </cell>
          <cell r="W57">
            <v>3.7799915846087641E-3</v>
          </cell>
          <cell r="X57">
            <v>8.2509903068364102E-3</v>
          </cell>
          <cell r="Y57">
            <v>2.2272400277867151E-2</v>
          </cell>
        </row>
        <row r="58">
          <cell r="A58" t="str">
            <v>BONT</v>
          </cell>
          <cell r="B58">
            <v>-2.5000000000000001E-2</v>
          </cell>
          <cell r="C58">
            <v>-0.05</v>
          </cell>
          <cell r="D58">
            <v>-0.03</v>
          </cell>
          <cell r="E58">
            <v>-3.5999999999999997E-2</v>
          </cell>
          <cell r="F58">
            <v>-4.5999999999999999E-2</v>
          </cell>
          <cell r="G58">
            <v>-5.7000000000000002E-2</v>
          </cell>
          <cell r="H58">
            <v>-8.3000000000000004E-2</v>
          </cell>
          <cell r="I58">
            <v>-9.7000000000000003E-2</v>
          </cell>
          <cell r="J58">
            <v>-8.5999999999999993E-2</v>
          </cell>
          <cell r="K58">
            <v>-9.8000000000000004E-2</v>
          </cell>
          <cell r="L58">
            <v>-2.5999999999999999E-2</v>
          </cell>
          <cell r="M58">
            <v>-2.4E-2</v>
          </cell>
          <cell r="N58">
            <v>0.03</v>
          </cell>
          <cell r="O58">
            <v>2E-3</v>
          </cell>
          <cell r="P58">
            <v>-3.0000000000000001E-3</v>
          </cell>
          <cell r="Q58">
            <v>8.0000000000000002E-3</v>
          </cell>
          <cell r="R58">
            <v>-1.2E-2</v>
          </cell>
          <cell r="S58">
            <v>-1.4999999999999999E-2</v>
          </cell>
          <cell r="T58">
            <v>-5.8999999999999997E-2</v>
          </cell>
          <cell r="U58">
            <v>-0.03</v>
          </cell>
        </row>
        <row r="59">
          <cell r="A59" t="str">
            <v>DDS</v>
          </cell>
          <cell r="B59">
            <v>-0.05</v>
          </cell>
          <cell r="C59">
            <v>-0.03</v>
          </cell>
          <cell r="D59">
            <v>-0.06</v>
          </cell>
          <cell r="E59">
            <v>-0.05</v>
          </cell>
          <cell r="F59">
            <v>-0.06</v>
          </cell>
          <cell r="G59">
            <v>-0.04</v>
          </cell>
          <cell r="H59">
            <v>-0.09</v>
          </cell>
          <cell r="I59">
            <v>-0.08</v>
          </cell>
          <cell r="J59">
            <v>-0.13</v>
          </cell>
          <cell r="K59">
            <v>-0.13</v>
          </cell>
          <cell r="L59">
            <v>-0.09</v>
          </cell>
          <cell r="M59">
            <v>-0.08</v>
          </cell>
          <cell r="N59">
            <v>0.02</v>
          </cell>
          <cell r="O59">
            <v>0</v>
          </cell>
          <cell r="P59">
            <v>0.01</v>
          </cell>
          <cell r="Q59">
            <v>7.0000000000000007E-2</v>
          </cell>
          <cell r="R59">
            <v>0.02</v>
          </cell>
          <cell r="S59">
            <v>0.06</v>
          </cell>
          <cell r="T59">
            <v>0.05</v>
          </cell>
          <cell r="U59">
            <v>0.02</v>
          </cell>
        </row>
        <row r="60">
          <cell r="A60" t="str">
            <v>Spread</v>
          </cell>
          <cell r="B60">
            <v>-5.0000000000000044E-4</v>
          </cell>
          <cell r="C60">
            <v>2.5499999999999998E-2</v>
          </cell>
          <cell r="D60">
            <v>-1.8158109379901709E-2</v>
          </cell>
          <cell r="E60">
            <v>-5.9999999999999984E-3</v>
          </cell>
          <cell r="F60">
            <v>-2.7499999999999997E-2</v>
          </cell>
          <cell r="G60">
            <v>-9.4999999999999946E-3</v>
          </cell>
          <cell r="H60">
            <v>-3.7500000000000006E-2</v>
          </cell>
          <cell r="I60">
            <v>-2.7499999999999997E-2</v>
          </cell>
          <cell r="J60">
            <v>-8.9999999999999941E-3</v>
          </cell>
          <cell r="K60">
            <v>-3.6000000000000004E-2</v>
          </cell>
          <cell r="L60">
            <v>-0.04</v>
          </cell>
          <cell r="M60">
            <v>-6.3500000000000001E-2</v>
          </cell>
          <cell r="N60">
            <v>-4.8500000000000001E-2</v>
          </cell>
          <cell r="O60">
            <v>-3.85E-2</v>
          </cell>
          <cell r="P60">
            <v>-9.499999999999998E-3</v>
          </cell>
          <cell r="Q60">
            <v>2.0000000000000018E-3</v>
          </cell>
          <cell r="R60">
            <v>4.4999999999999971E-3</v>
          </cell>
          <cell r="S60">
            <v>-2.6500000000000003E-2</v>
          </cell>
          <cell r="T60">
            <v>-3.0499999999999999E-2</v>
          </cell>
          <cell r="U60">
            <v>-1.5499999999999998E-2</v>
          </cell>
          <cell r="V60">
            <v>-3.5800649854006973E-2</v>
          </cell>
          <cell r="W60">
            <v>-2.8139302359429991E-2</v>
          </cell>
          <cell r="X60">
            <v>-2.2344807944661711E-2</v>
          </cell>
          <cell r="Y60">
            <v>-2.5285132715704848E-2</v>
          </cell>
        </row>
        <row r="61">
          <cell r="G61" t="str">
            <v>2Q08</v>
          </cell>
          <cell r="H61" t="str">
            <v>3Q08</v>
          </cell>
          <cell r="I61" t="str">
            <v>4Q08</v>
          </cell>
          <cell r="J61" t="str">
            <v>1Q09</v>
          </cell>
          <cell r="K61" t="str">
            <v>2Q09</v>
          </cell>
          <cell r="L61" t="str">
            <v>3Q09</v>
          </cell>
          <cell r="M61" t="str">
            <v>4Q09</v>
          </cell>
          <cell r="N61" t="str">
            <v>1Q10</v>
          </cell>
          <cell r="O61" t="str">
            <v>2Q10</v>
          </cell>
          <cell r="P61" t="str">
            <v>3Q10</v>
          </cell>
          <cell r="Q61" t="str">
            <v>4Q10</v>
          </cell>
          <cell r="R61" t="str">
            <v>1Q11</v>
          </cell>
          <cell r="S61" t="str">
            <v>2Q11</v>
          </cell>
          <cell r="T61" t="str">
            <v xml:space="preserve">3Q11 </v>
          </cell>
          <cell r="U61" t="str">
            <v>4Q11e</v>
          </cell>
          <cell r="V61" t="str">
            <v>1Q12e</v>
          </cell>
          <cell r="W61" t="str">
            <v>2Q12e</v>
          </cell>
          <cell r="X61" t="str">
            <v>3Q12e</v>
          </cell>
          <cell r="Y61" t="str">
            <v>4Q11e</v>
          </cell>
        </row>
        <row r="62">
          <cell r="A62" t="str">
            <v>2 Yr Comps</v>
          </cell>
          <cell r="B62" t="str">
            <v>2007Q1</v>
          </cell>
          <cell r="C62" t="str">
            <v>2007Q2</v>
          </cell>
          <cell r="D62" t="str">
            <v>2007Q3</v>
          </cell>
          <cell r="E62" t="str">
            <v>2007Q4</v>
          </cell>
          <cell r="F62" t="str">
            <v>2008Q1</v>
          </cell>
          <cell r="G62" t="str">
            <v>2008Q2</v>
          </cell>
          <cell r="H62" t="str">
            <v>2008Q3</v>
          </cell>
          <cell r="I62" t="str">
            <v>2008Q4</v>
          </cell>
          <cell r="J62" t="str">
            <v>2009Q1</v>
          </cell>
          <cell r="K62" t="str">
            <v>2009Q2</v>
          </cell>
          <cell r="L62" t="str">
            <v>2009Q3</v>
          </cell>
          <cell r="M62" t="str">
            <v>2009Q4</v>
          </cell>
          <cell r="N62" t="str">
            <v>2010Q1</v>
          </cell>
          <cell r="O62" t="str">
            <v>2010Q2</v>
          </cell>
          <cell r="P62" t="str">
            <v>2010Q3</v>
          </cell>
          <cell r="Q62" t="str">
            <v>2010Q4</v>
          </cell>
          <cell r="R62" t="str">
            <v>2011Q1</v>
          </cell>
          <cell r="S62" t="str">
            <v>2011Q2</v>
          </cell>
          <cell r="T62" t="str">
            <v>2011Q3</v>
          </cell>
          <cell r="U62" t="str">
            <v>2011Q4e</v>
          </cell>
          <cell r="V62" t="str">
            <v>2012Q1e</v>
          </cell>
          <cell r="W62" t="str">
            <v>2012Q2e</v>
          </cell>
          <cell r="X62" t="str">
            <v>2012Q3e</v>
          </cell>
          <cell r="Y62" t="str">
            <v>2012Q4e</v>
          </cell>
        </row>
        <row r="63">
          <cell r="A63" t="str">
            <v>JCP</v>
          </cell>
          <cell r="F63">
            <v>-2.5999999999999999E-2</v>
          </cell>
          <cell r="G63">
            <v>-1.1999999999999999E-2</v>
          </cell>
          <cell r="H63">
            <v>-6.8000000000000005E-2</v>
          </cell>
          <cell r="I63">
            <v>-7.1999999999999995E-2</v>
          </cell>
          <cell r="J63">
            <v>-7.4499999999999997E-2</v>
          </cell>
          <cell r="K63">
            <v>-6.9000000000000006E-2</v>
          </cell>
          <cell r="L63">
            <v>-7.350000000000001E-2</v>
          </cell>
          <cell r="M63">
            <v>-7.6499999999999999E-2</v>
          </cell>
          <cell r="N63">
            <v>-2.9499999999999998E-2</v>
          </cell>
          <cell r="O63">
            <v>-4.3000000000000003E-2</v>
          </cell>
          <cell r="P63">
            <v>-1.35E-2</v>
          </cell>
          <cell r="Q63">
            <v>0</v>
          </cell>
          <cell r="R63">
            <v>2.7E-2</v>
          </cell>
          <cell r="S63">
            <v>1.2E-2</v>
          </cell>
          <cell r="T63">
            <v>9.4999999999999998E-3</v>
          </cell>
          <cell r="U63">
            <v>2.2499999999999999E-2</v>
          </cell>
          <cell r="V63">
            <v>8.1959210204642502E-3</v>
          </cell>
          <cell r="W63">
            <v>1.810995823971831E-3</v>
          </cell>
          <cell r="X63">
            <v>2.1216695903925453E-3</v>
          </cell>
          <cell r="Y63">
            <v>1.580610101375033E-3</v>
          </cell>
        </row>
        <row r="64">
          <cell r="A64" t="str">
            <v>M</v>
          </cell>
          <cell r="F64">
            <v>-9.9999999999999985E-3</v>
          </cell>
          <cell r="G64">
            <v>-2.35E-2</v>
          </cell>
          <cell r="H64">
            <v>-3.4000000000000002E-2</v>
          </cell>
          <cell r="I64">
            <v>-4.5000000000000005E-2</v>
          </cell>
          <cell r="J64">
            <v>-5.7999999999999996E-2</v>
          </cell>
          <cell r="K64">
            <v>-5.8000000000000003E-2</v>
          </cell>
          <cell r="L64">
            <v>-4.8000000000000001E-2</v>
          </cell>
          <cell r="M64">
            <v>-3.9000000000000007E-2</v>
          </cell>
          <cell r="N64">
            <v>-1.7499999999999998E-2</v>
          </cell>
          <cell r="O64">
            <v>-2.3E-2</v>
          </cell>
          <cell r="P64">
            <v>1.5000000000000013E-3</v>
          </cell>
          <cell r="Q64">
            <v>1.7499999999999998E-2</v>
          </cell>
          <cell r="R64">
            <v>5.45E-2</v>
          </cell>
          <cell r="S64">
            <v>5.6500000000000002E-2</v>
          </cell>
          <cell r="T64">
            <v>3.95E-2</v>
          </cell>
          <cell r="U64">
            <v>4.7500000000000001E-2</v>
          </cell>
          <cell r="V64">
            <v>4.2615460291451565E-2</v>
          </cell>
          <cell r="W64">
            <v>4.6871298215069274E-2</v>
          </cell>
          <cell r="X64">
            <v>4.2462651972028601E-2</v>
          </cell>
          <cell r="Y64">
            <v>4.3310152779521341E-2</v>
          </cell>
        </row>
        <row r="65">
          <cell r="A65" t="str">
            <v>KSS</v>
          </cell>
          <cell r="F65">
            <v>-1.4000000000000002E-2</v>
          </cell>
          <cell r="G65">
            <v>-1.6500000000000001E-2</v>
          </cell>
          <cell r="H65">
            <v>-4.6341890620098296E-2</v>
          </cell>
          <cell r="I65">
            <v>-6.5500000000000003E-2</v>
          </cell>
          <cell r="J65">
            <v>-5.4500000000000007E-2</v>
          </cell>
          <cell r="K65">
            <v>-3.4500000000000003E-2</v>
          </cell>
          <cell r="L65">
            <v>-2.1500000000000002E-2</v>
          </cell>
          <cell r="M65">
            <v>-2.3E-2</v>
          </cell>
          <cell r="N65">
            <v>1.5999999999999997E-2</v>
          </cell>
          <cell r="O65">
            <v>1.15E-2</v>
          </cell>
          <cell r="P65">
            <v>2.0999999999999998E-2</v>
          </cell>
          <cell r="Q65">
            <v>4.3999999999999997E-2</v>
          </cell>
          <cell r="R65">
            <v>4.3499999999999997E-2</v>
          </cell>
          <cell r="S65">
            <v>3.2500000000000001E-2</v>
          </cell>
          <cell r="T65">
            <v>1.95E-2</v>
          </cell>
          <cell r="U65">
            <v>1.0999999999999998E-2</v>
          </cell>
          <cell r="V65">
            <v>5.0770316034839079E-3</v>
          </cell>
          <cell r="W65">
            <v>1.1389995792304382E-2</v>
          </cell>
          <cell r="X65">
            <v>1.4625495153418206E-2</v>
          </cell>
          <cell r="Y65">
            <v>6.3620013893357467E-4</v>
          </cell>
        </row>
        <row r="68">
          <cell r="A68" t="str">
            <v>Spread</v>
          </cell>
          <cell r="F68">
            <v>-1.3999999999999999E-2</v>
          </cell>
          <cell r="G68">
            <v>8.0000000000000019E-3</v>
          </cell>
          <cell r="H68">
            <v>-2.7829054689950852E-2</v>
          </cell>
          <cell r="I68">
            <v>-1.6749999999999987E-2</v>
          </cell>
          <cell r="J68">
            <v>-1.8249999999999995E-2</v>
          </cell>
          <cell r="K68">
            <v>-2.2750000000000006E-2</v>
          </cell>
          <cell r="L68">
            <v>-3.8750000000000007E-2</v>
          </cell>
          <cell r="M68">
            <v>-4.5499999999999999E-2</v>
          </cell>
          <cell r="N68">
            <v>-2.8749999999999998E-2</v>
          </cell>
          <cell r="O68">
            <v>-3.7250000000000005E-2</v>
          </cell>
          <cell r="P68">
            <v>-2.4750000000000001E-2</v>
          </cell>
          <cell r="Q68">
            <v>-3.075E-2</v>
          </cell>
          <cell r="R68">
            <v>-2.2000000000000002E-2</v>
          </cell>
          <cell r="S68">
            <v>-3.2500000000000001E-2</v>
          </cell>
          <cell r="T68">
            <v>-1.9999999999999997E-2</v>
          </cell>
          <cell r="U68">
            <v>-6.7499999999999991E-3</v>
          </cell>
          <cell r="V68">
            <v>-1.5650324927003488E-2</v>
          </cell>
          <cell r="W68">
            <v>-2.7319651179714997E-2</v>
          </cell>
          <cell r="X68">
            <v>-2.6422403972330859E-2</v>
          </cell>
          <cell r="Y68">
            <v>-2.0392566357852426E-2</v>
          </cell>
        </row>
        <row r="90">
          <cell r="K90">
            <v>2000</v>
          </cell>
          <cell r="L90">
            <v>2001</v>
          </cell>
          <cell r="M90">
            <v>2002</v>
          </cell>
          <cell r="N90">
            <v>2003</v>
          </cell>
          <cell r="O90">
            <v>2004</v>
          </cell>
          <cell r="P90">
            <v>2005</v>
          </cell>
          <cell r="Q90">
            <v>2006</v>
          </cell>
          <cell r="R90">
            <v>2007</v>
          </cell>
          <cell r="S90">
            <v>2008</v>
          </cell>
          <cell r="T90">
            <v>2009</v>
          </cell>
          <cell r="U90">
            <v>2010</v>
          </cell>
          <cell r="V90" t="str">
            <v>1H11</v>
          </cell>
        </row>
        <row r="91">
          <cell r="C91" t="str">
            <v>2Q10</v>
          </cell>
          <cell r="D91" t="str">
            <v>3Q10</v>
          </cell>
          <cell r="E91" t="str">
            <v>4Q10</v>
          </cell>
          <cell r="F91" t="str">
            <v>1Q11</v>
          </cell>
          <cell r="G91" t="str">
            <v>2Q11</v>
          </cell>
          <cell r="H91" t="str">
            <v>3Q11</v>
          </cell>
          <cell r="J91" t="str">
            <v>JCP</v>
          </cell>
          <cell r="K91">
            <v>-2.4E-2</v>
          </cell>
          <cell r="L91">
            <v>3.125E-2</v>
          </cell>
          <cell r="M91">
            <v>2.8250000000000001E-2</v>
          </cell>
          <cell r="N91">
            <v>8.0000000000000002E-3</v>
          </cell>
          <cell r="O91">
            <v>4.9000000000000002E-2</v>
          </cell>
          <cell r="P91">
            <v>2.9000000000000001E-2</v>
          </cell>
          <cell r="Q91">
            <v>3.6999999999999998E-2</v>
          </cell>
          <cell r="R91">
            <v>-1.0999999999999999E-2</v>
          </cell>
          <cell r="S91">
            <v>-8.5000000000000006E-2</v>
          </cell>
          <cell r="T91">
            <v>-6.3078925007644338E-2</v>
          </cell>
          <cell r="U91">
            <v>0</v>
          </cell>
          <cell r="V91">
            <v>2.6499999999999999E-2</v>
          </cell>
        </row>
        <row r="92">
          <cell r="A92" t="str">
            <v>JCP</v>
          </cell>
          <cell r="C92">
            <v>-2.5000000000000001E-2</v>
          </cell>
          <cell r="D92">
            <v>-2.5000000000000001E-2</v>
          </cell>
          <cell r="E92">
            <v>-2.5000000000000001E-2</v>
          </cell>
          <cell r="F92">
            <v>-0.01</v>
          </cell>
          <cell r="G92">
            <v>-2.5000000000000001E-3</v>
          </cell>
          <cell r="H92">
            <v>2.5000000000000001E-3</v>
          </cell>
          <cell r="J92" t="str">
            <v>M</v>
          </cell>
          <cell r="K92">
            <v>0.02</v>
          </cell>
          <cell r="L92">
            <v>-5.2999999999999999E-2</v>
          </cell>
          <cell r="M92">
            <v>-0.03</v>
          </cell>
          <cell r="N92">
            <v>-9.0000000000000011E-3</v>
          </cell>
          <cell r="O92">
            <v>2.5999999999999999E-2</v>
          </cell>
          <cell r="P92">
            <v>1.2999999999999999E-2</v>
          </cell>
          <cell r="Q92">
            <v>4.3999999999999997E-2</v>
          </cell>
          <cell r="R92">
            <v>-1.2999999999999999E-2</v>
          </cell>
          <cell r="S92">
            <v>-4.4999999999999998E-2</v>
          </cell>
          <cell r="T92">
            <v>-5.2999999999999999E-2</v>
          </cell>
          <cell r="U92">
            <v>4.610434747830261E-2</v>
          </cell>
          <cell r="V92">
            <v>5.8999999999999997E-2</v>
          </cell>
        </row>
        <row r="93">
          <cell r="C93" t="str">
            <v>(LSD)</v>
          </cell>
          <cell r="D93" t="str">
            <v>(LSD)</v>
          </cell>
          <cell r="E93" t="str">
            <v>(LSD)</v>
          </cell>
          <cell r="F93">
            <v>-0.01</v>
          </cell>
          <cell r="G93" t="str">
            <v>Down slightly</v>
          </cell>
          <cell r="H93" t="str">
            <v>Up slightly</v>
          </cell>
          <cell r="J93" t="str">
            <v>KSS</v>
          </cell>
          <cell r="K93">
            <v>9.5515620428464607E-2</v>
          </cell>
          <cell r="L93">
            <v>6.8000000000000005E-2</v>
          </cell>
          <cell r="M93">
            <v>5.9056288469869427E-2</v>
          </cell>
          <cell r="N93">
            <v>-1.2342184383842436E-2</v>
          </cell>
          <cell r="O93">
            <v>5.4574854495884851E-3</v>
          </cell>
          <cell r="P93">
            <v>3.6890876124815335E-2</v>
          </cell>
          <cell r="Q93">
            <v>5.8999999999999997E-2</v>
          </cell>
          <cell r="R93">
            <v>-7.9988102247825314E-3</v>
          </cell>
          <cell r="S93">
            <v>-6.9000000000000006E-2</v>
          </cell>
          <cell r="T93">
            <v>6.5541130581591653E-3</v>
          </cell>
          <cell r="U93">
            <v>4.4736447175248759E-2</v>
          </cell>
          <cell r="V93">
            <v>1.6E-2</v>
          </cell>
        </row>
        <row r="94">
          <cell r="J94" t="str">
            <v>DDS</v>
          </cell>
          <cell r="L94">
            <v>-0.05</v>
          </cell>
          <cell r="M94">
            <v>-0.03</v>
          </cell>
          <cell r="N94">
            <v>-0.04</v>
          </cell>
          <cell r="O94">
            <v>-0.01</v>
          </cell>
          <cell r="P94">
            <v>0</v>
          </cell>
          <cell r="Q94">
            <v>0</v>
          </cell>
          <cell r="R94">
            <v>-0.06</v>
          </cell>
          <cell r="S94">
            <v>-7.0000000000000007E-2</v>
          </cell>
          <cell r="T94">
            <v>-0.1</v>
          </cell>
          <cell r="U94">
            <v>0.03</v>
          </cell>
          <cell r="V94">
            <v>0.04</v>
          </cell>
        </row>
        <row r="95">
          <cell r="J95" t="str">
            <v>Spread</v>
          </cell>
          <cell r="K95">
            <v>-8.1757810214232313E-2</v>
          </cell>
          <cell r="L95">
            <v>4.2916666666666665E-2</v>
          </cell>
          <cell r="M95">
            <v>2.8564570510043526E-2</v>
          </cell>
          <cell r="N95">
            <v>2.8447394794614146E-2</v>
          </cell>
          <cell r="O95">
            <v>4.1847504850137177E-2</v>
          </cell>
          <cell r="P95">
            <v>1.2369707958394892E-2</v>
          </cell>
          <cell r="Q95">
            <v>2.6666666666666644E-3</v>
          </cell>
          <cell r="R95">
            <v>1.5999603408260843E-2</v>
          </cell>
          <cell r="S95">
            <v>-2.3666666666666676E-2</v>
          </cell>
          <cell r="T95">
            <v>-1.4263629360364051E-2</v>
          </cell>
          <cell r="U95">
            <v>-4.0280264884517122E-2</v>
          </cell>
          <cell r="V95">
            <v>-1.1833333333333331E-2</v>
          </cell>
        </row>
        <row r="99">
          <cell r="K99" t="str">
            <v>2010Q3</v>
          </cell>
          <cell r="L99" t="str">
            <v>2010Q4</v>
          </cell>
          <cell r="M99" t="str">
            <v>2011Q1</v>
          </cell>
          <cell r="N99" t="str">
            <v>2011Q2</v>
          </cell>
        </row>
        <row r="100">
          <cell r="J100" t="str">
            <v>JCP</v>
          </cell>
          <cell r="K100">
            <v>1.9E-2</v>
          </cell>
          <cell r="L100">
            <v>4.4999999999999998E-2</v>
          </cell>
          <cell r="M100">
            <v>3.7999999999999999E-2</v>
          </cell>
          <cell r="N100">
            <v>1.4999999999999999E-2</v>
          </cell>
        </row>
        <row r="101">
          <cell r="J101" t="str">
            <v>KSS</v>
          </cell>
          <cell r="K101">
            <v>1.7999999999999999E-2</v>
          </cell>
          <cell r="L101">
            <v>4.2999999999999997E-2</v>
          </cell>
          <cell r="M101">
            <v>1.2999999999999999E-2</v>
          </cell>
          <cell r="N101">
            <v>1.9E-2</v>
          </cell>
        </row>
        <row r="102">
          <cell r="J102" t="str">
            <v>M</v>
          </cell>
          <cell r="K102">
            <v>3.9E-2</v>
          </cell>
          <cell r="L102">
            <v>4.2999999999999997E-2</v>
          </cell>
          <cell r="M102">
            <v>5.3999999999999999E-2</v>
          </cell>
          <cell r="N102">
            <v>6.4000000000000001E-2</v>
          </cell>
        </row>
        <row r="103">
          <cell r="J103" t="str">
            <v>DDS</v>
          </cell>
          <cell r="K103">
            <v>0.01</v>
          </cell>
          <cell r="L103">
            <v>7.0000000000000007E-2</v>
          </cell>
          <cell r="M103">
            <v>0.02</v>
          </cell>
          <cell r="N103">
            <v>3.6999999999999998E-2</v>
          </cell>
        </row>
        <row r="104">
          <cell r="J104" t="str">
            <v>Mid-Tier Avg</v>
          </cell>
          <cell r="K104">
            <v>2.233333333333333E-2</v>
          </cell>
          <cell r="L104">
            <v>5.1999999999999998E-2</v>
          </cell>
          <cell r="M104">
            <v>2.9000000000000001E-2</v>
          </cell>
          <cell r="N104">
            <v>0.04</v>
          </cell>
        </row>
        <row r="106">
          <cell r="K106" t="str">
            <v>2010Q3</v>
          </cell>
          <cell r="L106" t="str">
            <v>2010Q4</v>
          </cell>
          <cell r="M106" t="str">
            <v>2011Q1</v>
          </cell>
          <cell r="N106" t="str">
            <v>2011Q2</v>
          </cell>
          <cell r="O106" t="str">
            <v>2011Q3</v>
          </cell>
        </row>
        <row r="107">
          <cell r="J107" t="str">
            <v>JCP Comps</v>
          </cell>
          <cell r="K107">
            <v>1.9E-2</v>
          </cell>
          <cell r="L107">
            <v>4.4999999999999998E-2</v>
          </cell>
          <cell r="M107">
            <v>3.7999999999999999E-2</v>
          </cell>
          <cell r="N107">
            <v>1.4999999999999999E-2</v>
          </cell>
          <cell r="O107">
            <v>0</v>
          </cell>
        </row>
        <row r="108">
          <cell r="J108" t="str">
            <v>Inv/Sq Ft Growth</v>
          </cell>
          <cell r="K108">
            <v>5.4328650481654694E-2</v>
          </cell>
          <cell r="L108">
            <v>5.4855434578787277E-2</v>
          </cell>
          <cell r="M108">
            <v>6.4199331544402716E-2</v>
          </cell>
          <cell r="N108">
            <v>-0.9183550471876234</v>
          </cell>
          <cell r="O108">
            <v>-0.9182500174951681</v>
          </cell>
        </row>
        <row r="109">
          <cell r="J109" t="str">
            <v>Spread</v>
          </cell>
          <cell r="K109">
            <v>-353.28650481654694</v>
          </cell>
          <cell r="L109">
            <v>-98.554345787872776</v>
          </cell>
          <cell r="M109">
            <v>-261.99331544402719</v>
          </cell>
          <cell r="N109">
            <v>9333.550471876235</v>
          </cell>
          <cell r="O109">
            <v>9182.5001749516814</v>
          </cell>
        </row>
      </sheetData>
      <sheetData sheetId="7">
        <row r="20">
          <cell r="M20" t="str">
            <v>Valuation</v>
          </cell>
        </row>
        <row r="53">
          <cell r="B53" t="str">
            <v>2010Q1</v>
          </cell>
          <cell r="C53" t="str">
            <v>2010Q2</v>
          </cell>
          <cell r="D53" t="str">
            <v>2010Q3</v>
          </cell>
          <cell r="E53" t="str">
            <v>2010Q4</v>
          </cell>
          <cell r="F53" t="str">
            <v>2011Q1</v>
          </cell>
          <cell r="G53" t="str">
            <v>2011Q2E</v>
          </cell>
        </row>
        <row r="54">
          <cell r="A54" t="str">
            <v>JWN</v>
          </cell>
          <cell r="B54">
            <v>-1.2000000000000011E-2</v>
          </cell>
          <cell r="C54">
            <v>-1.3999999999999999E-2</v>
          </cell>
          <cell r="D54">
            <v>4.5999999999999999E-2</v>
          </cell>
          <cell r="E54">
            <v>0.13600000000000001</v>
          </cell>
          <cell r="F54">
            <v>0.185</v>
          </cell>
          <cell r="G54">
            <v>0.157</v>
          </cell>
        </row>
        <row r="55">
          <cell r="A55" t="str">
            <v>JCP</v>
          </cell>
          <cell r="B55">
            <v>-5.8999999999999997E-2</v>
          </cell>
          <cell r="C55">
            <v>-8.6000000000000007E-2</v>
          </cell>
          <cell r="D55">
            <v>-2.7E-2</v>
          </cell>
          <cell r="E55">
            <v>0</v>
          </cell>
          <cell r="F55">
            <v>5.3999999999999999E-2</v>
          </cell>
          <cell r="G55">
            <v>2.4E-2</v>
          </cell>
          <cell r="J55">
            <v>0.01</v>
          </cell>
        </row>
        <row r="56">
          <cell r="A56" t="str">
            <v>M</v>
          </cell>
          <cell r="B56">
            <v>-3.4999999999999996E-2</v>
          </cell>
          <cell r="C56">
            <v>-4.5999999999999999E-2</v>
          </cell>
          <cell r="D56">
            <v>3.0000000000000027E-3</v>
          </cell>
          <cell r="E56">
            <v>3.4999999999999996E-2</v>
          </cell>
          <cell r="F56">
            <v>0.109</v>
          </cell>
          <cell r="G56">
            <v>0.113</v>
          </cell>
          <cell r="J56" t="str">
            <v>+MSD</v>
          </cell>
        </row>
        <row r="57">
          <cell r="A57" t="str">
            <v>KSS</v>
          </cell>
          <cell r="B57">
            <v>3.1999999999999994E-2</v>
          </cell>
          <cell r="C57">
            <v>2.3E-2</v>
          </cell>
          <cell r="D57">
            <v>4.1999999999999996E-2</v>
          </cell>
          <cell r="E57">
            <v>8.7999999999999995E-2</v>
          </cell>
          <cell r="F57">
            <v>8.6999999999999994E-2</v>
          </cell>
          <cell r="G57">
            <v>6.5000000000000002E-2</v>
          </cell>
          <cell r="J57" t="str">
            <v>+LSD</v>
          </cell>
        </row>
        <row r="58">
          <cell r="A58" t="str">
            <v>Spread</v>
          </cell>
          <cell r="B58">
            <v>8.6666666666666593E-3</v>
          </cell>
          <cell r="C58">
            <v>2.2333333333333337E-2</v>
          </cell>
          <cell r="D58">
            <v>0.04</v>
          </cell>
          <cell r="E58">
            <v>9.5000000000000001E-2</v>
          </cell>
          <cell r="F58">
            <v>0.10166666666666667</v>
          </cell>
          <cell r="G58">
            <v>8.9666666666666658E-2</v>
          </cell>
          <cell r="J58" t="str">
            <v>+MSD</v>
          </cell>
        </row>
        <row r="60">
          <cell r="L60" t="str">
            <v>Feb '11</v>
          </cell>
          <cell r="M60" t="str">
            <v>Mar '11</v>
          </cell>
          <cell r="N60" t="str">
            <v>Apr '11</v>
          </cell>
          <cell r="O60" t="str">
            <v>May '11</v>
          </cell>
        </row>
        <row r="61">
          <cell r="J61" t="str">
            <v>JWN</v>
          </cell>
          <cell r="L61">
            <v>0.01</v>
          </cell>
          <cell r="M61">
            <v>0.05</v>
          </cell>
          <cell r="N61">
            <v>0.01</v>
          </cell>
          <cell r="O61">
            <v>0.05</v>
          </cell>
        </row>
      </sheetData>
      <sheetData sheetId="8"/>
      <sheetData sheetId="9"/>
      <sheetData sheetId="10"/>
      <sheetData sheetId="11"/>
      <sheetData sheetId="12"/>
      <sheetData sheetId="1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Risk-Reward_View_Chart"/>
      <sheetName val="Bear_to_Bull_Data"/>
      <sheetName val="Comparative_Risk-Reward_Chart"/>
      <sheetName val="Comparative_Risk-Reward_Data"/>
      <sheetName val="Value_of_Growth_Chart"/>
      <sheetName val="Value_of_Growth_Data"/>
    </sheetNames>
    <sheetDataSet>
      <sheetData sheetId="0"/>
      <sheetData sheetId="1"/>
      <sheetData sheetId="2">
        <row r="1">
          <cell r="C1" t="str">
            <v>Please Enter
POSITIVE
Nos. Only</v>
          </cell>
        </row>
        <row r="2">
          <cell r="R2" t="str">
            <v>Old</v>
          </cell>
          <cell r="S2" t="str">
            <v>New</v>
          </cell>
        </row>
        <row r="3">
          <cell r="R3">
            <v>0.125</v>
          </cell>
          <cell r="S3">
            <v>0.14285714285714285</v>
          </cell>
        </row>
        <row r="4">
          <cell r="R4">
            <v>0.5</v>
          </cell>
          <cell r="S4">
            <v>0.5</v>
          </cell>
        </row>
        <row r="5">
          <cell r="A5" t="str">
            <v>X-Axis Labels</v>
          </cell>
          <cell r="B5" t="str">
            <v>Cases</v>
          </cell>
          <cell r="C5" t="str">
            <v>Positive
Increments</v>
          </cell>
          <cell r="D5" t="str">
            <v>Price Target</v>
          </cell>
          <cell r="E5" t="str">
            <v>Invisible</v>
          </cell>
          <cell r="F5" t="str">
            <v>Labels</v>
          </cell>
          <cell r="R5">
            <v>0.375</v>
          </cell>
          <cell r="S5">
            <v>0.35714285714285715</v>
          </cell>
        </row>
        <row r="6">
          <cell r="A6" t="str">
            <v>Bear
Case</v>
          </cell>
          <cell r="B6">
            <v>10</v>
          </cell>
          <cell r="D6">
            <v>16</v>
          </cell>
        </row>
        <row r="7">
          <cell r="A7" t="str">
            <v>Label</v>
          </cell>
          <cell r="D7">
            <v>16</v>
          </cell>
          <cell r="E7">
            <v>10</v>
          </cell>
          <cell r="F7">
            <v>0</v>
          </cell>
        </row>
        <row r="8">
          <cell r="A8" t="str">
            <v>Optional</v>
          </cell>
          <cell r="D8">
            <v>16</v>
          </cell>
          <cell r="E8">
            <v>10</v>
          </cell>
          <cell r="F8">
            <v>0</v>
          </cell>
        </row>
        <row r="9">
          <cell r="A9" t="str">
            <v>Optional</v>
          </cell>
          <cell r="D9">
            <v>16</v>
          </cell>
          <cell r="E9">
            <v>10</v>
          </cell>
          <cell r="F9">
            <v>0</v>
          </cell>
        </row>
        <row r="10">
          <cell r="A10" t="str">
            <v>Comps further decline</v>
          </cell>
          <cell r="C10">
            <v>2.85</v>
          </cell>
          <cell r="D10">
            <v>16</v>
          </cell>
          <cell r="E10">
            <v>10</v>
          </cell>
          <cell r="F10">
            <v>2.85</v>
          </cell>
        </row>
        <row r="11">
          <cell r="A11" t="str">
            <v>Increased gross margin pressure</v>
          </cell>
          <cell r="C11">
            <v>3.05</v>
          </cell>
          <cell r="D11">
            <v>16</v>
          </cell>
          <cell r="E11">
            <v>12.85</v>
          </cell>
          <cell r="F11">
            <v>3.05</v>
          </cell>
        </row>
        <row r="12">
          <cell r="A12" t="str">
            <v>Expense deleverage</v>
          </cell>
          <cell r="C12">
            <v>0.1</v>
          </cell>
          <cell r="D12">
            <v>16</v>
          </cell>
          <cell r="E12">
            <v>15.899999999999999</v>
          </cell>
          <cell r="F12">
            <v>0.1</v>
          </cell>
        </row>
        <row r="13">
          <cell r="A13" t="str">
            <v>Base
Case</v>
          </cell>
          <cell r="B13">
            <v>15.999999999999998</v>
          </cell>
          <cell r="D13">
            <v>16</v>
          </cell>
        </row>
        <row r="14">
          <cell r="A14" t="str">
            <v>Comps increase</v>
          </cell>
          <cell r="C14">
            <v>2.2000000000000002</v>
          </cell>
          <cell r="D14">
            <v>16</v>
          </cell>
          <cell r="E14">
            <v>15.999999999999998</v>
          </cell>
          <cell r="F14">
            <v>2.2000000000000002</v>
          </cell>
          <cell r="R14">
            <v>0.33333333333333331</v>
          </cell>
          <cell r="S14">
            <v>0.31818181818181818</v>
          </cell>
        </row>
        <row r="15">
          <cell r="A15" t="str">
            <v>Less pressure from gross margin</v>
          </cell>
          <cell r="C15">
            <v>1.5</v>
          </cell>
          <cell r="D15">
            <v>16</v>
          </cell>
          <cell r="E15">
            <v>18.2</v>
          </cell>
          <cell r="F15">
            <v>1.5</v>
          </cell>
          <cell r="R15">
            <v>0.5</v>
          </cell>
          <cell r="S15">
            <v>0.5</v>
          </cell>
        </row>
        <row r="16">
          <cell r="A16" t="str">
            <v>Less expense deleverage</v>
          </cell>
          <cell r="C16">
            <v>0.3</v>
          </cell>
          <cell r="D16">
            <v>16</v>
          </cell>
          <cell r="E16">
            <v>19.7</v>
          </cell>
          <cell r="F16">
            <v>0.3</v>
          </cell>
          <cell r="R16">
            <v>0.16666666666666666</v>
          </cell>
          <cell r="S16">
            <v>0.18181818181818182</v>
          </cell>
        </row>
        <row r="17">
          <cell r="A17" t="str">
            <v>Optional</v>
          </cell>
          <cell r="D17">
            <v>16</v>
          </cell>
          <cell r="E17">
            <v>20</v>
          </cell>
          <cell r="F17">
            <v>0</v>
          </cell>
        </row>
        <row r="18">
          <cell r="A18" t="str">
            <v>Optional</v>
          </cell>
          <cell r="D18">
            <v>16</v>
          </cell>
          <cell r="E18">
            <v>20</v>
          </cell>
          <cell r="F18">
            <v>0</v>
          </cell>
        </row>
        <row r="19">
          <cell r="A19" t="str">
            <v>Optional</v>
          </cell>
          <cell r="D19">
            <v>16</v>
          </cell>
          <cell r="E19">
            <v>20</v>
          </cell>
          <cell r="F19">
            <v>0</v>
          </cell>
        </row>
        <row r="20">
          <cell r="A20" t="str">
            <v>Bull
Case</v>
          </cell>
          <cell r="B20">
            <v>20</v>
          </cell>
          <cell r="D20">
            <v>16</v>
          </cell>
        </row>
      </sheetData>
      <sheetData sheetId="3" refreshError="1"/>
      <sheetData sheetId="4">
        <row r="2">
          <cell r="B2" t="str">
            <v>Stock B</v>
          </cell>
          <cell r="C2" t="str">
            <v>Stock B</v>
          </cell>
          <cell r="D2" t="str">
            <v>Stock B</v>
          </cell>
          <cell r="E2">
            <v>0</v>
          </cell>
          <cell r="F2">
            <v>0</v>
          </cell>
          <cell r="G2">
            <v>0</v>
          </cell>
        </row>
        <row r="3">
          <cell r="B3" t="str">
            <v>Stock C</v>
          </cell>
          <cell r="C3" t="str">
            <v>Stock C</v>
          </cell>
          <cell r="D3" t="str">
            <v>Stock C</v>
          </cell>
          <cell r="E3">
            <v>0</v>
          </cell>
          <cell r="F3">
            <v>-9.9999999999999978E-2</v>
          </cell>
          <cell r="G3">
            <v>-0.4</v>
          </cell>
        </row>
        <row r="4">
          <cell r="A4" t="str">
            <v>Stock D</v>
          </cell>
          <cell r="B4" t="str">
            <v>Stock D</v>
          </cell>
          <cell r="C4" t="str">
            <v>Stock D</v>
          </cell>
          <cell r="D4" t="str">
            <v>Stock D</v>
          </cell>
          <cell r="E4">
            <v>0</v>
          </cell>
          <cell r="F4">
            <v>0</v>
          </cell>
          <cell r="G4">
            <v>-0.30000000000000004</v>
          </cell>
        </row>
        <row r="5">
          <cell r="B5" t="str">
            <v>Current
Price</v>
          </cell>
          <cell r="C5" t="str">
            <v>Bear 
Case</v>
          </cell>
          <cell r="D5" t="str">
            <v>Base 
Case</v>
          </cell>
          <cell r="E5" t="str">
            <v>Bull 
Case</v>
          </cell>
          <cell r="F5" t="str">
            <v>Price Target</v>
          </cell>
          <cell r="G5" t="str">
            <v>Bear 
Case</v>
          </cell>
          <cell r="H5" t="str">
            <v>Base 
Case</v>
          </cell>
          <cell r="I5" t="str">
            <v>Bull 
Case</v>
          </cell>
          <cell r="J5" t="str">
            <v>Price 
Target</v>
          </cell>
          <cell r="K5" t="str">
            <v>+ Bear 
Data</v>
          </cell>
          <cell r="L5" t="str">
            <v>+ Base 
Data</v>
          </cell>
          <cell r="M5" t="str">
            <v>+ Bull 
Data</v>
          </cell>
          <cell r="N5" t="str">
            <v>- Bear 
Data</v>
          </cell>
          <cell r="O5" t="str">
            <v>- Base 
Data</v>
          </cell>
          <cell r="P5" t="str">
            <v>- Bull 
Data</v>
          </cell>
        </row>
        <row r="6">
          <cell r="A6" t="str">
            <v>Stock A</v>
          </cell>
          <cell r="B6">
            <v>50</v>
          </cell>
          <cell r="C6">
            <v>30</v>
          </cell>
          <cell r="D6">
            <v>40</v>
          </cell>
          <cell r="E6">
            <v>45</v>
          </cell>
          <cell r="F6">
            <v>50</v>
          </cell>
          <cell r="G6">
            <v>-0.4</v>
          </cell>
          <cell r="H6">
            <v>-0.19999999999999996</v>
          </cell>
          <cell r="I6">
            <v>-9.9999999999999978E-2</v>
          </cell>
          <cell r="J6">
            <v>0</v>
          </cell>
          <cell r="K6">
            <v>0</v>
          </cell>
          <cell r="L6">
            <v>0</v>
          </cell>
          <cell r="M6">
            <v>0</v>
          </cell>
          <cell r="N6">
            <v>-0.20000000000000007</v>
          </cell>
          <cell r="O6">
            <v>-9.9999999999999978E-2</v>
          </cell>
          <cell r="P6">
            <v>-9.9999999999999978E-2</v>
          </cell>
        </row>
        <row r="7">
          <cell r="A7" t="str">
            <v>Stock B</v>
          </cell>
          <cell r="B7">
            <v>100</v>
          </cell>
          <cell r="C7">
            <v>110</v>
          </cell>
          <cell r="D7">
            <v>120</v>
          </cell>
          <cell r="E7">
            <v>150</v>
          </cell>
          <cell r="F7">
            <v>115</v>
          </cell>
          <cell r="G7">
            <v>0.10000000000000009</v>
          </cell>
          <cell r="H7">
            <v>0.19999999999999996</v>
          </cell>
          <cell r="I7">
            <v>0.5</v>
          </cell>
          <cell r="J7">
            <v>0.14999999999999991</v>
          </cell>
          <cell r="K7">
            <v>0.10000000000000009</v>
          </cell>
          <cell r="L7">
            <v>9.9999999999999867E-2</v>
          </cell>
          <cell r="M7">
            <v>0.30000000000000004</v>
          </cell>
          <cell r="N7">
            <v>0</v>
          </cell>
          <cell r="O7">
            <v>0</v>
          </cell>
          <cell r="P7">
            <v>0</v>
          </cell>
        </row>
        <row r="8">
          <cell r="A8" t="str">
            <v>Stock C</v>
          </cell>
          <cell r="B8">
            <v>60</v>
          </cell>
          <cell r="C8">
            <v>30</v>
          </cell>
          <cell r="D8">
            <v>54</v>
          </cell>
          <cell r="E8">
            <v>78</v>
          </cell>
          <cell r="F8">
            <v>69</v>
          </cell>
          <cell r="G8">
            <v>-0.5</v>
          </cell>
          <cell r="H8">
            <v>-9.9999999999999978E-2</v>
          </cell>
          <cell r="I8">
            <v>0.30000000000000004</v>
          </cell>
          <cell r="J8">
            <v>0.14999999999999991</v>
          </cell>
          <cell r="K8">
            <v>0</v>
          </cell>
          <cell r="L8">
            <v>0</v>
          </cell>
          <cell r="M8">
            <v>0.30000000000000004</v>
          </cell>
          <cell r="N8">
            <v>-0.4</v>
          </cell>
          <cell r="O8">
            <v>-9.9999999999999978E-2</v>
          </cell>
          <cell r="P8">
            <v>0</v>
          </cell>
        </row>
        <row r="9">
          <cell r="A9" t="str">
            <v>Stock D</v>
          </cell>
          <cell r="B9">
            <v>80</v>
          </cell>
          <cell r="C9">
            <v>56</v>
          </cell>
          <cell r="D9">
            <v>90</v>
          </cell>
          <cell r="E9">
            <v>104</v>
          </cell>
          <cell r="F9">
            <v>85</v>
          </cell>
          <cell r="G9">
            <v>-0.30000000000000004</v>
          </cell>
          <cell r="H9">
            <v>0.125</v>
          </cell>
          <cell r="I9">
            <v>0.30000000000000004</v>
          </cell>
          <cell r="J9">
            <v>6.25E-2</v>
          </cell>
          <cell r="K9">
            <v>0</v>
          </cell>
          <cell r="L9">
            <v>0.125</v>
          </cell>
          <cell r="M9">
            <v>0.17500000000000004</v>
          </cell>
          <cell r="N9">
            <v>-0.30000000000000004</v>
          </cell>
          <cell r="O9">
            <v>0</v>
          </cell>
          <cell r="P9">
            <v>0</v>
          </cell>
        </row>
        <row r="10">
          <cell r="A10" t="str">
            <v>Stock E</v>
          </cell>
          <cell r="B10">
            <v>40</v>
          </cell>
          <cell r="C10">
            <v>20</v>
          </cell>
          <cell r="D10">
            <v>60</v>
          </cell>
          <cell r="E10">
            <v>70</v>
          </cell>
          <cell r="F10">
            <v>49</v>
          </cell>
          <cell r="G10">
            <v>-0.5</v>
          </cell>
          <cell r="H10">
            <v>0.5</v>
          </cell>
          <cell r="I10">
            <v>0.75</v>
          </cell>
          <cell r="J10">
            <v>0.22500000000000009</v>
          </cell>
          <cell r="K10">
            <v>0</v>
          </cell>
          <cell r="L10">
            <v>0.5</v>
          </cell>
          <cell r="M10">
            <v>0.25</v>
          </cell>
          <cell r="N10">
            <v>-0.5</v>
          </cell>
          <cell r="O10">
            <v>0</v>
          </cell>
          <cell r="P10">
            <v>0</v>
          </cell>
        </row>
        <row r="11">
          <cell r="A11" t="str">
            <v>Stock F</v>
          </cell>
          <cell r="B11">
            <v>20</v>
          </cell>
          <cell r="C11">
            <v>10</v>
          </cell>
          <cell r="D11">
            <v>30</v>
          </cell>
          <cell r="E11">
            <v>35</v>
          </cell>
          <cell r="F11">
            <v>23</v>
          </cell>
          <cell r="G11">
            <v>-0.5</v>
          </cell>
          <cell r="H11">
            <v>0.5</v>
          </cell>
          <cell r="I11">
            <v>0.75</v>
          </cell>
          <cell r="J11">
            <v>0.14999999999999991</v>
          </cell>
          <cell r="K11">
            <v>0</v>
          </cell>
          <cell r="L11">
            <v>0.5</v>
          </cell>
          <cell r="M11">
            <v>0.25</v>
          </cell>
          <cell r="N11">
            <v>-0.5</v>
          </cell>
          <cell r="O11">
            <v>0</v>
          </cell>
          <cell r="P11">
            <v>0</v>
          </cell>
        </row>
        <row r="12">
          <cell r="A12" t="str">
            <v>Stock G</v>
          </cell>
          <cell r="B12">
            <v>65</v>
          </cell>
          <cell r="C12">
            <v>35</v>
          </cell>
          <cell r="D12">
            <v>75</v>
          </cell>
          <cell r="E12">
            <v>85</v>
          </cell>
          <cell r="F12">
            <v>64</v>
          </cell>
          <cell r="G12">
            <v>-0.46153846153846156</v>
          </cell>
          <cell r="H12">
            <v>0.15384615384615374</v>
          </cell>
          <cell r="I12">
            <v>0.30769230769230771</v>
          </cell>
          <cell r="J12">
            <v>-1.538461538461533E-2</v>
          </cell>
          <cell r="K12">
            <v>0</v>
          </cell>
          <cell r="L12">
            <v>0.15384615384615374</v>
          </cell>
          <cell r="M12">
            <v>0.15384615384615397</v>
          </cell>
          <cell r="N12">
            <v>-0.46153846153846156</v>
          </cell>
          <cell r="O12">
            <v>0</v>
          </cell>
          <cell r="P12">
            <v>0</v>
          </cell>
        </row>
        <row r="13">
          <cell r="A13" t="str">
            <v>Stock H</v>
          </cell>
          <cell r="B13">
            <v>35</v>
          </cell>
          <cell r="C13">
            <v>20</v>
          </cell>
          <cell r="D13">
            <v>45</v>
          </cell>
          <cell r="E13">
            <v>50</v>
          </cell>
          <cell r="F13">
            <v>30</v>
          </cell>
          <cell r="G13">
            <v>-0.4285714285714286</v>
          </cell>
          <cell r="H13">
            <v>0.28571428571428581</v>
          </cell>
          <cell r="I13">
            <v>0.4285714285714286</v>
          </cell>
          <cell r="J13">
            <v>-0.1428571428571429</v>
          </cell>
          <cell r="K13">
            <v>0</v>
          </cell>
          <cell r="L13">
            <v>0.28571428571428581</v>
          </cell>
          <cell r="M13">
            <v>0.14285714285714279</v>
          </cell>
          <cell r="N13">
            <v>-0.4285714285714286</v>
          </cell>
          <cell r="O13">
            <v>0</v>
          </cell>
          <cell r="P13">
            <v>0</v>
          </cell>
        </row>
        <row r="14">
          <cell r="A14" t="str">
            <v>Stock I</v>
          </cell>
          <cell r="B14">
            <v>16</v>
          </cell>
          <cell r="C14">
            <v>10</v>
          </cell>
          <cell r="D14">
            <v>20</v>
          </cell>
          <cell r="E14">
            <v>23</v>
          </cell>
          <cell r="F14">
            <v>22</v>
          </cell>
          <cell r="G14">
            <v>-0.375</v>
          </cell>
          <cell r="H14">
            <v>0.25</v>
          </cell>
          <cell r="I14">
            <v>0.4375</v>
          </cell>
          <cell r="J14">
            <v>0.375</v>
          </cell>
          <cell r="K14">
            <v>0</v>
          </cell>
          <cell r="L14">
            <v>0.25</v>
          </cell>
          <cell r="M14">
            <v>0.1875</v>
          </cell>
          <cell r="N14">
            <v>-0.375</v>
          </cell>
          <cell r="O14">
            <v>0</v>
          </cell>
          <cell r="P14">
            <v>0</v>
          </cell>
        </row>
      </sheetData>
      <sheetData sheetId="5" refreshError="1"/>
      <sheetData sheetId="6">
        <row r="5">
          <cell r="A5" t="str">
            <v>X-Axis Labels</v>
          </cell>
          <cell r="B5" t="str">
            <v>Invisible</v>
          </cell>
          <cell r="C5" t="str">
            <v>Input
Bases</v>
          </cell>
          <cell r="D5" t="str">
            <v>Input
Increments</v>
          </cell>
          <cell r="E5" t="str">
            <v>Value
Gap</v>
          </cell>
          <cell r="F5" t="str">
            <v>+ Data</v>
          </cell>
          <cell r="G5" t="str">
            <v>- Data</v>
          </cell>
          <cell r="H5" t="str">
            <v>Increment
Labels</v>
          </cell>
        </row>
        <row r="6">
          <cell r="A6" t="str">
            <v>Current
Earnings</v>
          </cell>
          <cell r="C6">
            <v>26</v>
          </cell>
        </row>
        <row r="7">
          <cell r="A7" t="str">
            <v>Growth in
Explicit
Forecast
Period</v>
          </cell>
          <cell r="B7">
            <v>22</v>
          </cell>
          <cell r="D7">
            <v>-4</v>
          </cell>
          <cell r="F7">
            <v>0</v>
          </cell>
          <cell r="G7">
            <v>4</v>
          </cell>
          <cell r="H7">
            <v>4</v>
          </cell>
        </row>
        <row r="8">
          <cell r="A8" t="str">
            <v>Growth in
Terminal
Forecast
Period</v>
          </cell>
          <cell r="B8">
            <v>22</v>
          </cell>
          <cell r="D8">
            <v>8</v>
          </cell>
          <cell r="F8">
            <v>8</v>
          </cell>
          <cell r="G8">
            <v>0</v>
          </cell>
          <cell r="H8">
            <v>8</v>
          </cell>
        </row>
        <row r="9">
          <cell r="A9" t="str">
            <v>Estimated
Intrinsic
Value</v>
          </cell>
          <cell r="C9">
            <v>30</v>
          </cell>
        </row>
        <row r="10">
          <cell r="A10" t="str">
            <v>Value
Gap</v>
          </cell>
          <cell r="B10">
            <v>30</v>
          </cell>
          <cell r="E10">
            <v>10</v>
          </cell>
        </row>
        <row r="11">
          <cell r="A11" t="str">
            <v>Current
Price</v>
          </cell>
          <cell r="C11">
            <v>20</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areTaxoPres"/>
      <sheetName val="Summary"/>
      <sheetName val="Balance Sheet"/>
      <sheetName val="Cash Flow"/>
      <sheetName val="Income"/>
      <sheetName val="May Co Acquisition"/>
      <sheetName val="Drivers"/>
      <sheetName val="__FDSCACHE__"/>
      <sheetName val="Trends"/>
      <sheetName val="Credit Income &amp; SG&amp;A Detail"/>
      <sheetName val="Variance-2Q12"/>
      <sheetName val="2012 Stores"/>
      <sheetName val="online"/>
      <sheetName val="PreFHT"/>
      <sheetName val="MainCode"/>
      <sheetName val="Debt"/>
      <sheetName val="CreditRatios"/>
      <sheetName val="Reported 2009"/>
      <sheetName val="Productivity"/>
      <sheetName val="MWA RR"/>
      <sheetName val="LEASES NEW"/>
      <sheetName val="RNOA - ROE"/>
      <sheetName val="Real Estate"/>
      <sheetName val="mwareValPrintout"/>
      <sheetName val="P Map"/>
      <sheetName val="Asset Sales"/>
      <sheetName val="Ledger"/>
      <sheetName val="Valuation "/>
      <sheetName val="MW-Cache"/>
      <sheetName val="LBO"/>
      <sheetName val="LINKED DATA"/>
      <sheetName val="mwareDates_38951_3819959"/>
      <sheetName val="mwareDates_38951_3889055"/>
      <sheetName val="mwareDates"/>
      <sheetName val="mwareSettings"/>
      <sheetName val="MacabacusCustomFormats"/>
      <sheetName val="Variance"/>
      <sheetName val="Disclosures"/>
      <sheetName val="Guidance"/>
      <sheetName val="Variance-1Q11"/>
      <sheetName val="Variance-2Q11"/>
      <sheetName val="LEASES"/>
      <sheetName val="Inv Turn"/>
      <sheetName val="msri"/>
      <sheetName val="Variance2"/>
      <sheetName val="NY UPLOAD shadow"/>
      <sheetName val="#REF"/>
      <sheetName val="M_working2"/>
      <sheetName val="Variance-1Q12"/>
      <sheetName val="Credit Income"/>
      <sheetName val="Variance-4Q11"/>
      <sheetName val="Variance-3Q11"/>
      <sheetName val="3Q EPS Cheat Sheet"/>
      <sheetName val="Shr Repo"/>
    </sheetNames>
    <sheetDataSet>
      <sheetData sheetId="0"/>
      <sheetData sheetId="1"/>
      <sheetData sheetId="2">
        <row r="3">
          <cell r="AM3" t="str">
            <v>Quarterly Balance Sheet: Base Case - 5/2/13</v>
          </cell>
        </row>
      </sheetData>
      <sheetData sheetId="3">
        <row r="2">
          <cell r="A2" t="str">
            <v>Macy's Inc.</v>
          </cell>
        </row>
      </sheetData>
      <sheetData sheetId="4">
        <row r="1">
          <cell r="EX1" t="str">
            <v>Q1-07</v>
          </cell>
          <cell r="EY1" t="str">
            <v>Q2-07</v>
          </cell>
          <cell r="EZ1" t="str">
            <v>Q3-07</v>
          </cell>
          <cell r="FA1" t="str">
            <v>Q4-07</v>
          </cell>
          <cell r="FD1" t="str">
            <v>Q1-08</v>
          </cell>
          <cell r="FE1" t="str">
            <v>Q2-08</v>
          </cell>
          <cell r="FF1" t="str">
            <v>Q3-08</v>
          </cell>
          <cell r="FG1" t="str">
            <v>Q4-08</v>
          </cell>
          <cell r="FJ1" t="str">
            <v>Q1-09</v>
          </cell>
          <cell r="FK1" t="str">
            <v>Q2-09</v>
          </cell>
          <cell r="FL1" t="str">
            <v>Q3-09</v>
          </cell>
          <cell r="FM1" t="str">
            <v>Q4-09</v>
          </cell>
          <cell r="FP1" t="str">
            <v>Q1-10</v>
          </cell>
          <cell r="FQ1" t="str">
            <v>Q2-10</v>
          </cell>
          <cell r="FR1" t="str">
            <v>Q3-10</v>
          </cell>
          <cell r="FS1" t="str">
            <v>Q4-10</v>
          </cell>
          <cell r="FV1" t="str">
            <v>Q1-11</v>
          </cell>
          <cell r="FW1" t="str">
            <v>Q2-11</v>
          </cell>
          <cell r="FX1" t="str">
            <v>Q3-11</v>
          </cell>
          <cell r="FY1" t="str">
            <v>Q4-11</v>
          </cell>
          <cell r="GB1" t="str">
            <v>Q1-12</v>
          </cell>
          <cell r="GC1" t="str">
            <v>Q2-12</v>
          </cell>
          <cell r="GD1" t="str">
            <v>Q3-12</v>
          </cell>
          <cell r="GE1" t="str">
            <v>Q4-12</v>
          </cell>
          <cell r="GS1" t="str">
            <v>ElementName</v>
          </cell>
          <cell r="GT1" t="str">
            <v>ScaleOverride</v>
          </cell>
          <cell r="GU1" t="str">
            <v>UnitOverride</v>
          </cell>
          <cell r="GV1" t="str">
            <v>ReverseSign</v>
          </cell>
          <cell r="GW1" t="str">
            <v>IsDrivinFYssumption</v>
          </cell>
          <cell r="GX1" t="str">
            <v>SegmentID</v>
          </cell>
        </row>
        <row r="2">
          <cell r="A2" t="str">
            <v>Macy's Inc.</v>
          </cell>
          <cell r="F2" t="str">
            <v>Federated (Post-Bankruptcy)</v>
          </cell>
          <cell r="K2" t="str">
            <v>Combined Federated + Macy's;  Adjusted for Broadway</v>
          </cell>
          <cell r="R2" t="str">
            <v>Ex-Fingerhut</v>
          </cell>
          <cell r="X2" t="str">
            <v>Proforma -- May Department Stores</v>
          </cell>
          <cell r="AN2" t="str">
            <v>Macy's Inc.</v>
          </cell>
          <cell r="AO2" t="str">
            <v>Not Adjusted For Consistency</v>
          </cell>
          <cell r="DH2" t="str">
            <v>Adjusted -- Fingerhut Disposition</v>
          </cell>
          <cell r="EN2" t="str">
            <v>Proforma -- May Department Stores</v>
          </cell>
        </row>
        <row r="3">
          <cell r="A3" t="str">
            <v>Annual Income Statement: Base Case - 5/2/13</v>
          </cell>
          <cell r="E3" t="str">
            <v>RPT'D</v>
          </cell>
          <cell r="F3" t="str">
            <v>PFMA</v>
          </cell>
          <cell r="J3" t="str">
            <v>91P-94E</v>
          </cell>
          <cell r="K3" t="str">
            <v>PFMA</v>
          </cell>
          <cell r="L3" t="str">
            <v>FD+MCO</v>
          </cell>
          <cell r="AN3" t="str">
            <v>Quarterly Income Statement: Base Case - 5/2/13</v>
          </cell>
          <cell r="BY3" t="str">
            <v>1995A</v>
          </cell>
          <cell r="CJ3">
            <v>1996</v>
          </cell>
          <cell r="CR3">
            <v>1997</v>
          </cell>
          <cell r="CX3">
            <v>1998</v>
          </cell>
          <cell r="DD3">
            <v>1999</v>
          </cell>
          <cell r="DJ3">
            <v>2000</v>
          </cell>
          <cell r="DP3">
            <v>2001</v>
          </cell>
          <cell r="DV3">
            <v>2002</v>
          </cell>
          <cell r="EB3">
            <v>2003</v>
          </cell>
          <cell r="EH3">
            <v>2004</v>
          </cell>
          <cell r="EN3">
            <v>2005</v>
          </cell>
          <cell r="ET3">
            <v>2006</v>
          </cell>
          <cell r="EX3">
            <v>39447</v>
          </cell>
          <cell r="FD3">
            <v>39813</v>
          </cell>
          <cell r="FJ3">
            <v>40178</v>
          </cell>
          <cell r="FP3">
            <v>40543</v>
          </cell>
          <cell r="FV3">
            <v>40908</v>
          </cell>
          <cell r="FZ3" t="str">
            <v xml:space="preserve"> </v>
          </cell>
          <cell r="GB3">
            <v>41274</v>
          </cell>
          <cell r="GF3" t="str">
            <v xml:space="preserve"> </v>
          </cell>
        </row>
        <row r="4">
          <cell r="A4" t="str">
            <v>($ Millions)</v>
          </cell>
          <cell r="C4">
            <v>32873</v>
          </cell>
          <cell r="D4">
            <v>1990</v>
          </cell>
          <cell r="E4">
            <v>1991</v>
          </cell>
          <cell r="F4">
            <v>1991</v>
          </cell>
          <cell r="G4" t="str">
            <v>1992</v>
          </cell>
          <cell r="H4">
            <v>1993</v>
          </cell>
          <cell r="I4">
            <v>1994</v>
          </cell>
          <cell r="J4" t="str">
            <v>CAGR</v>
          </cell>
          <cell r="K4" t="str">
            <v>1994P</v>
          </cell>
          <cell r="L4">
            <v>1995</v>
          </cell>
          <cell r="N4">
            <v>1995</v>
          </cell>
          <cell r="O4">
            <v>1996</v>
          </cell>
          <cell r="P4">
            <v>1997</v>
          </cell>
          <cell r="Q4">
            <v>1998</v>
          </cell>
          <cell r="R4">
            <v>1999</v>
          </cell>
          <cell r="S4">
            <v>2000</v>
          </cell>
          <cell r="T4">
            <v>2001</v>
          </cell>
          <cell r="U4">
            <v>2002</v>
          </cell>
          <cell r="V4">
            <v>2003</v>
          </cell>
          <cell r="W4">
            <v>2004</v>
          </cell>
          <cell r="X4">
            <v>2005</v>
          </cell>
          <cell r="Y4">
            <v>2006</v>
          </cell>
          <cell r="Z4">
            <v>2007</v>
          </cell>
          <cell r="AA4">
            <v>2008</v>
          </cell>
          <cell r="AB4">
            <v>2009</v>
          </cell>
          <cell r="AC4">
            <v>2010</v>
          </cell>
          <cell r="AD4">
            <v>2011</v>
          </cell>
          <cell r="AE4" t="str">
            <v>2012E</v>
          </cell>
          <cell r="AF4" t="str">
            <v>2013E</v>
          </cell>
          <cell r="AG4" t="str">
            <v>2014E</v>
          </cell>
          <cell r="AH4" t="str">
            <v>2015E</v>
          </cell>
          <cell r="AI4" t="str">
            <v>2016E</v>
          </cell>
          <cell r="AJ4" t="str">
            <v>2017E</v>
          </cell>
          <cell r="AK4" t="str">
            <v>2018E</v>
          </cell>
          <cell r="AL4" t="str">
            <v>2019E</v>
          </cell>
          <cell r="AN4" t="str">
            <v>($ Millions)</v>
          </cell>
          <cell r="AO4" t="str">
            <v>Q1</v>
          </cell>
          <cell r="AP4" t="str">
            <v>Q2</v>
          </cell>
          <cell r="AQ4" t="str">
            <v>Q3</v>
          </cell>
          <cell r="AR4" t="str">
            <v>Q4</v>
          </cell>
          <cell r="AS4" t="str">
            <v>Year</v>
          </cell>
          <cell r="AU4" t="str">
            <v>Q1</v>
          </cell>
          <cell r="AV4" t="str">
            <v>Q2</v>
          </cell>
          <cell r="AW4" t="str">
            <v>Q3</v>
          </cell>
          <cell r="AX4" t="str">
            <v>Q4</v>
          </cell>
          <cell r="AY4" t="str">
            <v>Year</v>
          </cell>
          <cell r="BA4" t="str">
            <v>Q1</v>
          </cell>
          <cell r="BB4" t="str">
            <v>Q2</v>
          </cell>
          <cell r="BC4" t="str">
            <v>Q3</v>
          </cell>
          <cell r="BD4" t="str">
            <v>Q4</v>
          </cell>
          <cell r="BE4" t="str">
            <v>Year</v>
          </cell>
          <cell r="BG4" t="str">
            <v>Q1</v>
          </cell>
          <cell r="BH4" t="str">
            <v>Q2</v>
          </cell>
          <cell r="BI4" t="str">
            <v>Q3</v>
          </cell>
          <cell r="BJ4" t="str">
            <v>Q4</v>
          </cell>
          <cell r="BK4" t="str">
            <v>Year</v>
          </cell>
          <cell r="BM4" t="str">
            <v>Q1</v>
          </cell>
          <cell r="BN4" t="str">
            <v>Q2</v>
          </cell>
          <cell r="BO4" t="str">
            <v>Q3</v>
          </cell>
          <cell r="BP4" t="str">
            <v>Q4</v>
          </cell>
          <cell r="BQ4" t="str">
            <v>Year</v>
          </cell>
          <cell r="BS4" t="str">
            <v>Q1P</v>
          </cell>
          <cell r="BT4" t="str">
            <v>Q2P</v>
          </cell>
          <cell r="BU4" t="str">
            <v>Q3P</v>
          </cell>
          <cell r="BV4" t="str">
            <v>Q4P</v>
          </cell>
          <cell r="BW4" t="str">
            <v>Year P</v>
          </cell>
          <cell r="BY4" t="str">
            <v>Q1</v>
          </cell>
          <cell r="BZ4" t="str">
            <v>Q2</v>
          </cell>
          <cell r="CA4" t="str">
            <v>Q3</v>
          </cell>
          <cell r="CB4" t="str">
            <v>Q3</v>
          </cell>
          <cell r="CC4" t="str">
            <v>Q3</v>
          </cell>
          <cell r="CD4" t="str">
            <v>Q4</v>
          </cell>
          <cell r="CE4" t="str">
            <v>Q4</v>
          </cell>
          <cell r="CF4" t="str">
            <v>Year</v>
          </cell>
          <cell r="CG4" t="str">
            <v>Year</v>
          </cell>
          <cell r="CH4" t="str">
            <v>Year</v>
          </cell>
          <cell r="CJ4" t="str">
            <v>Q1</v>
          </cell>
          <cell r="CK4" t="str">
            <v>Q2</v>
          </cell>
          <cell r="CL4" t="str">
            <v>Q3</v>
          </cell>
          <cell r="CM4" t="str">
            <v>Q4</v>
          </cell>
          <cell r="CN4" t="str">
            <v>Year</v>
          </cell>
          <cell r="CP4" t="str">
            <v>Q1</v>
          </cell>
          <cell r="CQ4" t="str">
            <v>Q2</v>
          </cell>
          <cell r="CR4" t="str">
            <v>Q3</v>
          </cell>
          <cell r="CS4" t="str">
            <v>Q4</v>
          </cell>
          <cell r="CT4" t="str">
            <v>Year</v>
          </cell>
          <cell r="CV4" t="str">
            <v>Q1</v>
          </cell>
          <cell r="CW4" t="str">
            <v>Q2</v>
          </cell>
          <cell r="CX4" t="str">
            <v>Q3</v>
          </cell>
          <cell r="CY4" t="str">
            <v>Q4</v>
          </cell>
          <cell r="CZ4" t="str">
            <v>Year</v>
          </cell>
          <cell r="DB4" t="str">
            <v>Q1</v>
          </cell>
          <cell r="DC4" t="str">
            <v>Q2</v>
          </cell>
          <cell r="DD4" t="str">
            <v>Q3</v>
          </cell>
          <cell r="DE4" t="str">
            <v>Q4</v>
          </cell>
          <cell r="DF4" t="str">
            <v>Year</v>
          </cell>
          <cell r="DH4" t="str">
            <v>Q1</v>
          </cell>
          <cell r="DI4" t="str">
            <v>Q2</v>
          </cell>
          <cell r="DJ4" t="str">
            <v>Q3</v>
          </cell>
          <cell r="DK4" t="str">
            <v>Q4</v>
          </cell>
          <cell r="DL4">
            <v>2000</v>
          </cell>
          <cell r="DN4" t="str">
            <v>Q1A</v>
          </cell>
          <cell r="DO4" t="str">
            <v>Q2A</v>
          </cell>
          <cell r="DP4" t="str">
            <v>Q3A</v>
          </cell>
          <cell r="DQ4" t="str">
            <v>Q4A</v>
          </cell>
          <cell r="DR4">
            <v>2001</v>
          </cell>
          <cell r="DT4" t="str">
            <v>Q1A</v>
          </cell>
          <cell r="DU4" t="str">
            <v>Q2A</v>
          </cell>
          <cell r="DV4" t="str">
            <v>Q3A</v>
          </cell>
          <cell r="DW4" t="str">
            <v>Q4A</v>
          </cell>
          <cell r="DX4">
            <v>2002</v>
          </cell>
          <cell r="DZ4" t="str">
            <v>Q1A</v>
          </cell>
          <cell r="EA4" t="str">
            <v>Q2A</v>
          </cell>
          <cell r="EB4" t="str">
            <v>Q3A</v>
          </cell>
          <cell r="EC4" t="str">
            <v>Q4A</v>
          </cell>
          <cell r="ED4">
            <v>2003</v>
          </cell>
          <cell r="EF4" t="str">
            <v>Q1A</v>
          </cell>
          <cell r="EG4" t="str">
            <v>Q2A</v>
          </cell>
          <cell r="EH4" t="str">
            <v>Q3A</v>
          </cell>
          <cell r="EI4" t="str">
            <v>Q4A</v>
          </cell>
          <cell r="EJ4">
            <v>2004</v>
          </cell>
          <cell r="EL4" t="str">
            <v>Q1A</v>
          </cell>
          <cell r="EM4" t="str">
            <v>Q2A</v>
          </cell>
          <cell r="EN4" t="str">
            <v>Q3A</v>
          </cell>
          <cell r="EO4" t="str">
            <v>Q4A</v>
          </cell>
          <cell r="EP4">
            <v>2005</v>
          </cell>
          <cell r="ER4" t="str">
            <v>Q1A</v>
          </cell>
          <cell r="ES4" t="str">
            <v>Q2A</v>
          </cell>
          <cell r="ET4" t="str">
            <v>Q3A</v>
          </cell>
          <cell r="EU4" t="str">
            <v>Q4A</v>
          </cell>
          <cell r="EV4">
            <v>2006</v>
          </cell>
          <cell r="EX4">
            <v>1</v>
          </cell>
          <cell r="EY4">
            <v>2</v>
          </cell>
          <cell r="EZ4">
            <v>3</v>
          </cell>
          <cell r="FA4">
            <v>4</v>
          </cell>
          <cell r="FB4" t="str">
            <v>Year</v>
          </cell>
          <cell r="FD4">
            <v>1</v>
          </cell>
          <cell r="FE4">
            <v>2</v>
          </cell>
          <cell r="FF4">
            <v>3</v>
          </cell>
          <cell r="FG4">
            <v>4</v>
          </cell>
          <cell r="FH4" t="str">
            <v>Year</v>
          </cell>
          <cell r="FJ4">
            <v>1</v>
          </cell>
          <cell r="FK4">
            <v>2</v>
          </cell>
          <cell r="FL4">
            <v>3</v>
          </cell>
          <cell r="FM4">
            <v>4</v>
          </cell>
          <cell r="FN4" t="str">
            <v>Year</v>
          </cell>
          <cell r="FP4">
            <v>1</v>
          </cell>
          <cell r="FQ4">
            <v>2</v>
          </cell>
          <cell r="FR4">
            <v>3</v>
          </cell>
          <cell r="FS4">
            <v>4</v>
          </cell>
          <cell r="FT4" t="str">
            <v>Year</v>
          </cell>
          <cell r="FV4">
            <v>1</v>
          </cell>
          <cell r="FW4">
            <v>2</v>
          </cell>
          <cell r="FX4">
            <v>3</v>
          </cell>
          <cell r="FY4">
            <v>4</v>
          </cell>
          <cell r="FZ4" t="str">
            <v>Year</v>
          </cell>
          <cell r="GB4">
            <v>1</v>
          </cell>
          <cell r="GC4">
            <v>2</v>
          </cell>
          <cell r="GD4">
            <v>3</v>
          </cell>
          <cell r="GE4">
            <v>4</v>
          </cell>
          <cell r="GF4" t="str">
            <v>Year</v>
          </cell>
        </row>
        <row r="5">
          <cell r="A5" t="str">
            <v>R=Restated  O=Originally Reported</v>
          </cell>
          <cell r="N5" t="str">
            <v>R-1999</v>
          </cell>
          <cell r="O5" t="str">
            <v>R-2000</v>
          </cell>
          <cell r="P5" t="str">
            <v>R-2001</v>
          </cell>
          <cell r="Q5" t="str">
            <v>R-2001</v>
          </cell>
          <cell r="R5" t="str">
            <v>R-2001</v>
          </cell>
          <cell r="S5" t="str">
            <v>R-2001</v>
          </cell>
          <cell r="T5" t="str">
            <v>R-2005</v>
          </cell>
          <cell r="U5" t="str">
            <v>R-2005</v>
          </cell>
          <cell r="V5" t="str">
            <v>R-2005</v>
          </cell>
          <cell r="W5" t="str">
            <v>R-2005</v>
          </cell>
          <cell r="X5" t="str">
            <v>O-2005</v>
          </cell>
          <cell r="Y5" t="str">
            <v>O-Q406</v>
          </cell>
          <cell r="Z5" t="str">
            <v>O-Q407</v>
          </cell>
          <cell r="DH5" t="str">
            <v>R-2001</v>
          </cell>
          <cell r="DI5" t="str">
            <v>R-2001</v>
          </cell>
          <cell r="DJ5" t="str">
            <v>R-2001</v>
          </cell>
          <cell r="DK5" t="str">
            <v>R-Q401</v>
          </cell>
          <cell r="DL5" t="str">
            <v>R-2001</v>
          </cell>
          <cell r="DN5" t="str">
            <v>R-Q102</v>
          </cell>
          <cell r="DO5" t="str">
            <v>R-Q202</v>
          </cell>
          <cell r="DP5" t="str">
            <v>R-Q302</v>
          </cell>
          <cell r="DQ5" t="str">
            <v>O-Q402</v>
          </cell>
          <cell r="DR5" t="str">
            <v>R-2005</v>
          </cell>
          <cell r="DT5" t="str">
            <v>O-Q102</v>
          </cell>
          <cell r="DU5" t="str">
            <v>O-Q202</v>
          </cell>
          <cell r="DV5" t="str">
            <v>O-Q302</v>
          </cell>
          <cell r="DW5" t="str">
            <v>O-Q402</v>
          </cell>
          <cell r="DX5" t="str">
            <v>R-2005</v>
          </cell>
          <cell r="DZ5" t="str">
            <v>O-Q103</v>
          </cell>
          <cell r="EA5" t="str">
            <v>O-Q203</v>
          </cell>
          <cell r="EB5" t="str">
            <v>O-Q303</v>
          </cell>
          <cell r="EC5" t="str">
            <v>O-Q403</v>
          </cell>
          <cell r="ED5" t="str">
            <v>R-2005</v>
          </cell>
          <cell r="EF5" t="str">
            <v>R-Q105</v>
          </cell>
          <cell r="EG5" t="str">
            <v>R-Q205</v>
          </cell>
          <cell r="EH5" t="str">
            <v>R-Q305</v>
          </cell>
          <cell r="EI5" t="str">
            <v>R-Q405</v>
          </cell>
          <cell r="EJ5" t="str">
            <v>R-2005</v>
          </cell>
          <cell r="EL5" t="str">
            <v>O-Q105</v>
          </cell>
          <cell r="EM5" t="str">
            <v>O-Q205</v>
          </cell>
          <cell r="EN5" t="str">
            <v>R-2005</v>
          </cell>
          <cell r="EO5" t="str">
            <v>O-Q405</v>
          </cell>
          <cell r="EP5" t="str">
            <v>O-2005</v>
          </cell>
          <cell r="ER5" t="str">
            <v>O-Q106</v>
          </cell>
          <cell r="ES5" t="str">
            <v>O-Q206</v>
          </cell>
          <cell r="ET5" t="str">
            <v>O-Q306</v>
          </cell>
          <cell r="EU5" t="str">
            <v>O-Q406</v>
          </cell>
          <cell r="EV5" t="str">
            <v>O-Q406</v>
          </cell>
          <cell r="FB5" t="str">
            <v>O-Q407</v>
          </cell>
          <cell r="GE5" t="str">
            <v>53rd Week</v>
          </cell>
        </row>
        <row r="7">
          <cell r="A7" t="str">
            <v>Retail Revenues</v>
          </cell>
          <cell r="C7">
            <v>7577.5860000000002</v>
          </cell>
          <cell r="D7">
            <v>7141.9830000000002</v>
          </cell>
          <cell r="E7">
            <v>6932.3230000000003</v>
          </cell>
          <cell r="F7">
            <v>6932.3230000000003</v>
          </cell>
          <cell r="G7">
            <v>7079.9410000000007</v>
          </cell>
          <cell r="H7">
            <v>7229.4059999999999</v>
          </cell>
          <cell r="I7">
            <v>7707.476999999999</v>
          </cell>
          <cell r="J7">
            <v>3.5963567590107104E-2</v>
          </cell>
          <cell r="K7">
            <v>13701.5</v>
          </cell>
          <cell r="L7">
            <v>13998.034</v>
          </cell>
          <cell r="N7">
            <v>14614</v>
          </cell>
          <cell r="O7">
            <v>14833</v>
          </cell>
          <cell r="P7">
            <v>15220</v>
          </cell>
          <cell r="Q7">
            <v>15365</v>
          </cell>
          <cell r="R7">
            <v>16029</v>
          </cell>
          <cell r="S7">
            <v>16638</v>
          </cell>
          <cell r="T7">
            <v>15785</v>
          </cell>
          <cell r="U7">
            <v>15571</v>
          </cell>
          <cell r="V7">
            <v>15412</v>
          </cell>
          <cell r="W7">
            <v>15776</v>
          </cell>
          <cell r="X7">
            <v>22390</v>
          </cell>
          <cell r="Y7">
            <v>26970</v>
          </cell>
          <cell r="Z7">
            <v>26313</v>
          </cell>
          <cell r="AA7">
            <v>24892</v>
          </cell>
          <cell r="AB7">
            <v>23895</v>
          </cell>
          <cell r="AC7">
            <v>25003</v>
          </cell>
          <cell r="AD7">
            <v>26405</v>
          </cell>
          <cell r="AE7">
            <v>27697.820605365057</v>
          </cell>
          <cell r="AF7">
            <v>28358.892641397051</v>
          </cell>
          <cell r="AG7">
            <v>28905.408744504351</v>
          </cell>
          <cell r="AH7">
            <v>29204.897015558319</v>
          </cell>
          <cell r="AI7">
            <v>29496.945985713905</v>
          </cell>
          <cell r="AJ7">
            <v>29791.915445571045</v>
          </cell>
          <cell r="AK7">
            <v>30089.834600026756</v>
          </cell>
          <cell r="AL7">
            <v>30390.732946027023</v>
          </cell>
          <cell r="AN7" t="str">
            <v>Retail Revenues</v>
          </cell>
          <cell r="AO7">
            <v>1590.46</v>
          </cell>
          <cell r="AP7">
            <v>1525.692</v>
          </cell>
          <cell r="AQ7">
            <v>1767.327</v>
          </cell>
          <cell r="AR7">
            <v>2258.5039999999999</v>
          </cell>
          <cell r="AS7">
            <v>7141.9830000000002</v>
          </cell>
          <cell r="AU7">
            <v>1593.4190000000001</v>
          </cell>
          <cell r="AV7">
            <v>1495.7429999999999</v>
          </cell>
          <cell r="AW7">
            <v>1708.9010000000001</v>
          </cell>
          <cell r="AX7">
            <v>2134.2600000000002</v>
          </cell>
          <cell r="AY7">
            <v>6932.3230000000003</v>
          </cell>
          <cell r="BA7">
            <v>1571.7260000000001</v>
          </cell>
          <cell r="BB7">
            <v>1457.212</v>
          </cell>
          <cell r="BC7">
            <v>1788.9649999999999</v>
          </cell>
          <cell r="BD7">
            <v>2262.038</v>
          </cell>
          <cell r="BE7">
            <v>7079.9410000000007</v>
          </cell>
          <cell r="BG7">
            <v>1590.259</v>
          </cell>
          <cell r="BH7">
            <v>1502.288</v>
          </cell>
          <cell r="BI7">
            <v>1789.3150000000001</v>
          </cell>
          <cell r="BJ7">
            <v>2347.5439999999999</v>
          </cell>
          <cell r="BK7">
            <v>7229.4059999999999</v>
          </cell>
          <cell r="BM7">
            <v>1653.6310000000001</v>
          </cell>
          <cell r="BN7">
            <v>1596.1</v>
          </cell>
          <cell r="BO7">
            <v>1926.8109999999999</v>
          </cell>
          <cell r="BP7">
            <v>2530.9349999999999</v>
          </cell>
          <cell r="BQ7">
            <v>7707.476999999999</v>
          </cell>
          <cell r="BS7">
            <v>2938</v>
          </cell>
          <cell r="BT7">
            <v>2930.8</v>
          </cell>
          <cell r="BU7">
            <v>3352.6</v>
          </cell>
          <cell r="BV7">
            <v>4480.1000000000004</v>
          </cell>
          <cell r="BW7">
            <v>13701.5</v>
          </cell>
          <cell r="BY7">
            <v>2988.0059999999999</v>
          </cell>
          <cell r="BZ7">
            <v>3047</v>
          </cell>
          <cell r="CA7">
            <v>3333.5279999999998</v>
          </cell>
          <cell r="CB7">
            <v>414.8</v>
          </cell>
          <cell r="CC7">
            <v>3748.3690000000001</v>
          </cell>
          <cell r="CD7">
            <v>4629.5</v>
          </cell>
          <cell r="CE7">
            <v>5264.9</v>
          </cell>
          <cell r="CF7">
            <v>13998.034</v>
          </cell>
          <cell r="CG7">
            <v>14633.433999999999</v>
          </cell>
          <cell r="CH7">
            <v>15048.233999999999</v>
          </cell>
          <cell r="CJ7">
            <v>3300.7</v>
          </cell>
          <cell r="CK7">
            <v>3284.2280000000001</v>
          </cell>
          <cell r="CL7">
            <v>3609.1480000000001</v>
          </cell>
          <cell r="CM7">
            <v>5034.9579999999996</v>
          </cell>
          <cell r="CN7">
            <v>15229.034</v>
          </cell>
          <cell r="CP7">
            <v>3409.0909999999999</v>
          </cell>
          <cell r="CQ7">
            <v>3452.8290000000002</v>
          </cell>
          <cell r="CR7">
            <v>3746.2759999999998</v>
          </cell>
          <cell r="CS7">
            <v>5060.116</v>
          </cell>
          <cell r="CT7">
            <v>15668.312</v>
          </cell>
          <cell r="CV7">
            <v>3357</v>
          </cell>
          <cell r="CW7">
            <v>3426</v>
          </cell>
          <cell r="CX7">
            <v>3548</v>
          </cell>
          <cell r="CY7">
            <v>5034</v>
          </cell>
          <cell r="CZ7">
            <v>15365</v>
          </cell>
          <cell r="DB7">
            <v>3470</v>
          </cell>
          <cell r="DC7">
            <v>3609</v>
          </cell>
          <cell r="DD7">
            <v>3691</v>
          </cell>
          <cell r="DE7">
            <v>5259</v>
          </cell>
          <cell r="DF7">
            <v>16029</v>
          </cell>
          <cell r="DH7">
            <v>3573</v>
          </cell>
          <cell r="DI7">
            <v>3679</v>
          </cell>
          <cell r="DJ7">
            <v>3782</v>
          </cell>
          <cell r="DK7">
            <v>5604</v>
          </cell>
          <cell r="DL7">
            <v>16638</v>
          </cell>
          <cell r="DN7">
            <v>3556</v>
          </cell>
          <cell r="DO7">
            <v>3488</v>
          </cell>
          <cell r="DP7">
            <v>3475</v>
          </cell>
          <cell r="DQ7">
            <v>5132</v>
          </cell>
          <cell r="DR7">
            <v>15785</v>
          </cell>
          <cell r="DT7">
            <v>3453</v>
          </cell>
          <cell r="DU7">
            <v>3486</v>
          </cell>
          <cell r="DV7">
            <v>3479</v>
          </cell>
          <cell r="DW7">
            <v>5017</v>
          </cell>
          <cell r="DX7">
            <v>15571</v>
          </cell>
          <cell r="DZ7">
            <v>3291</v>
          </cell>
          <cell r="EA7">
            <v>3434</v>
          </cell>
          <cell r="EB7">
            <v>3486</v>
          </cell>
          <cell r="EC7">
            <v>5053</v>
          </cell>
          <cell r="ED7">
            <v>15412</v>
          </cell>
          <cell r="EF7">
            <v>3550</v>
          </cell>
          <cell r="EG7">
            <v>3581</v>
          </cell>
          <cell r="EH7">
            <v>3525</v>
          </cell>
          <cell r="EI7">
            <v>5120</v>
          </cell>
          <cell r="EJ7">
            <v>15776</v>
          </cell>
          <cell r="EL7">
            <v>3641</v>
          </cell>
          <cell r="EM7">
            <v>3623</v>
          </cell>
          <cell r="EN7">
            <v>5555</v>
          </cell>
          <cell r="EO7">
            <v>9571</v>
          </cell>
          <cell r="EP7">
            <v>22390</v>
          </cell>
          <cell r="ER7">
            <v>5930</v>
          </cell>
          <cell r="ES7">
            <v>5995</v>
          </cell>
          <cell r="ET7">
            <v>5886</v>
          </cell>
          <cell r="EU7">
            <v>9159</v>
          </cell>
          <cell r="EV7">
            <v>26970</v>
          </cell>
          <cell r="EX7">
            <v>5921</v>
          </cell>
          <cell r="EY7">
            <v>5892</v>
          </cell>
          <cell r="EZ7">
            <v>5906</v>
          </cell>
          <cell r="FA7">
            <v>8594</v>
          </cell>
          <cell r="FB7">
            <v>26313</v>
          </cell>
          <cell r="FD7">
            <v>5747</v>
          </cell>
          <cell r="FE7">
            <v>5718</v>
          </cell>
          <cell r="FF7">
            <v>5493</v>
          </cell>
          <cell r="FG7">
            <v>7934</v>
          </cell>
          <cell r="FH7">
            <v>24892</v>
          </cell>
          <cell r="FJ7">
            <v>5288</v>
          </cell>
          <cell r="FK7">
            <v>5285</v>
          </cell>
          <cell r="FL7">
            <v>5385</v>
          </cell>
          <cell r="FM7">
            <v>7937</v>
          </cell>
          <cell r="FN7">
            <v>23895</v>
          </cell>
          <cell r="FP7">
            <v>5574</v>
          </cell>
          <cell r="FQ7">
            <v>5537</v>
          </cell>
          <cell r="FR7">
            <v>5623</v>
          </cell>
          <cell r="FS7">
            <v>8269</v>
          </cell>
          <cell r="FT7">
            <v>25003</v>
          </cell>
          <cell r="FV7">
            <v>5889</v>
          </cell>
          <cell r="FW7">
            <v>5939</v>
          </cell>
          <cell r="FX7">
            <v>5853</v>
          </cell>
          <cell r="FY7">
            <v>8724</v>
          </cell>
          <cell r="FZ7">
            <v>26405</v>
          </cell>
          <cell r="GB7">
            <v>6143</v>
          </cell>
          <cell r="GC7">
            <v>6118</v>
          </cell>
          <cell r="GD7">
            <v>6069.6866469352608</v>
          </cell>
          <cell r="GE7">
            <v>9367.1339584297966</v>
          </cell>
          <cell r="GF7">
            <v>27697.820605365057</v>
          </cell>
        </row>
        <row r="8">
          <cell r="A8" t="str">
            <v>Direct-to-consumer</v>
          </cell>
          <cell r="AN8" t="str">
            <v>Direct-to-consumer</v>
          </cell>
          <cell r="CP8" t="str">
            <v>--</v>
          </cell>
          <cell r="CQ8" t="str">
            <v>--</v>
          </cell>
          <cell r="CR8" t="str">
            <v>--</v>
          </cell>
          <cell r="CS8" t="str">
            <v>--</v>
          </cell>
          <cell r="CT8" t="str">
            <v>--</v>
          </cell>
          <cell r="DB8">
            <v>130</v>
          </cell>
          <cell r="DC8">
            <v>397</v>
          </cell>
          <cell r="DD8">
            <v>446</v>
          </cell>
          <cell r="DE8">
            <v>714</v>
          </cell>
          <cell r="DF8">
            <v>1687</v>
          </cell>
        </row>
        <row r="9">
          <cell r="A9" t="str">
            <v>Total Revenues</v>
          </cell>
          <cell r="K9">
            <v>13701.5</v>
          </cell>
          <cell r="L9">
            <v>13998.034</v>
          </cell>
          <cell r="N9">
            <v>14614</v>
          </cell>
          <cell r="O9">
            <v>14833</v>
          </cell>
          <cell r="P9">
            <v>15220</v>
          </cell>
          <cell r="Q9">
            <v>15365</v>
          </cell>
          <cell r="R9">
            <v>16029</v>
          </cell>
          <cell r="S9">
            <v>16638</v>
          </cell>
          <cell r="T9">
            <v>15785</v>
          </cell>
          <cell r="U9">
            <v>15571</v>
          </cell>
          <cell r="V9">
            <v>15412</v>
          </cell>
          <cell r="W9">
            <v>15776</v>
          </cell>
          <cell r="X9">
            <v>22390</v>
          </cell>
          <cell r="Y9">
            <v>26970</v>
          </cell>
          <cell r="Z9">
            <v>26313</v>
          </cell>
          <cell r="AA9">
            <v>24892</v>
          </cell>
          <cell r="AB9">
            <v>23895</v>
          </cell>
          <cell r="AC9">
            <v>25003</v>
          </cell>
          <cell r="AD9">
            <v>26405</v>
          </cell>
          <cell r="AE9">
            <v>27697.820605365057</v>
          </cell>
          <cell r="AF9">
            <v>28358.892641397051</v>
          </cell>
          <cell r="AG9">
            <v>28905.408744504351</v>
          </cell>
          <cell r="AH9">
            <v>29204.897015558319</v>
          </cell>
          <cell r="AI9">
            <v>29496.945985713905</v>
          </cell>
          <cell r="AJ9">
            <v>29791.915445571045</v>
          </cell>
          <cell r="AK9">
            <v>30089.834600026756</v>
          </cell>
          <cell r="AL9">
            <v>30390.732946027023</v>
          </cell>
          <cell r="AN9" t="str">
            <v>Total Revenues</v>
          </cell>
          <cell r="AO9">
            <v>1590.46</v>
          </cell>
          <cell r="AP9">
            <v>1525.692</v>
          </cell>
          <cell r="AQ9">
            <v>1767.327</v>
          </cell>
          <cell r="AR9">
            <v>2258.5039999999999</v>
          </cell>
          <cell r="AS9">
            <v>7141.9830000000002</v>
          </cell>
          <cell r="AU9">
            <v>1593.4190000000001</v>
          </cell>
          <cell r="AV9">
            <v>1495.7429999999999</v>
          </cell>
          <cell r="AW9">
            <v>1708.9010000000001</v>
          </cell>
          <cell r="AX9">
            <v>2134.2600000000002</v>
          </cell>
          <cell r="AY9">
            <v>6932.3230000000003</v>
          </cell>
          <cell r="BA9">
            <v>1571.7260000000001</v>
          </cell>
          <cell r="BB9">
            <v>1457.212</v>
          </cell>
          <cell r="BC9">
            <v>1788.9649999999999</v>
          </cell>
          <cell r="BD9">
            <v>2262.038</v>
          </cell>
          <cell r="BE9">
            <v>7079.9410000000007</v>
          </cell>
          <cell r="BG9">
            <v>1590.259</v>
          </cell>
          <cell r="BH9">
            <v>1502.288</v>
          </cell>
          <cell r="BI9">
            <v>1789.3150000000001</v>
          </cell>
          <cell r="BJ9">
            <v>2347.5439999999999</v>
          </cell>
          <cell r="BK9">
            <v>7229.4059999999999</v>
          </cell>
          <cell r="BM9">
            <v>1653.6310000000001</v>
          </cell>
          <cell r="BN9">
            <v>1596.1</v>
          </cell>
          <cell r="BO9">
            <v>1926.8109999999999</v>
          </cell>
          <cell r="BP9">
            <v>2530.9349999999999</v>
          </cell>
          <cell r="BQ9">
            <v>7707.476999999999</v>
          </cell>
          <cell r="BS9">
            <v>2938</v>
          </cell>
          <cell r="BT9">
            <v>2930.8</v>
          </cell>
          <cell r="BU9">
            <v>3352.6</v>
          </cell>
          <cell r="BV9">
            <v>4480.1000000000004</v>
          </cell>
          <cell r="BW9">
            <v>13701.5</v>
          </cell>
          <cell r="BY9">
            <v>2988.0059999999999</v>
          </cell>
          <cell r="BZ9">
            <v>3047</v>
          </cell>
          <cell r="CA9">
            <v>3333.5279999999998</v>
          </cell>
          <cell r="CB9">
            <v>414.8</v>
          </cell>
          <cell r="CC9">
            <v>3748.3690000000001</v>
          </cell>
          <cell r="CD9">
            <v>4629.5</v>
          </cell>
          <cell r="CE9">
            <v>5264.9</v>
          </cell>
          <cell r="CF9">
            <v>13998.034</v>
          </cell>
          <cell r="CG9">
            <v>14633.433999999999</v>
          </cell>
          <cell r="CH9">
            <v>15048.233999999999</v>
          </cell>
          <cell r="CJ9">
            <v>3300.7</v>
          </cell>
          <cell r="CK9">
            <v>3284.2280000000001</v>
          </cell>
          <cell r="CL9">
            <v>3609.1480000000001</v>
          </cell>
          <cell r="CM9">
            <v>5034.9579999999996</v>
          </cell>
          <cell r="CN9">
            <v>15229.034</v>
          </cell>
          <cell r="CP9">
            <v>3409.0909999999999</v>
          </cell>
          <cell r="CQ9">
            <v>3452.8290000000002</v>
          </cell>
          <cell r="CR9">
            <v>3746.2759999999998</v>
          </cell>
          <cell r="CS9">
            <v>5060.116</v>
          </cell>
          <cell r="CT9">
            <v>15668.312</v>
          </cell>
          <cell r="CV9">
            <v>3357</v>
          </cell>
          <cell r="CW9">
            <v>3426</v>
          </cell>
          <cell r="CX9">
            <v>3548</v>
          </cell>
          <cell r="CY9">
            <v>5034</v>
          </cell>
          <cell r="CZ9">
            <v>15365</v>
          </cell>
          <cell r="DB9">
            <v>3600</v>
          </cell>
          <cell r="DC9">
            <v>4006</v>
          </cell>
          <cell r="DD9">
            <v>4137</v>
          </cell>
          <cell r="DE9">
            <v>5973</v>
          </cell>
          <cell r="DF9">
            <v>17716</v>
          </cell>
          <cell r="DH9">
            <v>3573</v>
          </cell>
          <cell r="DI9">
            <v>3679</v>
          </cell>
          <cell r="DJ9">
            <v>3782</v>
          </cell>
          <cell r="DK9">
            <v>5604</v>
          </cell>
          <cell r="DL9">
            <v>16638</v>
          </cell>
          <cell r="DN9">
            <v>3556</v>
          </cell>
          <cell r="DO9">
            <v>3488</v>
          </cell>
          <cell r="DP9">
            <v>3475</v>
          </cell>
          <cell r="DQ9">
            <v>5132</v>
          </cell>
          <cell r="DR9">
            <v>15785</v>
          </cell>
          <cell r="DT9">
            <v>3453</v>
          </cell>
          <cell r="DU9">
            <v>3486</v>
          </cell>
          <cell r="DV9">
            <v>3479</v>
          </cell>
          <cell r="DW9">
            <v>5017</v>
          </cell>
          <cell r="DX9">
            <v>15571</v>
          </cell>
          <cell r="DZ9">
            <v>3291</v>
          </cell>
          <cell r="EA9">
            <v>3434</v>
          </cell>
          <cell r="EB9">
            <v>3486</v>
          </cell>
          <cell r="EC9">
            <v>5053</v>
          </cell>
          <cell r="ED9">
            <v>15412</v>
          </cell>
          <cell r="EF9">
            <v>3550</v>
          </cell>
          <cell r="EG9">
            <v>3581</v>
          </cell>
          <cell r="EH9">
            <v>3525</v>
          </cell>
          <cell r="EI9">
            <v>5120</v>
          </cell>
          <cell r="EJ9">
            <v>15776</v>
          </cell>
          <cell r="EK9" t="str">
            <v>Total Revenues</v>
          </cell>
          <cell r="EL9">
            <v>3641</v>
          </cell>
          <cell r="EM9">
            <v>3623</v>
          </cell>
          <cell r="EN9">
            <v>5555</v>
          </cell>
          <cell r="EO9">
            <v>9571</v>
          </cell>
          <cell r="EP9">
            <v>22390</v>
          </cell>
          <cell r="ER9">
            <v>5930</v>
          </cell>
          <cell r="ES9">
            <v>5995</v>
          </cell>
          <cell r="ET9">
            <v>5886</v>
          </cell>
          <cell r="EU9">
            <v>9159</v>
          </cell>
          <cell r="EV9">
            <v>26970</v>
          </cell>
          <cell r="EX9">
            <v>5921</v>
          </cell>
          <cell r="EY9">
            <v>5892</v>
          </cell>
          <cell r="EZ9">
            <v>5906</v>
          </cell>
          <cell r="FA9">
            <v>8594</v>
          </cell>
          <cell r="FB9">
            <v>26313</v>
          </cell>
          <cell r="FD9">
            <v>5747</v>
          </cell>
          <cell r="FE9">
            <v>5718</v>
          </cell>
          <cell r="FF9">
            <v>5493</v>
          </cell>
          <cell r="FG9">
            <v>7934</v>
          </cell>
          <cell r="FH9">
            <v>24892</v>
          </cell>
          <cell r="FJ9">
            <v>5288</v>
          </cell>
          <cell r="FK9">
            <v>5285</v>
          </cell>
          <cell r="FL9">
            <v>5385</v>
          </cell>
          <cell r="FM9">
            <v>7937</v>
          </cell>
          <cell r="FN9">
            <v>23895</v>
          </cell>
          <cell r="FP9">
            <v>5574</v>
          </cell>
          <cell r="FQ9">
            <v>5537</v>
          </cell>
          <cell r="FR9">
            <v>5623</v>
          </cell>
          <cell r="FS9">
            <v>8269</v>
          </cell>
          <cell r="FT9">
            <v>25003</v>
          </cell>
          <cell r="FV9">
            <v>5889</v>
          </cell>
          <cell r="FW9">
            <v>5939</v>
          </cell>
          <cell r="FX9">
            <v>5853</v>
          </cell>
          <cell r="FY9">
            <v>8724</v>
          </cell>
          <cell r="FZ9">
            <v>26405</v>
          </cell>
          <cell r="GB9">
            <v>6143</v>
          </cell>
          <cell r="GC9">
            <v>6118</v>
          </cell>
          <cell r="GD9">
            <v>6069.6866469352608</v>
          </cell>
          <cell r="GE9">
            <v>9367.1339584297966</v>
          </cell>
          <cell r="GF9">
            <v>27697.820605365057</v>
          </cell>
          <cell r="GS9" t="str">
            <v>mstag:revenueNet</v>
          </cell>
          <cell r="GT9">
            <v>6</v>
          </cell>
          <cell r="GU9" t="str">
            <v>ISO4217:USD</v>
          </cell>
          <cell r="GV9" t="b">
            <v>0</v>
          </cell>
          <cell r="GW9" t="b">
            <v>0</v>
          </cell>
        </row>
        <row r="10">
          <cell r="A10" t="str">
            <v>Y/Y Growth</v>
          </cell>
          <cell r="C10" t="str">
            <v>--</v>
          </cell>
          <cell r="D10">
            <v>-5.7485721706094783E-2</v>
          </cell>
          <cell r="E10" t="str">
            <v>--</v>
          </cell>
          <cell r="F10">
            <v>-2.935599258637267E-2</v>
          </cell>
          <cell r="G10">
            <v>2.1294160701975429E-2</v>
          </cell>
          <cell r="H10">
            <v>2.1111051631644839E-2</v>
          </cell>
          <cell r="I10">
            <v>6.6128669492348191E-2</v>
          </cell>
          <cell r="K10" t="str">
            <v xml:space="preserve">--  </v>
          </cell>
          <cell r="L10">
            <v>2.164244790716352E-2</v>
          </cell>
          <cell r="N10" t="str">
            <v>NA</v>
          </cell>
          <cell r="O10">
            <v>1.4985630217599466E-2</v>
          </cell>
          <cell r="P10">
            <v>2.6090473943234604E-2</v>
          </cell>
          <cell r="Q10">
            <v>9.5269382391589552E-3</v>
          </cell>
          <cell r="R10">
            <v>4.3215099251545652E-2</v>
          </cell>
          <cell r="S10">
            <v>3.7993636533782515E-2</v>
          </cell>
          <cell r="T10">
            <v>-5.126818127178745E-2</v>
          </cell>
          <cell r="U10">
            <v>-1.3557174532784266E-2</v>
          </cell>
          <cell r="V10">
            <v>-1.0211290218996805E-2</v>
          </cell>
          <cell r="W10">
            <v>2.361796003114458E-2</v>
          </cell>
          <cell r="X10">
            <v>0.41924442190669375</v>
          </cell>
          <cell r="Y10">
            <v>0.20455560518088434</v>
          </cell>
          <cell r="Z10">
            <v>-2.4360400444938812E-2</v>
          </cell>
          <cell r="AA10">
            <v>-5.4003724394785846E-2</v>
          </cell>
          <cell r="AB10">
            <v>-4.0053029085650005E-2</v>
          </cell>
          <cell r="AC10">
            <v>4.6369533375183014E-2</v>
          </cell>
          <cell r="AD10">
            <v>5.60732712074552E-2</v>
          </cell>
          <cell r="AE10">
            <v>4.8961204520547419E-2</v>
          </cell>
          <cell r="AF10">
            <v>2.3867294306323394E-2</v>
          </cell>
          <cell r="AG10">
            <v>1.9271419022529823E-2</v>
          </cell>
          <cell r="AH10">
            <v>1.0360976857347159E-2</v>
          </cell>
          <cell r="AI10">
            <v>1.0000000000000009E-2</v>
          </cell>
          <cell r="AJ10">
            <v>1.0000000000000009E-2</v>
          </cell>
          <cell r="AK10">
            <v>1.0000000000000009E-2</v>
          </cell>
          <cell r="AL10">
            <v>1.0000000000000009E-2</v>
          </cell>
          <cell r="AN10" t="str">
            <v>Y/Y Growth</v>
          </cell>
          <cell r="AS10">
            <v>-5.7485721706094783E-2</v>
          </cell>
          <cell r="AU10">
            <v>1.86046804069262E-3</v>
          </cell>
          <cell r="AV10">
            <v>-1.9629781109162359E-2</v>
          </cell>
          <cell r="AW10">
            <v>-3.3058964187159479E-2</v>
          </cell>
          <cell r="AX10">
            <v>-5.5011636021012E-2</v>
          </cell>
          <cell r="AY10">
            <v>-2.935599258637267E-2</v>
          </cell>
          <cell r="BA10">
            <v>-1.3614121583839567E-2</v>
          </cell>
          <cell r="BB10">
            <v>-2.5760441466214368E-2</v>
          </cell>
          <cell r="BC10">
            <v>4.6851163408529795E-2</v>
          </cell>
          <cell r="BD10">
            <v>5.9869931498505169E-2</v>
          </cell>
          <cell r="BE10">
            <v>2.1294160701975429E-2</v>
          </cell>
          <cell r="BG10">
            <v>1.1791495464221979E-2</v>
          </cell>
          <cell r="BH10">
            <v>3.0933042000752087E-2</v>
          </cell>
          <cell r="BI10">
            <v>1.9564384993575601E-4</v>
          </cell>
          <cell r="BJ10">
            <v>3.7800425987538633E-2</v>
          </cell>
          <cell r="BK10">
            <v>2.1111051631644839E-2</v>
          </cell>
          <cell r="BM10">
            <v>3.9850112465956933E-2</v>
          </cell>
          <cell r="BN10">
            <v>6.2446082242552547E-2</v>
          </cell>
          <cell r="BO10">
            <v>7.6842814149548744E-2</v>
          </cell>
          <cell r="BP10">
            <v>7.8120367498969223E-2</v>
          </cell>
          <cell r="BQ10">
            <v>6.6128669492348191E-2</v>
          </cell>
          <cell r="BS10" t="str">
            <v xml:space="preserve"> --  </v>
          </cell>
          <cell r="BT10" t="str">
            <v xml:space="preserve"> --  </v>
          </cell>
          <cell r="BU10" t="str">
            <v xml:space="preserve"> --  </v>
          </cell>
          <cell r="BV10" t="str">
            <v xml:space="preserve"> --  </v>
          </cell>
          <cell r="BW10" t="str">
            <v xml:space="preserve"> --  </v>
          </cell>
          <cell r="BY10">
            <v>1.7020422055820328E-2</v>
          </cell>
          <cell r="BZ10">
            <v>3.9647877712569946E-2</v>
          </cell>
          <cell r="CA10">
            <v>-5.6887192030066203E-3</v>
          </cell>
          <cell r="CC10">
            <v>0.11804838036151044</v>
          </cell>
          <cell r="CD10">
            <v>3.3347469922546225E-2</v>
          </cell>
          <cell r="CE10">
            <v>0.1751746612798819</v>
          </cell>
          <cell r="CF10">
            <v>2.164244790716352E-2</v>
          </cell>
          <cell r="CG10">
            <v>6.8016932452651169E-2</v>
          </cell>
          <cell r="CH10">
            <v>9.8290990037587012E-2</v>
          </cell>
          <cell r="CJ10">
            <v>0.10464972292558983</v>
          </cell>
          <cell r="CK10">
            <v>7.7856252051197838E-2</v>
          </cell>
          <cell r="CL10">
            <v>-3.7141754186954423E-2</v>
          </cell>
          <cell r="CM10">
            <v>-4.3674523732644466E-2</v>
          </cell>
          <cell r="CN10">
            <v>1.2014698867654605E-2</v>
          </cell>
          <cell r="CP10">
            <v>3.2838791771442555E-2</v>
          </cell>
          <cell r="CQ10">
            <v>5.1336569811840205E-2</v>
          </cell>
          <cell r="CR10">
            <v>3.799456270565793E-2</v>
          </cell>
          <cell r="CS10">
            <v>4.9966653147852647E-3</v>
          </cell>
          <cell r="CT10">
            <v>2.8844771112862544E-2</v>
          </cell>
          <cell r="CV10">
            <v>-1.528002625919922E-2</v>
          </cell>
          <cell r="CW10">
            <v>-7.7701502159533975E-3</v>
          </cell>
          <cell r="CX10">
            <v>-5.2926159204500611E-2</v>
          </cell>
          <cell r="CY10">
            <v>-5.1611465033607473E-3</v>
          </cell>
          <cell r="CZ10">
            <v>-1.9358307391376894E-2</v>
          </cell>
          <cell r="DB10">
            <v>3.3661006851355424E-2</v>
          </cell>
          <cell r="DC10">
            <v>5.3415061295972066E-2</v>
          </cell>
          <cell r="DD10">
            <v>4.0304396843291901E-2</v>
          </cell>
          <cell r="DE10">
            <v>4.4696066746126251E-2</v>
          </cell>
          <cell r="DF10">
            <v>4.3215099251545652E-2</v>
          </cell>
          <cell r="DH10">
            <v>2.9682997118155585E-2</v>
          </cell>
          <cell r="DI10">
            <v>1.9395954558049322E-2</v>
          </cell>
          <cell r="DJ10">
            <v>2.4654565158493735E-2</v>
          </cell>
          <cell r="DK10">
            <v>6.560182544209936E-2</v>
          </cell>
          <cell r="DL10">
            <v>3.7993636533782515E-2</v>
          </cell>
          <cell r="DN10">
            <v>-4.7579065211307281E-3</v>
          </cell>
          <cell r="DO10">
            <v>-5.191628159826045E-2</v>
          </cell>
          <cell r="DP10">
            <v>-8.1173982020095181E-2</v>
          </cell>
          <cell r="DQ10">
            <v>-8.4225553176302648E-2</v>
          </cell>
          <cell r="DR10">
            <v>-5.126818127178745E-2</v>
          </cell>
          <cell r="DT10">
            <v>-2.8965129358830111E-2</v>
          </cell>
          <cell r="DU10">
            <v>-5.7339449541282672E-4</v>
          </cell>
          <cell r="DV10">
            <v>1.1510791366906581E-3</v>
          </cell>
          <cell r="DW10">
            <v>-2.2408417770849565E-2</v>
          </cell>
          <cell r="DX10">
            <v>-1.3557174532784266E-2</v>
          </cell>
          <cell r="DZ10">
            <v>-4.6915725456125101E-2</v>
          </cell>
          <cell r="EA10">
            <v>-1.4916810097532984E-2</v>
          </cell>
          <cell r="EB10">
            <v>2.012072434607548E-3</v>
          </cell>
          <cell r="EC10">
            <v>7.1756029499701057E-3</v>
          </cell>
          <cell r="ED10">
            <v>-1.0211290218996805E-2</v>
          </cell>
          <cell r="EF10">
            <v>7.8699483439683915E-2</v>
          </cell>
          <cell r="EG10">
            <v>4.2807221898660375E-2</v>
          </cell>
          <cell r="EH10">
            <v>1.1187607573149849E-2</v>
          </cell>
          <cell r="EI10">
            <v>1.3259449831783066E-2</v>
          </cell>
          <cell r="EJ10">
            <v>2.361796003114458E-2</v>
          </cell>
          <cell r="EK10" t="str">
            <v>Y/Y Growth</v>
          </cell>
          <cell r="EL10">
            <v>2.5633802816901419E-2</v>
          </cell>
          <cell r="EM10">
            <v>1.1728567439262871E-2</v>
          </cell>
          <cell r="EN10">
            <v>0.57588652482269498</v>
          </cell>
          <cell r="EO10">
            <v>0.86933593750000004</v>
          </cell>
          <cell r="EP10">
            <v>0.41924442190669375</v>
          </cell>
          <cell r="ER10">
            <v>0.62867344136226322</v>
          </cell>
          <cell r="ES10">
            <v>0.65470604471432514</v>
          </cell>
          <cell r="ET10">
            <v>5.9585958595859578E-2</v>
          </cell>
          <cell r="EU10">
            <v>-4.3046703583742518E-2</v>
          </cell>
          <cell r="EV10">
            <v>0.20455560518088434</v>
          </cell>
          <cell r="EX10">
            <v>-1.5177065767284503E-3</v>
          </cell>
          <cell r="EY10">
            <v>-1.7180984153461254E-2</v>
          </cell>
          <cell r="EZ10">
            <v>3.397893306150257E-3</v>
          </cell>
          <cell r="FA10">
            <v>-6.1687957200567745E-2</v>
          </cell>
          <cell r="FB10">
            <v>-2.4360400444938812E-2</v>
          </cell>
          <cell r="FD10">
            <v>-2.9386927883803371E-2</v>
          </cell>
          <cell r="FE10">
            <v>-2.9531568228105876E-2</v>
          </cell>
          <cell r="FF10">
            <v>-6.9928885878767333E-2</v>
          </cell>
          <cell r="FG10">
            <v>-7.6797765883174329E-2</v>
          </cell>
          <cell r="FH10">
            <v>-5.4003724394785846E-2</v>
          </cell>
          <cell r="FJ10">
            <v>-7.9867757090655966E-2</v>
          </cell>
          <cell r="FK10">
            <v>-7.5725778244141284E-2</v>
          </cell>
          <cell r="FL10">
            <v>-1.9661387220098359E-2</v>
          </cell>
          <cell r="FM10">
            <v>3.7811948575749987E-4</v>
          </cell>
          <cell r="FN10">
            <v>-4.0053029085650005E-2</v>
          </cell>
          <cell r="FP10">
            <v>5.4084720121028829E-2</v>
          </cell>
          <cell r="FQ10">
            <v>4.7682119205298079E-2</v>
          </cell>
          <cell r="FR10">
            <v>4.4196843082636939E-2</v>
          </cell>
          <cell r="FS10">
            <v>4.182940657679235E-2</v>
          </cell>
          <cell r="FT10">
            <v>4.6369533375183014E-2</v>
          </cell>
          <cell r="FV10">
            <v>5.6512378902045191E-2</v>
          </cell>
          <cell r="FW10">
            <v>7.2602492324363332E-2</v>
          </cell>
          <cell r="FX10">
            <v>4.0903432331495626E-2</v>
          </cell>
          <cell r="FY10">
            <v>5.5024791389527206E-2</v>
          </cell>
          <cell r="FZ10">
            <v>5.60732712074552E-2</v>
          </cell>
          <cell r="GB10">
            <v>4.313126167430803E-2</v>
          </cell>
          <cell r="GC10">
            <v>3.0139754167368249E-2</v>
          </cell>
          <cell r="GD10">
            <v>3.7021467099822347E-2</v>
          </cell>
          <cell r="GE10">
            <v>7.372007776590972E-2</v>
          </cell>
          <cell r="GF10">
            <v>4.8961204520547419E-2</v>
          </cell>
        </row>
        <row r="11">
          <cell r="A11" t="str">
            <v xml:space="preserve">  % Same-Store</v>
          </cell>
          <cell r="C11" t="str">
            <v>--</v>
          </cell>
          <cell r="D11">
            <v>-4.2999999999999997E-2</v>
          </cell>
          <cell r="E11" t="str">
            <v>--</v>
          </cell>
          <cell r="F11">
            <v>1.4E-2</v>
          </cell>
          <cell r="G11">
            <v>5.1999999999999998E-2</v>
          </cell>
          <cell r="H11">
            <v>1.9E-2</v>
          </cell>
          <cell r="I11">
            <v>3.1E-2</v>
          </cell>
          <cell r="K11">
            <v>3.0898675327518884E-2</v>
          </cell>
          <cell r="L11">
            <v>2.7118808112624956E-2</v>
          </cell>
          <cell r="N11">
            <v>2.7E-2</v>
          </cell>
          <cell r="O11">
            <v>3.1E-2</v>
          </cell>
          <cell r="P11">
            <v>2.7E-2</v>
          </cell>
          <cell r="Q11">
            <v>2.1999999999999999E-2</v>
          </cell>
          <cell r="R11">
            <v>4.4999999999999998E-2</v>
          </cell>
          <cell r="S11">
            <v>0.02</v>
          </cell>
          <cell r="T11">
            <v>-5.2999999999999999E-2</v>
          </cell>
          <cell r="U11">
            <v>-0.03</v>
          </cell>
          <cell r="V11">
            <v>-9.0000000000000011E-3</v>
          </cell>
          <cell r="W11">
            <v>2.5999999999999999E-2</v>
          </cell>
          <cell r="X11">
            <v>1.2999999999999999E-2</v>
          </cell>
          <cell r="Y11">
            <v>4.3999999999999997E-2</v>
          </cell>
          <cell r="Z11">
            <v>-1.2999999999999999E-2</v>
          </cell>
          <cell r="AA11">
            <v>-4.4999999999999998E-2</v>
          </cell>
          <cell r="AB11">
            <v>-5.2999999999999999E-2</v>
          </cell>
          <cell r="AC11">
            <v>4.610434747830261E-2</v>
          </cell>
          <cell r="AD11">
            <v>5.2999999999999999E-2</v>
          </cell>
          <cell r="AE11">
            <v>4.02253638971692E-2</v>
          </cell>
          <cell r="AF11">
            <v>3.5000000000000003E-2</v>
          </cell>
          <cell r="AG11">
            <v>0.02</v>
          </cell>
          <cell r="AH11">
            <v>0.01</v>
          </cell>
          <cell r="AI11">
            <v>0.01</v>
          </cell>
          <cell r="AJ11">
            <v>0.01</v>
          </cell>
          <cell r="AK11">
            <v>0.01</v>
          </cell>
          <cell r="AL11">
            <v>0.01</v>
          </cell>
          <cell r="AN11" t="str">
            <v xml:space="preserve">  % Same-Store</v>
          </cell>
          <cell r="AS11">
            <v>-4.2999999999999997E-2</v>
          </cell>
          <cell r="AU11">
            <v>2.9000000000000001E-2</v>
          </cell>
          <cell r="AV11">
            <v>1.4E-2</v>
          </cell>
          <cell r="AW11">
            <v>1.7999999999999999E-2</v>
          </cell>
          <cell r="AX11">
            <v>-1E-3</v>
          </cell>
          <cell r="AY11">
            <v>1.4E-2</v>
          </cell>
          <cell r="BA11">
            <v>4.3999999999999997E-2</v>
          </cell>
          <cell r="BB11">
            <v>1.7000000000000001E-2</v>
          </cell>
          <cell r="BC11">
            <v>5.7000000000000002E-2</v>
          </cell>
          <cell r="BD11">
            <v>7.4999999999999997E-2</v>
          </cell>
          <cell r="BE11">
            <v>5.1999999999999998E-2</v>
          </cell>
          <cell r="BG11">
            <v>0.02</v>
          </cell>
          <cell r="BH11">
            <v>0.04</v>
          </cell>
          <cell r="BI11">
            <v>0</v>
          </cell>
          <cell r="BJ11">
            <v>2.1000000000000001E-2</v>
          </cell>
          <cell r="BK11">
            <v>1.9E-2</v>
          </cell>
          <cell r="BM11">
            <v>2.1000000000000001E-2</v>
          </cell>
          <cell r="BN11">
            <v>2.1999999999999999E-2</v>
          </cell>
          <cell r="BO11">
            <v>3.4000000000000002E-2</v>
          </cell>
          <cell r="BP11">
            <v>4.1000000000000002E-2</v>
          </cell>
          <cell r="BQ11">
            <v>3.1E-2</v>
          </cell>
          <cell r="BS11">
            <v>3.9E-2</v>
          </cell>
          <cell r="BT11">
            <v>8.0000000000000002E-3</v>
          </cell>
          <cell r="BU11">
            <v>3.6999999999999998E-2</v>
          </cell>
          <cell r="BV11">
            <v>3.5999999999999997E-2</v>
          </cell>
          <cell r="BW11">
            <v>3.0898675327518884E-2</v>
          </cell>
          <cell r="BY11">
            <v>1.2999999999999999E-2</v>
          </cell>
          <cell r="BZ11">
            <v>6.2E-2</v>
          </cell>
          <cell r="CA11">
            <v>1.4999999999999999E-2</v>
          </cell>
          <cell r="CC11">
            <v>1.4999999999999999E-2</v>
          </cell>
          <cell r="CD11">
            <v>2.1999999999999999E-2</v>
          </cell>
          <cell r="CE11">
            <v>2.1999999999999999E-2</v>
          </cell>
          <cell r="CF11">
            <v>2.7118808112624956E-2</v>
          </cell>
          <cell r="CG11">
            <v>2.7118808112624956E-2</v>
          </cell>
          <cell r="CH11">
            <v>2.7118808112624956E-2</v>
          </cell>
          <cell r="CJ11">
            <v>4.5999999999999999E-2</v>
          </cell>
          <cell r="CK11">
            <v>8.0000000000000002E-3</v>
          </cell>
          <cell r="CL11">
            <v>2.5000000000000001E-2</v>
          </cell>
          <cell r="CM11">
            <v>0.04</v>
          </cell>
          <cell r="CN11">
            <v>3.0844572544785176E-2</v>
          </cell>
          <cell r="CP11">
            <v>2.5000000000000001E-2</v>
          </cell>
          <cell r="CQ11">
            <v>4.3999999999999997E-2</v>
          </cell>
          <cell r="CR11">
            <v>3.1E-2</v>
          </cell>
          <cell r="CS11">
            <v>1.4E-2</v>
          </cell>
          <cell r="CT11">
            <v>2.7069152758765591E-2</v>
          </cell>
          <cell r="CV11">
            <v>2.4E-2</v>
          </cell>
          <cell r="CW11">
            <v>3.0187969924812031E-2</v>
          </cell>
          <cell r="CX11">
            <v>-1.2999999999999999E-2</v>
          </cell>
          <cell r="CY11">
            <v>4.1000000000000002E-2</v>
          </cell>
          <cell r="CZ11">
            <v>4.4999999999999998E-2</v>
          </cell>
          <cell r="DB11">
            <v>0.04</v>
          </cell>
          <cell r="DC11">
            <v>5.8999999999999997E-2</v>
          </cell>
          <cell r="DD11">
            <v>3.9E-2</v>
          </cell>
          <cell r="DE11">
            <v>4.3999999999999997E-2</v>
          </cell>
          <cell r="DF11">
            <v>4.4999999999999998E-2</v>
          </cell>
          <cell r="DH11">
            <v>2.9000000000000001E-2</v>
          </cell>
          <cell r="DI11">
            <v>1.9E-2</v>
          </cell>
          <cell r="DJ11">
            <v>1.9E-2</v>
          </cell>
          <cell r="DK11">
            <v>1.6E-2</v>
          </cell>
          <cell r="DL11">
            <v>0.02</v>
          </cell>
          <cell r="DN11">
            <v>-1.4999999999999999E-2</v>
          </cell>
          <cell r="DO11">
            <v>-4.8000000000000001E-2</v>
          </cell>
          <cell r="DP11">
            <v>-8.5999999999999993E-2</v>
          </cell>
          <cell r="DQ11">
            <v>-0.06</v>
          </cell>
          <cell r="DR11">
            <v>-5.2999999999999999E-2</v>
          </cell>
          <cell r="DT11">
            <v>-2.9000000000000001E-2</v>
          </cell>
          <cell r="DU11">
            <v>-2.8000000000000001E-2</v>
          </cell>
          <cell r="DV11">
            <v>-0.02</v>
          </cell>
          <cell r="DW11">
            <v>-3.9E-2</v>
          </cell>
          <cell r="DX11">
            <v>-0.03</v>
          </cell>
          <cell r="DZ11">
            <v>-0.05</v>
          </cell>
          <cell r="EA11">
            <v>-1.2E-2</v>
          </cell>
          <cell r="EB11">
            <v>2E-3</v>
          </cell>
          <cell r="EC11">
            <v>1.3999999999999999E-2</v>
          </cell>
          <cell r="ED11">
            <v>-9.0000000000000011E-3</v>
          </cell>
          <cell r="EF11">
            <v>6.9000000000000006E-2</v>
          </cell>
          <cell r="EG11">
            <v>3.3000000000000002E-2</v>
          </cell>
          <cell r="EH11">
            <v>4.0000000000000001E-3</v>
          </cell>
          <cell r="EI11">
            <v>8.0000000000000002E-3</v>
          </cell>
          <cell r="EJ11">
            <v>2.5999999999999999E-2</v>
          </cell>
          <cell r="EK11" t="str">
            <v xml:space="preserve">  % Same-Store</v>
          </cell>
          <cell r="EL11">
            <v>2.5999999999999999E-2</v>
          </cell>
          <cell r="EM11">
            <v>1.0999999999999999E-2</v>
          </cell>
          <cell r="EN11">
            <v>6.0000000000000001E-3</v>
          </cell>
          <cell r="EO11">
            <v>1.0999999999999999E-2</v>
          </cell>
          <cell r="EP11">
            <v>1.2999999999999999E-2</v>
          </cell>
          <cell r="ER11">
            <v>0</v>
          </cell>
          <cell r="ES11">
            <v>4.5999999999999999E-2</v>
          </cell>
          <cell r="ET11">
            <v>5.8999999999999997E-2</v>
          </cell>
          <cell r="EU11">
            <v>6.0999999999999999E-2</v>
          </cell>
          <cell r="EV11">
            <v>4.3999999999999997E-2</v>
          </cell>
          <cell r="EX11">
            <v>6.0000000000000001E-3</v>
          </cell>
          <cell r="EY11">
            <v>-2.5999999999999999E-2</v>
          </cell>
          <cell r="EZ11">
            <v>-8.0000000000000002E-3</v>
          </cell>
          <cell r="FA11">
            <v>-0.02</v>
          </cell>
          <cell r="FB11">
            <v>-1.2999999999999999E-2</v>
          </cell>
          <cell r="FD11">
            <v>-2.5999999999999999E-2</v>
          </cell>
          <cell r="FE11">
            <v>-2.1000000000000001E-2</v>
          </cell>
          <cell r="FF11">
            <v>-0.06</v>
          </cell>
          <cell r="FG11">
            <v>-7.0000000000000007E-2</v>
          </cell>
          <cell r="FH11">
            <v>-4.4999999999999998E-2</v>
          </cell>
          <cell r="FJ11">
            <v>-0.09</v>
          </cell>
          <cell r="FK11">
            <v>-9.5000000000000001E-2</v>
          </cell>
          <cell r="FL11">
            <v>-3.5999999999999997E-2</v>
          </cell>
          <cell r="FM11">
            <v>-8.0000000000000002E-3</v>
          </cell>
          <cell r="FN11">
            <v>-5.2999999999999999E-2</v>
          </cell>
          <cell r="FP11">
            <v>5.5E-2</v>
          </cell>
          <cell r="FQ11">
            <v>4.9000000000000002E-2</v>
          </cell>
          <cell r="FR11">
            <v>3.9E-2</v>
          </cell>
          <cell r="FS11">
            <v>4.2999999999999997E-2</v>
          </cell>
          <cell r="FT11">
            <v>4.610434747830261E-2</v>
          </cell>
          <cell r="FV11">
            <v>5.3999999999999999E-2</v>
          </cell>
          <cell r="FW11">
            <v>6.4000000000000001E-2</v>
          </cell>
          <cell r="FX11">
            <v>0.04</v>
          </cell>
          <cell r="FY11">
            <v>5.1999999999999998E-2</v>
          </cell>
          <cell r="FZ11">
            <v>5.2999999999999999E-2</v>
          </cell>
          <cell r="GB11">
            <v>4.3999999999999997E-2</v>
          </cell>
          <cell r="GC11">
            <v>0.03</v>
          </cell>
          <cell r="GD11">
            <v>4.4170626829774157E-2</v>
          </cell>
          <cell r="GE11">
            <v>4.1872044415560798E-2</v>
          </cell>
          <cell r="GF11">
            <v>4.02253638971692E-2</v>
          </cell>
          <cell r="GS11" t="str">
            <v>mstag:comparableStoreSalesGrowth</v>
          </cell>
          <cell r="GT11">
            <v>0</v>
          </cell>
          <cell r="GU11" t="str">
            <v>ms_eqr_gcim_Decimal:ms_eqr_gcim_decimal</v>
          </cell>
          <cell r="GV11" t="b">
            <v>0</v>
          </cell>
          <cell r="GW11" t="b">
            <v>0</v>
          </cell>
        </row>
        <row r="13">
          <cell r="A13" t="str">
            <v>Cost of Goods Sold</v>
          </cell>
          <cell r="C13">
            <v>5447.1210000000001</v>
          </cell>
          <cell r="D13">
            <v>4394.9759999999997</v>
          </cell>
          <cell r="E13">
            <v>4202.223</v>
          </cell>
          <cell r="F13">
            <v>4173.2920000000004</v>
          </cell>
          <cell r="G13">
            <v>4220.8230000000003</v>
          </cell>
          <cell r="H13">
            <v>4371.2170000000006</v>
          </cell>
          <cell r="I13">
            <v>4738.326</v>
          </cell>
          <cell r="K13">
            <v>8409.8680000000004</v>
          </cell>
          <cell r="L13">
            <v>8578.85</v>
          </cell>
          <cell r="N13">
            <v>9038</v>
          </cell>
          <cell r="O13">
            <v>9018</v>
          </cell>
          <cell r="P13">
            <v>9200</v>
          </cell>
          <cell r="Q13">
            <v>9218</v>
          </cell>
          <cell r="R13">
            <v>9576</v>
          </cell>
          <cell r="S13">
            <v>9955</v>
          </cell>
          <cell r="T13">
            <v>9603</v>
          </cell>
          <cell r="U13">
            <v>9324</v>
          </cell>
          <cell r="V13">
            <v>9175</v>
          </cell>
          <cell r="W13">
            <v>9346</v>
          </cell>
          <cell r="X13">
            <v>13272</v>
          </cell>
          <cell r="Y13">
            <v>16019</v>
          </cell>
          <cell r="Z13">
            <v>15677</v>
          </cell>
          <cell r="AA13">
            <v>15009</v>
          </cell>
          <cell r="AB13">
            <v>14278</v>
          </cell>
          <cell r="AC13">
            <v>14824</v>
          </cell>
          <cell r="AD13">
            <v>15738</v>
          </cell>
          <cell r="AE13">
            <v>16473.116703251519</v>
          </cell>
          <cell r="AF13">
            <v>16781.208749826241</v>
          </cell>
          <cell r="AG13">
            <v>17061.248342231931</v>
          </cell>
          <cell r="AH13">
            <v>17267.224438478806</v>
          </cell>
          <cell r="AI13">
            <v>17498.890574835023</v>
          </cell>
          <cell r="AJ13">
            <v>17673.879480583375</v>
          </cell>
          <cell r="AK13">
            <v>17850.618275389206</v>
          </cell>
          <cell r="AL13">
            <v>18029.124458143102</v>
          </cell>
          <cell r="AN13" t="str">
            <v>Cost of Goods Sold</v>
          </cell>
          <cell r="AO13">
            <v>955.19299999999998</v>
          </cell>
          <cell r="AP13">
            <v>949.21100000000001</v>
          </cell>
          <cell r="AQ13">
            <v>1068.867</v>
          </cell>
          <cell r="AR13">
            <v>1421.7049999999999</v>
          </cell>
          <cell r="AS13">
            <v>4394.9759999999997</v>
          </cell>
          <cell r="AU13">
            <v>954.02099999999996</v>
          </cell>
          <cell r="AV13">
            <v>897.43100000000004</v>
          </cell>
          <cell r="AW13">
            <v>1031.549</v>
          </cell>
          <cell r="AX13">
            <v>1319.222</v>
          </cell>
          <cell r="AY13">
            <v>4202.223</v>
          </cell>
          <cell r="BA13">
            <v>924.86599999999999</v>
          </cell>
          <cell r="BB13">
            <v>867.78200000000004</v>
          </cell>
          <cell r="BC13">
            <v>1063.415</v>
          </cell>
          <cell r="BD13">
            <v>1364.76</v>
          </cell>
          <cell r="BE13">
            <v>4220.8230000000003</v>
          </cell>
          <cell r="BG13">
            <v>947.86799999999994</v>
          </cell>
          <cell r="BH13">
            <v>900.06400000000008</v>
          </cell>
          <cell r="BI13">
            <v>1077.3520000000001</v>
          </cell>
          <cell r="BJ13">
            <v>1445.933</v>
          </cell>
          <cell r="BK13">
            <v>4371.2170000000006</v>
          </cell>
          <cell r="BM13">
            <v>1002.9349999999999</v>
          </cell>
          <cell r="BN13">
            <v>974.73500000000001</v>
          </cell>
          <cell r="BO13">
            <v>1182.5509999999999</v>
          </cell>
          <cell r="BP13">
            <v>1578.105</v>
          </cell>
          <cell r="BQ13">
            <v>4738.326</v>
          </cell>
          <cell r="BS13">
            <v>1781.979</v>
          </cell>
          <cell r="BT13">
            <v>1814.82</v>
          </cell>
          <cell r="BU13">
            <v>2045.9162000000001</v>
          </cell>
          <cell r="BV13">
            <v>2767.1528000000003</v>
          </cell>
          <cell r="BW13">
            <v>8409.8680000000004</v>
          </cell>
          <cell r="BY13">
            <v>1822.16</v>
          </cell>
          <cell r="BZ13">
            <v>1862.915</v>
          </cell>
          <cell r="CA13">
            <v>2039.616</v>
          </cell>
          <cell r="CB13">
            <v>288.96100000000024</v>
          </cell>
          <cell r="CC13">
            <v>2328.5770000000002</v>
          </cell>
          <cell r="CD13">
            <v>2854.1590000000001</v>
          </cell>
          <cell r="CE13">
            <v>3304.3710000000001</v>
          </cell>
          <cell r="CF13">
            <v>8578.85</v>
          </cell>
          <cell r="CG13">
            <v>9029.0619999999999</v>
          </cell>
          <cell r="CH13">
            <v>9318.023000000001</v>
          </cell>
          <cell r="CJ13">
            <v>2014.6479999999999</v>
          </cell>
          <cell r="CK13">
            <v>1995.5730000000001</v>
          </cell>
          <cell r="CL13">
            <v>2189.9029999999998</v>
          </cell>
          <cell r="CM13">
            <v>3088.5619999999999</v>
          </cell>
          <cell r="CN13">
            <v>9288.6859999999997</v>
          </cell>
          <cell r="CP13">
            <v>2086.8649999999998</v>
          </cell>
          <cell r="CQ13">
            <v>2098.6709999999998</v>
          </cell>
          <cell r="CR13">
            <v>2286.9189999999999</v>
          </cell>
          <cell r="CS13">
            <v>3108.3119999999999</v>
          </cell>
          <cell r="CT13">
            <v>9580.7669999999998</v>
          </cell>
          <cell r="CV13">
            <v>2022</v>
          </cell>
          <cell r="CW13">
            <v>2017</v>
          </cell>
          <cell r="CX13">
            <v>2145</v>
          </cell>
          <cell r="CY13">
            <v>3034</v>
          </cell>
          <cell r="CZ13">
            <v>9218</v>
          </cell>
          <cell r="DB13">
            <v>2174</v>
          </cell>
          <cell r="DC13">
            <v>2319</v>
          </cell>
          <cell r="DD13">
            <v>2454</v>
          </cell>
          <cell r="DE13">
            <v>3496</v>
          </cell>
          <cell r="DF13">
            <v>10443</v>
          </cell>
          <cell r="DH13">
            <v>2152</v>
          </cell>
          <cell r="DI13">
            <v>2173</v>
          </cell>
          <cell r="DJ13">
            <v>2295</v>
          </cell>
          <cell r="DK13">
            <v>3335</v>
          </cell>
          <cell r="DL13">
            <v>9955</v>
          </cell>
          <cell r="DN13">
            <v>2158</v>
          </cell>
          <cell r="DO13">
            <v>2128</v>
          </cell>
          <cell r="DP13">
            <v>2134</v>
          </cell>
          <cell r="DQ13">
            <v>3111</v>
          </cell>
          <cell r="DR13">
            <v>9603</v>
          </cell>
          <cell r="DT13">
            <v>2078</v>
          </cell>
          <cell r="DU13">
            <v>2051</v>
          </cell>
          <cell r="DV13">
            <v>2112</v>
          </cell>
          <cell r="DW13">
            <v>3014</v>
          </cell>
          <cell r="DX13">
            <v>9324</v>
          </cell>
          <cell r="DZ13">
            <v>2002</v>
          </cell>
          <cell r="EA13">
            <v>2025</v>
          </cell>
          <cell r="EB13">
            <v>2091</v>
          </cell>
          <cell r="EC13">
            <v>2981</v>
          </cell>
          <cell r="ED13">
            <v>9175</v>
          </cell>
          <cell r="EF13">
            <v>2119</v>
          </cell>
          <cell r="EG13">
            <v>2098</v>
          </cell>
          <cell r="EH13">
            <v>2107</v>
          </cell>
          <cell r="EI13">
            <v>3022</v>
          </cell>
          <cell r="EJ13">
            <v>9346</v>
          </cell>
          <cell r="EK13" t="str">
            <v>Cost of Goods Sold</v>
          </cell>
          <cell r="EL13">
            <v>2176</v>
          </cell>
          <cell r="EM13">
            <v>2126</v>
          </cell>
          <cell r="EN13">
            <v>3312</v>
          </cell>
          <cell r="EO13">
            <v>5658</v>
          </cell>
          <cell r="EP13">
            <v>13272</v>
          </cell>
          <cell r="ER13">
            <v>3627</v>
          </cell>
          <cell r="ES13">
            <v>3470</v>
          </cell>
          <cell r="ET13">
            <v>3513</v>
          </cell>
          <cell r="EU13">
            <v>5409</v>
          </cell>
          <cell r="EV13">
            <v>16019</v>
          </cell>
          <cell r="EX13">
            <v>3564</v>
          </cell>
          <cell r="EY13">
            <v>3507</v>
          </cell>
          <cell r="EZ13">
            <v>3585</v>
          </cell>
          <cell r="FA13">
            <v>5021</v>
          </cell>
          <cell r="FB13">
            <v>15677</v>
          </cell>
          <cell r="FD13">
            <v>3527</v>
          </cell>
          <cell r="FE13">
            <v>3346</v>
          </cell>
          <cell r="FF13">
            <v>3324</v>
          </cell>
          <cell r="FG13">
            <v>4812</v>
          </cell>
          <cell r="FH13">
            <v>15009</v>
          </cell>
          <cell r="FJ13">
            <v>3279</v>
          </cell>
          <cell r="FK13">
            <v>3117</v>
          </cell>
          <cell r="FL13">
            <v>3241</v>
          </cell>
          <cell r="FM13">
            <v>4641</v>
          </cell>
          <cell r="FN13">
            <v>14278</v>
          </cell>
          <cell r="FP13">
            <v>3378</v>
          </cell>
          <cell r="FQ13">
            <v>3214</v>
          </cell>
          <cell r="FR13">
            <v>3377</v>
          </cell>
          <cell r="FS13">
            <v>4855</v>
          </cell>
          <cell r="FT13">
            <v>14824</v>
          </cell>
          <cell r="FV13">
            <v>3586</v>
          </cell>
          <cell r="FW13">
            <v>3457</v>
          </cell>
          <cell r="FX13">
            <v>3544</v>
          </cell>
          <cell r="FY13">
            <v>5151</v>
          </cell>
          <cell r="FZ13">
            <v>15738</v>
          </cell>
          <cell r="GB13">
            <v>3757</v>
          </cell>
          <cell r="GC13">
            <v>3555</v>
          </cell>
          <cell r="GD13">
            <v>3666.0995494313679</v>
          </cell>
          <cell r="GE13">
            <v>5495.0171538201503</v>
          </cell>
          <cell r="GF13">
            <v>16473.116703251519</v>
          </cell>
          <cell r="GS13" t="str">
            <v>mstag:costOfSalesWithoutDepreciation</v>
          </cell>
          <cell r="GT13">
            <v>6</v>
          </cell>
          <cell r="GU13" t="str">
            <v>ISO4217:USD</v>
          </cell>
          <cell r="GV13" t="b">
            <v>0</v>
          </cell>
          <cell r="GW13" t="b">
            <v>0</v>
          </cell>
        </row>
        <row r="14">
          <cell r="A14" t="str">
            <v>Gross Profit</v>
          </cell>
          <cell r="C14">
            <v>2130.4650000000001</v>
          </cell>
          <cell r="D14">
            <v>2747.0070000000005</v>
          </cell>
          <cell r="E14">
            <v>2730.1000000000004</v>
          </cell>
          <cell r="F14">
            <v>2759.0309999999999</v>
          </cell>
          <cell r="G14">
            <v>2859.1180000000004</v>
          </cell>
          <cell r="H14">
            <v>2858.1889999999994</v>
          </cell>
          <cell r="I14">
            <v>2969.1509999999989</v>
          </cell>
          <cell r="K14">
            <v>5291.6319999999996</v>
          </cell>
          <cell r="L14">
            <v>5419.1839999999993</v>
          </cell>
          <cell r="N14">
            <v>5576</v>
          </cell>
          <cell r="O14">
            <v>5815</v>
          </cell>
          <cell r="P14">
            <v>6020</v>
          </cell>
          <cell r="Q14">
            <v>6147</v>
          </cell>
          <cell r="R14">
            <v>6453</v>
          </cell>
          <cell r="S14">
            <v>6683</v>
          </cell>
          <cell r="T14">
            <v>6182</v>
          </cell>
          <cell r="U14">
            <v>6247</v>
          </cell>
          <cell r="V14">
            <v>6237</v>
          </cell>
          <cell r="W14">
            <v>6430</v>
          </cell>
          <cell r="X14">
            <v>9118</v>
          </cell>
          <cell r="Y14">
            <v>10951</v>
          </cell>
          <cell r="Z14">
            <v>10636</v>
          </cell>
          <cell r="AA14">
            <v>9883</v>
          </cell>
          <cell r="AB14">
            <v>9617</v>
          </cell>
          <cell r="AC14">
            <v>10179</v>
          </cell>
          <cell r="AD14">
            <v>10667</v>
          </cell>
          <cell r="AE14">
            <v>11224.703902113539</v>
          </cell>
          <cell r="AF14">
            <v>11577.68389157081</v>
          </cell>
          <cell r="AG14">
            <v>11844.16040227242</v>
          </cell>
          <cell r="AH14">
            <v>11937.672577079513</v>
          </cell>
          <cell r="AI14">
            <v>11998.055410878882</v>
          </cell>
          <cell r="AJ14">
            <v>12118.03596498767</v>
          </cell>
          <cell r="AK14">
            <v>12239.216324637549</v>
          </cell>
          <cell r="AL14">
            <v>12361.608487883921</v>
          </cell>
          <cell r="AN14" t="str">
            <v>Gross Profit</v>
          </cell>
          <cell r="AO14">
            <v>635.26700000000005</v>
          </cell>
          <cell r="AP14">
            <v>576.48099999999999</v>
          </cell>
          <cell r="AQ14">
            <v>698.46</v>
          </cell>
          <cell r="AR14">
            <v>836.79899999999998</v>
          </cell>
          <cell r="AS14">
            <v>2747.0070000000001</v>
          </cell>
          <cell r="AU14">
            <v>639.39800000000014</v>
          </cell>
          <cell r="AV14">
            <v>598.3119999999999</v>
          </cell>
          <cell r="AW14">
            <v>677.35200000000009</v>
          </cell>
          <cell r="AX14">
            <v>815.03800000000024</v>
          </cell>
          <cell r="AY14">
            <v>2730.1000000000004</v>
          </cell>
          <cell r="BA14">
            <v>646.86000000000013</v>
          </cell>
          <cell r="BB14">
            <v>589.42999999999995</v>
          </cell>
          <cell r="BC14">
            <v>725.55</v>
          </cell>
          <cell r="BD14">
            <v>897.27800000000002</v>
          </cell>
          <cell r="BE14">
            <v>2859.1179999999999</v>
          </cell>
          <cell r="BG14">
            <v>642.39100000000008</v>
          </cell>
          <cell r="BH14">
            <v>602.22399999999993</v>
          </cell>
          <cell r="BI14">
            <v>711.96299999999997</v>
          </cell>
          <cell r="BJ14">
            <v>901.61099999999988</v>
          </cell>
          <cell r="BK14">
            <v>2858.1889999999994</v>
          </cell>
          <cell r="BM14">
            <v>650.69600000000014</v>
          </cell>
          <cell r="BN14">
            <v>621.3649999999999</v>
          </cell>
          <cell r="BO14">
            <v>744.26</v>
          </cell>
          <cell r="BP14">
            <v>952.82999999999993</v>
          </cell>
          <cell r="BQ14">
            <v>2969.1509999999989</v>
          </cell>
          <cell r="BS14">
            <v>1156.021</v>
          </cell>
          <cell r="BT14">
            <v>1115.9800000000002</v>
          </cell>
          <cell r="BU14">
            <v>1306.6837999999998</v>
          </cell>
          <cell r="BV14">
            <v>1712.9472000000001</v>
          </cell>
          <cell r="BW14">
            <v>5291.6319999999996</v>
          </cell>
          <cell r="BY14">
            <v>1165.8459999999998</v>
          </cell>
          <cell r="BZ14">
            <v>1184.085</v>
          </cell>
          <cell r="CA14">
            <v>1293.9119999999998</v>
          </cell>
          <cell r="CB14">
            <v>125.83899999999977</v>
          </cell>
          <cell r="CC14">
            <v>1419.7919999999999</v>
          </cell>
          <cell r="CD14">
            <v>1775.3409999999999</v>
          </cell>
          <cell r="CE14">
            <v>1960.5289999999995</v>
          </cell>
          <cell r="CF14">
            <v>5419.1839999999993</v>
          </cell>
          <cell r="CG14">
            <v>5604.3719999999994</v>
          </cell>
          <cell r="CH14">
            <v>5730.2109999999975</v>
          </cell>
          <cell r="CJ14">
            <v>1286.0519999999999</v>
          </cell>
          <cell r="CK14">
            <v>1288.655</v>
          </cell>
          <cell r="CL14">
            <v>1419.2450000000003</v>
          </cell>
          <cell r="CM14">
            <v>1946.3959999999997</v>
          </cell>
          <cell r="CN14">
            <v>5940.348</v>
          </cell>
          <cell r="CP14">
            <v>1322.2260000000001</v>
          </cell>
          <cell r="CQ14">
            <v>1354.1580000000004</v>
          </cell>
          <cell r="CR14">
            <v>1459.357</v>
          </cell>
          <cell r="CS14">
            <v>1951.8040000000001</v>
          </cell>
          <cell r="CT14">
            <v>6087.5450000000001</v>
          </cell>
          <cell r="CV14">
            <v>1335</v>
          </cell>
          <cell r="CW14">
            <v>1409</v>
          </cell>
          <cell r="CX14">
            <v>1403</v>
          </cell>
          <cell r="CY14">
            <v>2000</v>
          </cell>
          <cell r="CZ14">
            <v>6147</v>
          </cell>
          <cell r="DB14">
            <v>1426</v>
          </cell>
          <cell r="DC14">
            <v>1687</v>
          </cell>
          <cell r="DD14">
            <v>1683</v>
          </cell>
          <cell r="DE14">
            <v>2477</v>
          </cell>
          <cell r="DF14">
            <v>7273</v>
          </cell>
          <cell r="DH14">
            <v>1421</v>
          </cell>
          <cell r="DI14">
            <v>1506</v>
          </cell>
          <cell r="DJ14">
            <v>1487</v>
          </cell>
          <cell r="DK14">
            <v>2269</v>
          </cell>
          <cell r="DL14">
            <v>6683</v>
          </cell>
          <cell r="DN14">
            <v>1398</v>
          </cell>
          <cell r="DO14">
            <v>1360</v>
          </cell>
          <cell r="DP14">
            <v>1341</v>
          </cell>
          <cell r="DQ14">
            <v>2021</v>
          </cell>
          <cell r="DR14">
            <v>6182</v>
          </cell>
          <cell r="DT14">
            <v>1375</v>
          </cell>
          <cell r="DU14">
            <v>1435</v>
          </cell>
          <cell r="DV14">
            <v>1367</v>
          </cell>
          <cell r="DW14">
            <v>2003</v>
          </cell>
          <cell r="DX14">
            <v>6247</v>
          </cell>
          <cell r="DZ14">
            <v>1289</v>
          </cell>
          <cell r="EA14">
            <v>1409</v>
          </cell>
          <cell r="EB14">
            <v>1395</v>
          </cell>
          <cell r="EC14">
            <v>2072</v>
          </cell>
          <cell r="ED14">
            <v>6237</v>
          </cell>
          <cell r="EF14">
            <v>1431</v>
          </cell>
          <cell r="EG14">
            <v>1483</v>
          </cell>
          <cell r="EH14">
            <v>1418</v>
          </cell>
          <cell r="EI14">
            <v>2098</v>
          </cell>
          <cell r="EJ14">
            <v>6430</v>
          </cell>
          <cell r="EK14" t="str">
            <v>Gross Profit</v>
          </cell>
          <cell r="EL14">
            <v>1465</v>
          </cell>
          <cell r="EM14">
            <v>1497</v>
          </cell>
          <cell r="EN14">
            <v>2243</v>
          </cell>
          <cell r="EO14">
            <v>3913</v>
          </cell>
          <cell r="EP14">
            <v>9118</v>
          </cell>
          <cell r="ER14">
            <v>2303</v>
          </cell>
          <cell r="ES14">
            <v>2525</v>
          </cell>
          <cell r="ET14">
            <v>2373</v>
          </cell>
          <cell r="EU14">
            <v>3750</v>
          </cell>
          <cell r="EV14">
            <v>10951</v>
          </cell>
          <cell r="EX14">
            <v>2357</v>
          </cell>
          <cell r="EY14">
            <v>2385</v>
          </cell>
          <cell r="EZ14">
            <v>2321</v>
          </cell>
          <cell r="FA14">
            <v>3573</v>
          </cell>
          <cell r="FB14">
            <v>10636</v>
          </cell>
          <cell r="FD14">
            <v>2220</v>
          </cell>
          <cell r="FE14">
            <v>2372</v>
          </cell>
          <cell r="FF14">
            <v>2169</v>
          </cell>
          <cell r="FG14">
            <v>3122</v>
          </cell>
          <cell r="FH14">
            <v>9883</v>
          </cell>
          <cell r="FJ14">
            <v>2009</v>
          </cell>
          <cell r="FK14">
            <v>2168</v>
          </cell>
          <cell r="FL14">
            <v>2144</v>
          </cell>
          <cell r="FM14">
            <v>3296</v>
          </cell>
          <cell r="FN14">
            <v>9617</v>
          </cell>
          <cell r="FP14">
            <v>2196</v>
          </cell>
          <cell r="FQ14">
            <v>2323</v>
          </cell>
          <cell r="FR14">
            <v>2246</v>
          </cell>
          <cell r="FS14">
            <v>3414</v>
          </cell>
          <cell r="FT14">
            <v>10179</v>
          </cell>
          <cell r="FV14">
            <v>2303</v>
          </cell>
          <cell r="FW14">
            <v>2482</v>
          </cell>
          <cell r="FX14">
            <v>2309</v>
          </cell>
          <cell r="FY14">
            <v>3573</v>
          </cell>
          <cell r="FZ14">
            <v>10667</v>
          </cell>
          <cell r="GB14">
            <v>2386</v>
          </cell>
          <cell r="GC14">
            <v>2563</v>
          </cell>
          <cell r="GD14">
            <v>2403.5870975038929</v>
          </cell>
          <cell r="GE14">
            <v>3872.1168046096464</v>
          </cell>
          <cell r="GF14">
            <v>11224.703902113539</v>
          </cell>
        </row>
        <row r="16">
          <cell r="A16" t="str">
            <v>SG&amp;A Expense</v>
          </cell>
          <cell r="C16">
            <v>1881.0170000000001</v>
          </cell>
          <cell r="D16">
            <v>2611.8339999999998</v>
          </cell>
          <cell r="E16">
            <v>2463.1280000000002</v>
          </cell>
          <cell r="F16">
            <v>2458.1280000000002</v>
          </cell>
          <cell r="G16">
            <v>2420.6839999999997</v>
          </cell>
          <cell r="H16">
            <v>2347.5460000000003</v>
          </cell>
          <cell r="I16">
            <v>2328.047</v>
          </cell>
          <cell r="K16">
            <v>4608.8310000000001</v>
          </cell>
          <cell r="L16">
            <v>4424.5330000000004</v>
          </cell>
          <cell r="N16">
            <v>4913</v>
          </cell>
          <cell r="O16">
            <v>4922</v>
          </cell>
          <cell r="P16">
            <v>4679</v>
          </cell>
          <cell r="Q16">
            <v>4692</v>
          </cell>
          <cell r="R16">
            <v>4760</v>
          </cell>
          <cell r="S16">
            <v>4912</v>
          </cell>
          <cell r="T16">
            <v>4806</v>
          </cell>
          <cell r="U16">
            <v>4836</v>
          </cell>
          <cell r="V16">
            <v>4837</v>
          </cell>
          <cell r="W16">
            <v>4931</v>
          </cell>
          <cell r="X16">
            <v>6980</v>
          </cell>
          <cell r="Y16">
            <v>8678</v>
          </cell>
          <cell r="Z16">
            <v>8554</v>
          </cell>
          <cell r="AA16">
            <v>8458</v>
          </cell>
          <cell r="AB16">
            <v>8163</v>
          </cell>
          <cell r="AC16">
            <v>8260</v>
          </cell>
          <cell r="AD16">
            <v>8281</v>
          </cell>
          <cell r="AE16">
            <v>8553.4072798862726</v>
          </cell>
          <cell r="AF16">
            <v>8800.0923077192638</v>
          </cell>
          <cell r="AG16">
            <v>8940.7771652737574</v>
          </cell>
          <cell r="AH16">
            <v>9004.2074535542979</v>
          </cell>
          <cell r="AI16">
            <v>9064.7525821041272</v>
          </cell>
          <cell r="AJ16">
            <v>9125.6081924795981</v>
          </cell>
          <cell r="AK16">
            <v>9186.7744398043687</v>
          </cell>
          <cell r="AL16">
            <v>9248.2514512563848</v>
          </cell>
          <cell r="AN16" t="str">
            <v>SG&amp;A Expense</v>
          </cell>
          <cell r="AO16">
            <v>608.81899999999996</v>
          </cell>
          <cell r="AP16">
            <v>616.54300000000001</v>
          </cell>
          <cell r="AQ16">
            <v>656.14200000000005</v>
          </cell>
          <cell r="AR16">
            <v>730.33</v>
          </cell>
          <cell r="AS16">
            <v>2611.8340000000003</v>
          </cell>
          <cell r="AU16">
            <v>597.87800000000004</v>
          </cell>
          <cell r="AV16">
            <v>589.803</v>
          </cell>
          <cell r="AW16">
            <v>624.08500000000004</v>
          </cell>
          <cell r="AX16">
            <v>651.36199999999997</v>
          </cell>
          <cell r="AY16">
            <v>2463.1280000000002</v>
          </cell>
          <cell r="BA16">
            <v>562.19899999999996</v>
          </cell>
          <cell r="BB16">
            <v>557.755</v>
          </cell>
          <cell r="BC16">
            <v>614.78200000000004</v>
          </cell>
          <cell r="BD16">
            <v>685.94799999999998</v>
          </cell>
          <cell r="BE16">
            <v>2420.6839999999997</v>
          </cell>
          <cell r="BG16">
            <v>555.61</v>
          </cell>
          <cell r="BH16">
            <v>540.18899999999996</v>
          </cell>
          <cell r="BI16">
            <v>604.58100000000002</v>
          </cell>
          <cell r="BJ16">
            <v>647.16600000000005</v>
          </cell>
          <cell r="BK16">
            <v>2347.5460000000003</v>
          </cell>
          <cell r="BM16">
            <v>542.08799999999997</v>
          </cell>
          <cell r="BN16">
            <v>534.79100000000005</v>
          </cell>
          <cell r="BO16">
            <v>611.56299999999999</v>
          </cell>
          <cell r="BP16">
            <v>639.6049999999999</v>
          </cell>
          <cell r="BQ16">
            <v>2328.047</v>
          </cell>
          <cell r="BS16">
            <v>1095.52</v>
          </cell>
          <cell r="BT16">
            <v>1083.9040000000002</v>
          </cell>
          <cell r="BU16">
            <v>1182.6087999999997</v>
          </cell>
          <cell r="BV16">
            <v>1246.7982</v>
          </cell>
          <cell r="BW16">
            <v>4608.8310000000001</v>
          </cell>
          <cell r="BY16">
            <v>1069.9590000000001</v>
          </cell>
          <cell r="BZ16">
            <v>1067.8869999999999</v>
          </cell>
          <cell r="CA16">
            <v>1107.3150000000001</v>
          </cell>
          <cell r="CB16">
            <v>168.36500000000001</v>
          </cell>
          <cell r="CC16">
            <v>1275.68</v>
          </cell>
          <cell r="CD16">
            <v>1179.3720000000001</v>
          </cell>
          <cell r="CE16">
            <v>1334.8050000000001</v>
          </cell>
          <cell r="CF16">
            <v>4424.5330000000004</v>
          </cell>
          <cell r="CG16">
            <v>4579.9660000000003</v>
          </cell>
          <cell r="CH16">
            <v>4748.3310000000001</v>
          </cell>
          <cell r="CJ16">
            <v>1153.0650000000001</v>
          </cell>
          <cell r="CK16">
            <v>1113.9839999999999</v>
          </cell>
          <cell r="CL16">
            <v>1187.6289999999999</v>
          </cell>
          <cell r="CM16">
            <v>1283.8050000000001</v>
          </cell>
          <cell r="CN16">
            <v>4738.4830000000002</v>
          </cell>
          <cell r="CP16">
            <v>1174.1659999999999</v>
          </cell>
          <cell r="CQ16">
            <v>1142.298</v>
          </cell>
          <cell r="CR16">
            <v>1191.396</v>
          </cell>
          <cell r="CS16">
            <v>1238.9000000000001</v>
          </cell>
          <cell r="CT16">
            <v>4746.76</v>
          </cell>
          <cell r="CV16">
            <v>1154</v>
          </cell>
          <cell r="CW16">
            <v>1142</v>
          </cell>
          <cell r="CX16">
            <v>1146</v>
          </cell>
          <cell r="CY16">
            <v>1250</v>
          </cell>
          <cell r="CZ16">
            <v>4692</v>
          </cell>
          <cell r="DB16">
            <v>1201</v>
          </cell>
          <cell r="DC16">
            <v>1369</v>
          </cell>
          <cell r="DD16">
            <v>1381</v>
          </cell>
          <cell r="DE16">
            <v>1621</v>
          </cell>
          <cell r="DF16">
            <v>5572</v>
          </cell>
          <cell r="DH16">
            <v>1152</v>
          </cell>
          <cell r="DI16">
            <v>1104</v>
          </cell>
          <cell r="DJ16">
            <v>1218</v>
          </cell>
          <cell r="DK16">
            <v>1438</v>
          </cell>
          <cell r="DL16">
            <v>4912</v>
          </cell>
          <cell r="DN16">
            <v>1168</v>
          </cell>
          <cell r="DO16">
            <v>1106</v>
          </cell>
          <cell r="DP16">
            <v>1185</v>
          </cell>
          <cell r="DQ16">
            <v>1285</v>
          </cell>
          <cell r="DR16">
            <v>4806</v>
          </cell>
          <cell r="DT16">
            <v>1154</v>
          </cell>
          <cell r="DU16">
            <v>1135</v>
          </cell>
          <cell r="DV16">
            <v>1179</v>
          </cell>
          <cell r="DW16">
            <v>1301</v>
          </cell>
          <cell r="DX16">
            <v>4836</v>
          </cell>
          <cell r="DZ16">
            <v>1135</v>
          </cell>
          <cell r="EA16">
            <v>1135</v>
          </cell>
          <cell r="EB16">
            <v>1193</v>
          </cell>
          <cell r="EC16">
            <v>1302</v>
          </cell>
          <cell r="ED16">
            <v>4837</v>
          </cell>
          <cell r="EF16">
            <v>1195</v>
          </cell>
          <cell r="EG16">
            <v>1207</v>
          </cell>
          <cell r="EH16">
            <v>1207</v>
          </cell>
          <cell r="EI16">
            <v>1322</v>
          </cell>
          <cell r="EJ16">
            <v>4931</v>
          </cell>
          <cell r="EK16" t="str">
            <v>SG&amp;A Expense</v>
          </cell>
          <cell r="EL16">
            <v>1213</v>
          </cell>
          <cell r="EM16">
            <v>1206</v>
          </cell>
          <cell r="EN16">
            <v>1973</v>
          </cell>
          <cell r="EO16">
            <v>2588</v>
          </cell>
          <cell r="EP16">
            <v>6980</v>
          </cell>
          <cell r="ER16">
            <v>2154</v>
          </cell>
          <cell r="ES16">
            <v>2117</v>
          </cell>
          <cell r="ET16">
            <v>2094</v>
          </cell>
          <cell r="EU16">
            <v>2313</v>
          </cell>
          <cell r="EV16">
            <v>8678</v>
          </cell>
          <cell r="EX16">
            <v>2113</v>
          </cell>
          <cell r="EY16">
            <v>2038</v>
          </cell>
          <cell r="EZ16">
            <v>2121</v>
          </cell>
          <cell r="FA16">
            <v>2282</v>
          </cell>
          <cell r="FB16">
            <v>8554</v>
          </cell>
          <cell r="FD16">
            <v>2080</v>
          </cell>
          <cell r="FE16">
            <v>2037</v>
          </cell>
          <cell r="FF16">
            <v>2085</v>
          </cell>
          <cell r="FG16">
            <v>2256</v>
          </cell>
          <cell r="FH16">
            <v>8458</v>
          </cell>
          <cell r="FJ16">
            <v>1985</v>
          </cell>
          <cell r="FK16">
            <v>1886</v>
          </cell>
          <cell r="FL16">
            <v>2056</v>
          </cell>
          <cell r="FM16">
            <v>2236</v>
          </cell>
          <cell r="FN16">
            <v>8163</v>
          </cell>
          <cell r="FP16">
            <v>1993</v>
          </cell>
          <cell r="FQ16">
            <v>1953</v>
          </cell>
          <cell r="FR16">
            <v>2069</v>
          </cell>
          <cell r="FS16">
            <v>2245</v>
          </cell>
          <cell r="FT16">
            <v>8260</v>
          </cell>
          <cell r="FV16">
            <v>1973</v>
          </cell>
          <cell r="FW16">
            <v>1976</v>
          </cell>
          <cell r="FX16">
            <v>2018</v>
          </cell>
          <cell r="FY16">
            <v>2314</v>
          </cell>
          <cell r="FZ16">
            <v>8281</v>
          </cell>
          <cell r="GB16">
            <v>1995</v>
          </cell>
          <cell r="GC16">
            <v>2009</v>
          </cell>
          <cell r="GD16">
            <v>2122.0121029772449</v>
          </cell>
          <cell r="GE16">
            <v>2427.3951769090281</v>
          </cell>
          <cell r="GF16">
            <v>8553.4072798862726</v>
          </cell>
          <cell r="GS16" t="str">
            <v>mstag:sellingGeneralAndAdministrativeExpenses</v>
          </cell>
          <cell r="GT16">
            <v>6</v>
          </cell>
          <cell r="GU16" t="str">
            <v>ISO4217:USD</v>
          </cell>
          <cell r="GV16" t="b">
            <v>0</v>
          </cell>
          <cell r="GW16" t="b">
            <v>0</v>
          </cell>
        </row>
        <row r="17">
          <cell r="A17" t="str">
            <v>Operating Income</v>
          </cell>
          <cell r="C17">
            <v>249.44800000000009</v>
          </cell>
          <cell r="D17">
            <v>135.17300000000068</v>
          </cell>
          <cell r="E17">
            <v>266.97200000000021</v>
          </cell>
          <cell r="F17">
            <v>300.90299999999979</v>
          </cell>
          <cell r="G17">
            <v>438.43400000000065</v>
          </cell>
          <cell r="H17">
            <v>510.64299999999912</v>
          </cell>
          <cell r="I17">
            <v>641.1039999999989</v>
          </cell>
          <cell r="J17">
            <v>0.28676919756182384</v>
          </cell>
          <cell r="K17">
            <v>682.80099999999948</v>
          </cell>
          <cell r="L17">
            <v>994.65099999999893</v>
          </cell>
          <cell r="N17">
            <v>663</v>
          </cell>
          <cell r="O17">
            <v>893</v>
          </cell>
          <cell r="P17">
            <v>1341</v>
          </cell>
          <cell r="Q17">
            <v>1455</v>
          </cell>
          <cell r="R17">
            <v>1693</v>
          </cell>
          <cell r="S17">
            <v>1771</v>
          </cell>
          <cell r="T17">
            <v>1376</v>
          </cell>
          <cell r="U17">
            <v>1411</v>
          </cell>
          <cell r="V17">
            <v>1400</v>
          </cell>
          <cell r="W17">
            <v>1499</v>
          </cell>
          <cell r="X17">
            <v>2138</v>
          </cell>
          <cell r="Y17">
            <v>2273</v>
          </cell>
          <cell r="Z17">
            <v>2082</v>
          </cell>
          <cell r="AA17">
            <v>1425</v>
          </cell>
          <cell r="AB17">
            <v>1454</v>
          </cell>
          <cell r="AC17">
            <v>1919</v>
          </cell>
          <cell r="AD17">
            <v>2386</v>
          </cell>
          <cell r="AE17">
            <v>2671.2966222272662</v>
          </cell>
          <cell r="AF17">
            <v>2777.5915838515466</v>
          </cell>
          <cell r="AG17">
            <v>2903.3832369986631</v>
          </cell>
          <cell r="AH17">
            <v>2933.4651235252149</v>
          </cell>
          <cell r="AI17">
            <v>2933.3028287747547</v>
          </cell>
          <cell r="AJ17">
            <v>2992.4277725080719</v>
          </cell>
          <cell r="AK17">
            <v>3052.4418848331807</v>
          </cell>
          <cell r="AL17">
            <v>3113.3570366275362</v>
          </cell>
          <cell r="AN17" t="str">
            <v>Operating Income</v>
          </cell>
          <cell r="AO17">
            <v>26.448000000000093</v>
          </cell>
          <cell r="AP17">
            <v>-40.062000000000012</v>
          </cell>
          <cell r="AQ17">
            <v>42.317999999999984</v>
          </cell>
          <cell r="AR17">
            <v>106.46899999999994</v>
          </cell>
          <cell r="AS17">
            <v>135.173</v>
          </cell>
          <cell r="AU17">
            <v>41.520000000000095</v>
          </cell>
          <cell r="AV17">
            <v>8.5089999999999009</v>
          </cell>
          <cell r="AW17">
            <v>53.267000000000053</v>
          </cell>
          <cell r="AX17">
            <v>163.67600000000027</v>
          </cell>
          <cell r="AY17">
            <v>266.97200000000032</v>
          </cell>
          <cell r="BA17">
            <v>84.661000000000172</v>
          </cell>
          <cell r="BB17">
            <v>31.674999999999955</v>
          </cell>
          <cell r="BC17">
            <v>110.76799999999992</v>
          </cell>
          <cell r="BD17">
            <v>211.33000000000004</v>
          </cell>
          <cell r="BE17">
            <v>438.43400000000008</v>
          </cell>
          <cell r="BG17">
            <v>86.781000000000063</v>
          </cell>
          <cell r="BH17">
            <v>62.034999999999968</v>
          </cell>
          <cell r="BI17">
            <v>107.38199999999995</v>
          </cell>
          <cell r="BJ17">
            <v>254.44499999999982</v>
          </cell>
          <cell r="BK17">
            <v>510.64299999999912</v>
          </cell>
          <cell r="BM17">
            <v>108.60800000000017</v>
          </cell>
          <cell r="BN17">
            <v>86.573999999999842</v>
          </cell>
          <cell r="BO17">
            <v>132.697</v>
          </cell>
          <cell r="BP17">
            <v>313.22500000000002</v>
          </cell>
          <cell r="BQ17">
            <v>641.1039999999989</v>
          </cell>
          <cell r="BS17">
            <v>60.500999999999976</v>
          </cell>
          <cell r="BT17">
            <v>32.076000000000022</v>
          </cell>
          <cell r="BU17">
            <v>124.07500000000005</v>
          </cell>
          <cell r="BV17">
            <v>466.14900000000011</v>
          </cell>
          <cell r="BW17">
            <v>682.80099999999948</v>
          </cell>
          <cell r="BY17">
            <v>95.886999999999716</v>
          </cell>
          <cell r="BZ17">
            <v>116.19800000000009</v>
          </cell>
          <cell r="CA17">
            <v>186.59699999999975</v>
          </cell>
          <cell r="CB17">
            <v>-42.526000000000238</v>
          </cell>
          <cell r="CC17">
            <v>144.11199999999985</v>
          </cell>
          <cell r="CD17">
            <v>595.96899999999982</v>
          </cell>
          <cell r="CE17">
            <v>625.72399999999948</v>
          </cell>
          <cell r="CF17">
            <v>994.65099999999893</v>
          </cell>
          <cell r="CG17">
            <v>1024.405999999999</v>
          </cell>
          <cell r="CH17">
            <v>981.87999999999738</v>
          </cell>
          <cell r="CJ17">
            <v>132.98699999999985</v>
          </cell>
          <cell r="CK17">
            <v>174.67100000000005</v>
          </cell>
          <cell r="CL17">
            <v>231.61600000000044</v>
          </cell>
          <cell r="CM17">
            <v>662.59099999999967</v>
          </cell>
          <cell r="CN17">
            <v>1201.8649999999998</v>
          </cell>
          <cell r="CP17">
            <v>148.06000000000017</v>
          </cell>
          <cell r="CQ17">
            <v>211.86000000000035</v>
          </cell>
          <cell r="CR17">
            <v>267.96100000000001</v>
          </cell>
          <cell r="CS17">
            <v>712.904</v>
          </cell>
          <cell r="CT17">
            <v>1340.7850000000005</v>
          </cell>
          <cell r="CV17">
            <v>181</v>
          </cell>
          <cell r="CW17">
            <v>267</v>
          </cell>
          <cell r="CX17">
            <v>257</v>
          </cell>
          <cell r="CY17">
            <v>750</v>
          </cell>
          <cell r="CZ17">
            <v>1455</v>
          </cell>
          <cell r="DB17">
            <v>225</v>
          </cell>
          <cell r="DC17">
            <v>318</v>
          </cell>
          <cell r="DD17">
            <v>302</v>
          </cell>
          <cell r="DE17">
            <v>856</v>
          </cell>
          <cell r="DF17">
            <v>1701</v>
          </cell>
          <cell r="DH17">
            <v>269</v>
          </cell>
          <cell r="DI17">
            <v>402</v>
          </cell>
          <cell r="DJ17">
            <v>269</v>
          </cell>
          <cell r="DK17">
            <v>831</v>
          </cell>
          <cell r="DL17">
            <v>1771</v>
          </cell>
          <cell r="DN17">
            <v>230</v>
          </cell>
          <cell r="DO17">
            <v>254</v>
          </cell>
          <cell r="DP17">
            <v>156</v>
          </cell>
          <cell r="DQ17">
            <v>736</v>
          </cell>
          <cell r="DR17">
            <v>1376</v>
          </cell>
          <cell r="DT17">
            <v>221</v>
          </cell>
          <cell r="DU17">
            <v>300</v>
          </cell>
          <cell r="DV17">
            <v>188</v>
          </cell>
          <cell r="DW17">
            <v>702</v>
          </cell>
          <cell r="DX17">
            <v>1411</v>
          </cell>
          <cell r="DZ17">
            <v>154</v>
          </cell>
          <cell r="EA17">
            <v>274</v>
          </cell>
          <cell r="EB17">
            <v>202</v>
          </cell>
          <cell r="EC17">
            <v>770</v>
          </cell>
          <cell r="ED17">
            <v>1400</v>
          </cell>
          <cell r="EF17">
            <v>236</v>
          </cell>
          <cell r="EG17">
            <v>276</v>
          </cell>
          <cell r="EH17">
            <v>211</v>
          </cell>
          <cell r="EI17">
            <v>776</v>
          </cell>
          <cell r="EJ17">
            <v>1499</v>
          </cell>
          <cell r="EK17" t="str">
            <v>Operating Income</v>
          </cell>
          <cell r="EL17">
            <v>252</v>
          </cell>
          <cell r="EM17">
            <v>291</v>
          </cell>
          <cell r="EN17">
            <v>270</v>
          </cell>
          <cell r="EO17">
            <v>1325</v>
          </cell>
          <cell r="EP17">
            <v>2138</v>
          </cell>
          <cell r="ER17">
            <v>149</v>
          </cell>
          <cell r="ES17">
            <v>408</v>
          </cell>
          <cell r="ET17">
            <v>279</v>
          </cell>
          <cell r="EU17">
            <v>1437</v>
          </cell>
          <cell r="EV17">
            <v>2273</v>
          </cell>
          <cell r="EX17">
            <v>244</v>
          </cell>
          <cell r="EY17">
            <v>347</v>
          </cell>
          <cell r="EZ17">
            <v>200</v>
          </cell>
          <cell r="FA17">
            <v>1291</v>
          </cell>
          <cell r="FB17">
            <v>2082</v>
          </cell>
          <cell r="FD17">
            <v>140</v>
          </cell>
          <cell r="FE17">
            <v>335</v>
          </cell>
          <cell r="FF17">
            <v>84</v>
          </cell>
          <cell r="FG17">
            <v>866</v>
          </cell>
          <cell r="FH17">
            <v>1425</v>
          </cell>
          <cell r="FJ17">
            <v>24</v>
          </cell>
          <cell r="FK17">
            <v>282</v>
          </cell>
          <cell r="FL17">
            <v>88</v>
          </cell>
          <cell r="FM17">
            <v>1060</v>
          </cell>
          <cell r="FN17">
            <v>1454</v>
          </cell>
          <cell r="FP17">
            <v>203</v>
          </cell>
          <cell r="FQ17">
            <v>370</v>
          </cell>
          <cell r="FR17">
            <v>177</v>
          </cell>
          <cell r="FS17">
            <v>1169</v>
          </cell>
          <cell r="FT17">
            <v>1919</v>
          </cell>
          <cell r="FV17">
            <v>330</v>
          </cell>
          <cell r="FW17">
            <v>506</v>
          </cell>
          <cell r="FX17">
            <v>291</v>
          </cell>
          <cell r="FY17">
            <v>1259</v>
          </cell>
          <cell r="FZ17">
            <v>2386</v>
          </cell>
          <cell r="GB17">
            <v>391</v>
          </cell>
          <cell r="GC17">
            <v>554</v>
          </cell>
          <cell r="GD17">
            <v>281.57499452664797</v>
          </cell>
          <cell r="GE17">
            <v>1444.7216277006182</v>
          </cell>
          <cell r="GF17">
            <v>2671.2966222272662</v>
          </cell>
        </row>
        <row r="19">
          <cell r="A19" t="str">
            <v xml:space="preserve">Interest Expense, net </v>
          </cell>
          <cell r="C19">
            <v>806.66499999999996</v>
          </cell>
          <cell r="D19">
            <v>555.94200000000001</v>
          </cell>
          <cell r="E19">
            <v>436.99700000000001</v>
          </cell>
          <cell r="F19">
            <v>224.37599999999998</v>
          </cell>
          <cell r="G19">
            <v>197.85400000000001</v>
          </cell>
          <cell r="H19">
            <v>164.13899999999998</v>
          </cell>
          <cell r="I19">
            <v>199.44799999999998</v>
          </cell>
          <cell r="K19">
            <v>448</v>
          </cell>
          <cell r="L19">
            <v>413.26499999999999</v>
          </cell>
          <cell r="N19">
            <v>461</v>
          </cell>
          <cell r="O19">
            <v>452</v>
          </cell>
          <cell r="P19">
            <v>383</v>
          </cell>
          <cell r="Q19">
            <v>292</v>
          </cell>
          <cell r="R19">
            <v>307</v>
          </cell>
          <cell r="S19">
            <v>321</v>
          </cell>
          <cell r="T19">
            <v>324</v>
          </cell>
          <cell r="U19">
            <v>295</v>
          </cell>
          <cell r="V19">
            <v>257</v>
          </cell>
          <cell r="W19">
            <v>225</v>
          </cell>
          <cell r="X19">
            <v>397</v>
          </cell>
          <cell r="Y19">
            <v>461</v>
          </cell>
          <cell r="Z19">
            <v>543</v>
          </cell>
          <cell r="AA19">
            <v>560</v>
          </cell>
          <cell r="AB19">
            <v>556</v>
          </cell>
          <cell r="AC19">
            <v>574</v>
          </cell>
          <cell r="AD19">
            <v>443</v>
          </cell>
          <cell r="AE19">
            <v>437.94267925414607</v>
          </cell>
          <cell r="AF19">
            <v>437.64689230808881</v>
          </cell>
          <cell r="AG19">
            <v>333.89684092277935</v>
          </cell>
          <cell r="AH19">
            <v>328.47781900841903</v>
          </cell>
          <cell r="AI19">
            <v>261.10044333485752</v>
          </cell>
          <cell r="AJ19">
            <v>217.66232702027793</v>
          </cell>
          <cell r="AK19">
            <v>193.03041288077011</v>
          </cell>
          <cell r="AL19">
            <v>185.41379199688066</v>
          </cell>
          <cell r="AN19" t="str">
            <v xml:space="preserve">Interest Expense, net </v>
          </cell>
          <cell r="AO19">
            <v>150.16</v>
          </cell>
          <cell r="AP19">
            <v>137.041</v>
          </cell>
          <cell r="AQ19">
            <v>134.49700000000001</v>
          </cell>
          <cell r="AR19">
            <v>134.244</v>
          </cell>
          <cell r="AS19">
            <v>555.94200000000001</v>
          </cell>
          <cell r="AU19">
            <v>115.88100000000001</v>
          </cell>
          <cell r="AV19">
            <v>110.38499999999999</v>
          </cell>
          <cell r="AW19">
            <v>109.601</v>
          </cell>
          <cell r="AX19">
            <v>101.13</v>
          </cell>
          <cell r="AY19">
            <v>436.99700000000001</v>
          </cell>
          <cell r="BA19">
            <v>57.285000000000011</v>
          </cell>
          <cell r="BB19">
            <v>49.753999999999998</v>
          </cell>
          <cell r="BC19">
            <v>43.933</v>
          </cell>
          <cell r="BD19">
            <v>46.881999999999998</v>
          </cell>
          <cell r="BE19">
            <v>197.85400000000001</v>
          </cell>
          <cell r="BG19">
            <v>43.271999999999998</v>
          </cell>
          <cell r="BH19">
            <v>40.268999999999998</v>
          </cell>
          <cell r="BI19">
            <v>39.991999999999997</v>
          </cell>
          <cell r="BJ19">
            <v>40.606000000000002</v>
          </cell>
          <cell r="BK19">
            <v>164.13899999999998</v>
          </cell>
          <cell r="BM19">
            <v>45.338999999999999</v>
          </cell>
          <cell r="BN19">
            <v>48.698</v>
          </cell>
          <cell r="BO19">
            <v>50.985999999999997</v>
          </cell>
          <cell r="BP19">
            <v>54.424999999999997</v>
          </cell>
          <cell r="BQ19">
            <v>199.44799999999998</v>
          </cell>
          <cell r="BS19">
            <v>103.04</v>
          </cell>
          <cell r="BT19">
            <v>109.75999999999999</v>
          </cell>
          <cell r="BU19">
            <v>114.24000000000001</v>
          </cell>
          <cell r="BV19">
            <v>120.96000000000001</v>
          </cell>
          <cell r="BW19">
            <v>448</v>
          </cell>
          <cell r="BY19">
            <v>97.552000000000007</v>
          </cell>
          <cell r="BZ19">
            <v>103.21599999999999</v>
          </cell>
          <cell r="CA19">
            <v>104.617</v>
          </cell>
          <cell r="CB19">
            <v>25.671999999999983</v>
          </cell>
          <cell r="CC19">
            <v>130.28899999999999</v>
          </cell>
          <cell r="CD19">
            <v>107.88</v>
          </cell>
          <cell r="CE19">
            <v>129.971</v>
          </cell>
          <cell r="CF19">
            <v>413.26499999999999</v>
          </cell>
          <cell r="CG19">
            <v>435.35599999999999</v>
          </cell>
          <cell r="CH19">
            <v>461.02799999999996</v>
          </cell>
          <cell r="CJ19">
            <v>112.28100000000001</v>
          </cell>
          <cell r="CK19">
            <v>115.614</v>
          </cell>
          <cell r="CL19">
            <v>113.361</v>
          </cell>
          <cell r="CM19">
            <v>110.508</v>
          </cell>
          <cell r="CN19">
            <v>451.76400000000001</v>
          </cell>
          <cell r="CP19">
            <v>104.377</v>
          </cell>
          <cell r="CQ19">
            <v>99.263000000000005</v>
          </cell>
          <cell r="CR19">
            <v>91.878</v>
          </cell>
          <cell r="CS19">
            <v>86.977000000000004</v>
          </cell>
          <cell r="CT19">
            <v>382.495</v>
          </cell>
          <cell r="CV19">
            <v>77</v>
          </cell>
          <cell r="CW19">
            <v>74</v>
          </cell>
          <cell r="CX19">
            <v>72</v>
          </cell>
          <cell r="CY19">
            <v>69</v>
          </cell>
          <cell r="CZ19">
            <v>292</v>
          </cell>
          <cell r="DB19">
            <v>75</v>
          </cell>
          <cell r="DC19">
            <v>85</v>
          </cell>
          <cell r="DD19">
            <v>91</v>
          </cell>
          <cell r="DE19">
            <v>104</v>
          </cell>
          <cell r="DF19">
            <v>355</v>
          </cell>
          <cell r="DH19">
            <v>69</v>
          </cell>
          <cell r="DI19">
            <v>78</v>
          </cell>
          <cell r="DJ19">
            <v>84</v>
          </cell>
          <cell r="DK19">
            <v>90</v>
          </cell>
          <cell r="DL19">
            <v>321</v>
          </cell>
          <cell r="DN19">
            <v>78</v>
          </cell>
          <cell r="DO19">
            <v>78</v>
          </cell>
          <cell r="DP19">
            <v>80</v>
          </cell>
          <cell r="DQ19">
            <v>88</v>
          </cell>
          <cell r="DR19">
            <v>324</v>
          </cell>
          <cell r="DT19">
            <v>74</v>
          </cell>
          <cell r="DU19">
            <v>78</v>
          </cell>
          <cell r="DV19">
            <v>73</v>
          </cell>
          <cell r="DW19">
            <v>70</v>
          </cell>
          <cell r="DX19">
            <v>295</v>
          </cell>
          <cell r="DZ19">
            <v>70</v>
          </cell>
          <cell r="EA19">
            <v>65</v>
          </cell>
          <cell r="EB19">
            <v>61</v>
          </cell>
          <cell r="EC19">
            <v>61</v>
          </cell>
          <cell r="ED19">
            <v>257</v>
          </cell>
          <cell r="EF19">
            <v>60</v>
          </cell>
          <cell r="EG19">
            <v>60</v>
          </cell>
          <cell r="EH19">
            <v>55</v>
          </cell>
          <cell r="EI19">
            <v>50</v>
          </cell>
          <cell r="EJ19">
            <v>225</v>
          </cell>
          <cell r="EK19" t="str">
            <v xml:space="preserve">Interest Expense, net </v>
          </cell>
          <cell r="EL19">
            <v>54</v>
          </cell>
          <cell r="EM19">
            <v>54</v>
          </cell>
          <cell r="EN19">
            <v>145</v>
          </cell>
          <cell r="EO19">
            <v>144</v>
          </cell>
          <cell r="EP19">
            <v>397</v>
          </cell>
          <cell r="ER19">
            <v>138</v>
          </cell>
          <cell r="ES19">
            <v>116</v>
          </cell>
          <cell r="ET19">
            <v>104</v>
          </cell>
          <cell r="EU19">
            <v>103</v>
          </cell>
          <cell r="EV19">
            <v>461</v>
          </cell>
          <cell r="EX19">
            <v>125</v>
          </cell>
          <cell r="EY19">
            <v>137</v>
          </cell>
          <cell r="EZ19">
            <v>145</v>
          </cell>
          <cell r="FA19">
            <v>136</v>
          </cell>
          <cell r="FB19">
            <v>543</v>
          </cell>
          <cell r="FD19">
            <v>136</v>
          </cell>
          <cell r="FE19">
            <v>138</v>
          </cell>
          <cell r="FF19">
            <v>143</v>
          </cell>
          <cell r="FG19">
            <v>143</v>
          </cell>
          <cell r="FH19">
            <v>560</v>
          </cell>
          <cell r="FJ19">
            <v>141</v>
          </cell>
          <cell r="FK19">
            <v>139</v>
          </cell>
          <cell r="FL19">
            <v>137</v>
          </cell>
          <cell r="FM19">
            <v>139</v>
          </cell>
          <cell r="FN19">
            <v>556</v>
          </cell>
          <cell r="FP19">
            <v>162</v>
          </cell>
          <cell r="FQ19">
            <v>130</v>
          </cell>
          <cell r="FR19">
            <v>164</v>
          </cell>
          <cell r="FS19">
            <v>118</v>
          </cell>
          <cell r="FT19">
            <v>574</v>
          </cell>
          <cell r="FV19">
            <v>116</v>
          </cell>
          <cell r="FW19">
            <v>111</v>
          </cell>
          <cell r="FX19">
            <v>108</v>
          </cell>
          <cell r="FY19">
            <v>108</v>
          </cell>
          <cell r="FZ19">
            <v>443</v>
          </cell>
          <cell r="GB19">
            <v>112</v>
          </cell>
          <cell r="GC19">
            <v>105</v>
          </cell>
          <cell r="GD19">
            <v>106.92000000000002</v>
          </cell>
          <cell r="GE19">
            <v>114.02267925414607</v>
          </cell>
          <cell r="GF19">
            <v>437.94267925414607</v>
          </cell>
          <cell r="GS19" t="str">
            <v>mstag:interestExpense</v>
          </cell>
          <cell r="GT19">
            <v>6</v>
          </cell>
          <cell r="GU19" t="str">
            <v>ISO4217:USD</v>
          </cell>
          <cell r="GV19" t="b">
            <v>0</v>
          </cell>
          <cell r="GW19" t="b">
            <v>0</v>
          </cell>
        </row>
        <row r="20">
          <cell r="A20" t="str">
            <v>LIFO Charge</v>
          </cell>
          <cell r="C20">
            <v>0</v>
          </cell>
          <cell r="D20">
            <v>0</v>
          </cell>
          <cell r="E20">
            <v>0</v>
          </cell>
          <cell r="F20">
            <v>23.248000000000001</v>
          </cell>
          <cell r="G20">
            <v>8.5730000000000022</v>
          </cell>
          <cell r="H20">
            <v>2.7240000000000002</v>
          </cell>
          <cell r="I20">
            <v>-11.271000000000001</v>
          </cell>
          <cell r="K20">
            <v>-2.0990000000000002</v>
          </cell>
          <cell r="L20">
            <v>-0.2390000000000001</v>
          </cell>
          <cell r="AN20" t="str">
            <v>LIFO Charge</v>
          </cell>
          <cell r="AO20">
            <v>0</v>
          </cell>
          <cell r="AP20">
            <v>0</v>
          </cell>
          <cell r="AQ20">
            <v>0</v>
          </cell>
          <cell r="AR20">
            <v>0</v>
          </cell>
          <cell r="AS20">
            <v>0</v>
          </cell>
          <cell r="AU20">
            <v>0</v>
          </cell>
          <cell r="AV20">
            <v>0</v>
          </cell>
          <cell r="AW20">
            <v>0</v>
          </cell>
          <cell r="AX20">
            <v>10.055999999999999</v>
          </cell>
          <cell r="AY20">
            <v>23.248000000000001</v>
          </cell>
          <cell r="BA20">
            <v>4.4000000000000004</v>
          </cell>
          <cell r="BB20">
            <v>4.4000000000000004</v>
          </cell>
          <cell r="BC20">
            <v>11.3</v>
          </cell>
          <cell r="BD20">
            <v>-11.526999999999999</v>
          </cell>
          <cell r="BE20">
            <v>8.5730000000000022</v>
          </cell>
          <cell r="BG20">
            <v>3.85</v>
          </cell>
          <cell r="BH20">
            <v>3.6749999999999998</v>
          </cell>
          <cell r="BI20">
            <v>4.375</v>
          </cell>
          <cell r="BJ20">
            <v>-9.1760000000000002</v>
          </cell>
          <cell r="BK20">
            <v>2.7240000000000002</v>
          </cell>
          <cell r="BM20">
            <v>5.2009999999999996</v>
          </cell>
          <cell r="BN20">
            <v>0.60399999999999998</v>
          </cell>
          <cell r="BO20">
            <v>3.375</v>
          </cell>
          <cell r="BP20">
            <v>-20.451000000000001</v>
          </cell>
          <cell r="BQ20">
            <v>-11.271000000000001</v>
          </cell>
          <cell r="BS20">
            <v>10.201000000000001</v>
          </cell>
          <cell r="BT20">
            <v>2.2759999999999998</v>
          </cell>
          <cell r="BU20">
            <v>5.875</v>
          </cell>
          <cell r="BV20">
            <v>-20.451000000000001</v>
          </cell>
          <cell r="BW20">
            <v>-2.0990000000000002</v>
          </cell>
          <cell r="BY20">
            <v>1.7609999999999999</v>
          </cell>
          <cell r="BZ20">
            <v>0</v>
          </cell>
          <cell r="CA20">
            <v>0</v>
          </cell>
          <cell r="CB20">
            <v>0</v>
          </cell>
          <cell r="CC20">
            <v>0</v>
          </cell>
          <cell r="CD20">
            <v>-2</v>
          </cell>
          <cell r="CE20">
            <v>-1.7609999999999999</v>
          </cell>
          <cell r="CF20">
            <v>-0.2390000000000001</v>
          </cell>
          <cell r="CG20">
            <v>0</v>
          </cell>
          <cell r="CH20">
            <v>0</v>
          </cell>
        </row>
        <row r="21">
          <cell r="A21" t="str">
            <v>Pre-Tax Extraordinary Charges (FYins)</v>
          </cell>
          <cell r="C21">
            <v>1209.9270000000001</v>
          </cell>
          <cell r="D21">
            <v>127.032</v>
          </cell>
          <cell r="E21">
            <v>1679.9359999999999</v>
          </cell>
          <cell r="F21">
            <v>0</v>
          </cell>
          <cell r="G21">
            <v>0</v>
          </cell>
          <cell r="H21">
            <v>-24</v>
          </cell>
          <cell r="I21">
            <v>25.204999999999998</v>
          </cell>
          <cell r="K21">
            <v>144.60500000000002</v>
          </cell>
          <cell r="L21">
            <v>276.92599999999999</v>
          </cell>
          <cell r="N21">
            <v>0</v>
          </cell>
          <cell r="O21">
            <v>0</v>
          </cell>
          <cell r="P21">
            <v>0</v>
          </cell>
          <cell r="Q21">
            <v>0</v>
          </cell>
          <cell r="R21">
            <v>0</v>
          </cell>
          <cell r="S21">
            <v>80</v>
          </cell>
          <cell r="T21">
            <v>272</v>
          </cell>
          <cell r="U21">
            <v>68</v>
          </cell>
          <cell r="V21">
            <v>59</v>
          </cell>
          <cell r="W21">
            <v>158</v>
          </cell>
          <cell r="X21">
            <v>-303</v>
          </cell>
          <cell r="Y21">
            <v>437</v>
          </cell>
          <cell r="Z21">
            <v>219</v>
          </cell>
          <cell r="AA21">
            <v>421</v>
          </cell>
          <cell r="AB21">
            <v>391</v>
          </cell>
          <cell r="AC21">
            <v>25</v>
          </cell>
          <cell r="AD21">
            <v>-25</v>
          </cell>
          <cell r="AE21">
            <v>0</v>
          </cell>
          <cell r="AF21">
            <v>0</v>
          </cell>
          <cell r="AG21">
            <v>0</v>
          </cell>
          <cell r="AH21">
            <v>0</v>
          </cell>
          <cell r="AI21">
            <v>0</v>
          </cell>
          <cell r="AJ21">
            <v>0</v>
          </cell>
          <cell r="AK21">
            <v>0</v>
          </cell>
          <cell r="AL21">
            <v>0</v>
          </cell>
          <cell r="AN21" t="str">
            <v>Pre-Tax Extraordinary Charges (FYins)</v>
          </cell>
          <cell r="AO21">
            <v>19.689</v>
          </cell>
          <cell r="AP21">
            <v>9.3439999999999994</v>
          </cell>
          <cell r="AQ21">
            <v>29.286000000000001</v>
          </cell>
          <cell r="AR21">
            <v>68.712999999999994</v>
          </cell>
          <cell r="AS21">
            <v>127.032</v>
          </cell>
          <cell r="AU21">
            <v>10.657</v>
          </cell>
          <cell r="AV21">
            <v>108.504</v>
          </cell>
          <cell r="AW21">
            <v>23.658000000000001</v>
          </cell>
          <cell r="AX21">
            <v>1537.117</v>
          </cell>
          <cell r="AY21">
            <v>1679.9359999999999</v>
          </cell>
          <cell r="BA21">
            <v>0</v>
          </cell>
          <cell r="BB21">
            <v>0</v>
          </cell>
          <cell r="BC21">
            <v>0</v>
          </cell>
          <cell r="BD21">
            <v>0</v>
          </cell>
          <cell r="BE21">
            <v>0</v>
          </cell>
          <cell r="BG21">
            <v>0</v>
          </cell>
          <cell r="BH21">
            <v>0</v>
          </cell>
          <cell r="BI21">
            <v>0</v>
          </cell>
          <cell r="BJ21">
            <v>-24</v>
          </cell>
          <cell r="BK21">
            <v>-24</v>
          </cell>
          <cell r="BM21">
            <v>0</v>
          </cell>
          <cell r="BN21">
            <v>27.004999999999999</v>
          </cell>
          <cell r="BO21">
            <v>0</v>
          </cell>
          <cell r="BP21">
            <v>-1.8000000000000007</v>
          </cell>
          <cell r="BQ21">
            <v>25.204999999999998</v>
          </cell>
          <cell r="BS21">
            <v>0</v>
          </cell>
          <cell r="BT21">
            <v>7.5050000000000026</v>
          </cell>
          <cell r="BU21">
            <v>80</v>
          </cell>
          <cell r="BV21">
            <v>57.100000000000009</v>
          </cell>
          <cell r="BW21">
            <v>144.60500000000002</v>
          </cell>
          <cell r="BY21">
            <v>83.322000000000003</v>
          </cell>
          <cell r="BZ21">
            <v>114.604</v>
          </cell>
          <cell r="CA21">
            <v>39</v>
          </cell>
          <cell r="CB21">
            <v>0</v>
          </cell>
          <cell r="CC21">
            <v>39.134</v>
          </cell>
          <cell r="CD21">
            <v>40</v>
          </cell>
          <cell r="CE21">
            <v>82.450999999999993</v>
          </cell>
          <cell r="CF21">
            <v>276.92599999999999</v>
          </cell>
          <cell r="CG21">
            <v>319.37699999999995</v>
          </cell>
          <cell r="CH21">
            <v>319.37699999999995</v>
          </cell>
          <cell r="CJ21">
            <v>77.7</v>
          </cell>
          <cell r="CK21">
            <v>98.917000000000002</v>
          </cell>
          <cell r="CL21">
            <v>44.304000000000002</v>
          </cell>
          <cell r="CM21">
            <v>87.721999999999994</v>
          </cell>
          <cell r="CN21">
            <v>308.64300000000003</v>
          </cell>
          <cell r="CP21">
            <v>0</v>
          </cell>
          <cell r="CQ21">
            <v>0</v>
          </cell>
          <cell r="CR21">
            <v>0</v>
          </cell>
          <cell r="CS21">
            <v>0</v>
          </cell>
          <cell r="CT21">
            <v>0</v>
          </cell>
          <cell r="CV21">
            <v>0</v>
          </cell>
          <cell r="CW21">
            <v>0</v>
          </cell>
          <cell r="CX21">
            <v>0</v>
          </cell>
          <cell r="CY21">
            <v>0</v>
          </cell>
          <cell r="CZ21">
            <v>0</v>
          </cell>
          <cell r="DB21">
            <v>0</v>
          </cell>
          <cell r="DC21">
            <v>0</v>
          </cell>
          <cell r="DD21">
            <v>0</v>
          </cell>
          <cell r="DE21">
            <v>0</v>
          </cell>
          <cell r="DF21">
            <v>0</v>
          </cell>
          <cell r="DH21">
            <v>0</v>
          </cell>
          <cell r="DI21">
            <v>0</v>
          </cell>
          <cell r="DJ21">
            <v>0</v>
          </cell>
          <cell r="DK21">
            <v>80</v>
          </cell>
          <cell r="DL21">
            <v>80</v>
          </cell>
          <cell r="DN21">
            <v>52</v>
          </cell>
          <cell r="DO21">
            <v>41</v>
          </cell>
          <cell r="DP21">
            <v>30</v>
          </cell>
          <cell r="DQ21">
            <v>149</v>
          </cell>
          <cell r="DR21">
            <v>272</v>
          </cell>
          <cell r="DT21">
            <v>0</v>
          </cell>
          <cell r="DU21">
            <v>0</v>
          </cell>
          <cell r="DV21">
            <v>0</v>
          </cell>
          <cell r="DW21">
            <v>68</v>
          </cell>
          <cell r="DX21">
            <v>68</v>
          </cell>
          <cell r="DZ21">
            <v>8</v>
          </cell>
          <cell r="EA21">
            <v>10</v>
          </cell>
          <cell r="EB21">
            <v>29</v>
          </cell>
          <cell r="EC21">
            <v>12</v>
          </cell>
          <cell r="ED21">
            <v>59</v>
          </cell>
          <cell r="EF21">
            <v>19</v>
          </cell>
          <cell r="EG21">
            <v>90</v>
          </cell>
          <cell r="EH21">
            <v>36</v>
          </cell>
          <cell r="EI21">
            <v>13</v>
          </cell>
          <cell r="EJ21">
            <v>158</v>
          </cell>
          <cell r="EK21" t="str">
            <v>Pre-Tax Extraordinary Charges (FYins)</v>
          </cell>
          <cell r="EL21">
            <v>0</v>
          </cell>
          <cell r="EM21">
            <v>0</v>
          </cell>
          <cell r="EN21">
            <v>-417</v>
          </cell>
          <cell r="EO21">
            <v>114</v>
          </cell>
          <cell r="EP21">
            <v>-303</v>
          </cell>
          <cell r="ER21">
            <v>129</v>
          </cell>
          <cell r="ES21">
            <v>-14</v>
          </cell>
          <cell r="ET21">
            <v>145</v>
          </cell>
          <cell r="EU21">
            <v>177</v>
          </cell>
          <cell r="EV21">
            <v>437</v>
          </cell>
          <cell r="EX21">
            <v>36</v>
          </cell>
          <cell r="EY21">
            <v>97</v>
          </cell>
          <cell r="EZ21">
            <v>17</v>
          </cell>
          <cell r="FA21">
            <v>69</v>
          </cell>
          <cell r="FB21">
            <v>219</v>
          </cell>
          <cell r="FD21">
            <v>110</v>
          </cell>
          <cell r="FE21">
            <v>76</v>
          </cell>
          <cell r="FF21">
            <v>16</v>
          </cell>
          <cell r="FG21">
            <v>219</v>
          </cell>
          <cell r="FH21">
            <v>421</v>
          </cell>
          <cell r="FJ21">
            <v>138</v>
          </cell>
          <cell r="FK21">
            <v>34</v>
          </cell>
          <cell r="FL21">
            <v>33</v>
          </cell>
          <cell r="FM21">
            <v>186</v>
          </cell>
          <cell r="FN21">
            <v>391</v>
          </cell>
          <cell r="FP21">
            <v>0</v>
          </cell>
          <cell r="FQ21">
            <v>0</v>
          </cell>
          <cell r="FR21">
            <v>0</v>
          </cell>
          <cell r="FS21">
            <v>25</v>
          </cell>
          <cell r="FT21">
            <v>25</v>
          </cell>
          <cell r="FV21">
            <v>0</v>
          </cell>
          <cell r="FW21">
            <v>0</v>
          </cell>
          <cell r="FX21">
            <v>0</v>
          </cell>
          <cell r="FY21">
            <v>-25</v>
          </cell>
          <cell r="FZ21">
            <v>-25</v>
          </cell>
          <cell r="GB21">
            <v>0</v>
          </cell>
          <cell r="GC21">
            <v>0</v>
          </cell>
          <cell r="GD21">
            <v>0</v>
          </cell>
          <cell r="GE21">
            <v>0</v>
          </cell>
          <cell r="GF21">
            <v>0</v>
          </cell>
        </row>
        <row r="23">
          <cell r="A23" t="str">
            <v>Pretax Income</v>
          </cell>
          <cell r="C23">
            <v>-1767.144</v>
          </cell>
          <cell r="D23">
            <v>-547.80099999999936</v>
          </cell>
          <cell r="E23">
            <v>-1849.9609999999998</v>
          </cell>
          <cell r="F23">
            <v>53.278999999999812</v>
          </cell>
          <cell r="G23">
            <v>232.00700000000063</v>
          </cell>
          <cell r="H23">
            <v>367.77999999999912</v>
          </cell>
          <cell r="I23">
            <v>427.72199999999896</v>
          </cell>
          <cell r="J23">
            <v>1.0023277888444908</v>
          </cell>
          <cell r="K23">
            <v>92.294999999999447</v>
          </cell>
          <cell r="L23">
            <v>304.69899999999899</v>
          </cell>
          <cell r="N23">
            <v>202</v>
          </cell>
          <cell r="O23">
            <v>441</v>
          </cell>
          <cell r="P23">
            <v>958</v>
          </cell>
          <cell r="Q23">
            <v>1163</v>
          </cell>
          <cell r="R23">
            <v>1386</v>
          </cell>
          <cell r="S23">
            <v>1370</v>
          </cell>
          <cell r="T23">
            <v>780</v>
          </cell>
          <cell r="U23">
            <v>1048</v>
          </cell>
          <cell r="V23">
            <v>1084</v>
          </cell>
          <cell r="W23">
            <v>1116</v>
          </cell>
          <cell r="X23">
            <v>2044</v>
          </cell>
          <cell r="Y23">
            <v>1375</v>
          </cell>
          <cell r="Z23">
            <v>1320</v>
          </cell>
          <cell r="AA23">
            <v>444</v>
          </cell>
          <cell r="AB23">
            <v>507</v>
          </cell>
          <cell r="AC23">
            <v>1320</v>
          </cell>
          <cell r="AD23">
            <v>1968</v>
          </cell>
          <cell r="AE23">
            <v>2233.35394297312</v>
          </cell>
          <cell r="AF23">
            <v>2339.9446915434578</v>
          </cell>
          <cell r="AG23">
            <v>2569.4863960758839</v>
          </cell>
          <cell r="AH23">
            <v>2604.987304516796</v>
          </cell>
          <cell r="AI23">
            <v>2672.2023854398972</v>
          </cell>
          <cell r="AJ23">
            <v>2774.7654454877938</v>
          </cell>
          <cell r="AK23">
            <v>2859.4114719524105</v>
          </cell>
          <cell r="AL23">
            <v>2927.9432446306555</v>
          </cell>
          <cell r="AN23" t="str">
            <v>Pretax Income</v>
          </cell>
          <cell r="AO23">
            <v>-143.4009999999999</v>
          </cell>
          <cell r="AP23">
            <v>-186.447</v>
          </cell>
          <cell r="AQ23">
            <v>-121.46500000000003</v>
          </cell>
          <cell r="AR23">
            <v>-96.488000000000056</v>
          </cell>
          <cell r="AS23">
            <v>-547.80100000000004</v>
          </cell>
          <cell r="AT23">
            <v>0</v>
          </cell>
          <cell r="AU23">
            <v>-85.017999999999915</v>
          </cell>
          <cell r="AV23">
            <v>-210.38000000000011</v>
          </cell>
          <cell r="AW23">
            <v>-79.991999999999962</v>
          </cell>
          <cell r="AX23">
            <v>-1484.6269999999995</v>
          </cell>
          <cell r="AY23">
            <v>-1873.2089999999998</v>
          </cell>
          <cell r="AZ23">
            <v>0</v>
          </cell>
          <cell r="BA23">
            <v>22.976000000000163</v>
          </cell>
          <cell r="BB23">
            <v>-22.479000000000042</v>
          </cell>
          <cell r="BC23">
            <v>55.534999999999911</v>
          </cell>
          <cell r="BD23">
            <v>175.97500000000005</v>
          </cell>
          <cell r="BE23">
            <v>232.00700000000006</v>
          </cell>
          <cell r="BF23">
            <v>0</v>
          </cell>
          <cell r="BG23">
            <v>39.659000000000063</v>
          </cell>
          <cell r="BH23">
            <v>18.090999999999973</v>
          </cell>
          <cell r="BI23">
            <v>63.014999999999951</v>
          </cell>
          <cell r="BJ23">
            <v>247.01499999999982</v>
          </cell>
          <cell r="BK23">
            <v>367.77999999999918</v>
          </cell>
          <cell r="BL23">
            <v>0</v>
          </cell>
          <cell r="BM23">
            <v>58.068000000000175</v>
          </cell>
          <cell r="BN23">
            <v>10.26699999999984</v>
          </cell>
          <cell r="BO23">
            <v>78.336000000000013</v>
          </cell>
          <cell r="BP23">
            <v>281.05100000000004</v>
          </cell>
          <cell r="BQ23">
            <v>427.72199999999896</v>
          </cell>
          <cell r="BR23">
            <v>0</v>
          </cell>
          <cell r="BS23">
            <v>-52.740000000000038</v>
          </cell>
          <cell r="BT23">
            <v>-87.464999999999975</v>
          </cell>
          <cell r="BU23">
            <v>-76.039999999999964</v>
          </cell>
          <cell r="BV23">
            <v>308.54000000000008</v>
          </cell>
          <cell r="BW23">
            <v>92.294999999999391</v>
          </cell>
          <cell r="BX23">
            <v>0</v>
          </cell>
          <cell r="BY23">
            <v>-86.748000000000275</v>
          </cell>
          <cell r="BZ23">
            <v>-101.6219999999999</v>
          </cell>
          <cell r="CA23">
            <v>42.979999999999734</v>
          </cell>
          <cell r="CB23">
            <v>-68.198000000000221</v>
          </cell>
          <cell r="CC23">
            <v>-25.311000000000149</v>
          </cell>
          <cell r="CD23">
            <v>450.08899999999983</v>
          </cell>
          <cell r="CE23">
            <v>415.06299999999948</v>
          </cell>
          <cell r="CF23">
            <v>304.69899999999893</v>
          </cell>
          <cell r="CG23">
            <v>269.67299999999909</v>
          </cell>
          <cell r="CH23">
            <v>201.47499999999741</v>
          </cell>
          <cell r="CJ23">
            <v>-56.994000000000142</v>
          </cell>
          <cell r="CK23">
            <v>-39.859999999999957</v>
          </cell>
          <cell r="CL23">
            <v>73.95100000000042</v>
          </cell>
          <cell r="CM23">
            <v>464.36099999999965</v>
          </cell>
          <cell r="CN23">
            <v>441.45799999999974</v>
          </cell>
          <cell r="CP23">
            <v>43.683000000000177</v>
          </cell>
          <cell r="CQ23">
            <v>112.59700000000035</v>
          </cell>
          <cell r="CR23">
            <v>176.08300000000003</v>
          </cell>
          <cell r="CS23">
            <v>625.92700000000002</v>
          </cell>
          <cell r="CT23">
            <v>958.29000000000053</v>
          </cell>
          <cell r="CU23">
            <v>0</v>
          </cell>
          <cell r="CV23">
            <v>104</v>
          </cell>
          <cell r="CW23">
            <v>193</v>
          </cell>
          <cell r="CX23">
            <v>185</v>
          </cell>
          <cell r="CY23">
            <v>681</v>
          </cell>
          <cell r="CZ23">
            <v>1163</v>
          </cell>
          <cell r="DB23">
            <v>150</v>
          </cell>
          <cell r="DC23">
            <v>233</v>
          </cell>
          <cell r="DD23">
            <v>211</v>
          </cell>
          <cell r="DE23">
            <v>752</v>
          </cell>
          <cell r="DF23">
            <v>1346</v>
          </cell>
          <cell r="DH23">
            <v>200</v>
          </cell>
          <cell r="DI23">
            <v>324</v>
          </cell>
          <cell r="DJ23">
            <v>185</v>
          </cell>
          <cell r="DK23">
            <v>661</v>
          </cell>
          <cell r="DL23">
            <v>1370</v>
          </cell>
          <cell r="DN23">
            <v>100</v>
          </cell>
          <cell r="DO23">
            <v>135</v>
          </cell>
          <cell r="DP23">
            <v>46</v>
          </cell>
          <cell r="DQ23">
            <v>499</v>
          </cell>
          <cell r="DR23">
            <v>780</v>
          </cell>
          <cell r="DT23">
            <v>147</v>
          </cell>
          <cell r="DU23">
            <v>222</v>
          </cell>
          <cell r="DV23">
            <v>115</v>
          </cell>
          <cell r="DW23">
            <v>564</v>
          </cell>
          <cell r="DX23">
            <v>1048</v>
          </cell>
          <cell r="DZ23">
            <v>76</v>
          </cell>
          <cell r="EA23">
            <v>199</v>
          </cell>
          <cell r="EB23">
            <v>112</v>
          </cell>
          <cell r="EC23">
            <v>697</v>
          </cell>
          <cell r="ED23">
            <v>1084</v>
          </cell>
          <cell r="EF23">
            <v>157</v>
          </cell>
          <cell r="EG23">
            <v>126</v>
          </cell>
          <cell r="EH23">
            <v>120</v>
          </cell>
          <cell r="EI23">
            <v>713</v>
          </cell>
          <cell r="EJ23">
            <v>1116</v>
          </cell>
          <cell r="EK23" t="str">
            <v>Pretax Income</v>
          </cell>
          <cell r="EL23">
            <v>198</v>
          </cell>
          <cell r="EM23">
            <v>237</v>
          </cell>
          <cell r="EN23">
            <v>542</v>
          </cell>
          <cell r="EO23">
            <v>1067</v>
          </cell>
          <cell r="EP23">
            <v>2044</v>
          </cell>
          <cell r="ER23">
            <v>-118</v>
          </cell>
          <cell r="ES23">
            <v>306</v>
          </cell>
          <cell r="ET23">
            <v>30</v>
          </cell>
          <cell r="EU23">
            <v>1157</v>
          </cell>
          <cell r="EV23">
            <v>1375</v>
          </cell>
          <cell r="EX23">
            <v>83</v>
          </cell>
          <cell r="EY23">
            <v>113</v>
          </cell>
          <cell r="EZ23">
            <v>38</v>
          </cell>
          <cell r="FA23">
            <v>1086</v>
          </cell>
          <cell r="FB23">
            <v>1320</v>
          </cell>
          <cell r="FD23">
            <v>-106</v>
          </cell>
          <cell r="FE23">
            <v>121</v>
          </cell>
          <cell r="FF23">
            <v>-75</v>
          </cell>
          <cell r="FG23">
            <v>504</v>
          </cell>
          <cell r="FH23">
            <v>444</v>
          </cell>
          <cell r="FJ23">
            <v>-255</v>
          </cell>
          <cell r="FK23">
            <v>109</v>
          </cell>
          <cell r="FL23">
            <v>-82</v>
          </cell>
          <cell r="FM23">
            <v>735</v>
          </cell>
          <cell r="FN23">
            <v>507</v>
          </cell>
          <cell r="FP23">
            <v>41</v>
          </cell>
          <cell r="FQ23">
            <v>240</v>
          </cell>
          <cell r="FR23">
            <v>13</v>
          </cell>
          <cell r="FS23">
            <v>1026</v>
          </cell>
          <cell r="FT23">
            <v>1320</v>
          </cell>
          <cell r="FV23">
            <v>214</v>
          </cell>
          <cell r="FW23">
            <v>395</v>
          </cell>
          <cell r="FX23">
            <v>183</v>
          </cell>
          <cell r="FY23">
            <v>1176</v>
          </cell>
          <cell r="FZ23">
            <v>1968</v>
          </cell>
          <cell r="GB23">
            <v>279</v>
          </cell>
          <cell r="GC23">
            <v>449</v>
          </cell>
          <cell r="GD23">
            <v>174.65499452664795</v>
          </cell>
          <cell r="GE23">
            <v>1330.6989484464721</v>
          </cell>
          <cell r="GF23">
            <v>2233.35394297312</v>
          </cell>
        </row>
        <row r="24">
          <cell r="A24" t="str">
            <v>Income Taxes (Benefit)</v>
          </cell>
          <cell r="C24">
            <v>6.7830000000000004</v>
          </cell>
          <cell r="D24">
            <v>-276.35500000000002</v>
          </cell>
          <cell r="E24">
            <v>-613.98900000000003</v>
          </cell>
          <cell r="F24">
            <v>28.096</v>
          </cell>
          <cell r="G24">
            <v>99.299000000000007</v>
          </cell>
          <cell r="H24">
            <v>156.745</v>
          </cell>
          <cell r="I24">
            <v>180.869</v>
          </cell>
          <cell r="K24">
            <v>55.495050000000049</v>
          </cell>
          <cell r="L24">
            <v>155.708</v>
          </cell>
          <cell r="N24">
            <v>127</v>
          </cell>
          <cell r="O24">
            <v>175</v>
          </cell>
          <cell r="P24">
            <v>383</v>
          </cell>
          <cell r="Q24">
            <v>478</v>
          </cell>
          <cell r="R24">
            <v>561</v>
          </cell>
          <cell r="S24">
            <v>549</v>
          </cell>
          <cell r="T24">
            <v>306</v>
          </cell>
          <cell r="U24">
            <v>410</v>
          </cell>
          <cell r="V24">
            <v>429</v>
          </cell>
          <cell r="W24">
            <v>427</v>
          </cell>
          <cell r="X24">
            <v>765.40858992805761</v>
          </cell>
          <cell r="Y24">
            <v>511.75</v>
          </cell>
          <cell r="Z24">
            <v>489</v>
          </cell>
          <cell r="AA24">
            <v>-135</v>
          </cell>
          <cell r="AB24">
            <v>178</v>
          </cell>
          <cell r="AC24">
            <v>473</v>
          </cell>
          <cell r="AD24">
            <v>712</v>
          </cell>
          <cell r="AE24">
            <v>824.98095890005447</v>
          </cell>
          <cell r="AF24">
            <v>865.77953587107936</v>
          </cell>
          <cell r="AG24">
            <v>950.70996654807709</v>
          </cell>
          <cell r="AH24">
            <v>963.84530267121454</v>
          </cell>
          <cell r="AI24">
            <v>988.71488261276193</v>
          </cell>
          <cell r="AJ24">
            <v>1026.6632148304836</v>
          </cell>
          <cell r="AK24">
            <v>1057.9822446223918</v>
          </cell>
          <cell r="AL24">
            <v>1083.3390005133426</v>
          </cell>
          <cell r="AN24" t="str">
            <v>Income Taxes (Benefit)</v>
          </cell>
          <cell r="AO24">
            <v>-43.960999999999999</v>
          </cell>
          <cell r="AP24">
            <v>-60.075000000000003</v>
          </cell>
          <cell r="AQ24">
            <v>-34.662999999999997</v>
          </cell>
          <cell r="AR24">
            <v>-137.65600000000001</v>
          </cell>
          <cell r="AS24">
            <v>-276.35500000000002</v>
          </cell>
          <cell r="AU24">
            <v>-20.856999999999999</v>
          </cell>
          <cell r="AV24">
            <v>-66.552000000000007</v>
          </cell>
          <cell r="AW24">
            <v>-18.997</v>
          </cell>
          <cell r="AX24">
            <v>-507.58300000000003</v>
          </cell>
          <cell r="AY24">
            <v>-613.98900000000003</v>
          </cell>
          <cell r="BA24">
            <v>11.164</v>
          </cell>
          <cell r="BB24">
            <v>-6.69</v>
          </cell>
          <cell r="BC24">
            <v>23.952999999999999</v>
          </cell>
          <cell r="BD24">
            <v>70.872</v>
          </cell>
          <cell r="BE24">
            <v>99.299000000000007</v>
          </cell>
          <cell r="BG24">
            <v>17.959</v>
          </cell>
          <cell r="BH24">
            <v>9.2379999999999995</v>
          </cell>
          <cell r="BI24">
            <v>28.490999999999996</v>
          </cell>
          <cell r="BJ24">
            <v>101.057</v>
          </cell>
          <cell r="BK24">
            <v>156.745</v>
          </cell>
          <cell r="BM24">
            <v>25.846</v>
          </cell>
          <cell r="BN24">
            <v>6.4950000000000001</v>
          </cell>
          <cell r="BO24">
            <v>33.993000000000002</v>
          </cell>
          <cell r="BP24">
            <v>114.535</v>
          </cell>
          <cell r="BQ24">
            <v>180.869</v>
          </cell>
          <cell r="BS24">
            <v>-15.693600000000016</v>
          </cell>
          <cell r="BT24">
            <v>-29.236349999999991</v>
          </cell>
          <cell r="BU24">
            <v>-24.780599999999986</v>
          </cell>
          <cell r="BV24">
            <v>125.20560000000003</v>
          </cell>
          <cell r="BW24">
            <v>55.495050000000049</v>
          </cell>
          <cell r="BY24">
            <v>-29.748999999999999</v>
          </cell>
          <cell r="BZ24">
            <v>-34.447000000000003</v>
          </cell>
          <cell r="CA24">
            <v>21.084</v>
          </cell>
          <cell r="CB24">
            <v>0</v>
          </cell>
          <cell r="CC24">
            <v>21.084</v>
          </cell>
          <cell r="CD24">
            <v>198.82</v>
          </cell>
          <cell r="CE24">
            <v>170.41800000000001</v>
          </cell>
          <cell r="CF24">
            <v>155.708</v>
          </cell>
          <cell r="CG24">
            <v>127.30600000000001</v>
          </cell>
          <cell r="CH24">
            <v>127.30600000000001</v>
          </cell>
          <cell r="CJ24">
            <v>-19.071000000000002</v>
          </cell>
          <cell r="CK24">
            <v>-12.667</v>
          </cell>
          <cell r="CL24">
            <v>32.15</v>
          </cell>
          <cell r="CM24">
            <v>175.15899999999999</v>
          </cell>
          <cell r="CN24">
            <v>175.571</v>
          </cell>
          <cell r="CP24">
            <v>19.623999999999999</v>
          </cell>
          <cell r="CQ24">
            <v>46.226999999999997</v>
          </cell>
          <cell r="CR24">
            <v>70.968999999999994</v>
          </cell>
          <cell r="CS24">
            <v>246.84700000000001</v>
          </cell>
          <cell r="CT24">
            <v>383.66700000000003</v>
          </cell>
          <cell r="CV24">
            <v>43.765999999999998</v>
          </cell>
          <cell r="CW24">
            <v>86</v>
          </cell>
          <cell r="CX24">
            <v>75</v>
          </cell>
          <cell r="CY24">
            <v>273</v>
          </cell>
          <cell r="CZ24">
            <v>477.76599999999996</v>
          </cell>
          <cell r="DB24">
            <v>63</v>
          </cell>
          <cell r="DC24">
            <v>96</v>
          </cell>
          <cell r="DD24">
            <v>88</v>
          </cell>
          <cell r="DE24">
            <v>304</v>
          </cell>
          <cell r="DF24">
            <v>551</v>
          </cell>
          <cell r="DH24">
            <v>82</v>
          </cell>
          <cell r="DI24">
            <v>130</v>
          </cell>
          <cell r="DJ24">
            <v>76</v>
          </cell>
          <cell r="DK24">
            <v>261</v>
          </cell>
          <cell r="DL24">
            <v>549</v>
          </cell>
          <cell r="DN24">
            <v>42</v>
          </cell>
          <cell r="DO24">
            <v>55</v>
          </cell>
          <cell r="DP24">
            <v>20</v>
          </cell>
          <cell r="DQ24">
            <v>189</v>
          </cell>
          <cell r="DR24">
            <v>306</v>
          </cell>
          <cell r="DT24">
            <v>58</v>
          </cell>
          <cell r="DU24">
            <v>89</v>
          </cell>
          <cell r="DV24">
            <v>40</v>
          </cell>
          <cell r="DW24">
            <v>223</v>
          </cell>
          <cell r="DX24">
            <v>410</v>
          </cell>
          <cell r="DZ24">
            <v>30</v>
          </cell>
          <cell r="EA24">
            <v>79</v>
          </cell>
          <cell r="EB24">
            <v>45</v>
          </cell>
          <cell r="EC24">
            <v>275</v>
          </cell>
          <cell r="ED24">
            <v>429</v>
          </cell>
          <cell r="EF24">
            <v>60</v>
          </cell>
          <cell r="EG24">
            <v>48</v>
          </cell>
          <cell r="EH24">
            <v>46</v>
          </cell>
          <cell r="EI24">
            <v>273</v>
          </cell>
          <cell r="EJ24">
            <v>427</v>
          </cell>
          <cell r="EK24" t="str">
            <v>Income Taxes (Benefit)</v>
          </cell>
          <cell r="EL24">
            <v>74.646000000000001</v>
          </cell>
          <cell r="EM24">
            <v>89</v>
          </cell>
          <cell r="EN24">
            <v>202.76258992805757</v>
          </cell>
          <cell r="EO24">
            <v>399</v>
          </cell>
          <cell r="EP24">
            <v>765.40858992805761</v>
          </cell>
          <cell r="ER24">
            <v>-44</v>
          </cell>
          <cell r="ES24">
            <v>114.75</v>
          </cell>
          <cell r="ET24">
            <v>10</v>
          </cell>
          <cell r="EU24">
            <v>431</v>
          </cell>
          <cell r="EV24">
            <v>511.75</v>
          </cell>
          <cell r="EX24">
            <v>31</v>
          </cell>
          <cell r="EY24">
            <v>39</v>
          </cell>
          <cell r="EZ24">
            <v>5</v>
          </cell>
          <cell r="FA24">
            <v>414</v>
          </cell>
          <cell r="FB24">
            <v>489</v>
          </cell>
          <cell r="FD24">
            <v>-47</v>
          </cell>
          <cell r="FE24">
            <v>48</v>
          </cell>
          <cell r="FF24">
            <v>-31</v>
          </cell>
          <cell r="FG24">
            <v>-105</v>
          </cell>
          <cell r="FH24">
            <v>-135</v>
          </cell>
          <cell r="FJ24">
            <v>-167</v>
          </cell>
          <cell r="FK24">
            <v>102</v>
          </cell>
          <cell r="FL24">
            <v>-47</v>
          </cell>
          <cell r="FM24">
            <v>290</v>
          </cell>
          <cell r="FN24">
            <v>178</v>
          </cell>
          <cell r="FP24">
            <v>18</v>
          </cell>
          <cell r="FQ24">
            <v>93</v>
          </cell>
          <cell r="FR24">
            <v>3</v>
          </cell>
          <cell r="FS24">
            <v>359</v>
          </cell>
          <cell r="FT24">
            <v>473</v>
          </cell>
          <cell r="FV24">
            <v>83</v>
          </cell>
          <cell r="FW24">
            <v>154</v>
          </cell>
          <cell r="FX24">
            <v>44</v>
          </cell>
          <cell r="FY24">
            <v>431</v>
          </cell>
          <cell r="FZ24">
            <v>712</v>
          </cell>
          <cell r="GB24">
            <v>98</v>
          </cell>
          <cell r="GC24">
            <v>170</v>
          </cell>
          <cell r="GD24">
            <v>64.622347974859736</v>
          </cell>
          <cell r="GE24">
            <v>492.35861092519468</v>
          </cell>
          <cell r="GF24">
            <v>824.98095890005447</v>
          </cell>
          <cell r="GS24" t="str">
            <v>mstag:taxExpenseIncome</v>
          </cell>
          <cell r="GT24">
            <v>6</v>
          </cell>
          <cell r="GU24" t="str">
            <v>ISO4217:USD</v>
          </cell>
          <cell r="GV24" t="b">
            <v>0</v>
          </cell>
          <cell r="GW24" t="b">
            <v>0</v>
          </cell>
        </row>
        <row r="25">
          <cell r="A25" t="str">
            <v>Net Income Before Post-Tax Items</v>
          </cell>
          <cell r="C25">
            <v>-1773.9269999999999</v>
          </cell>
          <cell r="D25">
            <v>-271.44599999999934</v>
          </cell>
          <cell r="E25">
            <v>-1235.9719999999998</v>
          </cell>
          <cell r="F25">
            <v>25.182999999999812</v>
          </cell>
          <cell r="G25">
            <v>132.70800000000062</v>
          </cell>
          <cell r="H25">
            <v>211.03499999999912</v>
          </cell>
          <cell r="I25">
            <v>246.85299999999896</v>
          </cell>
          <cell r="J25">
            <v>1.1401472134972468</v>
          </cell>
          <cell r="K25">
            <v>36.799949999999399</v>
          </cell>
          <cell r="L25">
            <v>148.99099999999899</v>
          </cell>
          <cell r="N25">
            <v>75</v>
          </cell>
          <cell r="O25">
            <v>266</v>
          </cell>
          <cell r="P25">
            <v>575</v>
          </cell>
          <cell r="Q25">
            <v>685</v>
          </cell>
          <cell r="R25">
            <v>825</v>
          </cell>
          <cell r="S25">
            <v>821</v>
          </cell>
          <cell r="T25">
            <v>474</v>
          </cell>
          <cell r="U25">
            <v>638</v>
          </cell>
          <cell r="V25">
            <v>655</v>
          </cell>
          <cell r="W25">
            <v>689</v>
          </cell>
          <cell r="X25">
            <v>1278.5914100719424</v>
          </cell>
          <cell r="Y25">
            <v>863.25</v>
          </cell>
          <cell r="Z25">
            <v>831</v>
          </cell>
          <cell r="AA25">
            <v>579</v>
          </cell>
          <cell r="AB25">
            <v>329</v>
          </cell>
          <cell r="AC25">
            <v>847</v>
          </cell>
          <cell r="AD25">
            <v>1256</v>
          </cell>
          <cell r="AE25">
            <v>1408.3729840730655</v>
          </cell>
          <cell r="AF25">
            <v>1474.1651556723784</v>
          </cell>
          <cell r="AG25">
            <v>1618.7764295278068</v>
          </cell>
          <cell r="AH25">
            <v>1641.1420018455815</v>
          </cell>
          <cell r="AI25">
            <v>1683.4875028271354</v>
          </cell>
          <cell r="AJ25">
            <v>1748.1022306573102</v>
          </cell>
          <cell r="AK25">
            <v>1801.4292273300186</v>
          </cell>
          <cell r="AL25">
            <v>1844.6042441173129</v>
          </cell>
          <cell r="AN25" t="str">
            <v>Net Income Before Post-Tax Items</v>
          </cell>
          <cell r="AO25">
            <v>-99.439999999999898</v>
          </cell>
          <cell r="AP25">
            <v>-126.372</v>
          </cell>
          <cell r="AQ25">
            <v>-86.802000000000035</v>
          </cell>
          <cell r="AR25">
            <v>41.16799999999995</v>
          </cell>
          <cell r="AS25">
            <v>-271.44599999999997</v>
          </cell>
          <cell r="AU25">
            <v>-64.160999999999916</v>
          </cell>
          <cell r="AV25">
            <v>-143.82800000000009</v>
          </cell>
          <cell r="AW25">
            <v>-60.994999999999962</v>
          </cell>
          <cell r="AX25">
            <v>-977.04399999999941</v>
          </cell>
          <cell r="AY25">
            <v>-1246.0279999999993</v>
          </cell>
          <cell r="BA25">
            <v>11.812000000000163</v>
          </cell>
          <cell r="BB25">
            <v>-15.789000000000041</v>
          </cell>
          <cell r="BC25">
            <v>31.581999999999912</v>
          </cell>
          <cell r="BD25">
            <v>105.10300000000005</v>
          </cell>
          <cell r="BE25">
            <v>132.70800000000008</v>
          </cell>
          <cell r="BG25">
            <v>21.700000000000063</v>
          </cell>
          <cell r="BH25">
            <v>8.8529999999999731</v>
          </cell>
          <cell r="BI25">
            <v>34.523999999999958</v>
          </cell>
          <cell r="BJ25">
            <v>145.9579999999998</v>
          </cell>
          <cell r="BK25">
            <v>211.03499999999917</v>
          </cell>
          <cell r="BM25">
            <v>32.222000000000179</v>
          </cell>
          <cell r="BN25">
            <v>3.7719999999998395</v>
          </cell>
          <cell r="BO25">
            <v>44.343000000000011</v>
          </cell>
          <cell r="BP25">
            <v>166.51600000000005</v>
          </cell>
          <cell r="BQ25">
            <v>246.85299999999896</v>
          </cell>
          <cell r="BS25">
            <v>-37.04640000000002</v>
          </cell>
          <cell r="BT25">
            <v>-58.228649999999988</v>
          </cell>
          <cell r="BU25">
            <v>-51.259399999999978</v>
          </cell>
          <cell r="BV25">
            <v>183.33440000000004</v>
          </cell>
          <cell r="BW25">
            <v>36.799949999999342</v>
          </cell>
          <cell r="BY25">
            <v>-56.999000000000279</v>
          </cell>
          <cell r="BZ25">
            <v>-67.174999999999898</v>
          </cell>
          <cell r="CA25">
            <v>21.895999999999734</v>
          </cell>
          <cell r="CB25">
            <v>-68.198000000000221</v>
          </cell>
          <cell r="CC25">
            <v>-46.395000000000152</v>
          </cell>
          <cell r="CD25">
            <v>251.26899999999983</v>
          </cell>
          <cell r="CE25">
            <v>244.64499999999947</v>
          </cell>
          <cell r="CF25">
            <v>148.99099999999893</v>
          </cell>
          <cell r="CG25">
            <v>142.36699999999902</v>
          </cell>
          <cell r="CH25">
            <v>74.168999999998789</v>
          </cell>
          <cell r="CJ25">
            <v>-37.923000000000144</v>
          </cell>
          <cell r="CK25">
            <v>-27.192999999999955</v>
          </cell>
          <cell r="CL25">
            <v>41.801000000000421</v>
          </cell>
          <cell r="CM25">
            <v>289.20199999999966</v>
          </cell>
          <cell r="CN25">
            <v>265.88699999999972</v>
          </cell>
          <cell r="CP25">
            <v>24.059000000000179</v>
          </cell>
          <cell r="CQ25">
            <v>66.370000000000346</v>
          </cell>
          <cell r="CR25">
            <v>105.11400000000003</v>
          </cell>
          <cell r="CS25">
            <v>379.08000000000004</v>
          </cell>
          <cell r="CT25">
            <v>574.62300000000062</v>
          </cell>
          <cell r="CV25">
            <v>60.234000000000002</v>
          </cell>
          <cell r="CW25">
            <v>107</v>
          </cell>
          <cell r="CX25">
            <v>110</v>
          </cell>
          <cell r="CY25">
            <v>408</v>
          </cell>
          <cell r="CZ25">
            <v>685.23400000000004</v>
          </cell>
          <cell r="DB25">
            <v>87</v>
          </cell>
          <cell r="DC25">
            <v>137</v>
          </cell>
          <cell r="DD25">
            <v>123</v>
          </cell>
          <cell r="DE25">
            <v>448</v>
          </cell>
          <cell r="DF25">
            <v>795</v>
          </cell>
          <cell r="DH25">
            <v>118</v>
          </cell>
          <cell r="DI25">
            <v>194</v>
          </cell>
          <cell r="DJ25">
            <v>109</v>
          </cell>
          <cell r="DK25">
            <v>400</v>
          </cell>
          <cell r="DL25">
            <v>821</v>
          </cell>
          <cell r="DN25">
            <v>58</v>
          </cell>
          <cell r="DO25">
            <v>80</v>
          </cell>
          <cell r="DP25">
            <v>26</v>
          </cell>
          <cell r="DQ25">
            <v>310</v>
          </cell>
          <cell r="DR25">
            <v>474</v>
          </cell>
          <cell r="DT25">
            <v>89</v>
          </cell>
          <cell r="DU25">
            <v>133</v>
          </cell>
          <cell r="DV25">
            <v>75</v>
          </cell>
          <cell r="DW25">
            <v>341</v>
          </cell>
          <cell r="DX25">
            <v>638</v>
          </cell>
          <cell r="DZ25">
            <v>46</v>
          </cell>
          <cell r="EA25">
            <v>120</v>
          </cell>
          <cell r="EB25">
            <v>67</v>
          </cell>
          <cell r="EC25">
            <v>422</v>
          </cell>
          <cell r="ED25">
            <v>655</v>
          </cell>
          <cell r="EF25">
            <v>97</v>
          </cell>
          <cell r="EG25">
            <v>78</v>
          </cell>
          <cell r="EH25">
            <v>74</v>
          </cell>
          <cell r="EI25">
            <v>440</v>
          </cell>
          <cell r="EJ25">
            <v>689</v>
          </cell>
          <cell r="EK25" t="str">
            <v>Net Income Before Post-Tax Items</v>
          </cell>
          <cell r="EL25">
            <v>123.354</v>
          </cell>
          <cell r="EM25">
            <v>148</v>
          </cell>
          <cell r="EN25">
            <v>339.23741007194246</v>
          </cell>
          <cell r="EO25">
            <v>668</v>
          </cell>
          <cell r="EP25">
            <v>1278.5914100719424</v>
          </cell>
          <cell r="ER25">
            <v>-74</v>
          </cell>
          <cell r="ES25">
            <v>191.25</v>
          </cell>
          <cell r="ET25">
            <v>20</v>
          </cell>
          <cell r="EU25">
            <v>726</v>
          </cell>
          <cell r="EV25">
            <v>863.25</v>
          </cell>
          <cell r="EX25">
            <v>52</v>
          </cell>
          <cell r="EY25">
            <v>74</v>
          </cell>
          <cell r="EZ25">
            <v>33</v>
          </cell>
          <cell r="FA25">
            <v>672</v>
          </cell>
          <cell r="FB25">
            <v>831</v>
          </cell>
          <cell r="FD25">
            <v>-59</v>
          </cell>
          <cell r="FE25">
            <v>73</v>
          </cell>
          <cell r="FF25">
            <v>-44</v>
          </cell>
          <cell r="FG25">
            <v>609</v>
          </cell>
          <cell r="FH25">
            <v>579</v>
          </cell>
          <cell r="FJ25">
            <v>-88</v>
          </cell>
          <cell r="FK25">
            <v>7</v>
          </cell>
          <cell r="FL25">
            <v>-35</v>
          </cell>
          <cell r="FM25">
            <v>445</v>
          </cell>
          <cell r="FN25">
            <v>329</v>
          </cell>
          <cell r="FP25">
            <v>23</v>
          </cell>
          <cell r="FQ25">
            <v>147</v>
          </cell>
          <cell r="FR25">
            <v>10</v>
          </cell>
          <cell r="FS25">
            <v>667</v>
          </cell>
          <cell r="FT25">
            <v>847</v>
          </cell>
          <cell r="FV25">
            <v>131</v>
          </cell>
          <cell r="FW25">
            <v>241</v>
          </cell>
          <cell r="FX25">
            <v>139</v>
          </cell>
          <cell r="FY25">
            <v>745</v>
          </cell>
          <cell r="FZ25">
            <v>1256</v>
          </cell>
          <cell r="GB25">
            <v>181</v>
          </cell>
          <cell r="GC25">
            <v>279</v>
          </cell>
          <cell r="GD25">
            <v>110.03264655178822</v>
          </cell>
          <cell r="GE25">
            <v>838.34033752127743</v>
          </cell>
          <cell r="GF25">
            <v>1408.3729840730655</v>
          </cell>
        </row>
        <row r="26">
          <cell r="A26" t="str">
            <v>Discontinued Operations Charges (FYins)</v>
          </cell>
          <cell r="N26">
            <v>0</v>
          </cell>
          <cell r="O26">
            <v>0</v>
          </cell>
          <cell r="P26">
            <v>0</v>
          </cell>
          <cell r="Q26">
            <v>0</v>
          </cell>
          <cell r="R26">
            <v>30</v>
          </cell>
          <cell r="S26">
            <v>1005</v>
          </cell>
          <cell r="T26">
            <v>797</v>
          </cell>
          <cell r="U26">
            <v>-180</v>
          </cell>
          <cell r="V26">
            <v>0</v>
          </cell>
          <cell r="W26">
            <v>0</v>
          </cell>
          <cell r="X26">
            <v>-33</v>
          </cell>
          <cell r="Y26">
            <v>-7</v>
          </cell>
          <cell r="Z26">
            <v>16</v>
          </cell>
          <cell r="AA26">
            <v>0</v>
          </cell>
          <cell r="AB26">
            <v>0</v>
          </cell>
          <cell r="AC26">
            <v>0</v>
          </cell>
          <cell r="AD26">
            <v>0</v>
          </cell>
          <cell r="AE26">
            <v>0</v>
          </cell>
          <cell r="AF26">
            <v>0</v>
          </cell>
          <cell r="AG26">
            <v>0</v>
          </cell>
          <cell r="AH26">
            <v>0</v>
          </cell>
          <cell r="AI26">
            <v>0</v>
          </cell>
          <cell r="AJ26">
            <v>0</v>
          </cell>
          <cell r="AK26">
            <v>0</v>
          </cell>
          <cell r="AL26">
            <v>0</v>
          </cell>
          <cell r="AN26" t="str">
            <v>Discontinued Operations Charges (FYins)</v>
          </cell>
          <cell r="DB26">
            <v>0</v>
          </cell>
          <cell r="DC26">
            <v>0</v>
          </cell>
          <cell r="DD26">
            <v>0</v>
          </cell>
          <cell r="DE26">
            <v>0</v>
          </cell>
          <cell r="DF26">
            <v>0</v>
          </cell>
          <cell r="DH26">
            <v>29</v>
          </cell>
          <cell r="DI26">
            <v>131</v>
          </cell>
          <cell r="DJ26">
            <v>777</v>
          </cell>
          <cell r="DK26">
            <v>68</v>
          </cell>
          <cell r="DL26">
            <v>1005</v>
          </cell>
          <cell r="DN26">
            <v>0</v>
          </cell>
          <cell r="DO26">
            <v>14</v>
          </cell>
          <cell r="DP26">
            <v>13</v>
          </cell>
          <cell r="DQ26">
            <v>770</v>
          </cell>
          <cell r="DR26">
            <v>797</v>
          </cell>
          <cell r="DT26">
            <v>0</v>
          </cell>
          <cell r="DU26">
            <v>-149</v>
          </cell>
          <cell r="DV26">
            <v>-31</v>
          </cell>
          <cell r="DW26">
            <v>0</v>
          </cell>
          <cell r="DX26">
            <v>-180</v>
          </cell>
          <cell r="DZ26">
            <v>0</v>
          </cell>
          <cell r="EA26">
            <v>0</v>
          </cell>
          <cell r="EB26">
            <v>0</v>
          </cell>
          <cell r="EC26">
            <v>0</v>
          </cell>
          <cell r="ED26">
            <v>0</v>
          </cell>
          <cell r="EF26">
            <v>0</v>
          </cell>
          <cell r="EG26">
            <v>0</v>
          </cell>
          <cell r="EH26">
            <v>0</v>
          </cell>
          <cell r="EI26">
            <v>0</v>
          </cell>
          <cell r="EJ26">
            <v>0</v>
          </cell>
          <cell r="EK26" t="str">
            <v>Discontinued Operations Charges (FYins)</v>
          </cell>
          <cell r="EL26">
            <v>0</v>
          </cell>
          <cell r="EM26">
            <v>0</v>
          </cell>
          <cell r="EN26">
            <v>-12</v>
          </cell>
          <cell r="EO26">
            <v>-21</v>
          </cell>
          <cell r="EP26">
            <v>-33</v>
          </cell>
          <cell r="ER26">
            <v>-22</v>
          </cell>
          <cell r="ES26">
            <v>-35</v>
          </cell>
          <cell r="ET26">
            <v>23</v>
          </cell>
          <cell r="EU26">
            <v>27</v>
          </cell>
          <cell r="EV26">
            <v>-7</v>
          </cell>
          <cell r="EX26">
            <v>16</v>
          </cell>
          <cell r="EY26">
            <v>0</v>
          </cell>
          <cell r="EZ26">
            <v>0</v>
          </cell>
          <cell r="FA26">
            <v>0</v>
          </cell>
          <cell r="FB26">
            <v>16</v>
          </cell>
          <cell r="FD26">
            <v>0</v>
          </cell>
          <cell r="FE26">
            <v>0</v>
          </cell>
          <cell r="FF26">
            <v>0</v>
          </cell>
          <cell r="FG26">
            <v>0</v>
          </cell>
          <cell r="FH26">
            <v>0</v>
          </cell>
          <cell r="FJ26">
            <v>0</v>
          </cell>
          <cell r="FK26">
            <v>0</v>
          </cell>
          <cell r="FL26">
            <v>0</v>
          </cell>
          <cell r="FM26">
            <v>0</v>
          </cell>
          <cell r="FN26">
            <v>0</v>
          </cell>
          <cell r="FP26">
            <v>0</v>
          </cell>
          <cell r="FQ26">
            <v>0</v>
          </cell>
          <cell r="FR26">
            <v>0</v>
          </cell>
          <cell r="FS26">
            <v>0</v>
          </cell>
          <cell r="FT26">
            <v>0</v>
          </cell>
          <cell r="FV26">
            <v>0</v>
          </cell>
          <cell r="FW26">
            <v>0</v>
          </cell>
          <cell r="FX26">
            <v>0</v>
          </cell>
          <cell r="FY26">
            <v>0</v>
          </cell>
          <cell r="FZ26">
            <v>0</v>
          </cell>
          <cell r="GB26">
            <v>0</v>
          </cell>
          <cell r="GC26">
            <v>0</v>
          </cell>
          <cell r="GD26">
            <v>0</v>
          </cell>
          <cell r="GE26">
            <v>0</v>
          </cell>
          <cell r="GF26">
            <v>0</v>
          </cell>
          <cell r="GS26" t="str">
            <v>mstag:incomeLossFromDiscontinuedOperationsNetOfTax</v>
          </cell>
          <cell r="GT26">
            <v>6</v>
          </cell>
          <cell r="GU26" t="str">
            <v>ISO4217:USD</v>
          </cell>
          <cell r="GV26" t="b">
            <v>1</v>
          </cell>
          <cell r="GW26" t="b">
            <v>0</v>
          </cell>
        </row>
        <row r="27">
          <cell r="A27" t="str">
            <v>Post-Tax Extraordinary Charges (FYins)</v>
          </cell>
          <cell r="C27">
            <v>0</v>
          </cell>
          <cell r="D27">
            <v>0</v>
          </cell>
          <cell r="E27">
            <v>2072.364</v>
          </cell>
          <cell r="F27">
            <v>0</v>
          </cell>
          <cell r="G27">
            <v>-19.698999999999998</v>
          </cell>
          <cell r="H27">
            <v>-17.786999999999999</v>
          </cell>
          <cell r="I27">
            <v>0</v>
          </cell>
          <cell r="K27">
            <v>0</v>
          </cell>
          <cell r="L27">
            <v>0</v>
          </cell>
          <cell r="N27">
            <v>0</v>
          </cell>
          <cell r="O27">
            <v>0</v>
          </cell>
          <cell r="P27">
            <v>39</v>
          </cell>
          <cell r="Q27">
            <v>23</v>
          </cell>
          <cell r="R27">
            <v>0</v>
          </cell>
          <cell r="S27">
            <v>0</v>
          </cell>
          <cell r="T27">
            <v>-47</v>
          </cell>
          <cell r="U27">
            <v>0</v>
          </cell>
          <cell r="V27">
            <v>-38</v>
          </cell>
          <cell r="W27">
            <v>0</v>
          </cell>
          <cell r="X27">
            <v>-95</v>
          </cell>
          <cell r="Y27">
            <v>-124.625</v>
          </cell>
          <cell r="Z27">
            <v>-78</v>
          </cell>
          <cell r="AA27">
            <v>5382</v>
          </cell>
          <cell r="AB27">
            <v>0</v>
          </cell>
          <cell r="AC27">
            <v>41.4</v>
          </cell>
          <cell r="AD27">
            <v>0</v>
          </cell>
          <cell r="AE27">
            <v>0</v>
          </cell>
          <cell r="AF27">
            <v>0</v>
          </cell>
          <cell r="AG27">
            <v>0</v>
          </cell>
          <cell r="AH27">
            <v>0</v>
          </cell>
          <cell r="AI27">
            <v>0</v>
          </cell>
          <cell r="AJ27">
            <v>0</v>
          </cell>
          <cell r="AK27">
            <v>0</v>
          </cell>
          <cell r="AL27">
            <v>0</v>
          </cell>
          <cell r="AN27" t="str">
            <v>Post-Tax Extraordinary Charges (FYins)</v>
          </cell>
          <cell r="AO27">
            <v>0</v>
          </cell>
          <cell r="AP27">
            <v>0</v>
          </cell>
          <cell r="AQ27">
            <v>0</v>
          </cell>
          <cell r="AR27">
            <v>0</v>
          </cell>
          <cell r="AS27">
            <v>0</v>
          </cell>
          <cell r="AU27">
            <v>0</v>
          </cell>
          <cell r="AV27">
            <v>0</v>
          </cell>
          <cell r="AW27">
            <v>0</v>
          </cell>
          <cell r="AX27">
            <v>2165.5149999999999</v>
          </cell>
          <cell r="AY27">
            <v>2165.5149999999999</v>
          </cell>
          <cell r="BA27">
            <v>0</v>
          </cell>
          <cell r="BB27">
            <v>-13.574</v>
          </cell>
          <cell r="BC27">
            <v>0</v>
          </cell>
          <cell r="BD27">
            <v>-6.125</v>
          </cell>
          <cell r="BE27">
            <v>-19.698999999999998</v>
          </cell>
          <cell r="BG27">
            <v>-3.5449999999999999</v>
          </cell>
          <cell r="BH27">
            <v>0</v>
          </cell>
          <cell r="BI27">
            <v>-14.242000000000001</v>
          </cell>
          <cell r="BJ27">
            <v>0</v>
          </cell>
          <cell r="BK27">
            <v>-17.786999999999999</v>
          </cell>
          <cell r="BM27">
            <v>0</v>
          </cell>
          <cell r="BN27">
            <v>0</v>
          </cell>
          <cell r="BO27">
            <v>0</v>
          </cell>
          <cell r="BP27">
            <v>0</v>
          </cell>
          <cell r="BQ27">
            <v>0</v>
          </cell>
          <cell r="BS27">
            <v>0</v>
          </cell>
          <cell r="BT27">
            <v>0</v>
          </cell>
          <cell r="BU27">
            <v>0</v>
          </cell>
          <cell r="BV27">
            <v>0</v>
          </cell>
          <cell r="BW27">
            <v>0</v>
          </cell>
          <cell r="BY27">
            <v>0</v>
          </cell>
          <cell r="BZ27">
            <v>0</v>
          </cell>
          <cell r="CA27">
            <v>0</v>
          </cell>
          <cell r="CB27">
            <v>0</v>
          </cell>
          <cell r="CC27">
            <v>0</v>
          </cell>
          <cell r="CD27">
            <v>0</v>
          </cell>
          <cell r="CE27">
            <v>0</v>
          </cell>
          <cell r="CF27">
            <v>0</v>
          </cell>
          <cell r="CG27">
            <v>0</v>
          </cell>
          <cell r="CH27">
            <v>0</v>
          </cell>
          <cell r="CJ27">
            <v>0</v>
          </cell>
          <cell r="CK27">
            <v>0</v>
          </cell>
          <cell r="CL27">
            <v>0</v>
          </cell>
          <cell r="CM27">
            <v>0</v>
          </cell>
          <cell r="CN27">
            <v>0</v>
          </cell>
          <cell r="CP27">
            <v>0</v>
          </cell>
          <cell r="CQ27">
            <v>-38.673000000000002</v>
          </cell>
          <cell r="CR27">
            <v>0</v>
          </cell>
          <cell r="CS27">
            <v>0</v>
          </cell>
          <cell r="CT27">
            <v>-38.673000000000002</v>
          </cell>
          <cell r="CV27">
            <v>0</v>
          </cell>
          <cell r="CW27">
            <v>0</v>
          </cell>
          <cell r="CX27">
            <v>23</v>
          </cell>
          <cell r="CY27">
            <v>0</v>
          </cell>
          <cell r="CZ27">
            <v>23</v>
          </cell>
          <cell r="DB27">
            <v>0</v>
          </cell>
          <cell r="DC27">
            <v>0</v>
          </cell>
          <cell r="DD27">
            <v>0</v>
          </cell>
          <cell r="DE27">
            <v>0</v>
          </cell>
          <cell r="DF27">
            <v>0</v>
          </cell>
          <cell r="DH27">
            <v>0</v>
          </cell>
          <cell r="DI27">
            <v>0</v>
          </cell>
          <cell r="DJ27">
            <v>0</v>
          </cell>
          <cell r="DK27">
            <v>0</v>
          </cell>
          <cell r="DL27">
            <v>0</v>
          </cell>
          <cell r="DN27">
            <v>0</v>
          </cell>
          <cell r="DO27">
            <v>-44</v>
          </cell>
          <cell r="DP27">
            <v>10</v>
          </cell>
          <cell r="DQ27">
            <v>-13</v>
          </cell>
          <cell r="DR27">
            <v>-47</v>
          </cell>
          <cell r="DT27">
            <v>0</v>
          </cell>
          <cell r="DU27">
            <v>0</v>
          </cell>
          <cell r="DV27">
            <v>0</v>
          </cell>
          <cell r="DW27">
            <v>0</v>
          </cell>
          <cell r="DX27">
            <v>0</v>
          </cell>
          <cell r="DZ27">
            <v>0</v>
          </cell>
          <cell r="EA27">
            <v>0</v>
          </cell>
          <cell r="EB27">
            <v>0</v>
          </cell>
          <cell r="EC27">
            <v>-38</v>
          </cell>
          <cell r="ED27">
            <v>-38</v>
          </cell>
          <cell r="EF27">
            <v>0</v>
          </cell>
          <cell r="EG27">
            <v>0</v>
          </cell>
          <cell r="EH27">
            <v>0</v>
          </cell>
          <cell r="EI27">
            <v>0</v>
          </cell>
          <cell r="EJ27">
            <v>0</v>
          </cell>
          <cell r="EK27" t="str">
            <v>Post-Tax Extraordinary Charges (FYins)</v>
          </cell>
          <cell r="EL27">
            <v>0</v>
          </cell>
          <cell r="EM27">
            <v>0</v>
          </cell>
          <cell r="EN27">
            <v>-85</v>
          </cell>
          <cell r="EO27">
            <v>-10</v>
          </cell>
          <cell r="EP27">
            <v>-95</v>
          </cell>
          <cell r="ER27">
            <v>0</v>
          </cell>
          <cell r="ES27">
            <v>-90.625</v>
          </cell>
          <cell r="ET27">
            <v>0</v>
          </cell>
          <cell r="EU27">
            <v>-34</v>
          </cell>
          <cell r="EV27">
            <v>-124.625</v>
          </cell>
          <cell r="EX27">
            <v>0</v>
          </cell>
          <cell r="EY27">
            <v>0</v>
          </cell>
          <cell r="EZ27">
            <v>0</v>
          </cell>
          <cell r="FA27">
            <v>-78</v>
          </cell>
          <cell r="FB27">
            <v>-78</v>
          </cell>
          <cell r="FD27">
            <v>0</v>
          </cell>
          <cell r="FE27">
            <v>0</v>
          </cell>
          <cell r="FF27">
            <v>0</v>
          </cell>
          <cell r="FG27">
            <v>5382</v>
          </cell>
          <cell r="FH27">
            <v>5382</v>
          </cell>
          <cell r="FJ27">
            <v>0</v>
          </cell>
          <cell r="FK27">
            <v>0</v>
          </cell>
          <cell r="FL27">
            <v>0</v>
          </cell>
          <cell r="FM27">
            <v>0</v>
          </cell>
          <cell r="FN27">
            <v>0</v>
          </cell>
          <cell r="FP27">
            <v>17</v>
          </cell>
          <cell r="FQ27">
            <v>0</v>
          </cell>
          <cell r="FR27">
            <v>24.4</v>
          </cell>
          <cell r="FS27">
            <v>0</v>
          </cell>
          <cell r="FT27">
            <v>41.4</v>
          </cell>
          <cell r="FV27">
            <v>0</v>
          </cell>
          <cell r="FW27">
            <v>0</v>
          </cell>
          <cell r="FX27">
            <v>0</v>
          </cell>
          <cell r="FY27">
            <v>0</v>
          </cell>
          <cell r="FZ27">
            <v>0</v>
          </cell>
          <cell r="GB27">
            <v>0</v>
          </cell>
          <cell r="GC27">
            <v>0</v>
          </cell>
          <cell r="GD27">
            <v>0</v>
          </cell>
          <cell r="GE27">
            <v>0</v>
          </cell>
          <cell r="GF27">
            <v>0</v>
          </cell>
        </row>
        <row r="28">
          <cell r="A28" t="str">
            <v>Net Income, Reported</v>
          </cell>
          <cell r="C28">
            <v>-1773.9269999999999</v>
          </cell>
          <cell r="D28">
            <v>-271.44599999999934</v>
          </cell>
          <cell r="E28">
            <v>836.39200000000028</v>
          </cell>
          <cell r="F28">
            <v>25.182999999999812</v>
          </cell>
          <cell r="G28">
            <v>113.00900000000063</v>
          </cell>
          <cell r="H28">
            <v>193.24799999999911</v>
          </cell>
          <cell r="I28">
            <v>246.85299999999896</v>
          </cell>
          <cell r="K28">
            <v>36.799949999999399</v>
          </cell>
          <cell r="L28">
            <v>148.99099999999899</v>
          </cell>
          <cell r="N28">
            <v>75</v>
          </cell>
          <cell r="O28">
            <v>266</v>
          </cell>
          <cell r="P28">
            <v>536</v>
          </cell>
          <cell r="Q28">
            <v>662</v>
          </cell>
          <cell r="R28">
            <v>795</v>
          </cell>
          <cell r="S28">
            <v>-184</v>
          </cell>
          <cell r="T28">
            <v>-276</v>
          </cell>
          <cell r="U28">
            <v>818</v>
          </cell>
          <cell r="V28">
            <v>693</v>
          </cell>
          <cell r="W28">
            <v>689</v>
          </cell>
          <cell r="X28">
            <v>1406.5914100719424</v>
          </cell>
          <cell r="Y28">
            <v>994.875</v>
          </cell>
          <cell r="Z28">
            <v>893</v>
          </cell>
          <cell r="AA28">
            <v>-4803</v>
          </cell>
          <cell r="AB28">
            <v>329</v>
          </cell>
          <cell r="AC28">
            <v>805.6</v>
          </cell>
          <cell r="AD28">
            <v>1256</v>
          </cell>
          <cell r="AE28">
            <v>1408.3729840730655</v>
          </cell>
          <cell r="AF28">
            <v>1474.1651556723784</v>
          </cell>
          <cell r="AG28">
            <v>1618.7764295278068</v>
          </cell>
          <cell r="AH28">
            <v>1641.1420018455815</v>
          </cell>
          <cell r="AI28">
            <v>1683.4875028271354</v>
          </cell>
          <cell r="AJ28">
            <v>1748.1022306573102</v>
          </cell>
          <cell r="AK28">
            <v>1801.4292273300186</v>
          </cell>
          <cell r="AL28">
            <v>1844.6042441173129</v>
          </cell>
          <cell r="AN28" t="str">
            <v>Net Income, Reported</v>
          </cell>
          <cell r="AO28">
            <v>-99.439999999999898</v>
          </cell>
          <cell r="AP28">
            <v>-126.372</v>
          </cell>
          <cell r="AQ28">
            <v>-86.802000000000035</v>
          </cell>
          <cell r="AR28">
            <v>41.16799999999995</v>
          </cell>
          <cell r="AS28">
            <v>-271.44599999999997</v>
          </cell>
          <cell r="AU28">
            <v>-64.160999999999916</v>
          </cell>
          <cell r="AV28">
            <v>-143.82800000000009</v>
          </cell>
          <cell r="AW28">
            <v>-60.994999999999962</v>
          </cell>
          <cell r="AX28">
            <v>-3142.5589999999993</v>
          </cell>
          <cell r="AY28">
            <v>-3411.5429999999992</v>
          </cell>
          <cell r="BA28">
            <v>11.812000000000163</v>
          </cell>
          <cell r="BB28">
            <v>-2.2150000000000407</v>
          </cell>
          <cell r="BC28">
            <v>31.581999999999912</v>
          </cell>
          <cell r="BD28">
            <v>111.22800000000005</v>
          </cell>
          <cell r="BE28">
            <v>152.4070000000001</v>
          </cell>
          <cell r="BG28">
            <v>25.245000000000061</v>
          </cell>
          <cell r="BH28">
            <v>8.8529999999999731</v>
          </cell>
          <cell r="BI28">
            <v>48.765999999999963</v>
          </cell>
          <cell r="BJ28">
            <v>145.9579999999998</v>
          </cell>
          <cell r="BK28">
            <v>228.82199999999918</v>
          </cell>
          <cell r="BM28">
            <v>32.222000000000179</v>
          </cell>
          <cell r="BN28">
            <v>3.7719999999998395</v>
          </cell>
          <cell r="BO28">
            <v>44.343000000000011</v>
          </cell>
          <cell r="BP28">
            <v>166.51600000000005</v>
          </cell>
          <cell r="BQ28">
            <v>246.85299999999896</v>
          </cell>
          <cell r="BS28">
            <v>-37.04640000000002</v>
          </cell>
          <cell r="BT28">
            <v>-58.228649999999988</v>
          </cell>
          <cell r="BU28">
            <v>-51.259399999999978</v>
          </cell>
          <cell r="BV28">
            <v>183.33440000000004</v>
          </cell>
          <cell r="BW28">
            <v>36.799949999999342</v>
          </cell>
          <cell r="BY28">
            <v>-56.999000000000279</v>
          </cell>
          <cell r="BZ28">
            <v>-67.174999999999898</v>
          </cell>
          <cell r="CA28">
            <v>21.895999999999734</v>
          </cell>
          <cell r="CB28">
            <v>-68.198000000000221</v>
          </cell>
          <cell r="CC28">
            <v>-46.395000000000152</v>
          </cell>
          <cell r="CD28">
            <v>251.26899999999983</v>
          </cell>
          <cell r="CE28">
            <v>244.64499999999947</v>
          </cell>
          <cell r="CF28">
            <v>148.99099999999893</v>
          </cell>
          <cell r="CG28">
            <v>142.36699999999902</v>
          </cell>
          <cell r="CH28">
            <v>74.168999999998789</v>
          </cell>
          <cell r="CJ28">
            <v>-37.923000000000144</v>
          </cell>
          <cell r="CK28">
            <v>-27.192999999999955</v>
          </cell>
          <cell r="CL28">
            <v>41.801000000000421</v>
          </cell>
          <cell r="CM28">
            <v>289.20199999999966</v>
          </cell>
          <cell r="CN28">
            <v>265.88699999999972</v>
          </cell>
          <cell r="CP28">
            <v>24.059000000000179</v>
          </cell>
          <cell r="CQ28">
            <v>105.04300000000035</v>
          </cell>
          <cell r="CR28">
            <v>105.11400000000003</v>
          </cell>
          <cell r="CS28">
            <v>379.08000000000004</v>
          </cell>
          <cell r="CT28">
            <v>613.29600000000062</v>
          </cell>
          <cell r="CV28">
            <v>60.234000000000002</v>
          </cell>
          <cell r="CW28">
            <v>107</v>
          </cell>
          <cell r="CX28">
            <v>87</v>
          </cell>
          <cell r="CY28">
            <v>408</v>
          </cell>
          <cell r="CZ28">
            <v>662.23400000000004</v>
          </cell>
          <cell r="DB28">
            <v>87</v>
          </cell>
          <cell r="DC28">
            <v>137</v>
          </cell>
          <cell r="DD28">
            <v>123</v>
          </cell>
          <cell r="DE28">
            <v>448</v>
          </cell>
          <cell r="DF28">
            <v>795</v>
          </cell>
          <cell r="DH28">
            <v>89</v>
          </cell>
          <cell r="DI28">
            <v>63</v>
          </cell>
          <cell r="DJ28">
            <v>-668</v>
          </cell>
          <cell r="DK28">
            <v>332</v>
          </cell>
          <cell r="DL28">
            <v>-184</v>
          </cell>
          <cell r="DN28">
            <v>58</v>
          </cell>
          <cell r="DO28">
            <v>110</v>
          </cell>
          <cell r="DP28">
            <v>3</v>
          </cell>
          <cell r="DQ28">
            <v>-447</v>
          </cell>
          <cell r="DR28">
            <v>-276</v>
          </cell>
          <cell r="DT28">
            <v>89</v>
          </cell>
          <cell r="DU28">
            <v>282</v>
          </cell>
          <cell r="DV28">
            <v>106</v>
          </cell>
          <cell r="DW28">
            <v>341</v>
          </cell>
          <cell r="DX28">
            <v>818</v>
          </cell>
          <cell r="DZ28">
            <v>46</v>
          </cell>
          <cell r="EA28">
            <v>120</v>
          </cell>
          <cell r="EB28">
            <v>67</v>
          </cell>
          <cell r="EC28">
            <v>460</v>
          </cell>
          <cell r="ED28">
            <v>693</v>
          </cell>
          <cell r="EF28">
            <v>97</v>
          </cell>
          <cell r="EG28">
            <v>78</v>
          </cell>
          <cell r="EH28">
            <v>74</v>
          </cell>
          <cell r="EI28">
            <v>440</v>
          </cell>
          <cell r="EJ28">
            <v>689</v>
          </cell>
          <cell r="EK28" t="str">
            <v>Net Income, Reported</v>
          </cell>
          <cell r="EL28">
            <v>123.354</v>
          </cell>
          <cell r="EM28">
            <v>148</v>
          </cell>
          <cell r="EN28">
            <v>436.23741007194246</v>
          </cell>
          <cell r="EO28">
            <v>699</v>
          </cell>
          <cell r="EP28">
            <v>1406.5914100719424</v>
          </cell>
          <cell r="ER28">
            <v>-52</v>
          </cell>
          <cell r="ES28">
            <v>316.875</v>
          </cell>
          <cell r="ET28">
            <v>-3</v>
          </cell>
          <cell r="EU28">
            <v>733</v>
          </cell>
          <cell r="EV28">
            <v>994.875</v>
          </cell>
          <cell r="EX28">
            <v>36</v>
          </cell>
          <cell r="EY28">
            <v>74</v>
          </cell>
          <cell r="EZ28">
            <v>33</v>
          </cell>
          <cell r="FA28">
            <v>750</v>
          </cell>
          <cell r="FB28">
            <v>893</v>
          </cell>
          <cell r="FD28">
            <v>-59</v>
          </cell>
          <cell r="FE28">
            <v>73</v>
          </cell>
          <cell r="FF28">
            <v>-44</v>
          </cell>
          <cell r="FG28">
            <v>-4773</v>
          </cell>
          <cell r="FH28">
            <v>-4803</v>
          </cell>
          <cell r="FJ28">
            <v>-88</v>
          </cell>
          <cell r="FK28">
            <v>7</v>
          </cell>
          <cell r="FL28">
            <v>-35</v>
          </cell>
          <cell r="FM28">
            <v>445</v>
          </cell>
          <cell r="FN28">
            <v>329</v>
          </cell>
          <cell r="FP28">
            <v>23</v>
          </cell>
          <cell r="FQ28">
            <v>147</v>
          </cell>
          <cell r="FR28">
            <v>10</v>
          </cell>
          <cell r="FS28">
            <v>667</v>
          </cell>
          <cell r="FT28">
            <v>847</v>
          </cell>
          <cell r="FV28">
            <v>131</v>
          </cell>
          <cell r="FW28">
            <v>241</v>
          </cell>
          <cell r="FX28">
            <v>139</v>
          </cell>
          <cell r="FY28">
            <v>745</v>
          </cell>
          <cell r="FZ28">
            <v>1256</v>
          </cell>
          <cell r="GB28">
            <v>181</v>
          </cell>
          <cell r="GC28">
            <v>279</v>
          </cell>
          <cell r="GD28">
            <v>110.03264655178822</v>
          </cell>
          <cell r="GE28">
            <v>838.34033752127743</v>
          </cell>
          <cell r="GF28">
            <v>1408.3729840730655</v>
          </cell>
          <cell r="GS28" t="str">
            <v>mstag:netIncomeAsReported</v>
          </cell>
          <cell r="GT28">
            <v>6</v>
          </cell>
          <cell r="GU28" t="str">
            <v>ISO4217:USD</v>
          </cell>
          <cell r="GV28" t="b">
            <v>0</v>
          </cell>
        </row>
        <row r="30">
          <cell r="A30" t="str">
            <v>EPS, Before All Extraordinary Items</v>
          </cell>
          <cell r="C30" t="str">
            <v xml:space="preserve">--  </v>
          </cell>
          <cell r="D30" t="str">
            <v xml:space="preserve">--  </v>
          </cell>
          <cell r="E30" t="str">
            <v xml:space="preserve">--  </v>
          </cell>
          <cell r="F30">
            <v>0.22616075437808544</v>
          </cell>
          <cell r="G30">
            <v>1.0148989672204816</v>
          </cell>
          <cell r="H30">
            <v>1.5301560656568385</v>
          </cell>
          <cell r="I30">
            <v>1.9499735372413873</v>
          </cell>
          <cell r="K30">
            <v>0.20197557628978816</v>
          </cell>
          <cell r="L30">
            <v>0.81437207573570658</v>
          </cell>
          <cell r="N30">
            <v>0.19396284189183596</v>
          </cell>
          <cell r="O30">
            <v>0.59802158273381312</v>
          </cell>
          <cell r="P30">
            <v>1.2657726276118944</v>
          </cell>
          <cell r="Q30">
            <v>1.5161575918548031</v>
          </cell>
          <cell r="R30">
            <v>1.8784153005464481</v>
          </cell>
          <cell r="S30">
            <v>2.100160980880764</v>
          </cell>
          <cell r="T30">
            <v>1.6014336365037769</v>
          </cell>
          <cell r="U30">
            <v>1.7093897259149216</v>
          </cell>
          <cell r="V30">
            <v>1.8506172802885585</v>
          </cell>
          <cell r="W30">
            <v>2.2069208613414109</v>
          </cell>
          <cell r="X30">
            <v>2.5058780966631615</v>
          </cell>
          <cell r="Y30">
            <v>2.0770614304446693</v>
          </cell>
          <cell r="Z30">
            <v>2.129219701162147</v>
          </cell>
          <cell r="AA30">
            <v>1.2932312985703269</v>
          </cell>
          <cell r="AB30">
            <v>1.3637977980348048</v>
          </cell>
          <cell r="AC30">
            <v>2.1076672104404568</v>
          </cell>
          <cell r="AD30">
            <v>2.879879182156134</v>
          </cell>
          <cell r="AE30">
            <v>3.4254564468311228</v>
          </cell>
          <cell r="AF30">
            <v>3.9453943917559142</v>
          </cell>
          <cell r="AG30">
            <v>4.7983581094155907</v>
          </cell>
          <cell r="AH30">
            <v>5.2958753573867723</v>
          </cell>
          <cell r="AI30">
            <v>5.6959829769682733</v>
          </cell>
          <cell r="AJ30">
            <v>6.1538937066977288</v>
          </cell>
          <cell r="AK30">
            <v>6.8001516881883797</v>
          </cell>
          <cell r="AL30">
            <v>7.5529335978779351</v>
          </cell>
          <cell r="AN30" t="str">
            <v>EPS, Before All Extraordinary Items</v>
          </cell>
          <cell r="AO30">
            <v>-1.2429999999999988</v>
          </cell>
          <cell r="AP30">
            <v>-1.57965</v>
          </cell>
          <cell r="AQ30">
            <v>-1.0850250000000004</v>
          </cell>
          <cell r="AR30">
            <v>0.51459999999999939</v>
          </cell>
          <cell r="AS30">
            <v>-3.3930749999999996</v>
          </cell>
          <cell r="AU30">
            <v>-0.80231336751281623</v>
          </cell>
          <cell r="AV30">
            <v>-1.7985244466675014</v>
          </cell>
          <cell r="AW30">
            <v>-0.7627235213204947</v>
          </cell>
          <cell r="AX30">
            <v>-39.296723771414271</v>
          </cell>
          <cell r="AY30">
            <v>-42.660285106915083</v>
          </cell>
          <cell r="BA30">
            <v>0.14770538952107243</v>
          </cell>
          <cell r="BB30">
            <v>-1.9535728775290969E-2</v>
          </cell>
          <cell r="BC30">
            <v>0.25065079365079296</v>
          </cell>
          <cell r="BD30">
            <v>0.88256577903323108</v>
          </cell>
          <cell r="BE30">
            <v>1.3687202514593633</v>
          </cell>
          <cell r="BG30">
            <v>0.20002535476867783</v>
          </cell>
          <cell r="BH30">
            <v>7.0090017338431732E-2</v>
          </cell>
          <cell r="BI30">
            <v>0.38607880548804113</v>
          </cell>
          <cell r="BJ30">
            <v>1.1552976934888934</v>
          </cell>
          <cell r="BK30">
            <v>1.8118343851203089</v>
          </cell>
          <cell r="BM30">
            <v>0.25479187753036581</v>
          </cell>
          <cell r="BN30">
            <v>2.9799807233483223E-2</v>
          </cell>
          <cell r="BO30">
            <v>0.3502606635071091</v>
          </cell>
          <cell r="BP30">
            <v>1.3138393561622224</v>
          </cell>
          <cell r="BQ30">
            <v>1.9499735372413873</v>
          </cell>
          <cell r="BS30">
            <v>-0.20332821075740956</v>
          </cell>
          <cell r="BT30">
            <v>-0.31958644346871568</v>
          </cell>
          <cell r="BU30">
            <v>-0.28133589462129516</v>
          </cell>
          <cell r="BV30">
            <v>1.0062261251372122</v>
          </cell>
          <cell r="BW30">
            <v>0.20197557628978785</v>
          </cell>
          <cell r="BY30">
            <v>-0.31201213036862024</v>
          </cell>
          <cell r="BZ30">
            <v>-0.36741781983263083</v>
          </cell>
          <cell r="CA30">
            <v>0.11965027322404226</v>
          </cell>
          <cell r="CB30">
            <v>-0.34615287005689976</v>
          </cell>
          <cell r="CC30">
            <v>-0.23548729297471871</v>
          </cell>
          <cell r="CD30">
            <v>1.3712712428644704</v>
          </cell>
          <cell r="CE30">
            <v>1.207342410588703</v>
          </cell>
          <cell r="CF30">
            <v>0.81437207573570625</v>
          </cell>
          <cell r="CG30">
            <v>0.7435356421009699</v>
          </cell>
          <cell r="CH30">
            <v>0.38729941567494397</v>
          </cell>
          <cell r="CJ30">
            <v>-0.18345991969425834</v>
          </cell>
          <cell r="CK30">
            <v>-0.13094773743998667</v>
          </cell>
          <cell r="CL30">
            <v>0.19647851243942646</v>
          </cell>
          <cell r="CM30">
            <v>1.295707885304658</v>
          </cell>
          <cell r="CN30">
            <v>1.1955350719424447</v>
          </cell>
          <cell r="CP30">
            <v>0.11263576779026301</v>
          </cell>
          <cell r="CQ30">
            <v>0.29367256637168293</v>
          </cell>
          <cell r="CR30">
            <v>0.46448961555457374</v>
          </cell>
          <cell r="CS30">
            <v>1.6504702194357368</v>
          </cell>
          <cell r="CT30">
            <v>2.5298854420738444</v>
          </cell>
          <cell r="CV30">
            <v>0.26007772020725389</v>
          </cell>
          <cell r="CW30">
            <v>0.4604130808950086</v>
          </cell>
          <cell r="CX30">
            <v>0.48076923076923067</v>
          </cell>
          <cell r="CY30">
            <v>1.8793182865039153</v>
          </cell>
          <cell r="CZ30">
            <v>3.0333510402833115</v>
          </cell>
          <cell r="DB30">
            <v>0.20101663585951943</v>
          </cell>
          <cell r="DC30">
            <v>0.30869761153672826</v>
          </cell>
          <cell r="DD30">
            <v>0.27967257844474763</v>
          </cell>
          <cell r="DE30">
            <v>1.0186448385629832</v>
          </cell>
          <cell r="DF30">
            <v>1.8103153819879312</v>
          </cell>
          <cell r="DH30">
            <v>0.27276930189551551</v>
          </cell>
          <cell r="DI30">
            <v>0.46522781774580335</v>
          </cell>
          <cell r="DJ30">
            <v>0.27100944803580307</v>
          </cell>
          <cell r="DK30">
            <v>1.1121316908003744</v>
          </cell>
          <cell r="DL30">
            <v>2.100160980880764</v>
          </cell>
          <cell r="DN30">
            <v>0.21597256246937779</v>
          </cell>
          <cell r="DO30">
            <v>0.26126326727529131</v>
          </cell>
          <cell r="DP30">
            <v>0.11037133026498057</v>
          </cell>
          <cell r="DQ30">
            <v>1.0059098707159446</v>
          </cell>
          <cell r="DR30">
            <v>1.6014336365037769</v>
          </cell>
          <cell r="DT30">
            <v>0.21813725490196079</v>
          </cell>
          <cell r="DU30">
            <v>0.32678132678132676</v>
          </cell>
          <cell r="DV30">
            <v>0.19142419601837671</v>
          </cell>
          <cell r="DW30">
            <v>0.99768531377886427</v>
          </cell>
          <cell r="DX30">
            <v>1.7093897259149216</v>
          </cell>
          <cell r="DZ30">
            <v>0.13414803499513958</v>
          </cell>
          <cell r="EA30">
            <v>0.3366189923978869</v>
          </cell>
          <cell r="EB30">
            <v>0.22710881606277405</v>
          </cell>
          <cell r="EC30">
            <v>1.1671164307843058</v>
          </cell>
          <cell r="ED30">
            <v>1.8506172802885585</v>
          </cell>
          <cell r="EF30">
            <v>0.29516518323340046</v>
          </cell>
          <cell r="EG30">
            <v>0.36734693877551022</v>
          </cell>
          <cell r="EH30">
            <v>0.27580275229357798</v>
          </cell>
          <cell r="EI30">
            <v>1.2993690266609828</v>
          </cell>
          <cell r="EJ30">
            <v>2.2069208613414109</v>
          </cell>
          <cell r="EK30" t="str">
            <v>EPS, Before All Extraordinary Items</v>
          </cell>
          <cell r="EL30">
            <v>0.35692708333333328</v>
          </cell>
          <cell r="EM30">
            <v>0.42117245304496292</v>
          </cell>
          <cell r="EN30">
            <v>0.1606847608789124</v>
          </cell>
          <cell r="EO30">
            <v>1.3341216109951204</v>
          </cell>
          <cell r="EP30">
            <v>2.5058780966631615</v>
          </cell>
          <cell r="ER30">
            <v>1.2362553915314987E-2</v>
          </cell>
          <cell r="ES30">
            <v>0.32635908440629469</v>
          </cell>
          <cell r="ET30">
            <v>0.20415978662787176</v>
          </cell>
          <cell r="EU30">
            <v>1.5983670475799727</v>
          </cell>
          <cell r="EV30">
            <v>2.0770614304446693</v>
          </cell>
          <cell r="EX30">
            <v>0.16</v>
          </cell>
          <cell r="EY30">
            <v>0.34</v>
          </cell>
          <cell r="EZ30">
            <v>0.08</v>
          </cell>
          <cell r="FA30">
            <v>1.67</v>
          </cell>
          <cell r="FB30">
            <v>2.129219701162147</v>
          </cell>
          <cell r="FD30">
            <v>0.01</v>
          </cell>
          <cell r="FE30">
            <v>0.28999999999999998</v>
          </cell>
          <cell r="FF30">
            <v>-0.08</v>
          </cell>
          <cell r="FG30">
            <v>1.06</v>
          </cell>
          <cell r="FH30">
            <v>1.2932312985703269</v>
          </cell>
          <cell r="FJ30">
            <v>-0.16</v>
          </cell>
          <cell r="FK30">
            <v>0.2</v>
          </cell>
          <cell r="FL30">
            <v>-0.03</v>
          </cell>
          <cell r="FM30">
            <v>1.35</v>
          </cell>
          <cell r="FN30">
            <v>1.3637977980348048</v>
          </cell>
          <cell r="FP30">
            <v>9.3852651337400284E-2</v>
          </cell>
          <cell r="FQ30">
            <v>0.35</v>
          </cell>
          <cell r="FR30">
            <v>8.0449017773620193E-2</v>
          </cell>
          <cell r="FS30">
            <v>1.59</v>
          </cell>
          <cell r="FT30">
            <v>2.1076672104404568</v>
          </cell>
          <cell r="FV30">
            <v>0.30465116279069765</v>
          </cell>
          <cell r="FW30">
            <v>0.55453290381960418</v>
          </cell>
          <cell r="FX30">
            <v>0.32190829087540529</v>
          </cell>
          <cell r="FY30">
            <v>1.7048911771589044</v>
          </cell>
          <cell r="FZ30">
            <v>2.879879182156134</v>
          </cell>
          <cell r="GB30">
            <v>0.42718904885532216</v>
          </cell>
          <cell r="GC30">
            <v>0.66890433948693373</v>
          </cell>
          <cell r="GD30">
            <v>0.27084783703217807</v>
          </cell>
          <cell r="GE30">
            <v>2.1088022722950708</v>
          </cell>
          <cell r="GF30">
            <v>3.4254564468311224</v>
          </cell>
          <cell r="GS30" t="str">
            <v>mstag:adjEpsForConsensus</v>
          </cell>
          <cell r="GT30">
            <v>0</v>
          </cell>
          <cell r="GU30" t="str">
            <v>ISO4217:USD</v>
          </cell>
          <cell r="GV30" t="b">
            <v>0</v>
          </cell>
          <cell r="GW30" t="b">
            <v>0</v>
          </cell>
        </row>
        <row r="31">
          <cell r="A31" t="str">
            <v>EPS, Extraordinary/Discontinued</v>
          </cell>
          <cell r="K31">
            <v>-0.57276646542261256</v>
          </cell>
          <cell r="L31">
            <v>-0.9233288512833967</v>
          </cell>
          <cell r="N31">
            <v>0</v>
          </cell>
          <cell r="O31">
            <v>0</v>
          </cell>
          <cell r="P31">
            <v>-8.5852404307589364E-2</v>
          </cell>
          <cell r="Q31">
            <v>-5.090748118636565E-2</v>
          </cell>
          <cell r="R31">
            <v>-6.8306010928961755E-2</v>
          </cell>
          <cell r="S31">
            <v>-2.5448739718173199</v>
          </cell>
          <cell r="T31">
            <v>-2.2928164020348389</v>
          </cell>
          <cell r="U31">
            <v>0.34873079238926785</v>
          </cell>
          <cell r="V31">
            <v>6.29590299118425E-3</v>
          </cell>
          <cell r="W31">
            <v>-0.27369976145364439</v>
          </cell>
          <cell r="X31">
            <v>0.7306414847264896</v>
          </cell>
          <cell r="Y31">
            <v>-0.26060168971069103</v>
          </cell>
          <cell r="Z31">
            <v>-0.1348828629404164</v>
          </cell>
          <cell r="AA31">
            <v>-12.690277036246071</v>
          </cell>
          <cell r="AB31">
            <v>-0.58482301408784143</v>
          </cell>
          <cell r="AC31">
            <v>-0.13766721044045682</v>
          </cell>
          <cell r="AD31">
            <v>4.0120817843865897E-2</v>
          </cell>
          <cell r="AE31">
            <v>4.5435531688777786E-3</v>
          </cell>
          <cell r="AF31">
            <v>0</v>
          </cell>
          <cell r="AG31">
            <v>0</v>
          </cell>
          <cell r="AH31">
            <v>0</v>
          </cell>
          <cell r="AI31">
            <v>0</v>
          </cell>
          <cell r="AJ31">
            <v>0</v>
          </cell>
          <cell r="AK31">
            <v>0</v>
          </cell>
          <cell r="AL31">
            <v>0</v>
          </cell>
          <cell r="AN31" t="str">
            <v>EPS, Extraordinary/Discontinued</v>
          </cell>
          <cell r="AO31">
            <v>0.17066427012363927</v>
          </cell>
          <cell r="AP31">
            <v>7.9165927046291967E-2</v>
          </cell>
          <cell r="AQ31">
            <v>0.2616065710286915</v>
          </cell>
          <cell r="AR31">
            <v>-0.36646743429234646</v>
          </cell>
          <cell r="AS31">
            <v>0.14496933390627625</v>
          </cell>
          <cell r="AU31">
            <v>0.10056992116474267</v>
          </cell>
          <cell r="AV31">
            <v>0.92759338606906783</v>
          </cell>
          <cell r="AW31">
            <v>0.22557897123962739</v>
          </cell>
          <cell r="AX31">
            <v>12.649594309088322</v>
          </cell>
          <cell r="AY31">
            <v>13.90333658756176</v>
          </cell>
          <cell r="BA31">
            <v>0</v>
          </cell>
          <cell r="BB31">
            <v>-0.12</v>
          </cell>
          <cell r="BC31">
            <v>0</v>
          </cell>
          <cell r="BD31">
            <v>-0.05</v>
          </cell>
          <cell r="BE31">
            <v>-0.16999999999999998</v>
          </cell>
          <cell r="BG31">
            <v>-2.8088329675379727E-2</v>
          </cell>
          <cell r="BH31">
            <v>0</v>
          </cell>
          <cell r="BI31">
            <v>-0.11275344190133876</v>
          </cell>
          <cell r="BJ31">
            <v>0.11</v>
          </cell>
          <cell r="BK31">
            <v>-3.0841771576718482E-2</v>
          </cell>
          <cell r="BM31">
            <v>0</v>
          </cell>
          <cell r="BN31">
            <v>-0.12758141225173411</v>
          </cell>
          <cell r="BO31">
            <v>0</v>
          </cell>
          <cell r="BP31">
            <v>0</v>
          </cell>
          <cell r="BQ31">
            <v>-0.12758141225173411</v>
          </cell>
          <cell r="BS31">
            <v>0</v>
          </cell>
          <cell r="BT31">
            <v>-0.11375987925356752</v>
          </cell>
          <cell r="BU31">
            <v>-0.26783754116355651</v>
          </cell>
          <cell r="BV31">
            <v>-0.19116904500548851</v>
          </cell>
          <cell r="BW31">
            <v>-0.57276646542261256</v>
          </cell>
          <cell r="BY31">
            <v>-0.27822347029263966</v>
          </cell>
          <cell r="BZ31">
            <v>-0.38236853908001966</v>
          </cell>
          <cell r="CA31">
            <v>-0.12076142131979695</v>
          </cell>
          <cell r="CB31">
            <v>0</v>
          </cell>
          <cell r="CC31">
            <v>-0.12117634517766497</v>
          </cell>
          <cell r="CD31">
            <v>-0.13316015237014156</v>
          </cell>
          <cell r="CE31">
            <v>-0.24821034293864214</v>
          </cell>
          <cell r="CF31">
            <v>-0.9233288512833967</v>
          </cell>
          <cell r="CG31">
            <v>-1.0174801146897994</v>
          </cell>
          <cell r="CH31">
            <v>-1.0173207208242168</v>
          </cell>
          <cell r="CJ31">
            <v>-0.22177446664409073</v>
          </cell>
          <cell r="CK31">
            <v>-0.28818222312111447</v>
          </cell>
          <cell r="CL31">
            <v>-0.12598728090584768</v>
          </cell>
          <cell r="CM31">
            <v>-0.23777692652329746</v>
          </cell>
          <cell r="CN31">
            <v>-0.83960888039568349</v>
          </cell>
          <cell r="CP31">
            <v>0</v>
          </cell>
          <cell r="CQ31">
            <v>-0.17111946902654868</v>
          </cell>
          <cell r="CR31">
            <v>0</v>
          </cell>
          <cell r="CS31">
            <v>0</v>
          </cell>
          <cell r="CT31">
            <v>-0.17026512983525147</v>
          </cell>
          <cell r="CV31">
            <v>0</v>
          </cell>
          <cell r="CW31">
            <v>0</v>
          </cell>
          <cell r="CX31">
            <v>-0.10052447552447552</v>
          </cell>
          <cell r="CY31">
            <v>0</v>
          </cell>
          <cell r="CZ31">
            <v>-0.1018149623727313</v>
          </cell>
          <cell r="DB31">
            <v>0</v>
          </cell>
          <cell r="DC31">
            <v>0</v>
          </cell>
          <cell r="DD31">
            <v>0</v>
          </cell>
          <cell r="DE31">
            <v>0</v>
          </cell>
          <cell r="DF31">
            <v>0</v>
          </cell>
          <cell r="DH31">
            <v>-6.7036523347202961E-2</v>
          </cell>
          <cell r="DI31">
            <v>-0.31414868105515587</v>
          </cell>
          <cell r="DJ31">
            <v>-1.9318746892093486</v>
          </cell>
          <cell r="DK31">
            <v>-0.28871899238767618</v>
          </cell>
          <cell r="DL31">
            <v>-2.5448739718173199</v>
          </cell>
          <cell r="DN31">
            <v>-7.3885350318471349E-2</v>
          </cell>
          <cell r="DO31">
            <v>1.4287834929117501E-2</v>
          </cell>
          <cell r="DP31">
            <v>-0.10266321104606999</v>
          </cell>
          <cell r="DQ31">
            <v>-2.122851399951327</v>
          </cell>
          <cell r="DR31">
            <v>-2.2928164020348389</v>
          </cell>
          <cell r="DT31">
            <v>0</v>
          </cell>
          <cell r="DU31">
            <v>0.36609336609336607</v>
          </cell>
          <cell r="DV31">
            <v>7.9122001020929048E-2</v>
          </cell>
          <cell r="DW31">
            <v>-0.10734588819139679</v>
          </cell>
          <cell r="DX31">
            <v>0.34873079238926785</v>
          </cell>
          <cell r="DZ31">
            <v>-1.2776003332870435E-2</v>
          </cell>
          <cell r="EA31">
            <v>-1.6106171885066356E-2</v>
          </cell>
          <cell r="EB31">
            <v>-4.6710323871067008E-2</v>
          </cell>
          <cell r="EC31">
            <v>8.3563286453323213E-2</v>
          </cell>
          <cell r="ED31">
            <v>6.29590299118425E-3</v>
          </cell>
          <cell r="EF31">
            <v>-3.1864423189969363E-2</v>
          </cell>
          <cell r="EG31">
            <v>-0.15306122448979592</v>
          </cell>
          <cell r="EH31">
            <v>-6.3646788990825695E-2</v>
          </cell>
          <cell r="EI31">
            <v>-2.3266938493929443E-2</v>
          </cell>
          <cell r="EJ31">
            <v>-0.27369976145364439</v>
          </cell>
          <cell r="EK31" t="str">
            <v>EPS, Extraordinary/Discontinued</v>
          </cell>
          <cell r="EL31">
            <v>0</v>
          </cell>
          <cell r="EM31">
            <v>0</v>
          </cell>
          <cell r="EN31">
            <v>0.73526391456151163</v>
          </cell>
          <cell r="EO31">
            <v>-7.2844093853294434E-2</v>
          </cell>
          <cell r="EP31">
            <v>0.7306414847264896</v>
          </cell>
          <cell r="ER31">
            <v>-0.10555251807302107</v>
          </cell>
          <cell r="ES31">
            <v>0.24029864091559369</v>
          </cell>
          <cell r="ET31">
            <v>-0.21761532399830275</v>
          </cell>
          <cell r="EU31">
            <v>-0.19871075580987546</v>
          </cell>
          <cell r="EV31">
            <v>-0.26060168971069103</v>
          </cell>
          <cell r="EX31">
            <v>-8.3109782144382749E-2</v>
          </cell>
          <cell r="EY31">
            <v>-0.17624695729143616</v>
          </cell>
          <cell r="EZ31">
            <v>-3.9981575310916589E-3</v>
          </cell>
          <cell r="FA31">
            <v>0.17943409247757075</v>
          </cell>
          <cell r="FB31">
            <v>-0.1348828629404164</v>
          </cell>
          <cell r="FD31">
            <v>-0.15</v>
          </cell>
          <cell r="FE31">
            <v>-0.12</v>
          </cell>
          <cell r="FF31">
            <v>-0.02</v>
          </cell>
          <cell r="FG31">
            <v>-12.39</v>
          </cell>
          <cell r="FH31">
            <v>-12.690277036246071</v>
          </cell>
          <cell r="FJ31">
            <v>-0.05</v>
          </cell>
          <cell r="FK31">
            <v>-0.18</v>
          </cell>
          <cell r="FL31">
            <v>-0.05</v>
          </cell>
          <cell r="FM31">
            <v>-0.3</v>
          </cell>
          <cell r="FN31">
            <v>-0.58482301408784143</v>
          </cell>
          <cell r="FP31">
            <v>-4.3852651337400281E-2</v>
          </cell>
          <cell r="FQ31">
            <v>-5.3341148886283385E-3</v>
          </cell>
          <cell r="FR31">
            <v>-6.0449017773620189E-2</v>
          </cell>
          <cell r="FS31">
            <v>-4.0000000000000036E-2</v>
          </cell>
          <cell r="FT31">
            <v>-0.13766721044045682</v>
          </cell>
          <cell r="FV31">
            <v>-4.6511627906976605E-3</v>
          </cell>
          <cell r="FW31">
            <v>0</v>
          </cell>
          <cell r="FX31">
            <v>-1.908290875405283E-3</v>
          </cell>
          <cell r="FY31">
            <v>3.5108822841095622E-2</v>
          </cell>
          <cell r="FZ31">
            <v>4.0120817843865897E-2</v>
          </cell>
          <cell r="GB31">
            <v>2.8109511446778312E-3</v>
          </cell>
          <cell r="GC31">
            <v>1.09566051306631E-3</v>
          </cell>
          <cell r="GD31">
            <v>-8.4783703217805595E-4</v>
          </cell>
          <cell r="GE31">
            <v>1.1977277049290969E-3</v>
          </cell>
          <cell r="GF31">
            <v>4.5435531688777786E-3</v>
          </cell>
        </row>
        <row r="32">
          <cell r="A32" t="str">
            <v>EPS Basic, Reported</v>
          </cell>
          <cell r="C32" t="str">
            <v xml:space="preserve">--  </v>
          </cell>
          <cell r="D32" t="str">
            <v xml:space="preserve">--  </v>
          </cell>
          <cell r="E32" t="str">
            <v xml:space="preserve">--  </v>
          </cell>
          <cell r="F32">
            <v>0.22616075437808544</v>
          </cell>
          <cell r="G32">
            <v>1.1918096093399249</v>
          </cell>
          <cell r="H32">
            <v>1.78</v>
          </cell>
          <cell r="I32">
            <v>2.0775398323761891</v>
          </cell>
          <cell r="J32">
            <v>1.0943248139788602</v>
          </cell>
          <cell r="K32">
            <v>0.77474204171240069</v>
          </cell>
          <cell r="L32">
            <v>1.7377009270191033</v>
          </cell>
          <cell r="N32">
            <v>0.19424315098649622</v>
          </cell>
          <cell r="O32">
            <v>0.64003849855630413</v>
          </cell>
          <cell r="P32">
            <v>1.279376733483867</v>
          </cell>
          <cell r="Q32">
            <v>1.5799522673031026</v>
          </cell>
          <cell r="R32">
            <v>1.8892585551330798</v>
          </cell>
          <cell r="S32">
            <v>-0.44921875</v>
          </cell>
          <cell r="T32">
            <v>-0.70525105404369481</v>
          </cell>
          <cell r="U32">
            <v>2.0735107731305451</v>
          </cell>
          <cell r="V32">
            <v>1.8790672451193058</v>
          </cell>
          <cell r="W32">
            <v>1.966447173043975</v>
          </cell>
          <cell r="X32">
            <v>3.3018577701219307</v>
          </cell>
          <cell r="Y32">
            <v>1.8423611111111111</v>
          </cell>
          <cell r="Z32">
            <v>1.9545877791262072</v>
          </cell>
          <cell r="AA32">
            <v>-11.403810767495697</v>
          </cell>
          <cell r="AB32">
            <v>0.78012923113403276</v>
          </cell>
          <cell r="AC32">
            <v>1.996229083195852</v>
          </cell>
          <cell r="AD32">
            <v>2.9587750294464077</v>
          </cell>
          <cell r="AE32">
            <v>3.4768289072784784</v>
          </cell>
          <cell r="AF32">
            <v>4.0106022836648636</v>
          </cell>
          <cell r="AG32">
            <v>4.8863487599011481</v>
          </cell>
          <cell r="AH32">
            <v>5.401769994132783</v>
          </cell>
          <cell r="AI32">
            <v>5.8155175230849547</v>
          </cell>
          <cell r="AJ32">
            <v>6.2883768989543398</v>
          </cell>
          <cell r="AK32">
            <v>6.9597548987727658</v>
          </cell>
          <cell r="AL32">
            <v>7.7456035591899965</v>
          </cell>
          <cell r="AN32" t="str">
            <v>EPS Basic, Reported</v>
          </cell>
          <cell r="AO32">
            <v>-1.0723357298763596</v>
          </cell>
          <cell r="AP32">
            <v>-1.5004840729537079</v>
          </cell>
          <cell r="AQ32">
            <v>-0.82341842897130901</v>
          </cell>
          <cell r="AR32">
            <v>0.14813256570765293</v>
          </cell>
          <cell r="AS32">
            <v>-2.6062398109441198</v>
          </cell>
          <cell r="AU32">
            <v>-0.70174344634807351</v>
          </cell>
          <cell r="AV32">
            <v>-0.8709310605984335</v>
          </cell>
          <cell r="AW32">
            <v>-0.53714455008086737</v>
          </cell>
          <cell r="AX32">
            <v>0.43196269723388214</v>
          </cell>
          <cell r="AY32">
            <v>-1.4596868454619985</v>
          </cell>
          <cell r="BA32">
            <v>0.14770538952107243</v>
          </cell>
          <cell r="BB32">
            <v>-0.13925490818648498</v>
          </cell>
          <cell r="BC32">
            <v>0.25065079365079296</v>
          </cell>
          <cell r="BD32">
            <v>0.83396546799124038</v>
          </cell>
          <cell r="BE32">
            <v>1.19180960933992</v>
          </cell>
          <cell r="BG32">
            <v>0.17</v>
          </cell>
          <cell r="BH32">
            <v>7.0000000000000007E-2</v>
          </cell>
          <cell r="BI32">
            <v>0.27</v>
          </cell>
          <cell r="BJ32">
            <v>1.04</v>
          </cell>
          <cell r="BK32">
            <v>1.56</v>
          </cell>
          <cell r="BM32">
            <v>0.25</v>
          </cell>
          <cell r="BN32">
            <v>0.15738121948521733</v>
          </cell>
          <cell r="BO32">
            <v>0.35</v>
          </cell>
          <cell r="BP32">
            <v>1.31</v>
          </cell>
          <cell r="BQ32">
            <v>2.0775398323761891</v>
          </cell>
          <cell r="BS32">
            <v>-0.20332821075740956</v>
          </cell>
          <cell r="BT32">
            <v>-0.20582656421514811</v>
          </cell>
          <cell r="BU32">
            <v>-1.3498353457738645E-2</v>
          </cell>
          <cell r="BV32">
            <v>1.1973951701427006</v>
          </cell>
          <cell r="BW32">
            <v>0.77474204171240035</v>
          </cell>
          <cell r="BY32">
            <v>-3.378866007598056E-2</v>
          </cell>
          <cell r="BZ32">
            <v>1.4950719247388836E-2</v>
          </cell>
          <cell r="CA32">
            <v>0.24965027322404229</v>
          </cell>
          <cell r="CB32">
            <v>-0.34615287005689976</v>
          </cell>
          <cell r="CC32">
            <v>-0.11432140373673416</v>
          </cell>
          <cell r="CD32">
            <v>1.5044313952346118</v>
          </cell>
          <cell r="CE32">
            <v>1.4555527535273449</v>
          </cell>
          <cell r="CF32">
            <v>1.7377009270191031</v>
          </cell>
          <cell r="CG32">
            <v>1.7610157567907692</v>
          </cell>
          <cell r="CH32">
            <v>1.4012846587259669</v>
          </cell>
          <cell r="CJ32">
            <v>0.04</v>
          </cell>
          <cell r="CK32">
            <v>0.16</v>
          </cell>
          <cell r="CL32">
            <v>0.33</v>
          </cell>
          <cell r="CM32">
            <v>1.65</v>
          </cell>
          <cell r="CN32">
            <v>2.1800000000000002</v>
          </cell>
          <cell r="CP32">
            <v>0.11539088729016872</v>
          </cell>
          <cell r="CQ32">
            <v>0.3169531996179577</v>
          </cell>
          <cell r="CR32">
            <v>0.50221691352126152</v>
          </cell>
          <cell r="CS32">
            <v>1.8039573994232363</v>
          </cell>
          <cell r="CT32">
            <v>2.743131704196645</v>
          </cell>
          <cell r="CV32">
            <v>0.28887565258661607</v>
          </cell>
          <cell r="CW32">
            <v>0.50731353919239908</v>
          </cell>
          <cell r="CX32">
            <v>0.41527446300715992</v>
          </cell>
          <cell r="CY32">
            <v>1.9474940334128878</v>
          </cell>
          <cell r="CZ32">
            <v>3.1610214797136038</v>
          </cell>
          <cell r="DB32">
            <v>0.21113397129186603</v>
          </cell>
          <cell r="DC32">
            <v>0.32534587898999523</v>
          </cell>
          <cell r="DD32">
            <v>0.29230038022813687</v>
          </cell>
          <cell r="DE32">
            <v>1.0551106924163918</v>
          </cell>
          <cell r="DF32">
            <v>1.8892585551330801</v>
          </cell>
          <cell r="DH32">
            <v>0.21211654135338345</v>
          </cell>
          <cell r="DI32">
            <v>0.15346853823814133</v>
          </cell>
          <cell r="DJ32">
            <v>-1.6608652411735456</v>
          </cell>
          <cell r="DK32">
            <v>0.83543029693004534</v>
          </cell>
          <cell r="DL32">
            <v>-0.44921875</v>
          </cell>
          <cell r="DN32">
            <v>0.14946464646464647</v>
          </cell>
          <cell r="DO32">
            <v>0.28163103802672151</v>
          </cell>
          <cell r="DP32">
            <v>7.7760497667185065E-3</v>
          </cell>
          <cell r="DQ32">
            <v>-1.1333671399594321</v>
          </cell>
          <cell r="DR32">
            <v>-0.70525105404369481</v>
          </cell>
          <cell r="DT32">
            <v>0.22073412698412698</v>
          </cell>
          <cell r="DU32">
            <v>0.69975186104218368</v>
          </cell>
          <cell r="DV32">
            <v>0.27179487179487177</v>
          </cell>
          <cell r="DW32">
            <v>0.89113776846516501</v>
          </cell>
          <cell r="DX32">
            <v>2.0735107731305451</v>
          </cell>
          <cell r="DZ32">
            <v>0.12156448202959831</v>
          </cell>
          <cell r="EA32">
            <v>0.32327586206896552</v>
          </cell>
          <cell r="EB32">
            <v>0.18346111719605696</v>
          </cell>
          <cell r="EC32">
            <v>1.2749445676274944</v>
          </cell>
          <cell r="ED32">
            <v>1.8790672451193058</v>
          </cell>
          <cell r="EF32">
            <v>0.26869806094182824</v>
          </cell>
          <cell r="EG32">
            <v>0.21775544388609716</v>
          </cell>
          <cell r="EH32">
            <v>0.21511627906976744</v>
          </cell>
          <cell r="EI32">
            <v>1.3040901007705987</v>
          </cell>
          <cell r="EJ32">
            <v>1.966447173043975</v>
          </cell>
          <cell r="EK32" t="str">
            <v>EPS Basic, Reported</v>
          </cell>
          <cell r="EL32">
            <v>0.36538507109004736</v>
          </cell>
          <cell r="EM32">
            <v>0.43324299065420563</v>
          </cell>
          <cell r="EN32">
            <v>0.91167692805003653</v>
          </cell>
          <cell r="EO32">
            <v>1.2806888970318799</v>
          </cell>
          <cell r="EP32">
            <v>3.3018577701219307</v>
          </cell>
          <cell r="ER32">
            <v>-9.4511086877499081E-2</v>
          </cell>
          <cell r="ES32">
            <v>0.57384099963781232</v>
          </cell>
          <cell r="ET32">
            <v>-5.538120731031936E-3</v>
          </cell>
          <cell r="EU32">
            <v>1.4205426356589148</v>
          </cell>
          <cell r="EV32">
            <v>1.8423611111111111</v>
          </cell>
          <cell r="EX32">
            <v>7.6890217855617254E-2</v>
          </cell>
          <cell r="EY32">
            <v>0.16375304270856386</v>
          </cell>
          <cell r="EZ32">
            <v>7.6001842468908343E-2</v>
          </cell>
          <cell r="FA32">
            <v>1.7978979422385495</v>
          </cell>
          <cell r="FB32">
            <v>1.9545877791262072</v>
          </cell>
          <cell r="FD32">
            <v>-0.14000000000000001</v>
          </cell>
          <cell r="FE32">
            <v>0.17</v>
          </cell>
          <cell r="FF32">
            <v>-0.1</v>
          </cell>
          <cell r="FG32">
            <v>-11.33</v>
          </cell>
          <cell r="FH32">
            <v>-11.403810767495697</v>
          </cell>
          <cell r="FJ32">
            <v>-0.21</v>
          </cell>
          <cell r="FK32">
            <v>0.02</v>
          </cell>
          <cell r="FL32">
            <v>-0.08</v>
          </cell>
          <cell r="FM32">
            <v>1.05</v>
          </cell>
          <cell r="FN32">
            <v>0.78012923113403276</v>
          </cell>
          <cell r="FP32">
            <v>5.4424988168480827E-2</v>
          </cell>
          <cell r="FQ32">
            <v>0.3475177304964539</v>
          </cell>
          <cell r="FR32">
            <v>2.3612750885478158E-2</v>
          </cell>
          <cell r="FS32">
            <v>1.5757146231986769</v>
          </cell>
          <cell r="FT32">
            <v>1.996229083195852</v>
          </cell>
          <cell r="FV32">
            <v>0.30816278522700541</v>
          </cell>
          <cell r="FW32">
            <v>0.56374269005847955</v>
          </cell>
          <cell r="FX32">
            <v>0.32682812132612271</v>
          </cell>
          <cell r="FY32">
            <v>1.7738095238095237</v>
          </cell>
          <cell r="FZ32">
            <v>2.9587750294464077</v>
          </cell>
          <cell r="GB32">
            <v>0.43394869335890673</v>
          </cell>
          <cell r="GC32">
            <v>0.67850194552529186</v>
          </cell>
          <cell r="GD32">
            <v>0.27483932381768389</v>
          </cell>
          <cell r="GE32">
            <v>2.1405708013402154</v>
          </cell>
          <cell r="GF32">
            <v>3.4768289072784784</v>
          </cell>
        </row>
        <row r="33">
          <cell r="A33" t="str">
            <v>EPS Diluted, Reported</v>
          </cell>
          <cell r="N33">
            <v>0.19396284189183596</v>
          </cell>
          <cell r="O33">
            <v>0.62193570143884891</v>
          </cell>
          <cell r="P33">
            <v>1.2039336603062509</v>
          </cell>
          <cell r="Q33">
            <v>1.4807436918990704</v>
          </cell>
          <cell r="R33">
            <v>1.8101092896174864</v>
          </cell>
          <cell r="S33">
            <v>-0.44471299093655592</v>
          </cell>
          <cell r="T33">
            <v>-0.69138276553106215</v>
          </cell>
          <cell r="U33">
            <v>2.0581205183041891</v>
          </cell>
          <cell r="V33">
            <v>1.8569131832797428</v>
          </cell>
          <cell r="W33">
            <v>1.9312210998877666</v>
          </cell>
          <cell r="X33">
            <v>3.236519581389651</v>
          </cell>
          <cell r="Y33">
            <v>1.8164597407339782</v>
          </cell>
          <cell r="Z33">
            <v>1.9323052621090515</v>
          </cell>
          <cell r="AA33">
            <v>-11.397045737675745</v>
          </cell>
          <cell r="AB33">
            <v>0.7789747839469634</v>
          </cell>
          <cell r="AC33">
            <v>1.97</v>
          </cell>
          <cell r="AD33">
            <v>2.92</v>
          </cell>
          <cell r="AE33">
            <v>3.43</v>
          </cell>
          <cell r="AF33">
            <v>3.9453943917559142</v>
          </cell>
          <cell r="AG33">
            <v>4.7983581094155907</v>
          </cell>
          <cell r="AH33">
            <v>5.2958753573867723</v>
          </cell>
          <cell r="AI33">
            <v>5.6959829769682733</v>
          </cell>
          <cell r="AJ33">
            <v>6.1538937066977288</v>
          </cell>
          <cell r="AK33">
            <v>6.8001516881883797</v>
          </cell>
          <cell r="AL33">
            <v>7.5529335978779351</v>
          </cell>
          <cell r="AN33" t="str">
            <v>EPS Diluted, Reported</v>
          </cell>
          <cell r="CJ33">
            <v>4.3952880847563512E-2</v>
          </cell>
          <cell r="CK33">
            <v>0.1572344856811278</v>
          </cell>
          <cell r="CL33">
            <v>0.33496867229766447</v>
          </cell>
          <cell r="CM33">
            <v>1.5454023745519698</v>
          </cell>
          <cell r="CN33">
            <v>2.071115175359711</v>
          </cell>
          <cell r="CP33">
            <v>0.12199906367041283</v>
          </cell>
          <cell r="CQ33">
            <v>0.30544247787610773</v>
          </cell>
          <cell r="CR33">
            <v>0.47624392399469739</v>
          </cell>
          <cell r="CS33">
            <v>1.6620515499825848</v>
          </cell>
          <cell r="CT33">
            <v>2.5768180897619937</v>
          </cell>
          <cell r="CV33">
            <v>0.26107772020725389</v>
          </cell>
          <cell r="CW33">
            <v>0.4604130808950086</v>
          </cell>
          <cell r="CX33">
            <v>0.38024475524475521</v>
          </cell>
          <cell r="CY33">
            <v>1.8793182865039153</v>
          </cell>
          <cell r="CZ33">
            <v>2.9315360779105801</v>
          </cell>
          <cell r="DB33">
            <v>0.2020166358595194</v>
          </cell>
          <cell r="DC33">
            <v>0.30869761153672826</v>
          </cell>
          <cell r="DD33">
            <v>0.27967257844474763</v>
          </cell>
          <cell r="DE33">
            <v>1.0186448385629832</v>
          </cell>
          <cell r="DF33">
            <v>1.8103153819879312</v>
          </cell>
          <cell r="DH33">
            <v>0.20673277854831251</v>
          </cell>
          <cell r="DI33">
            <v>0.15107913669064749</v>
          </cell>
          <cell r="DJ33">
            <v>-1.6608652411735456</v>
          </cell>
          <cell r="DK33">
            <v>0.82341269841269848</v>
          </cell>
          <cell r="DL33">
            <v>-0.44471299093655592</v>
          </cell>
          <cell r="DN33">
            <v>0.14308721215090642</v>
          </cell>
          <cell r="DO33">
            <v>0.27555110220440882</v>
          </cell>
          <cell r="DP33">
            <v>7.7081192189105861E-3</v>
          </cell>
          <cell r="DQ33">
            <v>-1.1169415292353824</v>
          </cell>
          <cell r="DR33">
            <v>-0.69138276553106215</v>
          </cell>
          <cell r="DT33">
            <v>0.21613725490196078</v>
          </cell>
          <cell r="DU33">
            <v>0.69287469287469283</v>
          </cell>
          <cell r="DV33">
            <v>0.27054619703930577</v>
          </cell>
          <cell r="DW33">
            <v>0.89033942558746737</v>
          </cell>
          <cell r="DX33">
            <v>2.0581205183041891</v>
          </cell>
          <cell r="DZ33">
            <v>0.12137203166226913</v>
          </cell>
          <cell r="EA33">
            <v>0.32051282051282054</v>
          </cell>
          <cell r="EB33">
            <v>0.18039849219170706</v>
          </cell>
          <cell r="EC33">
            <v>1.2506797172376292</v>
          </cell>
          <cell r="ED33">
            <v>1.8569131832797428</v>
          </cell>
          <cell r="EF33">
            <v>0.26330076004343106</v>
          </cell>
          <cell r="EG33">
            <v>0.21428571428571427</v>
          </cell>
          <cell r="EH33">
            <v>0.2121559633027523</v>
          </cell>
          <cell r="EI33">
            <v>1.2761020881670533</v>
          </cell>
          <cell r="EJ33">
            <v>1.9312210998877666</v>
          </cell>
          <cell r="EK33" t="str">
            <v>EPS Diluted, Reported</v>
          </cell>
          <cell r="EL33">
            <v>0.35692708333333328</v>
          </cell>
          <cell r="EM33">
            <v>0.42117245304496304</v>
          </cell>
          <cell r="EN33">
            <v>0.89594867544042411</v>
          </cell>
          <cell r="EO33">
            <v>1.261277517141826</v>
          </cell>
          <cell r="EP33">
            <v>3.236519581389651</v>
          </cell>
          <cell r="ER33">
            <v>-9.3189964157706098E-2</v>
          </cell>
          <cell r="ES33">
            <v>0.56665772532188841</v>
          </cell>
          <cell r="ET33">
            <v>-5.4555373704309879E-3</v>
          </cell>
          <cell r="EU33">
            <v>1.3996562917700972</v>
          </cell>
          <cell r="EV33">
            <v>1.8164597407339782</v>
          </cell>
          <cell r="EX33">
            <v>7.5566750629722929E-2</v>
          </cell>
          <cell r="EY33">
            <v>0.16164263870685888</v>
          </cell>
          <cell r="EZ33">
            <v>7.532526820360648E-2</v>
          </cell>
          <cell r="FA33">
            <v>1.7778979422385495</v>
          </cell>
          <cell r="FB33">
            <v>1.9323052621090515</v>
          </cell>
          <cell r="FD33">
            <v>-0.14000000000000001</v>
          </cell>
          <cell r="FE33">
            <v>0.17</v>
          </cell>
          <cell r="FF33">
            <v>-0.1</v>
          </cell>
          <cell r="FG33">
            <v>-11.33</v>
          </cell>
          <cell r="FH33">
            <v>-11.397045737675745</v>
          </cell>
          <cell r="FJ33">
            <v>-0.21</v>
          </cell>
          <cell r="FK33">
            <v>0.02</v>
          </cell>
          <cell r="FL33">
            <v>-0.08</v>
          </cell>
          <cell r="FM33">
            <v>1.05</v>
          </cell>
          <cell r="FN33">
            <v>0.7789747839469634</v>
          </cell>
          <cell r="FP33">
            <v>0.05</v>
          </cell>
          <cell r="FQ33">
            <v>0.34466588511137164</v>
          </cell>
          <cell r="FR33">
            <v>0.02</v>
          </cell>
          <cell r="FS33">
            <v>1.55</v>
          </cell>
          <cell r="FT33">
            <v>1.97</v>
          </cell>
          <cell r="FV33">
            <v>0.3</v>
          </cell>
          <cell r="FW33">
            <v>0.55453290381960418</v>
          </cell>
          <cell r="FX33">
            <v>0.32</v>
          </cell>
          <cell r="FY33">
            <v>1.74</v>
          </cell>
          <cell r="FZ33">
            <v>2.92</v>
          </cell>
          <cell r="GB33">
            <v>0.43</v>
          </cell>
          <cell r="GC33">
            <v>0.67</v>
          </cell>
          <cell r="GD33">
            <v>0.27</v>
          </cell>
          <cell r="GE33">
            <v>2.11</v>
          </cell>
          <cell r="GF33">
            <v>3.43</v>
          </cell>
        </row>
        <row r="34">
          <cell r="A34" t="str">
            <v>Net Income, For Consensus</v>
          </cell>
          <cell r="W34">
            <v>786.54659498207877</v>
          </cell>
          <cell r="X34">
            <v>1089.0546208098101</v>
          </cell>
          <cell r="Y34">
            <v>1137.6065454545455</v>
          </cell>
          <cell r="Z34">
            <v>968.87045454545455</v>
          </cell>
          <cell r="AA34">
            <v>545</v>
          </cell>
          <cell r="AB34">
            <v>575.99999999999989</v>
          </cell>
          <cell r="AC34">
            <v>863</v>
          </cell>
          <cell r="AD34">
            <v>1239.5</v>
          </cell>
          <cell r="AE34">
            <v>1407.0129840730656</v>
          </cell>
          <cell r="AF34">
            <v>1474.1651556723784</v>
          </cell>
          <cell r="AG34">
            <v>1618.7764295278068</v>
          </cell>
          <cell r="AH34">
            <v>1641.1420018455815</v>
          </cell>
          <cell r="AI34">
            <v>1683.4875028271351</v>
          </cell>
          <cell r="AJ34">
            <v>1748.1022306573102</v>
          </cell>
          <cell r="AK34">
            <v>1801.4292273300186</v>
          </cell>
          <cell r="AL34">
            <v>1844.6042441173129</v>
          </cell>
          <cell r="ER34">
            <v>11</v>
          </cell>
          <cell r="ES34">
            <v>292</v>
          </cell>
          <cell r="ET34">
            <v>175</v>
          </cell>
          <cell r="EU34">
            <v>1334</v>
          </cell>
          <cell r="EV34">
            <v>1812</v>
          </cell>
          <cell r="EX34">
            <v>119</v>
          </cell>
          <cell r="EY34">
            <v>210</v>
          </cell>
          <cell r="EZ34">
            <v>55</v>
          </cell>
          <cell r="FA34">
            <v>1155</v>
          </cell>
          <cell r="FB34">
            <v>1539</v>
          </cell>
          <cell r="FD34">
            <v>4</v>
          </cell>
          <cell r="FE34">
            <v>120.99999999999999</v>
          </cell>
          <cell r="FF34">
            <v>-34</v>
          </cell>
          <cell r="FG34">
            <v>448</v>
          </cell>
          <cell r="FH34">
            <v>545</v>
          </cell>
          <cell r="FJ34">
            <v>-67.999999999999986</v>
          </cell>
          <cell r="FK34">
            <v>84</v>
          </cell>
          <cell r="FL34">
            <v>-12.000000000000002</v>
          </cell>
          <cell r="FM34">
            <v>572</v>
          </cell>
          <cell r="FN34">
            <v>575.99999999999989</v>
          </cell>
          <cell r="FP34">
            <v>23.000000000000004</v>
          </cell>
          <cell r="FQ34">
            <v>147</v>
          </cell>
          <cell r="FR34">
            <v>10</v>
          </cell>
          <cell r="FS34">
            <v>682.99999999999989</v>
          </cell>
          <cell r="FT34">
            <v>863</v>
          </cell>
          <cell r="FV34">
            <v>131</v>
          </cell>
          <cell r="FW34">
            <v>240.99999999999997</v>
          </cell>
          <cell r="FX34">
            <v>139</v>
          </cell>
          <cell r="FY34">
            <v>728.49999999999989</v>
          </cell>
          <cell r="FZ34">
            <v>1239.5</v>
          </cell>
          <cell r="GB34">
            <v>181</v>
          </cell>
          <cell r="GC34">
            <v>279.00000000000006</v>
          </cell>
          <cell r="GD34">
            <v>110.03264655178822</v>
          </cell>
          <cell r="GE34">
            <v>838.34033752127743</v>
          </cell>
          <cell r="GF34">
            <v>1408.3729840730653</v>
          </cell>
          <cell r="GS34" t="str">
            <v>mstag:netIncomeAdjustedForConsensus</v>
          </cell>
          <cell r="GT34">
            <v>6</v>
          </cell>
          <cell r="GU34" t="str">
            <v>ISO4217:USD</v>
          </cell>
          <cell r="GV34" t="b">
            <v>0</v>
          </cell>
        </row>
        <row r="35">
          <cell r="A35" t="str">
            <v>Average Basic Shares Outstanding</v>
          </cell>
          <cell r="C35" t="str">
            <v xml:space="preserve">--  </v>
          </cell>
          <cell r="D35" t="str">
            <v xml:space="preserve">--  </v>
          </cell>
          <cell r="E35" t="str">
            <v xml:space="preserve">--  </v>
          </cell>
          <cell r="F35">
            <v>111.35</v>
          </cell>
          <cell r="G35">
            <v>111.35</v>
          </cell>
          <cell r="H35">
            <v>126.29300000000001</v>
          </cell>
          <cell r="I35">
            <v>126.593</v>
          </cell>
          <cell r="K35">
            <v>182.2</v>
          </cell>
          <cell r="L35">
            <v>182.952</v>
          </cell>
          <cell r="N35">
            <v>386.11399999999998</v>
          </cell>
          <cell r="O35">
            <v>415.6</v>
          </cell>
          <cell r="P35">
            <v>418.95400000000001</v>
          </cell>
          <cell r="Q35">
            <v>419</v>
          </cell>
          <cell r="R35">
            <v>420.8</v>
          </cell>
          <cell r="S35">
            <v>409.6</v>
          </cell>
          <cell r="T35">
            <v>391.35</v>
          </cell>
          <cell r="U35">
            <v>394.5</v>
          </cell>
          <cell r="V35">
            <v>368.8</v>
          </cell>
          <cell r="W35">
            <v>350.2</v>
          </cell>
          <cell r="X35">
            <v>426</v>
          </cell>
          <cell r="Y35">
            <v>540</v>
          </cell>
          <cell r="Z35">
            <v>446.6</v>
          </cell>
          <cell r="AA35">
            <v>421.17499999999995</v>
          </cell>
          <cell r="AB35">
            <v>421.72500000000002</v>
          </cell>
          <cell r="AC35">
            <v>424.3</v>
          </cell>
          <cell r="AD35">
            <v>424.5</v>
          </cell>
          <cell r="AE35">
            <v>405.07399749373434</v>
          </cell>
          <cell r="AF35">
            <v>367.56702644803153</v>
          </cell>
          <cell r="AG35">
            <v>331.28548719485082</v>
          </cell>
          <cell r="AH35">
            <v>303.81560185423177</v>
          </cell>
          <cell r="AI35">
            <v>289.4819757905392</v>
          </cell>
          <cell r="AJ35">
            <v>277.98941741993752</v>
          </cell>
          <cell r="AK35">
            <v>258.83515346893466</v>
          </cell>
          <cell r="AL35">
            <v>238.1485484018516</v>
          </cell>
          <cell r="AN35" t="str">
            <v>Average Basic Shares Outstanding</v>
          </cell>
          <cell r="AO35">
            <v>80</v>
          </cell>
          <cell r="AP35">
            <v>80</v>
          </cell>
          <cell r="AQ35">
            <v>80</v>
          </cell>
          <cell r="AR35">
            <v>80</v>
          </cell>
          <cell r="AS35">
            <v>80</v>
          </cell>
          <cell r="AU35">
            <v>79.97</v>
          </cell>
          <cell r="AV35">
            <v>79.97</v>
          </cell>
          <cell r="AW35">
            <v>79.97</v>
          </cell>
          <cell r="AX35">
            <v>79.97</v>
          </cell>
          <cell r="AY35">
            <v>79.97</v>
          </cell>
          <cell r="BA35">
            <v>79.97</v>
          </cell>
          <cell r="BB35">
            <v>113.38200000000001</v>
          </cell>
          <cell r="BC35">
            <v>126</v>
          </cell>
          <cell r="BD35">
            <v>126.02800000000001</v>
          </cell>
          <cell r="BE35">
            <v>111.35</v>
          </cell>
          <cell r="BG35">
            <v>126.209</v>
          </cell>
          <cell r="BH35">
            <v>126.309</v>
          </cell>
          <cell r="BI35">
            <v>126.31100000000001</v>
          </cell>
          <cell r="BJ35">
            <v>126.33799999999999</v>
          </cell>
          <cell r="BK35">
            <v>126.29300000000001</v>
          </cell>
          <cell r="BM35">
            <v>126.464</v>
          </cell>
          <cell r="BN35">
            <v>126.578</v>
          </cell>
          <cell r="BO35">
            <v>126.6</v>
          </cell>
          <cell r="BP35">
            <v>126.74</v>
          </cell>
          <cell r="BQ35">
            <v>126.593</v>
          </cell>
          <cell r="BS35">
            <v>182.2</v>
          </cell>
          <cell r="BT35">
            <v>182.2</v>
          </cell>
          <cell r="BU35">
            <v>182.2</v>
          </cell>
          <cell r="BV35">
            <v>182.2</v>
          </cell>
          <cell r="BW35">
            <v>182.2</v>
          </cell>
          <cell r="BY35">
            <v>182.68199999999999</v>
          </cell>
          <cell r="BZ35">
            <v>182.83</v>
          </cell>
          <cell r="CA35">
            <v>183</v>
          </cell>
          <cell r="CB35">
            <v>197.017</v>
          </cell>
          <cell r="CC35">
            <v>197.017</v>
          </cell>
          <cell r="CD35">
            <v>183.238</v>
          </cell>
          <cell r="CE35">
            <v>202.631</v>
          </cell>
          <cell r="CF35">
            <v>182.952</v>
          </cell>
          <cell r="CG35">
            <v>191.47300000000001</v>
          </cell>
          <cell r="CH35">
            <v>191.50299999999999</v>
          </cell>
          <cell r="CJ35">
            <v>206.71</v>
          </cell>
          <cell r="CK35">
            <v>207.66300000000001</v>
          </cell>
          <cell r="CL35">
            <v>207.82</v>
          </cell>
          <cell r="CM35">
            <v>208.26</v>
          </cell>
          <cell r="CN35">
            <v>207.8</v>
          </cell>
          <cell r="CP35">
            <v>208.5</v>
          </cell>
          <cell r="CQ35">
            <v>209.4</v>
          </cell>
          <cell r="CR35">
            <v>209.3</v>
          </cell>
          <cell r="CS35">
            <v>210.13800000000001</v>
          </cell>
          <cell r="CT35">
            <v>209.477</v>
          </cell>
          <cell r="CV35">
            <v>210.7</v>
          </cell>
          <cell r="CW35">
            <v>210.5</v>
          </cell>
          <cell r="CX35">
            <v>209.5</v>
          </cell>
          <cell r="CY35">
            <v>209.5</v>
          </cell>
          <cell r="CZ35">
            <v>209.5</v>
          </cell>
          <cell r="DB35">
            <v>418</v>
          </cell>
          <cell r="DC35">
            <v>419.8</v>
          </cell>
          <cell r="DD35">
            <v>420.8</v>
          </cell>
          <cell r="DE35">
            <v>424.6</v>
          </cell>
          <cell r="DF35">
            <v>420.79999999999995</v>
          </cell>
          <cell r="DH35">
            <v>425.6</v>
          </cell>
          <cell r="DI35">
            <v>413.2</v>
          </cell>
          <cell r="DJ35">
            <v>402.2</v>
          </cell>
          <cell r="DK35">
            <v>397.4</v>
          </cell>
          <cell r="DL35">
            <v>409.6</v>
          </cell>
          <cell r="DN35">
            <v>396</v>
          </cell>
          <cell r="DO35">
            <v>389.2</v>
          </cell>
          <cell r="DP35">
            <v>385.8</v>
          </cell>
          <cell r="DQ35">
            <v>394.4</v>
          </cell>
          <cell r="DR35">
            <v>391.35</v>
          </cell>
          <cell r="DT35">
            <v>403.2</v>
          </cell>
          <cell r="DU35">
            <v>403</v>
          </cell>
          <cell r="DV35">
            <v>390</v>
          </cell>
          <cell r="DW35">
            <v>381.8</v>
          </cell>
          <cell r="DX35">
            <v>394.5</v>
          </cell>
          <cell r="DZ35">
            <v>378.4</v>
          </cell>
          <cell r="EA35">
            <v>371.2</v>
          </cell>
          <cell r="EB35">
            <v>365.2</v>
          </cell>
          <cell r="EC35">
            <v>360.8</v>
          </cell>
          <cell r="ED35">
            <v>368.8</v>
          </cell>
          <cell r="EF35">
            <v>361</v>
          </cell>
          <cell r="EG35">
            <v>358.2</v>
          </cell>
          <cell r="EH35">
            <v>344</v>
          </cell>
          <cell r="EI35">
            <v>337.4</v>
          </cell>
          <cell r="EJ35">
            <v>350.2</v>
          </cell>
          <cell r="EK35" t="str">
            <v>Average Basic Shares Outstanding</v>
          </cell>
          <cell r="EL35">
            <v>337.6</v>
          </cell>
          <cell r="EM35">
            <v>342.4</v>
          </cell>
          <cell r="EN35">
            <v>478.5</v>
          </cell>
          <cell r="EO35">
            <v>545.79999999999995</v>
          </cell>
          <cell r="EP35">
            <v>426</v>
          </cell>
          <cell r="ER35">
            <v>550.20000000000005</v>
          </cell>
          <cell r="ES35">
            <v>552.20000000000005</v>
          </cell>
          <cell r="ET35">
            <v>541.70000000000005</v>
          </cell>
          <cell r="EU35">
            <v>516</v>
          </cell>
          <cell r="EV35">
            <v>540</v>
          </cell>
          <cell r="EX35">
            <v>468.2</v>
          </cell>
          <cell r="EY35">
            <v>451.9</v>
          </cell>
          <cell r="EZ35">
            <v>434.2</v>
          </cell>
          <cell r="FA35">
            <v>432.1</v>
          </cell>
          <cell r="FB35">
            <v>446.6</v>
          </cell>
          <cell r="FD35">
            <v>420.9</v>
          </cell>
          <cell r="FE35">
            <v>421.1</v>
          </cell>
          <cell r="FF35">
            <v>421.3</v>
          </cell>
          <cell r="FG35">
            <v>421.4</v>
          </cell>
          <cell r="FH35">
            <v>421.17499999999995</v>
          </cell>
          <cell r="FJ35">
            <v>421.4</v>
          </cell>
          <cell r="FK35">
            <v>421.5</v>
          </cell>
          <cell r="FL35">
            <v>421.8</v>
          </cell>
          <cell r="FM35">
            <v>422.2</v>
          </cell>
          <cell r="FN35">
            <v>421.72500000000002</v>
          </cell>
          <cell r="FP35">
            <v>422.6</v>
          </cell>
          <cell r="FQ35">
            <v>423</v>
          </cell>
          <cell r="FR35">
            <v>423.5</v>
          </cell>
          <cell r="FS35">
            <v>423.3</v>
          </cell>
          <cell r="FT35">
            <v>424.3</v>
          </cell>
          <cell r="FV35">
            <v>425.1</v>
          </cell>
          <cell r="FW35">
            <v>427.5</v>
          </cell>
          <cell r="FX35">
            <v>425.3</v>
          </cell>
          <cell r="FY35">
            <v>420</v>
          </cell>
          <cell r="FZ35">
            <v>424.5</v>
          </cell>
          <cell r="GB35">
            <v>417.1</v>
          </cell>
          <cell r="GC35">
            <v>411.2</v>
          </cell>
          <cell r="GD35">
            <v>400.35263157894735</v>
          </cell>
          <cell r="GE35">
            <v>391.64335839598999</v>
          </cell>
          <cell r="GF35">
            <v>405.07399749373434</v>
          </cell>
          <cell r="GS35" t="str">
            <v>mstag:averageBasicSharesOutstanding</v>
          </cell>
          <cell r="GT35">
            <v>6</v>
          </cell>
          <cell r="GU35" t="str">
            <v>ms_eqr_gcim_Decimal:ms_eqr_gcim_decimal</v>
          </cell>
          <cell r="GV35" t="b">
            <v>0</v>
          </cell>
          <cell r="GW35" t="b">
            <v>0</v>
          </cell>
        </row>
        <row r="36">
          <cell r="A36" t="str">
            <v>Average Fully Diluted Shares Outstanding</v>
          </cell>
          <cell r="K36">
            <v>182.2</v>
          </cell>
          <cell r="L36">
            <v>182.952</v>
          </cell>
          <cell r="N36">
            <v>386.67200000000003</v>
          </cell>
          <cell r="O36">
            <v>444.8</v>
          </cell>
          <cell r="P36">
            <v>454.26799999999997</v>
          </cell>
          <cell r="Q36">
            <v>451.8</v>
          </cell>
          <cell r="R36">
            <v>439.2</v>
          </cell>
          <cell r="S36">
            <v>413.75</v>
          </cell>
          <cell r="T36">
            <v>399.2</v>
          </cell>
          <cell r="U36">
            <v>397.45</v>
          </cell>
          <cell r="V36">
            <v>373.2</v>
          </cell>
          <cell r="W36">
            <v>356.4</v>
          </cell>
          <cell r="X36">
            <v>434.6</v>
          </cell>
          <cell r="Y36">
            <v>547.70000000000005</v>
          </cell>
          <cell r="Z36">
            <v>451.75000000000006</v>
          </cell>
          <cell r="AA36">
            <v>421.42499999999995</v>
          </cell>
          <cell r="AB36">
            <v>422.35</v>
          </cell>
          <cell r="AC36">
            <v>429.1</v>
          </cell>
          <cell r="AD36">
            <v>430.4</v>
          </cell>
          <cell r="AE36">
            <v>411.14899749373433</v>
          </cell>
          <cell r="AF36">
            <v>373.64202644803152</v>
          </cell>
          <cell r="AG36">
            <v>337.3604871948508</v>
          </cell>
          <cell r="AH36">
            <v>309.89060185423176</v>
          </cell>
          <cell r="AI36">
            <v>295.55697579053918</v>
          </cell>
          <cell r="AJ36">
            <v>284.06441741993751</v>
          </cell>
          <cell r="AK36">
            <v>264.91015346893465</v>
          </cell>
          <cell r="AL36">
            <v>244.22354840185159</v>
          </cell>
          <cell r="AN36" t="str">
            <v>Average Fully Diluted Shares Outstanding</v>
          </cell>
          <cell r="AO36">
            <v>80</v>
          </cell>
          <cell r="AP36">
            <v>80</v>
          </cell>
          <cell r="AQ36">
            <v>80</v>
          </cell>
          <cell r="AR36">
            <v>80</v>
          </cell>
          <cell r="AS36">
            <v>80</v>
          </cell>
          <cell r="AU36">
            <v>79.97</v>
          </cell>
          <cell r="AV36">
            <v>79.97</v>
          </cell>
          <cell r="AW36">
            <v>79.97</v>
          </cell>
          <cell r="AX36">
            <v>79.97</v>
          </cell>
          <cell r="AY36">
            <v>79.97</v>
          </cell>
          <cell r="BA36">
            <v>79.97</v>
          </cell>
          <cell r="BB36">
            <v>113.38200000000001</v>
          </cell>
          <cell r="BC36">
            <v>126</v>
          </cell>
          <cell r="BD36">
            <v>126.02800000000001</v>
          </cell>
          <cell r="BE36">
            <v>111.35</v>
          </cell>
          <cell r="BG36">
            <v>126.209</v>
          </cell>
          <cell r="BH36">
            <v>126.309</v>
          </cell>
          <cell r="BI36">
            <v>126.31100000000001</v>
          </cell>
          <cell r="BJ36">
            <v>126.33799999999999</v>
          </cell>
          <cell r="BK36">
            <v>126.29300000000001</v>
          </cell>
          <cell r="BM36">
            <v>126.464</v>
          </cell>
          <cell r="BN36">
            <v>126.578</v>
          </cell>
          <cell r="BO36">
            <v>126.6</v>
          </cell>
          <cell r="BP36">
            <v>126.74</v>
          </cell>
          <cell r="BQ36">
            <v>126.593</v>
          </cell>
          <cell r="BS36">
            <v>182.2</v>
          </cell>
          <cell r="BT36">
            <v>182.2</v>
          </cell>
          <cell r="BU36">
            <v>182.2</v>
          </cell>
          <cell r="BV36">
            <v>182.2</v>
          </cell>
          <cell r="BW36">
            <v>182.2</v>
          </cell>
          <cell r="BY36">
            <v>182.68199999999999</v>
          </cell>
          <cell r="BZ36">
            <v>182.83</v>
          </cell>
          <cell r="CA36">
            <v>183</v>
          </cell>
          <cell r="CB36">
            <v>197.017</v>
          </cell>
          <cell r="CC36">
            <v>197.017</v>
          </cell>
          <cell r="CD36">
            <v>183.238</v>
          </cell>
          <cell r="CE36">
            <v>202.631</v>
          </cell>
          <cell r="CF36">
            <v>182.952</v>
          </cell>
          <cell r="CG36">
            <v>191.47300000000001</v>
          </cell>
          <cell r="CH36">
            <v>191.50299999999999</v>
          </cell>
          <cell r="CJ36">
            <v>206.71</v>
          </cell>
          <cell r="CK36">
            <v>207.66300000000001</v>
          </cell>
          <cell r="CL36">
            <v>212.751</v>
          </cell>
          <cell r="CM36">
            <v>223.2</v>
          </cell>
          <cell r="CN36">
            <v>222.4</v>
          </cell>
          <cell r="CP36">
            <v>213.6</v>
          </cell>
          <cell r="CQ36">
            <v>226</v>
          </cell>
          <cell r="CR36">
            <v>226.3</v>
          </cell>
          <cell r="CS36">
            <v>229.68</v>
          </cell>
          <cell r="CT36">
            <v>227.13399999999999</v>
          </cell>
          <cell r="CV36">
            <v>231.6</v>
          </cell>
          <cell r="CW36">
            <v>232.4</v>
          </cell>
          <cell r="CX36">
            <v>228.8</v>
          </cell>
          <cell r="CY36">
            <v>217.1</v>
          </cell>
          <cell r="CZ36">
            <v>225.9</v>
          </cell>
          <cell r="DB36">
            <v>432.8</v>
          </cell>
          <cell r="DC36">
            <v>443.8</v>
          </cell>
          <cell r="DD36">
            <v>439.8</v>
          </cell>
          <cell r="DE36">
            <v>439.8</v>
          </cell>
          <cell r="DF36">
            <v>439.15000000000003</v>
          </cell>
          <cell r="DH36">
            <v>432.6</v>
          </cell>
          <cell r="DI36">
            <v>417</v>
          </cell>
          <cell r="DJ36">
            <v>402.2</v>
          </cell>
          <cell r="DK36">
            <v>403.2</v>
          </cell>
          <cell r="DL36">
            <v>413.75</v>
          </cell>
          <cell r="DN36">
            <v>408.2</v>
          </cell>
          <cell r="DO36">
            <v>399.2</v>
          </cell>
          <cell r="DP36">
            <v>389.2</v>
          </cell>
          <cell r="DQ36">
            <v>400.2</v>
          </cell>
          <cell r="DR36">
            <v>399.2</v>
          </cell>
          <cell r="DT36">
            <v>408</v>
          </cell>
          <cell r="DU36">
            <v>407</v>
          </cell>
          <cell r="DV36">
            <v>391.8</v>
          </cell>
          <cell r="DW36">
            <v>383</v>
          </cell>
          <cell r="DX36">
            <v>397.45</v>
          </cell>
          <cell r="DZ36">
            <v>379</v>
          </cell>
          <cell r="EA36">
            <v>374.4</v>
          </cell>
          <cell r="EB36">
            <v>371.4</v>
          </cell>
          <cell r="EC36">
            <v>367.8</v>
          </cell>
          <cell r="ED36">
            <v>373.2</v>
          </cell>
          <cell r="EF36">
            <v>368.4</v>
          </cell>
          <cell r="EG36">
            <v>364</v>
          </cell>
          <cell r="EH36">
            <v>348.8</v>
          </cell>
          <cell r="EI36">
            <v>344.8</v>
          </cell>
          <cell r="EJ36">
            <v>356.4</v>
          </cell>
          <cell r="EK36" t="str">
            <v>Average Fully Diluted Shares Outstanding</v>
          </cell>
          <cell r="EL36">
            <v>345.6</v>
          </cell>
          <cell r="EM36">
            <v>351.4</v>
          </cell>
          <cell r="EN36">
            <v>486.9</v>
          </cell>
          <cell r="EO36">
            <v>554.20000000000005</v>
          </cell>
          <cell r="EP36">
            <v>434.6</v>
          </cell>
          <cell r="ER36">
            <v>558</v>
          </cell>
          <cell r="ES36">
            <v>559.20000000000005</v>
          </cell>
          <cell r="ET36">
            <v>549.9</v>
          </cell>
          <cell r="EU36">
            <v>523.70000000000005</v>
          </cell>
          <cell r="EV36">
            <v>547.70000000000005</v>
          </cell>
          <cell r="EX36">
            <v>476.4</v>
          </cell>
          <cell r="EY36">
            <v>457.8</v>
          </cell>
          <cell r="EZ36">
            <v>438.1</v>
          </cell>
          <cell r="FA36">
            <v>434.7</v>
          </cell>
          <cell r="FB36">
            <v>451.75000000000006</v>
          </cell>
          <cell r="FD36">
            <v>420.9</v>
          </cell>
          <cell r="FE36">
            <v>422.1</v>
          </cell>
          <cell r="FF36">
            <v>421.3</v>
          </cell>
          <cell r="FG36">
            <v>421.4</v>
          </cell>
          <cell r="FH36">
            <v>421.42499999999995</v>
          </cell>
          <cell r="FJ36">
            <v>421.4</v>
          </cell>
          <cell r="FK36">
            <v>422.1</v>
          </cell>
          <cell r="FL36">
            <v>421.8</v>
          </cell>
          <cell r="FM36">
            <v>424.1</v>
          </cell>
          <cell r="FN36">
            <v>422.35</v>
          </cell>
          <cell r="FP36">
            <v>426.2</v>
          </cell>
          <cell r="FQ36">
            <v>426.5</v>
          </cell>
          <cell r="FR36">
            <v>427.6</v>
          </cell>
          <cell r="FS36">
            <v>429</v>
          </cell>
          <cell r="FT36">
            <v>429.1</v>
          </cell>
          <cell r="FV36">
            <v>430</v>
          </cell>
          <cell r="FW36">
            <v>434.6</v>
          </cell>
          <cell r="FX36">
            <v>431.8</v>
          </cell>
          <cell r="FY36">
            <v>427.3</v>
          </cell>
          <cell r="FZ36">
            <v>430.4</v>
          </cell>
          <cell r="GB36">
            <v>423.7</v>
          </cell>
          <cell r="GC36">
            <v>417.1</v>
          </cell>
          <cell r="GD36">
            <v>406.25263157894739</v>
          </cell>
          <cell r="GE36">
            <v>397.54335839599003</v>
          </cell>
          <cell r="GF36">
            <v>411.14899749373433</v>
          </cell>
          <cell r="GS36" t="str">
            <v>mstag:averageDilutedSharesOutstanding</v>
          </cell>
          <cell r="GT36">
            <v>6</v>
          </cell>
          <cell r="GU36" t="str">
            <v>ms_eqr_gcim_Decimal:ms_eqr_gcim_decimal</v>
          </cell>
          <cell r="GV36" t="b">
            <v>0</v>
          </cell>
          <cell r="GW36" t="b">
            <v>0</v>
          </cell>
        </row>
        <row r="37">
          <cell r="A37" t="str">
            <v>Period End Basic Shares Outstanding</v>
          </cell>
          <cell r="N37">
            <v>414.918274</v>
          </cell>
          <cell r="O37">
            <v>416.75912199999999</v>
          </cell>
          <cell r="P37">
            <v>421.21032200000002</v>
          </cell>
          <cell r="Q37">
            <v>417.15312399999999</v>
          </cell>
          <cell r="R37">
            <v>423.09761800000001</v>
          </cell>
          <cell r="S37">
            <v>395.34445399999998</v>
          </cell>
          <cell r="T37">
            <v>402.252748</v>
          </cell>
          <cell r="U37">
            <v>374.65489600000001</v>
          </cell>
          <cell r="V37">
            <v>357</v>
          </cell>
          <cell r="W37">
            <v>335.19655599999999</v>
          </cell>
          <cell r="X37">
            <v>546.79999999999995</v>
          </cell>
          <cell r="Y37">
            <v>496.9</v>
          </cell>
          <cell r="Z37">
            <v>419.7</v>
          </cell>
          <cell r="AA37">
            <v>420.57529799999998</v>
          </cell>
          <cell r="AB37">
            <v>421.53</v>
          </cell>
          <cell r="AC37">
            <v>423.3</v>
          </cell>
          <cell r="AD37">
            <v>414.2</v>
          </cell>
          <cell r="AE37">
            <v>386.88145363408523</v>
          </cell>
          <cell r="AF37">
            <v>348.25259926197782</v>
          </cell>
          <cell r="AG37">
            <v>314.31837512772381</v>
          </cell>
          <cell r="AH37">
            <v>293.31282858073979</v>
          </cell>
          <cell r="AI37">
            <v>285.65112300033866</v>
          </cell>
          <cell r="AJ37">
            <v>270.32771183953639</v>
          </cell>
          <cell r="AK37">
            <v>247.34259509833296</v>
          </cell>
          <cell r="AL37">
            <v>228.95450170537021</v>
          </cell>
          <cell r="AN37" t="str">
            <v>Period End Basic Shares Outstanding</v>
          </cell>
          <cell r="CN37">
            <v>208.379561</v>
          </cell>
          <cell r="CT37">
            <v>210.60516100000001</v>
          </cell>
          <cell r="CZ37">
            <v>208.576562</v>
          </cell>
          <cell r="DH37">
            <v>415.872772</v>
          </cell>
          <cell r="DI37">
            <v>403.836004</v>
          </cell>
          <cell r="DJ37">
            <v>397.47889600000002</v>
          </cell>
          <cell r="DK37">
            <v>395.34445399999998</v>
          </cell>
          <cell r="DL37">
            <v>395.34445399999998</v>
          </cell>
          <cell r="DN37">
            <v>389.8</v>
          </cell>
          <cell r="DO37">
            <v>385.4</v>
          </cell>
          <cell r="DP37">
            <v>383.4</v>
          </cell>
          <cell r="DQ37">
            <v>402.252748</v>
          </cell>
          <cell r="DR37">
            <v>402.252748</v>
          </cell>
          <cell r="DT37">
            <v>403</v>
          </cell>
          <cell r="DU37">
            <v>392.4</v>
          </cell>
          <cell r="DV37">
            <v>380.4</v>
          </cell>
          <cell r="DW37">
            <v>374.65489600000001</v>
          </cell>
          <cell r="DX37">
            <v>374.65489600000001</v>
          </cell>
          <cell r="DZ37">
            <v>370.72</v>
          </cell>
          <cell r="EA37">
            <v>365.62</v>
          </cell>
          <cell r="EB37">
            <v>361.58</v>
          </cell>
          <cell r="EC37">
            <v>357</v>
          </cell>
          <cell r="ED37">
            <v>357</v>
          </cell>
          <cell r="EF37">
            <v>359.61200000000002</v>
          </cell>
          <cell r="EG37">
            <v>345.39600000000002</v>
          </cell>
          <cell r="EH37">
            <v>338.4</v>
          </cell>
          <cell r="EI37">
            <v>335.19655599999999</v>
          </cell>
          <cell r="EJ37">
            <v>335.19655599999999</v>
          </cell>
          <cell r="EK37" t="str">
            <v>Period End Basic Shares Outstanding</v>
          </cell>
          <cell r="EL37">
            <v>340.8</v>
          </cell>
          <cell r="EM37">
            <v>340.85399999999998</v>
          </cell>
          <cell r="EN37">
            <v>544.43164000000002</v>
          </cell>
          <cell r="EO37">
            <v>546.79999999999995</v>
          </cell>
          <cell r="EP37">
            <v>546.79999999999995</v>
          </cell>
          <cell r="ER37">
            <v>553.21778400000005</v>
          </cell>
          <cell r="ES37">
            <v>545</v>
          </cell>
          <cell r="ET37">
            <v>530</v>
          </cell>
          <cell r="EU37">
            <v>496.9</v>
          </cell>
          <cell r="EV37">
            <v>496.9</v>
          </cell>
          <cell r="EX37">
            <v>459.62333699999999</v>
          </cell>
          <cell r="EY37">
            <v>435.6</v>
          </cell>
          <cell r="EZ37">
            <v>432.98764799999998</v>
          </cell>
          <cell r="FA37">
            <v>419.7</v>
          </cell>
          <cell r="FB37">
            <v>419.7</v>
          </cell>
          <cell r="FD37">
            <v>420.477236</v>
          </cell>
          <cell r="FE37">
            <v>420.54819300000003</v>
          </cell>
          <cell r="FF37">
            <v>420.56348700000001</v>
          </cell>
          <cell r="FG37">
            <v>420.57529799999998</v>
          </cell>
          <cell r="FH37">
            <v>420.57529799999998</v>
          </cell>
          <cell r="FJ37">
            <v>420.56635599999998</v>
          </cell>
          <cell r="FK37">
            <v>420.5</v>
          </cell>
          <cell r="FL37">
            <v>421</v>
          </cell>
          <cell r="FM37">
            <v>421.53</v>
          </cell>
          <cell r="FN37">
            <v>421.53</v>
          </cell>
          <cell r="FP37">
            <v>422.10645299999999</v>
          </cell>
          <cell r="FQ37">
            <v>422.67482899999999</v>
          </cell>
          <cell r="FR37">
            <v>423</v>
          </cell>
          <cell r="FS37">
            <v>423.3</v>
          </cell>
          <cell r="FT37">
            <v>423.3</v>
          </cell>
          <cell r="FV37">
            <v>425.2</v>
          </cell>
          <cell r="FW37">
            <v>427.5</v>
          </cell>
          <cell r="FX37">
            <v>420.6</v>
          </cell>
          <cell r="FY37">
            <v>414.2</v>
          </cell>
          <cell r="FZ37">
            <v>414.2</v>
          </cell>
          <cell r="GB37">
            <v>414.6</v>
          </cell>
          <cell r="GC37">
            <v>404.3</v>
          </cell>
          <cell r="GD37">
            <v>396.40526315789475</v>
          </cell>
          <cell r="GE37">
            <v>386.88145363408523</v>
          </cell>
          <cell r="GF37">
            <v>386.88145363408523</v>
          </cell>
          <cell r="GS37" t="str">
            <v>mstag:periodEndBasicSharesOutstanding</v>
          </cell>
          <cell r="GT37">
            <v>6</v>
          </cell>
          <cell r="GU37" t="str">
            <v>ms_eqr_gcim_Decimal:ms_eqr_gcim_decimal</v>
          </cell>
          <cell r="GV37" t="b">
            <v>0</v>
          </cell>
          <cell r="GW37" t="b">
            <v>0</v>
          </cell>
        </row>
        <row r="38">
          <cell r="A38" t="str">
            <v>Average Repurchase Price</v>
          </cell>
          <cell r="Y38">
            <v>38.059090830879164</v>
          </cell>
          <cell r="Z38">
            <v>34.721403433168142</v>
          </cell>
          <cell r="AD38">
            <v>0</v>
          </cell>
          <cell r="AE38">
            <v>38.72816212438854</v>
          </cell>
          <cell r="AF38">
            <v>44.008553389238294</v>
          </cell>
          <cell r="AG38">
            <v>50.096916707872467</v>
          </cell>
          <cell r="AH38">
            <v>57.127768483238825</v>
          </cell>
          <cell r="AI38">
            <v>65.259620687985446</v>
          </cell>
          <cell r="AJ38">
            <v>65.259620687985446</v>
          </cell>
          <cell r="AK38">
            <v>65.259620687985446</v>
          </cell>
          <cell r="AL38">
            <v>65.259620687985446</v>
          </cell>
          <cell r="AN38" t="str">
            <v>Average Repurchase Price</v>
          </cell>
          <cell r="ER38">
            <v>33.869</v>
          </cell>
          <cell r="ES38">
            <v>35.432098765432102</v>
          </cell>
          <cell r="ET38">
            <v>41.758793969849251</v>
          </cell>
          <cell r="EU38">
            <v>41.176470588235297</v>
          </cell>
          <cell r="EV38">
            <v>38.059090830879164</v>
          </cell>
          <cell r="EX38">
            <v>44.244444444444447</v>
          </cell>
          <cell r="EY38">
            <v>38.991596638655459</v>
          </cell>
          <cell r="EZ38">
            <v>31.111111111111111</v>
          </cell>
          <cell r="FA38">
            <v>24.53846153846154</v>
          </cell>
          <cell r="FB38">
            <v>34.721403433168142</v>
          </cell>
          <cell r="GB38">
            <v>39.629629629629626</v>
          </cell>
          <cell r="GC38">
            <v>35.283018867924532</v>
          </cell>
          <cell r="GD38">
            <v>38</v>
          </cell>
          <cell r="GE38">
            <v>42</v>
          </cell>
          <cell r="GF38">
            <v>38.72816212438854</v>
          </cell>
        </row>
        <row r="40">
          <cell r="A40" t="str">
            <v>Depreciation &amp; Amortization (Reported)</v>
          </cell>
          <cell r="C40">
            <v>235.45400000000001</v>
          </cell>
          <cell r="D40">
            <v>212.18600000000001</v>
          </cell>
          <cell r="E40">
            <v>212.18600000000001</v>
          </cell>
          <cell r="F40">
            <v>212.18600000000001</v>
          </cell>
          <cell r="G40">
            <v>205.554</v>
          </cell>
          <cell r="H40">
            <v>207.91399999999999</v>
          </cell>
          <cell r="I40">
            <v>251.40600000000001</v>
          </cell>
          <cell r="K40">
            <v>551.07000000000005</v>
          </cell>
          <cell r="L40">
            <v>474.94499999999999</v>
          </cell>
          <cell r="N40">
            <v>497</v>
          </cell>
          <cell r="O40">
            <v>533</v>
          </cell>
          <cell r="P40">
            <v>590</v>
          </cell>
          <cell r="Q40">
            <v>624</v>
          </cell>
          <cell r="R40">
            <v>665</v>
          </cell>
          <cell r="S40">
            <v>651</v>
          </cell>
          <cell r="T40">
            <v>689</v>
          </cell>
          <cell r="U40">
            <v>680</v>
          </cell>
          <cell r="V40">
            <v>710</v>
          </cell>
          <cell r="W40">
            <v>737</v>
          </cell>
          <cell r="X40">
            <v>978</v>
          </cell>
          <cell r="Y40">
            <v>1265</v>
          </cell>
          <cell r="Z40">
            <v>1304</v>
          </cell>
          <cell r="AA40">
            <v>1278</v>
          </cell>
          <cell r="AB40">
            <v>1210</v>
          </cell>
          <cell r="AC40">
            <v>1150</v>
          </cell>
          <cell r="AD40">
            <v>1085</v>
          </cell>
          <cell r="AE40">
            <v>1058.1233144856478</v>
          </cell>
          <cell r="AF40">
            <v>1083.3778550448592</v>
          </cell>
          <cell r="AG40">
            <v>1104.2560836491582</v>
          </cell>
          <cell r="AH40">
            <v>1115.6972553764319</v>
          </cell>
          <cell r="AI40">
            <v>1126.8542279301962</v>
          </cell>
          <cell r="AJ40">
            <v>1138.1227702094982</v>
          </cell>
          <cell r="AK40">
            <v>1149.5039979115932</v>
          </cell>
          <cell r="AL40">
            <v>1160.9990378907089</v>
          </cell>
          <cell r="AN40" t="str">
            <v>Depreciation &amp; Amortization (Reported)</v>
          </cell>
          <cell r="DH40">
            <v>175</v>
          </cell>
          <cell r="DI40">
            <v>174</v>
          </cell>
          <cell r="DJ40">
            <v>177</v>
          </cell>
          <cell r="DK40">
            <v>166</v>
          </cell>
          <cell r="DL40">
            <v>651</v>
          </cell>
          <cell r="DN40">
            <v>169</v>
          </cell>
          <cell r="DO40">
            <v>168</v>
          </cell>
          <cell r="DP40">
            <v>174</v>
          </cell>
          <cell r="DQ40">
            <v>178</v>
          </cell>
          <cell r="DR40">
            <v>689</v>
          </cell>
          <cell r="DT40">
            <v>165</v>
          </cell>
          <cell r="DU40">
            <v>168</v>
          </cell>
          <cell r="DV40">
            <v>167</v>
          </cell>
          <cell r="DW40">
            <v>180</v>
          </cell>
          <cell r="DX40">
            <v>680</v>
          </cell>
          <cell r="DZ40">
            <v>180</v>
          </cell>
          <cell r="EA40">
            <v>173</v>
          </cell>
          <cell r="EB40">
            <v>176</v>
          </cell>
          <cell r="EC40">
            <v>181</v>
          </cell>
          <cell r="ED40">
            <v>710</v>
          </cell>
          <cell r="EF40">
            <v>177</v>
          </cell>
          <cell r="EG40">
            <v>178</v>
          </cell>
          <cell r="EH40">
            <v>178</v>
          </cell>
          <cell r="EI40">
            <v>204</v>
          </cell>
          <cell r="EJ40">
            <v>737</v>
          </cell>
          <cell r="EK40" t="str">
            <v>Depreciation &amp; Amortization (Reported)</v>
          </cell>
          <cell r="EL40">
            <v>177</v>
          </cell>
          <cell r="EM40">
            <v>178</v>
          </cell>
          <cell r="EN40">
            <v>295</v>
          </cell>
          <cell r="EO40">
            <v>328</v>
          </cell>
          <cell r="EP40">
            <v>978</v>
          </cell>
          <cell r="ER40">
            <v>316</v>
          </cell>
          <cell r="ES40">
            <v>314</v>
          </cell>
          <cell r="ET40">
            <v>315</v>
          </cell>
          <cell r="EU40">
            <v>320</v>
          </cell>
          <cell r="EV40">
            <v>1265</v>
          </cell>
          <cell r="EX40">
            <v>329</v>
          </cell>
          <cell r="EY40">
            <v>327</v>
          </cell>
          <cell r="EZ40">
            <v>321</v>
          </cell>
          <cell r="FA40">
            <v>327</v>
          </cell>
          <cell r="FB40">
            <v>1304</v>
          </cell>
          <cell r="FD40">
            <v>315</v>
          </cell>
          <cell r="FE40">
            <v>315</v>
          </cell>
          <cell r="FF40">
            <v>320</v>
          </cell>
          <cell r="FG40">
            <v>328</v>
          </cell>
          <cell r="FH40">
            <v>1278</v>
          </cell>
          <cell r="FJ40">
            <v>303</v>
          </cell>
          <cell r="FK40">
            <v>301</v>
          </cell>
          <cell r="FL40">
            <v>301</v>
          </cell>
          <cell r="FM40">
            <v>305</v>
          </cell>
          <cell r="FN40">
            <v>1210</v>
          </cell>
          <cell r="FP40">
            <v>287</v>
          </cell>
          <cell r="FQ40">
            <v>288</v>
          </cell>
          <cell r="FR40">
            <v>290</v>
          </cell>
          <cell r="FS40">
            <v>285</v>
          </cell>
          <cell r="FT40">
            <v>1150</v>
          </cell>
          <cell r="FV40">
            <v>268</v>
          </cell>
          <cell r="FW40">
            <v>268</v>
          </cell>
          <cell r="FX40">
            <v>282</v>
          </cell>
          <cell r="FY40">
            <v>267</v>
          </cell>
          <cell r="FZ40">
            <v>1085</v>
          </cell>
          <cell r="GB40">
            <v>256</v>
          </cell>
          <cell r="GC40">
            <v>257</v>
          </cell>
          <cell r="GD40">
            <v>275.44005372214991</v>
          </cell>
          <cell r="GE40">
            <v>269.68326076349791</v>
          </cell>
          <cell r="GF40">
            <v>1058.1233144856478</v>
          </cell>
        </row>
        <row r="41">
          <cell r="A41" t="str">
            <v>% of Sales</v>
          </cell>
          <cell r="N41">
            <v>3.4008485014369781E-2</v>
          </cell>
          <cell r="O41">
            <v>3.5933391761612622E-2</v>
          </cell>
          <cell r="P41">
            <v>3.8764783180026283E-2</v>
          </cell>
          <cell r="Q41">
            <v>4.0611780019524896E-2</v>
          </cell>
          <cell r="R41">
            <v>4.148730426102689E-2</v>
          </cell>
          <cell r="S41">
            <v>3.9127298954201223E-2</v>
          </cell>
          <cell r="T41">
            <v>4.3649033892936333E-2</v>
          </cell>
          <cell r="U41">
            <v>4.3670926722753835E-2</v>
          </cell>
          <cell r="V41">
            <v>4.6067998961847913E-2</v>
          </cell>
          <cell r="W41">
            <v>4.6716531440162273E-2</v>
          </cell>
          <cell r="X41">
            <v>4.3680214381420279E-2</v>
          </cell>
          <cell r="Y41">
            <v>4.6903967371153134E-2</v>
          </cell>
          <cell r="Z41">
            <v>4.9557253068825295E-2</v>
          </cell>
          <cell r="AA41">
            <v>5.134179656114414E-2</v>
          </cell>
          <cell r="AB41">
            <v>5.0638208830299229E-2</v>
          </cell>
          <cell r="AC41">
            <v>4.5994480662320522E-2</v>
          </cell>
          <cell r="AD41">
            <v>4.1090702518462412E-2</v>
          </cell>
          <cell r="AE41">
            <v>3.8202403342907414E-2</v>
          </cell>
          <cell r="AF41">
            <v>3.8202403342907414E-2</v>
          </cell>
          <cell r="AG41">
            <v>3.8202403342907414E-2</v>
          </cell>
          <cell r="AH41">
            <v>3.8202403342907414E-2</v>
          </cell>
          <cell r="AI41">
            <v>3.8202403342907414E-2</v>
          </cell>
          <cell r="AJ41">
            <v>3.8202403342907407E-2</v>
          </cell>
          <cell r="AK41">
            <v>3.8202403342907407E-2</v>
          </cell>
          <cell r="AL41">
            <v>3.8202403342907407E-2</v>
          </cell>
          <cell r="AN41" t="str">
            <v>% of Sales</v>
          </cell>
          <cell r="DH41">
            <v>4.897844948222782E-2</v>
          </cell>
          <cell r="DI41">
            <v>4.7295460723022563E-2</v>
          </cell>
          <cell r="DJ41">
            <v>4.6800634584875725E-2</v>
          </cell>
          <cell r="DK41">
            <v>2.9621698786581014E-2</v>
          </cell>
          <cell r="DL41">
            <v>3.9127298954201223E-2</v>
          </cell>
          <cell r="DN41">
            <v>4.7525309336332956E-2</v>
          </cell>
          <cell r="DO41">
            <v>4.8165137614678902E-2</v>
          </cell>
          <cell r="DP41">
            <v>5.0071942446043169E-2</v>
          </cell>
          <cell r="DQ41">
            <v>3.4684333593141076E-2</v>
          </cell>
          <cell r="DR41">
            <v>4.3649033892936333E-2</v>
          </cell>
          <cell r="DT41">
            <v>4.778453518679409E-2</v>
          </cell>
          <cell r="DU41">
            <v>4.8192771084337352E-2</v>
          </cell>
          <cell r="DV41">
            <v>4.8002299511353839E-2</v>
          </cell>
          <cell r="DW41">
            <v>3.5878014749850508E-2</v>
          </cell>
          <cell r="DX41">
            <v>4.3670926722753835E-2</v>
          </cell>
          <cell r="DZ41">
            <v>5.4694621695533276E-2</v>
          </cell>
          <cell r="EA41">
            <v>5.0378567268491554E-2</v>
          </cell>
          <cell r="EB41">
            <v>5.0487664945496273E-2</v>
          </cell>
          <cell r="EC41">
            <v>3.5820304769443895E-2</v>
          </cell>
          <cell r="ED41">
            <v>4.6067998961847913E-2</v>
          </cell>
          <cell r="EF41">
            <v>4.9859154929577466E-2</v>
          </cell>
          <cell r="EG41">
            <v>4.9706785814018432E-2</v>
          </cell>
          <cell r="EH41">
            <v>5.0496453900709219E-2</v>
          </cell>
          <cell r="EI41">
            <v>3.9843749999999997E-2</v>
          </cell>
          <cell r="EJ41">
            <v>4.6716531440162273E-2</v>
          </cell>
          <cell r="EK41" t="str">
            <v>% of Sales</v>
          </cell>
          <cell r="EL41">
            <v>4.861301840153804E-2</v>
          </cell>
          <cell r="EM41">
            <v>4.9130554788849021E-2</v>
          </cell>
          <cell r="EN41">
            <v>5.3105310531053107E-2</v>
          </cell>
          <cell r="EO41">
            <v>3.4270191202591158E-2</v>
          </cell>
          <cell r="EP41">
            <v>4.3680214381420279E-2</v>
          </cell>
          <cell r="ER41">
            <v>5.3288364249578418E-2</v>
          </cell>
          <cell r="ES41">
            <v>5.237698081734779E-2</v>
          </cell>
          <cell r="ET41">
            <v>5.3516819571865444E-2</v>
          </cell>
          <cell r="EU41">
            <v>3.493831204279943E-2</v>
          </cell>
          <cell r="EV41">
            <v>4.6903967371153134E-2</v>
          </cell>
          <cell r="EX41">
            <v>5.5564938355007601E-2</v>
          </cell>
          <cell r="EY41">
            <v>5.54989816700611E-2</v>
          </cell>
          <cell r="EZ41">
            <v>5.4351506942092787E-2</v>
          </cell>
          <cell r="FA41">
            <v>3.8049802187572722E-2</v>
          </cell>
          <cell r="FB41">
            <v>4.9557253068825295E-2</v>
          </cell>
          <cell r="FD41">
            <v>5.4811205846528627E-2</v>
          </cell>
          <cell r="FE41">
            <v>5.5089192025183628E-2</v>
          </cell>
          <cell r="FF41">
            <v>5.8255962133624613E-2</v>
          </cell>
          <cell r="FG41">
            <v>4.1341063776153264E-2</v>
          </cell>
          <cell r="FH41">
            <v>5.134179656114414E-2</v>
          </cell>
          <cell r="FJ41">
            <v>5.7299546142208772E-2</v>
          </cell>
          <cell r="FK41">
            <v>5.6953642384105961E-2</v>
          </cell>
          <cell r="FL41">
            <v>5.5896007428040857E-2</v>
          </cell>
          <cell r="FM41">
            <v>3.8427617487715761E-2</v>
          </cell>
          <cell r="FN41">
            <v>5.0638208830299229E-2</v>
          </cell>
          <cell r="FP41">
            <v>5.1489056332974521E-2</v>
          </cell>
          <cell r="FQ41">
            <v>5.2013725844320027E-2</v>
          </cell>
          <cell r="FR41">
            <v>5.1573892939711895E-2</v>
          </cell>
          <cell r="FS41">
            <v>3.4466078123110415E-2</v>
          </cell>
          <cell r="FT41">
            <v>4.5994480662320522E-2</v>
          </cell>
          <cell r="FV41">
            <v>4.5508575309899817E-2</v>
          </cell>
          <cell r="FW41">
            <v>4.512544199360162E-2</v>
          </cell>
          <cell r="FX41">
            <v>4.8180420297283442E-2</v>
          </cell>
          <cell r="FY41">
            <v>3.0605226960110043E-2</v>
          </cell>
          <cell r="FZ41">
            <v>4.1090702518462412E-2</v>
          </cell>
          <cell r="GB41">
            <v>4.1673449454663843E-2</v>
          </cell>
          <cell r="GC41">
            <v>4.2007191892775415E-2</v>
          </cell>
          <cell r="GD41">
            <v>4.5379616732146563E-2</v>
          </cell>
          <cell r="GE41">
            <v>2.8790370881885484E-2</v>
          </cell>
          <cell r="GF41">
            <v>3.8202403342907414E-2</v>
          </cell>
        </row>
        <row r="42">
          <cell r="A42" t="str">
            <v>EBITDA (FIFO)</v>
          </cell>
          <cell r="C42" t="str">
            <v xml:space="preserve">NM </v>
          </cell>
          <cell r="D42" t="str">
            <v xml:space="preserve">NM </v>
          </cell>
          <cell r="E42">
            <v>479.15800000000024</v>
          </cell>
          <cell r="F42">
            <v>513.08899999999983</v>
          </cell>
          <cell r="G42">
            <v>643.98800000000062</v>
          </cell>
          <cell r="H42">
            <v>718.55699999999911</v>
          </cell>
          <cell r="I42">
            <v>892.50999999999885</v>
          </cell>
          <cell r="J42">
            <v>0.20265241838785197</v>
          </cell>
          <cell r="K42">
            <v>1233.8709999999996</v>
          </cell>
          <cell r="L42">
            <v>1469.5959999999989</v>
          </cell>
          <cell r="N42">
            <v>1160</v>
          </cell>
          <cell r="O42">
            <v>1426</v>
          </cell>
          <cell r="P42">
            <v>1931</v>
          </cell>
          <cell r="Q42">
            <v>2079</v>
          </cell>
          <cell r="R42">
            <v>2358</v>
          </cell>
          <cell r="S42">
            <v>2422</v>
          </cell>
          <cell r="T42">
            <v>2065</v>
          </cell>
          <cell r="U42">
            <v>2091</v>
          </cell>
          <cell r="V42">
            <v>2110</v>
          </cell>
          <cell r="W42">
            <v>2236</v>
          </cell>
          <cell r="X42">
            <v>3116</v>
          </cell>
          <cell r="Y42">
            <v>3538</v>
          </cell>
          <cell r="Z42">
            <v>3386</v>
          </cell>
          <cell r="AA42">
            <v>2703</v>
          </cell>
          <cell r="AB42">
            <v>2664</v>
          </cell>
          <cell r="AC42">
            <v>3069</v>
          </cell>
          <cell r="AD42">
            <v>3471</v>
          </cell>
          <cell r="AE42">
            <v>3729.419936712914</v>
          </cell>
          <cell r="AF42">
            <v>3860.9694388964058</v>
          </cell>
          <cell r="AG42">
            <v>4007.6393206478215</v>
          </cell>
          <cell r="AH42">
            <v>4049.1623789016467</v>
          </cell>
          <cell r="AI42">
            <v>4060.1570567049512</v>
          </cell>
          <cell r="AJ42">
            <v>4130.5505427175704</v>
          </cell>
          <cell r="AK42">
            <v>4201.9458827447743</v>
          </cell>
          <cell r="AL42">
            <v>4274.3560745182449</v>
          </cell>
          <cell r="AN42" t="str">
            <v>EBITDA (FIFO)</v>
          </cell>
          <cell r="DH42">
            <v>444</v>
          </cell>
          <cell r="DI42">
            <v>576</v>
          </cell>
          <cell r="DJ42">
            <v>446</v>
          </cell>
          <cell r="DK42">
            <v>997</v>
          </cell>
          <cell r="DL42">
            <v>2422</v>
          </cell>
          <cell r="DN42">
            <v>399</v>
          </cell>
          <cell r="DO42">
            <v>422</v>
          </cell>
          <cell r="DP42">
            <v>330</v>
          </cell>
          <cell r="DQ42">
            <v>914</v>
          </cell>
          <cell r="DR42">
            <v>2065</v>
          </cell>
          <cell r="DT42">
            <v>386</v>
          </cell>
          <cell r="DU42">
            <v>468</v>
          </cell>
          <cell r="DV42">
            <v>355</v>
          </cell>
          <cell r="DW42">
            <v>882</v>
          </cell>
          <cell r="DX42">
            <v>2091</v>
          </cell>
          <cell r="DZ42">
            <v>334</v>
          </cell>
          <cell r="EA42">
            <v>447</v>
          </cell>
          <cell r="EB42">
            <v>378</v>
          </cell>
          <cell r="EC42">
            <v>951</v>
          </cell>
          <cell r="ED42">
            <v>2110</v>
          </cell>
          <cell r="EF42">
            <v>413</v>
          </cell>
          <cell r="EG42">
            <v>454</v>
          </cell>
          <cell r="EH42">
            <v>389</v>
          </cell>
          <cell r="EI42">
            <v>980</v>
          </cell>
          <cell r="EJ42">
            <v>2236</v>
          </cell>
          <cell r="EK42" t="str">
            <v>EBITDA (FIFO)</v>
          </cell>
          <cell r="EL42">
            <v>429</v>
          </cell>
          <cell r="EM42">
            <v>469</v>
          </cell>
          <cell r="EN42">
            <v>565</v>
          </cell>
          <cell r="EO42">
            <v>1653</v>
          </cell>
          <cell r="EP42">
            <v>3116</v>
          </cell>
          <cell r="ER42">
            <v>465</v>
          </cell>
          <cell r="ES42">
            <v>722</v>
          </cell>
          <cell r="ET42">
            <v>594</v>
          </cell>
          <cell r="EU42">
            <v>1757</v>
          </cell>
          <cell r="EV42">
            <v>3538</v>
          </cell>
          <cell r="EX42">
            <v>573</v>
          </cell>
          <cell r="EY42">
            <v>674</v>
          </cell>
          <cell r="EZ42">
            <v>521</v>
          </cell>
          <cell r="FA42">
            <v>1618</v>
          </cell>
          <cell r="FB42">
            <v>3386</v>
          </cell>
          <cell r="FD42">
            <v>455</v>
          </cell>
          <cell r="FE42">
            <v>650</v>
          </cell>
          <cell r="FF42">
            <v>404</v>
          </cell>
          <cell r="FG42">
            <v>1194</v>
          </cell>
          <cell r="FH42">
            <v>2703</v>
          </cell>
          <cell r="FJ42">
            <v>327</v>
          </cell>
          <cell r="FK42">
            <v>583</v>
          </cell>
          <cell r="FL42">
            <v>389</v>
          </cell>
          <cell r="FM42">
            <v>1365</v>
          </cell>
          <cell r="FN42">
            <v>2664</v>
          </cell>
          <cell r="FP42">
            <v>490</v>
          </cell>
          <cell r="FQ42">
            <v>658</v>
          </cell>
          <cell r="FR42">
            <v>467</v>
          </cell>
          <cell r="FS42">
            <v>1454</v>
          </cell>
          <cell r="FT42">
            <v>3069</v>
          </cell>
          <cell r="FV42">
            <v>598</v>
          </cell>
          <cell r="FW42">
            <v>774</v>
          </cell>
          <cell r="FX42">
            <v>573</v>
          </cell>
          <cell r="FY42">
            <v>1526</v>
          </cell>
          <cell r="FZ42">
            <v>3471</v>
          </cell>
          <cell r="GB42">
            <v>647</v>
          </cell>
          <cell r="GC42">
            <v>811</v>
          </cell>
          <cell r="GD42">
            <v>557.01504824879794</v>
          </cell>
          <cell r="GE42">
            <v>1714.4048884641161</v>
          </cell>
          <cell r="GF42">
            <v>3729.419936712914</v>
          </cell>
          <cell r="GS42" t="str">
            <v>mstag:tag013</v>
          </cell>
          <cell r="GT42">
            <v>6</v>
          </cell>
          <cell r="GU42" t="str">
            <v>ISO4217:USD</v>
          </cell>
          <cell r="GV42" t="b">
            <v>0</v>
          </cell>
          <cell r="GW42" t="b">
            <v>0</v>
          </cell>
        </row>
        <row r="43">
          <cell r="A43" t="str">
            <v>EBITDA Margin</v>
          </cell>
          <cell r="E43">
            <v>6.9119399081664284E-2</v>
          </cell>
          <cell r="F43">
            <v>7.4014006560282869E-2</v>
          </cell>
          <cell r="G43">
            <v>9.0959515058105789E-2</v>
          </cell>
          <cell r="H43">
            <v>9.9393643129186429E-2</v>
          </cell>
          <cell r="I43">
            <v>0.11579794529390085</v>
          </cell>
          <cell r="K43">
            <v>9.0053716746341619E-2</v>
          </cell>
          <cell r="L43">
            <v>0.10498588587511638</v>
          </cell>
          <cell r="N43">
            <v>7.9375940878609552E-2</v>
          </cell>
          <cell r="O43">
            <v>9.6136991842513314E-2</v>
          </cell>
          <cell r="P43">
            <v>0.12687253613666227</v>
          </cell>
          <cell r="Q43">
            <v>0.13530751708428246</v>
          </cell>
          <cell r="R43">
            <v>0.14710836608646827</v>
          </cell>
          <cell r="S43">
            <v>0.14557038105541531</v>
          </cell>
          <cell r="T43">
            <v>0.13082039911308205</v>
          </cell>
          <cell r="U43">
            <v>0.13428809967246805</v>
          </cell>
          <cell r="V43">
            <v>0.13690630677394239</v>
          </cell>
          <cell r="W43">
            <v>0.14173427991886409</v>
          </cell>
          <cell r="X43">
            <v>0.13916927199642698</v>
          </cell>
          <cell r="Y43">
            <v>0.13118279569892474</v>
          </cell>
          <cell r="Z43">
            <v>0.12868164025386691</v>
          </cell>
          <cell r="AA43">
            <v>0.10858910493331191</v>
          </cell>
          <cell r="AB43">
            <v>0.11148775894538607</v>
          </cell>
          <cell r="AC43">
            <v>0.1227452705675319</v>
          </cell>
          <cell r="AD43">
            <v>0.13145237644385532</v>
          </cell>
          <cell r="AE43">
            <v>0.13464669259900278</v>
          </cell>
          <cell r="AF43">
            <v>0.13614669259900275</v>
          </cell>
          <cell r="AG43">
            <v>0.13864669259900278</v>
          </cell>
          <cell r="AH43">
            <v>0.13864669259900272</v>
          </cell>
          <cell r="AI43">
            <v>0.13764669259900278</v>
          </cell>
          <cell r="AJ43">
            <v>0.13864669259900272</v>
          </cell>
          <cell r="AK43">
            <v>0.13964669259900278</v>
          </cell>
          <cell r="AL43">
            <v>0.14064669259900264</v>
          </cell>
          <cell r="AN43" t="str">
            <v>EBITDA Margin</v>
          </cell>
          <cell r="DH43">
            <v>0.12426532325776658</v>
          </cell>
          <cell r="DI43">
            <v>0.15656428377276435</v>
          </cell>
          <cell r="DJ43">
            <v>0.11792702273929138</v>
          </cell>
          <cell r="DK43">
            <v>0.17790863668807994</v>
          </cell>
          <cell r="DL43">
            <v>0.14557038105541531</v>
          </cell>
          <cell r="DN43">
            <v>0.11220472440944881</v>
          </cell>
          <cell r="DO43">
            <v>0.12098623853211009</v>
          </cell>
          <cell r="DP43">
            <v>9.4964028776978418E-2</v>
          </cell>
          <cell r="DQ43">
            <v>0.17809820732657833</v>
          </cell>
          <cell r="DR43">
            <v>0.13082039911308205</v>
          </cell>
          <cell r="DT43">
            <v>0.11178685201274255</v>
          </cell>
          <cell r="DU43">
            <v>0.13425129087779691</v>
          </cell>
          <cell r="DV43">
            <v>0.10204081632653061</v>
          </cell>
          <cell r="DW43">
            <v>0.17580227227426748</v>
          </cell>
          <cell r="DX43">
            <v>0.13428809967246805</v>
          </cell>
          <cell r="DZ43">
            <v>0.10148890914615619</v>
          </cell>
          <cell r="EA43">
            <v>0.13016889924286545</v>
          </cell>
          <cell r="EB43">
            <v>0.10843373493975904</v>
          </cell>
          <cell r="EC43">
            <v>0.18820502671680189</v>
          </cell>
          <cell r="ED43">
            <v>0.13690630677394239</v>
          </cell>
          <cell r="EF43">
            <v>0.11633802816901409</v>
          </cell>
          <cell r="EG43">
            <v>0.12678022898631666</v>
          </cell>
          <cell r="EH43">
            <v>0.11035460992907802</v>
          </cell>
          <cell r="EI43">
            <v>0.19140625</v>
          </cell>
          <cell r="EJ43">
            <v>0.14173427991886409</v>
          </cell>
          <cell r="EK43" t="str">
            <v>EBITDA Margin</v>
          </cell>
          <cell r="EL43">
            <v>0.11782477341389729</v>
          </cell>
          <cell r="EM43">
            <v>0.12945073143803479</v>
          </cell>
          <cell r="EN43">
            <v>0.10171017101710171</v>
          </cell>
          <cell r="EO43">
            <v>0.17270922578622924</v>
          </cell>
          <cell r="EP43">
            <v>0.13916927199642698</v>
          </cell>
          <cell r="ER43">
            <v>7.8414839797639121E-2</v>
          </cell>
          <cell r="ES43">
            <v>0.12043369474562135</v>
          </cell>
          <cell r="ET43">
            <v>0.10091743119266056</v>
          </cell>
          <cell r="EU43">
            <v>0.19183316955999563</v>
          </cell>
          <cell r="EV43">
            <v>0.13118279569892474</v>
          </cell>
          <cell r="EX43">
            <v>9.6774193548387094E-2</v>
          </cell>
          <cell r="EY43">
            <v>0.11439239646978955</v>
          </cell>
          <cell r="EZ43">
            <v>8.8215374195733151E-2</v>
          </cell>
          <cell r="FA43">
            <v>0.18827088666511518</v>
          </cell>
          <cell r="FB43">
            <v>0.12868164025386691</v>
          </cell>
          <cell r="FD43">
            <v>7.9171741778319121E-2</v>
          </cell>
          <cell r="FE43">
            <v>0.1136761105281567</v>
          </cell>
          <cell r="FF43">
            <v>7.3548152193701075E-2</v>
          </cell>
          <cell r="FG43">
            <v>0.15049155533148476</v>
          </cell>
          <cell r="FH43">
            <v>0.10858910493331191</v>
          </cell>
          <cell r="FJ43">
            <v>6.1838124054462935E-2</v>
          </cell>
          <cell r="FK43">
            <v>0.11031220435193945</v>
          </cell>
          <cell r="FL43">
            <v>7.2237697307335189E-2</v>
          </cell>
          <cell r="FM43">
            <v>0.17197933728108858</v>
          </cell>
          <cell r="FN43">
            <v>0.11148775894538607</v>
          </cell>
          <cell r="FP43">
            <v>8.7908144958737E-2</v>
          </cell>
          <cell r="FQ43">
            <v>0.11883691529709228</v>
          </cell>
          <cell r="FR43">
            <v>8.3051751733949852E-2</v>
          </cell>
          <cell r="FS43">
            <v>0.17583746523158786</v>
          </cell>
          <cell r="FT43">
            <v>0.1227452705675319</v>
          </cell>
          <cell r="FV43">
            <v>0.10154525386313466</v>
          </cell>
          <cell r="FW43">
            <v>0.13032497053375988</v>
          </cell>
          <cell r="FX43">
            <v>9.7898513582778068E-2</v>
          </cell>
          <cell r="FY43">
            <v>0.17491976157725814</v>
          </cell>
          <cell r="FZ43">
            <v>0.13145237644385532</v>
          </cell>
          <cell r="GB43">
            <v>0.10532313202018558</v>
          </cell>
          <cell r="GC43">
            <v>0.13255966001961425</v>
          </cell>
          <cell r="GD43">
            <v>9.1769984292360302E-2</v>
          </cell>
          <cell r="GE43">
            <v>0.18302341955100002</v>
          </cell>
          <cell r="GF43">
            <v>0.13464669259900278</v>
          </cell>
        </row>
        <row r="44">
          <cell r="A44" t="str">
            <v>EBITDA (FIFO)/Share</v>
          </cell>
          <cell r="C44" t="str">
            <v xml:space="preserve">NM </v>
          </cell>
          <cell r="D44" t="str">
            <v xml:space="preserve">NM </v>
          </cell>
          <cell r="E44" t="str">
            <v xml:space="preserve">NM </v>
          </cell>
          <cell r="F44">
            <v>4.6078940278401426</v>
          </cell>
          <cell r="G44">
            <v>5.783457566232606</v>
          </cell>
          <cell r="H44">
            <v>5.8796370345149693</v>
          </cell>
          <cell r="I44">
            <v>6.8511292093559586</v>
          </cell>
          <cell r="K44">
            <v>6.7720691547749707</v>
          </cell>
          <cell r="L44">
            <v>8.0326861690497999</v>
          </cell>
          <cell r="N44">
            <v>2.9999586212603964</v>
          </cell>
          <cell r="O44">
            <v>3.2059352517985609</v>
          </cell>
          <cell r="P44">
            <v>4.2507946850757703</v>
          </cell>
          <cell r="Q44">
            <v>4.6015936254980074</v>
          </cell>
          <cell r="R44">
            <v>5.3688524590163933</v>
          </cell>
          <cell r="S44">
            <v>5.853776435045317</v>
          </cell>
          <cell r="T44">
            <v>5.1728456913827658</v>
          </cell>
          <cell r="U44">
            <v>5.2610391244181658</v>
          </cell>
          <cell r="V44">
            <v>5.6538049303322619</v>
          </cell>
          <cell r="W44">
            <v>6.2738496071829406</v>
          </cell>
          <cell r="X44">
            <v>7.1698113207547163</v>
          </cell>
          <cell r="Y44">
            <v>6.4597407339784549</v>
          </cell>
          <cell r="Z44">
            <v>7.4952960708356384</v>
          </cell>
          <cell r="AA44">
            <v>6.4139526606157684</v>
          </cell>
          <cell r="AB44">
            <v>6.3075648159109736</v>
          </cell>
          <cell r="AC44">
            <v>7.1521789792589132</v>
          </cell>
          <cell r="AD44">
            <v>8.0645910780669148</v>
          </cell>
          <cell r="AE44">
            <v>9.0707260857902199</v>
          </cell>
          <cell r="AF44">
            <v>10.333338237135949</v>
          </cell>
          <cell r="AG44">
            <v>11.879397477669373</v>
          </cell>
          <cell r="AH44">
            <v>13.066425230947521</v>
          </cell>
          <cell r="AI44">
            <v>13.737307488158827</v>
          </cell>
          <cell r="AJ44">
            <v>14.540893858632437</v>
          </cell>
          <cell r="AK44">
            <v>15.861777390263473</v>
          </cell>
          <cell r="AL44">
            <v>17.501817914319677</v>
          </cell>
          <cell r="AN44" t="str">
            <v>EBITDA (FIFO)/Share</v>
          </cell>
          <cell r="DH44">
            <v>1.0263522884882108</v>
          </cell>
          <cell r="DI44">
            <v>1.3812949640287771</v>
          </cell>
          <cell r="DJ44">
            <v>1.1089010442565888</v>
          </cell>
          <cell r="DK44">
            <v>2.472718253968254</v>
          </cell>
          <cell r="DL44">
            <v>5.853776435045317</v>
          </cell>
          <cell r="DN44">
            <v>0.97746202841744245</v>
          </cell>
          <cell r="DO44">
            <v>1.0571142284569139</v>
          </cell>
          <cell r="DP44">
            <v>0.84789311408016443</v>
          </cell>
          <cell r="DQ44">
            <v>2.2838580709645178</v>
          </cell>
          <cell r="DR44">
            <v>5.1728456913827658</v>
          </cell>
          <cell r="DT44">
            <v>0.94607843137254899</v>
          </cell>
          <cell r="DU44">
            <v>1.1498771498771498</v>
          </cell>
          <cell r="DV44">
            <v>0.9060745278203165</v>
          </cell>
          <cell r="DW44">
            <v>2.3028720626631856</v>
          </cell>
          <cell r="DX44">
            <v>5.2610391244181658</v>
          </cell>
          <cell r="DZ44">
            <v>0.8812664907651715</v>
          </cell>
          <cell r="EA44">
            <v>1.1939102564102564</v>
          </cell>
          <cell r="EB44">
            <v>1.0177705977382876</v>
          </cell>
          <cell r="EC44">
            <v>2.5856443719412723</v>
          </cell>
          <cell r="ED44">
            <v>5.6538049303322619</v>
          </cell>
          <cell r="EF44">
            <v>1.1210640608034745</v>
          </cell>
          <cell r="EG44">
            <v>1.2472527472527473</v>
          </cell>
          <cell r="EH44">
            <v>1.1152522935779816</v>
          </cell>
          <cell r="EI44">
            <v>2.8422273781902549</v>
          </cell>
          <cell r="EJ44">
            <v>6.2738496071829406</v>
          </cell>
          <cell r="EK44" t="str">
            <v>EBITDA (FIFO)/Share</v>
          </cell>
          <cell r="EL44">
            <v>1.2413194444444444</v>
          </cell>
          <cell r="EM44">
            <v>1.3346613545816735</v>
          </cell>
          <cell r="EN44">
            <v>1.1604025467241734</v>
          </cell>
          <cell r="EO44">
            <v>2.9826777336701551</v>
          </cell>
          <cell r="EP44">
            <v>7.1698113207547163</v>
          </cell>
          <cell r="ER44">
            <v>0.83333333333333337</v>
          </cell>
          <cell r="ES44">
            <v>1.2911301859799713</v>
          </cell>
          <cell r="ET44">
            <v>1.0801963993453356</v>
          </cell>
          <cell r="EU44">
            <v>3.354974221882757</v>
          </cell>
          <cell r="EV44">
            <v>6.4597407339784549</v>
          </cell>
          <cell r="EX44">
            <v>1.2027707808564232</v>
          </cell>
          <cell r="EY44">
            <v>1.472258628221931</v>
          </cell>
          <cell r="EZ44">
            <v>1.1892262040629993</v>
          </cell>
          <cell r="FA44">
            <v>3.72210720036807</v>
          </cell>
          <cell r="FB44">
            <v>7.4952960708356384</v>
          </cell>
          <cell r="FD44">
            <v>1.0810168686148729</v>
          </cell>
          <cell r="FE44">
            <v>1.5399194503672116</v>
          </cell>
          <cell r="FF44">
            <v>0.95893662473296937</v>
          </cell>
          <cell r="FG44">
            <v>2.8334124347413385</v>
          </cell>
          <cell r="FH44">
            <v>6.4139526606157684</v>
          </cell>
          <cell r="FJ44">
            <v>0.77598481252966311</v>
          </cell>
          <cell r="FK44">
            <v>1.3811892916370527</v>
          </cell>
          <cell r="FL44">
            <v>0.92223802750118533</v>
          </cell>
          <cell r="FM44">
            <v>3.2185805234614477</v>
          </cell>
          <cell r="FN44">
            <v>6.3075648159109736</v>
          </cell>
          <cell r="FP44">
            <v>1.1496949788831534</v>
          </cell>
          <cell r="FQ44">
            <v>1.5427901524032825</v>
          </cell>
          <cell r="FR44">
            <v>1.0921421889616463</v>
          </cell>
          <cell r="FS44">
            <v>3.3892773892773893</v>
          </cell>
          <cell r="FT44">
            <v>7.1521789792589132</v>
          </cell>
          <cell r="FV44">
            <v>1.3906976744186046</v>
          </cell>
          <cell r="FW44">
            <v>1.7809479981592269</v>
          </cell>
          <cell r="FX44">
            <v>1.3270032422417786</v>
          </cell>
          <cell r="FY44">
            <v>3.5712614088462438</v>
          </cell>
          <cell r="FZ44">
            <v>8.0645910780669148</v>
          </cell>
          <cell r="GB44">
            <v>1.5270238376209582</v>
          </cell>
          <cell r="GC44">
            <v>1.9443778470390793</v>
          </cell>
          <cell r="GD44">
            <v>1.3711050832677567</v>
          </cell>
          <cell r="GE44">
            <v>4.3124978754051018</v>
          </cell>
          <cell r="GF44">
            <v>9.0707260857902199</v>
          </cell>
        </row>
        <row r="46">
          <cell r="A46" t="str">
            <v>Pre-Tax Extraordinary Charges/(FYins)</v>
          </cell>
          <cell r="N46">
            <v>0</v>
          </cell>
          <cell r="O46">
            <v>0</v>
          </cell>
          <cell r="P46">
            <v>64.977391304347833</v>
          </cell>
          <cell r="Q46">
            <v>39.049635036496348</v>
          </cell>
          <cell r="R46">
            <v>0</v>
          </cell>
          <cell r="S46">
            <v>80</v>
          </cell>
          <cell r="T46">
            <v>194.65822784810126</v>
          </cell>
          <cell r="U46">
            <v>68</v>
          </cell>
          <cell r="V46">
            <v>-3.8885496183206101</v>
          </cell>
          <cell r="W46">
            <v>158</v>
          </cell>
          <cell r="X46">
            <v>-454.87025227165736</v>
          </cell>
          <cell r="Y46">
            <v>238.49507674485955</v>
          </cell>
          <cell r="Z46">
            <v>95.101083032490976</v>
          </cell>
          <cell r="AA46">
            <v>4548.1295336787571</v>
          </cell>
          <cell r="AB46">
            <v>391</v>
          </cell>
          <cell r="AC46">
            <v>89.519480519480524</v>
          </cell>
          <cell r="AD46">
            <v>-25</v>
          </cell>
          <cell r="AE46">
            <v>0</v>
          </cell>
          <cell r="AF46">
            <v>0</v>
          </cell>
          <cell r="AG46">
            <v>0</v>
          </cell>
          <cell r="AH46">
            <v>0</v>
          </cell>
          <cell r="AI46">
            <v>0</v>
          </cell>
          <cell r="AJ46">
            <v>0</v>
          </cell>
          <cell r="AK46">
            <v>0</v>
          </cell>
          <cell r="AL46">
            <v>0</v>
          </cell>
          <cell r="AN46" t="str">
            <v>Pre-Tax Extraordinary Charges/(FYins)</v>
          </cell>
          <cell r="FY46">
            <v>1151</v>
          </cell>
          <cell r="GS46" t="str">
            <v>mstag:incomeLossFromExtraordinaryItemsPretax</v>
          </cell>
          <cell r="GT46">
            <v>6</v>
          </cell>
          <cell r="GU46" t="str">
            <v>ISO4217:USD</v>
          </cell>
          <cell r="GV46" t="b">
            <v>1</v>
          </cell>
          <cell r="GW46" t="b">
            <v>0</v>
          </cell>
        </row>
        <row r="47">
          <cell r="A47" t="str">
            <v>Taxes (Benefit) on Extraordinary Charges</v>
          </cell>
          <cell r="N47">
            <v>0</v>
          </cell>
          <cell r="O47">
            <v>0</v>
          </cell>
          <cell r="P47">
            <v>-25.97739130434783</v>
          </cell>
          <cell r="Q47">
            <v>-16.049635036496348</v>
          </cell>
          <cell r="R47">
            <v>0</v>
          </cell>
          <cell r="S47">
            <v>0</v>
          </cell>
          <cell r="T47">
            <v>30.341772151898731</v>
          </cell>
          <cell r="U47">
            <v>0</v>
          </cell>
          <cell r="V47">
            <v>24.888549618320614</v>
          </cell>
          <cell r="W47">
            <v>0</v>
          </cell>
          <cell r="X47">
            <v>56.870252271657364</v>
          </cell>
          <cell r="Y47">
            <v>73.879923255140454</v>
          </cell>
          <cell r="Z47">
            <v>45.898916967509031</v>
          </cell>
          <cell r="AA47">
            <v>1254.8704663212436</v>
          </cell>
          <cell r="AB47">
            <v>0</v>
          </cell>
          <cell r="AC47">
            <v>-23.119480519480522</v>
          </cell>
          <cell r="AD47">
            <v>0</v>
          </cell>
          <cell r="AE47">
            <v>0</v>
          </cell>
          <cell r="AF47">
            <v>0</v>
          </cell>
          <cell r="AG47">
            <v>0</v>
          </cell>
          <cell r="AH47">
            <v>0</v>
          </cell>
          <cell r="AI47">
            <v>0</v>
          </cell>
          <cell r="AJ47">
            <v>0</v>
          </cell>
          <cell r="AK47">
            <v>0</v>
          </cell>
          <cell r="AL47">
            <v>0</v>
          </cell>
          <cell r="AN47" t="str">
            <v>Taxes (Benefit) on Extraordinary Charges</v>
          </cell>
          <cell r="FY47">
            <v>0.6329278887923544</v>
          </cell>
          <cell r="GS47" t="str">
            <v>mstag:taxOnIncomeLossFromExtraordinaryItems</v>
          </cell>
          <cell r="GT47">
            <v>6</v>
          </cell>
          <cell r="GU47" t="str">
            <v>ISO4217:USD</v>
          </cell>
          <cell r="GV47" t="b">
            <v>0</v>
          </cell>
        </row>
        <row r="48">
          <cell r="A48" t="str">
            <v>Post-Tax Extraordinary Charges/(FYins)</v>
          </cell>
          <cell r="N48">
            <v>0</v>
          </cell>
          <cell r="O48">
            <v>0</v>
          </cell>
          <cell r="P48">
            <v>39</v>
          </cell>
          <cell r="Q48">
            <v>23</v>
          </cell>
          <cell r="R48">
            <v>0</v>
          </cell>
          <cell r="S48">
            <v>80</v>
          </cell>
          <cell r="T48">
            <v>225</v>
          </cell>
          <cell r="U48">
            <v>68</v>
          </cell>
          <cell r="V48">
            <v>21.000000000000004</v>
          </cell>
          <cell r="W48">
            <v>158</v>
          </cell>
          <cell r="X48">
            <v>-398</v>
          </cell>
          <cell r="Y48">
            <v>312.375</v>
          </cell>
          <cell r="Z48">
            <v>141</v>
          </cell>
          <cell r="AA48">
            <v>5803.0000000000009</v>
          </cell>
          <cell r="AB48">
            <v>391</v>
          </cell>
          <cell r="AC48">
            <v>66.400000000000006</v>
          </cell>
          <cell r="AD48">
            <v>-25</v>
          </cell>
          <cell r="AE48">
            <v>0</v>
          </cell>
          <cell r="AF48">
            <v>0</v>
          </cell>
          <cell r="AG48">
            <v>0</v>
          </cell>
          <cell r="AH48">
            <v>0</v>
          </cell>
          <cell r="AI48">
            <v>0</v>
          </cell>
          <cell r="AJ48">
            <v>0</v>
          </cell>
          <cell r="AK48">
            <v>0</v>
          </cell>
          <cell r="AL48">
            <v>0</v>
          </cell>
          <cell r="AN48" t="str">
            <v>Post-Tax Extraordinary Charges/(FYins)</v>
          </cell>
        </row>
        <row r="50">
          <cell r="A50" t="str">
            <v>Extraordinary Charges (FYins)</v>
          </cell>
          <cell r="AN50" t="str">
            <v>Extraordinary Charges (FYins)</v>
          </cell>
          <cell r="FD50">
            <v>110</v>
          </cell>
          <cell r="FE50">
            <v>76</v>
          </cell>
          <cell r="FF50">
            <v>16</v>
          </cell>
          <cell r="FG50">
            <v>219</v>
          </cell>
          <cell r="FH50">
            <v>421</v>
          </cell>
          <cell r="FJ50">
            <v>138</v>
          </cell>
          <cell r="FK50">
            <v>34</v>
          </cell>
          <cell r="FL50">
            <v>33</v>
          </cell>
          <cell r="FM50">
            <v>186</v>
          </cell>
          <cell r="FN50">
            <v>391</v>
          </cell>
          <cell r="FP50">
            <v>0</v>
          </cell>
          <cell r="FQ50">
            <v>0</v>
          </cell>
          <cell r="FR50">
            <v>0</v>
          </cell>
          <cell r="FS50">
            <v>25</v>
          </cell>
          <cell r="FT50">
            <v>25</v>
          </cell>
          <cell r="FV50">
            <v>0</v>
          </cell>
          <cell r="FW50">
            <v>0</v>
          </cell>
          <cell r="FX50">
            <v>0</v>
          </cell>
          <cell r="FY50">
            <v>-25</v>
          </cell>
          <cell r="FZ50">
            <v>-25</v>
          </cell>
          <cell r="GB50">
            <v>0</v>
          </cell>
          <cell r="GC50">
            <v>0</v>
          </cell>
          <cell r="GD50">
            <v>0</v>
          </cell>
          <cell r="GE50">
            <v>0</v>
          </cell>
          <cell r="GF50">
            <v>0</v>
          </cell>
        </row>
        <row r="51">
          <cell r="A51" t="str">
            <v>Taxes on Extraordinary Charges (FYins)</v>
          </cell>
          <cell r="AN51" t="str">
            <v>Taxes on Extraordinary Charges (FYins)</v>
          </cell>
          <cell r="FD51">
            <v>41</v>
          </cell>
          <cell r="FE51">
            <v>28</v>
          </cell>
          <cell r="FF51">
            <v>6</v>
          </cell>
          <cell r="FG51">
            <v>81</v>
          </cell>
          <cell r="FH51">
            <v>156</v>
          </cell>
          <cell r="FJ51">
            <v>118</v>
          </cell>
          <cell r="FK51">
            <v>-43</v>
          </cell>
          <cell r="FL51">
            <v>10</v>
          </cell>
          <cell r="FM51">
            <v>59</v>
          </cell>
          <cell r="FN51">
            <v>144</v>
          </cell>
          <cell r="FP51">
            <v>0</v>
          </cell>
          <cell r="FQ51">
            <v>0</v>
          </cell>
          <cell r="FR51">
            <v>0</v>
          </cell>
          <cell r="FS51">
            <v>0</v>
          </cell>
          <cell r="FT51">
            <v>0</v>
          </cell>
          <cell r="FV51">
            <v>0</v>
          </cell>
          <cell r="FW51">
            <v>0</v>
          </cell>
          <cell r="FX51">
            <v>0</v>
          </cell>
          <cell r="FY51">
            <v>0</v>
          </cell>
          <cell r="FZ51">
            <v>0</v>
          </cell>
          <cell r="GB51">
            <v>0</v>
          </cell>
          <cell r="GC51">
            <v>0</v>
          </cell>
          <cell r="GD51">
            <v>0</v>
          </cell>
          <cell r="GE51">
            <v>0</v>
          </cell>
          <cell r="GF51">
            <v>0</v>
          </cell>
        </row>
        <row r="52">
          <cell r="A52" t="str">
            <v>Tax Rate on Extraordinary Charges (FYins)</v>
          </cell>
          <cell r="AN52" t="str">
            <v>Tax Rate on Extraordinary Charges (FYins)</v>
          </cell>
          <cell r="FD52">
            <v>0.37272727272727274</v>
          </cell>
          <cell r="FE52">
            <v>0.36842105263157893</v>
          </cell>
          <cell r="FF52">
            <v>0.375</v>
          </cell>
          <cell r="FG52">
            <v>0.36986301369863012</v>
          </cell>
          <cell r="FH52">
            <v>0.37054631828978624</v>
          </cell>
          <cell r="FJ52">
            <v>0.85507246376811596</v>
          </cell>
          <cell r="FK52">
            <v>-1.2647058823529411</v>
          </cell>
          <cell r="FL52">
            <v>0.30303030303030304</v>
          </cell>
          <cell r="FM52">
            <v>0.31720430107526881</v>
          </cell>
          <cell r="FN52">
            <v>0.36828644501278773</v>
          </cell>
          <cell r="FP52" t="str">
            <v>NM</v>
          </cell>
          <cell r="FQ52" t="str">
            <v>NM</v>
          </cell>
          <cell r="FR52" t="str">
            <v>NM</v>
          </cell>
          <cell r="FS52" t="str">
            <v>NM</v>
          </cell>
          <cell r="FT52" t="str">
            <v>NM</v>
          </cell>
          <cell r="FV52" t="str">
            <v>NM</v>
          </cell>
          <cell r="FW52" t="str">
            <v>NM</v>
          </cell>
          <cell r="FX52" t="str">
            <v>NM</v>
          </cell>
          <cell r="FY52" t="str">
            <v>NM</v>
          </cell>
          <cell r="FZ52" t="str">
            <v>NM</v>
          </cell>
          <cell r="GB52" t="str">
            <v>NM</v>
          </cell>
          <cell r="GC52" t="str">
            <v>NM</v>
          </cell>
          <cell r="GD52">
            <v>0.37</v>
          </cell>
          <cell r="GE52">
            <v>0.37</v>
          </cell>
          <cell r="GF52">
            <v>0.37</v>
          </cell>
        </row>
        <row r="54">
          <cell r="A54" t="str">
            <v>Continuing Pre-Tax Income</v>
          </cell>
          <cell r="FD54">
            <v>4</v>
          </cell>
          <cell r="FE54">
            <v>197</v>
          </cell>
          <cell r="FF54">
            <v>-59</v>
          </cell>
          <cell r="FG54">
            <v>723</v>
          </cell>
          <cell r="FH54">
            <v>865</v>
          </cell>
          <cell r="FJ54">
            <v>-117</v>
          </cell>
          <cell r="FK54">
            <v>143</v>
          </cell>
          <cell r="FL54">
            <v>-49</v>
          </cell>
          <cell r="FM54">
            <v>921</v>
          </cell>
          <cell r="FN54">
            <v>898</v>
          </cell>
          <cell r="FP54">
            <v>41</v>
          </cell>
          <cell r="FQ54">
            <v>240</v>
          </cell>
          <cell r="FR54">
            <v>13</v>
          </cell>
          <cell r="FS54">
            <v>1051</v>
          </cell>
          <cell r="FT54">
            <v>1345</v>
          </cell>
          <cell r="FV54">
            <v>214</v>
          </cell>
          <cell r="FW54">
            <v>395</v>
          </cell>
          <cell r="FX54">
            <v>183</v>
          </cell>
          <cell r="FY54">
            <v>1151</v>
          </cell>
          <cell r="FZ54">
            <v>1943</v>
          </cell>
          <cell r="GB54">
            <v>279</v>
          </cell>
          <cell r="GC54">
            <v>449</v>
          </cell>
          <cell r="GD54">
            <v>174.65499452664795</v>
          </cell>
          <cell r="GE54">
            <v>1330.6989484464721</v>
          </cell>
          <cell r="GF54">
            <v>2233.35394297312</v>
          </cell>
        </row>
        <row r="55">
          <cell r="A55" t="str">
            <v>Continuing Taxes</v>
          </cell>
          <cell r="FD55">
            <v>-6</v>
          </cell>
          <cell r="FE55">
            <v>76</v>
          </cell>
          <cell r="FF55">
            <v>-25</v>
          </cell>
          <cell r="FG55">
            <v>275</v>
          </cell>
          <cell r="FH55">
            <v>320</v>
          </cell>
          <cell r="FJ55">
            <v>-49</v>
          </cell>
          <cell r="FK55">
            <v>59</v>
          </cell>
          <cell r="FL55">
            <v>-37</v>
          </cell>
          <cell r="FM55">
            <v>349</v>
          </cell>
          <cell r="FN55">
            <v>322</v>
          </cell>
          <cell r="FP55">
            <v>18</v>
          </cell>
          <cell r="FQ55">
            <v>93</v>
          </cell>
          <cell r="FR55">
            <v>3</v>
          </cell>
          <cell r="FS55">
            <v>368</v>
          </cell>
          <cell r="FT55">
            <v>482</v>
          </cell>
          <cell r="FV55">
            <v>83</v>
          </cell>
          <cell r="FW55">
            <v>154</v>
          </cell>
          <cell r="FX55">
            <v>44</v>
          </cell>
          <cell r="FY55">
            <v>422.5</v>
          </cell>
          <cell r="FZ55">
            <v>703.5</v>
          </cell>
          <cell r="GB55">
            <v>98</v>
          </cell>
          <cell r="GC55">
            <v>170</v>
          </cell>
          <cell r="GD55">
            <v>64.622347974859736</v>
          </cell>
          <cell r="GE55">
            <v>492.35861092519468</v>
          </cell>
          <cell r="GF55">
            <v>824.98095890005447</v>
          </cell>
        </row>
        <row r="56">
          <cell r="A56" t="str">
            <v>Tax Rate on Continuing Operations</v>
          </cell>
          <cell r="N56">
            <v>0.62871287128712872</v>
          </cell>
          <cell r="O56">
            <v>0.3968253968253968</v>
          </cell>
          <cell r="P56">
            <v>0.39979123173277664</v>
          </cell>
          <cell r="Q56">
            <v>0.411006018916595</v>
          </cell>
          <cell r="R56">
            <v>0.40476190476190477</v>
          </cell>
          <cell r="S56">
            <v>0.40072992700729926</v>
          </cell>
          <cell r="T56">
            <v>0.3923076923076923</v>
          </cell>
          <cell r="U56">
            <v>0.39122137404580154</v>
          </cell>
          <cell r="V56">
            <v>0.39575645756457567</v>
          </cell>
          <cell r="W56">
            <v>0.38261648745519711</v>
          </cell>
          <cell r="X56">
            <v>0.37446604203916711</v>
          </cell>
          <cell r="Y56">
            <v>0.37218181818181817</v>
          </cell>
          <cell r="Z56">
            <v>0.37045454545454548</v>
          </cell>
          <cell r="AA56">
            <v>0.36994219653179189</v>
          </cell>
          <cell r="AB56">
            <v>0.35857461024498888</v>
          </cell>
          <cell r="AC56">
            <v>0.35836431226765797</v>
          </cell>
          <cell r="AD56">
            <v>0.36206896551724138</v>
          </cell>
          <cell r="AE56">
            <v>0.37</v>
          </cell>
          <cell r="AF56">
            <v>0.37</v>
          </cell>
          <cell r="AG56">
            <v>0.37</v>
          </cell>
          <cell r="AH56">
            <v>0.37</v>
          </cell>
          <cell r="AI56">
            <v>0.37</v>
          </cell>
          <cell r="AJ56">
            <v>0.37</v>
          </cell>
          <cell r="AK56">
            <v>0.37</v>
          </cell>
          <cell r="AL56">
            <v>0.37</v>
          </cell>
          <cell r="FE56">
            <v>0.38578680203045684</v>
          </cell>
          <cell r="FF56">
            <v>0.42372881355932202</v>
          </cell>
          <cell r="FG56">
            <v>0.38035961272475793</v>
          </cell>
          <cell r="FH56">
            <v>0.36994219653179189</v>
          </cell>
          <cell r="FJ56">
            <v>0.41880341880341881</v>
          </cell>
          <cell r="FK56">
            <v>0.41258741258741261</v>
          </cell>
          <cell r="FL56">
            <v>0.75510204081632648</v>
          </cell>
          <cell r="FM56">
            <v>0.37893593919652552</v>
          </cell>
          <cell r="FN56">
            <v>0.35857461024498888</v>
          </cell>
          <cell r="FP56">
            <v>0.43902439024390244</v>
          </cell>
          <cell r="FQ56">
            <v>0.38750000000000001</v>
          </cell>
          <cell r="FR56">
            <v>0.23076923076923078</v>
          </cell>
          <cell r="FS56">
            <v>0.35014272121788775</v>
          </cell>
          <cell r="FT56">
            <v>0.35836431226765797</v>
          </cell>
          <cell r="FV56">
            <v>0.38785046728971961</v>
          </cell>
          <cell r="FW56">
            <v>0.38987341772151901</v>
          </cell>
          <cell r="FX56">
            <v>0.24043715846994534</v>
          </cell>
          <cell r="FY56">
            <v>0.36707211120764555</v>
          </cell>
          <cell r="FZ56">
            <v>0.36206896551724138</v>
          </cell>
          <cell r="GB56">
            <v>0.35125448028673834</v>
          </cell>
          <cell r="GC56">
            <v>0.37861915367483295</v>
          </cell>
          <cell r="GD56">
            <v>0.37</v>
          </cell>
          <cell r="GE56">
            <v>0.37</v>
          </cell>
          <cell r="GF56">
            <v>0.36939105039562631</v>
          </cell>
          <cell r="GS56" t="str">
            <v>mstag:statutoryTaxRate</v>
          </cell>
          <cell r="GT56">
            <v>0</v>
          </cell>
          <cell r="GU56" t="str">
            <v>ms_eqr_gcim_Decimal:ms_eqr_gcim_decimal</v>
          </cell>
          <cell r="GV56" t="b">
            <v>0</v>
          </cell>
        </row>
        <row r="58">
          <cell r="A58" t="str">
            <v>Total Tax Expense</v>
          </cell>
          <cell r="FD58">
            <v>-47</v>
          </cell>
          <cell r="FE58">
            <v>48</v>
          </cell>
          <cell r="FF58">
            <v>-31</v>
          </cell>
          <cell r="FG58">
            <v>-105</v>
          </cell>
          <cell r="FH58">
            <v>-135</v>
          </cell>
          <cell r="FJ58">
            <v>-167</v>
          </cell>
          <cell r="FK58">
            <v>102</v>
          </cell>
          <cell r="FL58">
            <v>-47</v>
          </cell>
          <cell r="FM58">
            <v>290</v>
          </cell>
          <cell r="FN58">
            <v>178</v>
          </cell>
          <cell r="FP58">
            <v>18</v>
          </cell>
          <cell r="FQ58">
            <v>93</v>
          </cell>
          <cell r="FR58">
            <v>3</v>
          </cell>
          <cell r="FS58">
            <v>359</v>
          </cell>
          <cell r="FT58">
            <v>473</v>
          </cell>
          <cell r="FV58">
            <v>83</v>
          </cell>
          <cell r="FW58">
            <v>154</v>
          </cell>
          <cell r="FX58">
            <v>44</v>
          </cell>
          <cell r="FY58">
            <v>431</v>
          </cell>
          <cell r="FZ58">
            <v>712</v>
          </cell>
          <cell r="GB58">
            <v>98</v>
          </cell>
          <cell r="GC58">
            <v>170</v>
          </cell>
          <cell r="GD58">
            <v>64.622347974859736</v>
          </cell>
          <cell r="GE58">
            <v>492.35861092519468</v>
          </cell>
          <cell r="GF58">
            <v>824.98095890005447</v>
          </cell>
        </row>
        <row r="59">
          <cell r="A59" t="str">
            <v>Tax Rate</v>
          </cell>
          <cell r="FD59">
            <v>0.44339622641509435</v>
          </cell>
          <cell r="FE59">
            <v>0.39669421487603307</v>
          </cell>
          <cell r="FF59">
            <v>0.41333333333333333</v>
          </cell>
          <cell r="FG59">
            <v>-0.20833333333333334</v>
          </cell>
          <cell r="FH59">
            <v>-0.30405405405405406</v>
          </cell>
          <cell r="FJ59">
            <v>0.65490196078431373</v>
          </cell>
          <cell r="FK59">
            <v>0.93577981651376152</v>
          </cell>
          <cell r="FL59">
            <v>0.57317073170731703</v>
          </cell>
          <cell r="FM59">
            <v>0.39455782312925169</v>
          </cell>
          <cell r="FN59">
            <v>0.35108481262327418</v>
          </cell>
          <cell r="FP59">
            <v>0.43902439024390244</v>
          </cell>
          <cell r="FQ59">
            <v>0.38750000000000001</v>
          </cell>
          <cell r="FR59">
            <v>0.23076923076923078</v>
          </cell>
          <cell r="FS59">
            <v>0.34990253411306044</v>
          </cell>
          <cell r="FT59">
            <v>0.35833333333333334</v>
          </cell>
          <cell r="FV59">
            <v>0.38785046728971961</v>
          </cell>
          <cell r="FW59">
            <v>0.38987341772151901</v>
          </cell>
          <cell r="FX59">
            <v>0.24043715846994534</v>
          </cell>
          <cell r="FY59">
            <v>0.36649659863945577</v>
          </cell>
          <cell r="FZ59">
            <v>0.36178861788617889</v>
          </cell>
          <cell r="GB59">
            <v>0.35125448028673834</v>
          </cell>
          <cell r="GC59">
            <v>0.37861915367483295</v>
          </cell>
          <cell r="GD59">
            <v>0.36999999999999994</v>
          </cell>
          <cell r="GE59">
            <v>0.37</v>
          </cell>
          <cell r="GF59">
            <v>0.36939105039562631</v>
          </cell>
        </row>
        <row r="61">
          <cell r="A61" t="str">
            <v>As a % of Sales</v>
          </cell>
          <cell r="AN61" t="str">
            <v>As % of Sales</v>
          </cell>
        </row>
        <row r="62">
          <cell r="A62" t="str">
            <v>Cost of Goods Sold (FIFO)</v>
          </cell>
          <cell r="K62">
            <v>0.61379177462321644</v>
          </cell>
          <cell r="L62">
            <v>0.61286106320358991</v>
          </cell>
          <cell r="N62">
            <v>0.61844806350075265</v>
          </cell>
          <cell r="O62">
            <v>0.60796871839816624</v>
          </cell>
          <cell r="P62">
            <v>0.60446780551905388</v>
          </cell>
          <cell r="Q62">
            <v>0.59993491701919943</v>
          </cell>
          <cell r="R62">
            <v>0.59741718135878719</v>
          </cell>
          <cell r="S62">
            <v>0.5983291260968866</v>
          </cell>
          <cell r="T62">
            <v>0.60836236933797905</v>
          </cell>
          <cell r="U62">
            <v>0.59880547171023057</v>
          </cell>
          <cell r="V62">
            <v>0.59531533869711917</v>
          </cell>
          <cell r="W62">
            <v>0.59241886409736311</v>
          </cell>
          <cell r="X62">
            <v>0.59276462706565436</v>
          </cell>
          <cell r="Y62">
            <v>0.59395624768261035</v>
          </cell>
          <cell r="Z62">
            <v>0.59578915365028695</v>
          </cell>
          <cell r="AA62">
            <v>0.60296480797043228</v>
          </cell>
          <cell r="AB62">
            <v>0.59753086419753088</v>
          </cell>
          <cell r="AC62">
            <v>0.59288885333759944</v>
          </cell>
          <cell r="AD62">
            <v>0.59602348040143915</v>
          </cell>
          <cell r="AE62">
            <v>0.59474414748937621</v>
          </cell>
          <cell r="AF62">
            <v>0.5917441474893762</v>
          </cell>
          <cell r="AG62">
            <v>0.59024414748937615</v>
          </cell>
          <cell r="AH62">
            <v>0.59124414748937626</v>
          </cell>
          <cell r="AI62">
            <v>0.59324414748937615</v>
          </cell>
          <cell r="AJ62">
            <v>0.59324414748937626</v>
          </cell>
          <cell r="AK62">
            <v>0.59324414748937615</v>
          </cell>
          <cell r="AL62">
            <v>0.59324414748937626</v>
          </cell>
          <cell r="AN62" t="str">
            <v>Cost of Goods Sold (FIFO)</v>
          </cell>
          <cell r="AO62">
            <v>0.60057656275542926</v>
          </cell>
          <cell r="AP62">
            <v>0.6221511287992596</v>
          </cell>
          <cell r="AQ62">
            <v>0.60479300095568056</v>
          </cell>
          <cell r="AR62">
            <v>0.6294896976051404</v>
          </cell>
          <cell r="AS62">
            <v>0.6153719492191454</v>
          </cell>
          <cell r="AU62">
            <v>0.59872575888702217</v>
          </cell>
          <cell r="AV62">
            <v>0.59999010525203866</v>
          </cell>
          <cell r="AW62">
            <v>0.60363297815379591</v>
          </cell>
          <cell r="AX62">
            <v>0.6181168180071781</v>
          </cell>
          <cell r="AY62">
            <v>0.60617818875433238</v>
          </cell>
          <cell r="BA62">
            <v>0.58843971531933681</v>
          </cell>
          <cell r="BB62">
            <v>0.59550840920881798</v>
          </cell>
          <cell r="BC62">
            <v>0.59443029908354827</v>
          </cell>
          <cell r="BD62">
            <v>0.60333203951480918</v>
          </cell>
          <cell r="BE62">
            <v>0.59616640873137217</v>
          </cell>
          <cell r="BG62">
            <v>0.59604630440701789</v>
          </cell>
          <cell r="BH62">
            <v>0.59912879554386378</v>
          </cell>
          <cell r="BI62">
            <v>0.60210303943129073</v>
          </cell>
          <cell r="BJ62">
            <v>0.61593435522401285</v>
          </cell>
          <cell r="BK62">
            <v>0.60464400533045182</v>
          </cell>
          <cell r="BM62">
            <v>0.60650471598560973</v>
          </cell>
          <cell r="BN62">
            <v>0.61069795125618698</v>
          </cell>
          <cell r="BO62">
            <v>0.61373481882758607</v>
          </cell>
          <cell r="BP62">
            <v>0.62352648329569904</v>
          </cell>
          <cell r="BQ62">
            <v>0.61477004731898655</v>
          </cell>
          <cell r="BS62">
            <v>0.60652791014295437</v>
          </cell>
          <cell r="BT62">
            <v>0.6192234202265593</v>
          </cell>
          <cell r="BU62">
            <v>0.61024762870607896</v>
          </cell>
          <cell r="BV62">
            <v>0.61765424878908959</v>
          </cell>
          <cell r="BW62">
            <v>0.61379177462321644</v>
          </cell>
          <cell r="BY62">
            <v>0.60982474600117942</v>
          </cell>
          <cell r="BZ62">
            <v>0.61139317361339018</v>
          </cell>
          <cell r="CA62">
            <v>0.61184906801442795</v>
          </cell>
          <cell r="CB62">
            <v>0.69662729026036696</v>
          </cell>
          <cell r="CC62">
            <v>0.62122405771683631</v>
          </cell>
          <cell r="CD62">
            <v>0.61651560643698022</v>
          </cell>
          <cell r="CE62">
            <v>0.62762274687078579</v>
          </cell>
          <cell r="CF62">
            <v>0.61286106320358991</v>
          </cell>
          <cell r="CG62">
            <v>0.61701593761245654</v>
          </cell>
          <cell r="CH62">
            <v>0.61921040036990405</v>
          </cell>
          <cell r="CJ62">
            <v>0.61036992153179626</v>
          </cell>
          <cell r="CK62">
            <v>0.60762316136394912</v>
          </cell>
          <cell r="CL62">
            <v>0.60676453279278098</v>
          </cell>
          <cell r="CM62">
            <v>0.6134235876446239</v>
          </cell>
          <cell r="CN62">
            <v>0.60993271142476924</v>
          </cell>
          <cell r="CP62">
            <v>0.6121470503427453</v>
          </cell>
          <cell r="CQ62">
            <v>0.60781202891889508</v>
          </cell>
          <cell r="CR62">
            <v>0.61045128548991046</v>
          </cell>
          <cell r="CS62">
            <v>0.61427682685535268</v>
          </cell>
          <cell r="CT62">
            <v>0.61147410135820623</v>
          </cell>
          <cell r="CV62">
            <v>0.6023235031277927</v>
          </cell>
          <cell r="CW62">
            <v>0.58873321657910094</v>
          </cell>
          <cell r="CX62">
            <v>0.60456595264937996</v>
          </cell>
          <cell r="CY62">
            <v>0.60270162892332146</v>
          </cell>
          <cell r="CZ62">
            <v>0.59993491701919943</v>
          </cell>
          <cell r="DB62">
            <v>0.60388888888888892</v>
          </cell>
          <cell r="DC62">
            <v>0.57888167748377439</v>
          </cell>
          <cell r="DD62">
            <v>0.59318346627991303</v>
          </cell>
          <cell r="DE62">
            <v>0.5853005190021765</v>
          </cell>
          <cell r="DF62">
            <v>0.58946714834048319</v>
          </cell>
          <cell r="DH62">
            <v>0.6022949902043101</v>
          </cell>
          <cell r="DI62">
            <v>0.59064963305245988</v>
          </cell>
          <cell r="DJ62">
            <v>0.60682178741406667</v>
          </cell>
          <cell r="DK62">
            <v>0.59511063526052821</v>
          </cell>
          <cell r="DL62">
            <v>0.5983291260968866</v>
          </cell>
          <cell r="DN62">
            <v>0.60686164229471318</v>
          </cell>
          <cell r="DO62">
            <v>0.61009174311926606</v>
          </cell>
          <cell r="DP62">
            <v>0.61410071942446043</v>
          </cell>
          <cell r="DQ62">
            <v>0.60619641465315666</v>
          </cell>
          <cell r="DR62">
            <v>0.60836236933797905</v>
          </cell>
          <cell r="DT62">
            <v>0.60179554011004921</v>
          </cell>
          <cell r="DU62">
            <v>0.58835341365461846</v>
          </cell>
          <cell r="DV62">
            <v>0.60707099741304971</v>
          </cell>
          <cell r="DW62">
            <v>0.60075742475583016</v>
          </cell>
          <cell r="DX62">
            <v>0.59880547171023057</v>
          </cell>
          <cell r="DZ62">
            <v>0.60832573685809788</v>
          </cell>
          <cell r="EA62">
            <v>0.58969132207338382</v>
          </cell>
          <cell r="EB62">
            <v>0.59982788296041312</v>
          </cell>
          <cell r="EC62">
            <v>0.58994656639620024</v>
          </cell>
          <cell r="ED62">
            <v>0.59531533869711917</v>
          </cell>
          <cell r="EF62">
            <v>0.59690140845070427</v>
          </cell>
          <cell r="EG62">
            <v>0.58586986875174529</v>
          </cell>
          <cell r="EH62">
            <v>0.59773049645390075</v>
          </cell>
          <cell r="EI62">
            <v>0.59023437499999998</v>
          </cell>
          <cell r="EJ62">
            <v>0.59241886409736311</v>
          </cell>
          <cell r="EK62" t="str">
            <v>Cost of Goods Sold (FIFO)</v>
          </cell>
          <cell r="EL62">
            <v>0.5976380115352925</v>
          </cell>
          <cell r="EM62">
            <v>0.58680651393872485</v>
          </cell>
          <cell r="EN62">
            <v>0.59621962196219624</v>
          </cell>
          <cell r="EO62">
            <v>0.59116079824469747</v>
          </cell>
          <cell r="EP62">
            <v>0.59276462706565436</v>
          </cell>
          <cell r="ER62">
            <v>0.61163575042158513</v>
          </cell>
          <cell r="ES62">
            <v>0.57881567973311088</v>
          </cell>
          <cell r="ET62">
            <v>0.59683995922528033</v>
          </cell>
          <cell r="EU62">
            <v>0.59056665574844414</v>
          </cell>
          <cell r="EV62">
            <v>0.59395624768261035</v>
          </cell>
          <cell r="EX62">
            <v>0.60192535044755957</v>
          </cell>
          <cell r="EY62">
            <v>0.59521384928716903</v>
          </cell>
          <cell r="EZ62">
            <v>0.60700982052150354</v>
          </cell>
          <cell r="FA62">
            <v>0.58424482196881544</v>
          </cell>
          <cell r="FB62">
            <v>0.59578915365028695</v>
          </cell>
          <cell r="FD62">
            <v>0.61371150165303634</v>
          </cell>
          <cell r="FE62">
            <v>0.5851696397341728</v>
          </cell>
          <cell r="FF62">
            <v>0.60513380666302563</v>
          </cell>
          <cell r="FG62">
            <v>0.60650365515502902</v>
          </cell>
          <cell r="FH62">
            <v>0.60296480797043228</v>
          </cell>
          <cell r="FJ62">
            <v>0.62008320726172461</v>
          </cell>
          <cell r="FK62">
            <v>0.58978240302743612</v>
          </cell>
          <cell r="FL62">
            <v>0.6018570102135562</v>
          </cell>
          <cell r="FM62">
            <v>0.58472974675570111</v>
          </cell>
          <cell r="FN62">
            <v>0.59753086419753088</v>
          </cell>
          <cell r="FP62">
            <v>0.60602798708288486</v>
          </cell>
          <cell r="FQ62">
            <v>0.58045873216543253</v>
          </cell>
          <cell r="FR62">
            <v>0.60056909123243818</v>
          </cell>
          <cell r="FS62">
            <v>0.58713266416737209</v>
          </cell>
          <cell r="FT62">
            <v>0.59288885333759944</v>
          </cell>
          <cell r="FV62">
            <v>0.60893190694515198</v>
          </cell>
          <cell r="FW62">
            <v>0.58208452601448057</v>
          </cell>
          <cell r="FX62">
            <v>0.60550145224671104</v>
          </cell>
          <cell r="FY62">
            <v>0.59044016506189823</v>
          </cell>
          <cell r="FZ62">
            <v>0.59602348040143915</v>
          </cell>
          <cell r="GB62">
            <v>0.61159042812957842</v>
          </cell>
          <cell r="GC62">
            <v>0.58107224583197126</v>
          </cell>
          <cell r="GD62">
            <v>0.60400145224671109</v>
          </cell>
          <cell r="GE62">
            <v>0.58662736950345429</v>
          </cell>
          <cell r="GF62">
            <v>0.59474414748937621</v>
          </cell>
        </row>
        <row r="63">
          <cell r="A63" t="str">
            <v>Gross Margin (FIFO)</v>
          </cell>
          <cell r="K63">
            <v>0.38620822537678351</v>
          </cell>
          <cell r="L63">
            <v>0.38713893679641009</v>
          </cell>
          <cell r="N63">
            <v>0.38155193649924729</v>
          </cell>
          <cell r="O63">
            <v>0.39203128160183376</v>
          </cell>
          <cell r="P63">
            <v>0.39553219448094612</v>
          </cell>
          <cell r="Q63">
            <v>0.40006508298080051</v>
          </cell>
          <cell r="R63">
            <v>0.40258281864121281</v>
          </cell>
          <cell r="S63">
            <v>0.40167087390311335</v>
          </cell>
          <cell r="T63">
            <v>0.3916376306620209</v>
          </cell>
          <cell r="U63">
            <v>0.40119452828976943</v>
          </cell>
          <cell r="V63">
            <v>0.40468466130288089</v>
          </cell>
          <cell r="W63">
            <v>0.40758113590263689</v>
          </cell>
          <cell r="X63">
            <v>0.4072353729343457</v>
          </cell>
          <cell r="Y63">
            <v>0.40604375231738971</v>
          </cell>
          <cell r="Z63">
            <v>0.40421084634971305</v>
          </cell>
          <cell r="AA63">
            <v>0.39703519202956772</v>
          </cell>
          <cell r="AB63">
            <v>0.40246913580246912</v>
          </cell>
          <cell r="AC63">
            <v>0.4071111466624005</v>
          </cell>
          <cell r="AD63">
            <v>0.4039765195985609</v>
          </cell>
          <cell r="AE63">
            <v>0.40525585251062379</v>
          </cell>
          <cell r="AF63">
            <v>0.40825585251062385</v>
          </cell>
          <cell r="AG63">
            <v>0.4097558525106238</v>
          </cell>
          <cell r="AH63">
            <v>0.4087558525106238</v>
          </cell>
          <cell r="AI63">
            <v>0.40675585251062379</v>
          </cell>
          <cell r="AJ63">
            <v>0.40675585251062374</v>
          </cell>
          <cell r="AK63">
            <v>0.40675585251062385</v>
          </cell>
          <cell r="AL63">
            <v>0.40675585251062374</v>
          </cell>
          <cell r="AN63" t="str">
            <v>Gross Margin (FIFO)</v>
          </cell>
          <cell r="AO63">
            <v>0.3994234372445708</v>
          </cell>
          <cell r="AP63">
            <v>0.3778488712007404</v>
          </cell>
          <cell r="AQ63">
            <v>0.3952069990443195</v>
          </cell>
          <cell r="AR63">
            <v>0.3705103023948596</v>
          </cell>
          <cell r="AS63">
            <v>0.38462805078085455</v>
          </cell>
          <cell r="AU63">
            <v>0.40127424111297788</v>
          </cell>
          <cell r="AV63">
            <v>0.40000989474796134</v>
          </cell>
          <cell r="AW63">
            <v>0.39636702184620409</v>
          </cell>
          <cell r="AX63">
            <v>0.38188318199282195</v>
          </cell>
          <cell r="AY63">
            <v>0.39382181124566762</v>
          </cell>
          <cell r="BA63">
            <v>0.41156028468066325</v>
          </cell>
          <cell r="BB63">
            <v>0.40449159079118202</v>
          </cell>
          <cell r="BC63">
            <v>0.40556970091645167</v>
          </cell>
          <cell r="BD63">
            <v>0.39666796048519082</v>
          </cell>
          <cell r="BE63">
            <v>0.40383359126862778</v>
          </cell>
          <cell r="BG63">
            <v>0.40395369559298205</v>
          </cell>
          <cell r="BH63">
            <v>0.40087120445613617</v>
          </cell>
          <cell r="BI63">
            <v>0.39789696056870921</v>
          </cell>
          <cell r="BJ63">
            <v>0.38406564477598715</v>
          </cell>
          <cell r="BK63">
            <v>0.39535599466954813</v>
          </cell>
          <cell r="BM63">
            <v>0.39349528401439021</v>
          </cell>
          <cell r="BN63">
            <v>0.38930204874381302</v>
          </cell>
          <cell r="BO63">
            <v>0.38626518117241393</v>
          </cell>
          <cell r="BP63">
            <v>0.37647351670430096</v>
          </cell>
          <cell r="BQ63">
            <v>0.38522995268101345</v>
          </cell>
          <cell r="BS63">
            <v>0.39347208985704557</v>
          </cell>
          <cell r="BT63">
            <v>0.38077657977344076</v>
          </cell>
          <cell r="BU63">
            <v>0.3897523712939211</v>
          </cell>
          <cell r="BV63">
            <v>0.38234575121091047</v>
          </cell>
          <cell r="BW63">
            <v>0.38620822537678351</v>
          </cell>
          <cell r="BY63">
            <v>0.39017525399882058</v>
          </cell>
          <cell r="BZ63">
            <v>0.38860682638660982</v>
          </cell>
          <cell r="CA63">
            <v>0.38815093198557199</v>
          </cell>
          <cell r="CB63">
            <v>0.30337270973963298</v>
          </cell>
          <cell r="CC63">
            <v>0.37877594228316364</v>
          </cell>
          <cell r="CD63">
            <v>0.38348439356301972</v>
          </cell>
          <cell r="CE63">
            <v>0.37237725312921416</v>
          </cell>
          <cell r="CF63">
            <v>0.38713893679641009</v>
          </cell>
          <cell r="CG63">
            <v>0.38298406238754346</v>
          </cell>
          <cell r="CH63">
            <v>0.38078959963009601</v>
          </cell>
          <cell r="CJ63">
            <v>0.38963007846820369</v>
          </cell>
          <cell r="CK63">
            <v>0.39237683863605083</v>
          </cell>
          <cell r="CL63">
            <v>0.39323546720721908</v>
          </cell>
          <cell r="CM63">
            <v>0.38657641235537615</v>
          </cell>
          <cell r="CN63">
            <v>0.39006728857523071</v>
          </cell>
          <cell r="CP63">
            <v>0.3878529496572547</v>
          </cell>
          <cell r="CQ63">
            <v>0.39218797108110487</v>
          </cell>
          <cell r="CR63">
            <v>0.38954871451008949</v>
          </cell>
          <cell r="CS63">
            <v>0.38572317314464727</v>
          </cell>
          <cell r="CT63">
            <v>0.38852589864179371</v>
          </cell>
          <cell r="CV63">
            <v>0.39767649687220735</v>
          </cell>
          <cell r="CW63">
            <v>0.41126678342089901</v>
          </cell>
          <cell r="CX63">
            <v>0.39543404735062004</v>
          </cell>
          <cell r="CY63">
            <v>0.39729837107667859</v>
          </cell>
          <cell r="CZ63">
            <v>0.40006508298080051</v>
          </cell>
          <cell r="DB63">
            <v>0.39611111111111114</v>
          </cell>
          <cell r="DC63">
            <v>0.42111832251622566</v>
          </cell>
          <cell r="DD63">
            <v>0.40681653372008703</v>
          </cell>
          <cell r="DE63">
            <v>0.41469948099782356</v>
          </cell>
          <cell r="DF63">
            <v>0.41053285165951681</v>
          </cell>
          <cell r="DH63">
            <v>0.3977050097956899</v>
          </cell>
          <cell r="DI63">
            <v>0.40935036694754007</v>
          </cell>
          <cell r="DJ63">
            <v>0.39317821258593338</v>
          </cell>
          <cell r="DK63">
            <v>0.40488936473947179</v>
          </cell>
          <cell r="DL63">
            <v>0.40167087390311335</v>
          </cell>
          <cell r="DN63">
            <v>0.39313835770528682</v>
          </cell>
          <cell r="DO63">
            <v>0.38990825688073394</v>
          </cell>
          <cell r="DP63">
            <v>0.38589928057553957</v>
          </cell>
          <cell r="DQ63">
            <v>0.39380358534684334</v>
          </cell>
          <cell r="DR63">
            <v>0.3916376306620209</v>
          </cell>
          <cell r="DT63">
            <v>0.39820445988995079</v>
          </cell>
          <cell r="DU63">
            <v>0.41164658634538154</v>
          </cell>
          <cell r="DV63">
            <v>0.39292900258695029</v>
          </cell>
          <cell r="DW63">
            <v>0.39924257524416984</v>
          </cell>
          <cell r="DX63">
            <v>0.40119452828976943</v>
          </cell>
          <cell r="DZ63">
            <v>0.39167426314190218</v>
          </cell>
          <cell r="EA63">
            <v>0.41030867792661618</v>
          </cell>
          <cell r="EB63">
            <v>0.40017211703958694</v>
          </cell>
          <cell r="EC63">
            <v>0.4100534336037997</v>
          </cell>
          <cell r="ED63">
            <v>0.40468466130288089</v>
          </cell>
          <cell r="EF63">
            <v>0.40309859154929578</v>
          </cell>
          <cell r="EG63">
            <v>0.41413013124825465</v>
          </cell>
          <cell r="EH63">
            <v>0.40226950354609931</v>
          </cell>
          <cell r="EI63">
            <v>0.40976562500000002</v>
          </cell>
          <cell r="EJ63">
            <v>0.40758113590263689</v>
          </cell>
          <cell r="EK63" t="str">
            <v>Gross Margin (FIFO)</v>
          </cell>
          <cell r="EL63">
            <v>0.4023619884647075</v>
          </cell>
          <cell r="EM63">
            <v>0.41319348606127521</v>
          </cell>
          <cell r="EN63">
            <v>0.40378037803780376</v>
          </cell>
          <cell r="EO63">
            <v>0.40883920175530247</v>
          </cell>
          <cell r="EP63">
            <v>0.4072353729343457</v>
          </cell>
          <cell r="ER63">
            <v>0.38836424957841487</v>
          </cell>
          <cell r="ES63">
            <v>0.42118432026688907</v>
          </cell>
          <cell r="ET63">
            <v>0.40316004077471967</v>
          </cell>
          <cell r="EU63">
            <v>0.40943334425155586</v>
          </cell>
          <cell r="EV63">
            <v>0.40604375231738971</v>
          </cell>
          <cell r="EX63">
            <v>0.39807464955244048</v>
          </cell>
          <cell r="EY63">
            <v>0.40478615071283097</v>
          </cell>
          <cell r="EZ63">
            <v>0.39299017947849646</v>
          </cell>
          <cell r="FA63">
            <v>0.41575517803118456</v>
          </cell>
          <cell r="FB63">
            <v>0.40421084634971305</v>
          </cell>
          <cell r="FD63">
            <v>0.38628849834696366</v>
          </cell>
          <cell r="FE63">
            <v>0.4148303602658272</v>
          </cell>
          <cell r="FF63">
            <v>0.39486619333697431</v>
          </cell>
          <cell r="FG63">
            <v>0.39349634484497104</v>
          </cell>
          <cell r="FH63">
            <v>0.39703519202956772</v>
          </cell>
          <cell r="FJ63">
            <v>0.37991679273827533</v>
          </cell>
          <cell r="FK63">
            <v>0.41021759697256388</v>
          </cell>
          <cell r="FL63">
            <v>0.3981429897864438</v>
          </cell>
          <cell r="FM63">
            <v>0.41527025324429884</v>
          </cell>
          <cell r="FN63">
            <v>0.40246913580246912</v>
          </cell>
          <cell r="FP63">
            <v>0.3939720129171152</v>
          </cell>
          <cell r="FQ63">
            <v>0.41954126783456747</v>
          </cell>
          <cell r="FR63">
            <v>0.39943090876756182</v>
          </cell>
          <cell r="FS63">
            <v>0.41286733583262791</v>
          </cell>
          <cell r="FT63">
            <v>0.4071111466624005</v>
          </cell>
          <cell r="FV63">
            <v>0.39106809305484802</v>
          </cell>
          <cell r="FW63">
            <v>0.41791547398551943</v>
          </cell>
          <cell r="FX63">
            <v>0.39449854775328891</v>
          </cell>
          <cell r="FY63">
            <v>0.40955983493810177</v>
          </cell>
          <cell r="FZ63">
            <v>0.4039765195985609</v>
          </cell>
          <cell r="GB63">
            <v>0.38840957187042163</v>
          </cell>
          <cell r="GC63">
            <v>0.41892775416802874</v>
          </cell>
          <cell r="GD63">
            <v>0.39599854775328891</v>
          </cell>
          <cell r="GE63">
            <v>0.41337263049654577</v>
          </cell>
          <cell r="GF63">
            <v>0.40525585251062379</v>
          </cell>
        </row>
        <row r="64">
          <cell r="A64" t="str">
            <v>Y/Y ∆ bps</v>
          </cell>
          <cell r="O64">
            <v>104.79345102586468</v>
          </cell>
          <cell r="P64">
            <v>35.009128791123615</v>
          </cell>
          <cell r="Q64">
            <v>45.328884998543927</v>
          </cell>
          <cell r="R64">
            <v>25.177356604123013</v>
          </cell>
          <cell r="S64">
            <v>-9.1194473809946821</v>
          </cell>
          <cell r="T64">
            <v>-100.33243241092448</v>
          </cell>
          <cell r="U64">
            <v>95.568976277485291</v>
          </cell>
          <cell r="V64">
            <v>34.901330131114626</v>
          </cell>
          <cell r="W64">
            <v>28.964745997560048</v>
          </cell>
          <cell r="X64">
            <v>-3.4576296829119668</v>
          </cell>
          <cell r="Y64">
            <v>-11.916206169559906</v>
          </cell>
          <cell r="Z64">
            <v>-18.329059676766569</v>
          </cell>
          <cell r="AA64">
            <v>-71.756543201453297</v>
          </cell>
          <cell r="AB64">
            <v>54.339437729014065</v>
          </cell>
          <cell r="AC64">
            <v>46.420108599313778</v>
          </cell>
          <cell r="AD64">
            <v>-31.346270638396014</v>
          </cell>
          <cell r="AE64">
            <v>12.793329120628915</v>
          </cell>
          <cell r="AF64">
            <v>30.000000000000583</v>
          </cell>
          <cell r="AG64">
            <v>14.999999999999458</v>
          </cell>
          <cell r="AH64">
            <v>-10.000000000000009</v>
          </cell>
          <cell r="AI64">
            <v>-20.000000000000018</v>
          </cell>
          <cell r="AJ64">
            <v>-5.5511151231257827E-13</v>
          </cell>
          <cell r="AK64">
            <v>1.1102230246251565E-12</v>
          </cell>
          <cell r="AL64">
            <v>-1.1102230246251565E-12</v>
          </cell>
          <cell r="AN64" t="str">
            <v>Y/Y ∆ bps</v>
          </cell>
          <cell r="DH64">
            <v>15.93898684578765</v>
          </cell>
          <cell r="DI64">
            <v>-117.67955568685595</v>
          </cell>
          <cell r="DJ64">
            <v>-136.38321134153642</v>
          </cell>
          <cell r="DK64">
            <v>-98.101162583517649</v>
          </cell>
          <cell r="DL64">
            <v>-88.619777564034607</v>
          </cell>
          <cell r="DN64">
            <v>-45.666520904030783</v>
          </cell>
          <cell r="DO64">
            <v>-194.42110066806129</v>
          </cell>
          <cell r="DP64">
            <v>-72.789320103938124</v>
          </cell>
          <cell r="DQ64">
            <v>-110.85779392628447</v>
          </cell>
          <cell r="DR64">
            <v>-100.33243241092448</v>
          </cell>
          <cell r="DT64">
            <v>50.661021846639677</v>
          </cell>
          <cell r="DU64">
            <v>217.38329464647597</v>
          </cell>
          <cell r="DV64">
            <v>70.297220114107219</v>
          </cell>
          <cell r="DW64">
            <v>54.389898973264962</v>
          </cell>
          <cell r="DX64">
            <v>95.568976277485291</v>
          </cell>
          <cell r="DZ64">
            <v>-65.301967480486113</v>
          </cell>
          <cell r="EA64">
            <v>-13.379084187653545</v>
          </cell>
          <cell r="EB64">
            <v>72.431144526366452</v>
          </cell>
          <cell r="EC64">
            <v>108.1085835962986</v>
          </cell>
          <cell r="ED64">
            <v>34.901330131114626</v>
          </cell>
          <cell r="EF64">
            <v>114.24328407393602</v>
          </cell>
          <cell r="EG64">
            <v>38.21453321638468</v>
          </cell>
          <cell r="EH64">
            <v>20.973865065123665</v>
          </cell>
          <cell r="EI64">
            <v>-2.8780860379967743</v>
          </cell>
          <cell r="EJ64">
            <v>28.964745997560048</v>
          </cell>
          <cell r="EK64" t="str">
            <v>Y/Y ∆ bps</v>
          </cell>
          <cell r="EL64">
            <v>-7.3660308458828316</v>
          </cell>
          <cell r="EM64">
            <v>-9.3664518697944565</v>
          </cell>
          <cell r="EN64">
            <v>15.108744917044504</v>
          </cell>
          <cell r="EO64">
            <v>-9.2642324469754946</v>
          </cell>
          <cell r="EP64">
            <v>-3.4576296829119668</v>
          </cell>
          <cell r="ER64">
            <v>-139.97738886292632</v>
          </cell>
          <cell r="ES64">
            <v>79.908342056138622</v>
          </cell>
          <cell r="ET64">
            <v>-6.2033726308408088</v>
          </cell>
          <cell r="EU64">
            <v>5.9414249625339144</v>
          </cell>
          <cell r="EV64">
            <v>-11.916206169559906</v>
          </cell>
          <cell r="EX64">
            <v>97.103999740256185</v>
          </cell>
          <cell r="EY64">
            <v>-163.98169554058094</v>
          </cell>
          <cell r="EZ64">
            <v>-101.69861296223215</v>
          </cell>
          <cell r="FA64">
            <v>63.218337796286939</v>
          </cell>
          <cell r="FB64">
            <v>-18.329059676766569</v>
          </cell>
          <cell r="FD64">
            <v>-117.86151205476824</v>
          </cell>
          <cell r="FE64">
            <v>100.4420955299623</v>
          </cell>
          <cell r="FF64">
            <v>18.760138584778542</v>
          </cell>
          <cell r="FG64">
            <v>-222.58833186213522</v>
          </cell>
          <cell r="FH64">
            <v>-71.756543201453297</v>
          </cell>
          <cell r="FJ64">
            <v>-63.717056086883275</v>
          </cell>
          <cell r="FK64">
            <v>-46.127632932633219</v>
          </cell>
          <cell r="FL64">
            <v>32.76796449469488</v>
          </cell>
          <cell r="FM64">
            <v>217.73908399327803</v>
          </cell>
          <cell r="FN64">
            <v>54.339437729014065</v>
          </cell>
          <cell r="FP64">
            <v>140.55220178839866</v>
          </cell>
          <cell r="FQ64">
            <v>93.236708620035856</v>
          </cell>
          <cell r="FR64">
            <v>12.879189811180192</v>
          </cell>
          <cell r="FS64">
            <v>-24.029174116709239</v>
          </cell>
          <cell r="FT64">
            <v>46.420108599313778</v>
          </cell>
          <cell r="FV64">
            <v>-29.03919862267179</v>
          </cell>
          <cell r="FW64">
            <v>-16.257938490480406</v>
          </cell>
          <cell r="FX64">
            <v>-49.323610142729123</v>
          </cell>
          <cell r="FY64">
            <v>-33.075008945261388</v>
          </cell>
          <cell r="FZ64">
            <v>-31.346270638396014</v>
          </cell>
          <cell r="GB64">
            <v>-26.585211844263878</v>
          </cell>
          <cell r="GC64">
            <v>10.122801825093175</v>
          </cell>
          <cell r="GD64">
            <v>15.000000000000014</v>
          </cell>
          <cell r="GE64">
            <v>38.127955584439931</v>
          </cell>
          <cell r="GF64">
            <v>12.793329120628915</v>
          </cell>
        </row>
        <row r="65">
          <cell r="A65" t="str">
            <v>SG&amp;A Expense</v>
          </cell>
          <cell r="K65">
            <v>0.33637419260664891</v>
          </cell>
          <cell r="L65">
            <v>0.31608245843666333</v>
          </cell>
          <cell r="N65">
            <v>0.33618448063500755</v>
          </cell>
          <cell r="O65">
            <v>0.33182768152093306</v>
          </cell>
          <cell r="P65">
            <v>0.30742444152431014</v>
          </cell>
          <cell r="Q65">
            <v>0.30536934591604298</v>
          </cell>
          <cell r="R65">
            <v>0.29696175681577142</v>
          </cell>
          <cell r="S65">
            <v>0.29522779180189929</v>
          </cell>
          <cell r="T65">
            <v>0.30446626544187522</v>
          </cell>
          <cell r="U65">
            <v>0.31057735534005521</v>
          </cell>
          <cell r="V65">
            <v>0.31384635349078638</v>
          </cell>
          <cell r="W65">
            <v>0.31256338742393508</v>
          </cell>
          <cell r="X65">
            <v>0.311746315319339</v>
          </cell>
          <cell r="Y65">
            <v>0.32176492398961809</v>
          </cell>
          <cell r="Z65">
            <v>0.32508645916467144</v>
          </cell>
          <cell r="AA65">
            <v>0.33978788365739998</v>
          </cell>
          <cell r="AB65">
            <v>0.34161958568738232</v>
          </cell>
          <cell r="AC65">
            <v>0.33036035675718911</v>
          </cell>
          <cell r="AD65">
            <v>0.31361484567316794</v>
          </cell>
          <cell r="AE65">
            <v>0.30881156325452847</v>
          </cell>
          <cell r="AF65">
            <v>0.31031156325452852</v>
          </cell>
          <cell r="AG65">
            <v>0.30931156325452847</v>
          </cell>
          <cell r="AH65">
            <v>0.30831156325452846</v>
          </cell>
          <cell r="AI65">
            <v>0.30731156325452846</v>
          </cell>
          <cell r="AJ65">
            <v>0.30631156325452846</v>
          </cell>
          <cell r="AK65">
            <v>0.30531156325452846</v>
          </cell>
          <cell r="AL65">
            <v>0.30431156325452846</v>
          </cell>
          <cell r="AN65" t="str">
            <v>SG&amp;A Expense</v>
          </cell>
          <cell r="AO65">
            <v>0.38279428592985676</v>
          </cell>
          <cell r="AP65">
            <v>0.40410711991673287</v>
          </cell>
          <cell r="AQ65">
            <v>0.37126236401073487</v>
          </cell>
          <cell r="AR65">
            <v>0.32336892031185249</v>
          </cell>
          <cell r="AS65">
            <v>0.3657015145513508</v>
          </cell>
          <cell r="AU65">
            <v>0.37521706468919974</v>
          </cell>
          <cell r="AV65">
            <v>0.39432108323421872</v>
          </cell>
          <cell r="AW65">
            <v>0.36519669659038179</v>
          </cell>
          <cell r="AX65">
            <v>0.305193369130284</v>
          </cell>
          <cell r="AY65">
            <v>0.3553106224277201</v>
          </cell>
          <cell r="BA65">
            <v>0.35769529803540817</v>
          </cell>
          <cell r="BB65">
            <v>0.38275487712151696</v>
          </cell>
          <cell r="BC65">
            <v>0.34365233528884026</v>
          </cell>
          <cell r="BD65">
            <v>0.30324335842280281</v>
          </cell>
          <cell r="BE65">
            <v>0.34190736900208624</v>
          </cell>
          <cell r="BG65">
            <v>0.34938333944344918</v>
          </cell>
          <cell r="BH65">
            <v>0.35957752441609064</v>
          </cell>
          <cell r="BI65">
            <v>0.33788405060036941</v>
          </cell>
          <cell r="BJ65">
            <v>0.2756778999669442</v>
          </cell>
          <cell r="BK65">
            <v>0.32472183745109906</v>
          </cell>
          <cell r="BM65">
            <v>0.32781678621167598</v>
          </cell>
          <cell r="BN65">
            <v>0.3350610863980954</v>
          </cell>
          <cell r="BO65">
            <v>0.31739646493610429</v>
          </cell>
          <cell r="BP65">
            <v>0.25271490575617306</v>
          </cell>
          <cell r="BQ65">
            <v>0.30205046346554137</v>
          </cell>
          <cell r="BS65">
            <v>0.37287950987066032</v>
          </cell>
          <cell r="BT65">
            <v>0.36983212774669039</v>
          </cell>
          <cell r="BU65">
            <v>0.35274378094613129</v>
          </cell>
          <cell r="BV65">
            <v>0.27829695765719514</v>
          </cell>
          <cell r="BW65">
            <v>0.33637419260664891</v>
          </cell>
          <cell r="BY65">
            <v>0.35808462232003552</v>
          </cell>
          <cell r="BZ65">
            <v>0.35047161142106986</v>
          </cell>
          <cell r="CA65">
            <v>0.33217510097410313</v>
          </cell>
          <cell r="CB65">
            <v>0.40589440694310513</v>
          </cell>
          <cell r="CC65">
            <v>0.3403293539136622</v>
          </cell>
          <cell r="CD65">
            <v>0.25475148504158118</v>
          </cell>
          <cell r="CE65">
            <v>0.25352903189044429</v>
          </cell>
          <cell r="CF65">
            <v>0.31608245843666333</v>
          </cell>
          <cell r="CG65">
            <v>0.31297957813593175</v>
          </cell>
          <cell r="CH65">
            <v>0.31554074717338931</v>
          </cell>
          <cell r="CJ65">
            <v>0.34933953403823437</v>
          </cell>
          <cell r="CK65">
            <v>0.33919204147824084</v>
          </cell>
          <cell r="CL65">
            <v>0.32906076447959459</v>
          </cell>
          <cell r="CM65">
            <v>0.25497829376133824</v>
          </cell>
          <cell r="CN65">
            <v>0.31114796907013276</v>
          </cell>
          <cell r="CP65">
            <v>0.34442201748207951</v>
          </cell>
          <cell r="CQ65">
            <v>0.33082958930198975</v>
          </cell>
          <cell r="CR65">
            <v>0.31802141646798049</v>
          </cell>
          <cell r="CS65">
            <v>0.24483628438557536</v>
          </cell>
          <cell r="CT65">
            <v>0.30295286435450097</v>
          </cell>
          <cell r="CV65">
            <v>0.34375930890676198</v>
          </cell>
          <cell r="CW65">
            <v>0.33333333333333331</v>
          </cell>
          <cell r="CX65">
            <v>0.32299887260428412</v>
          </cell>
          <cell r="CY65">
            <v>0.24831148192292413</v>
          </cell>
          <cell r="CZ65">
            <v>0.30536934591604298</v>
          </cell>
          <cell r="DB65">
            <v>0.33361111111111114</v>
          </cell>
          <cell r="DC65">
            <v>0.34173739390913632</v>
          </cell>
          <cell r="DD65">
            <v>0.33381677544114091</v>
          </cell>
          <cell r="DE65">
            <v>0.27138791227189019</v>
          </cell>
          <cell r="DF65">
            <v>0.31451794987581849</v>
          </cell>
          <cell r="DH65">
            <v>0.32241813602015112</v>
          </cell>
          <cell r="DI65">
            <v>0.30008154389779834</v>
          </cell>
          <cell r="DJ65">
            <v>0.3220518244315177</v>
          </cell>
          <cell r="DK65">
            <v>0.25660242683797285</v>
          </cell>
          <cell r="DL65">
            <v>0.29522779180189929</v>
          </cell>
          <cell r="DN65">
            <v>0.32845894263217096</v>
          </cell>
          <cell r="DO65">
            <v>0.31708715596330272</v>
          </cell>
          <cell r="DP65">
            <v>0.34100719424460429</v>
          </cell>
          <cell r="DQ65">
            <v>0.25038971161340606</v>
          </cell>
          <cell r="DR65">
            <v>0.30446626544187522</v>
          </cell>
          <cell r="DT65">
            <v>0.33420214306400231</v>
          </cell>
          <cell r="DU65">
            <v>0.32558806655192196</v>
          </cell>
          <cell r="DV65">
            <v>0.3388904857717735</v>
          </cell>
          <cell r="DW65">
            <v>0.25931831771975283</v>
          </cell>
          <cell r="DX65">
            <v>0.31057735534005521</v>
          </cell>
          <cell r="DZ65">
            <v>0.34487997569127926</v>
          </cell>
          <cell r="EA65">
            <v>0.33051834595224228</v>
          </cell>
          <cell r="EB65">
            <v>0.34222604704532417</v>
          </cell>
          <cell r="EC65">
            <v>0.25766871165644173</v>
          </cell>
          <cell r="ED65">
            <v>0.31384635349078638</v>
          </cell>
          <cell r="EF65">
            <v>0.33661971830985915</v>
          </cell>
          <cell r="EG65">
            <v>0.33705668807595646</v>
          </cell>
          <cell r="EH65">
            <v>0.3424113475177305</v>
          </cell>
          <cell r="EI65">
            <v>0.25820312499999998</v>
          </cell>
          <cell r="EJ65">
            <v>0.31256338742393508</v>
          </cell>
          <cell r="EK65" t="str">
            <v>SG&amp;A Expense</v>
          </cell>
          <cell r="EL65">
            <v>0.33315023345234823</v>
          </cell>
          <cell r="EM65">
            <v>0.33287330941208942</v>
          </cell>
          <cell r="EN65">
            <v>0.35517551755175519</v>
          </cell>
          <cell r="EO65">
            <v>0.27040016717166443</v>
          </cell>
          <cell r="EP65">
            <v>0.311746315319339</v>
          </cell>
          <cell r="ER65">
            <v>0.36323777403035412</v>
          </cell>
          <cell r="ES65">
            <v>0.35312760633861551</v>
          </cell>
          <cell r="ET65">
            <v>0.35575942915392456</v>
          </cell>
          <cell r="EU65">
            <v>0.25253848673435964</v>
          </cell>
          <cell r="EV65">
            <v>0.32176492398961809</v>
          </cell>
          <cell r="EX65">
            <v>0.35686539435906095</v>
          </cell>
          <cell r="EY65">
            <v>0.34589273591310249</v>
          </cell>
          <cell r="EZ65">
            <v>0.35912631222485608</v>
          </cell>
          <cell r="FA65">
            <v>0.2655340935536421</v>
          </cell>
          <cell r="FB65">
            <v>0.32508645916467144</v>
          </cell>
          <cell r="FD65">
            <v>0.36192796241517311</v>
          </cell>
          <cell r="FE65">
            <v>0.35624344176285416</v>
          </cell>
          <cell r="FF65">
            <v>0.37957400327689789</v>
          </cell>
          <cell r="FG65">
            <v>0.28434585328963952</v>
          </cell>
          <cell r="FH65">
            <v>0.33978788365739998</v>
          </cell>
          <cell r="FJ65">
            <v>0.37537821482602118</v>
          </cell>
          <cell r="FK65">
            <v>0.35685903500473037</v>
          </cell>
          <cell r="FL65">
            <v>0.38180129990714951</v>
          </cell>
          <cell r="FM65">
            <v>0.28171853345092607</v>
          </cell>
          <cell r="FN65">
            <v>0.34161958568738232</v>
          </cell>
          <cell r="FP65">
            <v>0.35755292429135271</v>
          </cell>
          <cell r="FQ65">
            <v>0.3527180783817952</v>
          </cell>
          <cell r="FR65">
            <v>0.36795304997332384</v>
          </cell>
          <cell r="FS65">
            <v>0.27149594872415045</v>
          </cell>
          <cell r="FT65">
            <v>0.33036035675718911</v>
          </cell>
          <cell r="FV65">
            <v>0.33503141450161317</v>
          </cell>
          <cell r="FW65">
            <v>0.33271594544536115</v>
          </cell>
          <cell r="FX65">
            <v>0.34478045446779432</v>
          </cell>
          <cell r="FY65">
            <v>0.26524530032095367</v>
          </cell>
          <cell r="FZ65">
            <v>0.31361484567316794</v>
          </cell>
          <cell r="GB65">
            <v>0.32475988930489991</v>
          </cell>
          <cell r="GC65">
            <v>0.32837528604118993</v>
          </cell>
          <cell r="GD65">
            <v>0.34960818019307516</v>
          </cell>
          <cell r="GE65">
            <v>0.25913958182743124</v>
          </cell>
          <cell r="GF65">
            <v>0.30881156325452847</v>
          </cell>
        </row>
        <row r="66">
          <cell r="A66" t="str">
            <v>Y/Y ∆ bps</v>
          </cell>
          <cell r="O66">
            <v>-43.567991140744944</v>
          </cell>
          <cell r="P66">
            <v>-244.03239996622915</v>
          </cell>
          <cell r="Q66">
            <v>-20.550956082671657</v>
          </cell>
          <cell r="R66">
            <v>-84.075891002715622</v>
          </cell>
          <cell r="S66">
            <v>-17.339650138721296</v>
          </cell>
          <cell r="T66">
            <v>92.384736399759305</v>
          </cell>
          <cell r="U66">
            <v>61.110898981799892</v>
          </cell>
          <cell r="V66">
            <v>32.689981507311728</v>
          </cell>
          <cell r="W66">
            <v>-12.829660668512988</v>
          </cell>
          <cell r="X66">
            <v>-8.170721045960839</v>
          </cell>
          <cell r="Y66">
            <v>100.18608670279094</v>
          </cell>
          <cell r="Z66">
            <v>33.215351750533472</v>
          </cell>
          <cell r="AA66">
            <v>147.01424492728543</v>
          </cell>
          <cell r="AB66">
            <v>18.317020299823405</v>
          </cell>
          <cell r="AC66">
            <v>-112.5922893019321</v>
          </cell>
          <cell r="AD66">
            <v>-167.45511084021169</v>
          </cell>
          <cell r="AE66">
            <v>-48.032824186394762</v>
          </cell>
          <cell r="AF66">
            <v>15.000000000000568</v>
          </cell>
          <cell r="AG66">
            <v>-10.000000000000565</v>
          </cell>
          <cell r="AH66">
            <v>-10.000000000000009</v>
          </cell>
          <cell r="AI66">
            <v>-10.000000000000009</v>
          </cell>
          <cell r="AJ66">
            <v>-10.000000000000009</v>
          </cell>
          <cell r="AK66">
            <v>-10.000000000000009</v>
          </cell>
          <cell r="AL66">
            <v>-10.000000000000009</v>
          </cell>
          <cell r="AN66" t="str">
            <v>Y/Y ∆ bps</v>
          </cell>
          <cell r="DH66">
            <v>-111.92975090960012</v>
          </cell>
          <cell r="DI66">
            <v>-416.55850011337981</v>
          </cell>
          <cell r="DJ66">
            <v>-117.64951009623215</v>
          </cell>
          <cell r="DK66">
            <v>-147.85485433917333</v>
          </cell>
          <cell r="DL66">
            <v>-192.90158073919207</v>
          </cell>
          <cell r="DN66">
            <v>60.408066120198335</v>
          </cell>
          <cell r="DO66">
            <v>170.05612065504383</v>
          </cell>
          <cell r="DP66">
            <v>189.55369813086597</v>
          </cell>
          <cell r="DQ66">
            <v>-62.127152245667894</v>
          </cell>
          <cell r="DR66">
            <v>92.384736399759305</v>
          </cell>
          <cell r="DT66">
            <v>57.432004318313524</v>
          </cell>
          <cell r="DU66">
            <v>85.009105886192373</v>
          </cell>
          <cell r="DV66">
            <v>-21.167084728307973</v>
          </cell>
          <cell r="DW66">
            <v>89.286061063467699</v>
          </cell>
          <cell r="DX66">
            <v>61.110898981799892</v>
          </cell>
          <cell r="DZ66">
            <v>106.7783262727695</v>
          </cell>
          <cell r="EA66">
            <v>49.302794003203147</v>
          </cell>
          <cell r="EB66">
            <v>33.355612735506689</v>
          </cell>
          <cell r="EC66">
            <v>-16.496060633111043</v>
          </cell>
          <cell r="ED66">
            <v>32.689981507311728</v>
          </cell>
          <cell r="EF66">
            <v>-82.602573814201108</v>
          </cell>
          <cell r="EG66">
            <v>65.383421237141803</v>
          </cell>
          <cell r="EH66">
            <v>1.8530047240633563</v>
          </cell>
          <cell r="EI66">
            <v>5.3441334355824877</v>
          </cell>
          <cell r="EJ66">
            <v>-12.829660668512988</v>
          </cell>
          <cell r="EK66" t="str">
            <v>Y/Y ∆ bps</v>
          </cell>
          <cell r="EL66">
            <v>-34.694848575109184</v>
          </cell>
          <cell r="EM66">
            <v>-41.833786638670325</v>
          </cell>
          <cell r="EN66">
            <v>127.64170034024691</v>
          </cell>
          <cell r="EO66">
            <v>121.97042171664452</v>
          </cell>
          <cell r="EP66">
            <v>-8.170721045960839</v>
          </cell>
          <cell r="ER66">
            <v>300.87540578005888</v>
          </cell>
          <cell r="ES66">
            <v>202.54296926526084</v>
          </cell>
          <cell r="ET66">
            <v>5.8391160216936244</v>
          </cell>
          <cell r="EU66">
            <v>-178.61680437304796</v>
          </cell>
          <cell r="EV66">
            <v>100.18608670279094</v>
          </cell>
          <cell r="EX66">
            <v>-63.723796712931716</v>
          </cell>
          <cell r="EY66">
            <v>-72.348704255130187</v>
          </cell>
          <cell r="EZ66">
            <v>33.668830709315259</v>
          </cell>
          <cell r="FA66">
            <v>129.95606819282469</v>
          </cell>
          <cell r="FB66">
            <v>33.215351750533472</v>
          </cell>
          <cell r="FD66">
            <v>50.625680561121598</v>
          </cell>
          <cell r="FE66">
            <v>103.50705849751674</v>
          </cell>
          <cell r="FF66">
            <v>204.47691052041804</v>
          </cell>
          <cell r="FG66">
            <v>188.11759735997413</v>
          </cell>
          <cell r="FH66">
            <v>147.01424492728543</v>
          </cell>
          <cell r="FJ66">
            <v>134.50252410848074</v>
          </cell>
          <cell r="FK66">
            <v>6.1559324187621112</v>
          </cell>
          <cell r="FL66">
            <v>22.272966302516185</v>
          </cell>
          <cell r="FM66">
            <v>-26.273198387134489</v>
          </cell>
          <cell r="FN66">
            <v>18.317020299823405</v>
          </cell>
          <cell r="FP66">
            <v>-178.25290534668468</v>
          </cell>
          <cell r="FQ66">
            <v>-41.409566229351768</v>
          </cell>
          <cell r="FR66">
            <v>-138.48249933825662</v>
          </cell>
          <cell r="FS66">
            <v>-102.22584726775619</v>
          </cell>
          <cell r="FT66">
            <v>-112.5922893019321</v>
          </cell>
          <cell r="FV66">
            <v>-225.21509789739548</v>
          </cell>
          <cell r="FW66">
            <v>-200.02132936434046</v>
          </cell>
          <cell r="FX66">
            <v>-231.72595505529526</v>
          </cell>
          <cell r="FY66">
            <v>-62.506484031967787</v>
          </cell>
          <cell r="FZ66">
            <v>-167.45511084021169</v>
          </cell>
          <cell r="GB66">
            <v>-102.7152519671326</v>
          </cell>
          <cell r="GC66">
            <v>-43.406594041712211</v>
          </cell>
          <cell r="GD66">
            <v>48.277257252808404</v>
          </cell>
          <cell r="GE66">
            <v>-61.057184935224271</v>
          </cell>
          <cell r="GF66">
            <v>-48.032824186394762</v>
          </cell>
        </row>
        <row r="67">
          <cell r="A67" t="str">
            <v xml:space="preserve">     1H &amp; 2H</v>
          </cell>
          <cell r="AN67" t="str">
            <v xml:space="preserve">     1H &amp; 2H</v>
          </cell>
          <cell r="EK67" t="str">
            <v xml:space="preserve">     1H &amp; 2H</v>
          </cell>
          <cell r="EL67">
            <v>0.33301211453744495</v>
          </cell>
          <cell r="EN67">
            <v>0.3015337828903874</v>
          </cell>
          <cell r="ER67">
            <v>0.35815513626834383</v>
          </cell>
          <cell r="ET67">
            <v>0.2929212362911266</v>
          </cell>
        </row>
        <row r="68">
          <cell r="A68" t="str">
            <v>EBITDA</v>
          </cell>
          <cell r="K68">
            <v>9.0053716746341619E-2</v>
          </cell>
          <cell r="L68">
            <v>0.10498588587511638</v>
          </cell>
          <cell r="N68">
            <v>7.9375940878609552E-2</v>
          </cell>
          <cell r="O68">
            <v>9.6136991842513314E-2</v>
          </cell>
          <cell r="P68">
            <v>0.12687253613666227</v>
          </cell>
          <cell r="Q68">
            <v>0.13530751708428246</v>
          </cell>
          <cell r="R68">
            <v>0.14710836608646827</v>
          </cell>
          <cell r="S68">
            <v>0.14557038105541531</v>
          </cell>
          <cell r="T68">
            <v>0.13082039911308205</v>
          </cell>
          <cell r="U68">
            <v>0.13428809967246805</v>
          </cell>
          <cell r="V68">
            <v>0.13690630677394239</v>
          </cell>
          <cell r="W68">
            <v>0.14173427991886409</v>
          </cell>
          <cell r="X68">
            <v>0.13916927199642698</v>
          </cell>
          <cell r="Y68">
            <v>0.13118279569892474</v>
          </cell>
          <cell r="Z68">
            <v>0.12868164025386691</v>
          </cell>
          <cell r="AA68">
            <v>0.10858910493331191</v>
          </cell>
          <cell r="AB68">
            <v>0.11148775894538607</v>
          </cell>
          <cell r="AC68">
            <v>0.1227452705675319</v>
          </cell>
          <cell r="AD68">
            <v>0.13145237644385532</v>
          </cell>
          <cell r="AE68">
            <v>0.13464669259900278</v>
          </cell>
          <cell r="AF68">
            <v>0.13614669259900275</v>
          </cell>
          <cell r="AG68">
            <v>0.13864669259900278</v>
          </cell>
          <cell r="AH68">
            <v>0.13864669259900272</v>
          </cell>
          <cell r="AI68">
            <v>0.13764669259900278</v>
          </cell>
          <cell r="AJ68">
            <v>0.13864669259900272</v>
          </cell>
          <cell r="AK68">
            <v>0.13964669259900278</v>
          </cell>
          <cell r="AL68">
            <v>0.14064669259900264</v>
          </cell>
          <cell r="AN68" t="str">
            <v>EBITDA</v>
          </cell>
          <cell r="AO68">
            <v>0</v>
          </cell>
          <cell r="AP68">
            <v>0</v>
          </cell>
          <cell r="AQ68">
            <v>0</v>
          </cell>
          <cell r="AR68">
            <v>0</v>
          </cell>
          <cell r="AS68">
            <v>0</v>
          </cell>
          <cell r="AU68">
            <v>6.7943208911152742E-2</v>
          </cell>
          <cell r="AV68">
            <v>4.9845461419508498E-2</v>
          </cell>
          <cell r="AW68">
            <v>6.8649383434148642E-2</v>
          </cell>
          <cell r="AX68">
            <v>0.10669880895486035</v>
          </cell>
          <cell r="AY68">
            <v>7.6144172739787269E-2</v>
          </cell>
          <cell r="BA68">
            <v>9.0037958270080251E-2</v>
          </cell>
          <cell r="BB68">
            <v>6.1182587022341257E-2</v>
          </cell>
          <cell r="BC68">
            <v>9.4692741333676139E-2</v>
          </cell>
          <cell r="BD68">
            <v>0.11869075585821284</v>
          </cell>
          <cell r="BE68">
            <v>9.4429600472659303E-2</v>
          </cell>
          <cell r="BG68">
            <v>9.0051997819223198E-2</v>
          </cell>
          <cell r="BH68">
            <v>7.8816445315412209E-2</v>
          </cell>
          <cell r="BI68">
            <v>9.2409106278100797E-2</v>
          </cell>
          <cell r="BJ68">
            <v>0.13352806166785364</v>
          </cell>
          <cell r="BK68">
            <v>0.10241823463781106</v>
          </cell>
          <cell r="BM68">
            <v>0.10189758174586723</v>
          </cell>
          <cell r="BN68">
            <v>9.2698452477914833E-2</v>
          </cell>
          <cell r="BO68">
            <v>0.10149360783180084</v>
          </cell>
          <cell r="BP68">
            <v>0.15033732592895513</v>
          </cell>
          <cell r="BQ68">
            <v>0.11579794529390085</v>
          </cell>
          <cell r="BS68">
            <v>6.7008509189925111E-2</v>
          </cell>
          <cell r="BT68">
            <v>5.9258905418315827E-2</v>
          </cell>
          <cell r="BU68">
            <v>7.7574121577283314E-2</v>
          </cell>
          <cell r="BV68">
            <v>0.13465078904488742</v>
          </cell>
          <cell r="BW68">
            <v>9.0053716746341619E-2</v>
          </cell>
          <cell r="BY68">
            <v>7.0664182066568715E-2</v>
          </cell>
          <cell r="BZ68">
            <v>7.784640630127998E-2</v>
          </cell>
          <cell r="CA68">
            <v>9.2753683184901944E-2</v>
          </cell>
          <cell r="CB68">
            <v>0</v>
          </cell>
          <cell r="CC68">
            <v>7.4262165757960283E-2</v>
          </cell>
          <cell r="CD68">
            <v>0.15499146776109726</v>
          </cell>
          <cell r="CE68">
            <v>0.14389713004995339</v>
          </cell>
          <cell r="CF68">
            <v>0.10498588587511638</v>
          </cell>
          <cell r="CG68">
            <v>0.1039617221767631</v>
          </cell>
          <cell r="CH68">
            <v>9.8270069431402887E-2</v>
          </cell>
          <cell r="CJ68">
            <v>8.0683491380616187E-2</v>
          </cell>
          <cell r="CK68">
            <v>9.3772722234875303E-2</v>
          </cell>
          <cell r="CL68">
            <v>0.10165612493585756</v>
          </cell>
          <cell r="CM68">
            <v>0.15770796896418993</v>
          </cell>
          <cell r="CN68">
            <v>0.11394209245313917</v>
          </cell>
          <cell r="CP68">
            <v>8.6164904368935924E-2</v>
          </cell>
          <cell r="CQ68">
            <v>0.10346704108428201</v>
          </cell>
          <cell r="CR68">
            <v>0.11096806535343365</v>
          </cell>
          <cell r="CS68">
            <v>0.17081762552479032</v>
          </cell>
          <cell r="CT68">
            <v>0.12324697133935045</v>
          </cell>
          <cell r="CV68">
            <v>0.10008936550491511</v>
          </cell>
          <cell r="CW68">
            <v>0.1234676007005254</v>
          </cell>
          <cell r="CX68">
            <v>0.11668545659526494</v>
          </cell>
          <cell r="CY68">
            <v>0.1799761620977354</v>
          </cell>
          <cell r="CZ68">
            <v>0.13530751708428246</v>
          </cell>
          <cell r="DB68">
            <v>0.11055555555555556</v>
          </cell>
          <cell r="DC68">
            <v>0.12606090863704444</v>
          </cell>
          <cell r="DD68">
            <v>0.11916847957457094</v>
          </cell>
          <cell r="DE68">
            <v>0.17461911937050059</v>
          </cell>
          <cell r="DF68">
            <v>0.13767216075863625</v>
          </cell>
          <cell r="DH68">
            <v>0.12426532325776658</v>
          </cell>
          <cell r="DI68">
            <v>0.15656428377276435</v>
          </cell>
          <cell r="DJ68">
            <v>0.11792702273929138</v>
          </cell>
          <cell r="DK68">
            <v>0.17790863668807994</v>
          </cell>
          <cell r="DL68">
            <v>0.14557038105541531</v>
          </cell>
          <cell r="DN68">
            <v>0.11220472440944881</v>
          </cell>
          <cell r="DO68">
            <v>0.12098623853211009</v>
          </cell>
          <cell r="DP68">
            <v>9.4964028776978418E-2</v>
          </cell>
          <cell r="DQ68">
            <v>0.17809820732657833</v>
          </cell>
          <cell r="DR68">
            <v>0.13082039911308205</v>
          </cell>
          <cell r="DT68">
            <v>0.11178685201274255</v>
          </cell>
          <cell r="DU68">
            <v>0.13425129087779691</v>
          </cell>
          <cell r="DV68">
            <v>0.10204081632653061</v>
          </cell>
          <cell r="DW68">
            <v>0.17580227227426748</v>
          </cell>
          <cell r="DX68">
            <v>0.13428809967246805</v>
          </cell>
          <cell r="DZ68">
            <v>0.10148890914615619</v>
          </cell>
          <cell r="EA68">
            <v>0.13016889924286545</v>
          </cell>
          <cell r="EB68">
            <v>0.10843373493975904</v>
          </cell>
          <cell r="EC68">
            <v>0.18820502671680189</v>
          </cell>
          <cell r="ED68">
            <v>0.13690630677394239</v>
          </cell>
          <cell r="EF68">
            <v>0.11633802816901409</v>
          </cell>
          <cell r="EG68">
            <v>0.12678022898631666</v>
          </cell>
          <cell r="EH68">
            <v>0.11035460992907802</v>
          </cell>
          <cell r="EI68">
            <v>0.19140625</v>
          </cell>
          <cell r="EJ68">
            <v>0.14173427991886409</v>
          </cell>
          <cell r="EK68" t="str">
            <v>EBITDA</v>
          </cell>
          <cell r="EL68">
            <v>0.11782477341389729</v>
          </cell>
          <cell r="EM68">
            <v>0.12945073143803479</v>
          </cell>
          <cell r="EN68">
            <v>0.10171017101710171</v>
          </cell>
          <cell r="EO68">
            <v>0.17270922578622924</v>
          </cell>
          <cell r="EP68">
            <v>0.13916927199642698</v>
          </cell>
          <cell r="ER68">
            <v>7.8414839797639121E-2</v>
          </cell>
          <cell r="ES68">
            <v>0.12043369474562135</v>
          </cell>
          <cell r="ET68">
            <v>0.10091743119266056</v>
          </cell>
          <cell r="EU68">
            <v>0.19183316955999563</v>
          </cell>
          <cell r="EV68">
            <v>0.13118279569892474</v>
          </cell>
          <cell r="EX68">
            <v>9.6774193548387094E-2</v>
          </cell>
          <cell r="EY68">
            <v>0.11439239646978955</v>
          </cell>
          <cell r="EZ68">
            <v>8.8215374195733151E-2</v>
          </cell>
          <cell r="FA68">
            <v>0.18827088666511518</v>
          </cell>
          <cell r="FB68">
            <v>0.12868164025386691</v>
          </cell>
          <cell r="FD68">
            <v>7.9171741778319121E-2</v>
          </cell>
          <cell r="FE68">
            <v>0.1136761105281567</v>
          </cell>
          <cell r="FF68">
            <v>7.3548152193701075E-2</v>
          </cell>
          <cell r="FG68">
            <v>0.15049155533148476</v>
          </cell>
          <cell r="FH68">
            <v>0.10858910493331191</v>
          </cell>
          <cell r="FJ68">
            <v>6.1838124054462935E-2</v>
          </cell>
          <cell r="FK68">
            <v>0.11031220435193945</v>
          </cell>
          <cell r="FL68">
            <v>7.2237697307335189E-2</v>
          </cell>
          <cell r="FM68">
            <v>0.17197933728108858</v>
          </cell>
          <cell r="FN68">
            <v>0.11148775894538607</v>
          </cell>
          <cell r="FP68">
            <v>8.7908144958737E-2</v>
          </cell>
          <cell r="FQ68">
            <v>0.11883691529709228</v>
          </cell>
          <cell r="FR68">
            <v>8.3051751733949852E-2</v>
          </cell>
          <cell r="FS68">
            <v>0.17583746523158786</v>
          </cell>
          <cell r="FT68">
            <v>0.1227452705675319</v>
          </cell>
          <cell r="FV68">
            <v>0.10154525386313466</v>
          </cell>
          <cell r="FW68">
            <v>0.13032497053375988</v>
          </cell>
          <cell r="FX68">
            <v>9.7898513582778068E-2</v>
          </cell>
          <cell r="FY68">
            <v>0.17491976157725814</v>
          </cell>
          <cell r="FZ68">
            <v>0.13145237644385532</v>
          </cell>
          <cell r="GB68">
            <v>0.10532313202018558</v>
          </cell>
          <cell r="GC68">
            <v>0.13255966001961425</v>
          </cell>
          <cell r="GD68">
            <v>9.1769984292360302E-2</v>
          </cell>
          <cell r="GE68">
            <v>0.18302341955100002</v>
          </cell>
          <cell r="GF68">
            <v>0.13464669259900278</v>
          </cell>
        </row>
        <row r="69">
          <cell r="A69" t="str">
            <v>Operating Income</v>
          </cell>
          <cell r="K69">
            <v>4.9834032770134616E-2</v>
          </cell>
          <cell r="L69">
            <v>7.1056478359746725E-2</v>
          </cell>
          <cell r="N69">
            <v>4.5367455864239771E-2</v>
          </cell>
          <cell r="O69">
            <v>6.0203600080900692E-2</v>
          </cell>
          <cell r="P69">
            <v>8.8107752956636004E-2</v>
          </cell>
          <cell r="Q69">
            <v>9.4695737064757562E-2</v>
          </cell>
          <cell r="R69">
            <v>0.10562106182544138</v>
          </cell>
          <cell r="S69">
            <v>0.10644308210121409</v>
          </cell>
          <cell r="T69">
            <v>8.7171365220145708E-2</v>
          </cell>
          <cell r="U69">
            <v>9.0617172949714206E-2</v>
          </cell>
          <cell r="V69">
            <v>9.0838307812094468E-2</v>
          </cell>
          <cell r="W69">
            <v>9.5017748478701827E-2</v>
          </cell>
          <cell r="X69">
            <v>9.5489057615006701E-2</v>
          </cell>
          <cell r="Y69">
            <v>8.4278828327771602E-2</v>
          </cell>
          <cell r="Z69">
            <v>7.9124387185041611E-2</v>
          </cell>
          <cell r="AA69">
            <v>5.7247308372167766E-2</v>
          </cell>
          <cell r="AB69">
            <v>6.0849550115086838E-2</v>
          </cell>
          <cell r="AC69">
            <v>7.6750789905211378E-2</v>
          </cell>
          <cell r="AD69">
            <v>9.0361673925392919E-2</v>
          </cell>
          <cell r="AE69">
            <v>9.644428925609537E-2</v>
          </cell>
          <cell r="AF69">
            <v>9.7944289256095343E-2</v>
          </cell>
          <cell r="AG69">
            <v>0.10044428925609535</v>
          </cell>
          <cell r="AH69">
            <v>0.10044428925609533</v>
          </cell>
          <cell r="AI69">
            <v>9.9444289256095372E-2</v>
          </cell>
          <cell r="AJ69">
            <v>0.10044428925609532</v>
          </cell>
          <cell r="AK69">
            <v>0.10144428925609536</v>
          </cell>
          <cell r="AL69">
            <v>0.10244428925609525</v>
          </cell>
          <cell r="AN69" t="str">
            <v>Operating Income</v>
          </cell>
          <cell r="AO69">
            <v>1.6629151314714041E-2</v>
          </cell>
          <cell r="AP69">
            <v>-2.6258248715992489E-2</v>
          </cell>
          <cell r="AQ69">
            <v>2.3944635033584606E-2</v>
          </cell>
          <cell r="AR69">
            <v>4.7141382083007131E-2</v>
          </cell>
          <cell r="AS69">
            <v>1.8926536229503767E-2</v>
          </cell>
          <cell r="AU69">
            <v>2.6057176423778111E-2</v>
          </cell>
          <cell r="AV69">
            <v>5.6888115137426025E-3</v>
          </cell>
          <cell r="AW69">
            <v>3.1170325255822338E-2</v>
          </cell>
          <cell r="AX69">
            <v>7.6689812862537954E-2</v>
          </cell>
          <cell r="AY69">
            <v>3.8511188817947503E-2</v>
          </cell>
          <cell r="BA69">
            <v>5.3864986645255068E-2</v>
          </cell>
          <cell r="BB69">
            <v>2.1736713669665054E-2</v>
          </cell>
          <cell r="BC69">
            <v>6.1917365627611451E-2</v>
          </cell>
          <cell r="BD69">
            <v>9.3424602062388007E-2</v>
          </cell>
          <cell r="BE69">
            <v>6.1926222266541493E-2</v>
          </cell>
          <cell r="BG69">
            <v>5.4570356149532914E-2</v>
          </cell>
          <cell r="BH69">
            <v>4.1293680040045563E-2</v>
          </cell>
          <cell r="BI69">
            <v>6.0012909968339807E-2</v>
          </cell>
          <cell r="BJ69">
            <v>0.10838774480904291</v>
          </cell>
          <cell r="BK69">
            <v>7.0634157218449081E-2</v>
          </cell>
          <cell r="BM69">
            <v>6.5678497802714245E-2</v>
          </cell>
          <cell r="BN69">
            <v>5.424096234571759E-2</v>
          </cell>
          <cell r="BO69">
            <v>6.8868716236309635E-2</v>
          </cell>
          <cell r="BP69">
            <v>0.12375861094812787</v>
          </cell>
          <cell r="BQ69">
            <v>8.3179489215472066E-2</v>
          </cell>
          <cell r="BS69">
            <v>2.0592579986385289E-2</v>
          </cell>
          <cell r="BT69">
            <v>1.0944452026750382E-2</v>
          </cell>
          <cell r="BU69">
            <v>3.7008590347789791E-2</v>
          </cell>
          <cell r="BV69">
            <v>0.10404879355371534</v>
          </cell>
          <cell r="BW69">
            <v>4.9834032770134616E-2</v>
          </cell>
          <cell r="BY69">
            <v>3.2090631678785023E-2</v>
          </cell>
          <cell r="BZ69">
            <v>3.8135214965539906E-2</v>
          </cell>
          <cell r="CA69">
            <v>5.5975831011468857E-2</v>
          </cell>
          <cell r="CB69">
            <v>-0.10252169720347212</v>
          </cell>
          <cell r="CC69">
            <v>3.8446588369501468E-2</v>
          </cell>
          <cell r="CD69">
            <v>0.12873290852143857</v>
          </cell>
          <cell r="CE69">
            <v>0.11884822123876988</v>
          </cell>
          <cell r="CF69">
            <v>7.1056478359746725E-2</v>
          </cell>
          <cell r="CG69">
            <v>7.0004484251611696E-2</v>
          </cell>
          <cell r="CH69">
            <v>6.524885245670671E-2</v>
          </cell>
          <cell r="CJ69">
            <v>4.0290544429969356E-2</v>
          </cell>
          <cell r="CK69">
            <v>5.3184797157810007E-2</v>
          </cell>
          <cell r="CL69">
            <v>6.4174702727624475E-2</v>
          </cell>
          <cell r="CM69">
            <v>0.13159811859403786</v>
          </cell>
          <cell r="CN69">
            <v>7.8919319505097951E-2</v>
          </cell>
          <cell r="CP69">
            <v>4.3430932175175192E-2</v>
          </cell>
          <cell r="CQ69">
            <v>6.1358381779115137E-2</v>
          </cell>
          <cell r="CR69">
            <v>7.1527298042109028E-2</v>
          </cell>
          <cell r="CS69">
            <v>0.14088688875907193</v>
          </cell>
          <cell r="CT69">
            <v>8.5573034287292751E-2</v>
          </cell>
          <cell r="CV69">
            <v>5.391718796544534E-2</v>
          </cell>
          <cell r="CW69">
            <v>7.7933450087565678E-2</v>
          </cell>
          <cell r="CX69">
            <v>7.243517474633597E-2</v>
          </cell>
          <cell r="CY69">
            <v>0.14898688915375446</v>
          </cell>
          <cell r="CZ69">
            <v>9.4695737064757562E-2</v>
          </cell>
          <cell r="DB69">
            <v>6.25E-2</v>
          </cell>
          <cell r="DC69">
            <v>7.9380928607089368E-2</v>
          </cell>
          <cell r="DD69">
            <v>7.29997582789461E-2</v>
          </cell>
          <cell r="DE69">
            <v>0.14331156872593337</v>
          </cell>
          <cell r="DF69">
            <v>9.6014901783698356E-2</v>
          </cell>
          <cell r="DH69">
            <v>7.5286873775538762E-2</v>
          </cell>
          <cell r="DI69">
            <v>0.10926882304974178</v>
          </cell>
          <cell r="DJ69">
            <v>7.112638815441566E-2</v>
          </cell>
          <cell r="DK69">
            <v>0.14828693790149894</v>
          </cell>
          <cell r="DL69">
            <v>0.10644308210121409</v>
          </cell>
          <cell r="DN69">
            <v>6.4679415073115865E-2</v>
          </cell>
          <cell r="DO69">
            <v>7.2821100917431186E-2</v>
          </cell>
          <cell r="DP69">
            <v>4.4892086330935249E-2</v>
          </cell>
          <cell r="DQ69">
            <v>0.14341387373343725</v>
          </cell>
          <cell r="DR69">
            <v>8.7171365220145708E-2</v>
          </cell>
          <cell r="DT69">
            <v>6.4002316825948452E-2</v>
          </cell>
          <cell r="DU69">
            <v>8.6058519793459548E-2</v>
          </cell>
          <cell r="DV69">
            <v>5.4038516815176775E-2</v>
          </cell>
          <cell r="DW69">
            <v>0.13992425752441698</v>
          </cell>
          <cell r="DX69">
            <v>9.0617172949714206E-2</v>
          </cell>
          <cell r="DZ69">
            <v>4.6794287450622911E-2</v>
          </cell>
          <cell r="EA69">
            <v>7.9790331974373907E-2</v>
          </cell>
          <cell r="EB69">
            <v>5.7946069994262765E-2</v>
          </cell>
          <cell r="EC69">
            <v>0.152384721947358</v>
          </cell>
          <cell r="ED69">
            <v>9.0838307812094468E-2</v>
          </cell>
          <cell r="EF69">
            <v>6.6478873239436617E-2</v>
          </cell>
          <cell r="EG69">
            <v>7.7073443172298237E-2</v>
          </cell>
          <cell r="EH69">
            <v>5.9858156028368796E-2</v>
          </cell>
          <cell r="EI69">
            <v>0.15156249999999999</v>
          </cell>
          <cell r="EJ69">
            <v>9.5017748478701827E-2</v>
          </cell>
          <cell r="EK69" t="str">
            <v>Operating Income</v>
          </cell>
          <cell r="EL69">
            <v>6.9211755012359238E-2</v>
          </cell>
          <cell r="EM69">
            <v>8.0320176649185754E-2</v>
          </cell>
          <cell r="EN69">
            <v>4.8604860486048604E-2</v>
          </cell>
          <cell r="EO69">
            <v>0.13843903458363807</v>
          </cell>
          <cell r="EP69">
            <v>9.5489057615006701E-2</v>
          </cell>
          <cell r="ER69">
            <v>2.5126475548060707E-2</v>
          </cell>
          <cell r="ES69">
            <v>6.805671392827356E-2</v>
          </cell>
          <cell r="ET69">
            <v>4.7400611620795105E-2</v>
          </cell>
          <cell r="EU69">
            <v>0.1568948575171962</v>
          </cell>
          <cell r="EV69">
            <v>8.4278828327771602E-2</v>
          </cell>
          <cell r="EX69">
            <v>4.12092551933795E-2</v>
          </cell>
          <cell r="EY69">
            <v>5.8893414799728448E-2</v>
          </cell>
          <cell r="EZ69">
            <v>3.3863867253640365E-2</v>
          </cell>
          <cell r="FA69">
            <v>0.15022108447754248</v>
          </cell>
          <cell r="FB69">
            <v>7.9124387185041611E-2</v>
          </cell>
          <cell r="FD69">
            <v>2.4360535931790498E-2</v>
          </cell>
          <cell r="FE69">
            <v>5.8586918502973068E-2</v>
          </cell>
          <cell r="FF69">
            <v>1.5292190060076462E-2</v>
          </cell>
          <cell r="FG69">
            <v>0.10915049155533149</v>
          </cell>
          <cell r="FH69">
            <v>5.7247308372167766E-2</v>
          </cell>
          <cell r="FJ69">
            <v>4.5385779122541605E-3</v>
          </cell>
          <cell r="FK69">
            <v>5.3358561967833493E-2</v>
          </cell>
          <cell r="FL69">
            <v>1.6341689879294335E-2</v>
          </cell>
          <cell r="FM69">
            <v>0.1335517197933728</v>
          </cell>
          <cell r="FN69">
            <v>6.0849550115086838E-2</v>
          </cell>
          <cell r="FP69">
            <v>3.6419088625762472E-2</v>
          </cell>
          <cell r="FQ69">
            <v>6.6823189452772255E-2</v>
          </cell>
          <cell r="FR69">
            <v>3.1477858794237951E-2</v>
          </cell>
          <cell r="FS69">
            <v>0.14137138710847744</v>
          </cell>
          <cell r="FT69">
            <v>7.6750789905211378E-2</v>
          </cell>
          <cell r="FV69">
            <v>5.6036678553234846E-2</v>
          </cell>
          <cell r="FW69">
            <v>8.5199528540158276E-2</v>
          </cell>
          <cell r="FX69">
            <v>4.9718093285494619E-2</v>
          </cell>
          <cell r="FY69">
            <v>0.1443145346171481</v>
          </cell>
          <cell r="FZ69">
            <v>9.0361673925392919E-2</v>
          </cell>
          <cell r="GB69">
            <v>6.3649682565521726E-2</v>
          </cell>
          <cell r="GC69">
            <v>9.0552468126838842E-2</v>
          </cell>
          <cell r="GD69">
            <v>4.6390367560213731E-2</v>
          </cell>
          <cell r="GE69">
            <v>0.15423304866911453</v>
          </cell>
          <cell r="GF69">
            <v>9.644428925609537E-2</v>
          </cell>
        </row>
        <row r="70">
          <cell r="A70" t="str">
            <v>Y/Y ∆ bps</v>
          </cell>
          <cell r="O70">
            <v>148.36144216660921</v>
          </cell>
          <cell r="P70">
            <v>279.04152875735315</v>
          </cell>
          <cell r="Q70">
            <v>65.879841081215588</v>
          </cell>
          <cell r="R70">
            <v>109.25324760683822</v>
          </cell>
          <cell r="S70">
            <v>8.22020275772703</v>
          </cell>
          <cell r="T70">
            <v>-192.7171688106838</v>
          </cell>
          <cell r="U70">
            <v>34.45807729568498</v>
          </cell>
          <cell r="V70">
            <v>2.2113486238026225</v>
          </cell>
          <cell r="W70">
            <v>41.794406666073591</v>
          </cell>
          <cell r="X70">
            <v>4.7130913630487328</v>
          </cell>
          <cell r="Y70">
            <v>-112.10229287235099</v>
          </cell>
          <cell r="Z70">
            <v>-51.544411427299899</v>
          </cell>
          <cell r="AA70">
            <v>-218.77078812873845</v>
          </cell>
          <cell r="AB70">
            <v>36.022417429190725</v>
          </cell>
          <cell r="AC70">
            <v>159.01239790124541</v>
          </cell>
          <cell r="AD70">
            <v>136.10884020181541</v>
          </cell>
          <cell r="AE70">
            <v>60.826153307024512</v>
          </cell>
          <cell r="AF70">
            <v>14.999999999999735</v>
          </cell>
          <cell r="AG70">
            <v>25.000000000000021</v>
          </cell>
          <cell r="AH70">
            <v>-1.3877787807814457E-13</v>
          </cell>
          <cell r="AI70">
            <v>-9.9999999999995932</v>
          </cell>
          <cell r="AJ70">
            <v>9.9999999999994529</v>
          </cell>
          <cell r="AK70">
            <v>10.000000000000425</v>
          </cell>
          <cell r="AL70">
            <v>9.9999999999988987</v>
          </cell>
          <cell r="AN70" t="str">
            <v>Y/Y ∆ bps</v>
          </cell>
          <cell r="DH70">
            <v>127.86873775538763</v>
          </cell>
          <cell r="DI70">
            <v>298.87894442652413</v>
          </cell>
          <cell r="DJ70">
            <v>-18.733701245304406</v>
          </cell>
          <cell r="DK70">
            <v>49.753691755655694</v>
          </cell>
          <cell r="DL70">
            <v>104.28180317515731</v>
          </cell>
          <cell r="DN70">
            <v>-106.07458702422898</v>
          </cell>
          <cell r="DO70">
            <v>-364.47722132310594</v>
          </cell>
          <cell r="DP70">
            <v>-262.34301823480411</v>
          </cell>
          <cell r="DQ70">
            <v>-48.730641680616863</v>
          </cell>
          <cell r="DR70">
            <v>-192.7171688106838</v>
          </cell>
          <cell r="DT70">
            <v>-6.7709824716741256</v>
          </cell>
          <cell r="DU70">
            <v>132.37418876028363</v>
          </cell>
          <cell r="DV70">
            <v>91.46430484241526</v>
          </cell>
          <cell r="DW70">
            <v>-34.896162090202743</v>
          </cell>
          <cell r="DX70">
            <v>34.45807729568498</v>
          </cell>
          <cell r="DZ70">
            <v>-172.0802937532554</v>
          </cell>
          <cell r="EA70">
            <v>-62.681878190856409</v>
          </cell>
          <cell r="EB70">
            <v>39.075531790859905</v>
          </cell>
          <cell r="EC70">
            <v>124.6046442294102</v>
          </cell>
          <cell r="ED70">
            <v>2.2113486238026225</v>
          </cell>
          <cell r="EF70">
            <v>196.84585788813706</v>
          </cell>
          <cell r="EG70">
            <v>-27.168888020756704</v>
          </cell>
          <cell r="EH70">
            <v>19.120860341060308</v>
          </cell>
          <cell r="EI70">
            <v>-8.2222194735800951</v>
          </cell>
          <cell r="EJ70">
            <v>41.794406666073591</v>
          </cell>
          <cell r="EK70" t="str">
            <v>Y/Y ∆ bps</v>
          </cell>
          <cell r="EL70">
            <v>27.328817729226213</v>
          </cell>
          <cell r="EM70">
            <v>32.467334768875169</v>
          </cell>
          <cell r="EN70">
            <v>-112.53295542320193</v>
          </cell>
          <cell r="EO70">
            <v>-131.23465416361918</v>
          </cell>
          <cell r="EP70">
            <v>4.7130913630487328</v>
          </cell>
          <cell r="ER70">
            <v>-440.85279464298537</v>
          </cell>
          <cell r="ES70">
            <v>-122.63462720912194</v>
          </cell>
          <cell r="ET70">
            <v>-12.042488652534988</v>
          </cell>
          <cell r="EU70">
            <v>184.5582293355813</v>
          </cell>
          <cell r="EV70">
            <v>-112.10229287235099</v>
          </cell>
          <cell r="EX70">
            <v>160.82779645318794</v>
          </cell>
          <cell r="EY70">
            <v>-91.632991285451112</v>
          </cell>
          <cell r="EZ70">
            <v>-135.36744367154739</v>
          </cell>
          <cell r="FA70">
            <v>-66.737730396537188</v>
          </cell>
          <cell r="FB70">
            <v>-51.544411427299899</v>
          </cell>
          <cell r="FD70">
            <v>-168.48719261589002</v>
          </cell>
          <cell r="FE70">
            <v>-3.0649629675538055</v>
          </cell>
          <cell r="FF70">
            <v>-185.71677193563903</v>
          </cell>
          <cell r="FG70">
            <v>-410.70592922210989</v>
          </cell>
          <cell r="FH70">
            <v>-218.77078812873845</v>
          </cell>
          <cell r="FJ70">
            <v>-198.21958019536339</v>
          </cell>
          <cell r="FK70">
            <v>-52.283565351395751</v>
          </cell>
          <cell r="FL70">
            <v>10.494998192178731</v>
          </cell>
          <cell r="FM70">
            <v>244.01228238041307</v>
          </cell>
          <cell r="FN70">
            <v>36.022417429190725</v>
          </cell>
          <cell r="FP70">
            <v>318.80510713508306</v>
          </cell>
          <cell r="FQ70">
            <v>134.64627484938762</v>
          </cell>
          <cell r="FR70">
            <v>151.36168914943616</v>
          </cell>
          <cell r="FS70">
            <v>78.196673151046397</v>
          </cell>
          <cell r="FT70">
            <v>159.01239790124541</v>
          </cell>
          <cell r="FV70">
            <v>196.17589927472375</v>
          </cell>
          <cell r="FW70">
            <v>183.7633908738602</v>
          </cell>
          <cell r="FX70">
            <v>182.40234491256669</v>
          </cell>
          <cell r="FY70">
            <v>29.431475086706683</v>
          </cell>
          <cell r="FZ70">
            <v>136.10884020181541</v>
          </cell>
          <cell r="GB70">
            <v>76.130040122868792</v>
          </cell>
          <cell r="GC70">
            <v>53.529395866805665</v>
          </cell>
          <cell r="GD70">
            <v>-33.277257252808873</v>
          </cell>
          <cell r="GE70">
            <v>99.185140519664202</v>
          </cell>
          <cell r="GF70">
            <v>60.826153307024512</v>
          </cell>
        </row>
        <row r="71">
          <cell r="A71" t="str">
            <v>Interest Expense, net</v>
          </cell>
          <cell r="K71">
            <v>3.2697149947086085E-2</v>
          </cell>
          <cell r="L71">
            <v>2.9523074454598411E-2</v>
          </cell>
          <cell r="N71">
            <v>3.1545093745723278E-2</v>
          </cell>
          <cell r="O71">
            <v>3.0472594889772803E-2</v>
          </cell>
          <cell r="P71">
            <v>2.5164257555847568E-2</v>
          </cell>
          <cell r="Q71">
            <v>1.9004230393752035E-2</v>
          </cell>
          <cell r="R71">
            <v>1.9152785576143239E-2</v>
          </cell>
          <cell r="S71">
            <v>1.9293184276956366E-2</v>
          </cell>
          <cell r="T71">
            <v>2.0525815647766867E-2</v>
          </cell>
          <cell r="U71">
            <v>1.8945475563547622E-2</v>
          </cell>
          <cell r="V71">
            <v>1.6675317934077342E-2</v>
          </cell>
          <cell r="W71">
            <v>1.4262170385395538E-2</v>
          </cell>
          <cell r="X71">
            <v>1.7731129968736044E-2</v>
          </cell>
          <cell r="Y71">
            <v>1.7093066370040787E-2</v>
          </cell>
          <cell r="Z71">
            <v>2.0636187435868203E-2</v>
          </cell>
          <cell r="AA71">
            <v>2.2497187851518559E-2</v>
          </cell>
          <cell r="AB71">
            <v>2.3268466206319314E-2</v>
          </cell>
          <cell r="AC71">
            <v>2.2957245130584329E-2</v>
          </cell>
          <cell r="AD71">
            <v>1.677712554440447E-2</v>
          </cell>
          <cell r="AE71">
            <v>1.5811449048425012E-2</v>
          </cell>
          <cell r="AF71">
            <v>1.5432439405946033E-2</v>
          </cell>
          <cell r="AG71">
            <v>1.1551362026190394E-2</v>
          </cell>
          <cell r="AH71">
            <v>1.1247354128091228E-2</v>
          </cell>
          <cell r="AI71">
            <v>8.8517788743727871E-3</v>
          </cell>
          <cell r="AJ71">
            <v>7.3060870294808875E-3</v>
          </cell>
          <cell r="AK71">
            <v>6.4151370536479606E-3</v>
          </cell>
          <cell r="AL71">
            <v>6.1009977063129633E-3</v>
          </cell>
          <cell r="AN71" t="str">
            <v>Interest Expense, net</v>
          </cell>
          <cell r="AO71">
            <v>9.4412937137683436E-2</v>
          </cell>
          <cell r="AP71">
            <v>8.9822192159361131E-2</v>
          </cell>
          <cell r="AQ71">
            <v>7.6101932466374367E-2</v>
          </cell>
          <cell r="AR71">
            <v>5.9439345690775844E-2</v>
          </cell>
          <cell r="AS71">
            <v>7.7841406231294583E-2</v>
          </cell>
          <cell r="AU71">
            <v>7.2724750991421602E-2</v>
          </cell>
          <cell r="AV71">
            <v>7.3799442818719529E-2</v>
          </cell>
          <cell r="AW71">
            <v>6.4135371212258638E-2</v>
          </cell>
          <cell r="AX71">
            <v>4.7384105029377857E-2</v>
          </cell>
          <cell r="AY71">
            <v>6.303759937325483E-2</v>
          </cell>
          <cell r="BA71">
            <v>3.6447192449574548E-2</v>
          </cell>
          <cell r="BB71">
            <v>3.4143281828587738E-2</v>
          </cell>
          <cell r="BC71">
            <v>2.4557775026342047E-2</v>
          </cell>
          <cell r="BD71">
            <v>2.0725558102914272E-2</v>
          </cell>
          <cell r="BE71">
            <v>2.7945713106931256E-2</v>
          </cell>
          <cell r="BG71">
            <v>2.7210661911047193E-2</v>
          </cell>
          <cell r="BH71">
            <v>2.6805113267229716E-2</v>
          </cell>
          <cell r="BI71">
            <v>2.2350452547483253E-2</v>
          </cell>
          <cell r="BJ71">
            <v>1.729722637786555E-2</v>
          </cell>
          <cell r="BK71">
            <v>2.2704354963602815E-2</v>
          </cell>
          <cell r="BM71">
            <v>2.7417845940236968E-2</v>
          </cell>
          <cell r="BN71">
            <v>3.0510619635361193E-2</v>
          </cell>
          <cell r="BO71">
            <v>2.6461339487889576E-2</v>
          </cell>
          <cell r="BP71">
            <v>2.1503910610110491E-2</v>
          </cell>
          <cell r="BQ71">
            <v>2.587720988333796E-2</v>
          </cell>
          <cell r="BS71">
            <v>3.5071477195371001E-2</v>
          </cell>
          <cell r="BT71">
            <v>3.7450525453801002E-2</v>
          </cell>
          <cell r="BU71">
            <v>3.4075046232774568E-2</v>
          </cell>
          <cell r="BV71">
            <v>2.6999397334880916E-2</v>
          </cell>
          <cell r="BW71">
            <v>3.2697149947086085E-2</v>
          </cell>
          <cell r="BY71">
            <v>3.2647859475516454E-2</v>
          </cell>
          <cell r="BZ71">
            <v>3.3874630784378072E-2</v>
          </cell>
          <cell r="CA71">
            <v>3.1383267217194519E-2</v>
          </cell>
          <cell r="CB71">
            <v>6.1890067502410759E-2</v>
          </cell>
          <cell r="CC71">
            <v>3.4758851116312182E-2</v>
          </cell>
          <cell r="CD71">
            <v>2.3302732476509342E-2</v>
          </cell>
          <cell r="CE71">
            <v>2.4686318828467779E-2</v>
          </cell>
          <cell r="CF71">
            <v>2.9523074454598411E-2</v>
          </cell>
          <cell r="CG71">
            <v>2.9750774835216397E-2</v>
          </cell>
          <cell r="CH71">
            <v>3.0636684676753432E-2</v>
          </cell>
          <cell r="CJ71">
            <v>3.4017329657345413E-2</v>
          </cell>
          <cell r="CK71">
            <v>3.5202793472316786E-2</v>
          </cell>
          <cell r="CL71">
            <v>3.140935201327294E-2</v>
          </cell>
          <cell r="CM71">
            <v>2.1948147333105857E-2</v>
          </cell>
          <cell r="CN71">
            <v>2.966465240014567E-2</v>
          </cell>
          <cell r="CP71">
            <v>3.0617252516873267E-2</v>
          </cell>
          <cell r="CQ71">
            <v>2.8748310443407421E-2</v>
          </cell>
          <cell r="CR71">
            <v>2.4525155114038584E-2</v>
          </cell>
          <cell r="CS71">
            <v>1.7188736384699484E-2</v>
          </cell>
          <cell r="CT71">
            <v>2.4412010687558432E-2</v>
          </cell>
          <cell r="CV71">
            <v>2.2937146261543043E-2</v>
          </cell>
          <cell r="CW71">
            <v>2.1599532983070636E-2</v>
          </cell>
          <cell r="CX71">
            <v>2.0293122886133032E-2</v>
          </cell>
          <cell r="CY71">
            <v>1.3706793802145411E-2</v>
          </cell>
          <cell r="CZ71">
            <v>1.9004230393752035E-2</v>
          </cell>
          <cell r="DB71">
            <v>2.0833333333333332E-2</v>
          </cell>
          <cell r="DC71">
            <v>2.1218172740888667E-2</v>
          </cell>
          <cell r="DD71">
            <v>2.1996615905245348E-2</v>
          </cell>
          <cell r="DE71">
            <v>1.7411685919973212E-2</v>
          </cell>
          <cell r="DF71">
            <v>2.003838338225333E-2</v>
          </cell>
          <cell r="DH71">
            <v>1.9311502938706968E-2</v>
          </cell>
          <cell r="DI71">
            <v>2.1201413427561839E-2</v>
          </cell>
          <cell r="DJ71">
            <v>2.2210470650449499E-2</v>
          </cell>
          <cell r="DK71">
            <v>1.6059957173447537E-2</v>
          </cell>
          <cell r="DL71">
            <v>1.9293184276956366E-2</v>
          </cell>
          <cell r="DN71">
            <v>2.1934758155230598E-2</v>
          </cell>
          <cell r="DO71">
            <v>2.2362385321100919E-2</v>
          </cell>
          <cell r="DP71">
            <v>2.302158273381295E-2</v>
          </cell>
          <cell r="DQ71">
            <v>1.7147310989867499E-2</v>
          </cell>
          <cell r="DR71">
            <v>2.0525815647766867E-2</v>
          </cell>
          <cell r="DT71">
            <v>2.143064002316826E-2</v>
          </cell>
          <cell r="DU71">
            <v>2.2375215146299483E-2</v>
          </cell>
          <cell r="DV71">
            <v>2.0983041103765449E-2</v>
          </cell>
          <cell r="DW71">
            <v>1.3952561291608531E-2</v>
          </cell>
          <cell r="DX71">
            <v>1.8945475563547622E-2</v>
          </cell>
          <cell r="DZ71">
            <v>2.127013065937405E-2</v>
          </cell>
          <cell r="EA71">
            <v>1.8928363424577752E-2</v>
          </cell>
          <cell r="EB71">
            <v>1.7498565691336777E-2</v>
          </cell>
          <cell r="EC71">
            <v>1.2072036414011479E-2</v>
          </cell>
          <cell r="ED71">
            <v>1.6675317934077342E-2</v>
          </cell>
          <cell r="EF71">
            <v>1.6901408450704224E-2</v>
          </cell>
          <cell r="EG71">
            <v>1.6755096341803964E-2</v>
          </cell>
          <cell r="EH71">
            <v>1.5602836879432624E-2</v>
          </cell>
          <cell r="EI71">
            <v>9.765625E-3</v>
          </cell>
          <cell r="EJ71">
            <v>1.4262170385395538E-2</v>
          </cell>
          <cell r="EK71" t="str">
            <v>Interest Expense, net</v>
          </cell>
          <cell r="EL71">
            <v>1.4831090359791266E-2</v>
          </cell>
          <cell r="EM71">
            <v>1.4904775048302512E-2</v>
          </cell>
          <cell r="EN71">
            <v>2.6102610261026102E-2</v>
          </cell>
          <cell r="EO71">
            <v>1.5045449796259535E-2</v>
          </cell>
          <cell r="EP71">
            <v>1.7731129968736044E-2</v>
          </cell>
          <cell r="ER71">
            <v>2.3271500843170319E-2</v>
          </cell>
          <cell r="ES71">
            <v>1.9349457881567972E-2</v>
          </cell>
          <cell r="ET71">
            <v>1.7669045191980971E-2</v>
          </cell>
          <cell r="EU71">
            <v>1.1245769188776067E-2</v>
          </cell>
          <cell r="EV71">
            <v>1.7093066370040787E-2</v>
          </cell>
          <cell r="EX71">
            <v>2.1111298767100151E-2</v>
          </cell>
          <cell r="EY71">
            <v>2.3251866938221316E-2</v>
          </cell>
          <cell r="EZ71">
            <v>2.4551303758889264E-2</v>
          </cell>
          <cell r="FA71">
            <v>1.5824994181987434E-2</v>
          </cell>
          <cell r="FB71">
            <v>2.0636187435868203E-2</v>
          </cell>
          <cell r="FD71">
            <v>2.3664520619453629E-2</v>
          </cell>
          <cell r="FE71">
            <v>2.4134312696747113E-2</v>
          </cell>
          <cell r="FF71">
            <v>2.60331330784635E-2</v>
          </cell>
          <cell r="FG71">
            <v>1.8023695487774136E-2</v>
          </cell>
          <cell r="FH71">
            <v>2.2497187851518559E-2</v>
          </cell>
          <cell r="FJ71">
            <v>2.6664145234493192E-2</v>
          </cell>
          <cell r="FK71">
            <v>2.6300851466414379E-2</v>
          </cell>
          <cell r="FL71">
            <v>2.544103992571959E-2</v>
          </cell>
          <cell r="FM71">
            <v>1.7512914199319642E-2</v>
          </cell>
          <cell r="FN71">
            <v>2.3268466206319314E-2</v>
          </cell>
          <cell r="FP71">
            <v>2.9063509149623249E-2</v>
          </cell>
          <cell r="FQ71">
            <v>2.3478417915838903E-2</v>
          </cell>
          <cell r="FR71">
            <v>2.9165925662457761E-2</v>
          </cell>
          <cell r="FS71">
            <v>1.4270165679042206E-2</v>
          </cell>
          <cell r="FT71">
            <v>2.2957245130584329E-2</v>
          </cell>
          <cell r="FV71">
            <v>1.9697741552046188E-2</v>
          </cell>
          <cell r="FW71">
            <v>1.869001515406634E-2</v>
          </cell>
          <cell r="FX71">
            <v>1.8452075858534086E-2</v>
          </cell>
          <cell r="FY71">
            <v>1.2379642365887207E-2</v>
          </cell>
          <cell r="FZ71">
            <v>1.677712554440447E-2</v>
          </cell>
          <cell r="GB71">
            <v>1.8232134136415432E-2</v>
          </cell>
          <cell r="GC71">
            <v>1.7162471395881007E-2</v>
          </cell>
          <cell r="GD71">
            <v>1.7615406893202082E-2</v>
          </cell>
          <cell r="GE71">
            <v>1.2172632499990378E-2</v>
          </cell>
          <cell r="GF71">
            <v>1.5811449048425012E-2</v>
          </cell>
        </row>
        <row r="72">
          <cell r="A72" t="str">
            <v>Pretax Income</v>
          </cell>
          <cell r="K72">
            <v>6.7361237820676165E-3</v>
          </cell>
          <cell r="L72">
            <v>2.1767271032489204E-2</v>
          </cell>
          <cell r="N72">
            <v>1.3822362118516491E-2</v>
          </cell>
          <cell r="O72">
            <v>2.9731005191127889E-2</v>
          </cell>
          <cell r="P72">
            <v>6.2943495400788432E-2</v>
          </cell>
          <cell r="Q72">
            <v>7.5691506671005535E-2</v>
          </cell>
          <cell r="R72">
            <v>8.6468276249298148E-2</v>
          </cell>
          <cell r="S72">
            <v>8.2341627599471084E-2</v>
          </cell>
          <cell r="T72">
            <v>4.9414000633512832E-2</v>
          </cell>
          <cell r="U72">
            <v>6.7304604713891214E-2</v>
          </cell>
          <cell r="V72">
            <v>7.0334804048793151E-2</v>
          </cell>
          <cell r="W72">
            <v>7.074036511156187E-2</v>
          </cell>
          <cell r="X72">
            <v>9.1290754801250554E-2</v>
          </cell>
          <cell r="Y72">
            <v>5.0982573229514272E-2</v>
          </cell>
          <cell r="Z72">
            <v>5.0165317523657507E-2</v>
          </cell>
          <cell r="AA72">
            <v>1.783705608227543E-2</v>
          </cell>
          <cell r="AB72">
            <v>2.1217827997489013E-2</v>
          </cell>
          <cell r="AC72">
            <v>5.2793664760228773E-2</v>
          </cell>
          <cell r="AD72">
            <v>7.4531338761598176E-2</v>
          </cell>
          <cell r="AE72">
            <v>8.063284020767035E-2</v>
          </cell>
          <cell r="AF72">
            <v>8.251184985014931E-2</v>
          </cell>
          <cell r="AG72">
            <v>8.8892927229904967E-2</v>
          </cell>
          <cell r="AH72">
            <v>8.9196935128004098E-2</v>
          </cell>
          <cell r="AI72">
            <v>9.0592510381722585E-2</v>
          </cell>
          <cell r="AJ72">
            <v>9.3138202226614425E-2</v>
          </cell>
          <cell r="AK72">
            <v>9.5029152202447398E-2</v>
          </cell>
          <cell r="AL72">
            <v>9.6343291549782287E-2</v>
          </cell>
          <cell r="AN72" t="str">
            <v>Pretax Income</v>
          </cell>
          <cell r="AO72">
            <v>-9.0163223218439878E-2</v>
          </cell>
          <cell r="AP72">
            <v>-0.12220487490266711</v>
          </cell>
          <cell r="AQ72">
            <v>-6.8728084842250486E-2</v>
          </cell>
          <cell r="AR72">
            <v>-4.2722085061616032E-2</v>
          </cell>
          <cell r="AS72">
            <v>-7.6701526732841571E-2</v>
          </cell>
          <cell r="AU72">
            <v>-5.3355708699343932E-2</v>
          </cell>
          <cell r="AV72">
            <v>-0.14065250514292904</v>
          </cell>
          <cell r="AW72">
            <v>-4.6809031067335062E-2</v>
          </cell>
          <cell r="AX72">
            <v>-0.69561674772520654</v>
          </cell>
          <cell r="AY72">
            <v>-0.27021375085956034</v>
          </cell>
          <cell r="BA72">
            <v>1.4618324059028203E-2</v>
          </cell>
          <cell r="BB72">
            <v>-1.5426032725505995E-2</v>
          </cell>
          <cell r="BC72">
            <v>3.1043089160492192E-2</v>
          </cell>
          <cell r="BD72">
            <v>7.7794891155674686E-2</v>
          </cell>
          <cell r="BE72">
            <v>3.2769623362680571E-2</v>
          </cell>
          <cell r="BG72">
            <v>2.4938704953092587E-2</v>
          </cell>
          <cell r="BH72">
            <v>1.204229814789173E-2</v>
          </cell>
          <cell r="BI72">
            <v>3.5217387659523307E-2</v>
          </cell>
          <cell r="BJ72">
            <v>0.10522273490933497</v>
          </cell>
          <cell r="BK72">
            <v>5.0872782632487255E-2</v>
          </cell>
          <cell r="BM72">
            <v>3.5115451996243524E-2</v>
          </cell>
          <cell r="BN72">
            <v>6.4325543512310261E-3</v>
          </cell>
          <cell r="BO72">
            <v>4.065577786300785E-2</v>
          </cell>
          <cell r="BP72">
            <v>0.11104631292387993</v>
          </cell>
          <cell r="BQ72">
            <v>5.5494424440059829E-2</v>
          </cell>
          <cell r="BS72">
            <v>-1.7950987066031328E-2</v>
          </cell>
          <cell r="BT72">
            <v>-2.984338747099767E-2</v>
          </cell>
          <cell r="BU72">
            <v>-2.2680904372725637E-2</v>
          </cell>
          <cell r="BV72">
            <v>6.8868998459855821E-2</v>
          </cell>
          <cell r="BW72">
            <v>6.7361237820676122E-3</v>
          </cell>
          <cell r="BY72">
            <v>-2.9032070216726567E-2</v>
          </cell>
          <cell r="BZ72">
            <v>-3.3351493272070855E-2</v>
          </cell>
          <cell r="CA72">
            <v>1.2893247034373114E-2</v>
          </cell>
          <cell r="CB72">
            <v>-0.16441176470588287</v>
          </cell>
          <cell r="CC72">
            <v>-6.752536903383885E-3</v>
          </cell>
          <cell r="CD72">
            <v>9.7221946214493968E-2</v>
          </cell>
          <cell r="CE72">
            <v>7.8835875325267243E-2</v>
          </cell>
          <cell r="CF72">
            <v>2.17672710324892E-2</v>
          </cell>
          <cell r="CG72">
            <v>1.8428552040484762E-2</v>
          </cell>
          <cell r="CH72">
            <v>1.3388614238720465E-2</v>
          </cell>
          <cell r="CJ72">
            <v>-1.7267246341685142E-2</v>
          </cell>
          <cell r="CK72">
            <v>-1.2136794400388754E-2</v>
          </cell>
          <cell r="CL72">
            <v>2.0489877389345192E-2</v>
          </cell>
          <cell r="CM72">
            <v>9.2227383028815668E-2</v>
          </cell>
          <cell r="CN72">
            <v>2.8987918734701083E-2</v>
          </cell>
          <cell r="CP72">
            <v>1.2813679658301928E-2</v>
          </cell>
          <cell r="CQ72">
            <v>3.2610071335707716E-2</v>
          </cell>
          <cell r="CR72">
            <v>4.7002142928070444E-2</v>
          </cell>
          <cell r="CS72">
            <v>0.12369815237437246</v>
          </cell>
          <cell r="CT72">
            <v>6.1161023599734327E-2</v>
          </cell>
          <cell r="CV72">
            <v>3.0980041703902294E-2</v>
          </cell>
          <cell r="CW72">
            <v>5.6333917104495035E-2</v>
          </cell>
          <cell r="CX72">
            <v>5.2142051860202931E-2</v>
          </cell>
          <cell r="CY72">
            <v>0.13528009535160906</v>
          </cell>
          <cell r="CZ72">
            <v>7.5691506671005535E-2</v>
          </cell>
          <cell r="DB72">
            <v>4.1666666666666664E-2</v>
          </cell>
          <cell r="DC72">
            <v>5.8162755866200698E-2</v>
          </cell>
          <cell r="DD72">
            <v>5.1003142373700752E-2</v>
          </cell>
          <cell r="DE72">
            <v>0.12589988280596015</v>
          </cell>
          <cell r="DF72">
            <v>7.5976518401445023E-2</v>
          </cell>
          <cell r="DH72">
            <v>5.5975370836831795E-2</v>
          </cell>
          <cell r="DI72">
            <v>8.8067409622179946E-2</v>
          </cell>
          <cell r="DJ72">
            <v>4.8915917503966157E-2</v>
          </cell>
          <cell r="DK72">
            <v>0.11795146324054247</v>
          </cell>
          <cell r="DL72">
            <v>8.2341627599471084E-2</v>
          </cell>
          <cell r="DN72">
            <v>2.81214848143982E-2</v>
          </cell>
          <cell r="DO72">
            <v>3.8704128440366969E-2</v>
          </cell>
          <cell r="DP72">
            <v>1.3237410071942447E-2</v>
          </cell>
          <cell r="DQ72">
            <v>9.7233047544816834E-2</v>
          </cell>
          <cell r="DR72">
            <v>4.9414000633512832E-2</v>
          </cell>
          <cell r="DT72">
            <v>4.2571676802780192E-2</v>
          </cell>
          <cell r="DU72">
            <v>6.3683304647160072E-2</v>
          </cell>
          <cell r="DV72">
            <v>3.3055475711411327E-2</v>
          </cell>
          <cell r="DW72">
            <v>0.1124177795495316</v>
          </cell>
          <cell r="DX72">
            <v>6.7304604713891214E-2</v>
          </cell>
          <cell r="DZ72">
            <v>2.3093284715891827E-2</v>
          </cell>
          <cell r="EA72">
            <v>5.7949912638322658E-2</v>
          </cell>
          <cell r="EB72">
            <v>3.2128514056224897E-2</v>
          </cell>
          <cell r="EC72">
            <v>0.13793785869780328</v>
          </cell>
          <cell r="ED72">
            <v>7.0334804048793151E-2</v>
          </cell>
          <cell r="EF72">
            <v>4.4225352112676058E-2</v>
          </cell>
          <cell r="EG72">
            <v>3.518570231778833E-2</v>
          </cell>
          <cell r="EH72">
            <v>3.4042553191489362E-2</v>
          </cell>
          <cell r="EI72">
            <v>0.13925781249999999</v>
          </cell>
          <cell r="EJ72">
            <v>7.074036511156187E-2</v>
          </cell>
          <cell r="EK72" t="str">
            <v>Pretax Income</v>
          </cell>
          <cell r="EL72">
            <v>5.4380664652567974E-2</v>
          </cell>
          <cell r="EM72">
            <v>6.5415401600883244E-2</v>
          </cell>
          <cell r="EN72">
            <v>9.7569756975697572E-2</v>
          </cell>
          <cell r="EO72">
            <v>0.11148260369867308</v>
          </cell>
          <cell r="EP72">
            <v>9.1290754801250554E-2</v>
          </cell>
          <cell r="ER72">
            <v>-1.9898819561551432E-2</v>
          </cell>
          <cell r="ES72">
            <v>5.104253544620517E-2</v>
          </cell>
          <cell r="ET72">
            <v>5.0968399592252805E-3</v>
          </cell>
          <cell r="EU72">
            <v>0.12632383447974671</v>
          </cell>
          <cell r="EV72">
            <v>5.0982573229514272E-2</v>
          </cell>
          <cell r="EX72">
            <v>1.4017902381354501E-2</v>
          </cell>
          <cell r="EY72">
            <v>1.9178547182620503E-2</v>
          </cell>
          <cell r="EZ72">
            <v>6.4341347781916693E-3</v>
          </cell>
          <cell r="FA72">
            <v>0.12636723295322319</v>
          </cell>
          <cell r="FB72">
            <v>5.0165317523657507E-2</v>
          </cell>
          <cell r="FD72">
            <v>-1.8444405776927093E-2</v>
          </cell>
          <cell r="FE72">
            <v>2.1161245190626093E-2</v>
          </cell>
          <cell r="FF72">
            <v>-1.3653741125068269E-2</v>
          </cell>
          <cell r="FG72">
            <v>6.3524073607259895E-2</v>
          </cell>
          <cell r="FH72">
            <v>1.783705608227543E-2</v>
          </cell>
          <cell r="FJ72">
            <v>-4.8222390317700453E-2</v>
          </cell>
          <cell r="FK72">
            <v>2.0624408703878903E-2</v>
          </cell>
          <cell r="FL72">
            <v>-1.5227483751160632E-2</v>
          </cell>
          <cell r="FM72">
            <v>9.2604258535970777E-2</v>
          </cell>
          <cell r="FN72">
            <v>2.1217827997489013E-2</v>
          </cell>
          <cell r="FP72">
            <v>7.3555794761392176E-3</v>
          </cell>
          <cell r="FQ72">
            <v>4.3344771536933356E-2</v>
          </cell>
          <cell r="FR72">
            <v>2.3119331317801887E-3</v>
          </cell>
          <cell r="FS72">
            <v>0.12407788124319749</v>
          </cell>
          <cell r="FT72">
            <v>5.2793664760228773E-2</v>
          </cell>
          <cell r="FV72">
            <v>3.6338937001188655E-2</v>
          </cell>
          <cell r="FW72">
            <v>6.6509513386091929E-2</v>
          </cell>
          <cell r="FX72">
            <v>3.1266017426960536E-2</v>
          </cell>
          <cell r="FY72">
            <v>0.13480055020632736</v>
          </cell>
          <cell r="FZ72">
            <v>7.4531338761598176E-2</v>
          </cell>
          <cell r="GB72">
            <v>4.5417548429106301E-2</v>
          </cell>
          <cell r="GC72">
            <v>7.3389996730957835E-2</v>
          </cell>
          <cell r="GD72">
            <v>2.877496066701165E-2</v>
          </cell>
          <cell r="GE72">
            <v>0.14206041616912413</v>
          </cell>
          <cell r="GF72">
            <v>8.063284020767035E-2</v>
          </cell>
        </row>
        <row r="73">
          <cell r="A73" t="str">
            <v>Tax Rate</v>
          </cell>
          <cell r="K73">
            <v>0.60127905086949873</v>
          </cell>
          <cell r="L73">
            <v>0.51102235320759348</v>
          </cell>
          <cell r="N73">
            <v>0.62871287128712872</v>
          </cell>
          <cell r="O73">
            <v>0.3968253968253968</v>
          </cell>
          <cell r="P73">
            <v>0.39979123173277664</v>
          </cell>
          <cell r="Q73">
            <v>0.411006018916595</v>
          </cell>
          <cell r="R73">
            <v>0.40476190476190477</v>
          </cell>
          <cell r="S73">
            <v>0.40072992700729926</v>
          </cell>
          <cell r="T73">
            <v>0.3923076923076923</v>
          </cell>
          <cell r="U73">
            <v>0.39122137404580154</v>
          </cell>
          <cell r="V73">
            <v>0.39575645756457567</v>
          </cell>
          <cell r="W73">
            <v>0.38261648745519711</v>
          </cell>
          <cell r="X73">
            <v>0.37446604203916711</v>
          </cell>
          <cell r="Y73">
            <v>0.37218181818181817</v>
          </cell>
          <cell r="Z73">
            <v>0.37045454545454548</v>
          </cell>
          <cell r="AA73">
            <v>-0.30405405405405406</v>
          </cell>
          <cell r="AB73">
            <v>0.35108481262327418</v>
          </cell>
          <cell r="AC73">
            <v>0.35833333333333334</v>
          </cell>
          <cell r="AD73">
            <v>0.36178861788617889</v>
          </cell>
          <cell r="AE73">
            <v>0.36939105039562631</v>
          </cell>
          <cell r="AF73">
            <v>0.37</v>
          </cell>
          <cell r="AG73">
            <v>0.37</v>
          </cell>
          <cell r="AH73">
            <v>0.37</v>
          </cell>
          <cell r="AI73">
            <v>0.37</v>
          </cell>
          <cell r="AJ73">
            <v>0.37</v>
          </cell>
          <cell r="AK73">
            <v>0.37</v>
          </cell>
          <cell r="AL73">
            <v>0.37000000000000005</v>
          </cell>
          <cell r="AN73" t="str">
            <v>Tax Rate</v>
          </cell>
          <cell r="AO73">
            <v>0.30655992636034635</v>
          </cell>
          <cell r="AP73">
            <v>0.32220952871325365</v>
          </cell>
          <cell r="AQ73">
            <v>0.28537438768369477</v>
          </cell>
          <cell r="AR73">
            <v>1.4266644556836074</v>
          </cell>
          <cell r="AS73">
            <v>0.50448064169287754</v>
          </cell>
          <cell r="AU73">
            <v>0.24532451951351503</v>
          </cell>
          <cell r="AV73">
            <v>0.31634185759102562</v>
          </cell>
          <cell r="AW73">
            <v>0.23748624862486259</v>
          </cell>
          <cell r="AX73">
            <v>0.34189261006299915</v>
          </cell>
          <cell r="AY73">
            <v>0.32777388961936449</v>
          </cell>
          <cell r="BA73">
            <v>0.48589832869080435</v>
          </cell>
          <cell r="BB73">
            <v>0.29761110369678312</v>
          </cell>
          <cell r="BC73">
            <v>0.43131358602683062</v>
          </cell>
          <cell r="BD73">
            <v>0.40273902542974843</v>
          </cell>
          <cell r="BE73">
            <v>0.42800001724085901</v>
          </cell>
          <cell r="BG73">
            <v>0.45283542197231325</v>
          </cell>
          <cell r="BH73">
            <v>0.51064065004698544</v>
          </cell>
          <cell r="BI73">
            <v>0.4521304451321117</v>
          </cell>
          <cell r="BJ73">
            <v>0.40911280691456015</v>
          </cell>
          <cell r="BK73">
            <v>0.42619228886834615</v>
          </cell>
          <cell r="BM73">
            <v>0.44509884962457674</v>
          </cell>
          <cell r="BN73">
            <v>0.63260933086589088</v>
          </cell>
          <cell r="BO73">
            <v>0.43393841911764702</v>
          </cell>
          <cell r="BP73">
            <v>0.4075239013559816</v>
          </cell>
          <cell r="BQ73">
            <v>0.42286578665581953</v>
          </cell>
          <cell r="BS73">
            <v>0.29756541524459623</v>
          </cell>
          <cell r="BT73">
            <v>0.3342634196535757</v>
          </cell>
          <cell r="BU73">
            <v>0.32588900578642815</v>
          </cell>
          <cell r="BV73">
            <v>0.40580022039281777</v>
          </cell>
          <cell r="BW73">
            <v>0.60127905086949907</v>
          </cell>
          <cell r="BY73">
            <v>0.34293586019274108</v>
          </cell>
          <cell r="BZ73">
            <v>0.33897187616854652</v>
          </cell>
          <cell r="CA73">
            <v>0.49055374592834178</v>
          </cell>
          <cell r="CB73">
            <v>0</v>
          </cell>
          <cell r="CC73">
            <v>-0.83299751096360775</v>
          </cell>
          <cell r="CD73">
            <v>0.44173485688386088</v>
          </cell>
          <cell r="CE73">
            <v>0.41058345359620158</v>
          </cell>
          <cell r="CF73">
            <v>0.51102235320759359</v>
          </cell>
          <cell r="CG73">
            <v>0.47207543951378311</v>
          </cell>
          <cell r="CH73">
            <v>0.63186995905199972</v>
          </cell>
          <cell r="CJ73">
            <v>0.33461416991262155</v>
          </cell>
          <cell r="CK73">
            <v>0.31778725539387892</v>
          </cell>
          <cell r="CL73">
            <v>0.43474733269326737</v>
          </cell>
          <cell r="CM73">
            <v>0.3772043733216186</v>
          </cell>
          <cell r="CN73">
            <v>0.39770714314838579</v>
          </cell>
          <cell r="CP73">
            <v>0.44923654510907951</v>
          </cell>
          <cell r="CQ73">
            <v>0.41055267902341852</v>
          </cell>
          <cell r="CR73">
            <v>0.40304288318577025</v>
          </cell>
          <cell r="CS73">
            <v>0.394370270015513</v>
          </cell>
          <cell r="CT73">
            <v>0.40036627743167497</v>
          </cell>
          <cell r="CV73">
            <v>0.42082692307692304</v>
          </cell>
          <cell r="CW73">
            <v>0.44559585492227977</v>
          </cell>
          <cell r="CX73">
            <v>0.40540540540540543</v>
          </cell>
          <cell r="CY73">
            <v>0.40088105726872247</v>
          </cell>
          <cell r="CZ73">
            <v>0.41080481513327599</v>
          </cell>
          <cell r="DB73">
            <v>0.42</v>
          </cell>
          <cell r="DC73">
            <v>0.41201716738197425</v>
          </cell>
          <cell r="DD73">
            <v>0.41706161137440756</v>
          </cell>
          <cell r="DE73">
            <v>0.40425531914893614</v>
          </cell>
          <cell r="DF73">
            <v>0.40936106983655274</v>
          </cell>
          <cell r="DH73">
            <v>0.41</v>
          </cell>
          <cell r="DI73">
            <v>0.40123456790123457</v>
          </cell>
          <cell r="DJ73">
            <v>0.41081081081081083</v>
          </cell>
          <cell r="DK73">
            <v>0.39485627836611198</v>
          </cell>
          <cell r="DL73">
            <v>0.40072992700729926</v>
          </cell>
          <cell r="DN73">
            <v>0.42</v>
          </cell>
          <cell r="DO73">
            <v>0.40740740740740738</v>
          </cell>
          <cell r="DP73">
            <v>0.43478260869565216</v>
          </cell>
          <cell r="DQ73">
            <v>0.37875751503006011</v>
          </cell>
          <cell r="DR73">
            <v>0.3923076923076923</v>
          </cell>
          <cell r="DT73">
            <v>0.39455782312925169</v>
          </cell>
          <cell r="DU73">
            <v>0.40090090090090091</v>
          </cell>
          <cell r="DV73">
            <v>0.34782608695652173</v>
          </cell>
          <cell r="DW73">
            <v>0.3953900709219858</v>
          </cell>
          <cell r="DX73">
            <v>0.39122137404580154</v>
          </cell>
          <cell r="DZ73">
            <v>0.39473684210526316</v>
          </cell>
          <cell r="EA73">
            <v>0.39698492462311558</v>
          </cell>
          <cell r="EB73">
            <v>0.4017857142857143</v>
          </cell>
          <cell r="EC73">
            <v>0.39454806312769009</v>
          </cell>
          <cell r="ED73">
            <v>0.39575645756457567</v>
          </cell>
          <cell r="EF73">
            <v>0.38216560509554143</v>
          </cell>
          <cell r="EG73">
            <v>0.38095238095238093</v>
          </cell>
          <cell r="EH73">
            <v>0.38333333333333336</v>
          </cell>
          <cell r="EI73">
            <v>0.38288920056100983</v>
          </cell>
          <cell r="EJ73">
            <v>0.38261648745519711</v>
          </cell>
          <cell r="EK73" t="str">
            <v>Tax Rate</v>
          </cell>
          <cell r="EL73">
            <v>0.377</v>
          </cell>
          <cell r="EM73">
            <v>0.37552742616033757</v>
          </cell>
          <cell r="EN73">
            <v>0.37410071942446044</v>
          </cell>
          <cell r="EO73">
            <v>0.37394564198687907</v>
          </cell>
          <cell r="EP73">
            <v>0.37446604203916711</v>
          </cell>
          <cell r="ER73">
            <v>0.3728813559322034</v>
          </cell>
          <cell r="ES73">
            <v>0.375</v>
          </cell>
          <cell r="ET73">
            <v>0.33333333333333331</v>
          </cell>
          <cell r="EU73">
            <v>0.37251512532411407</v>
          </cell>
          <cell r="EV73">
            <v>0.37218181818181817</v>
          </cell>
          <cell r="EX73">
            <v>0.37349397590361444</v>
          </cell>
          <cell r="EY73">
            <v>0.34513274336283184</v>
          </cell>
          <cell r="EZ73">
            <v>0.13157894736842105</v>
          </cell>
          <cell r="FA73">
            <v>0.38121546961325969</v>
          </cell>
          <cell r="FB73">
            <v>0.375</v>
          </cell>
          <cell r="FD73">
            <v>0.44339622641509435</v>
          </cell>
          <cell r="FE73">
            <v>0.39669421487603307</v>
          </cell>
          <cell r="FF73">
            <v>0.41333333333333333</v>
          </cell>
          <cell r="FG73">
            <v>-0.20833333333333334</v>
          </cell>
          <cell r="FH73">
            <v>-0.30405405405405406</v>
          </cell>
          <cell r="FJ73">
            <v>0.65490196078431373</v>
          </cell>
          <cell r="FK73">
            <v>0.93577981651376152</v>
          </cell>
          <cell r="FL73">
            <v>0.57317073170731703</v>
          </cell>
          <cell r="FM73">
            <v>0.39455782312925169</v>
          </cell>
          <cell r="FN73">
            <v>0.35108481262327418</v>
          </cell>
          <cell r="FP73">
            <v>0.43902439024390244</v>
          </cell>
          <cell r="FQ73">
            <v>0.38750000000000001</v>
          </cell>
          <cell r="FR73">
            <v>0.23076923076923078</v>
          </cell>
          <cell r="FS73">
            <v>0.34990253411306044</v>
          </cell>
          <cell r="FT73">
            <v>0.35833333333333334</v>
          </cell>
          <cell r="FV73">
            <v>0.38785046728971961</v>
          </cell>
          <cell r="FW73">
            <v>0.38987341772151901</v>
          </cell>
          <cell r="FX73">
            <v>0.24043715846994534</v>
          </cell>
          <cell r="FY73">
            <v>0.36649659863945577</v>
          </cell>
          <cell r="FZ73">
            <v>0.36178861788617889</v>
          </cell>
          <cell r="GB73">
            <v>0.35125448028673834</v>
          </cell>
          <cell r="GC73">
            <v>0.37861915367483295</v>
          </cell>
          <cell r="GD73">
            <v>0.36999999999999994</v>
          </cell>
          <cell r="GE73">
            <v>0.37</v>
          </cell>
          <cell r="GF73">
            <v>0.36939105039562631</v>
          </cell>
        </row>
        <row r="74">
          <cell r="A74" t="str">
            <v>Effective Tax rate</v>
          </cell>
          <cell r="N74">
            <v>0.62871287128712872</v>
          </cell>
          <cell r="O74">
            <v>0.3968253968253968</v>
          </cell>
          <cell r="P74">
            <v>0.39979123173277664</v>
          </cell>
          <cell r="Q74">
            <v>0.411006018916595</v>
          </cell>
          <cell r="R74">
            <v>0.40476190476190477</v>
          </cell>
          <cell r="S74">
            <v>0.40072992700729926</v>
          </cell>
          <cell r="T74">
            <v>0.3923076923076923</v>
          </cell>
          <cell r="U74">
            <v>0.39122137404580154</v>
          </cell>
          <cell r="V74">
            <v>0.39575645756457567</v>
          </cell>
          <cell r="W74">
            <v>0.38261648745519711</v>
          </cell>
          <cell r="X74">
            <v>0.37446604203916711</v>
          </cell>
          <cell r="Y74">
            <v>0.37218181818181817</v>
          </cell>
          <cell r="Z74">
            <v>0.37045454545454548</v>
          </cell>
          <cell r="AA74">
            <v>-0.30405405405405406</v>
          </cell>
          <cell r="AB74">
            <v>0.35108481262327418</v>
          </cell>
          <cell r="AC74">
            <v>0.35833333333333334</v>
          </cell>
          <cell r="AD74">
            <v>0.36178861788617889</v>
          </cell>
          <cell r="AE74">
            <v>0.36939105039562631</v>
          </cell>
          <cell r="AF74">
            <v>0.37</v>
          </cell>
          <cell r="AG74">
            <v>0.37</v>
          </cell>
          <cell r="AH74">
            <v>0.37</v>
          </cell>
          <cell r="AI74">
            <v>0.37</v>
          </cell>
          <cell r="AJ74">
            <v>0.37</v>
          </cell>
          <cell r="AK74">
            <v>0.37</v>
          </cell>
          <cell r="AL74">
            <v>0.37000000000000005</v>
          </cell>
          <cell r="AN74" t="str">
            <v>Effective Tax rate</v>
          </cell>
          <cell r="EF74">
            <v>0.38216560509554143</v>
          </cell>
          <cell r="EG74">
            <v>0.38095238095238093</v>
          </cell>
          <cell r="EH74">
            <v>0.38333333333333336</v>
          </cell>
          <cell r="EI74">
            <v>0.38288920056100983</v>
          </cell>
          <cell r="EK74" t="str">
            <v>Effective Tax rate</v>
          </cell>
          <cell r="EL74">
            <v>0.377</v>
          </cell>
          <cell r="EM74">
            <v>0.37552742616033757</v>
          </cell>
          <cell r="EN74">
            <v>0.37410071942446044</v>
          </cell>
          <cell r="EO74">
            <v>0.37394564198687907</v>
          </cell>
          <cell r="EP74">
            <v>0.37446604203916711</v>
          </cell>
          <cell r="ER74">
            <v>0.3728813559322034</v>
          </cell>
          <cell r="ES74">
            <v>0.375</v>
          </cell>
          <cell r="ET74">
            <v>0.33333333333333331</v>
          </cell>
          <cell r="EU74">
            <v>0.37251512532411407</v>
          </cell>
          <cell r="EV74">
            <v>0.37218181818181817</v>
          </cell>
          <cell r="EX74">
            <v>0.37815126050420167</v>
          </cell>
          <cell r="EY74">
            <v>0.3619047619047619</v>
          </cell>
          <cell r="EZ74">
            <v>0.4</v>
          </cell>
          <cell r="FA74">
            <v>0.375</v>
          </cell>
          <cell r="FB74">
            <v>0.37483263750443169</v>
          </cell>
          <cell r="FD74">
            <v>0.37</v>
          </cell>
          <cell r="FE74">
            <v>0.37</v>
          </cell>
          <cell r="FF74">
            <v>0.37</v>
          </cell>
          <cell r="FG74">
            <v>0.37</v>
          </cell>
          <cell r="FH74">
            <v>0.37</v>
          </cell>
          <cell r="FJ74">
            <v>0.37</v>
          </cell>
          <cell r="FK74">
            <v>0.37</v>
          </cell>
          <cell r="FL74">
            <v>0.37</v>
          </cell>
          <cell r="FM74">
            <v>0.37</v>
          </cell>
          <cell r="FN74">
            <v>0.37</v>
          </cell>
          <cell r="FP74">
            <v>0.37</v>
          </cell>
          <cell r="FQ74">
            <v>0.37</v>
          </cell>
          <cell r="FR74">
            <v>0.37</v>
          </cell>
          <cell r="FS74">
            <v>0.37</v>
          </cell>
          <cell r="FT74">
            <v>0.37</v>
          </cell>
          <cell r="FV74">
            <v>0.37</v>
          </cell>
          <cell r="FW74">
            <v>0.37</v>
          </cell>
          <cell r="FX74">
            <v>0.37</v>
          </cell>
          <cell r="FY74">
            <v>0.38</v>
          </cell>
          <cell r="FZ74">
            <v>0.38</v>
          </cell>
          <cell r="GB74">
            <v>0.37</v>
          </cell>
          <cell r="GC74">
            <v>0.37</v>
          </cell>
          <cell r="GD74">
            <v>0.37</v>
          </cell>
          <cell r="GE74">
            <v>0.37</v>
          </cell>
          <cell r="GF74">
            <v>0.37</v>
          </cell>
        </row>
        <row r="75">
          <cell r="A75" t="str">
            <v>Statutory Tax Rate</v>
          </cell>
          <cell r="N75">
            <v>0.35</v>
          </cell>
          <cell r="O75">
            <v>0.35</v>
          </cell>
          <cell r="P75">
            <v>0.35</v>
          </cell>
          <cell r="Q75">
            <v>0.35</v>
          </cell>
          <cell r="R75">
            <v>0.35</v>
          </cell>
          <cell r="S75">
            <v>0.35</v>
          </cell>
          <cell r="T75">
            <v>0.35</v>
          </cell>
          <cell r="U75">
            <v>0.35</v>
          </cell>
          <cell r="V75">
            <v>0.35</v>
          </cell>
          <cell r="W75">
            <v>0.35</v>
          </cell>
          <cell r="X75">
            <v>0.35</v>
          </cell>
          <cell r="Y75">
            <v>0.35</v>
          </cell>
          <cell r="Z75">
            <v>0.35</v>
          </cell>
          <cell r="AA75">
            <v>0.35</v>
          </cell>
          <cell r="AB75">
            <v>0.35</v>
          </cell>
          <cell r="AC75">
            <v>0.35</v>
          </cell>
          <cell r="AD75">
            <v>0.35</v>
          </cell>
          <cell r="AE75">
            <v>0.35</v>
          </cell>
          <cell r="AF75">
            <v>0.35</v>
          </cell>
          <cell r="AG75">
            <v>0.35</v>
          </cell>
          <cell r="AH75">
            <v>0.35</v>
          </cell>
          <cell r="AI75">
            <v>0.35</v>
          </cell>
          <cell r="AJ75">
            <v>0.35</v>
          </cell>
          <cell r="AK75">
            <v>0.35</v>
          </cell>
          <cell r="AL75">
            <v>0.35</v>
          </cell>
          <cell r="AN75" t="str">
            <v>Statutory Tax Rate</v>
          </cell>
          <cell r="DH75">
            <v>0.35</v>
          </cell>
          <cell r="DI75">
            <v>0.35</v>
          </cell>
          <cell r="DJ75">
            <v>0.35</v>
          </cell>
          <cell r="DK75">
            <v>0.35</v>
          </cell>
          <cell r="DL75">
            <v>0.35</v>
          </cell>
          <cell r="DN75">
            <v>0.35</v>
          </cell>
          <cell r="DO75">
            <v>0.35</v>
          </cell>
          <cell r="DP75">
            <v>0.35</v>
          </cell>
          <cell r="DQ75">
            <v>0.35</v>
          </cell>
          <cell r="DR75">
            <v>0.35</v>
          </cell>
          <cell r="DT75">
            <v>0.35</v>
          </cell>
          <cell r="DU75">
            <v>0.35</v>
          </cell>
          <cell r="DV75">
            <v>0.35</v>
          </cell>
          <cell r="DW75">
            <v>0.35</v>
          </cell>
          <cell r="DX75">
            <v>0.35</v>
          </cell>
          <cell r="DZ75">
            <v>0.35</v>
          </cell>
          <cell r="EA75">
            <v>0.35</v>
          </cell>
          <cell r="EB75">
            <v>0.35</v>
          </cell>
          <cell r="EC75">
            <v>0.35</v>
          </cell>
          <cell r="ED75">
            <v>0.35</v>
          </cell>
          <cell r="EF75">
            <v>0.35</v>
          </cell>
          <cell r="EG75">
            <v>0.35</v>
          </cell>
          <cell r="EH75">
            <v>0.35</v>
          </cell>
          <cell r="EI75">
            <v>0.35</v>
          </cell>
          <cell r="EJ75">
            <v>0.35</v>
          </cell>
          <cell r="EK75" t="str">
            <v>Statutory Tax Rate</v>
          </cell>
          <cell r="EL75">
            <v>0.35</v>
          </cell>
          <cell r="EM75">
            <v>0.35</v>
          </cell>
          <cell r="EN75">
            <v>0.35</v>
          </cell>
          <cell r="EO75">
            <v>0.35</v>
          </cell>
          <cell r="EP75">
            <v>0.35</v>
          </cell>
          <cell r="ER75">
            <v>0.35</v>
          </cell>
          <cell r="ES75">
            <v>0.35</v>
          </cell>
          <cell r="ET75">
            <v>0.35</v>
          </cell>
          <cell r="EU75">
            <v>0.35</v>
          </cell>
          <cell r="EV75">
            <v>0.35</v>
          </cell>
          <cell r="EX75">
            <v>0.35</v>
          </cell>
          <cell r="EY75">
            <v>0.35</v>
          </cell>
          <cell r="EZ75">
            <v>0.35</v>
          </cell>
          <cell r="FA75">
            <v>0.35</v>
          </cell>
          <cell r="FB75">
            <v>0.35</v>
          </cell>
          <cell r="FD75">
            <v>0.35</v>
          </cell>
          <cell r="FE75">
            <v>0.35</v>
          </cell>
          <cell r="FF75">
            <v>0.35</v>
          </cell>
          <cell r="FG75">
            <v>0.35</v>
          </cell>
          <cell r="FH75">
            <v>0.35</v>
          </cell>
          <cell r="FJ75">
            <v>0.35</v>
          </cell>
          <cell r="FK75">
            <v>0.35</v>
          </cell>
          <cell r="FL75">
            <v>0.35</v>
          </cell>
          <cell r="FM75">
            <v>0.35</v>
          </cell>
          <cell r="FN75">
            <v>0.35</v>
          </cell>
          <cell r="FP75">
            <v>0.35</v>
          </cell>
          <cell r="FQ75">
            <v>0.35</v>
          </cell>
          <cell r="FR75">
            <v>0.35</v>
          </cell>
          <cell r="FS75">
            <v>0.35</v>
          </cell>
          <cell r="FT75">
            <v>0.35</v>
          </cell>
          <cell r="FV75">
            <v>0.35</v>
          </cell>
          <cell r="FW75">
            <v>0.35</v>
          </cell>
          <cell r="FX75">
            <v>0.35</v>
          </cell>
          <cell r="FY75">
            <v>0.35</v>
          </cell>
          <cell r="FZ75">
            <v>0.35</v>
          </cell>
          <cell r="GB75">
            <v>0.35</v>
          </cell>
          <cell r="GC75">
            <v>0.35</v>
          </cell>
          <cell r="GD75">
            <v>0.35</v>
          </cell>
          <cell r="GE75">
            <v>0.35</v>
          </cell>
          <cell r="GF75">
            <v>0.35</v>
          </cell>
        </row>
        <row r="76">
          <cell r="A76" t="str">
            <v>Net Income, Reported</v>
          </cell>
          <cell r="K76">
            <v>2.6858336678465423E-3</v>
          </cell>
          <cell r="L76">
            <v>1.064370896655909E-2</v>
          </cell>
          <cell r="N76">
            <v>5.1320651430135488E-3</v>
          </cell>
          <cell r="O76">
            <v>1.7932987258140631E-2</v>
          </cell>
          <cell r="P76">
            <v>3.521681997371879E-2</v>
          </cell>
          <cell r="Q76">
            <v>4.3084933289944678E-2</v>
          </cell>
          <cell r="R76">
            <v>4.959760434212989E-2</v>
          </cell>
          <cell r="S76">
            <v>-1.1059021517009255E-2</v>
          </cell>
          <cell r="T76">
            <v>-1.7484954070319924E-2</v>
          </cell>
          <cell r="U76">
            <v>5.2533555969430351E-2</v>
          </cell>
          <cell r="V76">
            <v>4.4964962366986765E-2</v>
          </cell>
          <cell r="W76">
            <v>4.3673935091277892E-2</v>
          </cell>
          <cell r="X76">
            <v>6.2822305050109079E-2</v>
          </cell>
          <cell r="Y76">
            <v>3.6888209121245831E-2</v>
          </cell>
          <cell r="Z76">
            <v>3.3937597385322843E-2</v>
          </cell>
          <cell r="AA76">
            <v>-0.19295355937650652</v>
          </cell>
          <cell r="AB76">
            <v>1.3768570830717723E-2</v>
          </cell>
          <cell r="AC76">
            <v>3.2220133583969926E-2</v>
          </cell>
          <cell r="AD76">
            <v>4.7566748721832988E-2</v>
          </cell>
          <cell r="AE76">
            <v>5.0847790666976311E-2</v>
          </cell>
          <cell r="AF76">
            <v>5.1982465405594071E-2</v>
          </cell>
          <cell r="AG76">
            <v>5.6002544154840128E-2</v>
          </cell>
          <cell r="AH76">
            <v>5.6194069130642586E-2</v>
          </cell>
          <cell r="AI76">
            <v>5.707328154048523E-2</v>
          </cell>
          <cell r="AJ76">
            <v>5.867706740276709E-2</v>
          </cell>
          <cell r="AK76">
            <v>5.9868365887541859E-2</v>
          </cell>
          <cell r="AL76">
            <v>6.0696273676362836E-2</v>
          </cell>
          <cell r="AN76" t="str">
            <v>Net Income, Reported</v>
          </cell>
          <cell r="AO76">
            <v>-6.2522792148183473E-2</v>
          </cell>
          <cell r="AP76">
            <v>-8.2829299753816629E-2</v>
          </cell>
          <cell r="AQ76">
            <v>-4.9114849713720231E-2</v>
          </cell>
          <cell r="AR76">
            <v>1.8227995168483186E-2</v>
          </cell>
          <cell r="AS76">
            <v>-3.8007091307834251E-2</v>
          </cell>
          <cell r="AU76">
            <v>-4.0266245099374307E-2</v>
          </cell>
          <cell r="AV76">
            <v>-9.6158230391183569E-2</v>
          </cell>
          <cell r="AW76">
            <v>-3.5692529877389009E-2</v>
          </cell>
          <cell r="AX76">
            <v>-0.45779052224190087</v>
          </cell>
          <cell r="AY76">
            <v>-0.17974176910106457</v>
          </cell>
          <cell r="BA76">
            <v>7.5153048304858238E-3</v>
          </cell>
          <cell r="BB76">
            <v>-1.083507410040546E-2</v>
          </cell>
          <cell r="BC76">
            <v>1.765378305332967E-2</v>
          </cell>
          <cell r="BD76">
            <v>4.6463852508224907E-2</v>
          </cell>
          <cell r="BE76">
            <v>1.8744223998476833E-2</v>
          </cell>
          <cell r="BG76">
            <v>1.3645575972215886E-2</v>
          </cell>
          <cell r="BH76">
            <v>5.8930111935926888E-3</v>
          </cell>
          <cell r="BI76">
            <v>1.9294534500632898E-2</v>
          </cell>
          <cell r="BJ76">
            <v>6.2174766479350253E-2</v>
          </cell>
          <cell r="BK76">
            <v>2.9191194961245663E-2</v>
          </cell>
          <cell r="BM76">
            <v>1.9485604708668485E-2</v>
          </cell>
          <cell r="BN76">
            <v>2.3632604473402918E-3</v>
          </cell>
          <cell r="BO76">
            <v>2.3013673889135992E-2</v>
          </cell>
          <cell r="BP76">
            <v>6.5792286249943224E-2</v>
          </cell>
          <cell r="BQ76">
            <v>3.2027730994201996E-2</v>
          </cell>
          <cell r="BS76">
            <v>-1.2609394145677338E-2</v>
          </cell>
          <cell r="BT76">
            <v>-1.9867834720895313E-2</v>
          </cell>
          <cell r="BU76">
            <v>-1.5289446996361027E-2</v>
          </cell>
          <cell r="BV76">
            <v>4.09219437066137E-2</v>
          </cell>
          <cell r="BW76">
            <v>2.6858336678465379E-3</v>
          </cell>
          <cell r="BY76">
            <v>-1.9075932243777384E-2</v>
          </cell>
          <cell r="BZ76">
            <v>-2.2046275024614342E-2</v>
          </cell>
          <cell r="CA76">
            <v>6.568416404481899E-3</v>
          </cell>
          <cell r="CB76">
            <v>-0.16441176470588287</v>
          </cell>
          <cell r="CC76">
            <v>-1.2377383336592569E-2</v>
          </cell>
          <cell r="CD76">
            <v>5.4275623717464055E-2</v>
          </cell>
          <cell r="CE76">
            <v>4.6467169366939447E-2</v>
          </cell>
          <cell r="CF76">
            <v>1.0643708966559084E-2</v>
          </cell>
          <cell r="CG76">
            <v>9.7288852363702893E-3</v>
          </cell>
          <cell r="CH76">
            <v>4.9287511079372367E-3</v>
          </cell>
          <cell r="CJ76">
            <v>-1.1489381040385417E-2</v>
          </cell>
          <cell r="CK76">
            <v>-8.2798758186094137E-3</v>
          </cell>
          <cell r="CL76">
            <v>1.1581957847115281E-2</v>
          </cell>
          <cell r="CM76">
            <v>5.7438810810338373E-2</v>
          </cell>
          <cell r="CN76">
            <v>1.7459216388905543E-2</v>
          </cell>
          <cell r="CP76">
            <v>7.0573064784718795E-3</v>
          </cell>
          <cell r="CQ76">
            <v>1.9221919185688125E-2</v>
          </cell>
          <cell r="CR76">
            <v>2.8058263726431273E-2</v>
          </cell>
          <cell r="CS76">
            <v>7.4915278622071119E-2</v>
          </cell>
          <cell r="CT76">
            <v>3.6674212257197879E-2</v>
          </cell>
          <cell r="CV76">
            <v>1.7942806076854334E-2</v>
          </cell>
          <cell r="CW76">
            <v>3.1231757151196731E-2</v>
          </cell>
          <cell r="CX76">
            <v>3.1003382187147689E-2</v>
          </cell>
          <cell r="CY76">
            <v>8.1048867699642438E-2</v>
          </cell>
          <cell r="CZ76">
            <v>4.4597071265863979E-2</v>
          </cell>
          <cell r="DB76">
            <v>2.4166666666666666E-2</v>
          </cell>
          <cell r="DC76">
            <v>3.4198701947079378E-2</v>
          </cell>
          <cell r="DD76">
            <v>2.9731689630166789E-2</v>
          </cell>
          <cell r="DE76">
            <v>7.5004185501423071E-2</v>
          </cell>
          <cell r="DF76">
            <v>4.4874689546172949E-2</v>
          </cell>
          <cell r="DH76">
            <v>2.4909040022390149E-2</v>
          </cell>
          <cell r="DI76">
            <v>1.7124218537646098E-2</v>
          </cell>
          <cell r="DJ76">
            <v>-0.17662612374405076</v>
          </cell>
          <cell r="DK76">
            <v>5.9243397573162028E-2</v>
          </cell>
          <cell r="DL76">
            <v>-1.1059021517009255E-2</v>
          </cell>
          <cell r="DN76">
            <v>1.6310461192350956E-2</v>
          </cell>
          <cell r="DO76">
            <v>3.153669724770642E-2</v>
          </cell>
          <cell r="DP76">
            <v>8.6330935251798565E-4</v>
          </cell>
          <cell r="DQ76">
            <v>-8.7100545596258766E-2</v>
          </cell>
          <cell r="DR76">
            <v>-1.7484954070319924E-2</v>
          </cell>
          <cell r="DT76">
            <v>2.5774688676513176E-2</v>
          </cell>
          <cell r="DU76">
            <v>8.0895008605851984E-2</v>
          </cell>
          <cell r="DV76">
            <v>3.046852543834435E-2</v>
          </cell>
          <cell r="DW76">
            <v>6.796890572055013E-2</v>
          </cell>
          <cell r="DX76">
            <v>5.2533555969430351E-2</v>
          </cell>
          <cell r="DZ76">
            <v>1.3977514433302947E-2</v>
          </cell>
          <cell r="EA76">
            <v>3.4944670937682006E-2</v>
          </cell>
          <cell r="EB76">
            <v>1.9219736087205966E-2</v>
          </cell>
          <cell r="EC76">
            <v>9.1035028695824263E-2</v>
          </cell>
          <cell r="ED76">
            <v>4.4964962366986765E-2</v>
          </cell>
          <cell r="EF76">
            <v>2.7323943661971831E-2</v>
          </cell>
          <cell r="EG76">
            <v>2.1781625244345154E-2</v>
          </cell>
          <cell r="EH76">
            <v>2.099290780141844E-2</v>
          </cell>
          <cell r="EI76">
            <v>8.59375E-2</v>
          </cell>
          <cell r="EJ76">
            <v>4.3673935091277892E-2</v>
          </cell>
          <cell r="EK76" t="str">
            <v>Net Income, Reported</v>
          </cell>
          <cell r="EL76">
            <v>3.3879154078549849E-2</v>
          </cell>
          <cell r="EM76">
            <v>4.0850124206458734E-2</v>
          </cell>
          <cell r="EN76">
            <v>7.8530586871636804E-2</v>
          </cell>
          <cell r="EO76">
            <v>7.3033120886009828E-2</v>
          </cell>
          <cell r="EP76">
            <v>6.2822305050109079E-2</v>
          </cell>
          <cell r="ER76">
            <v>-8.7689713322091061E-3</v>
          </cell>
          <cell r="ES76">
            <v>5.2856547122602168E-2</v>
          </cell>
          <cell r="ET76">
            <v>-5.0968399592252807E-4</v>
          </cell>
          <cell r="EU76">
            <v>8.0030571023037456E-2</v>
          </cell>
          <cell r="EV76">
            <v>3.6888209121245831E-2</v>
          </cell>
          <cell r="EX76">
            <v>6.0800540449248439E-3</v>
          </cell>
          <cell r="EY76">
            <v>1.2559402579769178E-2</v>
          </cell>
          <cell r="EZ76">
            <v>5.5875380968506607E-3</v>
          </cell>
          <cell r="FA76">
            <v>8.7270188503607168E-2</v>
          </cell>
          <cell r="FB76">
            <v>3.3937597385322843E-2</v>
          </cell>
          <cell r="FD76">
            <v>-1.0266225856968854E-2</v>
          </cell>
          <cell r="FE76">
            <v>1.2766701643931445E-2</v>
          </cell>
          <cell r="FF76">
            <v>-8.0101947933733843E-3</v>
          </cell>
          <cell r="FG76">
            <v>-0.60158810184018152</v>
          </cell>
          <cell r="FH76">
            <v>-0.19295355937650652</v>
          </cell>
          <cell r="FJ76">
            <v>-1.6641452344931921E-2</v>
          </cell>
          <cell r="FK76">
            <v>1.3245033112582781E-3</v>
          </cell>
          <cell r="FL76">
            <v>-6.4995357474466105E-3</v>
          </cell>
          <cell r="FM76">
            <v>5.6066523875519719E-2</v>
          </cell>
          <cell r="FN76">
            <v>1.3768570830717723E-2</v>
          </cell>
          <cell r="FP76">
            <v>4.1263006817366344E-3</v>
          </cell>
          <cell r="FQ76">
            <v>2.6548672566371681E-2</v>
          </cell>
          <cell r="FR76">
            <v>1.7784101013693758E-3</v>
          </cell>
          <cell r="FS76">
            <v>8.0662716168823312E-2</v>
          </cell>
          <cell r="FT76">
            <v>3.3875934887813465E-2</v>
          </cell>
          <cell r="FV76">
            <v>2.2244863304465953E-2</v>
          </cell>
          <cell r="FW76">
            <v>4.0579222091261156E-2</v>
          </cell>
          <cell r="FX76">
            <v>2.3748505040150351E-2</v>
          </cell>
          <cell r="FY76">
            <v>8.5396607060981206E-2</v>
          </cell>
          <cell r="FZ76">
            <v>4.7566748721832988E-2</v>
          </cell>
          <cell r="GB76">
            <v>2.9464431059742797E-2</v>
          </cell>
          <cell r="GC76">
            <v>4.5603138280483818E-2</v>
          </cell>
          <cell r="GD76">
            <v>1.8128225220217339E-2</v>
          </cell>
          <cell r="GE76">
            <v>8.9498062186548211E-2</v>
          </cell>
          <cell r="GF76">
            <v>5.0847790666976311E-2</v>
          </cell>
        </row>
        <row r="78">
          <cell r="A78" t="str">
            <v>% Change</v>
          </cell>
          <cell r="AN78" t="str">
            <v>% Change</v>
          </cell>
        </row>
        <row r="79">
          <cell r="A79" t="str">
            <v>Sales</v>
          </cell>
          <cell r="C79" t="str">
            <v>--</v>
          </cell>
          <cell r="D79" t="str">
            <v>--</v>
          </cell>
          <cell r="E79" t="str">
            <v>--</v>
          </cell>
          <cell r="F79">
            <v>-2.935599258637267E-2</v>
          </cell>
          <cell r="G79">
            <v>2.1294160701975429E-2</v>
          </cell>
          <cell r="H79">
            <v>2.1111051631644839E-2</v>
          </cell>
          <cell r="I79">
            <v>6.6128669492348191E-2</v>
          </cell>
          <cell r="K79" t="str">
            <v xml:space="preserve">--  </v>
          </cell>
          <cell r="L79">
            <v>2.164244790716352E-2</v>
          </cell>
          <cell r="N79" t="str">
            <v>NA</v>
          </cell>
          <cell r="O79">
            <v>1.4985630217599466E-2</v>
          </cell>
          <cell r="P79">
            <v>2.6090473943234604E-2</v>
          </cell>
          <cell r="Q79">
            <v>9.5269382391589552E-3</v>
          </cell>
          <cell r="R79">
            <v>4.3215099251545652E-2</v>
          </cell>
          <cell r="S79">
            <v>3.7993636533782515E-2</v>
          </cell>
          <cell r="T79">
            <v>-5.126818127178745E-2</v>
          </cell>
          <cell r="U79">
            <v>-1.3557174532784266E-2</v>
          </cell>
          <cell r="V79">
            <v>-1.0211290218996805E-2</v>
          </cell>
          <cell r="W79">
            <v>2.361796003114458E-2</v>
          </cell>
          <cell r="X79">
            <v>0.41924442190669375</v>
          </cell>
          <cell r="Y79">
            <v>0.20455560518088434</v>
          </cell>
          <cell r="Z79">
            <v>-2.4360400444938812E-2</v>
          </cell>
          <cell r="AA79">
            <v>-5.4003724394785846E-2</v>
          </cell>
          <cell r="AB79">
            <v>-4.0053029085650005E-2</v>
          </cell>
          <cell r="AC79">
            <v>4.6369533375183014E-2</v>
          </cell>
          <cell r="AD79">
            <v>5.60732712074552E-2</v>
          </cell>
          <cell r="AE79">
            <v>4.8961204520547419E-2</v>
          </cell>
          <cell r="AF79">
            <v>2.3867294306323394E-2</v>
          </cell>
          <cell r="AG79">
            <v>1.9271419022529823E-2</v>
          </cell>
          <cell r="AH79">
            <v>1.0360976857347159E-2</v>
          </cell>
          <cell r="AI79">
            <v>1.0000000000000009E-2</v>
          </cell>
          <cell r="AJ79">
            <v>1.0000000000000009E-2</v>
          </cell>
          <cell r="AK79">
            <v>1.0000000000000009E-2</v>
          </cell>
          <cell r="AL79">
            <v>1.0000000000000009E-2</v>
          </cell>
          <cell r="AN79" t="str">
            <v>Sales</v>
          </cell>
          <cell r="AU79">
            <v>1.86046804069262E-3</v>
          </cell>
          <cell r="AV79">
            <v>-1.9629781109162359E-2</v>
          </cell>
          <cell r="AW79">
            <v>-3.3058964187159479E-2</v>
          </cell>
          <cell r="AX79">
            <v>-5.5011636021012E-2</v>
          </cell>
          <cell r="AY79">
            <v>-2.935599258637267E-2</v>
          </cell>
          <cell r="BA79">
            <v>-1.3614121583839567E-2</v>
          </cell>
          <cell r="BB79">
            <v>-2.5760441466214368E-2</v>
          </cell>
          <cell r="BC79">
            <v>4.6851163408529795E-2</v>
          </cell>
          <cell r="BD79">
            <v>5.9869931498505169E-2</v>
          </cell>
          <cell r="BE79">
            <v>2.1294160701975429E-2</v>
          </cell>
          <cell r="BG79">
            <v>1.1791495464221979E-2</v>
          </cell>
          <cell r="BH79">
            <v>3.0933042000752087E-2</v>
          </cell>
          <cell r="BI79">
            <v>1.9564384993575601E-4</v>
          </cell>
          <cell r="BJ79">
            <v>3.7800425987538633E-2</v>
          </cell>
          <cell r="BK79">
            <v>2.1111051631644839E-2</v>
          </cell>
          <cell r="BM79">
            <v>3.9850112465956933E-2</v>
          </cell>
          <cell r="BN79">
            <v>6.2446082242552547E-2</v>
          </cell>
          <cell r="BO79">
            <v>7.6842814149548744E-2</v>
          </cell>
          <cell r="BP79">
            <v>7.8120367498969223E-2</v>
          </cell>
          <cell r="BQ79">
            <v>6.6128669492348191E-2</v>
          </cell>
          <cell r="BS79" t="str">
            <v xml:space="preserve"> --  </v>
          </cell>
          <cell r="BT79" t="str">
            <v xml:space="preserve"> --  </v>
          </cell>
          <cell r="BU79" t="str">
            <v xml:space="preserve"> --  </v>
          </cell>
          <cell r="BV79" t="str">
            <v xml:space="preserve"> --  </v>
          </cell>
          <cell r="BW79" t="str">
            <v xml:space="preserve"> --  </v>
          </cell>
          <cell r="BY79">
            <v>1.7020422055820328E-2</v>
          </cell>
          <cell r="BZ79">
            <v>3.9647877712569946E-2</v>
          </cell>
          <cell r="CA79">
            <v>-5.6887192030066203E-3</v>
          </cell>
          <cell r="CC79">
            <v>0.11804838036151044</v>
          </cell>
          <cell r="CD79">
            <v>3.3347469922546225E-2</v>
          </cell>
          <cell r="CE79">
            <v>0.1751746612798819</v>
          </cell>
          <cell r="CF79">
            <v>2.164244790716352E-2</v>
          </cell>
          <cell r="CG79">
            <v>6.8016932452651169E-2</v>
          </cell>
          <cell r="CH79">
            <v>9.8290990037587012E-2</v>
          </cell>
          <cell r="CJ79">
            <v>0.10464972292558983</v>
          </cell>
          <cell r="CK79">
            <v>7.7856252051197838E-2</v>
          </cell>
          <cell r="CL79">
            <v>-3.7141754186954423E-2</v>
          </cell>
          <cell r="CM79">
            <v>-4.3674523732644466E-2</v>
          </cell>
          <cell r="CN79">
            <v>1.2014698867654605E-2</v>
          </cell>
          <cell r="CP79">
            <v>3.2838791771442555E-2</v>
          </cell>
          <cell r="CQ79">
            <v>5.1336569811840205E-2</v>
          </cell>
          <cell r="CR79">
            <v>3.799456270565793E-2</v>
          </cell>
          <cell r="CS79">
            <v>4.9966653147852647E-3</v>
          </cell>
          <cell r="CT79">
            <v>2.8844771112862544E-2</v>
          </cell>
          <cell r="CZ79">
            <v>-1.9358307391376894E-2</v>
          </cell>
          <cell r="DF79">
            <v>4.3215099251545652E-2</v>
          </cell>
          <cell r="DH79">
            <v>-7.4999999999999512E-3</v>
          </cell>
          <cell r="DI79">
            <v>-8.1627558662006994E-2</v>
          </cell>
          <cell r="DJ79">
            <v>-8.5810974135847262E-2</v>
          </cell>
          <cell r="DK79">
            <v>-6.1778001004520355E-2</v>
          </cell>
          <cell r="DL79">
            <v>-6.0848950101603072E-2</v>
          </cell>
          <cell r="DN79">
            <v>-4.7579065211307281E-3</v>
          </cell>
          <cell r="DO79">
            <v>-5.191628159826045E-2</v>
          </cell>
          <cell r="DP79">
            <v>-8.1173982020095181E-2</v>
          </cell>
          <cell r="DQ79">
            <v>-8.4225553176302648E-2</v>
          </cell>
          <cell r="DR79">
            <v>-5.126818127178745E-2</v>
          </cell>
          <cell r="DT79">
            <v>-2.8965129358830111E-2</v>
          </cell>
          <cell r="DU79">
            <v>-5.7339449541282672E-4</v>
          </cell>
          <cell r="DV79">
            <v>1.1510791366906581E-3</v>
          </cell>
          <cell r="DW79">
            <v>-2.2408417770849565E-2</v>
          </cell>
          <cell r="DX79">
            <v>-1.3557174532784266E-2</v>
          </cell>
          <cell r="DZ79">
            <v>-4.6915725456125101E-2</v>
          </cell>
          <cell r="EA79">
            <v>-1.4916810097532984E-2</v>
          </cell>
          <cell r="EB79">
            <v>2.012072434607548E-3</v>
          </cell>
          <cell r="EC79">
            <v>7.1756029499701057E-3</v>
          </cell>
          <cell r="ED79">
            <v>-1.0211290218996805E-2</v>
          </cell>
          <cell r="EF79">
            <v>7.8699483439683915E-2</v>
          </cell>
          <cell r="EG79">
            <v>4.2807221898660375E-2</v>
          </cell>
          <cell r="EH79">
            <v>1.1187607573149849E-2</v>
          </cell>
          <cell r="EI79">
            <v>1.3259449831783066E-2</v>
          </cell>
          <cell r="EJ79">
            <v>2.361796003114458E-2</v>
          </cell>
          <cell r="EK79" t="str">
            <v>Sales</v>
          </cell>
          <cell r="EL79">
            <v>2.5633802816901419E-2</v>
          </cell>
          <cell r="EM79">
            <v>1.1728567439262871E-2</v>
          </cell>
          <cell r="EN79">
            <v>0.57588652482269498</v>
          </cell>
          <cell r="EO79">
            <v>0.86933593750000004</v>
          </cell>
          <cell r="EP79">
            <v>0.41924442190669375</v>
          </cell>
          <cell r="ER79">
            <v>0.62867344136226322</v>
          </cell>
          <cell r="ES79">
            <v>0.65470604471432514</v>
          </cell>
          <cell r="ET79">
            <v>5.9585958595859578E-2</v>
          </cell>
          <cell r="EU79">
            <v>-4.3046703583742518E-2</v>
          </cell>
          <cell r="EV79">
            <v>0.20455560518088434</v>
          </cell>
          <cell r="EX79">
            <v>-1.5177065767284503E-3</v>
          </cell>
          <cell r="EY79">
            <v>-1.7180984153461254E-2</v>
          </cell>
          <cell r="EZ79">
            <v>3.397893306150257E-3</v>
          </cell>
          <cell r="FA79">
            <v>-6.1687957200567745E-2</v>
          </cell>
          <cell r="FB79">
            <v>-2.4360400444938812E-2</v>
          </cell>
          <cell r="FD79">
            <v>-2.9386927883803371E-2</v>
          </cell>
          <cell r="FE79">
            <v>-2.9531568228105876E-2</v>
          </cell>
          <cell r="FF79">
            <v>-6.9928885878767333E-2</v>
          </cell>
          <cell r="FG79">
            <v>-7.6797765883174329E-2</v>
          </cell>
          <cell r="FH79">
            <v>-5.4003724394785846E-2</v>
          </cell>
          <cell r="FJ79">
            <v>-7.9867757090655966E-2</v>
          </cell>
          <cell r="FK79">
            <v>-7.5725778244141284E-2</v>
          </cell>
          <cell r="FL79">
            <v>-1.9661387220098359E-2</v>
          </cell>
          <cell r="FM79">
            <v>3.7811948575749987E-4</v>
          </cell>
          <cell r="FN79">
            <v>-4.0053029085650005E-2</v>
          </cell>
          <cell r="FP79">
            <v>5.4084720121028829E-2</v>
          </cell>
          <cell r="FQ79">
            <v>4.7682119205298079E-2</v>
          </cell>
          <cell r="FR79">
            <v>4.4196843082636939E-2</v>
          </cell>
          <cell r="FS79">
            <v>4.182940657679235E-2</v>
          </cell>
          <cell r="FT79">
            <v>4.6369533375183014E-2</v>
          </cell>
          <cell r="FV79">
            <v>5.6512378902045191E-2</v>
          </cell>
          <cell r="FW79">
            <v>7.2602492324363332E-2</v>
          </cell>
          <cell r="FX79">
            <v>4.0903432331495626E-2</v>
          </cell>
          <cell r="FY79">
            <v>5.5024791389527206E-2</v>
          </cell>
          <cell r="FZ79">
            <v>5.60732712074552E-2</v>
          </cell>
          <cell r="GB79">
            <v>4.313126167430803E-2</v>
          </cell>
          <cell r="GC79">
            <v>3.0139754167368249E-2</v>
          </cell>
          <cell r="GD79">
            <v>3.7021467099822347E-2</v>
          </cell>
          <cell r="GE79">
            <v>7.372007776590972E-2</v>
          </cell>
          <cell r="GF79">
            <v>4.8961204520547419E-2</v>
          </cell>
        </row>
        <row r="80">
          <cell r="A80" t="str">
            <v>Gross Profit</v>
          </cell>
          <cell r="C80" t="str">
            <v>--</v>
          </cell>
          <cell r="D80" t="str">
            <v>--</v>
          </cell>
          <cell r="E80" t="str">
            <v>--</v>
          </cell>
          <cell r="F80">
            <v>4.3771275428128309E-3</v>
          </cell>
          <cell r="G80">
            <v>3.6276141877347623E-2</v>
          </cell>
          <cell r="H80">
            <v>-3.2492537908579422E-4</v>
          </cell>
          <cell r="I80">
            <v>3.8822485147063324E-2</v>
          </cell>
          <cell r="K80" t="str">
            <v xml:space="preserve">--  </v>
          </cell>
          <cell r="L80">
            <v>2.4104472873397009E-2</v>
          </cell>
          <cell r="N80" t="str">
            <v>NA</v>
          </cell>
          <cell r="O80">
            <v>4.2862266857962794E-2</v>
          </cell>
          <cell r="P80">
            <v>3.5253654342218388E-2</v>
          </cell>
          <cell r="Q80">
            <v>2.109634551495021E-2</v>
          </cell>
          <cell r="R80">
            <v>4.9780380673499325E-2</v>
          </cell>
          <cell r="S80">
            <v>3.5642336897567128E-2</v>
          </cell>
          <cell r="T80">
            <v>-7.4966332485410736E-2</v>
          </cell>
          <cell r="U80">
            <v>1.0514396635393108E-2</v>
          </cell>
          <cell r="V80">
            <v>-1.6007683688170626E-3</v>
          </cell>
          <cell r="W80">
            <v>3.0944364277697645E-2</v>
          </cell>
          <cell r="X80">
            <v>0.418040435458787</v>
          </cell>
          <cell r="Y80">
            <v>0.2010309278350515</v>
          </cell>
          <cell r="Z80">
            <v>-2.8764496393023475E-2</v>
          </cell>
          <cell r="AA80">
            <v>-7.0797292215118435E-2</v>
          </cell>
          <cell r="AB80">
            <v>-2.6914904381260762E-2</v>
          </cell>
          <cell r="AC80">
            <v>5.843818238535925E-2</v>
          </cell>
          <cell r="AD80">
            <v>4.7941841045289424E-2</v>
          </cell>
          <cell r="AE80">
            <v>5.2283106976051208E-2</v>
          </cell>
          <cell r="AF80">
            <v>3.1446708308341842E-2</v>
          </cell>
          <cell r="AG80">
            <v>2.3016391982823015E-2</v>
          </cell>
          <cell r="AH80">
            <v>7.895213474916396E-3</v>
          </cell>
          <cell r="AI80">
            <v>5.0581747329294657E-3</v>
          </cell>
          <cell r="AJ80">
            <v>1.0000000000000009E-2</v>
          </cell>
          <cell r="AK80">
            <v>1.0000000000000231E-2</v>
          </cell>
          <cell r="AL80">
            <v>9.9999999999997868E-3</v>
          </cell>
          <cell r="AN80" t="str">
            <v>Gross Profit</v>
          </cell>
          <cell r="AU80">
            <v>6.5027775722650283E-3</v>
          </cell>
          <cell r="AV80">
            <v>3.7869418072755012E-2</v>
          </cell>
          <cell r="AW80">
            <v>-3.0220771411390679E-2</v>
          </cell>
          <cell r="AX80">
            <v>-2.6005050197239421E-2</v>
          </cell>
          <cell r="AY80">
            <v>-6.1546985500945395E-3</v>
          </cell>
          <cell r="BA80">
            <v>1.1670352425249941E-2</v>
          </cell>
          <cell r="BB80">
            <v>-1.4845097541082208E-2</v>
          </cell>
          <cell r="BC80">
            <v>7.1156503560925177E-2</v>
          </cell>
          <cell r="BD80">
            <v>0.10090327076774308</v>
          </cell>
          <cell r="BE80">
            <v>4.7257609611369489E-2</v>
          </cell>
          <cell r="BG80">
            <v>-6.9087592369292405E-3</v>
          </cell>
          <cell r="BH80">
            <v>2.1705715691430649E-2</v>
          </cell>
          <cell r="BI80">
            <v>-1.8726483357452972E-2</v>
          </cell>
          <cell r="BJ80">
            <v>4.8290496367902058E-3</v>
          </cell>
          <cell r="BK80">
            <v>-3.249253790856832E-4</v>
          </cell>
          <cell r="BM80">
            <v>1.2928263316267063E-2</v>
          </cell>
          <cell r="BN80">
            <v>3.1783854512606569E-2</v>
          </cell>
          <cell r="BO80">
            <v>4.5363312419325119E-2</v>
          </cell>
          <cell r="BP80">
            <v>5.6808313119516063E-2</v>
          </cell>
          <cell r="BQ80">
            <v>3.8822485147063324E-2</v>
          </cell>
          <cell r="BS80" t="str">
            <v xml:space="preserve"> --  </v>
          </cell>
          <cell r="BT80" t="str">
            <v xml:space="preserve"> --  </v>
          </cell>
          <cell r="BU80" t="str">
            <v xml:space="preserve"> --  </v>
          </cell>
          <cell r="BV80" t="str">
            <v xml:space="preserve"> --  </v>
          </cell>
          <cell r="BW80" t="str">
            <v xml:space="preserve"> --  </v>
          </cell>
          <cell r="BY80">
            <v>8.4989805548514319E-3</v>
          </cell>
          <cell r="BZ80">
            <v>6.1027079338339174E-2</v>
          </cell>
          <cell r="CA80">
            <v>-9.7742085728773631E-3</v>
          </cell>
          <cell r="CC80">
            <v>8.6561262946705408E-2</v>
          </cell>
          <cell r="CD80">
            <v>3.642482383578427E-2</v>
          </cell>
          <cell r="CE80">
            <v>0.1941411403085509</v>
          </cell>
          <cell r="CF80">
            <v>2.4104472873397009E-2</v>
          </cell>
          <cell r="CG80">
            <v>5.9100859621379565E-2</v>
          </cell>
          <cell r="CH80">
            <v>8.2881613838603707E-2</v>
          </cell>
          <cell r="CJ80">
            <v>0.1031062421623441</v>
          </cell>
          <cell r="CK80">
            <v>8.8312916724728296E-2</v>
          </cell>
          <cell r="CL80">
            <v>-3.8526770118407772E-4</v>
          </cell>
          <cell r="CM80">
            <v>-7.2087686537662954E-3</v>
          </cell>
          <cell r="CN80">
            <v>3.6671773517589878E-2</v>
          </cell>
          <cell r="CP80">
            <v>2.8127945059764459E-2</v>
          </cell>
          <cell r="CQ80">
            <v>5.0830517089523797E-2</v>
          </cell>
          <cell r="CR80">
            <v>2.8262914436901099E-2</v>
          </cell>
          <cell r="CS80">
            <v>2.7784685130880504E-3</v>
          </cell>
          <cell r="CT80">
            <v>2.4779188020634502E-2</v>
          </cell>
          <cell r="CV80">
            <v>9.6609808005589937E-3</v>
          </cell>
          <cell r="CW80">
            <v>4.0498966885695431E-2</v>
          </cell>
          <cell r="CX80">
            <v>-3.8617692586529473E-2</v>
          </cell>
          <cell r="CY80">
            <v>2.4693053195915082E-2</v>
          </cell>
          <cell r="CZ80">
            <v>9.7666629158388307E-3</v>
          </cell>
          <cell r="DB80">
            <v>6.8164794007490537E-2</v>
          </cell>
          <cell r="DC80">
            <v>0.19730305180979424</v>
          </cell>
          <cell r="DD80">
            <v>0.1995723449750535</v>
          </cell>
          <cell r="DE80">
            <v>0.23849999999999993</v>
          </cell>
          <cell r="DF80">
            <v>0.18317878639986995</v>
          </cell>
          <cell r="DH80">
            <v>-3.5063113604487661E-3</v>
          </cell>
          <cell r="DI80">
            <v>-0.10729104919976284</v>
          </cell>
          <cell r="DJ80">
            <v>-0.11645870469399877</v>
          </cell>
          <cell r="DK80">
            <v>-8.3972547436415024E-2</v>
          </cell>
          <cell r="DL80">
            <v>-8.1121957926577726E-2</v>
          </cell>
          <cell r="DN80">
            <v>-1.6185784658691027E-2</v>
          </cell>
          <cell r="DO80">
            <v>-9.6945551128818086E-2</v>
          </cell>
          <cell r="DP80">
            <v>-9.8184263618022904E-2</v>
          </cell>
          <cell r="DQ80">
            <v>-0.1092992507712649</v>
          </cell>
          <cell r="DR80">
            <v>-7.4966332485410736E-2</v>
          </cell>
          <cell r="DT80">
            <v>-1.6452074391988591E-2</v>
          </cell>
          <cell r="DU80">
            <v>5.5147058823529438E-2</v>
          </cell>
          <cell r="DV80">
            <v>1.9388516032811332E-2</v>
          </cell>
          <cell r="DW80">
            <v>-8.9064819396338368E-3</v>
          </cell>
          <cell r="DX80">
            <v>1.0514396635393108E-2</v>
          </cell>
          <cell r="DZ80">
            <v>-6.2545454545454571E-2</v>
          </cell>
          <cell r="EA80">
            <v>-1.8118466898954688E-2</v>
          </cell>
          <cell r="EB80">
            <v>2.0482809070958341E-2</v>
          </cell>
          <cell r="EC80">
            <v>3.4448327508736831E-2</v>
          </cell>
          <cell r="ED80">
            <v>-1.6007683688170626E-3</v>
          </cell>
          <cell r="EF80">
            <v>0.11016291698991476</v>
          </cell>
          <cell r="EG80">
            <v>5.2519517388218695E-2</v>
          </cell>
          <cell r="EH80">
            <v>1.6487455197132572E-2</v>
          </cell>
          <cell r="EI80">
            <v>1.2548262548262468E-2</v>
          </cell>
          <cell r="EJ80">
            <v>3.0944364277697645E-2</v>
          </cell>
          <cell r="EK80" t="str">
            <v>Gross Profit</v>
          </cell>
          <cell r="EL80">
            <v>2.3759608665268939E-2</v>
          </cell>
          <cell r="EM80">
            <v>9.4403236682401026E-3</v>
          </cell>
          <cell r="EN80">
            <v>0.58180535966149516</v>
          </cell>
          <cell r="EO80">
            <v>0.86510962821734982</v>
          </cell>
          <cell r="EP80">
            <v>0.418040435458787</v>
          </cell>
          <cell r="ER80">
            <v>0.57201365187713304</v>
          </cell>
          <cell r="ES80">
            <v>0.6867067468269874</v>
          </cell>
          <cell r="ET80">
            <v>5.7958091841284087E-2</v>
          </cell>
          <cell r="EU80">
            <v>-4.1656018400204498E-2</v>
          </cell>
          <cell r="EV80">
            <v>0.2010309278350515</v>
          </cell>
          <cell r="EX80">
            <v>2.3447676943117779E-2</v>
          </cell>
          <cell r="EY80">
            <v>-5.5445544554455495E-2</v>
          </cell>
          <cell r="EZ80">
            <v>-2.1913190054782983E-2</v>
          </cell>
          <cell r="FA80">
            <v>-4.720000000000002E-2</v>
          </cell>
          <cell r="FB80">
            <v>-2.8764496393023475E-2</v>
          </cell>
          <cell r="FD80">
            <v>-5.8124734832414093E-2</v>
          </cell>
          <cell r="FE80">
            <v>-5.4507337526205069E-3</v>
          </cell>
          <cell r="FF80">
            <v>-6.5489013356311965E-2</v>
          </cell>
          <cell r="FG80">
            <v>-0.12622446123705566</v>
          </cell>
          <cell r="FH80">
            <v>-7.0797292215118435E-2</v>
          </cell>
          <cell r="FJ80">
            <v>-9.5045045045045073E-2</v>
          </cell>
          <cell r="FK80">
            <v>-8.6003372681281665E-2</v>
          </cell>
          <cell r="FL80">
            <v>-1.152604887044717E-2</v>
          </cell>
          <cell r="FM80">
            <v>5.5733504163997472E-2</v>
          </cell>
          <cell r="FN80">
            <v>-2.6914904381260762E-2</v>
          </cell>
          <cell r="FP80">
            <v>9.3081134892981643E-2</v>
          </cell>
          <cell r="FQ80">
            <v>7.1494464944649394E-2</v>
          </cell>
          <cell r="FR80">
            <v>4.7574626865671599E-2</v>
          </cell>
          <cell r="FS80">
            <v>3.5800970873786309E-2</v>
          </cell>
          <cell r="FT80">
            <v>5.843818238535925E-2</v>
          </cell>
          <cell r="FV80">
            <v>4.8724954462659342E-2</v>
          </cell>
          <cell r="FW80">
            <v>6.8445975032285888E-2</v>
          </cell>
          <cell r="FX80">
            <v>2.8049866429207482E-2</v>
          </cell>
          <cell r="FY80">
            <v>4.6572934973637903E-2</v>
          </cell>
          <cell r="FZ80">
            <v>4.7941841045289424E-2</v>
          </cell>
          <cell r="GB80">
            <v>3.6039947894051183E-2</v>
          </cell>
          <cell r="GC80">
            <v>3.2634971796937862E-2</v>
          </cell>
          <cell r="GD80">
            <v>4.0964529018576501E-2</v>
          </cell>
          <cell r="GE80">
            <v>8.3715870307765616E-2</v>
          </cell>
          <cell r="GF80">
            <v>5.2283106976051208E-2</v>
          </cell>
        </row>
        <row r="81">
          <cell r="A81" t="str">
            <v>SG&amp;A Expenses</v>
          </cell>
          <cell r="C81" t="str">
            <v>--</v>
          </cell>
          <cell r="D81" t="str">
            <v>--</v>
          </cell>
          <cell r="E81" t="str">
            <v>--</v>
          </cell>
          <cell r="F81">
            <v>-5.8849835020142849E-2</v>
          </cell>
          <cell r="G81">
            <v>-1.5232729947342261E-2</v>
          </cell>
          <cell r="H81">
            <v>-3.021377428858929E-2</v>
          </cell>
          <cell r="I81">
            <v>-8.3061205190442244E-3</v>
          </cell>
          <cell r="K81" t="str">
            <v xml:space="preserve">--  </v>
          </cell>
          <cell r="L81">
            <v>-3.9988014314258802E-2</v>
          </cell>
          <cell r="N81" t="str">
            <v>NA</v>
          </cell>
          <cell r="O81">
            <v>1.8318746183594303E-3</v>
          </cell>
          <cell r="P81">
            <v>-4.937017472572125E-2</v>
          </cell>
          <cell r="Q81">
            <v>2.7783714468903042E-3</v>
          </cell>
          <cell r="R81">
            <v>1.449275362318847E-2</v>
          </cell>
          <cell r="S81">
            <v>3.1932773109243806E-2</v>
          </cell>
          <cell r="T81">
            <v>-2.157980456026054E-2</v>
          </cell>
          <cell r="U81">
            <v>6.2421972534332237E-3</v>
          </cell>
          <cell r="V81">
            <v>2.0678246484706619E-4</v>
          </cell>
          <cell r="W81">
            <v>1.9433533181724139E-2</v>
          </cell>
          <cell r="X81">
            <v>0.41553437436625429</v>
          </cell>
          <cell r="Y81">
            <v>0.24326647564469916</v>
          </cell>
          <cell r="Z81">
            <v>-1.4289006683567695E-2</v>
          </cell>
          <cell r="AA81">
            <v>-1.1222819733458067E-2</v>
          </cell>
          <cell r="AB81">
            <v>-3.4878221801844411E-2</v>
          </cell>
          <cell r="AC81">
            <v>1.1882886193801401E-2</v>
          </cell>
          <cell r="AD81">
            <v>2.5423728813558366E-3</v>
          </cell>
          <cell r="AE81">
            <v>3.2895457056668631E-2</v>
          </cell>
          <cell r="AF81">
            <v>2.8840556723293442E-2</v>
          </cell>
          <cell r="AG81">
            <v>1.5986747937983381E-2</v>
          </cell>
          <cell r="AH81">
            <v>7.0944938127868173E-3</v>
          </cell>
          <cell r="AI81">
            <v>6.7240930267471466E-3</v>
          </cell>
          <cell r="AJ81">
            <v>6.7134331383311707E-3</v>
          </cell>
          <cell r="AK81">
            <v>6.7027036483089386E-3</v>
          </cell>
          <cell r="AL81">
            <v>6.691903872772631E-3</v>
          </cell>
          <cell r="AN81" t="str">
            <v>SG&amp;A Expenses</v>
          </cell>
          <cell r="AU81">
            <v>-1.7970858333921758E-2</v>
          </cell>
          <cell r="AV81">
            <v>-4.3370859777825732E-2</v>
          </cell>
          <cell r="AW81">
            <v>-4.885680233851819E-2</v>
          </cell>
          <cell r="AX81">
            <v>-0.10812646337956822</v>
          </cell>
          <cell r="AY81">
            <v>-5.6935471396727388E-2</v>
          </cell>
          <cell r="BA81">
            <v>-5.9676054312083893E-2</v>
          </cell>
          <cell r="BB81">
            <v>-5.4336787028889333E-2</v>
          </cell>
          <cell r="BC81">
            <v>-1.490662329650605E-2</v>
          </cell>
          <cell r="BD81">
            <v>5.3097970099575953E-2</v>
          </cell>
          <cell r="BE81">
            <v>-1.7231747598988156E-2</v>
          </cell>
          <cell r="BG81">
            <v>-1.1720049306384261E-2</v>
          </cell>
          <cell r="BH81">
            <v>-3.149411479950881E-2</v>
          </cell>
          <cell r="BI81">
            <v>-1.6592873571444899E-2</v>
          </cell>
          <cell r="BJ81">
            <v>-5.6537813361945743E-2</v>
          </cell>
          <cell r="BK81">
            <v>-3.021377428858929E-2</v>
          </cell>
          <cell r="BM81">
            <v>-2.4337214952934727E-2</v>
          </cell>
          <cell r="BN81">
            <v>-9.9927988167103354E-3</v>
          </cell>
          <cell r="BO81">
            <v>1.1548493915620961E-2</v>
          </cell>
          <cell r="BP81">
            <v>-1.1683246647691825E-2</v>
          </cell>
          <cell r="BQ81">
            <v>-8.3061205190442244E-3</v>
          </cell>
          <cell r="BS81" t="str">
            <v xml:space="preserve"> --  </v>
          </cell>
          <cell r="BT81" t="str">
            <v xml:space="preserve"> --  </v>
          </cell>
          <cell r="BU81" t="str">
            <v xml:space="preserve"> --  </v>
          </cell>
          <cell r="BV81" t="str">
            <v xml:space="preserve"> --  </v>
          </cell>
          <cell r="BW81" t="str">
            <v xml:space="preserve"> --  </v>
          </cell>
          <cell r="BY81">
            <v>-2.3332298817000052E-2</v>
          </cell>
          <cell r="BZ81">
            <v>-1.4777138934813694E-2</v>
          </cell>
          <cell r="CA81">
            <v>-6.3667545852863383E-2</v>
          </cell>
          <cell r="CC81">
            <v>7.8699904820596966E-2</v>
          </cell>
          <cell r="CD81">
            <v>-5.4079481346700597E-2</v>
          </cell>
          <cell r="CE81">
            <v>7.0586242424796719E-2</v>
          </cell>
          <cell r="CF81">
            <v>-3.9988014314258802E-2</v>
          </cell>
          <cell r="CG81">
            <v>-6.2629764467387883E-3</v>
          </cell>
          <cell r="CH81">
            <v>3.0267979016805002E-2</v>
          </cell>
          <cell r="CJ81">
            <v>7.7672135100503858E-2</v>
          </cell>
          <cell r="CK81">
            <v>4.3166552266297842E-2</v>
          </cell>
          <cell r="CL81">
            <v>-6.9022795685438454E-2</v>
          </cell>
          <cell r="CM81">
            <v>-3.8207828109723896E-2</v>
          </cell>
          <cell r="CN81">
            <v>-2.0739918931514945E-3</v>
          </cell>
          <cell r="CP81">
            <v>1.8299922380784928E-2</v>
          </cell>
          <cell r="CQ81">
            <v>2.5416882109617456E-2</v>
          </cell>
          <cell r="CR81">
            <v>3.1718659615083133E-3</v>
          </cell>
          <cell r="CS81">
            <v>-3.4978053520589136E-2</v>
          </cell>
          <cell r="CT81">
            <v>1.7467615690507365E-3</v>
          </cell>
          <cell r="CV81">
            <v>-1.7174743605248288E-2</v>
          </cell>
          <cell r="CW81">
            <v>-2.6087763438265021E-4</v>
          </cell>
          <cell r="CX81">
            <v>-3.8103199943595567E-2</v>
          </cell>
          <cell r="CY81">
            <v>8.9595609007990795E-3</v>
          </cell>
          <cell r="CZ81">
            <v>-1.1536290016769368E-2</v>
          </cell>
          <cell r="DB81">
            <v>4.0727902946273931E-2</v>
          </cell>
          <cell r="DC81">
            <v>0.19877408056042034</v>
          </cell>
          <cell r="DD81">
            <v>0.20506108202443274</v>
          </cell>
          <cell r="DE81">
            <v>0.29679999999999995</v>
          </cell>
          <cell r="DF81">
            <v>0.18755328218243816</v>
          </cell>
          <cell r="DH81">
            <v>-4.079933388842627E-2</v>
          </cell>
          <cell r="DI81">
            <v>-0.19357195032870711</v>
          </cell>
          <cell r="DJ81">
            <v>-0.11803041274438808</v>
          </cell>
          <cell r="DK81">
            <v>-0.1128932757557064</v>
          </cell>
          <cell r="DL81">
            <v>-0.1184493898061737</v>
          </cell>
          <cell r="DN81">
            <v>1.388888888888884E-2</v>
          </cell>
          <cell r="DO81">
            <v>1.8115942028984477E-3</v>
          </cell>
          <cell r="DP81">
            <v>-2.7093596059113323E-2</v>
          </cell>
          <cell r="DQ81">
            <v>-0.10639777468706535</v>
          </cell>
          <cell r="DR81">
            <v>-2.157980456026054E-2</v>
          </cell>
          <cell r="DT81">
            <v>-1.1986301369863006E-2</v>
          </cell>
          <cell r="DU81">
            <v>2.6220614828209809E-2</v>
          </cell>
          <cell r="DV81">
            <v>-5.0632911392405333E-3</v>
          </cell>
          <cell r="DW81">
            <v>1.2451361867704236E-2</v>
          </cell>
          <cell r="DX81">
            <v>6.2421972534332237E-3</v>
          </cell>
          <cell r="DZ81">
            <v>-1.6464471403812797E-2</v>
          </cell>
          <cell r="EA81">
            <v>0</v>
          </cell>
          <cell r="EB81">
            <v>1.187446988973706E-2</v>
          </cell>
          <cell r="EC81">
            <v>7.6863950807082304E-4</v>
          </cell>
          <cell r="ED81">
            <v>2.0678246484706619E-4</v>
          </cell>
          <cell r="EF81">
            <v>5.2863436123347984E-2</v>
          </cell>
          <cell r="EG81">
            <v>6.3436123348017626E-2</v>
          </cell>
          <cell r="EH81">
            <v>1.1735121542330251E-2</v>
          </cell>
          <cell r="EI81">
            <v>1.5360983102918668E-2</v>
          </cell>
          <cell r="EJ81">
            <v>1.9433533181724139E-2</v>
          </cell>
          <cell r="EK81" t="str">
            <v>SG&amp;A Expenses</v>
          </cell>
          <cell r="EL81">
            <v>1.5062761506276168E-2</v>
          </cell>
          <cell r="EM81">
            <v>-8.2850041425019949E-4</v>
          </cell>
          <cell r="EN81">
            <v>0.63463131731565858</v>
          </cell>
          <cell r="EO81">
            <v>0.95763993948562787</v>
          </cell>
          <cell r="EP81">
            <v>0.41553437436625429</v>
          </cell>
          <cell r="ER81">
            <v>0.77576257213520194</v>
          </cell>
          <cell r="ES81">
            <v>0.75538971807628519</v>
          </cell>
          <cell r="ET81">
            <v>6.1327927014698469E-2</v>
          </cell>
          <cell r="EU81">
            <v>-0.10625965996908815</v>
          </cell>
          <cell r="EV81">
            <v>0.24326647564469916</v>
          </cell>
          <cell r="EX81">
            <v>-1.9034354688950761E-2</v>
          </cell>
          <cell r="EY81">
            <v>-3.7316957959376507E-2</v>
          </cell>
          <cell r="EZ81">
            <v>1.2893982808023008E-2</v>
          </cell>
          <cell r="FA81">
            <v>-1.3402507565931643E-2</v>
          </cell>
          <cell r="FB81">
            <v>-1.4289006683567695E-2</v>
          </cell>
          <cell r="FD81">
            <v>-1.5617605300520587E-2</v>
          </cell>
          <cell r="FE81">
            <v>-4.906771344455052E-4</v>
          </cell>
          <cell r="FF81">
            <v>-1.6973125884017004E-2</v>
          </cell>
          <cell r="FG81">
            <v>-1.1393514460999121E-2</v>
          </cell>
          <cell r="FH81">
            <v>-1.1222819733458067E-2</v>
          </cell>
          <cell r="FJ81">
            <v>-4.5673076923076872E-2</v>
          </cell>
          <cell r="FK81">
            <v>-7.4128620520373056E-2</v>
          </cell>
          <cell r="FL81">
            <v>-1.3908872901678637E-2</v>
          </cell>
          <cell r="FM81">
            <v>-8.8652482269503396E-3</v>
          </cell>
          <cell r="FN81">
            <v>-3.4878221801844411E-2</v>
          </cell>
          <cell r="FP81">
            <v>4.0302267002518821E-3</v>
          </cell>
          <cell r="FQ81">
            <v>3.5524920466595944E-2</v>
          </cell>
          <cell r="FR81">
            <v>6.3229571984435573E-3</v>
          </cell>
          <cell r="FS81">
            <v>4.025044722719251E-3</v>
          </cell>
          <cell r="FT81">
            <v>1.1882886193801401E-2</v>
          </cell>
          <cell r="FV81">
            <v>-1.003512293025588E-2</v>
          </cell>
          <cell r="FW81">
            <v>1.177675371223752E-2</v>
          </cell>
          <cell r="FX81">
            <v>-2.4649589173513786E-2</v>
          </cell>
          <cell r="FY81">
            <v>3.0734966592427693E-2</v>
          </cell>
          <cell r="FZ81">
            <v>2.5423728813558366E-3</v>
          </cell>
          <cell r="GB81">
            <v>1.1150532184490691E-2</v>
          </cell>
          <cell r="GC81">
            <v>1.6700404858299489E-2</v>
          </cell>
          <cell r="GD81">
            <v>5.1542171941152182E-2</v>
          </cell>
          <cell r="GE81">
            <v>4.9003965820669126E-2</v>
          </cell>
          <cell r="GF81">
            <v>3.2895457056668631E-2</v>
          </cell>
        </row>
        <row r="82">
          <cell r="A82" t="str">
            <v>EBITDA</v>
          </cell>
          <cell r="C82" t="str">
            <v>--</v>
          </cell>
          <cell r="D82" t="str">
            <v>--</v>
          </cell>
          <cell r="E82" t="str">
            <v>--</v>
          </cell>
          <cell r="F82" t="str">
            <v>NM</v>
          </cell>
          <cell r="G82">
            <v>0.25511948219509839</v>
          </cell>
          <cell r="H82">
            <v>0.11579253029559311</v>
          </cell>
          <cell r="I82">
            <v>0.24208657072438222</v>
          </cell>
          <cell r="K82" t="str">
            <v xml:space="preserve">--  </v>
          </cell>
          <cell r="L82">
            <v>0.19104509304457218</v>
          </cell>
          <cell r="N82" t="str">
            <v>NA</v>
          </cell>
          <cell r="O82">
            <v>0.22931034482758617</v>
          </cell>
          <cell r="P82">
            <v>0.3541374474053296</v>
          </cell>
          <cell r="Q82">
            <v>7.6644225789746168E-2</v>
          </cell>
          <cell r="R82">
            <v>0.13419913419913421</v>
          </cell>
          <cell r="S82">
            <v>2.714164546225617E-2</v>
          </cell>
          <cell r="T82">
            <v>-0.14739884393063585</v>
          </cell>
          <cell r="U82">
            <v>1.2590799031477085E-2</v>
          </cell>
          <cell r="V82">
            <v>9.0865614538497841E-3</v>
          </cell>
          <cell r="W82">
            <v>5.9715639810426602E-2</v>
          </cell>
          <cell r="X82">
            <v>0.39355992844364929</v>
          </cell>
          <cell r="Y82">
            <v>0.13543003851091151</v>
          </cell>
          <cell r="Z82">
            <v>-4.2962125494629744E-2</v>
          </cell>
          <cell r="AA82">
            <v>-0.20171293561724746</v>
          </cell>
          <cell r="AB82">
            <v>-1.442841287458374E-2</v>
          </cell>
          <cell r="AC82">
            <v>0.15202702702702697</v>
          </cell>
          <cell r="AD82">
            <v>0.13098729227761496</v>
          </cell>
          <cell r="AE82">
            <v>7.4451148577618476E-2</v>
          </cell>
          <cell r="AF82">
            <v>3.5273448529756779E-2</v>
          </cell>
          <cell r="AG82">
            <v>3.7987838047570444E-2</v>
          </cell>
          <cell r="AH82">
            <v>1.0360976857346715E-2</v>
          </cell>
          <cell r="AI82">
            <v>2.7152968378332254E-3</v>
          </cell>
          <cell r="AJ82">
            <v>1.7337626360135916E-2</v>
          </cell>
          <cell r="AK82">
            <v>1.7284703162167681E-2</v>
          </cell>
          <cell r="AL82">
            <v>1.7232537922685198E-2</v>
          </cell>
          <cell r="AN82" t="str">
            <v>EBITDA</v>
          </cell>
          <cell r="AU82" t="str">
            <v xml:space="preserve">NM  </v>
          </cell>
          <cell r="AV82" t="str">
            <v xml:space="preserve">NM  </v>
          </cell>
          <cell r="AW82" t="str">
            <v xml:space="preserve">NM  </v>
          </cell>
          <cell r="AX82" t="str">
            <v xml:space="preserve">NM  </v>
          </cell>
          <cell r="AY82" t="str">
            <v xml:space="preserve">NM  </v>
          </cell>
          <cell r="BA82">
            <v>0.30715301767933378</v>
          </cell>
          <cell r="BB82">
            <v>0.19582595632813016</v>
          </cell>
          <cell r="BC82">
            <v>0.44399266930912384</v>
          </cell>
          <cell r="BD82">
            <v>0.17898938622800387</v>
          </cell>
          <cell r="BE82">
            <v>0.26654996817313736</v>
          </cell>
          <cell r="BG82">
            <v>1.1949263328975057E-2</v>
          </cell>
          <cell r="BH82">
            <v>0.32806541343263529</v>
          </cell>
          <cell r="BI82">
            <v>-2.3925337363195243E-2</v>
          </cell>
          <cell r="BJ82">
            <v>0.16753388482697118</v>
          </cell>
          <cell r="BK82">
            <v>0.10749585674199169</v>
          </cell>
          <cell r="BM82">
            <v>0.17663366060081342</v>
          </cell>
          <cell r="BN82">
            <v>0.24957560913812671</v>
          </cell>
          <cell r="BO82">
            <v>0.18270446147240116</v>
          </cell>
          <cell r="BP82">
            <v>0.21384022994739493</v>
          </cell>
          <cell r="BQ82">
            <v>0.20540555871441057</v>
          </cell>
          <cell r="BS82" t="str">
            <v xml:space="preserve"> --  </v>
          </cell>
          <cell r="BT82" t="str">
            <v xml:space="preserve"> --  </v>
          </cell>
          <cell r="BU82" t="str">
            <v xml:space="preserve"> --  </v>
          </cell>
          <cell r="BV82" t="str">
            <v xml:space="preserve"> --  </v>
          </cell>
          <cell r="BW82" t="str">
            <v xml:space="preserve"> --  </v>
          </cell>
          <cell r="BY82">
            <v>7.2504330246708326E-2</v>
          </cell>
          <cell r="BZ82">
            <v>0.36575001727354395</v>
          </cell>
          <cell r="CA82">
            <v>0.18887628568682002</v>
          </cell>
          <cell r="CC82">
            <v>7.0314332404113333E-2</v>
          </cell>
          <cell r="CD82">
            <v>0.18944747525482786</v>
          </cell>
          <cell r="CE82">
            <v>0.25587278221762366</v>
          </cell>
          <cell r="CF82">
            <v>0.19104509304457218</v>
          </cell>
          <cell r="CG82">
            <v>0.23296276515129999</v>
          </cell>
          <cell r="CH82">
            <v>0.19849724971248839</v>
          </cell>
          <cell r="CJ82">
            <v>0.26127542683937688</v>
          </cell>
          <cell r="CK82">
            <v>0.29837098120557481</v>
          </cell>
          <cell r="CL82">
            <v>0.31803910016453618</v>
          </cell>
          <cell r="CM82">
            <v>4.8110886426154353E-2</v>
          </cell>
          <cell r="CN82">
            <v>0.17340990038484327</v>
          </cell>
          <cell r="CP82">
            <v>0.1030069993090823</v>
          </cell>
          <cell r="CQ82">
            <v>0.16002480753058013</v>
          </cell>
          <cell r="CR82">
            <v>0.13307730885383018</v>
          </cell>
          <cell r="CS82">
            <v>8.8538170625890755E-2</v>
          </cell>
          <cell r="CT82">
            <v>0.11286355453001029</v>
          </cell>
          <cell r="CV82">
            <v>0.14385315104308449</v>
          </cell>
          <cell r="CW82">
            <v>0.18403152938805323</v>
          </cell>
          <cell r="CX82">
            <v>-4.1302135827978592E-3</v>
          </cell>
          <cell r="CY82">
            <v>4.8178009780680986E-2</v>
          </cell>
          <cell r="CZ82">
            <v>7.6604083120670463E-2</v>
          </cell>
          <cell r="DB82">
            <v>0.18452380952380953</v>
          </cell>
          <cell r="DC82">
            <v>0.19385342789598115</v>
          </cell>
          <cell r="DD82">
            <v>0.1908212560386473</v>
          </cell>
          <cell r="DE82">
            <v>0.15121412803532008</v>
          </cell>
          <cell r="DF82">
            <v>0.17316017316017307</v>
          </cell>
          <cell r="DH82" t="str">
            <v>NA</v>
          </cell>
          <cell r="DI82" t="str">
            <v>NA</v>
          </cell>
          <cell r="DJ82" t="str">
            <v>NA</v>
          </cell>
          <cell r="DK82" t="str">
            <v>NA</v>
          </cell>
          <cell r="DL82" t="str">
            <v>NA</v>
          </cell>
          <cell r="DN82">
            <v>-0.10135135135135132</v>
          </cell>
          <cell r="DO82">
            <v>-0.26736111111111116</v>
          </cell>
          <cell r="DP82">
            <v>-0.26008968609865468</v>
          </cell>
          <cell r="DQ82">
            <v>-8.3249749247743199E-2</v>
          </cell>
          <cell r="DR82">
            <v>-0.14739884393063585</v>
          </cell>
          <cell r="DT82">
            <v>-3.2581453634085267E-2</v>
          </cell>
          <cell r="DU82">
            <v>0.1090047393364928</v>
          </cell>
          <cell r="DV82">
            <v>7.575757575757569E-2</v>
          </cell>
          <cell r="DW82">
            <v>-3.5010940919037226E-2</v>
          </cell>
          <cell r="DX82">
            <v>1.2590799031477085E-2</v>
          </cell>
          <cell r="DZ82">
            <v>-0.13471502590673579</v>
          </cell>
          <cell r="EA82">
            <v>-4.4871794871794823E-2</v>
          </cell>
          <cell r="EB82">
            <v>6.4788732394366111E-2</v>
          </cell>
          <cell r="EC82">
            <v>7.8231292517006779E-2</v>
          </cell>
          <cell r="ED82">
            <v>9.0865614538497841E-3</v>
          </cell>
          <cell r="EF82">
            <v>0.23652694610778435</v>
          </cell>
          <cell r="EG82">
            <v>1.5659955257270708E-2</v>
          </cell>
          <cell r="EH82">
            <v>2.9100529100529071E-2</v>
          </cell>
          <cell r="EI82">
            <v>3.0494216614090464E-2</v>
          </cell>
          <cell r="EJ82">
            <v>5.9715639810426602E-2</v>
          </cell>
          <cell r="EK82" t="str">
            <v>EBITDA</v>
          </cell>
          <cell r="EL82">
            <v>3.874092009685226E-2</v>
          </cell>
          <cell r="EM82">
            <v>3.3039647577092435E-2</v>
          </cell>
          <cell r="EN82">
            <v>0.45244215938303345</v>
          </cell>
          <cell r="EO82">
            <v>0.68673469387755093</v>
          </cell>
          <cell r="EP82">
            <v>0.39355992844364929</v>
          </cell>
          <cell r="ER82">
            <v>8.3916083916083961E-2</v>
          </cell>
          <cell r="ES82">
            <v>0.53944562899786774</v>
          </cell>
          <cell r="ET82">
            <v>5.1327433628318486E-2</v>
          </cell>
          <cell r="EU82">
            <v>6.291591046581968E-2</v>
          </cell>
          <cell r="EV82">
            <v>0.13543003851091151</v>
          </cell>
          <cell r="EX82">
            <v>0.23225806451612896</v>
          </cell>
          <cell r="EY82">
            <v>-6.6481994459833826E-2</v>
          </cell>
          <cell r="EZ82">
            <v>-0.12289562289562295</v>
          </cell>
          <cell r="FA82">
            <v>-7.9112122936824125E-2</v>
          </cell>
          <cell r="FB82">
            <v>-4.2962125494629744E-2</v>
          </cell>
          <cell r="FD82">
            <v>-0.20593368237347298</v>
          </cell>
          <cell r="FE82">
            <v>-3.5608308605341255E-2</v>
          </cell>
          <cell r="FF82">
            <v>-0.22456813819577737</v>
          </cell>
          <cell r="FG82">
            <v>-0.26205191594561184</v>
          </cell>
          <cell r="FH82">
            <v>-0.20171293561724746</v>
          </cell>
          <cell r="FJ82">
            <v>-0.28131868131868132</v>
          </cell>
          <cell r="FK82">
            <v>-0.10307692307692307</v>
          </cell>
          <cell r="FL82">
            <v>-3.7128712871287162E-2</v>
          </cell>
          <cell r="FM82">
            <v>0.14321608040200995</v>
          </cell>
          <cell r="FN82">
            <v>-1.442841287458374E-2</v>
          </cell>
          <cell r="FP82">
            <v>0.49847094801223246</v>
          </cell>
          <cell r="FQ82">
            <v>0.12864493996569459</v>
          </cell>
          <cell r="FR82">
            <v>0.2005141388174807</v>
          </cell>
          <cell r="FS82">
            <v>6.5201465201465192E-2</v>
          </cell>
          <cell r="FT82">
            <v>0.15202702702702697</v>
          </cell>
          <cell r="FV82">
            <v>0.2204081632653061</v>
          </cell>
          <cell r="FW82">
            <v>0.17629179331306988</v>
          </cell>
          <cell r="FX82">
            <v>0.2269807280513918</v>
          </cell>
          <cell r="FY82">
            <v>4.9518569463548934E-2</v>
          </cell>
          <cell r="FZ82">
            <v>0.13098729227761496</v>
          </cell>
          <cell r="GB82">
            <v>8.1939799331103735E-2</v>
          </cell>
          <cell r="GC82">
            <v>4.7803617571059442E-2</v>
          </cell>
          <cell r="GD82">
            <v>-2.7896948954977407E-2</v>
          </cell>
          <cell r="GE82">
            <v>0.12346322966193712</v>
          </cell>
          <cell r="GF82">
            <v>7.4451148577618476E-2</v>
          </cell>
        </row>
        <row r="83">
          <cell r="A83" t="str">
            <v>Operating Income</v>
          </cell>
          <cell r="C83" t="str">
            <v>--</v>
          </cell>
          <cell r="D83" t="str">
            <v>--</v>
          </cell>
          <cell r="E83" t="str">
            <v>--</v>
          </cell>
          <cell r="F83">
            <v>1.2260584584199381</v>
          </cell>
          <cell r="G83">
            <v>0.45706091331758403</v>
          </cell>
          <cell r="H83">
            <v>0.16469753714355728</v>
          </cell>
          <cell r="I83">
            <v>0.25548377242026232</v>
          </cell>
          <cell r="K83" t="str">
            <v xml:space="preserve">--  </v>
          </cell>
          <cell r="L83">
            <v>0.4567216509641896</v>
          </cell>
          <cell r="N83" t="str">
            <v>NA</v>
          </cell>
          <cell r="O83">
            <v>0.3469079939668176</v>
          </cell>
          <cell r="P83">
            <v>0.50167973124300103</v>
          </cell>
          <cell r="Q83">
            <v>8.5011185682326573E-2</v>
          </cell>
          <cell r="R83">
            <v>0.16357388316151211</v>
          </cell>
          <cell r="S83">
            <v>4.6072061429415223E-2</v>
          </cell>
          <cell r="T83">
            <v>-0.2230378317334839</v>
          </cell>
          <cell r="U83">
            <v>2.5436046511627897E-2</v>
          </cell>
          <cell r="V83">
            <v>-7.795889440113446E-3</v>
          </cell>
          <cell r="W83">
            <v>7.071428571428573E-2</v>
          </cell>
          <cell r="X83">
            <v>0.42628418945963986</v>
          </cell>
          <cell r="Y83">
            <v>6.3143124415341534E-2</v>
          </cell>
          <cell r="Z83">
            <v>-8.4029916410030769E-2</v>
          </cell>
          <cell r="AA83">
            <v>-0.31556195965417866</v>
          </cell>
          <cell r="AB83">
            <v>2.0350877192982564E-2</v>
          </cell>
          <cell r="AC83">
            <v>0.31980742778541948</v>
          </cell>
          <cell r="AD83">
            <v>0.24335591453882222</v>
          </cell>
          <cell r="AE83">
            <v>0.11957109062333027</v>
          </cell>
          <cell r="AF83">
            <v>3.9791523239996573E-2</v>
          </cell>
          <cell r="AG83">
            <v>4.528803078121646E-2</v>
          </cell>
          <cell r="AH83">
            <v>1.0360976857346937E-2</v>
          </cell>
          <cell r="AI83">
            <v>-5.5325270158723683E-5</v>
          </cell>
          <cell r="AJ83">
            <v>2.0156440430671108E-2</v>
          </cell>
          <cell r="AK83">
            <v>2.005532527015963E-2</v>
          </cell>
          <cell r="AL83">
            <v>1.9956203620788981E-2</v>
          </cell>
          <cell r="AN83" t="str">
            <v>Operating Income</v>
          </cell>
          <cell r="AU83">
            <v>0.56987295825771134</v>
          </cell>
          <cell r="AV83" t="str">
            <v xml:space="preserve">NM  </v>
          </cell>
          <cell r="AW83">
            <v>0.258731509050524</v>
          </cell>
          <cell r="AX83">
            <v>0.53731133005851817</v>
          </cell>
          <cell r="AY83">
            <v>0.97503939396181427</v>
          </cell>
          <cell r="BA83">
            <v>1.039041425818882</v>
          </cell>
          <cell r="BB83">
            <v>2.7225290868492564</v>
          </cell>
          <cell r="BC83">
            <v>1.0794863611616914</v>
          </cell>
          <cell r="BD83">
            <v>0.29114836628460927</v>
          </cell>
          <cell r="BE83">
            <v>0.64224712703953801</v>
          </cell>
          <cell r="BG83">
            <v>2.5041046054262051E-2</v>
          </cell>
          <cell r="BH83">
            <v>0.95848460931334034</v>
          </cell>
          <cell r="BI83">
            <v>-3.0568395204390919E-2</v>
          </cell>
          <cell r="BJ83">
            <v>0.20401741352387148</v>
          </cell>
          <cell r="BK83">
            <v>0.16469753714355861</v>
          </cell>
          <cell r="BM83">
            <v>0.25151818946543703</v>
          </cell>
          <cell r="BN83">
            <v>0.39556701861852006</v>
          </cell>
          <cell r="BO83">
            <v>0.23574714570412225</v>
          </cell>
          <cell r="BP83">
            <v>0.23101259604236768</v>
          </cell>
          <cell r="BQ83">
            <v>0.25548377242026232</v>
          </cell>
          <cell r="BS83" t="str">
            <v xml:space="preserve"> --  </v>
          </cell>
          <cell r="BT83" t="str">
            <v xml:space="preserve"> --  </v>
          </cell>
          <cell r="BU83" t="str">
            <v xml:space="preserve"> --  </v>
          </cell>
          <cell r="BV83" t="str">
            <v xml:space="preserve"> --  </v>
          </cell>
          <cell r="BW83" t="str">
            <v xml:space="preserve"> --  </v>
          </cell>
          <cell r="BY83">
            <v>0.58488289449760744</v>
          </cell>
          <cell r="BZ83">
            <v>2.6225838633246044</v>
          </cell>
          <cell r="CA83">
            <v>0.5039048962321151</v>
          </cell>
          <cell r="CC83">
            <v>0.16149103364900097</v>
          </cell>
          <cell r="CD83">
            <v>0.2784946444162697</v>
          </cell>
          <cell r="CE83">
            <v>0.34232616609710487</v>
          </cell>
          <cell r="CF83">
            <v>0.4567216509641896</v>
          </cell>
          <cell r="CG83">
            <v>0.50029950161174308</v>
          </cell>
          <cell r="CH83">
            <v>0.43801781192470157</v>
          </cell>
          <cell r="CJ83">
            <v>0.38691376307528902</v>
          </cell>
          <cell r="CK83">
            <v>0.50321864403862304</v>
          </cell>
          <cell r="CL83">
            <v>0.60719440435217531</v>
          </cell>
          <cell r="CM83">
            <v>5.8918948290300976E-2</v>
          </cell>
          <cell r="CN83">
            <v>0.22404468977879466</v>
          </cell>
          <cell r="CP83">
            <v>0.11334190559979795</v>
          </cell>
          <cell r="CQ83">
            <v>0.21290884004786315</v>
          </cell>
          <cell r="CR83">
            <v>0.15691921110803886</v>
          </cell>
          <cell r="CS83">
            <v>7.5933720802124238E-2</v>
          </cell>
          <cell r="CT83">
            <v>0.11558702516505659</v>
          </cell>
          <cell r="CV83">
            <v>0.22247737403755097</v>
          </cell>
          <cell r="CW83">
            <v>0.26026621353723955</v>
          </cell>
          <cell r="CX83">
            <v>-4.090520635465611E-2</v>
          </cell>
          <cell r="CY83">
            <v>5.2035056613513264E-2</v>
          </cell>
          <cell r="CZ83">
            <v>8.5185171373485913E-2</v>
          </cell>
          <cell r="DB83">
            <v>0.24309392265193375</v>
          </cell>
          <cell r="DC83">
            <v>0.1910112359550562</v>
          </cell>
          <cell r="DD83">
            <v>0.17509727626459148</v>
          </cell>
          <cell r="DE83">
            <v>0.14133333333333331</v>
          </cell>
          <cell r="DF83">
            <v>0.16907216494845367</v>
          </cell>
          <cell r="DH83">
            <v>0.19555555555555548</v>
          </cell>
          <cell r="DI83">
            <v>0.26415094339622636</v>
          </cell>
          <cell r="DJ83">
            <v>-0.10927152317880795</v>
          </cell>
          <cell r="DK83">
            <v>-2.9205607476635476E-2</v>
          </cell>
          <cell r="DL83">
            <v>4.1152263374485631E-2</v>
          </cell>
          <cell r="DN83">
            <v>-0.14498141263940523</v>
          </cell>
          <cell r="DO83">
            <v>-0.36815920398009949</v>
          </cell>
          <cell r="DP83">
            <v>-0.4200743494423792</v>
          </cell>
          <cell r="DQ83">
            <v>-0.11432009626955475</v>
          </cell>
          <cell r="DR83">
            <v>-0.2230378317334839</v>
          </cell>
          <cell r="DT83">
            <v>-3.9130434782608692E-2</v>
          </cell>
          <cell r="DU83">
            <v>0.18110236220472431</v>
          </cell>
          <cell r="DV83">
            <v>0.20512820512820507</v>
          </cell>
          <cell r="DW83">
            <v>-4.6195652173913082E-2</v>
          </cell>
          <cell r="DX83">
            <v>2.5436046511627897E-2</v>
          </cell>
          <cell r="DZ83">
            <v>-0.30316742081447967</v>
          </cell>
          <cell r="EA83">
            <v>-8.666666666666667E-2</v>
          </cell>
          <cell r="EB83">
            <v>7.4468085106383031E-2</v>
          </cell>
          <cell r="EC83">
            <v>9.6866096866096818E-2</v>
          </cell>
          <cell r="ED83">
            <v>-7.795889440113446E-3</v>
          </cell>
          <cell r="EF83">
            <v>0.53246753246753253</v>
          </cell>
          <cell r="EG83">
            <v>7.2992700729928028E-3</v>
          </cell>
          <cell r="EH83">
            <v>4.4554455445544594E-2</v>
          </cell>
          <cell r="EI83">
            <v>7.7922077922076838E-3</v>
          </cell>
          <cell r="EJ83">
            <v>7.071428571428573E-2</v>
          </cell>
          <cell r="EK83" t="str">
            <v>Operating Income</v>
          </cell>
          <cell r="EL83">
            <v>6.7796610169491567E-2</v>
          </cell>
          <cell r="EM83">
            <v>5.4347826086956541E-2</v>
          </cell>
          <cell r="EN83">
            <v>0.27962085308056861</v>
          </cell>
          <cell r="EO83">
            <v>0.70747422680412364</v>
          </cell>
          <cell r="EP83">
            <v>0.42628418945963986</v>
          </cell>
          <cell r="ER83">
            <v>-0.40873015873015872</v>
          </cell>
          <cell r="ES83">
            <v>0.402061855670103</v>
          </cell>
          <cell r="ET83">
            <v>3.3333333333333437E-2</v>
          </cell>
          <cell r="EU83">
            <v>8.452830188679239E-2</v>
          </cell>
          <cell r="EV83">
            <v>6.3143124415341534E-2</v>
          </cell>
          <cell r="EX83">
            <v>0.63758389261744974</v>
          </cell>
          <cell r="EY83">
            <v>-0.14950980392156865</v>
          </cell>
          <cell r="EZ83">
            <v>-0.28315412186379929</v>
          </cell>
          <cell r="FA83">
            <v>-0.10160055671537926</v>
          </cell>
          <cell r="FB83">
            <v>-8.4029916410030769E-2</v>
          </cell>
          <cell r="FD83">
            <v>-0.42622950819672134</v>
          </cell>
          <cell r="FE83">
            <v>-3.458213256484155E-2</v>
          </cell>
          <cell r="FF83">
            <v>-0.58000000000000007</v>
          </cell>
          <cell r="FG83">
            <v>-0.32920216886134779</v>
          </cell>
          <cell r="FH83">
            <v>-0.31556195965417866</v>
          </cell>
          <cell r="FJ83">
            <v>-0.82857142857142851</v>
          </cell>
          <cell r="FK83">
            <v>-0.15820895522388057</v>
          </cell>
          <cell r="FL83">
            <v>4.7619047619047672E-2</v>
          </cell>
          <cell r="FM83">
            <v>0.22401847575057743</v>
          </cell>
          <cell r="FN83">
            <v>2.0350877192982564E-2</v>
          </cell>
          <cell r="FP83">
            <v>7.4583333333333339</v>
          </cell>
          <cell r="FQ83">
            <v>0.31205673758865249</v>
          </cell>
          <cell r="FR83">
            <v>1.0113636363636362</v>
          </cell>
          <cell r="FS83">
            <v>0.10283018867924532</v>
          </cell>
          <cell r="FT83">
            <v>0.31980742778541948</v>
          </cell>
          <cell r="FV83">
            <v>0.62561576354679804</v>
          </cell>
          <cell r="FW83">
            <v>0.36756756756756759</v>
          </cell>
          <cell r="FX83">
            <v>0.64406779661016955</v>
          </cell>
          <cell r="FY83">
            <v>7.6988879384088937E-2</v>
          </cell>
          <cell r="FZ83">
            <v>0.24335591453882222</v>
          </cell>
          <cell r="GB83">
            <v>0.18484848484848482</v>
          </cell>
          <cell r="GC83">
            <v>9.486166007905128E-2</v>
          </cell>
          <cell r="GD83">
            <v>-3.238833495997262E-2</v>
          </cell>
          <cell r="GE83">
            <v>0.14751519277253244</v>
          </cell>
          <cell r="GF83">
            <v>0.11957109062333027</v>
          </cell>
        </row>
        <row r="84">
          <cell r="A84" t="str">
            <v>Pretax Income</v>
          </cell>
          <cell r="C84" t="str">
            <v>--</v>
          </cell>
          <cell r="D84" t="str">
            <v>--</v>
          </cell>
          <cell r="E84" t="str">
            <v>--</v>
          </cell>
          <cell r="F84" t="str">
            <v>NM</v>
          </cell>
          <cell r="G84">
            <v>3.354567465605613</v>
          </cell>
          <cell r="H84">
            <v>0.5852107910537101</v>
          </cell>
          <cell r="I84">
            <v>0.16298330523682636</v>
          </cell>
          <cell r="K84" t="str">
            <v xml:space="preserve">--  </v>
          </cell>
          <cell r="L84">
            <v>2.3013597703017585</v>
          </cell>
          <cell r="N84" t="str">
            <v>NA</v>
          </cell>
          <cell r="O84">
            <v>1.1831683168316833</v>
          </cell>
          <cell r="P84">
            <v>1.1723356009070294</v>
          </cell>
          <cell r="Q84">
            <v>0.21398747390396666</v>
          </cell>
          <cell r="R84">
            <v>0.1917454858125538</v>
          </cell>
          <cell r="S84">
            <v>-1.1544011544011523E-2</v>
          </cell>
          <cell r="T84">
            <v>-0.43065693430656937</v>
          </cell>
          <cell r="U84">
            <v>0.34358974358974348</v>
          </cell>
          <cell r="V84">
            <v>3.4351145038167941E-2</v>
          </cell>
          <cell r="W84">
            <v>2.9520295202952074E-2</v>
          </cell>
          <cell r="X84">
            <v>0.83154121863799291</v>
          </cell>
          <cell r="Y84">
            <v>-0.3272994129158513</v>
          </cell>
          <cell r="Z84">
            <v>-4.0000000000000036E-2</v>
          </cell>
          <cell r="AA84">
            <v>-0.66363636363636358</v>
          </cell>
          <cell r="AB84">
            <v>0.14189189189189189</v>
          </cell>
          <cell r="AC84">
            <v>1.6035502958579881</v>
          </cell>
          <cell r="AD84">
            <v>0.49090909090909096</v>
          </cell>
          <cell r="AE84">
            <v>0.13483432061642264</v>
          </cell>
          <cell r="AF84">
            <v>4.7726760420446546E-2</v>
          </cell>
          <cell r="AG84">
            <v>9.8097064157964153E-2</v>
          </cell>
          <cell r="AH84">
            <v>1.3816344190469065E-2</v>
          </cell>
          <cell r="AI84">
            <v>2.5802460075930789E-2</v>
          </cell>
          <cell r="AJ84">
            <v>3.8381471630567709E-2</v>
          </cell>
          <cell r="AK84">
            <v>3.0505651064043793E-2</v>
          </cell>
          <cell r="AL84">
            <v>2.3967090203863339E-2</v>
          </cell>
          <cell r="AN84" t="str">
            <v>Pretax Income</v>
          </cell>
          <cell r="AU84" t="str">
            <v xml:space="preserve">NM  </v>
          </cell>
          <cell r="AV84" t="str">
            <v xml:space="preserve">NM  </v>
          </cell>
          <cell r="AW84" t="str">
            <v xml:space="preserve">NM  </v>
          </cell>
          <cell r="AX84" t="str">
            <v xml:space="preserve">NM  </v>
          </cell>
          <cell r="AY84" t="str">
            <v xml:space="preserve">NM  </v>
          </cell>
          <cell r="BA84" t="str">
            <v xml:space="preserve">NM  </v>
          </cell>
          <cell r="BB84" t="str">
            <v xml:space="preserve">NM  </v>
          </cell>
          <cell r="BC84" t="str">
            <v xml:space="preserve">NM  </v>
          </cell>
          <cell r="BD84" t="str">
            <v xml:space="preserve">NM  </v>
          </cell>
          <cell r="BE84" t="str">
            <v xml:space="preserve">NM  </v>
          </cell>
          <cell r="BG84">
            <v>0.72610550139274821</v>
          </cell>
          <cell r="BH84" t="str">
            <v xml:space="preserve">NM  </v>
          </cell>
          <cell r="BI84">
            <v>0.13468983523903932</v>
          </cell>
          <cell r="BJ84">
            <v>0.403693706492398</v>
          </cell>
          <cell r="BK84">
            <v>0.58521079105371432</v>
          </cell>
          <cell r="BM84">
            <v>0.46418215285307451</v>
          </cell>
          <cell r="BN84">
            <v>-0.43248023879277786</v>
          </cell>
          <cell r="BO84">
            <v>0.24313258747917277</v>
          </cell>
          <cell r="BP84">
            <v>0.137789203084834</v>
          </cell>
          <cell r="BQ84">
            <v>0.16298330523682614</v>
          </cell>
          <cell r="BS84" t="str">
            <v xml:space="preserve"> --  </v>
          </cell>
          <cell r="BT84" t="str">
            <v xml:space="preserve"> --  </v>
          </cell>
          <cell r="BU84" t="str">
            <v xml:space="preserve"> --  </v>
          </cell>
          <cell r="BV84" t="str">
            <v xml:space="preserve"> --  </v>
          </cell>
          <cell r="BW84" t="str">
            <v xml:space="preserve"> --  </v>
          </cell>
          <cell r="BY84" t="str">
            <v xml:space="preserve">NM </v>
          </cell>
          <cell r="BZ84" t="str">
            <v xml:space="preserve">NM </v>
          </cell>
          <cell r="CA84" t="str">
            <v xml:space="preserve">NM </v>
          </cell>
          <cell r="CC84" t="str">
            <v xml:space="preserve">NM </v>
          </cell>
          <cell r="CD84">
            <v>0.45877033771958153</v>
          </cell>
          <cell r="CE84">
            <v>0.34524859013417819</v>
          </cell>
          <cell r="CF84">
            <v>2.3013597703017599</v>
          </cell>
          <cell r="CG84">
            <v>1.9218592556476608</v>
          </cell>
          <cell r="CH84">
            <v>1.1829459884067255</v>
          </cell>
          <cell r="CJ84" t="str">
            <v xml:space="preserve">NM </v>
          </cell>
          <cell r="CK84" t="str">
            <v xml:space="preserve">NM </v>
          </cell>
          <cell r="CL84" t="str">
            <v xml:space="preserve">NM </v>
          </cell>
          <cell r="CM84">
            <v>0.11877233094735073</v>
          </cell>
          <cell r="CN84">
            <v>1.1911304132026577</v>
          </cell>
          <cell r="CP84">
            <v>-1.7664490999052544</v>
          </cell>
          <cell r="CQ84">
            <v>-3.8248118414450696</v>
          </cell>
          <cell r="CR84">
            <v>1.3810766588686971</v>
          </cell>
          <cell r="CS84">
            <v>0.34793188919827567</v>
          </cell>
          <cell r="CT84">
            <v>1.1707387792270185</v>
          </cell>
          <cell r="CV84">
            <v>1.3807888652336051</v>
          </cell>
          <cell r="CW84">
            <v>0.7140776397239661</v>
          </cell>
          <cell r="CX84">
            <v>5.0640890943475458E-2</v>
          </cell>
          <cell r="CY84">
            <v>8.7986298721735912E-2</v>
          </cell>
          <cell r="CZ84">
            <v>0.2136200941259947</v>
          </cell>
          <cell r="DB84">
            <v>0.44230769230769229</v>
          </cell>
          <cell r="DC84">
            <v>0.20725388601036276</v>
          </cell>
          <cell r="DD84">
            <v>0.14054054054054044</v>
          </cell>
          <cell r="DE84">
            <v>0.10425844346549185</v>
          </cell>
          <cell r="DF84">
            <v>0.15735167669819439</v>
          </cell>
          <cell r="DH84">
            <v>0.33333333333333326</v>
          </cell>
          <cell r="DI84">
            <v>0.39055793991416299</v>
          </cell>
          <cell r="DJ84">
            <v>-0.12322274881516593</v>
          </cell>
          <cell r="DK84">
            <v>-0.12101063829787229</v>
          </cell>
          <cell r="DL84">
            <v>1.7830609212481363E-2</v>
          </cell>
          <cell r="DN84">
            <v>-0.5</v>
          </cell>
          <cell r="DO84">
            <v>-0.58333333333333326</v>
          </cell>
          <cell r="DP84">
            <v>-0.75135135135135134</v>
          </cell>
          <cell r="DQ84">
            <v>-0.24508320726172461</v>
          </cell>
          <cell r="DR84">
            <v>-0.43065693430656937</v>
          </cell>
          <cell r="DT84">
            <v>0.47</v>
          </cell>
          <cell r="DU84">
            <v>0.64444444444444438</v>
          </cell>
          <cell r="DV84">
            <v>1.5</v>
          </cell>
          <cell r="DW84">
            <v>0.13026052104208419</v>
          </cell>
          <cell r="DX84">
            <v>0.34358974358974348</v>
          </cell>
          <cell r="DZ84">
            <v>-0.48299319727891155</v>
          </cell>
          <cell r="EA84">
            <v>-0.10360360360360366</v>
          </cell>
          <cell r="EB84">
            <v>-2.6086956521739091E-2</v>
          </cell>
          <cell r="EC84">
            <v>0.23581560283687941</v>
          </cell>
          <cell r="ED84">
            <v>3.4351145038167941E-2</v>
          </cell>
          <cell r="EF84">
            <v>1.0657894736842106</v>
          </cell>
          <cell r="EG84">
            <v>-0.36683417085427139</v>
          </cell>
          <cell r="EH84">
            <v>7.1428571428571397E-2</v>
          </cell>
          <cell r="EI84">
            <v>2.2955523672883782E-2</v>
          </cell>
          <cell r="EJ84">
            <v>2.9520295202952074E-2</v>
          </cell>
          <cell r="EK84" t="str">
            <v>Pretax Income</v>
          </cell>
          <cell r="EL84">
            <v>0.26114649681528657</v>
          </cell>
          <cell r="EM84">
            <v>0.88095238095238093</v>
          </cell>
          <cell r="EN84">
            <v>3.5166666666666666</v>
          </cell>
          <cell r="EO84">
            <v>0.49649368863955123</v>
          </cell>
          <cell r="EP84">
            <v>0.83154121863799291</v>
          </cell>
          <cell r="ER84">
            <v>-1.595959595959596</v>
          </cell>
          <cell r="ES84">
            <v>0.29113924050632911</v>
          </cell>
          <cell r="ET84">
            <v>-0.94464944649446492</v>
          </cell>
          <cell r="EU84">
            <v>8.434864104967188E-2</v>
          </cell>
          <cell r="EV84">
            <v>-0.3272994129158513</v>
          </cell>
          <cell r="EX84">
            <v>-1.7033898305084745</v>
          </cell>
          <cell r="EY84">
            <v>-0.63071895424836599</v>
          </cell>
          <cell r="EZ84">
            <v>0.26666666666666661</v>
          </cell>
          <cell r="FA84">
            <v>-6.1365600691443367E-2</v>
          </cell>
          <cell r="FB84">
            <v>-4.0000000000000036E-2</v>
          </cell>
          <cell r="FD84">
            <v>-2.2771084337349397</v>
          </cell>
          <cell r="FE84">
            <v>7.079646017699126E-2</v>
          </cell>
          <cell r="FF84">
            <v>-2.9736842105263159</v>
          </cell>
          <cell r="FG84">
            <v>-0.53591160220994483</v>
          </cell>
          <cell r="FH84">
            <v>-0.66363636363636358</v>
          </cell>
          <cell r="FJ84">
            <v>1.4056603773584904</v>
          </cell>
          <cell r="FK84">
            <v>-9.9173553719008267E-2</v>
          </cell>
          <cell r="FL84">
            <v>9.3333333333333268E-2</v>
          </cell>
          <cell r="FM84">
            <v>0.45833333333333326</v>
          </cell>
          <cell r="FN84">
            <v>0.14189189189189189</v>
          </cell>
          <cell r="FP84">
            <v>-1.1607843137254903</v>
          </cell>
          <cell r="FQ84">
            <v>1.2018348623853212</v>
          </cell>
          <cell r="FR84">
            <v>-1.1585365853658536</v>
          </cell>
          <cell r="FS84">
            <v>0.39591836734693886</v>
          </cell>
          <cell r="FT84">
            <v>1.6035502958579881</v>
          </cell>
          <cell r="FV84">
            <v>4.2195121951219514</v>
          </cell>
          <cell r="FW84">
            <v>0.64583333333333326</v>
          </cell>
          <cell r="FX84">
            <v>13.076923076923077</v>
          </cell>
          <cell r="FY84">
            <v>0.14619883040935666</v>
          </cell>
          <cell r="FZ84">
            <v>0.49090909090909096</v>
          </cell>
          <cell r="GB84">
            <v>0.30373831775700944</v>
          </cell>
          <cell r="GC84">
            <v>0.13670886075949373</v>
          </cell>
          <cell r="GD84">
            <v>-4.5601122805202454E-2</v>
          </cell>
          <cell r="GE84">
            <v>0.13154672486944907</v>
          </cell>
          <cell r="GF84">
            <v>0.13483432061642264</v>
          </cell>
        </row>
        <row r="85">
          <cell r="A85" t="str">
            <v>Net Income, Reported</v>
          </cell>
          <cell r="C85" t="str">
            <v>--</v>
          </cell>
          <cell r="D85" t="str">
            <v>--</v>
          </cell>
          <cell r="E85" t="str">
            <v>--</v>
          </cell>
          <cell r="F85" t="str">
            <v>NM</v>
          </cell>
          <cell r="G85">
            <v>4.2697454632093716</v>
          </cell>
          <cell r="H85">
            <v>0.59022063477709041</v>
          </cell>
          <cell r="I85">
            <v>0.16972540099983413</v>
          </cell>
          <cell r="K85" t="str">
            <v xml:space="preserve">--  </v>
          </cell>
          <cell r="L85">
            <v>3.0486739791766411</v>
          </cell>
          <cell r="N85" t="str">
            <v>NA</v>
          </cell>
          <cell r="O85">
            <v>2.5466666666666669</v>
          </cell>
          <cell r="P85">
            <v>1.0150375939849625</v>
          </cell>
          <cell r="Q85">
            <v>0.2350746268656716</v>
          </cell>
          <cell r="R85">
            <v>0.20090634441087607</v>
          </cell>
          <cell r="S85">
            <v>-1.2314465408805031</v>
          </cell>
          <cell r="T85">
            <v>0.5</v>
          </cell>
          <cell r="U85">
            <v>-3.9637681159420288</v>
          </cell>
          <cell r="V85">
            <v>-0.15281173594132025</v>
          </cell>
          <cell r="W85">
            <v>-5.7720057720057616E-3</v>
          </cell>
          <cell r="X85">
            <v>1.0414969667227032</v>
          </cell>
          <cell r="Y85">
            <v>-0.29270505075164965</v>
          </cell>
          <cell r="Z85">
            <v>-0.10239979896971985</v>
          </cell>
          <cell r="AA85">
            <v>-6.3784994400895858</v>
          </cell>
          <cell r="AB85">
            <v>-1.0684988548823653</v>
          </cell>
          <cell r="AC85">
            <v>1.4486322188449847</v>
          </cell>
          <cell r="AD85">
            <v>0.55908639523336645</v>
          </cell>
          <cell r="AE85">
            <v>0.1213160701218674</v>
          </cell>
          <cell r="AF85">
            <v>4.6715019631404564E-2</v>
          </cell>
          <cell r="AG85">
            <v>9.8097064157964153E-2</v>
          </cell>
          <cell r="AH85">
            <v>1.3816344190469065E-2</v>
          </cell>
          <cell r="AI85">
            <v>2.5802460075930789E-2</v>
          </cell>
          <cell r="AJ85">
            <v>3.8381471630567709E-2</v>
          </cell>
          <cell r="AK85">
            <v>3.0505651064043793E-2</v>
          </cell>
          <cell r="AL85">
            <v>2.3967090203863339E-2</v>
          </cell>
          <cell r="AN85" t="str">
            <v>Net Income, Reported</v>
          </cell>
          <cell r="AU85" t="str">
            <v xml:space="preserve">NM  </v>
          </cell>
          <cell r="AV85" t="str">
            <v xml:space="preserve">NM  </v>
          </cell>
          <cell r="AW85" t="str">
            <v xml:space="preserve">NM  </v>
          </cell>
          <cell r="AX85" t="str">
            <v xml:space="preserve">NM  </v>
          </cell>
          <cell r="AY85" t="str">
            <v xml:space="preserve">NM  </v>
          </cell>
          <cell r="BA85" t="str">
            <v xml:space="preserve">NM  </v>
          </cell>
          <cell r="BB85" t="str">
            <v xml:space="preserve">NM  </v>
          </cell>
          <cell r="BC85" t="str">
            <v xml:space="preserve">NM  </v>
          </cell>
          <cell r="BD85" t="str">
            <v xml:space="preserve">NM  </v>
          </cell>
          <cell r="BE85" t="str">
            <v xml:space="preserve">NM  </v>
          </cell>
          <cell r="BG85">
            <v>0.83711479850996984</v>
          </cell>
          <cell r="BH85" t="str">
            <v xml:space="preserve">NM  </v>
          </cell>
          <cell r="BI85">
            <v>9.3154328414921661E-2</v>
          </cell>
          <cell r="BJ85">
            <v>0.38871392824181727</v>
          </cell>
          <cell r="BK85">
            <v>0.5902206347770973</v>
          </cell>
          <cell r="BM85">
            <v>0.48488479262673212</v>
          </cell>
          <cell r="BN85">
            <v>-0.57392974133063923</v>
          </cell>
          <cell r="BO85">
            <v>0.28441084462982458</v>
          </cell>
          <cell r="BP85">
            <v>0.14084873730799452</v>
          </cell>
          <cell r="BQ85">
            <v>0.16972540099983369</v>
          </cell>
          <cell r="BS85" t="str">
            <v xml:space="preserve"> --  </v>
          </cell>
          <cell r="BT85" t="str">
            <v xml:space="preserve"> --  </v>
          </cell>
          <cell r="BU85" t="str">
            <v xml:space="preserve"> --  </v>
          </cell>
          <cell r="BV85" t="str">
            <v xml:space="preserve"> --  </v>
          </cell>
          <cell r="BW85" t="str">
            <v xml:space="preserve"> --  </v>
          </cell>
          <cell r="BY85" t="str">
            <v xml:space="preserve">NM </v>
          </cell>
          <cell r="BZ85" t="str">
            <v xml:space="preserve">NM </v>
          </cell>
          <cell r="CA85" t="str">
            <v xml:space="preserve">NM </v>
          </cell>
          <cell r="CC85" t="str">
            <v xml:space="preserve">NM </v>
          </cell>
          <cell r="CD85">
            <v>0.37055020770788127</v>
          </cell>
          <cell r="CE85">
            <v>0.33441950883194549</v>
          </cell>
          <cell r="CF85">
            <v>3.0486739791766455</v>
          </cell>
          <cell r="CG85">
            <v>2.8686737346110953</v>
          </cell>
          <cell r="CH85">
            <v>1.0154646949248605</v>
          </cell>
          <cell r="CJ85" t="str">
            <v xml:space="preserve">NM </v>
          </cell>
          <cell r="CK85" t="str">
            <v xml:space="preserve">NM </v>
          </cell>
          <cell r="CL85" t="str">
            <v xml:space="preserve">NM </v>
          </cell>
          <cell r="CM85">
            <v>0.1821292076273795</v>
          </cell>
          <cell r="CN85">
            <v>2.5848804756704831</v>
          </cell>
          <cell r="CP85">
            <v>-1.6344171083511347</v>
          </cell>
          <cell r="CQ85">
            <v>-3.440701651160242</v>
          </cell>
          <cell r="CR85">
            <v>1.5146288366306782</v>
          </cell>
          <cell r="CS85">
            <v>0.31077931687886151</v>
          </cell>
          <cell r="CT85">
            <v>1.1611549267169936</v>
          </cell>
          <cell r="CV85">
            <v>1.5035953281516088</v>
          </cell>
          <cell r="CW85">
            <v>0.61217417507909366</v>
          </cell>
          <cell r="CX85">
            <v>4.6482866221435382E-2</v>
          </cell>
          <cell r="CY85">
            <v>7.6289965178854002E-2</v>
          </cell>
          <cell r="CZ85">
            <v>0.19249316508388858</v>
          </cell>
          <cell r="DB85">
            <v>0.44436696882159565</v>
          </cell>
          <cell r="DC85">
            <v>0.28037383177570097</v>
          </cell>
          <cell r="DD85">
            <v>0.11818181818181817</v>
          </cell>
          <cell r="DE85">
            <v>9.8039215686274606E-2</v>
          </cell>
          <cell r="DF85">
            <v>0.1601876147418253</v>
          </cell>
          <cell r="DH85">
            <v>2.2988505747126409E-2</v>
          </cell>
          <cell r="DI85">
            <v>-0.54014598540145986</v>
          </cell>
          <cell r="DJ85">
            <v>-6.4308943089430892</v>
          </cell>
          <cell r="DK85">
            <v>-0.2589285714285714</v>
          </cell>
          <cell r="DL85">
            <v>-1.2314465408805031</v>
          </cell>
          <cell r="DN85">
            <v>-0.348314606741573</v>
          </cell>
          <cell r="DO85">
            <v>0.74603174603174605</v>
          </cell>
          <cell r="DP85">
            <v>-1.0044910179640718</v>
          </cell>
          <cell r="DQ85">
            <v>-2.346385542168675</v>
          </cell>
          <cell r="DR85">
            <v>0.5</v>
          </cell>
          <cell r="DT85">
            <v>0.53448275862068972</v>
          </cell>
          <cell r="DU85">
            <v>1.5636363636363635</v>
          </cell>
          <cell r="DV85">
            <v>34.333333333333336</v>
          </cell>
          <cell r="DW85">
            <v>-1.7628635346756152</v>
          </cell>
          <cell r="DX85">
            <v>-3.9637681159420288</v>
          </cell>
          <cell r="DZ85">
            <v>-0.4831460674157303</v>
          </cell>
          <cell r="EA85">
            <v>-0.57446808510638303</v>
          </cell>
          <cell r="EB85">
            <v>-0.36792452830188682</v>
          </cell>
          <cell r="EC85">
            <v>0.34897360703812308</v>
          </cell>
          <cell r="ED85">
            <v>-0.15281173594132025</v>
          </cell>
          <cell r="EF85">
            <v>1.1086956521739131</v>
          </cell>
          <cell r="EG85">
            <v>-0.35</v>
          </cell>
          <cell r="EH85">
            <v>0.10447761194029859</v>
          </cell>
          <cell r="EI85">
            <v>-4.3478260869565188E-2</v>
          </cell>
          <cell r="EJ85">
            <v>-5.7720057720057616E-3</v>
          </cell>
          <cell r="EK85" t="str">
            <v>Net Income, Reported</v>
          </cell>
          <cell r="EL85">
            <v>0.2716907216494846</v>
          </cell>
          <cell r="EM85">
            <v>0.89743589743589736</v>
          </cell>
          <cell r="EN85">
            <v>4.895100136107331</v>
          </cell>
          <cell r="EO85">
            <v>0.58863636363636362</v>
          </cell>
          <cell r="EP85">
            <v>1.0414969667227032</v>
          </cell>
          <cell r="ER85">
            <v>-1.4215509833487361</v>
          </cell>
          <cell r="ES85">
            <v>1.1410472972972974</v>
          </cell>
          <cell r="ET85">
            <v>-1.006876989296964</v>
          </cell>
          <cell r="EU85">
            <v>4.8640915593705314E-2</v>
          </cell>
          <cell r="EV85">
            <v>-0.29270505075164965</v>
          </cell>
          <cell r="EX85">
            <v>-1.6923076923076923</v>
          </cell>
          <cell r="EY85">
            <v>-0.76646942800788953</v>
          </cell>
          <cell r="EZ85">
            <v>-12</v>
          </cell>
          <cell r="FA85">
            <v>2.3192360163710735E-2</v>
          </cell>
          <cell r="FB85">
            <v>-0.10239979896971985</v>
          </cell>
          <cell r="FD85">
            <v>-2.6388888888888888</v>
          </cell>
          <cell r="FE85">
            <v>-1.3513513513513487E-2</v>
          </cell>
          <cell r="FF85">
            <v>-2.333333333333333</v>
          </cell>
          <cell r="FG85">
            <v>-7.3639999999999999</v>
          </cell>
          <cell r="FH85">
            <v>-6.3784994400895858</v>
          </cell>
          <cell r="FJ85">
            <v>0.49152542372881358</v>
          </cell>
          <cell r="FK85">
            <v>-0.90410958904109595</v>
          </cell>
          <cell r="FL85">
            <v>-0.20454545454545459</v>
          </cell>
          <cell r="FM85">
            <v>-1.0932327676513722</v>
          </cell>
          <cell r="FN85">
            <v>-1.0684988548823653</v>
          </cell>
          <cell r="FP85">
            <v>-1.2613636363636362</v>
          </cell>
          <cell r="FQ85">
            <v>20</v>
          </cell>
          <cell r="FR85">
            <v>-1.2857142857142856</v>
          </cell>
          <cell r="FS85">
            <v>0.49887640449438209</v>
          </cell>
          <cell r="FT85">
            <v>1.5744680851063828</v>
          </cell>
          <cell r="FV85">
            <v>4.6956521739130439</v>
          </cell>
          <cell r="FW85">
            <v>0.63945578231292521</v>
          </cell>
          <cell r="FX85">
            <v>12.9</v>
          </cell>
          <cell r="FY85">
            <v>0.11694152923538237</v>
          </cell>
          <cell r="FZ85">
            <v>0.48288075560802834</v>
          </cell>
          <cell r="GB85">
            <v>0.38167938931297707</v>
          </cell>
          <cell r="GC85">
            <v>0.15767634854771795</v>
          </cell>
          <cell r="GD85">
            <v>-0.20839822624612792</v>
          </cell>
          <cell r="GE85">
            <v>0.12528904365272142</v>
          </cell>
          <cell r="GF85">
            <v>0.1213160701218674</v>
          </cell>
        </row>
        <row r="86">
          <cell r="A86" t="str">
            <v>EPS, Before All Extraordinary Items</v>
          </cell>
          <cell r="C86" t="str">
            <v>--</v>
          </cell>
          <cell r="D86" t="str">
            <v>--</v>
          </cell>
          <cell r="E86" t="str">
            <v>--</v>
          </cell>
          <cell r="F86" t="str">
            <v>NM</v>
          </cell>
          <cell r="G86">
            <v>4.2697454632093716</v>
          </cell>
          <cell r="H86">
            <v>0.49352714229736749</v>
          </cell>
          <cell r="I86">
            <v>0.16715720920010613</v>
          </cell>
          <cell r="K86" t="str">
            <v xml:space="preserve">--  </v>
          </cell>
          <cell r="L86">
            <v>1.2429413062163106</v>
          </cell>
          <cell r="N86" t="str">
            <v>NA</v>
          </cell>
          <cell r="O86">
            <v>2.0831760191846533</v>
          </cell>
          <cell r="P86">
            <v>1.1166002434653026</v>
          </cell>
          <cell r="Q86">
            <v>0.19781195988990907</v>
          </cell>
          <cell r="R86">
            <v>0.23893143472537992</v>
          </cell>
          <cell r="S86">
            <v>0.11804933673070495</v>
          </cell>
          <cell r="T86">
            <v>-0.23747100765953244</v>
          </cell>
          <cell r="U86">
            <v>6.7412153054829504E-2</v>
          </cell>
          <cell r="V86">
            <v>8.2618698493725606E-2</v>
          </cell>
          <cell r="W86">
            <v>0.19253228900861408</v>
          </cell>
          <cell r="X86">
            <v>0.13546350508465377</v>
          </cell>
          <cell r="Y86">
            <v>-0.17112431238754444</v>
          </cell>
          <cell r="Z86">
            <v>2.511156865799169E-2</v>
          </cell>
          <cell r="AA86">
            <v>-0.3926266519774968</v>
          </cell>
          <cell r="AB86">
            <v>5.4566031260215864E-2</v>
          </cell>
          <cell r="AC86">
            <v>0.54543966376654018</v>
          </cell>
          <cell r="AD86">
            <v>0.36638230546571982</v>
          </cell>
          <cell r="AE86">
            <v>0.18944449755233173</v>
          </cell>
          <cell r="AF86">
            <v>0.15178647079450802</v>
          </cell>
          <cell r="AG86">
            <v>0.21619225683545951</v>
          </cell>
          <cell r="AH86">
            <v>0.10368489317104679</v>
          </cell>
          <cell r="AI86">
            <v>7.5550799930256041E-2</v>
          </cell>
          <cell r="AJ86">
            <v>8.0391871180272023E-2</v>
          </cell>
          <cell r="AK86">
            <v>0.1050161104972096</v>
          </cell>
          <cell r="AL86">
            <v>0.11070075260190304</v>
          </cell>
          <cell r="AN86" t="str">
            <v>EPS, Before All Extraordinary Items</v>
          </cell>
          <cell r="AU86" t="str">
            <v xml:space="preserve">NM  </v>
          </cell>
          <cell r="AV86" t="str">
            <v xml:space="preserve">NM  </v>
          </cell>
          <cell r="AW86" t="str">
            <v xml:space="preserve">NM  </v>
          </cell>
          <cell r="AX86" t="str">
            <v xml:space="preserve">NM  </v>
          </cell>
          <cell r="AY86" t="str">
            <v xml:space="preserve">NM  </v>
          </cell>
          <cell r="BA86" t="str">
            <v xml:space="preserve">NM  </v>
          </cell>
          <cell r="BB86" t="str">
            <v xml:space="preserve">NM  </v>
          </cell>
          <cell r="BC86" t="str">
            <v xml:space="preserve">NM  </v>
          </cell>
          <cell r="BD86" t="str">
            <v xml:space="preserve">NM  </v>
          </cell>
          <cell r="BE86" t="str">
            <v xml:space="preserve">NM  </v>
          </cell>
          <cell r="BG86">
            <v>0.15093972231627273</v>
          </cell>
          <cell r="BH86" t="str">
            <v xml:space="preserve">NM  </v>
          </cell>
          <cell r="BI86">
            <v>7.7195871065800059E-2</v>
          </cell>
          <cell r="BJ86">
            <v>0.24705403271076887</v>
          </cell>
          <cell r="BK86">
            <v>0.30893389999095677</v>
          </cell>
          <cell r="BM86">
            <v>0.47058823529411753</v>
          </cell>
          <cell r="BN86">
            <v>1.2483031355031047</v>
          </cell>
          <cell r="BO86">
            <v>0.29629629629629606</v>
          </cell>
          <cell r="BP86">
            <v>0.25961538461538458</v>
          </cell>
          <cell r="BQ86">
            <v>0.33175630280524948</v>
          </cell>
          <cell r="BS86" t="str">
            <v xml:space="preserve"> --  </v>
          </cell>
          <cell r="BT86" t="str">
            <v xml:space="preserve"> --  </v>
          </cell>
          <cell r="BU86" t="str">
            <v xml:space="preserve"> --  </v>
          </cell>
          <cell r="BV86" t="str">
            <v xml:space="preserve"> --  </v>
          </cell>
          <cell r="BW86" t="str">
            <v xml:space="preserve"> --  </v>
          </cell>
          <cell r="BY86" t="str">
            <v xml:space="preserve">NM </v>
          </cell>
          <cell r="BZ86" t="str">
            <v xml:space="preserve">NM </v>
          </cell>
          <cell r="CA86" t="str">
            <v xml:space="preserve">NM </v>
          </cell>
          <cell r="CC86" t="str">
            <v xml:space="preserve">NM </v>
          </cell>
          <cell r="CD86">
            <v>0.25642012991861307</v>
          </cell>
          <cell r="CE86">
            <v>0.21559931910688945</v>
          </cell>
          <cell r="CF86">
            <v>1.242941306216311</v>
          </cell>
          <cell r="CG86">
            <v>1.273034974194021</v>
          </cell>
          <cell r="CH86">
            <v>0.80871126553133621</v>
          </cell>
          <cell r="CJ86" t="str">
            <v xml:space="preserve">NM </v>
          </cell>
          <cell r="CK86" t="str">
            <v xml:space="preserve">NM </v>
          </cell>
          <cell r="CL86" t="str">
            <v xml:space="preserve">NM </v>
          </cell>
          <cell r="CM86">
            <v>0.13358996848546845</v>
          </cell>
          <cell r="CN86">
            <v>0.5557153119638325</v>
          </cell>
          <cell r="CP86">
            <v>1.8847721822542178</v>
          </cell>
          <cell r="CQ86">
            <v>0.98095749761223572</v>
          </cell>
          <cell r="CR86">
            <v>0.5218694349129136</v>
          </cell>
          <cell r="CS86">
            <v>9.3307514801961533E-2</v>
          </cell>
          <cell r="CT86">
            <v>0.25831729550304816</v>
          </cell>
          <cell r="CV86">
            <v>1.5034529101088574</v>
          </cell>
          <cell r="CW86">
            <v>0.60059447200373395</v>
          </cell>
          <cell r="CX86">
            <v>-0.17311732873453067</v>
          </cell>
          <cell r="CY86">
            <v>7.9567640585938015E-2</v>
          </cell>
          <cell r="CZ86">
            <v>0.15234039797565679</v>
          </cell>
          <cell r="DB86">
            <v>-0.26911815031362007</v>
          </cell>
          <cell r="DC86">
            <v>-0.35868875191480443</v>
          </cell>
          <cell r="DD86">
            <v>-0.29612724531270496</v>
          </cell>
          <cell r="DE86">
            <v>-0.45822134788913216</v>
          </cell>
          <cell r="DF86">
            <v>-0.40232656840273939</v>
          </cell>
          <cell r="DH86">
            <v>0.3569488949468862</v>
          </cell>
          <cell r="DI86">
            <v>0.50706646361742713</v>
          </cell>
          <cell r="DJ86">
            <v>-3.0975973608567631E-2</v>
          </cell>
          <cell r="DK86">
            <v>9.1775708959831892E-2</v>
          </cell>
          <cell r="DL86">
            <v>0.16010779214312887</v>
          </cell>
          <cell r="DN86">
            <v>-0.20822262267582348</v>
          </cell>
          <cell r="DO86">
            <v>-0.43841864714537893</v>
          </cell>
          <cell r="DP86">
            <v>-0.59273991713233776</v>
          </cell>
          <cell r="DQ86">
            <v>-9.5511908313649863E-2</v>
          </cell>
          <cell r="DR86">
            <v>-0.23747100765953244</v>
          </cell>
          <cell r="DT86">
            <v>1.0022997402227452E-2</v>
          </cell>
          <cell r="DU86">
            <v>0.25077409537636819</v>
          </cell>
          <cell r="DV86">
            <v>0.73436521566609403</v>
          </cell>
          <cell r="DW86">
            <v>-8.1762364367958806E-3</v>
          </cell>
          <cell r="DX86">
            <v>6.7412153054829504E-2</v>
          </cell>
          <cell r="DZ86">
            <v>-0.38502923283127022</v>
          </cell>
          <cell r="EA86">
            <v>3.0104736134886956E-2</v>
          </cell>
          <cell r="EB86">
            <v>0.18641645511193183</v>
          </cell>
          <cell r="EC86">
            <v>0.16982420675683696</v>
          </cell>
          <cell r="ED86">
            <v>8.2618698493725606E-2</v>
          </cell>
          <cell r="EF86">
            <v>1.2002944973744478</v>
          </cell>
          <cell r="EG86">
            <v>9.1284054291573158E-2</v>
          </cell>
          <cell r="EH86">
            <v>0.21440795242992539</v>
          </cell>
          <cell r="EI86">
            <v>0.11331568332715758</v>
          </cell>
          <cell r="EJ86">
            <v>0.19253228900861408</v>
          </cell>
          <cell r="EK86" t="str">
            <v>EPS, Before All Extraordinary Items</v>
          </cell>
          <cell r="EL86">
            <v>0.20924520779639133</v>
          </cell>
          <cell r="EM86">
            <v>0.14652501106684346</v>
          </cell>
          <cell r="EN86">
            <v>-0.41739246783196837</v>
          </cell>
          <cell r="EO86">
            <v>2.6745738601636537E-2</v>
          </cell>
          <cell r="EP86">
            <v>0.13546350508465377</v>
          </cell>
          <cell r="ER86">
            <v>-0.96536392307397523</v>
          </cell>
          <cell r="ES86">
            <v>-0.22511768742991911</v>
          </cell>
          <cell r="ET86">
            <v>0.27056097610725471</v>
          </cell>
          <cell r="EU86">
            <v>0.19806697860755884</v>
          </cell>
          <cell r="EV86">
            <v>-0.17112431238754444</v>
          </cell>
          <cell r="EX86">
            <v>11.942309582309582</v>
          </cell>
          <cell r="EY86">
            <v>4.1797260273972681E-2</v>
          </cell>
          <cell r="EZ86">
            <v>-0.60815006068840372</v>
          </cell>
          <cell r="FA86">
            <v>4.4816334601294416E-2</v>
          </cell>
          <cell r="FB86">
            <v>2.511156865799169E-2</v>
          </cell>
          <cell r="FD86">
            <v>-0.9375</v>
          </cell>
          <cell r="FE86">
            <v>-0.14705882352941191</v>
          </cell>
          <cell r="FF86">
            <v>-2</v>
          </cell>
          <cell r="FG86">
            <v>-0.3652694610778443</v>
          </cell>
          <cell r="FH86">
            <v>-0.3926266519774968</v>
          </cell>
          <cell r="FJ86">
            <v>-17</v>
          </cell>
          <cell r="FK86">
            <v>-0.31034482758620685</v>
          </cell>
          <cell r="FL86">
            <v>-0.625</v>
          </cell>
          <cell r="FM86">
            <v>0.27358490566037741</v>
          </cell>
          <cell r="FN86">
            <v>5.4566031260215864E-2</v>
          </cell>
          <cell r="FP86">
            <v>-1.5865790708587517</v>
          </cell>
          <cell r="FQ86">
            <v>0.74999999999999978</v>
          </cell>
          <cell r="FR86">
            <v>-3.6816339257873398</v>
          </cell>
          <cell r="FS86">
            <v>0.17777777777777781</v>
          </cell>
          <cell r="FT86">
            <v>0.54543966376654018</v>
          </cell>
          <cell r="FV86">
            <v>2.2460581395348833</v>
          </cell>
          <cell r="FW86">
            <v>0.58437972519886916</v>
          </cell>
          <cell r="FX86">
            <v>3.0013949179745154</v>
          </cell>
          <cell r="FY86">
            <v>7.2258601986732174E-2</v>
          </cell>
          <cell r="FZ86">
            <v>0.36638230546571982</v>
          </cell>
          <cell r="GB86">
            <v>0.40222359547930187</v>
          </cell>
          <cell r="GC86">
            <v>0.20624824041917611</v>
          </cell>
          <cell r="GD86">
            <v>-0.15861801416910437</v>
          </cell>
          <cell r="GE86">
            <v>0.23691312416154275</v>
          </cell>
          <cell r="GF86">
            <v>0.1894444975523315</v>
          </cell>
        </row>
        <row r="87">
          <cell r="A87" t="str">
            <v>EPS Diluted, Reported</v>
          </cell>
          <cell r="N87" t="str">
            <v>NA</v>
          </cell>
          <cell r="O87">
            <v>2.2064682872901682</v>
          </cell>
          <cell r="P87">
            <v>0.93578477247880953</v>
          </cell>
          <cell r="Q87">
            <v>0.22992133264419734</v>
          </cell>
          <cell r="R87">
            <v>0.22243255164301989</v>
          </cell>
          <cell r="S87">
            <v>-1.2456829504645728</v>
          </cell>
          <cell r="T87">
            <v>0.55467184368737477</v>
          </cell>
          <cell r="U87">
            <v>-3.976817793141421</v>
          </cell>
          <cell r="V87">
            <v>-9.7762659297635945E-2</v>
          </cell>
          <cell r="W87">
            <v>4.0016904008823184E-2</v>
          </cell>
          <cell r="X87">
            <v>0.67589282323900779</v>
          </cell>
          <cell r="Y87">
            <v>-0.43876139320187513</v>
          </cell>
          <cell r="Z87">
            <v>6.3775441193242965E-2</v>
          </cell>
          <cell r="AA87">
            <v>-6.8981600687855193</v>
          </cell>
          <cell r="AB87">
            <v>-1.0683488337132727</v>
          </cell>
          <cell r="AC87">
            <v>1.5289650455927051</v>
          </cell>
          <cell r="AD87">
            <v>0.48223350253807107</v>
          </cell>
          <cell r="AE87">
            <v>0.17465753424657549</v>
          </cell>
          <cell r="AF87">
            <v>0.15026075561396901</v>
          </cell>
          <cell r="AG87">
            <v>0.21619225683545951</v>
          </cell>
          <cell r="AH87">
            <v>0.10368489317104679</v>
          </cell>
          <cell r="AI87">
            <v>7.5550799930256041E-2</v>
          </cell>
          <cell r="AJ87">
            <v>8.0391871180272023E-2</v>
          </cell>
          <cell r="AK87">
            <v>0.1050161104972096</v>
          </cell>
          <cell r="AL87">
            <v>0.11070075260190304</v>
          </cell>
          <cell r="AN87" t="str">
            <v>EPS Diluted, Reported</v>
          </cell>
          <cell r="CP87">
            <v>2.0499765917603208</v>
          </cell>
          <cell r="CQ87">
            <v>0.90901548672567323</v>
          </cell>
          <cell r="CR87">
            <v>0.44316340604453752</v>
          </cell>
          <cell r="CS87">
            <v>7.3039696864150017E-3</v>
          </cell>
          <cell r="CT87">
            <v>0.1820266466798135</v>
          </cell>
          <cell r="CV87">
            <v>1.1399977372987853</v>
          </cell>
          <cell r="CW87">
            <v>0.50736428049067683</v>
          </cell>
          <cell r="CX87">
            <v>-0.2015756294478438</v>
          </cell>
          <cell r="CY87">
            <v>0.13072202033902447</v>
          </cell>
          <cell r="CZ87">
            <v>0.13765736493310232</v>
          </cell>
          <cell r="DB87">
            <v>-0.22622031593063341</v>
          </cell>
          <cell r="DC87">
            <v>-0.32952032783985374</v>
          </cell>
          <cell r="DD87">
            <v>-0.26449326496369807</v>
          </cell>
          <cell r="DE87">
            <v>-0.45797109202935382</v>
          </cell>
          <cell r="DF87">
            <v>-0.38246866698014048</v>
          </cell>
          <cell r="DH87">
            <v>2.3345318412651306E-2</v>
          </cell>
          <cell r="DI87">
            <v>-0.51059181851599011</v>
          </cell>
          <cell r="DJ87">
            <v>-6.938605959903458</v>
          </cell>
          <cell r="DK87">
            <v>-0.1916586947278911</v>
          </cell>
          <cell r="DL87">
            <v>-1.2456549810940736</v>
          </cell>
          <cell r="DN87">
            <v>-0.30786393354904007</v>
          </cell>
          <cell r="DO87">
            <v>0.82388586697203925</v>
          </cell>
          <cell r="DP87">
            <v>-1.0046410262722243</v>
          </cell>
          <cell r="DQ87">
            <v>-2.356478387312368</v>
          </cell>
          <cell r="DR87">
            <v>0.55467184368737477</v>
          </cell>
          <cell r="DT87">
            <v>0.51052810137926508</v>
          </cell>
          <cell r="DU87">
            <v>1.5145052490507034</v>
          </cell>
          <cell r="DV87">
            <v>34.098859962565932</v>
          </cell>
          <cell r="DW87">
            <v>-1.7971226803581755</v>
          </cell>
          <cell r="DX87">
            <v>-3.976817793141421</v>
          </cell>
          <cell r="DZ87">
            <v>-0.43844927744028617</v>
          </cell>
          <cell r="EA87">
            <v>-0.53741589379887245</v>
          </cell>
          <cell r="EB87">
            <v>-0.33320632791782234</v>
          </cell>
          <cell r="EC87">
            <v>0.40472238035780639</v>
          </cell>
          <cell r="ED87">
            <v>-9.7762659297635945E-2</v>
          </cell>
          <cell r="EF87">
            <v>1.1693693055752252</v>
          </cell>
          <cell r="EG87">
            <v>-0.33142857142857152</v>
          </cell>
          <cell r="EH87">
            <v>0.17604066821854025</v>
          </cell>
          <cell r="EI87">
            <v>2.0326843538787331E-2</v>
          </cell>
          <cell r="EJ87">
            <v>4.0016904008823184E-2</v>
          </cell>
          <cell r="EK87" t="str">
            <v>EPS Diluted, Reported</v>
          </cell>
          <cell r="EL87">
            <v>0.35558698453608217</v>
          </cell>
          <cell r="EM87">
            <v>0.96547144754316094</v>
          </cell>
          <cell r="EN87">
            <v>3.2230661891029717</v>
          </cell>
          <cell r="EO87">
            <v>-1.1617072930678152E-2</v>
          </cell>
          <cell r="EP87">
            <v>0.67589282323900779</v>
          </cell>
          <cell r="ER87">
            <v>-1.2610896412998625</v>
          </cell>
          <cell r="ES87">
            <v>0.34542922079805116</v>
          </cell>
          <cell r="ET87">
            <v>-1.0060891181827454</v>
          </cell>
          <cell r="EU87">
            <v>0.10971318583546186</v>
          </cell>
          <cell r="EV87">
            <v>-0.43876139320187513</v>
          </cell>
          <cell r="EX87">
            <v>-1.810889362526642</v>
          </cell>
          <cell r="EY87">
            <v>-0.71474378362169477</v>
          </cell>
          <cell r="EZ87">
            <v>-14.807121661721066</v>
          </cell>
          <cell r="FA87">
            <v>0.27023895272896103</v>
          </cell>
          <cell r="FB87">
            <v>6.3775441193242965E-2</v>
          </cell>
          <cell r="FD87">
            <v>-2.8526666666666669</v>
          </cell>
          <cell r="FE87">
            <v>5.170270270270283E-2</v>
          </cell>
          <cell r="FF87">
            <v>-2.3275757575757576</v>
          </cell>
          <cell r="FG87">
            <v>-7.3726942536051361</v>
          </cell>
          <cell r="FH87">
            <v>-6.8981600687855193</v>
          </cell>
          <cell r="FJ87">
            <v>0.49999999999999978</v>
          </cell>
          <cell r="FK87">
            <v>-0.88235294117647056</v>
          </cell>
          <cell r="FL87">
            <v>-0.20000000000000007</v>
          </cell>
          <cell r="FM87">
            <v>-1.092674315975287</v>
          </cell>
          <cell r="FN87">
            <v>-1.0683488337132727</v>
          </cell>
          <cell r="FP87">
            <v>-1.2380952380952381</v>
          </cell>
          <cell r="FQ87">
            <v>16.23329425556858</v>
          </cell>
          <cell r="FR87">
            <v>-1.25</v>
          </cell>
          <cell r="FS87">
            <v>0.47619047619047628</v>
          </cell>
          <cell r="FT87">
            <v>1.5289650455927051</v>
          </cell>
          <cell r="FV87">
            <v>4.9999999999999991</v>
          </cell>
          <cell r="FW87">
            <v>0.60889988761266101</v>
          </cell>
          <cell r="FX87">
            <v>15</v>
          </cell>
          <cell r="FY87">
            <v>0.1225806451612903</v>
          </cell>
          <cell r="FZ87">
            <v>0.48223350253807107</v>
          </cell>
          <cell r="GB87">
            <v>0.43333333333333335</v>
          </cell>
          <cell r="GC87">
            <v>0.20822406639004165</v>
          </cell>
          <cell r="GD87">
            <v>-0.15625</v>
          </cell>
          <cell r="GE87">
            <v>0.21264367816091956</v>
          </cell>
          <cell r="GF87">
            <v>0.17465753424657549</v>
          </cell>
        </row>
        <row r="89">
          <cell r="AR89">
            <v>68.3</v>
          </cell>
          <cell r="AU89">
            <v>66.742000000000004</v>
          </cell>
          <cell r="AV89">
            <v>66.046999999999997</v>
          </cell>
          <cell r="AW89">
            <v>64.048000000000002</v>
          </cell>
          <cell r="AX89">
            <v>64.046999999999997</v>
          </cell>
          <cell r="AY89">
            <v>260.88400000000001</v>
          </cell>
          <cell r="BA89">
            <v>56.853999999999999</v>
          </cell>
          <cell r="BB89">
            <v>57.481000000000002</v>
          </cell>
          <cell r="BC89">
            <v>58.634</v>
          </cell>
          <cell r="BD89">
            <v>57.152999999999999</v>
          </cell>
          <cell r="BE89">
            <v>230.12199999999999</v>
          </cell>
          <cell r="BG89">
            <v>56.424999999999997</v>
          </cell>
          <cell r="BH89">
            <v>56.37</v>
          </cell>
          <cell r="BI89">
            <v>57.966999999999999</v>
          </cell>
          <cell r="BJ89">
            <v>59.017999999999986</v>
          </cell>
          <cell r="BK89">
            <v>229.77999999999997</v>
          </cell>
          <cell r="BM89">
            <v>59.893000000000001</v>
          </cell>
          <cell r="BN89">
            <v>61.381999999999998</v>
          </cell>
          <cell r="BO89">
            <v>62.862000000000002</v>
          </cell>
          <cell r="BP89">
            <v>67.269000000000005</v>
          </cell>
          <cell r="BQ89">
            <v>251.40600000000001</v>
          </cell>
          <cell r="BS89">
            <v>136.37</v>
          </cell>
          <cell r="BT89">
            <v>141.60000000000002</v>
          </cell>
          <cell r="BU89">
            <v>136</v>
          </cell>
          <cell r="BV89">
            <v>137.10000000000002</v>
          </cell>
          <cell r="BW89">
            <v>551.07000000000005</v>
          </cell>
          <cell r="BY89">
            <v>115.258</v>
          </cell>
          <cell r="BZ89">
            <v>121</v>
          </cell>
          <cell r="CA89">
            <v>122.6</v>
          </cell>
          <cell r="CB89">
            <v>134.25</v>
          </cell>
          <cell r="CC89">
            <v>134.25</v>
          </cell>
          <cell r="CD89">
            <v>121.56399999999999</v>
          </cell>
          <cell r="CE89">
            <v>131.88</v>
          </cell>
          <cell r="CF89">
            <v>474.94499999999999</v>
          </cell>
          <cell r="CG89">
            <v>496.911</v>
          </cell>
          <cell r="CH89">
            <v>496.911</v>
          </cell>
          <cell r="CJ89">
            <v>133.32499999999999</v>
          </cell>
          <cell r="CK89">
            <v>133.30000000000001</v>
          </cell>
          <cell r="CL89">
            <v>135.27600000000001</v>
          </cell>
          <cell r="CM89">
            <v>131.46199999999999</v>
          </cell>
          <cell r="CN89">
            <v>533.36300000000006</v>
          </cell>
          <cell r="CP89">
            <v>145.684</v>
          </cell>
          <cell r="CQ89">
            <v>145.39400000000001</v>
          </cell>
          <cell r="CR89">
            <v>147.756</v>
          </cell>
          <cell r="CS89">
            <v>151.453</v>
          </cell>
          <cell r="CT89">
            <v>590.28699999999992</v>
          </cell>
          <cell r="CV89">
            <v>155</v>
          </cell>
          <cell r="CW89">
            <v>156</v>
          </cell>
          <cell r="CX89">
            <v>157</v>
          </cell>
          <cell r="CY89">
            <v>156</v>
          </cell>
          <cell r="CZ89">
            <v>624</v>
          </cell>
          <cell r="DB89">
            <v>173</v>
          </cell>
          <cell r="DC89">
            <v>187</v>
          </cell>
          <cell r="DD89">
            <v>191</v>
          </cell>
          <cell r="DE89">
            <v>187</v>
          </cell>
          <cell r="DF89">
            <v>738</v>
          </cell>
        </row>
        <row r="90">
          <cell r="A90" t="str">
            <v>∆ Sales - ∆ Expenses</v>
          </cell>
          <cell r="AN90" t="str">
            <v>∆ Sales - ∆ Expenses</v>
          </cell>
          <cell r="AU90">
            <v>108.2620000000001</v>
          </cell>
          <cell r="AV90">
            <v>74.555999999999898</v>
          </cell>
          <cell r="AW90">
            <v>117.31500000000005</v>
          </cell>
          <cell r="AX90">
            <v>227.72300000000027</v>
          </cell>
          <cell r="AY90">
            <v>527.85600000000034</v>
          </cell>
          <cell r="BA90">
            <v>141.51500000000016</v>
          </cell>
          <cell r="BB90">
            <v>89.155999999999949</v>
          </cell>
          <cell r="BC90">
            <v>169.40199999999993</v>
          </cell>
          <cell r="BD90">
            <v>268.48300000000006</v>
          </cell>
          <cell r="BE90">
            <v>668.55600000000004</v>
          </cell>
          <cell r="BG90">
            <v>143.20600000000007</v>
          </cell>
          <cell r="BH90">
            <v>118.40499999999997</v>
          </cell>
          <cell r="BI90">
            <v>165.34899999999993</v>
          </cell>
          <cell r="BJ90">
            <v>313.46299999999979</v>
          </cell>
          <cell r="BK90">
            <v>740.42299999999909</v>
          </cell>
          <cell r="BM90">
            <v>168.50100000000018</v>
          </cell>
          <cell r="BN90">
            <v>147.95599999999985</v>
          </cell>
          <cell r="BO90">
            <v>195.559</v>
          </cell>
          <cell r="BP90">
            <v>380.49400000000003</v>
          </cell>
          <cell r="BQ90">
            <v>892.50999999999885</v>
          </cell>
          <cell r="BS90">
            <v>196.87099999999998</v>
          </cell>
          <cell r="BT90">
            <v>173.67600000000004</v>
          </cell>
          <cell r="BU90">
            <v>260.07500000000005</v>
          </cell>
          <cell r="BV90">
            <v>603.24900000000014</v>
          </cell>
          <cell r="BW90">
            <v>1233.8709999999996</v>
          </cell>
          <cell r="BY90">
            <v>211.1449999999997</v>
          </cell>
          <cell r="BZ90">
            <v>237.19800000000009</v>
          </cell>
          <cell r="CA90">
            <v>309.19699999999978</v>
          </cell>
          <cell r="CC90">
            <v>278.36199999999985</v>
          </cell>
          <cell r="CD90">
            <v>717.53299999999979</v>
          </cell>
          <cell r="CE90">
            <v>757.60399999999947</v>
          </cell>
          <cell r="CF90">
            <v>1469.5959999999989</v>
          </cell>
          <cell r="CG90">
            <v>1521.3169999999991</v>
          </cell>
          <cell r="CH90">
            <v>1478.7909999999974</v>
          </cell>
          <cell r="CJ90">
            <v>266.31199999999984</v>
          </cell>
          <cell r="CK90">
            <v>307.97100000000006</v>
          </cell>
          <cell r="CL90">
            <v>366.89200000000045</v>
          </cell>
          <cell r="CM90">
            <v>794.05299999999966</v>
          </cell>
          <cell r="CN90">
            <v>1735.2279999999998</v>
          </cell>
          <cell r="CP90">
            <v>293.74400000000014</v>
          </cell>
          <cell r="CQ90">
            <v>357.25400000000036</v>
          </cell>
          <cell r="CR90">
            <v>415.71699999999998</v>
          </cell>
          <cell r="CS90">
            <v>864.35699999999997</v>
          </cell>
          <cell r="CT90">
            <v>1931.0720000000006</v>
          </cell>
          <cell r="CV90">
            <v>336</v>
          </cell>
          <cell r="CW90">
            <v>423</v>
          </cell>
          <cell r="CX90">
            <v>414</v>
          </cell>
          <cell r="CY90">
            <v>906</v>
          </cell>
          <cell r="CZ90">
            <v>2079</v>
          </cell>
          <cell r="DB90">
            <v>398</v>
          </cell>
          <cell r="DC90">
            <v>505</v>
          </cell>
          <cell r="DD90">
            <v>493</v>
          </cell>
          <cell r="DE90">
            <v>1043</v>
          </cell>
          <cell r="DF90">
            <v>2439</v>
          </cell>
          <cell r="FJ90">
            <v>-3.4194680167579095E-2</v>
          </cell>
          <cell r="FK90">
            <v>-1.5971577237682277E-3</v>
          </cell>
          <cell r="FL90">
            <v>-5.7525143184197214E-3</v>
          </cell>
          <cell r="FM90">
            <v>9.2433677127078395E-3</v>
          </cell>
          <cell r="FN90">
            <v>-5.1748072838055936E-3</v>
          </cell>
          <cell r="FP90">
            <v>5.0054493420776947E-2</v>
          </cell>
          <cell r="FQ90">
            <v>1.2157198738702135E-2</v>
          </cell>
          <cell r="FR90">
            <v>3.7873885884193381E-2</v>
          </cell>
          <cell r="FS90">
            <v>3.7804361854073099E-2</v>
          </cell>
          <cell r="FT90">
            <v>3.4486647181381613E-2</v>
          </cell>
          <cell r="FV90">
            <v>6.654750183230107E-2</v>
          </cell>
          <cell r="FW90">
            <v>6.0825738612125813E-2</v>
          </cell>
          <cell r="FX90">
            <v>6.5553021505009412E-2</v>
          </cell>
          <cell r="FY90">
            <v>2.4289824797099513E-2</v>
          </cell>
          <cell r="FZ90">
            <v>5.3530898326099363E-2</v>
          </cell>
          <cell r="GB90">
            <v>3.1980729489817339E-2</v>
          </cell>
          <cell r="GC90">
            <v>1.343934930906876E-2</v>
          </cell>
          <cell r="GD90">
            <v>-1.4520704841329835E-2</v>
          </cell>
          <cell r="GE90">
            <v>2.4716111945240593E-2</v>
          </cell>
          <cell r="GF90">
            <v>1.6065747463878788E-2</v>
          </cell>
        </row>
        <row r="91">
          <cell r="A91" t="str">
            <v>E = MorFYn Stanley Research Estimates</v>
          </cell>
        </row>
        <row r="92">
          <cell r="A92" t="str">
            <v>Macy's Inc.</v>
          </cell>
          <cell r="AN92" t="str">
            <v>Macy's Inc.</v>
          </cell>
        </row>
        <row r="93">
          <cell r="A93" t="str">
            <v>Annual Store Model</v>
          </cell>
          <cell r="F93" t="str">
            <v>Federated (Post-Bankruptcy)</v>
          </cell>
          <cell r="AN93" t="str">
            <v>Quarterly Store Model</v>
          </cell>
        </row>
        <row r="94">
          <cell r="A94" t="str">
            <v>($ Millions)</v>
          </cell>
          <cell r="J94" t="str">
            <v>91P-94E</v>
          </cell>
          <cell r="K94" t="str">
            <v>PFMA</v>
          </cell>
          <cell r="AN94" t="str">
            <v>($ Millions)</v>
          </cell>
          <cell r="EX94">
            <v>39447</v>
          </cell>
          <cell r="FD94">
            <v>39813</v>
          </cell>
          <cell r="FJ94">
            <v>40178</v>
          </cell>
          <cell r="FP94">
            <v>40543</v>
          </cell>
          <cell r="FV94">
            <v>40908</v>
          </cell>
          <cell r="GB94">
            <v>41274</v>
          </cell>
          <cell r="GG94" t="str">
            <v xml:space="preserve"> </v>
          </cell>
        </row>
        <row r="95">
          <cell r="A95">
            <v>41396.636050578702</v>
          </cell>
          <cell r="B95">
            <v>1987</v>
          </cell>
          <cell r="C95">
            <v>1988</v>
          </cell>
          <cell r="D95">
            <v>1989</v>
          </cell>
          <cell r="E95">
            <v>1990</v>
          </cell>
          <cell r="F95">
            <v>1991</v>
          </cell>
          <cell r="G95" t="str">
            <v>1992</v>
          </cell>
          <cell r="H95">
            <v>1993</v>
          </cell>
          <cell r="I95">
            <v>1994</v>
          </cell>
          <cell r="J95" t="str">
            <v>CAGR</v>
          </cell>
          <cell r="K95">
            <v>1994</v>
          </cell>
          <cell r="M95">
            <v>1994</v>
          </cell>
          <cell r="N95">
            <v>1995</v>
          </cell>
          <cell r="O95">
            <v>1996</v>
          </cell>
          <cell r="P95">
            <v>1997</v>
          </cell>
          <cell r="Q95">
            <v>1998</v>
          </cell>
          <cell r="R95">
            <v>1999</v>
          </cell>
          <cell r="S95">
            <v>2000</v>
          </cell>
          <cell r="T95">
            <v>2001</v>
          </cell>
          <cell r="U95">
            <v>2002</v>
          </cell>
          <cell r="V95">
            <v>2003</v>
          </cell>
          <cell r="W95">
            <v>2004</v>
          </cell>
          <cell r="X95">
            <v>2005</v>
          </cell>
          <cell r="Y95">
            <v>2006</v>
          </cell>
          <cell r="Z95">
            <v>2007</v>
          </cell>
          <cell r="AA95">
            <v>2008</v>
          </cell>
          <cell r="AB95">
            <v>2009</v>
          </cell>
          <cell r="AC95">
            <v>2010</v>
          </cell>
          <cell r="AD95">
            <v>2011</v>
          </cell>
          <cell r="AE95" t="str">
            <v>2012E</v>
          </cell>
          <cell r="AF95" t="str">
            <v>2013E</v>
          </cell>
          <cell r="AG95" t="str">
            <v>2014E</v>
          </cell>
          <cell r="AH95" t="str">
            <v>2015E</v>
          </cell>
          <cell r="AI95" t="str">
            <v>2016E</v>
          </cell>
          <cell r="AJ95" t="str">
            <v>2017E</v>
          </cell>
          <cell r="AK95" t="str">
            <v>2017E</v>
          </cell>
          <cell r="AL95" t="str">
            <v>2017E</v>
          </cell>
          <cell r="AN95">
            <v>41396.636050578702</v>
          </cell>
          <cell r="BS95" t="str">
            <v>1994 (Pro forma for Macy's)</v>
          </cell>
          <cell r="BY95" t="str">
            <v>1995E</v>
          </cell>
          <cell r="CJ95" t="str">
            <v>1996A</v>
          </cell>
          <cell r="CP95" t="str">
            <v>1997A</v>
          </cell>
          <cell r="CX95">
            <v>1998</v>
          </cell>
          <cell r="DD95">
            <v>1999</v>
          </cell>
          <cell r="DJ95">
            <v>2000</v>
          </cell>
          <cell r="DP95">
            <v>2001</v>
          </cell>
          <cell r="DV95">
            <v>2002</v>
          </cell>
          <cell r="EB95">
            <v>2003</v>
          </cell>
          <cell r="EH95">
            <v>2004</v>
          </cell>
          <cell r="EN95">
            <v>2005</v>
          </cell>
          <cell r="ET95">
            <v>2006</v>
          </cell>
          <cell r="EX95">
            <v>1</v>
          </cell>
          <cell r="EY95">
            <v>2</v>
          </cell>
          <cell r="EZ95">
            <v>3</v>
          </cell>
          <cell r="FA95">
            <v>4</v>
          </cell>
          <cell r="FB95" t="str">
            <v>Year</v>
          </cell>
          <cell r="FD95">
            <v>1</v>
          </cell>
          <cell r="FE95">
            <v>2</v>
          </cell>
          <cell r="FF95">
            <v>3</v>
          </cell>
          <cell r="FG95">
            <v>4</v>
          </cell>
          <cell r="FH95" t="str">
            <v>Year</v>
          </cell>
          <cell r="FJ95">
            <v>1</v>
          </cell>
          <cell r="FK95">
            <v>2</v>
          </cell>
          <cell r="FL95">
            <v>3</v>
          </cell>
          <cell r="FM95">
            <v>4</v>
          </cell>
          <cell r="FN95" t="str">
            <v>Year</v>
          </cell>
          <cell r="FP95">
            <v>1</v>
          </cell>
          <cell r="FQ95">
            <v>2</v>
          </cell>
          <cell r="FR95">
            <v>3</v>
          </cell>
          <cell r="FS95">
            <v>4</v>
          </cell>
          <cell r="FT95" t="str">
            <v>Year</v>
          </cell>
          <cell r="FV95">
            <v>1</v>
          </cell>
          <cell r="FW95">
            <v>2</v>
          </cell>
          <cell r="FX95">
            <v>3</v>
          </cell>
          <cell r="FY95">
            <v>4</v>
          </cell>
          <cell r="FZ95" t="str">
            <v>Year</v>
          </cell>
          <cell r="GB95">
            <v>1</v>
          </cell>
          <cell r="GC95">
            <v>2</v>
          </cell>
          <cell r="GD95">
            <v>3</v>
          </cell>
          <cell r="GE95">
            <v>4</v>
          </cell>
          <cell r="GF95" t="str">
            <v>Year</v>
          </cell>
        </row>
        <row r="96">
          <cell r="A96" t="str">
            <v>TOTAL RETAIL COMPANY (A)</v>
          </cell>
          <cell r="AN96" t="str">
            <v>TOTAL RETAIL COMPANY (A)</v>
          </cell>
        </row>
        <row r="97">
          <cell r="A97" t="str">
            <v>Sales</v>
          </cell>
          <cell r="N97">
            <v>14614</v>
          </cell>
          <cell r="O97">
            <v>14833</v>
          </cell>
          <cell r="P97">
            <v>15220</v>
          </cell>
          <cell r="Q97">
            <v>15365</v>
          </cell>
          <cell r="R97">
            <v>16029</v>
          </cell>
          <cell r="S97">
            <v>16638</v>
          </cell>
          <cell r="T97">
            <v>15785</v>
          </cell>
          <cell r="U97">
            <v>15571</v>
          </cell>
          <cell r="V97">
            <v>15412</v>
          </cell>
          <cell r="W97">
            <v>15776</v>
          </cell>
          <cell r="X97">
            <v>22390</v>
          </cell>
          <cell r="Y97">
            <v>26970</v>
          </cell>
          <cell r="Z97">
            <v>26313</v>
          </cell>
          <cell r="AA97">
            <v>24892</v>
          </cell>
          <cell r="AB97">
            <v>23895</v>
          </cell>
          <cell r="AC97">
            <v>25003</v>
          </cell>
          <cell r="AD97">
            <v>26405</v>
          </cell>
          <cell r="AE97">
            <v>27697.820605365057</v>
          </cell>
          <cell r="AF97">
            <v>28358.892641397051</v>
          </cell>
          <cell r="AG97">
            <v>28905.408744504351</v>
          </cell>
          <cell r="AH97">
            <v>29204.897015558319</v>
          </cell>
          <cell r="AI97">
            <v>29496.945985713905</v>
          </cell>
          <cell r="AJ97">
            <v>29791.915445571045</v>
          </cell>
          <cell r="AK97">
            <v>30089.834600026756</v>
          </cell>
          <cell r="AL97">
            <v>30390.732946027023</v>
          </cell>
          <cell r="AN97" t="str">
            <v>Sales</v>
          </cell>
          <cell r="DB97">
            <v>3470</v>
          </cell>
          <cell r="DC97">
            <v>3609</v>
          </cell>
          <cell r="DD97">
            <v>3691</v>
          </cell>
          <cell r="DE97">
            <v>5259</v>
          </cell>
          <cell r="DF97">
            <v>16029</v>
          </cell>
          <cell r="DH97">
            <v>3573</v>
          </cell>
          <cell r="DI97">
            <v>3679</v>
          </cell>
          <cell r="DJ97">
            <v>3782</v>
          </cell>
          <cell r="DK97">
            <v>5604</v>
          </cell>
          <cell r="DL97">
            <v>16638</v>
          </cell>
          <cell r="DN97">
            <v>3556</v>
          </cell>
          <cell r="DO97">
            <v>3488</v>
          </cell>
          <cell r="DP97">
            <v>3475</v>
          </cell>
          <cell r="DQ97">
            <v>5132</v>
          </cell>
          <cell r="DR97">
            <v>15785</v>
          </cell>
          <cell r="DT97">
            <v>3453</v>
          </cell>
          <cell r="DU97">
            <v>3486</v>
          </cell>
          <cell r="DV97">
            <v>3479</v>
          </cell>
          <cell r="DW97">
            <v>5017</v>
          </cell>
          <cell r="DX97">
            <v>15571</v>
          </cell>
          <cell r="DZ97">
            <v>3291</v>
          </cell>
          <cell r="EA97">
            <v>3434</v>
          </cell>
          <cell r="EB97">
            <v>3486</v>
          </cell>
          <cell r="EC97">
            <v>5053</v>
          </cell>
          <cell r="ED97">
            <v>15412</v>
          </cell>
          <cell r="EF97">
            <v>3550</v>
          </cell>
          <cell r="EG97">
            <v>3581</v>
          </cell>
          <cell r="EH97">
            <v>3525</v>
          </cell>
          <cell r="EI97">
            <v>5120</v>
          </cell>
          <cell r="EJ97">
            <v>15776</v>
          </cell>
          <cell r="EL97">
            <v>3641</v>
          </cell>
          <cell r="EM97">
            <v>3623</v>
          </cell>
          <cell r="EN97">
            <v>5555</v>
          </cell>
          <cell r="EO97">
            <v>9571</v>
          </cell>
          <cell r="EP97">
            <v>22390</v>
          </cell>
          <cell r="ER97">
            <v>5930</v>
          </cell>
          <cell r="ES97">
            <v>5995</v>
          </cell>
          <cell r="ET97">
            <v>5886</v>
          </cell>
          <cell r="EU97">
            <v>9159</v>
          </cell>
          <cell r="EV97">
            <v>26970</v>
          </cell>
          <cell r="EX97">
            <v>5921</v>
          </cell>
          <cell r="EY97">
            <v>5892</v>
          </cell>
          <cell r="EZ97">
            <v>5906</v>
          </cell>
          <cell r="FA97">
            <v>8594</v>
          </cell>
          <cell r="FB97">
            <v>26313</v>
          </cell>
          <cell r="FD97">
            <v>5747</v>
          </cell>
          <cell r="FE97">
            <v>5718</v>
          </cell>
          <cell r="FF97">
            <v>5493</v>
          </cell>
          <cell r="FG97">
            <v>7934</v>
          </cell>
          <cell r="FH97">
            <v>24892</v>
          </cell>
          <cell r="FJ97">
            <v>5288</v>
          </cell>
          <cell r="FK97">
            <v>5285</v>
          </cell>
          <cell r="FL97">
            <v>5385</v>
          </cell>
          <cell r="FM97">
            <v>7937</v>
          </cell>
          <cell r="FN97">
            <v>23895</v>
          </cell>
          <cell r="FP97">
            <v>5574</v>
          </cell>
          <cell r="FQ97">
            <v>5537</v>
          </cell>
          <cell r="FR97">
            <v>5623</v>
          </cell>
          <cell r="FS97">
            <v>8269</v>
          </cell>
          <cell r="FT97">
            <v>25003</v>
          </cell>
          <cell r="FV97">
            <v>5889</v>
          </cell>
          <cell r="FW97">
            <v>5939</v>
          </cell>
          <cell r="FX97">
            <v>5853</v>
          </cell>
          <cell r="FY97">
            <v>8724</v>
          </cell>
          <cell r="FZ97">
            <v>26405</v>
          </cell>
          <cell r="GB97">
            <v>6143</v>
          </cell>
          <cell r="GC97">
            <v>6118</v>
          </cell>
          <cell r="GD97">
            <v>6069.6866469352608</v>
          </cell>
          <cell r="GE97">
            <v>9367.1339584297966</v>
          </cell>
          <cell r="GF97">
            <v>27697.820605365057</v>
          </cell>
        </row>
        <row r="98">
          <cell r="A98" t="str">
            <v>% Change</v>
          </cell>
          <cell r="N98" t="str">
            <v>NA</v>
          </cell>
          <cell r="O98">
            <v>1.4985630217599466E-2</v>
          </cell>
          <cell r="P98">
            <v>2.6090473943234604E-2</v>
          </cell>
          <cell r="Q98">
            <v>9.5269382391589552E-3</v>
          </cell>
          <cell r="R98">
            <v>4.3215099251545652E-2</v>
          </cell>
          <cell r="S98">
            <v>3.7993636533782515E-2</v>
          </cell>
          <cell r="T98">
            <v>-5.126818127178745E-2</v>
          </cell>
          <cell r="U98">
            <v>-1.3557174532784266E-2</v>
          </cell>
          <cell r="V98">
            <v>-1.0211290218996805E-2</v>
          </cell>
          <cell r="W98">
            <v>2.361796003114458E-2</v>
          </cell>
          <cell r="X98">
            <v>0.41924442190669375</v>
          </cell>
          <cell r="Y98">
            <v>0.20455560518088434</v>
          </cell>
          <cell r="Z98">
            <v>-2.4360400444938812E-2</v>
          </cell>
          <cell r="AA98">
            <v>-5.4003724394785846E-2</v>
          </cell>
          <cell r="AB98">
            <v>-4.0053029085650005E-2</v>
          </cell>
          <cell r="AC98">
            <v>4.6369533375183014E-2</v>
          </cell>
          <cell r="AD98">
            <v>5.60732712074552E-2</v>
          </cell>
          <cell r="AE98">
            <v>4.8961204520547419E-2</v>
          </cell>
          <cell r="AF98">
            <v>2.3867294306323394E-2</v>
          </cell>
          <cell r="AG98">
            <v>1.9271419022529823E-2</v>
          </cell>
          <cell r="AH98">
            <v>1.0360976857347159E-2</v>
          </cell>
          <cell r="AI98">
            <v>1.0000000000000009E-2</v>
          </cell>
          <cell r="AJ98">
            <v>1.0000000000000009E-2</v>
          </cell>
          <cell r="AK98">
            <v>1.0000000000000009E-2</v>
          </cell>
          <cell r="AL98">
            <v>1.0000000000000009E-2</v>
          </cell>
          <cell r="AN98" t="str">
            <v>% Change</v>
          </cell>
          <cell r="DH98">
            <v>2.9682997118155585E-2</v>
          </cell>
          <cell r="DI98">
            <v>1.9395954558049322E-2</v>
          </cell>
          <cell r="DJ98">
            <v>2.4654565158493735E-2</v>
          </cell>
          <cell r="DK98">
            <v>6.560182544209936E-2</v>
          </cell>
          <cell r="DL98">
            <v>3.7993636533782515E-2</v>
          </cell>
          <cell r="DN98">
            <v>-4.7579065211307281E-3</v>
          </cell>
          <cell r="DO98">
            <v>-5.191628159826045E-2</v>
          </cell>
          <cell r="DP98">
            <v>-8.1173982020095181E-2</v>
          </cell>
          <cell r="DQ98">
            <v>-8.4225553176302648E-2</v>
          </cell>
          <cell r="DR98">
            <v>-5.126818127178745E-2</v>
          </cell>
          <cell r="DT98">
            <v>-2.8965129358830111E-2</v>
          </cell>
          <cell r="DU98">
            <v>-5.7339449541282672E-4</v>
          </cell>
          <cell r="DV98">
            <v>1.1510791366906581E-3</v>
          </cell>
          <cell r="DW98">
            <v>-2.2408417770849565E-2</v>
          </cell>
          <cell r="DX98">
            <v>-1.3557174532784266E-2</v>
          </cell>
          <cell r="DZ98">
            <v>-4.6915725456125101E-2</v>
          </cell>
          <cell r="EA98">
            <v>-1.4916810097532984E-2</v>
          </cell>
          <cell r="EB98">
            <v>2.012072434607548E-3</v>
          </cell>
          <cell r="EC98">
            <v>7.1756029499701057E-3</v>
          </cell>
          <cell r="ED98">
            <v>-1.0211290218996805E-2</v>
          </cell>
          <cell r="EF98">
            <v>7.8699483439683915E-2</v>
          </cell>
          <cell r="EG98">
            <v>4.2807221898660375E-2</v>
          </cell>
          <cell r="EH98">
            <v>1.1187607573149849E-2</v>
          </cell>
          <cell r="EI98">
            <v>1.3259449831783066E-2</v>
          </cell>
          <cell r="EJ98">
            <v>2.361796003114458E-2</v>
          </cell>
          <cell r="EL98">
            <v>2.5633802816901419E-2</v>
          </cell>
          <cell r="EM98">
            <v>1.1728567439262871E-2</v>
          </cell>
          <cell r="EN98">
            <v>0.57588652482269498</v>
          </cell>
          <cell r="EO98">
            <v>0.86933593750000004</v>
          </cell>
          <cell r="EP98">
            <v>0.41924442190669375</v>
          </cell>
          <cell r="ER98">
            <v>0.62867344136226322</v>
          </cell>
          <cell r="ES98">
            <v>0.65470604471432514</v>
          </cell>
          <cell r="ET98">
            <v>5.9585958595859578E-2</v>
          </cell>
          <cell r="EU98">
            <v>-4.3046703583742518E-2</v>
          </cell>
          <cell r="EV98">
            <v>0.20455560518088434</v>
          </cell>
          <cell r="EX98">
            <v>-1.5177065767284503E-3</v>
          </cell>
          <cell r="EY98">
            <v>-1.7180984153461254E-2</v>
          </cell>
          <cell r="EZ98">
            <v>3.397893306150257E-3</v>
          </cell>
          <cell r="FA98">
            <v>-6.1687957200567745E-2</v>
          </cell>
          <cell r="FB98">
            <v>-2.4360400444938812E-2</v>
          </cell>
          <cell r="FD98">
            <v>-2.9386927883803371E-2</v>
          </cell>
          <cell r="FE98">
            <v>-2.9531568228105876E-2</v>
          </cell>
          <cell r="FF98">
            <v>-6.9928885878767333E-2</v>
          </cell>
          <cell r="FG98">
            <v>-7.6797765883174329E-2</v>
          </cell>
          <cell r="FH98">
            <v>-5.4003724394785846E-2</v>
          </cell>
          <cell r="FJ98">
            <v>-7.9867757090655966E-2</v>
          </cell>
          <cell r="FK98">
            <v>-7.5725778244141284E-2</v>
          </cell>
          <cell r="FL98">
            <v>-1.9661387220098359E-2</v>
          </cell>
          <cell r="FM98">
            <v>3.7811948575749987E-4</v>
          </cell>
          <cell r="FN98">
            <v>-4.0053029085650005E-2</v>
          </cell>
          <cell r="FP98">
            <v>5.4084720121028829E-2</v>
          </cell>
          <cell r="FQ98">
            <v>4.7682119205298079E-2</v>
          </cell>
          <cell r="FR98">
            <v>4.4196843082636939E-2</v>
          </cell>
          <cell r="FS98">
            <v>4.182940657679235E-2</v>
          </cell>
          <cell r="FT98">
            <v>4.6369533375183014E-2</v>
          </cell>
          <cell r="FV98">
            <v>5.6512378902045191E-2</v>
          </cell>
          <cell r="FW98">
            <v>7.2602492324363332E-2</v>
          </cell>
          <cell r="FX98">
            <v>4.0903432331495626E-2</v>
          </cell>
          <cell r="FY98">
            <v>5.5024791389527206E-2</v>
          </cell>
          <cell r="FZ98">
            <v>5.60732712074552E-2</v>
          </cell>
          <cell r="GB98">
            <v>4.313126167430803E-2</v>
          </cell>
          <cell r="GC98">
            <v>3.0139754167368249E-2</v>
          </cell>
          <cell r="GD98">
            <v>3.7021467099822347E-2</v>
          </cell>
          <cell r="GE98">
            <v>7.372007776590972E-2</v>
          </cell>
          <cell r="GF98">
            <v>4.8961204520547419E-2</v>
          </cell>
        </row>
        <row r="99">
          <cell r="A99" t="str">
            <v>Sales/Ave. Sq. Ft.</v>
          </cell>
          <cell r="N99">
            <v>185.41332301426695</v>
          </cell>
          <cell r="O99">
            <v>178.15063475096383</v>
          </cell>
          <cell r="P99">
            <v>185.57015271131161</v>
          </cell>
          <cell r="Q99">
            <v>188.14093733737411</v>
          </cell>
          <cell r="R99">
            <v>195.1982853628686</v>
          </cell>
          <cell r="S99">
            <v>201.28966693685953</v>
          </cell>
          <cell r="T99">
            <v>188.59020310633213</v>
          </cell>
          <cell r="U99">
            <v>185.92238805970149</v>
          </cell>
          <cell r="V99">
            <v>184.02388059701494</v>
          </cell>
          <cell r="W99">
            <v>188.59533771667662</v>
          </cell>
          <cell r="X99">
            <v>185.19437551695614</v>
          </cell>
          <cell r="Y99">
            <v>171.29247380120674</v>
          </cell>
          <cell r="Z99">
            <v>169.01924133080252</v>
          </cell>
          <cell r="AA99">
            <v>161.08616025782067</v>
          </cell>
          <cell r="AB99">
            <v>154.91537840650133</v>
          </cell>
          <cell r="AC99">
            <v>162.05355551450691</v>
          </cell>
          <cell r="AD99">
            <v>172.31421812545884</v>
          </cell>
          <cell r="AE99">
            <v>181.86236863425094</v>
          </cell>
          <cell r="AF99">
            <v>186.01972201820288</v>
          </cell>
          <cell r="AG99">
            <v>189.48961276294534</v>
          </cell>
          <cell r="AH99">
            <v>191.48711704856575</v>
          </cell>
          <cell r="AI99">
            <v>193.36743935804478</v>
          </cell>
          <cell r="AJ99">
            <v>195.30111375162525</v>
          </cell>
          <cell r="AK99">
            <v>197.25412488914151</v>
          </cell>
          <cell r="AL99">
            <v>199.22666613803293</v>
          </cell>
          <cell r="AN99" t="str">
            <v>Sales/Ave. Sq. Ft.</v>
          </cell>
          <cell r="DN99">
            <v>42.637889688249395</v>
          </cell>
          <cell r="DO99" t="str">
            <v>NA</v>
          </cell>
          <cell r="DP99" t="str">
            <v>NA</v>
          </cell>
          <cell r="DQ99">
            <v>61.095238095238095</v>
          </cell>
          <cell r="DR99">
            <v>188.59020310633213</v>
          </cell>
          <cell r="DT99">
            <v>40.928309062964026</v>
          </cell>
          <cell r="DU99">
            <v>41.051569071497894</v>
          </cell>
          <cell r="DV99">
            <v>40.531173985405189</v>
          </cell>
          <cell r="DW99">
            <v>58.999502465059471</v>
          </cell>
          <cell r="DX99">
            <v>185.92238805970149</v>
          </cell>
          <cell r="DZ99">
            <v>39.370030102818724</v>
          </cell>
          <cell r="EA99">
            <v>40.857109529919512</v>
          </cell>
          <cell r="EB99">
            <v>41.073351045396791</v>
          </cell>
          <cell r="EC99">
            <v>59.682254173501882</v>
          </cell>
          <cell r="ED99">
            <v>184.02388059701494</v>
          </cell>
          <cell r="EF99">
            <v>42.261904761904759</v>
          </cell>
          <cell r="EG99">
            <v>42.723255711192614</v>
          </cell>
          <cell r="EH99">
            <v>42.055145596747828</v>
          </cell>
          <cell r="EI99">
            <v>61.207411835026896</v>
          </cell>
          <cell r="EJ99">
            <v>188.59533771667662</v>
          </cell>
          <cell r="EL99">
            <v>43.709483793517407</v>
          </cell>
          <cell r="EM99">
            <v>43.445778155702293</v>
          </cell>
          <cell r="EN99">
            <v>43.791542109400297</v>
          </cell>
          <cell r="EO99">
            <v>58.232044198895025</v>
          </cell>
          <cell r="EP99">
            <v>185.19437551695614</v>
          </cell>
          <cell r="ER99">
            <v>37.564453920983773</v>
          </cell>
          <cell r="ES99">
            <v>38.241149916138319</v>
          </cell>
          <cell r="ET99">
            <v>37.633373672820916</v>
          </cell>
          <cell r="EU99">
            <v>58.543624876054047</v>
          </cell>
          <cell r="EV99">
            <v>171.29247380120674</v>
          </cell>
          <cell r="EX99">
            <v>37.779911755416386</v>
          </cell>
          <cell r="EY99">
            <v>37.537030548211384</v>
          </cell>
          <cell r="EZ99">
            <v>37.569496571290443</v>
          </cell>
          <cell r="FA99">
            <v>55.004768274652626</v>
          </cell>
          <cell r="FB99">
            <v>169.01924133080252</v>
          </cell>
          <cell r="FD99">
            <v>37.076342944882242</v>
          </cell>
          <cell r="FE99">
            <v>36.812659743637617</v>
          </cell>
          <cell r="FF99">
            <v>35.32180589404102</v>
          </cell>
          <cell r="FG99">
            <v>51.267967858977556</v>
          </cell>
          <cell r="FH99">
            <v>161.08616025782067</v>
          </cell>
          <cell r="FJ99">
            <v>34.278231896646723</v>
          </cell>
          <cell r="FK99">
            <v>34.219744501207565</v>
          </cell>
          <cell r="FL99">
            <v>34.76615964672159</v>
          </cell>
          <cell r="FM99">
            <v>51.249269551011977</v>
          </cell>
          <cell r="FN99">
            <v>154.91537840650133</v>
          </cell>
          <cell r="FP99">
            <v>36.112145899807253</v>
          </cell>
          <cell r="FQ99">
            <v>35.883477528271925</v>
          </cell>
          <cell r="FR99">
            <v>36.398238022338667</v>
          </cell>
          <cell r="FS99">
            <v>53.540615176423742</v>
          </cell>
          <cell r="FT99">
            <v>162.05355551450691</v>
          </cell>
          <cell r="FV99">
            <v>38.175188396402241</v>
          </cell>
          <cell r="FW99">
            <v>38.484218165795113</v>
          </cell>
          <cell r="FX99">
            <v>37.934811492569239</v>
          </cell>
          <cell r="FY99">
            <v>56.911364659373348</v>
          </cell>
          <cell r="FZ99">
            <v>172.31421812545884</v>
          </cell>
          <cell r="GB99">
            <v>40.344225186845712</v>
          </cell>
          <cell r="GC99">
            <v>40.196844961596831</v>
          </cell>
          <cell r="GD99">
            <v>39.865531591519826</v>
          </cell>
          <cell r="GE99">
            <v>61.502875554350474</v>
          </cell>
          <cell r="GF99">
            <v>181.86236863425094</v>
          </cell>
        </row>
        <row r="100">
          <cell r="A100" t="str">
            <v>% Change</v>
          </cell>
          <cell r="N100" t="str">
            <v>NA</v>
          </cell>
          <cell r="O100">
            <v>-3.9170261042914767E-2</v>
          </cell>
          <cell r="P100">
            <v>4.16474404973044E-2</v>
          </cell>
          <cell r="Q100">
            <v>1.3853438112226168E-2</v>
          </cell>
          <cell r="R100">
            <v>3.751096452144953E-2</v>
          </cell>
          <cell r="S100">
            <v>3.1206122342044118E-2</v>
          </cell>
          <cell r="T100">
            <v>-6.3090490554147394E-2</v>
          </cell>
          <cell r="U100">
            <v>-1.4146095622615373E-2</v>
          </cell>
          <cell r="V100">
            <v>-1.0211290218996805E-2</v>
          </cell>
          <cell r="W100">
            <v>2.4841651555389754E-2</v>
          </cell>
          <cell r="X100">
            <v>-1.8033119168776479E-2</v>
          </cell>
          <cell r="Y100">
            <v>-7.5066543878253844E-2</v>
          </cell>
          <cell r="Z100">
            <v>-1.3271058675014658E-2</v>
          </cell>
          <cell r="AA100">
            <v>-4.6935964275542585E-2</v>
          </cell>
          <cell r="AB100">
            <v>-3.8307337150770171E-2</v>
          </cell>
          <cell r="AC100">
            <v>4.607791157618224E-2</v>
          </cell>
          <cell r="AD100">
            <v>6.3316491750984083E-2</v>
          </cell>
          <cell r="AE100">
            <v>5.5411274894566542E-2</v>
          </cell>
          <cell r="AF100">
            <v>2.2859888030563047E-2</v>
          </cell>
          <cell r="AG100">
            <v>1.8653348726125563E-2</v>
          </cell>
          <cell r="AH100">
            <v>1.0541497533795186E-2</v>
          </cell>
          <cell r="AI100">
            <v>9.8195760553547728E-3</v>
          </cell>
          <cell r="AJ100">
            <v>1.0000000000000231E-2</v>
          </cell>
          <cell r="AK100">
            <v>1.0000000000000009E-2</v>
          </cell>
          <cell r="AL100">
            <v>1.0000000000000009E-2</v>
          </cell>
          <cell r="AN100" t="str">
            <v>% Change</v>
          </cell>
          <cell r="DN100" t="str">
            <v>NA</v>
          </cell>
          <cell r="DO100" t="str">
            <v>NA</v>
          </cell>
          <cell r="DP100" t="str">
            <v>NA</v>
          </cell>
          <cell r="DQ100" t="str">
            <v>NA</v>
          </cell>
          <cell r="DR100" t="str">
            <v>NA</v>
          </cell>
          <cell r="DT100">
            <v>-4.0095338624521859E-2</v>
          </cell>
          <cell r="DU100" t="str">
            <v>NA</v>
          </cell>
          <cell r="DV100" t="str">
            <v>NA</v>
          </cell>
          <cell r="DW100">
            <v>-3.430276557579981E-2</v>
          </cell>
          <cell r="DX100">
            <v>-1.4146095622615373E-2</v>
          </cell>
          <cell r="DZ100">
            <v>-3.8073377469566294E-2</v>
          </cell>
          <cell r="EA100">
            <v>-4.736957587167967E-3</v>
          </cell>
          <cell r="EB100">
            <v>1.3376791409664968E-2</v>
          </cell>
          <cell r="EC100">
            <v>1.1572160440619816E-2</v>
          </cell>
          <cell r="ED100">
            <v>-1.0211290218996805E-2</v>
          </cell>
          <cell r="EF100">
            <v>7.3453707084643272E-2</v>
          </cell>
          <cell r="EG100">
            <v>4.5674943791766065E-2</v>
          </cell>
          <cell r="EH100">
            <v>2.3903444115526362E-2</v>
          </cell>
          <cell r="EI100">
            <v>2.5554625619388371E-2</v>
          </cell>
          <cell r="EJ100">
            <v>2.4841651555389754E-2</v>
          </cell>
          <cell r="EL100">
            <v>3.4252574269144409E-2</v>
          </cell>
          <cell r="EM100">
            <v>1.6911689722194811E-2</v>
          </cell>
          <cell r="EN100">
            <v>4.1288562624468561E-2</v>
          </cell>
          <cell r="EO100">
            <v>-4.8611231008287348E-2</v>
          </cell>
          <cell r="EP100">
            <v>-1.8033119168776479E-2</v>
          </cell>
          <cell r="ER100">
            <v>-0.14058802207691612</v>
          </cell>
          <cell r="ES100">
            <v>-0.11979594935350146</v>
          </cell>
          <cell r="ET100">
            <v>-0.14062460785680952</v>
          </cell>
          <cell r="EU100">
            <v>5.3506738677213672E-3</v>
          </cell>
          <cell r="EV100">
            <v>-7.5066543878253844E-2</v>
          </cell>
          <cell r="EX100">
            <v>5.7356839230466861E-3</v>
          </cell>
          <cell r="EY100">
            <v>-1.8412609701095484E-2</v>
          </cell>
          <cell r="EZ100">
            <v>-1.6973525170985715E-3</v>
          </cell>
          <cell r="FA100">
            <v>-6.0448197543177873E-2</v>
          </cell>
          <cell r="FB100">
            <v>-1.3271058675014658E-2</v>
          </cell>
          <cell r="FD100">
            <v>-1.8622828319160289E-2</v>
          </cell>
          <cell r="FE100">
            <v>-1.9297498869640384E-2</v>
          </cell>
          <cell r="FF100">
            <v>-5.9827543150180129E-2</v>
          </cell>
          <cell r="FG100">
            <v>-6.7935935972246786E-2</v>
          </cell>
          <cell r="FH100">
            <v>-4.6935964275542585E-2</v>
          </cell>
          <cell r="FJ100">
            <v>-7.5468906207799336E-2</v>
          </cell>
          <cell r="FK100">
            <v>-7.0435422501037515E-2</v>
          </cell>
          <cell r="FL100">
            <v>-1.5730969390021166E-2</v>
          </cell>
          <cell r="FM100">
            <v>-3.6471716641883756E-4</v>
          </cell>
          <cell r="FN100">
            <v>-3.8307337150770171E-2</v>
          </cell>
          <cell r="FP100">
            <v>5.3500834252187213E-2</v>
          </cell>
          <cell r="FQ100">
            <v>4.8619095534323753E-2</v>
          </cell>
          <cell r="FR100">
            <v>4.6944453807999942E-2</v>
          </cell>
          <cell r="FS100">
            <v>4.4709820168871373E-2</v>
          </cell>
          <cell r="FT100">
            <v>4.607791157618224E-2</v>
          </cell>
          <cell r="FV100">
            <v>5.7128770533849682E-2</v>
          </cell>
          <cell r="FW100">
            <v>7.2477385601050326E-2</v>
          </cell>
          <cell r="FX100">
            <v>4.2215600361960703E-2</v>
          </cell>
          <cell r="FY100">
            <v>6.2956868759212359E-2</v>
          </cell>
          <cell r="FZ100">
            <v>6.3316491750984083E-2</v>
          </cell>
          <cell r="GB100">
            <v>5.681797213207429E-2</v>
          </cell>
          <cell r="GC100">
            <v>4.4502055061206969E-2</v>
          </cell>
          <cell r="GD100">
            <v>5.0895734629623268E-2</v>
          </cell>
          <cell r="GE100">
            <v>8.0678277923193376E-2</v>
          </cell>
          <cell r="GF100">
            <v>5.5411274894566542E-2</v>
          </cell>
        </row>
        <row r="102">
          <cell r="A102" t="str">
            <v>Number of Stores</v>
          </cell>
          <cell r="M102">
            <v>355</v>
          </cell>
          <cell r="N102">
            <v>412</v>
          </cell>
          <cell r="O102">
            <v>411</v>
          </cell>
          <cell r="P102">
            <v>400</v>
          </cell>
          <cell r="Q102">
            <v>401</v>
          </cell>
          <cell r="R102">
            <v>403</v>
          </cell>
          <cell r="S102">
            <v>440</v>
          </cell>
          <cell r="T102">
            <v>459</v>
          </cell>
          <cell r="U102">
            <v>455</v>
          </cell>
          <cell r="V102">
            <v>459</v>
          </cell>
          <cell r="W102">
            <v>459</v>
          </cell>
          <cell r="X102">
            <v>868</v>
          </cell>
          <cell r="Y102">
            <v>858</v>
          </cell>
          <cell r="Z102">
            <v>853</v>
          </cell>
          <cell r="AA102">
            <v>847</v>
          </cell>
          <cell r="AB102">
            <v>850</v>
          </cell>
          <cell r="AC102">
            <v>850</v>
          </cell>
          <cell r="AD102">
            <v>842</v>
          </cell>
          <cell r="AE102">
            <v>844</v>
          </cell>
          <cell r="AF102">
            <v>848</v>
          </cell>
          <cell r="AG102">
            <v>848</v>
          </cell>
          <cell r="AH102">
            <v>848</v>
          </cell>
          <cell r="AI102">
            <v>848</v>
          </cell>
          <cell r="AJ102">
            <v>848</v>
          </cell>
          <cell r="AK102">
            <v>848</v>
          </cell>
          <cell r="AL102">
            <v>848</v>
          </cell>
          <cell r="AN102" t="str">
            <v>Number of Stores</v>
          </cell>
          <cell r="DK102">
            <v>440</v>
          </cell>
          <cell r="DL102">
            <v>440</v>
          </cell>
          <cell r="DN102" t="str">
            <v>NA</v>
          </cell>
          <cell r="DO102" t="str">
            <v>NA</v>
          </cell>
          <cell r="DP102" t="str">
            <v>NA</v>
          </cell>
          <cell r="DQ102">
            <v>459</v>
          </cell>
          <cell r="DR102">
            <v>459</v>
          </cell>
          <cell r="DT102">
            <v>463</v>
          </cell>
          <cell r="DU102">
            <v>465</v>
          </cell>
          <cell r="DV102">
            <v>473</v>
          </cell>
          <cell r="DW102">
            <v>455</v>
          </cell>
          <cell r="DX102">
            <v>455</v>
          </cell>
          <cell r="DZ102">
            <v>456</v>
          </cell>
          <cell r="EA102">
            <v>460</v>
          </cell>
          <cell r="EB102">
            <v>465</v>
          </cell>
          <cell r="EC102">
            <v>459</v>
          </cell>
          <cell r="ED102">
            <v>459</v>
          </cell>
          <cell r="EF102">
            <v>459</v>
          </cell>
          <cell r="EG102">
            <v>457</v>
          </cell>
          <cell r="EH102">
            <v>459</v>
          </cell>
          <cell r="EI102">
            <v>459</v>
          </cell>
          <cell r="EJ102">
            <v>459</v>
          </cell>
          <cell r="EL102">
            <v>459</v>
          </cell>
          <cell r="EM102">
            <v>460</v>
          </cell>
          <cell r="EN102">
            <v>935</v>
          </cell>
          <cell r="EO102">
            <v>868</v>
          </cell>
          <cell r="EP102">
            <v>868</v>
          </cell>
          <cell r="ER102">
            <v>861</v>
          </cell>
          <cell r="ES102">
            <v>856</v>
          </cell>
          <cell r="ET102">
            <v>857</v>
          </cell>
          <cell r="EU102">
            <v>858</v>
          </cell>
          <cell r="EV102">
            <v>858</v>
          </cell>
          <cell r="EX102">
            <v>863</v>
          </cell>
          <cell r="EY102">
            <v>863</v>
          </cell>
          <cell r="EZ102">
            <v>866</v>
          </cell>
          <cell r="FA102">
            <v>852</v>
          </cell>
          <cell r="FB102">
            <v>852</v>
          </cell>
          <cell r="FD102">
            <v>851</v>
          </cell>
          <cell r="FE102">
            <v>855</v>
          </cell>
          <cell r="FF102">
            <v>856</v>
          </cell>
          <cell r="FG102">
            <v>847</v>
          </cell>
          <cell r="FH102">
            <v>847</v>
          </cell>
          <cell r="FJ102">
            <v>848</v>
          </cell>
          <cell r="FK102">
            <v>848</v>
          </cell>
          <cell r="FL102">
            <v>854</v>
          </cell>
          <cell r="FM102">
            <v>850</v>
          </cell>
          <cell r="FN102">
            <v>850</v>
          </cell>
          <cell r="FP102">
            <v>849</v>
          </cell>
          <cell r="FQ102">
            <v>849</v>
          </cell>
          <cell r="FR102">
            <v>854</v>
          </cell>
          <cell r="FS102">
            <v>850</v>
          </cell>
          <cell r="FT102">
            <v>850</v>
          </cell>
          <cell r="FV102">
            <v>850</v>
          </cell>
          <cell r="FW102">
            <v>849</v>
          </cell>
          <cell r="FX102">
            <v>850</v>
          </cell>
          <cell r="FY102">
            <v>842</v>
          </cell>
          <cell r="FZ102">
            <v>842</v>
          </cell>
          <cell r="GB102">
            <v>844</v>
          </cell>
          <cell r="GC102">
            <v>845</v>
          </cell>
          <cell r="GD102">
            <v>847</v>
          </cell>
          <cell r="GE102">
            <v>844</v>
          </cell>
          <cell r="GF102">
            <v>844</v>
          </cell>
          <cell r="GS102" t="str">
            <v>mstag:numberOfStores</v>
          </cell>
          <cell r="GT102">
            <v>0</v>
          </cell>
          <cell r="GU102" t="str">
            <v>ms_eqr_gcim_Decimal:ms_eqr_gcim_decimal</v>
          </cell>
          <cell r="GV102" t="b">
            <v>0</v>
          </cell>
          <cell r="GW102" t="b">
            <v>0</v>
          </cell>
        </row>
        <row r="103">
          <cell r="A103" t="str">
            <v>% Change</v>
          </cell>
          <cell r="N103">
            <v>0.16056338028169015</v>
          </cell>
          <cell r="O103">
            <v>-2.4271844660194164E-3</v>
          </cell>
          <cell r="P103">
            <v>-2.676399026763987E-2</v>
          </cell>
          <cell r="Q103">
            <v>2.4999999999999467E-3</v>
          </cell>
          <cell r="R103">
            <v>4.9875311720697368E-3</v>
          </cell>
          <cell r="S103">
            <v>9.1811414392059643E-2</v>
          </cell>
          <cell r="T103">
            <v>4.318181818181821E-2</v>
          </cell>
          <cell r="U103">
            <v>-8.7145969498910736E-3</v>
          </cell>
          <cell r="V103">
            <v>8.79120879120876E-3</v>
          </cell>
          <cell r="W103">
            <v>0</v>
          </cell>
          <cell r="X103">
            <v>0.89106753812636175</v>
          </cell>
          <cell r="Y103">
            <v>-1.1520737327188946E-2</v>
          </cell>
          <cell r="Z103">
            <v>-5.8275058275057967E-3</v>
          </cell>
          <cell r="AA103">
            <v>-7.0339976553340788E-3</v>
          </cell>
          <cell r="AB103">
            <v>3.5419126328217754E-3</v>
          </cell>
          <cell r="AC103">
            <v>0</v>
          </cell>
          <cell r="AD103">
            <v>-9.4117647058823417E-3</v>
          </cell>
          <cell r="AE103">
            <v>2.3752969121140222E-3</v>
          </cell>
          <cell r="AF103">
            <v>4.7393364928909332E-3</v>
          </cell>
          <cell r="AG103">
            <v>0</v>
          </cell>
          <cell r="AH103">
            <v>0</v>
          </cell>
          <cell r="AI103">
            <v>0</v>
          </cell>
          <cell r="AJ103">
            <v>0</v>
          </cell>
          <cell r="AK103">
            <v>0</v>
          </cell>
          <cell r="AL103">
            <v>0</v>
          </cell>
          <cell r="AN103" t="str">
            <v>% Change</v>
          </cell>
          <cell r="DL103">
            <v>9.1811414392059643E-2</v>
          </cell>
          <cell r="DN103" t="str">
            <v>NA</v>
          </cell>
          <cell r="DO103" t="str">
            <v>NA</v>
          </cell>
          <cell r="DP103" t="str">
            <v>NA</v>
          </cell>
          <cell r="DQ103">
            <v>4.318181818181821E-2</v>
          </cell>
          <cell r="DR103">
            <v>4.318181818181821E-2</v>
          </cell>
          <cell r="DT103" t="str">
            <v>NA</v>
          </cell>
          <cell r="DU103" t="str">
            <v>NA</v>
          </cell>
          <cell r="DV103" t="str">
            <v>NA</v>
          </cell>
          <cell r="DW103">
            <v>-8.7145969498910736E-3</v>
          </cell>
          <cell r="DX103">
            <v>-8.7145969498910736E-3</v>
          </cell>
          <cell r="DZ103">
            <v>-1.5118790496760237E-2</v>
          </cell>
          <cell r="EA103">
            <v>-1.0752688172043001E-2</v>
          </cell>
          <cell r="EB103">
            <v>-1.6913319238900604E-2</v>
          </cell>
          <cell r="EC103">
            <v>8.79120879120876E-3</v>
          </cell>
          <cell r="ED103">
            <v>8.79120879120876E-3</v>
          </cell>
          <cell r="EF103">
            <v>6.5789473684210176E-3</v>
          </cell>
          <cell r="EG103">
            <v>-6.521739130434745E-3</v>
          </cell>
          <cell r="EH103">
            <v>-1.2903225806451646E-2</v>
          </cell>
          <cell r="EI103">
            <v>0</v>
          </cell>
          <cell r="EJ103">
            <v>0</v>
          </cell>
          <cell r="EL103">
            <v>0</v>
          </cell>
          <cell r="EM103">
            <v>6.5645514223193757E-3</v>
          </cell>
          <cell r="EN103">
            <v>1.0370370370370372</v>
          </cell>
          <cell r="EO103">
            <v>0.89106753812636175</v>
          </cell>
          <cell r="EP103">
            <v>0.89106753812636175</v>
          </cell>
          <cell r="ER103">
            <v>0.87581699346405228</v>
          </cell>
          <cell r="ES103">
            <v>0.86086956521739122</v>
          </cell>
          <cell r="ET103">
            <v>-8.3422459893048084E-2</v>
          </cell>
          <cell r="EU103">
            <v>-1.1520737327188946E-2</v>
          </cell>
          <cell r="EV103">
            <v>-1.1520737327188946E-2</v>
          </cell>
          <cell r="EX103">
            <v>2.3228803716608404E-3</v>
          </cell>
          <cell r="EY103">
            <v>8.1775700934578754E-3</v>
          </cell>
          <cell r="EZ103">
            <v>1.0501750291715295E-2</v>
          </cell>
          <cell r="FA103">
            <v>-6.9930069930069783E-3</v>
          </cell>
          <cell r="FB103">
            <v>-6.9930069930069783E-3</v>
          </cell>
          <cell r="FD103">
            <v>-1.3904982618771711E-2</v>
          </cell>
          <cell r="FE103">
            <v>-9.2699884125144738E-3</v>
          </cell>
          <cell r="FF103">
            <v>-1.1547344110854452E-2</v>
          </cell>
          <cell r="FG103">
            <v>-5.8685446009389963E-3</v>
          </cell>
          <cell r="FH103">
            <v>-5.8685446009389963E-3</v>
          </cell>
          <cell r="FJ103">
            <v>-3.5252643948295859E-3</v>
          </cell>
          <cell r="FK103">
            <v>-8.1871345029239651E-3</v>
          </cell>
          <cell r="FL103">
            <v>-2.3364485981308691E-3</v>
          </cell>
          <cell r="FM103">
            <v>3.5419126328217754E-3</v>
          </cell>
          <cell r="FN103">
            <v>3.5419126328217754E-3</v>
          </cell>
          <cell r="FP103">
            <v>1.179245283018826E-3</v>
          </cell>
          <cell r="FQ103">
            <v>1.179245283018826E-3</v>
          </cell>
          <cell r="FR103">
            <v>0</v>
          </cell>
          <cell r="FS103">
            <v>0</v>
          </cell>
          <cell r="FT103">
            <v>0</v>
          </cell>
          <cell r="FV103">
            <v>1.1778563015312216E-3</v>
          </cell>
          <cell r="FW103">
            <v>0</v>
          </cell>
          <cell r="FX103">
            <v>-4.6838407494145251E-3</v>
          </cell>
          <cell r="FY103">
            <v>-9.4117647058823417E-3</v>
          </cell>
          <cell r="FZ103">
            <v>-9.4117647058823417E-3</v>
          </cell>
          <cell r="GB103">
            <v>-7.058823529411784E-3</v>
          </cell>
          <cell r="GC103">
            <v>-4.7114252061248862E-3</v>
          </cell>
          <cell r="GD103">
            <v>-3.529411764705892E-3</v>
          </cell>
          <cell r="GE103">
            <v>2.3752969121140222E-3</v>
          </cell>
          <cell r="GF103">
            <v>2.3752969121140222E-3</v>
          </cell>
        </row>
        <row r="104">
          <cell r="A104" t="str">
            <v>EOP Gross Square Feet (MM)</v>
          </cell>
          <cell r="M104">
            <v>74.134</v>
          </cell>
          <cell r="N104">
            <v>83.503</v>
          </cell>
          <cell r="O104">
            <v>83.018999999999991</v>
          </cell>
          <cell r="P104">
            <v>81.016000000000005</v>
          </cell>
          <cell r="Q104">
            <v>82.319000000000003</v>
          </cell>
          <cell r="R104">
            <v>81.914000000000001</v>
          </cell>
          <cell r="S104">
            <v>83.4</v>
          </cell>
          <cell r="T104">
            <v>84</v>
          </cell>
          <cell r="U104">
            <v>83.5</v>
          </cell>
          <cell r="V104">
            <v>84</v>
          </cell>
          <cell r="W104">
            <v>83.3</v>
          </cell>
          <cell r="X104">
            <v>158.5</v>
          </cell>
          <cell r="Y104">
            <v>156.4</v>
          </cell>
          <cell r="Z104">
            <v>154.96100000000001</v>
          </cell>
          <cell r="AA104">
            <v>154.09100000000001</v>
          </cell>
          <cell r="AB104">
            <v>154.4</v>
          </cell>
          <cell r="AC104">
            <v>154.17699999999999</v>
          </cell>
          <cell r="AD104">
            <v>152.298</v>
          </cell>
          <cell r="AE104">
            <v>152.30400000000003</v>
          </cell>
          <cell r="AF104">
            <v>152.59800000000001</v>
          </cell>
          <cell r="AG104">
            <v>152.489</v>
          </cell>
          <cell r="AH104">
            <v>152.54349999999999</v>
          </cell>
          <cell r="AI104">
            <v>152.54349999999999</v>
          </cell>
          <cell r="AJ104">
            <v>152.54349999999999</v>
          </cell>
          <cell r="AK104">
            <v>152.54349999999999</v>
          </cell>
          <cell r="AL104">
            <v>152.54349999999999</v>
          </cell>
          <cell r="AN104" t="str">
            <v>EOP Gross Square Feet (MM)</v>
          </cell>
          <cell r="DK104">
            <v>83.4</v>
          </cell>
          <cell r="DL104">
            <v>83.4</v>
          </cell>
          <cell r="DN104" t="str">
            <v>NA</v>
          </cell>
          <cell r="DO104" t="str">
            <v>NA</v>
          </cell>
          <cell r="DP104" t="str">
            <v>NA</v>
          </cell>
          <cell r="DQ104">
            <v>84</v>
          </cell>
          <cell r="DR104">
            <v>84</v>
          </cell>
          <cell r="DT104">
            <v>84.734065934065939</v>
          </cell>
          <cell r="DU104">
            <v>85.101098901098908</v>
          </cell>
          <cell r="DV104">
            <v>86.569230769230771</v>
          </cell>
          <cell r="DW104">
            <v>83.5</v>
          </cell>
          <cell r="DX104">
            <v>83.5</v>
          </cell>
          <cell r="DZ104">
            <v>83.683006535947712</v>
          </cell>
          <cell r="EA104">
            <v>84.415032679738559</v>
          </cell>
          <cell r="EB104">
            <v>85.330065359477118</v>
          </cell>
          <cell r="EC104">
            <v>84</v>
          </cell>
          <cell r="ED104">
            <v>84</v>
          </cell>
          <cell r="EF104">
            <v>84</v>
          </cell>
          <cell r="EG104">
            <v>83.637037037037032</v>
          </cell>
          <cell r="EH104">
            <v>84</v>
          </cell>
          <cell r="EI104">
            <v>83.3</v>
          </cell>
          <cell r="EJ104">
            <v>83.3</v>
          </cell>
          <cell r="EL104">
            <v>83.3</v>
          </cell>
          <cell r="EM104">
            <v>83.48260368663594</v>
          </cell>
          <cell r="EN104">
            <v>170.21935483870968</v>
          </cell>
          <cell r="EO104">
            <v>158.5</v>
          </cell>
          <cell r="EP104">
            <v>158.5</v>
          </cell>
          <cell r="ER104">
            <v>157.22400932400933</v>
          </cell>
          <cell r="ES104">
            <v>156.31258741258742</v>
          </cell>
          <cell r="ET104">
            <v>156.49487179487181</v>
          </cell>
          <cell r="EU104">
            <v>156.4</v>
          </cell>
          <cell r="EV104">
            <v>156.4</v>
          </cell>
          <cell r="EX104">
            <v>157.047</v>
          </cell>
          <cell r="EY104">
            <v>156.88300000000001</v>
          </cell>
          <cell r="EZ104">
            <v>157.52099999999999</v>
          </cell>
          <cell r="FA104">
            <v>154.96100000000001</v>
          </cell>
          <cell r="FB104">
            <v>154.96100000000001</v>
          </cell>
          <cell r="FD104">
            <v>155.048</v>
          </cell>
          <cell r="FE104">
            <v>155.60599999999999</v>
          </cell>
          <cell r="FF104">
            <v>155.41999999999999</v>
          </cell>
          <cell r="FG104">
            <v>154.09100000000001</v>
          </cell>
          <cell r="FH104">
            <v>154.09100000000001</v>
          </cell>
          <cell r="FJ104">
            <v>154.44300000000001</v>
          </cell>
          <cell r="FK104">
            <v>154.44300000000001</v>
          </cell>
          <cell r="FL104">
            <v>155.34100000000001</v>
          </cell>
          <cell r="FM104">
            <v>154.4</v>
          </cell>
          <cell r="FN104">
            <v>154.4</v>
          </cell>
          <cell r="FP104">
            <v>154.30500000000001</v>
          </cell>
          <cell r="FQ104">
            <v>154.30500000000001</v>
          </cell>
          <cell r="FR104">
            <v>154.666</v>
          </cell>
          <cell r="FS104">
            <v>154.221</v>
          </cell>
          <cell r="FT104">
            <v>154.17699999999999</v>
          </cell>
          <cell r="FV104">
            <v>154.34800000000001</v>
          </cell>
          <cell r="FW104">
            <v>154.298</v>
          </cell>
          <cell r="FX104">
            <v>154.28399999999999</v>
          </cell>
          <cell r="FY104">
            <v>152.298</v>
          </cell>
          <cell r="FZ104">
            <v>152.298</v>
          </cell>
          <cell r="GB104">
            <v>152.19800000000001</v>
          </cell>
          <cell r="GC104">
            <v>152.20400000000001</v>
          </cell>
          <cell r="GD104">
            <v>152.30400000000003</v>
          </cell>
          <cell r="GE104">
            <v>152.30400000000003</v>
          </cell>
          <cell r="GF104">
            <v>152.30400000000003</v>
          </cell>
          <cell r="GS104" t="str">
            <v>mstag:floorspace</v>
          </cell>
          <cell r="GT104">
            <v>6</v>
          </cell>
          <cell r="GU104" t="str">
            <v>area:squareFeet</v>
          </cell>
          <cell r="GV104" t="b">
            <v>0</v>
          </cell>
          <cell r="GW104" t="b">
            <v>0</v>
          </cell>
        </row>
        <row r="105">
          <cell r="A105" t="str">
            <v>% Change</v>
          </cell>
          <cell r="N105">
            <v>0.12637925917932402</v>
          </cell>
          <cell r="O105">
            <v>-5.7961989389603286E-3</v>
          </cell>
          <cell r="P105">
            <v>-2.4127007070670392E-2</v>
          </cell>
          <cell r="Q105">
            <v>1.6083242816233856E-2</v>
          </cell>
          <cell r="R105">
            <v>-4.9198848382512317E-3</v>
          </cell>
          <cell r="S105">
            <v>1.8140977122347968E-2</v>
          </cell>
          <cell r="T105">
            <v>7.194244604316502E-3</v>
          </cell>
          <cell r="U105">
            <v>-5.9523809523809312E-3</v>
          </cell>
          <cell r="V105">
            <v>5.9880239520957446E-3</v>
          </cell>
          <cell r="W105">
            <v>-8.3333333333334147E-3</v>
          </cell>
          <cell r="X105">
            <v>0.90276110444177671</v>
          </cell>
          <cell r="Y105">
            <v>-1.3249211356466839E-2</v>
          </cell>
          <cell r="Z105">
            <v>-9.200767263427112E-3</v>
          </cell>
          <cell r="AA105">
            <v>-5.614315860119623E-3</v>
          </cell>
          <cell r="AB105">
            <v>2.0053085514404323E-3</v>
          </cell>
          <cell r="AC105">
            <v>-1.4443005181348223E-3</v>
          </cell>
          <cell r="AD105">
            <v>-1.2187291230209341E-2</v>
          </cell>
          <cell r="AE105">
            <v>3.9396446440687072E-5</v>
          </cell>
          <cell r="AF105">
            <v>1.930349826662292E-3</v>
          </cell>
          <cell r="AG105">
            <v>-7.1429507595122121E-4</v>
          </cell>
          <cell r="AH105">
            <v>3.5740282905649678E-4</v>
          </cell>
          <cell r="AI105">
            <v>0</v>
          </cell>
          <cell r="AJ105">
            <v>0</v>
          </cell>
          <cell r="AK105">
            <v>0</v>
          </cell>
          <cell r="AL105">
            <v>0</v>
          </cell>
          <cell r="AN105" t="str">
            <v>% Change</v>
          </cell>
          <cell r="DL105">
            <v>1.8140977122347968E-2</v>
          </cell>
          <cell r="DN105" t="str">
            <v>NA</v>
          </cell>
          <cell r="DO105" t="str">
            <v>NA</v>
          </cell>
          <cell r="DP105" t="str">
            <v>NA</v>
          </cell>
          <cell r="DQ105">
            <v>7.194244604316502E-3</v>
          </cell>
          <cell r="DR105">
            <v>7.194244604316502E-3</v>
          </cell>
          <cell r="DT105" t="str">
            <v>NA</v>
          </cell>
          <cell r="DU105" t="str">
            <v>NA</v>
          </cell>
          <cell r="DV105" t="str">
            <v>NA</v>
          </cell>
          <cell r="DW105">
            <v>-5.9523809523809312E-3</v>
          </cell>
          <cell r="DX105">
            <v>-5.9523809523809312E-3</v>
          </cell>
          <cell r="DZ105">
            <v>-1.2404212951802496E-2</v>
          </cell>
          <cell r="EA105">
            <v>-8.0617786399875824E-3</v>
          </cell>
          <cell r="EB105">
            <v>-1.4314155257506234E-2</v>
          </cell>
          <cell r="EC105">
            <v>5.9880239520957446E-3</v>
          </cell>
          <cell r="ED105">
            <v>5.9880239520957446E-3</v>
          </cell>
          <cell r="EF105">
            <v>3.7880267114460686E-3</v>
          </cell>
          <cell r="EG105">
            <v>-9.2163163124411307E-3</v>
          </cell>
          <cell r="EH105">
            <v>-1.558730037149092E-2</v>
          </cell>
          <cell r="EI105">
            <v>-8.3333333333334147E-3</v>
          </cell>
          <cell r="EJ105">
            <v>-8.3333333333334147E-3</v>
          </cell>
          <cell r="EL105">
            <v>-8.3333333333334147E-3</v>
          </cell>
          <cell r="EM105">
            <v>-1.8464708444023703E-3</v>
          </cell>
          <cell r="EN105">
            <v>1.02642089093702</v>
          </cell>
          <cell r="EO105">
            <v>0.90276110444177671</v>
          </cell>
          <cell r="EP105">
            <v>0.90276110444177671</v>
          </cell>
          <cell r="ER105">
            <v>0.88744308912376146</v>
          </cell>
          <cell r="ES105">
            <v>0.87239712838053518</v>
          </cell>
          <cell r="ET105">
            <v>-8.0628216790284646E-2</v>
          </cell>
          <cell r="EU105">
            <v>-1.3249211356466839E-2</v>
          </cell>
          <cell r="EV105">
            <v>-1.3249211356466839E-2</v>
          </cell>
          <cell r="EX105">
            <v>-1.1258415605249761E-3</v>
          </cell>
          <cell r="EY105">
            <v>3.649178846403256E-3</v>
          </cell>
          <cell r="EZ105">
            <v>6.5569446037387902E-3</v>
          </cell>
          <cell r="FA105">
            <v>-9.200767263427112E-3</v>
          </cell>
          <cell r="FB105">
            <v>-9.200767263427112E-3</v>
          </cell>
          <cell r="FD105">
            <v>-1.272867358179397E-2</v>
          </cell>
          <cell r="FE105">
            <v>-8.13982394523316E-3</v>
          </cell>
          <cell r="FF105">
            <v>-1.3337904152462166E-2</v>
          </cell>
          <cell r="FG105">
            <v>-5.614315860119623E-3</v>
          </cell>
          <cell r="FH105">
            <v>-5.614315860119623E-3</v>
          </cell>
          <cell r="FJ105">
            <v>-3.9020174397604857E-3</v>
          </cell>
          <cell r="FK105">
            <v>-7.4740048584244212E-3</v>
          </cell>
          <cell r="FL105">
            <v>-5.0830009007840626E-4</v>
          </cell>
          <cell r="FM105">
            <v>2.0053085514404323E-3</v>
          </cell>
          <cell r="FN105">
            <v>2.0053085514404323E-3</v>
          </cell>
          <cell r="FP105">
            <v>-8.9353353664467505E-4</v>
          </cell>
          <cell r="FQ105">
            <v>-8.9353353664467505E-4</v>
          </cell>
          <cell r="FR105">
            <v>-4.3452790956670651E-3</v>
          </cell>
          <cell r="FS105">
            <v>-1.1593264248704882E-3</v>
          </cell>
          <cell r="FT105">
            <v>-1.4443005181348223E-3</v>
          </cell>
          <cell r="FV105">
            <v>2.7866887009508901E-4</v>
          </cell>
          <cell r="FW105">
            <v>-4.5364699782890483E-5</v>
          </cell>
          <cell r="FX105">
            <v>-2.4698382320613721E-3</v>
          </cell>
          <cell r="FY105">
            <v>-1.2469118991576988E-2</v>
          </cell>
          <cell r="FZ105">
            <v>-1.2187291230209341E-2</v>
          </cell>
          <cell r="GB105">
            <v>-1.3929561769507881E-2</v>
          </cell>
          <cell r="GC105">
            <v>-1.3571141557246369E-2</v>
          </cell>
          <cell r="GD105">
            <v>-1.2833475927510052E-2</v>
          </cell>
          <cell r="GE105">
            <v>3.9396446440687072E-5</v>
          </cell>
          <cell r="GF105">
            <v>3.9396446440687072E-5</v>
          </cell>
        </row>
        <row r="106">
          <cell r="A106" t="str">
            <v>Ave. Square Feet (MM)</v>
          </cell>
          <cell r="N106">
            <v>78.8185</v>
          </cell>
          <cell r="O106">
            <v>83.260999999999996</v>
          </cell>
          <cell r="P106">
            <v>82.017499999999998</v>
          </cell>
          <cell r="Q106">
            <v>81.667500000000004</v>
          </cell>
          <cell r="R106">
            <v>82.116500000000002</v>
          </cell>
          <cell r="S106">
            <v>82.657000000000011</v>
          </cell>
          <cell r="T106">
            <v>83.7</v>
          </cell>
          <cell r="U106">
            <v>83.75</v>
          </cell>
          <cell r="V106">
            <v>83.75</v>
          </cell>
          <cell r="W106">
            <v>83.65</v>
          </cell>
          <cell r="X106">
            <v>120.9</v>
          </cell>
          <cell r="Y106">
            <v>157.44999999999999</v>
          </cell>
          <cell r="Z106">
            <v>155.68049999999999</v>
          </cell>
          <cell r="AA106">
            <v>154.52600000000001</v>
          </cell>
          <cell r="AB106">
            <v>154.24549999999999</v>
          </cell>
          <cell r="AC106">
            <v>154.2885</v>
          </cell>
          <cell r="AD106">
            <v>153.23750000000001</v>
          </cell>
          <cell r="AE106">
            <v>152.30100000000002</v>
          </cell>
          <cell r="AF106">
            <v>152.45100000000002</v>
          </cell>
          <cell r="AG106">
            <v>152.54349999999999</v>
          </cell>
          <cell r="AH106">
            <v>152.51625000000001</v>
          </cell>
          <cell r="AI106">
            <v>152.54349999999999</v>
          </cell>
          <cell r="AJ106">
            <v>152.54349999999999</v>
          </cell>
          <cell r="AK106">
            <v>152.54349999999999</v>
          </cell>
          <cell r="AL106">
            <v>152.54349999999999</v>
          </cell>
          <cell r="AN106" t="str">
            <v>Ave. Square Feet (MM)</v>
          </cell>
          <cell r="DL106">
            <v>82.657000000000011</v>
          </cell>
          <cell r="DN106">
            <v>83.4</v>
          </cell>
          <cell r="DO106" t="str">
            <v>NA</v>
          </cell>
          <cell r="DP106" t="str">
            <v>NA</v>
          </cell>
          <cell r="DQ106">
            <v>84</v>
          </cell>
          <cell r="DR106">
            <v>83.7</v>
          </cell>
          <cell r="DT106">
            <v>84.367032967032969</v>
          </cell>
          <cell r="DU106">
            <v>84.917582417582423</v>
          </cell>
          <cell r="DV106">
            <v>85.835164835164846</v>
          </cell>
          <cell r="DW106">
            <v>85.034615384615392</v>
          </cell>
          <cell r="DX106">
            <v>83.75</v>
          </cell>
          <cell r="DZ106">
            <v>83.591503267973849</v>
          </cell>
          <cell r="EA106">
            <v>84.049019607843135</v>
          </cell>
          <cell r="EB106">
            <v>84.872549019607845</v>
          </cell>
          <cell r="EC106">
            <v>84.665032679738559</v>
          </cell>
          <cell r="ED106">
            <v>83.75</v>
          </cell>
          <cell r="EF106">
            <v>84</v>
          </cell>
          <cell r="EG106">
            <v>83.818518518518516</v>
          </cell>
          <cell r="EH106">
            <v>83.818518518518516</v>
          </cell>
          <cell r="EI106">
            <v>83.65</v>
          </cell>
          <cell r="EJ106">
            <v>83.65</v>
          </cell>
          <cell r="EL106">
            <v>83.3</v>
          </cell>
          <cell r="EM106">
            <v>83.391301843317962</v>
          </cell>
          <cell r="EN106">
            <v>126.85097926267281</v>
          </cell>
          <cell r="EO106">
            <v>164.35967741935485</v>
          </cell>
          <cell r="EP106">
            <v>120.9</v>
          </cell>
          <cell r="ER106">
            <v>157.86200466200467</v>
          </cell>
          <cell r="ES106">
            <v>156.76829836829836</v>
          </cell>
          <cell r="ET106">
            <v>156.40372960372963</v>
          </cell>
          <cell r="EU106">
            <v>156.44743589743592</v>
          </cell>
          <cell r="EV106">
            <v>157.44999999999999</v>
          </cell>
          <cell r="EX106">
            <v>156.7235</v>
          </cell>
          <cell r="EY106">
            <v>156.965</v>
          </cell>
          <cell r="EZ106">
            <v>157.202</v>
          </cell>
          <cell r="FA106">
            <v>156.24099999999999</v>
          </cell>
          <cell r="FB106">
            <v>155.68049999999999</v>
          </cell>
          <cell r="FD106">
            <v>155.00450000000001</v>
          </cell>
          <cell r="FE106">
            <v>155.327</v>
          </cell>
          <cell r="FF106">
            <v>155.51299999999998</v>
          </cell>
          <cell r="FG106">
            <v>154.75549999999998</v>
          </cell>
          <cell r="FH106">
            <v>154.52600000000001</v>
          </cell>
          <cell r="FJ106">
            <v>154.267</v>
          </cell>
          <cell r="FK106">
            <v>154.44300000000001</v>
          </cell>
          <cell r="FL106">
            <v>154.892</v>
          </cell>
          <cell r="FM106">
            <v>154.87049999999999</v>
          </cell>
          <cell r="FN106">
            <v>154.24549999999999</v>
          </cell>
          <cell r="FP106">
            <v>154.35250000000002</v>
          </cell>
          <cell r="FQ106">
            <v>154.30500000000001</v>
          </cell>
          <cell r="FR106">
            <v>154.4855</v>
          </cell>
          <cell r="FS106">
            <v>154.4435</v>
          </cell>
          <cell r="FT106">
            <v>154.2885</v>
          </cell>
          <cell r="FV106">
            <v>154.26249999999999</v>
          </cell>
          <cell r="FW106">
            <v>154.32300000000001</v>
          </cell>
          <cell r="FX106">
            <v>154.291</v>
          </cell>
          <cell r="FY106">
            <v>153.291</v>
          </cell>
          <cell r="FZ106">
            <v>153.23750000000001</v>
          </cell>
          <cell r="GB106">
            <v>152.24799999999999</v>
          </cell>
          <cell r="GC106">
            <v>152.20100000000002</v>
          </cell>
          <cell r="GD106">
            <v>152.25400000000002</v>
          </cell>
          <cell r="GE106">
            <v>152.30400000000003</v>
          </cell>
          <cell r="GF106">
            <v>152.30100000000002</v>
          </cell>
        </row>
        <row r="107">
          <cell r="A107" t="str">
            <v>% Change</v>
          </cell>
          <cell r="N107" t="str">
            <v>NA</v>
          </cell>
          <cell r="O107">
            <v>5.6363670965572821E-2</v>
          </cell>
          <cell r="P107">
            <v>-1.4934963548359992E-2</v>
          </cell>
          <cell r="Q107">
            <v>-4.2673819611667163E-3</v>
          </cell>
          <cell r="R107">
            <v>5.4979030826216579E-3</v>
          </cell>
          <cell r="S107">
            <v>6.5821119994156074E-3</v>
          </cell>
          <cell r="T107">
            <v>1.2618411023869625E-2</v>
          </cell>
          <cell r="U107">
            <v>5.9737156511352474E-4</v>
          </cell>
          <cell r="V107">
            <v>0</v>
          </cell>
          <cell r="W107">
            <v>-1.1940298507462366E-3</v>
          </cell>
          <cell r="X107">
            <v>0.44530783024506881</v>
          </cell>
          <cell r="Y107">
            <v>0.30231596360628599</v>
          </cell>
          <cell r="Z107">
            <v>-1.1238488409018643E-2</v>
          </cell>
          <cell r="AA107">
            <v>-7.4158292143202686E-3</v>
          </cell>
          <cell r="AB107">
            <v>-1.8152285052355221E-3</v>
          </cell>
          <cell r="AC107">
            <v>2.7877636624729085E-4</v>
          </cell>
          <cell r="AD107">
            <v>-6.8119140441444959E-3</v>
          </cell>
          <cell r="AE107">
            <v>-6.1114283383636447E-3</v>
          </cell>
          <cell r="AF107">
            <v>9.8489176039562309E-4</v>
          </cell>
          <cell r="AG107">
            <v>6.0675233353646441E-4</v>
          </cell>
          <cell r="AH107">
            <v>-1.7863756895564187E-4</v>
          </cell>
          <cell r="AI107">
            <v>1.7866948603817434E-4</v>
          </cell>
          <cell r="AJ107">
            <v>0</v>
          </cell>
          <cell r="AK107">
            <v>0</v>
          </cell>
          <cell r="AL107">
            <v>0</v>
          </cell>
          <cell r="AN107" t="str">
            <v>% Change</v>
          </cell>
          <cell r="DL107">
            <v>6.5821119994156074E-3</v>
          </cell>
          <cell r="DN107" t="str">
            <v>NA</v>
          </cell>
          <cell r="DO107" t="str">
            <v>NA</v>
          </cell>
          <cell r="DP107" t="str">
            <v>NA</v>
          </cell>
          <cell r="DQ107" t="str">
            <v>NA</v>
          </cell>
          <cell r="DR107">
            <v>1.2618411023869625E-2</v>
          </cell>
          <cell r="DT107">
            <v>1.1595119508788443E-2</v>
          </cell>
          <cell r="DU107" t="str">
            <v>NA</v>
          </cell>
          <cell r="DV107" t="str">
            <v>NA</v>
          </cell>
          <cell r="DW107">
            <v>1.2316849816849995E-2</v>
          </cell>
          <cell r="DX107">
            <v>5.9737156511352474E-4</v>
          </cell>
          <cell r="DZ107">
            <v>-9.1923310774976175E-3</v>
          </cell>
          <cell r="EA107">
            <v>-1.0228303550472329E-2</v>
          </cell>
          <cell r="EB107">
            <v>-1.1214702242438479E-2</v>
          </cell>
          <cell r="EC107">
            <v>-4.3462618511908024E-3</v>
          </cell>
          <cell r="ED107">
            <v>0</v>
          </cell>
          <cell r="EF107">
            <v>4.8868212205326333E-3</v>
          </cell>
          <cell r="EG107">
            <v>-2.7424601785969172E-3</v>
          </cell>
          <cell r="EH107">
            <v>-1.2418980144520253E-2</v>
          </cell>
          <cell r="EI107">
            <v>-1.1988806330213153E-2</v>
          </cell>
          <cell r="EJ107">
            <v>-1.1940298507462366E-3</v>
          </cell>
          <cell r="EL107">
            <v>-8.3333333333334147E-3</v>
          </cell>
          <cell r="EM107">
            <v>-5.096924674302894E-3</v>
          </cell>
          <cell r="EN107">
            <v>0.51340039772531743</v>
          </cell>
          <cell r="EO107">
            <v>0.9648497001716061</v>
          </cell>
          <cell r="EP107">
            <v>0.44530783024506881</v>
          </cell>
          <cell r="ER107">
            <v>0.8951020967827692</v>
          </cell>
          <cell r="ES107">
            <v>0.87991187213801725</v>
          </cell>
          <cell r="ET107">
            <v>0.23297218920053719</v>
          </cell>
          <cell r="EU107">
            <v>-4.8139797097138781E-2</v>
          </cell>
          <cell r="EV107">
            <v>0.30231596360628599</v>
          </cell>
          <cell r="EX107">
            <v>-7.2120246061887494E-3</v>
          </cell>
          <cell r="EY107">
            <v>1.2547283714181567E-3</v>
          </cell>
          <cell r="EZ107">
            <v>5.1039089559621331E-3</v>
          </cell>
          <cell r="FA107">
            <v>-1.3195224086079982E-3</v>
          </cell>
          <cell r="FB107">
            <v>-1.1238488409018643E-2</v>
          </cell>
          <cell r="FD107">
            <v>-1.0968361477378896E-2</v>
          </cell>
          <cell r="FE107">
            <v>-1.0435447392730945E-2</v>
          </cell>
          <cell r="FF107">
            <v>-1.0744138115291291E-2</v>
          </cell>
          <cell r="FG107">
            <v>-9.5077476462643862E-3</v>
          </cell>
          <cell r="FH107">
            <v>-7.4158292143202686E-3</v>
          </cell>
          <cell r="FJ107">
            <v>-4.7579263827824958E-3</v>
          </cell>
          <cell r="FK107">
            <v>-5.6912191698802461E-3</v>
          </cell>
          <cell r="FL107">
            <v>-3.9932352922262826E-3</v>
          </cell>
          <cell r="FM107">
            <v>7.4310767630225705E-4</v>
          </cell>
          <cell r="FN107">
            <v>-1.8152285052355221E-3</v>
          </cell>
          <cell r="FP107">
            <v>5.5423389318542959E-4</v>
          </cell>
          <cell r="FQ107">
            <v>-8.9353353664467505E-4</v>
          </cell>
          <cell r="FR107">
            <v>-2.6244092658109786E-3</v>
          </cell>
          <cell r="FS107">
            <v>-2.7571422575635163E-3</v>
          </cell>
          <cell r="FT107">
            <v>2.7877636624729085E-4</v>
          </cell>
          <cell r="FV107">
            <v>-5.8308093487335899E-4</v>
          </cell>
          <cell r="FW107">
            <v>1.1665208515609926E-4</v>
          </cell>
          <cell r="FX107">
            <v>-1.25901783662552E-3</v>
          </cell>
          <cell r="FY107">
            <v>-7.4622758484494955E-3</v>
          </cell>
          <cell r="FZ107">
            <v>-6.8119140441444959E-3</v>
          </cell>
          <cell r="GB107">
            <v>-1.3058909326634782E-2</v>
          </cell>
          <cell r="GC107">
            <v>-1.3750380695035647E-2</v>
          </cell>
          <cell r="GD107">
            <v>-1.320232547588629E-2</v>
          </cell>
          <cell r="GE107">
            <v>-6.4387341722603741E-3</v>
          </cell>
          <cell r="GF107">
            <v>-6.1114283383636447E-3</v>
          </cell>
        </row>
        <row r="108">
          <cell r="A108" t="str">
            <v>Ave. Square Feet Per Store (000's)</v>
          </cell>
          <cell r="N108">
            <v>205.52411994784876</v>
          </cell>
          <cell r="O108">
            <v>202.33535844471447</v>
          </cell>
          <cell r="P108">
            <v>202.26263871763254</v>
          </cell>
          <cell r="Q108">
            <v>203.91385767790263</v>
          </cell>
          <cell r="R108">
            <v>204.26990049751242</v>
          </cell>
          <cell r="S108">
            <v>196.10201660735473</v>
          </cell>
          <cell r="T108">
            <v>186.20689655172413</v>
          </cell>
          <cell r="U108">
            <v>183.26039387308535</v>
          </cell>
          <cell r="V108">
            <v>183.26039387308535</v>
          </cell>
          <cell r="W108">
            <v>182.24400871459696</v>
          </cell>
          <cell r="X108">
            <v>182.21552373775432</v>
          </cell>
          <cell r="Y108">
            <v>182.44495944380068</v>
          </cell>
          <cell r="Z108">
            <v>181.97603740502629</v>
          </cell>
          <cell r="AA108">
            <v>181.79529411764705</v>
          </cell>
          <cell r="AB108">
            <v>181.78609310548026</v>
          </cell>
          <cell r="AC108">
            <v>181.51588235294119</v>
          </cell>
          <cell r="AD108">
            <v>181.13179669030734</v>
          </cell>
          <cell r="AE108">
            <v>180.6654804270463</v>
          </cell>
          <cell r="AF108">
            <v>180.2021276595745</v>
          </cell>
          <cell r="AG108">
            <v>179.88620283018867</v>
          </cell>
          <cell r="AH108">
            <v>179.88620283018867</v>
          </cell>
          <cell r="AI108">
            <v>179.88620283018867</v>
          </cell>
          <cell r="AJ108">
            <v>179.88620283018867</v>
          </cell>
          <cell r="AK108">
            <v>179.88620283018867</v>
          </cell>
          <cell r="AL108">
            <v>179.88620283018867</v>
          </cell>
          <cell r="AN108" t="str">
            <v>Ave. Square Feet Per Store (000's)</v>
          </cell>
          <cell r="DL108">
            <v>196.10201660735473</v>
          </cell>
          <cell r="DN108">
            <v>189.54545454545453</v>
          </cell>
          <cell r="DO108" t="str">
            <v>NA</v>
          </cell>
          <cell r="DP108" t="str">
            <v>NA</v>
          </cell>
          <cell r="DQ108">
            <v>183.00653594771242</v>
          </cell>
          <cell r="DR108">
            <v>186.20689655172413</v>
          </cell>
          <cell r="DT108">
            <v>183.00874830158995</v>
          </cell>
          <cell r="DU108">
            <v>183.01203107237592</v>
          </cell>
          <cell r="DV108">
            <v>183.01740903020223</v>
          </cell>
          <cell r="DW108">
            <v>183.26425729442971</v>
          </cell>
          <cell r="DX108">
            <v>183.26039387308535</v>
          </cell>
          <cell r="DZ108">
            <v>183.51592374966816</v>
          </cell>
          <cell r="EA108">
            <v>183.5131432485658</v>
          </cell>
          <cell r="EB108">
            <v>183.50821409644939</v>
          </cell>
          <cell r="EC108">
            <v>183.25764649294061</v>
          </cell>
          <cell r="ED108">
            <v>183.26039387308535</v>
          </cell>
          <cell r="EF108">
            <v>183.00653594771242</v>
          </cell>
          <cell r="EG108">
            <v>183.00986576095744</v>
          </cell>
          <cell r="EH108">
            <v>183.00986576095744</v>
          </cell>
          <cell r="EI108">
            <v>182.24400871459696</v>
          </cell>
          <cell r="EJ108">
            <v>182.24400871459696</v>
          </cell>
          <cell r="EL108">
            <v>181.4814814814815</v>
          </cell>
          <cell r="EM108">
            <v>181.48270259699231</v>
          </cell>
          <cell r="EN108">
            <v>181.86520324397534</v>
          </cell>
          <cell r="EO108">
            <v>182.31800046517455</v>
          </cell>
          <cell r="EP108">
            <v>182.21552373775432</v>
          </cell>
          <cell r="ER108">
            <v>182.60497936611299</v>
          </cell>
          <cell r="ES108">
            <v>182.60721999801788</v>
          </cell>
          <cell r="ET108">
            <v>182.60797385140646</v>
          </cell>
          <cell r="EU108">
            <v>182.44598938476494</v>
          </cell>
          <cell r="EV108">
            <v>182.44495944380068</v>
          </cell>
          <cell r="EX108">
            <v>182.13073794305637</v>
          </cell>
          <cell r="EY108">
            <v>181.88296639629201</v>
          </cell>
          <cell r="EZ108">
            <v>181.84152689415848</v>
          </cell>
          <cell r="FA108">
            <v>181.88707799767172</v>
          </cell>
          <cell r="FB108">
            <v>181.97603740502629</v>
          </cell>
          <cell r="FD108">
            <v>182.03699354081033</v>
          </cell>
          <cell r="FE108">
            <v>182.09495896834702</v>
          </cell>
          <cell r="FF108">
            <v>181.78024547048506</v>
          </cell>
          <cell r="FG108">
            <v>181.74456840869053</v>
          </cell>
          <cell r="FH108">
            <v>181.79529411764705</v>
          </cell>
          <cell r="FJ108">
            <v>182.02595870206488</v>
          </cell>
          <cell r="FK108">
            <v>182.12617924528303</v>
          </cell>
          <cell r="FL108">
            <v>182.01175088131609</v>
          </cell>
          <cell r="FM108">
            <v>181.77288732394365</v>
          </cell>
          <cell r="FN108">
            <v>179.88620283018867</v>
          </cell>
          <cell r="FP108">
            <v>181.69805768098885</v>
          </cell>
          <cell r="FQ108">
            <v>181.74911660777386</v>
          </cell>
          <cell r="FR108">
            <v>181.42748091603053</v>
          </cell>
          <cell r="FS108">
            <v>181.27171361502349</v>
          </cell>
          <cell r="FT108">
            <v>0</v>
          </cell>
          <cell r="FV108">
            <v>181.48529411764707</v>
          </cell>
          <cell r="FW108">
            <v>181.66333137139495</v>
          </cell>
          <cell r="FX108">
            <v>181.62566215420836</v>
          </cell>
          <cell r="FY108">
            <v>181.1950354609929</v>
          </cell>
          <cell r="FZ108">
            <v>181.13179669030734</v>
          </cell>
          <cell r="GB108">
            <v>180.60260972716489</v>
          </cell>
          <cell r="GC108">
            <v>180.22616933096509</v>
          </cell>
          <cell r="GD108">
            <v>179.96926713947994</v>
          </cell>
          <cell r="GE108">
            <v>180.13483146067418</v>
          </cell>
          <cell r="GF108">
            <v>180.6654804270463</v>
          </cell>
        </row>
        <row r="109">
          <cell r="A109" t="str">
            <v>% Change</v>
          </cell>
          <cell r="N109" t="str">
            <v>NA</v>
          </cell>
          <cell r="O109">
            <v>-1.5515266548488005E-2</v>
          </cell>
          <cell r="P109">
            <v>-3.5940197324335621E-4</v>
          </cell>
          <cell r="Q109">
            <v>8.1637368657849763E-3</v>
          </cell>
          <cell r="R109">
            <v>1.7460452352981992E-3</v>
          </cell>
          <cell r="S109">
            <v>-3.9985743715859723E-2</v>
          </cell>
          <cell r="T109">
            <v>-5.045904283301228E-2</v>
          </cell>
          <cell r="U109">
            <v>-1.5823810681578676E-2</v>
          </cell>
          <cell r="V109">
            <v>0</v>
          </cell>
          <cell r="W109">
            <v>-5.5461255812441212E-3</v>
          </cell>
          <cell r="X109">
            <v>-1.5630130748078841E-4</v>
          </cell>
          <cell r="Y109">
            <v>1.2591446729675049E-3</v>
          </cell>
          <cell r="Z109">
            <v>-2.570210984200072E-3</v>
          </cell>
          <cell r="AA109">
            <v>-9.9322575629534615E-4</v>
          </cell>
          <cell r="AB109">
            <v>-5.0611938067213202E-5</v>
          </cell>
          <cell r="AC109">
            <v>-1.4864214743989246E-3</v>
          </cell>
          <cell r="AD109">
            <v>-2.1159892878521713E-3</v>
          </cell>
          <cell r="AE109">
            <v>-2.5744583324501802E-3</v>
          </cell>
          <cell r="AF109">
            <v>-2.5647000543577159E-3</v>
          </cell>
          <cell r="AG109">
            <v>-1.7531692521558506E-3</v>
          </cell>
          <cell r="AH109">
            <v>0</v>
          </cell>
          <cell r="AI109">
            <v>0</v>
          </cell>
          <cell r="AJ109">
            <v>0</v>
          </cell>
          <cell r="AK109">
            <v>0</v>
          </cell>
          <cell r="AL109">
            <v>0</v>
          </cell>
          <cell r="AN109" t="str">
            <v>% Change</v>
          </cell>
          <cell r="DL109">
            <v>-3.9985743715859723E-2</v>
          </cell>
          <cell r="DN109" t="str">
            <v>NA</v>
          </cell>
          <cell r="DO109" t="str">
            <v>NA</v>
          </cell>
          <cell r="DP109" t="str">
            <v>NA</v>
          </cell>
          <cell r="DQ109" t="str">
            <v>NA</v>
          </cell>
          <cell r="DR109">
            <v>-5.045904283301228E-2</v>
          </cell>
          <cell r="DT109">
            <v>-3.4486219991611722E-2</v>
          </cell>
          <cell r="DU109" t="str">
            <v>NA</v>
          </cell>
          <cell r="DV109" t="str">
            <v>NA</v>
          </cell>
          <cell r="DW109">
            <v>1.4082630731337975E-3</v>
          </cell>
          <cell r="DX109">
            <v>-1.5823810681578676E-2</v>
          </cell>
          <cell r="DZ109">
            <v>2.7713180532900061E-3</v>
          </cell>
          <cell r="EA109">
            <v>2.7381378877309182E-3</v>
          </cell>
          <cell r="EB109">
            <v>2.681739780100223E-3</v>
          </cell>
          <cell r="EC109">
            <v>-3.6072508555085037E-5</v>
          </cell>
          <cell r="ED109">
            <v>0</v>
          </cell>
          <cell r="EF109">
            <v>-2.7757144532623013E-3</v>
          </cell>
          <cell r="EG109">
            <v>-2.7424601785970282E-3</v>
          </cell>
          <cell r="EH109">
            <v>-2.7156731808747336E-3</v>
          </cell>
          <cell r="EI109">
            <v>-5.5312168291035135E-3</v>
          </cell>
          <cell r="EJ109">
            <v>-5.5461255812441212E-3</v>
          </cell>
          <cell r="EL109">
            <v>-8.3333333333333037E-3</v>
          </cell>
          <cell r="EM109">
            <v>-8.3447040279230889E-3</v>
          </cell>
          <cell r="EN109">
            <v>-6.2546492355620709E-3</v>
          </cell>
          <cell r="EO109">
            <v>4.0600374793919869E-4</v>
          </cell>
          <cell r="EP109">
            <v>-1.5630130748078841E-4</v>
          </cell>
          <cell r="ER109">
            <v>6.1907026296021961E-3</v>
          </cell>
          <cell r="ES109">
            <v>6.1962786807441272E-3</v>
          </cell>
          <cell r="ET109">
            <v>4.0841820985109134E-3</v>
          </cell>
          <cell r="EU109">
            <v>7.0200923257068837E-4</v>
          </cell>
          <cell r="EV109">
            <v>1.2591446729675049E-3</v>
          </cell>
          <cell r="EX109">
            <v>-2.5970892179548732E-3</v>
          </cell>
          <cell r="EY109">
            <v>-3.9661827266946892E-3</v>
          </cell>
          <cell r="EZ109">
            <v>-4.1972261182398052E-3</v>
          </cell>
          <cell r="FA109">
            <v>-3.0634347676150586E-3</v>
          </cell>
          <cell r="FB109">
            <v>-2.570210984200072E-3</v>
          </cell>
          <cell r="FD109">
            <v>-5.147093966937355E-4</v>
          </cell>
          <cell r="FE109">
            <v>1.1655438453379574E-3</v>
          </cell>
          <cell r="FF109">
            <v>-3.3700455952001551E-4</v>
          </cell>
          <cell r="FG109">
            <v>-7.8350584631980968E-4</v>
          </cell>
          <cell r="FH109">
            <v>-9.9322575629534615E-4</v>
          </cell>
          <cell r="FJ109">
            <v>-6.061866069528854E-5</v>
          </cell>
          <cell r="FK109">
            <v>1.7145052841049946E-4</v>
          </cell>
          <cell r="FL109">
            <v>1.2735454847243588E-3</v>
          </cell>
          <cell r="FM109">
            <v>1.5581712015433347E-4</v>
          </cell>
          <cell r="FN109">
            <v>-1.0501324012396784E-2</v>
          </cell>
          <cell r="FP109">
            <v>-1.8013970282817482E-3</v>
          </cell>
          <cell r="FQ109">
            <v>-2.070337384069032E-3</v>
          </cell>
          <cell r="FR109">
            <v>-3.2100672756373294E-3</v>
          </cell>
          <cell r="FS109">
            <v>-2.7571422575634053E-3</v>
          </cell>
          <cell r="FT109">
            <v>-1</v>
          </cell>
          <cell r="FV109">
            <v>-1.1709732402056527E-3</v>
          </cell>
          <cell r="FW109">
            <v>-4.7199809264575343E-4</v>
          </cell>
          <cell r="FX109">
            <v>1.0923440990151523E-3</v>
          </cell>
          <cell r="FY109">
            <v>-4.2300120907690086E-4</v>
          </cell>
          <cell r="FZ109" t="str">
            <v>NA</v>
          </cell>
          <cell r="GB109">
            <v>-4.8636689533091415E-3</v>
          </cell>
          <cell r="GC109">
            <v>-7.9111289525550799E-3</v>
          </cell>
          <cell r="GD109">
            <v>-9.1198291864839076E-3</v>
          </cell>
          <cell r="GE109">
            <v>-5.8511757655024255E-3</v>
          </cell>
          <cell r="GF109">
            <v>-2.5744583324501802E-3</v>
          </cell>
        </row>
        <row r="110">
          <cell r="A110" t="str">
            <v>Productivity Factor</v>
          </cell>
          <cell r="N110" t="str">
            <v>NA</v>
          </cell>
          <cell r="O110">
            <v>0.99020658295615083</v>
          </cell>
          <cell r="P110">
            <v>1.0238160014396207</v>
          </cell>
          <cell r="Q110">
            <v>0.97215995399387289</v>
          </cell>
          <cell r="R110">
            <v>1.0032277258841547</v>
          </cell>
          <cell r="S110">
            <v>0.99950875467894218</v>
          </cell>
          <cell r="T110">
            <v>0.99467282247112343</v>
          </cell>
          <cell r="U110">
            <v>1.0230408956015324</v>
          </cell>
          <cell r="V110">
            <v>0.99283260375178717</v>
          </cell>
          <cell r="W110">
            <v>1.0060621750760674</v>
          </cell>
          <cell r="X110">
            <v>0.73631472463543401</v>
          </cell>
          <cell r="Y110">
            <v>1.1692809442164345</v>
          </cell>
          <cell r="Z110">
            <v>0.99766929211669775</v>
          </cell>
          <cell r="AA110">
            <v>0.99616480017746767</v>
          </cell>
          <cell r="AB110">
            <v>1.011642907621854</v>
          </cell>
          <cell r="AC110">
            <v>1.0017002547102301</v>
          </cell>
          <cell r="AD110">
            <v>1.0152922484576603</v>
          </cell>
          <cell r="AE110">
            <v>1.0083583012001358</v>
          </cell>
          <cell r="AF110">
            <v>1</v>
          </cell>
          <cell r="AG110">
            <v>1</v>
          </cell>
          <cell r="AH110">
            <v>1</v>
          </cell>
          <cell r="AI110">
            <v>1</v>
          </cell>
          <cell r="AJ110">
            <v>1</v>
          </cell>
          <cell r="AK110">
            <v>1</v>
          </cell>
          <cell r="AL110">
            <v>1</v>
          </cell>
        </row>
        <row r="111">
          <cell r="BS111" t="str">
            <v>Q1P</v>
          </cell>
          <cell r="BT111" t="str">
            <v>Q2P</v>
          </cell>
          <cell r="BU111" t="str">
            <v>Q3P</v>
          </cell>
          <cell r="BV111" t="str">
            <v>Q4P</v>
          </cell>
          <cell r="BW111" t="str">
            <v>Year P</v>
          </cell>
          <cell r="BY111" t="str">
            <v>Q1E</v>
          </cell>
          <cell r="BZ111" t="str">
            <v>Q2E</v>
          </cell>
          <cell r="CA111" t="str">
            <v>Q3E</v>
          </cell>
          <cell r="CB111" t="str">
            <v>Q4E</v>
          </cell>
          <cell r="CF111" t="str">
            <v>Year</v>
          </cell>
          <cell r="CJ111" t="str">
            <v>Q1A</v>
          </cell>
          <cell r="CK111" t="str">
            <v>Q2A</v>
          </cell>
          <cell r="CL111" t="str">
            <v>Q3A</v>
          </cell>
          <cell r="CM111" t="str">
            <v>Q4A</v>
          </cell>
          <cell r="CN111" t="str">
            <v>Year</v>
          </cell>
          <cell r="CP111" t="str">
            <v>Q1A</v>
          </cell>
          <cell r="CQ111" t="str">
            <v>Q2A</v>
          </cell>
          <cell r="CR111" t="str">
            <v>Q3A</v>
          </cell>
          <cell r="CS111" t="str">
            <v>Q4A</v>
          </cell>
          <cell r="CT111" t="str">
            <v>Year</v>
          </cell>
          <cell r="CV111" t="str">
            <v>Q1</v>
          </cell>
          <cell r="CW111" t="str">
            <v>Q2</v>
          </cell>
          <cell r="CX111" t="str">
            <v>Q3</v>
          </cell>
          <cell r="CY111" t="str">
            <v>Q4</v>
          </cell>
          <cell r="CZ111" t="str">
            <v>Year</v>
          </cell>
          <cell r="DB111" t="str">
            <v>Q1</v>
          </cell>
          <cell r="DC111" t="str">
            <v>Q2</v>
          </cell>
          <cell r="DD111" t="str">
            <v>Q3</v>
          </cell>
          <cell r="DE111" t="str">
            <v>Q4</v>
          </cell>
          <cell r="DF111" t="str">
            <v>Year</v>
          </cell>
          <cell r="DH111" t="str">
            <v>Q1</v>
          </cell>
          <cell r="DI111" t="str">
            <v>Q2</v>
          </cell>
          <cell r="DJ111" t="str">
            <v>Q3</v>
          </cell>
          <cell r="DK111" t="str">
            <v>Q4</v>
          </cell>
          <cell r="DL111">
            <v>2000</v>
          </cell>
          <cell r="DN111" t="str">
            <v>Q1A</v>
          </cell>
          <cell r="DO111" t="str">
            <v>Q2A</v>
          </cell>
          <cell r="DP111" t="str">
            <v>Q3A</v>
          </cell>
          <cell r="DQ111" t="str">
            <v>Q4A</v>
          </cell>
          <cell r="DR111">
            <v>2001</v>
          </cell>
          <cell r="DT111" t="str">
            <v>Q1A</v>
          </cell>
          <cell r="DU111" t="str">
            <v>Q2A</v>
          </cell>
          <cell r="DV111" t="str">
            <v>Q3A</v>
          </cell>
          <cell r="DW111" t="str">
            <v>Q4A</v>
          </cell>
          <cell r="DX111">
            <v>2002</v>
          </cell>
          <cell r="DZ111" t="str">
            <v>Q1A</v>
          </cell>
          <cell r="EA111" t="str">
            <v>Q2A</v>
          </cell>
          <cell r="EB111" t="str">
            <v>Q3A</v>
          </cell>
          <cell r="EC111" t="str">
            <v>Q4A</v>
          </cell>
          <cell r="ED111">
            <v>2003</v>
          </cell>
          <cell r="EF111" t="str">
            <v>Q1A</v>
          </cell>
          <cell r="EG111" t="str">
            <v>Q2A</v>
          </cell>
          <cell r="EH111" t="str">
            <v>Q3A</v>
          </cell>
          <cell r="EI111" t="str">
            <v>Q4A</v>
          </cell>
          <cell r="EJ111">
            <v>2004</v>
          </cell>
          <cell r="EL111" t="str">
            <v>Q1A</v>
          </cell>
          <cell r="EM111" t="str">
            <v>Q2A</v>
          </cell>
          <cell r="EN111" t="str">
            <v>Q3A</v>
          </cell>
          <cell r="EO111" t="str">
            <v>Q4A</v>
          </cell>
          <cell r="EP111">
            <v>2005</v>
          </cell>
          <cell r="ER111" t="str">
            <v>Q1A</v>
          </cell>
          <cell r="ES111" t="str">
            <v>Q2A</v>
          </cell>
          <cell r="ET111" t="str">
            <v>Q3A</v>
          </cell>
          <cell r="EU111" t="str">
            <v>Q4A</v>
          </cell>
          <cell r="EV111">
            <v>2006</v>
          </cell>
          <cell r="EX111">
            <v>1</v>
          </cell>
          <cell r="EY111">
            <v>2</v>
          </cell>
          <cell r="EZ111">
            <v>3</v>
          </cell>
          <cell r="FA111">
            <v>4</v>
          </cell>
          <cell r="FB111" t="str">
            <v>Year</v>
          </cell>
          <cell r="FD111">
            <v>1</v>
          </cell>
          <cell r="FE111">
            <v>2</v>
          </cell>
          <cell r="FF111">
            <v>3</v>
          </cell>
          <cell r="FG111">
            <v>4</v>
          </cell>
          <cell r="FH111" t="str">
            <v>Year</v>
          </cell>
          <cell r="FJ111">
            <v>1</v>
          </cell>
          <cell r="FK111">
            <v>2</v>
          </cell>
          <cell r="FL111">
            <v>3</v>
          </cell>
          <cell r="FM111">
            <v>4</v>
          </cell>
          <cell r="FN111" t="str">
            <v>Year</v>
          </cell>
          <cell r="FP111">
            <v>1</v>
          </cell>
          <cell r="FQ111">
            <v>2</v>
          </cell>
          <cell r="FR111">
            <v>3</v>
          </cell>
          <cell r="FS111">
            <v>4</v>
          </cell>
          <cell r="FT111" t="str">
            <v>Year</v>
          </cell>
          <cell r="FV111">
            <v>1</v>
          </cell>
          <cell r="FW111">
            <v>2</v>
          </cell>
          <cell r="FX111">
            <v>3</v>
          </cell>
          <cell r="FY111">
            <v>4</v>
          </cell>
          <cell r="FZ111" t="str">
            <v>Year</v>
          </cell>
          <cell r="GB111">
            <v>1</v>
          </cell>
          <cell r="GC111">
            <v>2</v>
          </cell>
          <cell r="GD111">
            <v>3</v>
          </cell>
          <cell r="GE111">
            <v>4</v>
          </cell>
          <cell r="GF111" t="str">
            <v>Year</v>
          </cell>
        </row>
        <row r="112">
          <cell r="A112" t="str">
            <v>Consolidated Stores Monthly Sales ($)</v>
          </cell>
          <cell r="AN112" t="str">
            <v>Consolidated Stores Monthly Sales ($)</v>
          </cell>
          <cell r="EU112">
            <v>356</v>
          </cell>
        </row>
        <row r="113">
          <cell r="A113" t="str">
            <v>Month 1</v>
          </cell>
          <cell r="AN113" t="str">
            <v>Month 1</v>
          </cell>
          <cell r="BS113">
            <v>876.8</v>
          </cell>
          <cell r="BT113">
            <v>954.9</v>
          </cell>
          <cell r="BU113">
            <v>1050.0999999999999</v>
          </cell>
          <cell r="BV113">
            <v>1322.7</v>
          </cell>
          <cell r="BY113">
            <v>912</v>
          </cell>
          <cell r="BZ113">
            <v>1021.7430000000001</v>
          </cell>
          <cell r="CA113">
            <v>1059.5508999999997</v>
          </cell>
          <cell r="CB113">
            <v>1354.4448</v>
          </cell>
          <cell r="CJ113">
            <v>1033.0999999999999</v>
          </cell>
          <cell r="CK113">
            <v>1111.8</v>
          </cell>
          <cell r="CL113">
            <v>1121.3</v>
          </cell>
          <cell r="CM113">
            <v>1550.7</v>
          </cell>
          <cell r="CP113">
            <v>1058.4000000000001</v>
          </cell>
          <cell r="CQ113">
            <v>1147</v>
          </cell>
          <cell r="CR113">
            <v>1168.5</v>
          </cell>
          <cell r="CS113">
            <v>1563.5</v>
          </cell>
          <cell r="CV113">
            <v>1058.4000000000001</v>
          </cell>
          <cell r="CW113">
            <v>1155.5</v>
          </cell>
          <cell r="CX113">
            <v>1127.6025</v>
          </cell>
          <cell r="CY113">
            <v>1539</v>
          </cell>
          <cell r="DB113">
            <v>1025</v>
          </cell>
          <cell r="DC113">
            <v>1147</v>
          </cell>
          <cell r="DD113">
            <v>1119</v>
          </cell>
          <cell r="DE113">
            <v>1499</v>
          </cell>
          <cell r="DN113">
            <v>1081</v>
          </cell>
          <cell r="DO113">
            <v>1161</v>
          </cell>
          <cell r="DP113">
            <v>1130</v>
          </cell>
          <cell r="DQ113">
            <v>1565</v>
          </cell>
          <cell r="DT113">
            <v>1048</v>
          </cell>
          <cell r="DU113">
            <v>1150</v>
          </cell>
          <cell r="DV113">
            <v>1086</v>
          </cell>
          <cell r="DW113">
            <v>1473</v>
          </cell>
          <cell r="DZ113">
            <v>985</v>
          </cell>
          <cell r="EA113">
            <v>1137</v>
          </cell>
          <cell r="EB113">
            <v>1078</v>
          </cell>
          <cell r="EC113">
            <v>1460</v>
          </cell>
          <cell r="EF113">
            <v>1080</v>
          </cell>
          <cell r="EG113">
            <v>1182</v>
          </cell>
          <cell r="EH113">
            <v>1056</v>
          </cell>
          <cell r="EI113">
            <v>1446</v>
          </cell>
          <cell r="EL113">
            <v>1097</v>
          </cell>
          <cell r="EM113">
            <v>1189</v>
          </cell>
          <cell r="EN113">
            <v>1068</v>
          </cell>
          <cell r="EO113">
            <v>2617</v>
          </cell>
          <cell r="ER113">
            <v>1800</v>
          </cell>
          <cell r="ES113">
            <v>2026</v>
          </cell>
          <cell r="ET113">
            <v>1727</v>
          </cell>
          <cell r="EU113">
            <v>2385</v>
          </cell>
          <cell r="EX113">
            <v>1802</v>
          </cell>
          <cell r="EY113">
            <v>1976</v>
          </cell>
          <cell r="EZ113">
            <v>1788</v>
          </cell>
          <cell r="FA113">
            <v>2707</v>
          </cell>
          <cell r="FD113">
            <v>1737</v>
          </cell>
          <cell r="FE113">
            <v>1926</v>
          </cell>
          <cell r="FF113">
            <v>1686</v>
          </cell>
          <cell r="FG113">
            <v>2324</v>
          </cell>
          <cell r="FJ113">
            <v>1602.5975291456411</v>
          </cell>
          <cell r="FK113">
            <v>1783.7565582371458</v>
          </cell>
          <cell r="FL113">
            <v>1576.1490988530857</v>
          </cell>
          <cell r="FM113">
            <v>2202.7766574237457</v>
          </cell>
          <cell r="FP113">
            <v>1667</v>
          </cell>
          <cell r="FQ113">
            <v>1789</v>
          </cell>
          <cell r="FR113">
            <v>1638</v>
          </cell>
          <cell r="FS113">
            <v>2341</v>
          </cell>
          <cell r="FV113">
            <v>1763</v>
          </cell>
          <cell r="FW113">
            <v>1937</v>
          </cell>
          <cell r="FX113">
            <v>1714</v>
          </cell>
          <cell r="FY113">
            <v>2465</v>
          </cell>
          <cell r="GB113">
            <v>1860</v>
          </cell>
          <cell r="GC113">
            <v>2015</v>
          </cell>
          <cell r="GD113">
            <v>1812</v>
          </cell>
          <cell r="GE113">
            <v>2539.5720461726355</v>
          </cell>
        </row>
        <row r="114">
          <cell r="A114" t="str">
            <v>Month 2</v>
          </cell>
          <cell r="AN114" t="str">
            <v>Month 2</v>
          </cell>
          <cell r="BS114">
            <v>1162.8</v>
          </cell>
          <cell r="BT114">
            <v>1162.4000000000001</v>
          </cell>
          <cell r="BU114">
            <v>1281.9000000000001</v>
          </cell>
          <cell r="BV114">
            <v>2551.6999999999998</v>
          </cell>
          <cell r="BY114">
            <v>1133.73</v>
          </cell>
          <cell r="BZ114">
            <v>1218.1952000000001</v>
          </cell>
          <cell r="CA114">
            <v>1344.7130999999999</v>
          </cell>
          <cell r="CB114">
            <v>2584.8720999999996</v>
          </cell>
          <cell r="CJ114">
            <v>1277.0999999999999</v>
          </cell>
          <cell r="CK114">
            <v>1278.2</v>
          </cell>
          <cell r="CL114">
            <v>1397.4</v>
          </cell>
          <cell r="CM114">
            <v>2742.6</v>
          </cell>
          <cell r="CP114">
            <v>1289.2</v>
          </cell>
          <cell r="CQ114">
            <v>1328</v>
          </cell>
          <cell r="CR114">
            <v>1446.2</v>
          </cell>
          <cell r="CS114">
            <v>2748.7</v>
          </cell>
          <cell r="CV114">
            <v>1288</v>
          </cell>
          <cell r="CW114">
            <v>1358.5</v>
          </cell>
          <cell r="CX114">
            <v>1417.2760000000001</v>
          </cell>
          <cell r="CY114">
            <v>2869.0930599999992</v>
          </cell>
          <cell r="DB114">
            <v>1343</v>
          </cell>
          <cell r="DC114">
            <v>1407</v>
          </cell>
          <cell r="DD114">
            <v>1423</v>
          </cell>
          <cell r="DE114">
            <v>2916</v>
          </cell>
          <cell r="DN114">
            <v>1317</v>
          </cell>
          <cell r="DO114">
            <v>1326</v>
          </cell>
          <cell r="DP114">
            <v>1289</v>
          </cell>
          <cell r="DQ114">
            <v>2795</v>
          </cell>
          <cell r="DT114">
            <v>1311</v>
          </cell>
          <cell r="DU114">
            <v>1367</v>
          </cell>
          <cell r="DV114">
            <v>1315</v>
          </cell>
          <cell r="DW114">
            <v>2772</v>
          </cell>
          <cell r="DZ114">
            <v>1233</v>
          </cell>
          <cell r="EA114">
            <v>1337</v>
          </cell>
          <cell r="EB114">
            <v>1352</v>
          </cell>
          <cell r="EC114">
            <v>2782</v>
          </cell>
          <cell r="EF114">
            <v>1326</v>
          </cell>
          <cell r="EG114">
            <v>1394</v>
          </cell>
          <cell r="EH114">
            <v>1361</v>
          </cell>
          <cell r="EI114">
            <v>2856</v>
          </cell>
          <cell r="EL114">
            <v>1371</v>
          </cell>
          <cell r="EM114">
            <v>1436</v>
          </cell>
          <cell r="EN114">
            <v>2464</v>
          </cell>
          <cell r="EO114">
            <v>5459</v>
          </cell>
          <cell r="ER114">
            <v>2255</v>
          </cell>
          <cell r="ES114">
            <v>2367</v>
          </cell>
          <cell r="ET114">
            <v>2303</v>
          </cell>
          <cell r="EU114">
            <v>4997</v>
          </cell>
          <cell r="EX114">
            <v>2288</v>
          </cell>
          <cell r="EY114">
            <v>2321</v>
          </cell>
          <cell r="EZ114">
            <v>2274</v>
          </cell>
          <cell r="FA114">
            <v>4624</v>
          </cell>
          <cell r="FD114">
            <v>2142</v>
          </cell>
          <cell r="FE114">
            <v>2249</v>
          </cell>
          <cell r="FF114">
            <v>2093</v>
          </cell>
          <cell r="FG114">
            <v>4397</v>
          </cell>
          <cell r="FJ114">
            <v>1963.7990255785628</v>
          </cell>
          <cell r="FK114">
            <v>2092.5916404337181</v>
          </cell>
          <cell r="FL114">
            <v>2084.1512834516657</v>
          </cell>
          <cell r="FM114">
            <v>4474.7693471136881</v>
          </cell>
          <cell r="FP114">
            <v>2172</v>
          </cell>
          <cell r="FQ114">
            <v>2229</v>
          </cell>
          <cell r="FR114">
            <v>2181</v>
          </cell>
          <cell r="FS114">
            <v>4619</v>
          </cell>
          <cell r="FV114">
            <v>2206</v>
          </cell>
          <cell r="FW114">
            <v>2392</v>
          </cell>
          <cell r="FX114">
            <v>2298</v>
          </cell>
          <cell r="FY114">
            <v>4925</v>
          </cell>
          <cell r="GB114">
            <v>2358</v>
          </cell>
          <cell r="GC114">
            <v>2412</v>
          </cell>
          <cell r="GD114">
            <v>2339.3160690399509</v>
          </cell>
          <cell r="GE114">
            <v>5073.9928305883286</v>
          </cell>
        </row>
        <row r="115">
          <cell r="A115" t="str">
            <v>Month 3</v>
          </cell>
          <cell r="AN115" t="str">
            <v>Month 3</v>
          </cell>
          <cell r="BS115">
            <v>898.4</v>
          </cell>
          <cell r="BT115">
            <v>813.5</v>
          </cell>
          <cell r="BU115">
            <v>1020.6</v>
          </cell>
          <cell r="BV115">
            <v>605.70000000000005</v>
          </cell>
          <cell r="CJ115">
            <v>990.5</v>
          </cell>
          <cell r="CK115">
            <v>894.2</v>
          </cell>
          <cell r="CL115">
            <v>1090.4000000000001</v>
          </cell>
          <cell r="CM115">
            <v>742.1</v>
          </cell>
          <cell r="CP115">
            <v>1061</v>
          </cell>
          <cell r="CQ115">
            <v>977.8</v>
          </cell>
          <cell r="CR115">
            <v>1131.4000000000001</v>
          </cell>
          <cell r="CS115">
            <v>749.2</v>
          </cell>
          <cell r="CV115">
            <v>1111</v>
          </cell>
          <cell r="CW115">
            <v>1010.5</v>
          </cell>
          <cell r="CX115">
            <v>1101.0784800000001</v>
          </cell>
          <cell r="CY115">
            <v>800</v>
          </cell>
          <cell r="DB115">
            <v>1077</v>
          </cell>
          <cell r="DC115">
            <v>1015</v>
          </cell>
          <cell r="DD115">
            <v>1105</v>
          </cell>
          <cell r="DE115">
            <v>783</v>
          </cell>
          <cell r="DN115">
            <v>1162</v>
          </cell>
          <cell r="DO115">
            <v>1005</v>
          </cell>
          <cell r="DP115">
            <v>1058</v>
          </cell>
          <cell r="DQ115">
            <v>774</v>
          </cell>
          <cell r="DT115">
            <v>1097</v>
          </cell>
          <cell r="DU115">
            <v>970</v>
          </cell>
          <cell r="DV115">
            <v>1083</v>
          </cell>
          <cell r="DW115">
            <v>775</v>
          </cell>
          <cell r="DZ115">
            <v>1076</v>
          </cell>
          <cell r="EA115">
            <v>963</v>
          </cell>
          <cell r="EB115">
            <v>1058</v>
          </cell>
          <cell r="EC115">
            <v>814</v>
          </cell>
          <cell r="EF115">
            <v>1144</v>
          </cell>
          <cell r="EG115">
            <v>1005</v>
          </cell>
          <cell r="EH115">
            <v>1108</v>
          </cell>
          <cell r="EI115">
            <v>818</v>
          </cell>
          <cell r="EL115">
            <v>1173</v>
          </cell>
          <cell r="EM115">
            <v>998</v>
          </cell>
          <cell r="EN115">
            <v>2023</v>
          </cell>
          <cell r="EO115">
            <v>1495</v>
          </cell>
          <cell r="ER115">
            <v>1878</v>
          </cell>
          <cell r="ES115">
            <v>1608</v>
          </cell>
          <cell r="ET115">
            <v>1863</v>
          </cell>
          <cell r="EU115">
            <v>1780</v>
          </cell>
          <cell r="EX115">
            <v>1837</v>
          </cell>
          <cell r="EY115">
            <v>1602</v>
          </cell>
          <cell r="EZ115">
            <v>1849</v>
          </cell>
          <cell r="FA115">
            <v>1273</v>
          </cell>
          <cell r="FD115">
            <v>1868</v>
          </cell>
          <cell r="FE115">
            <v>1543</v>
          </cell>
          <cell r="FF115">
            <v>1714</v>
          </cell>
          <cell r="FG115">
            <v>1213</v>
          </cell>
          <cell r="FJ115">
            <v>1720.603445275796</v>
          </cell>
          <cell r="FK115">
            <v>1409.6518013291361</v>
          </cell>
          <cell r="FL115">
            <v>1725.6996176952484</v>
          </cell>
          <cell r="FM115">
            <v>1268.4539954625661</v>
          </cell>
          <cell r="FP115">
            <v>1739</v>
          </cell>
          <cell r="FQ115">
            <v>1528</v>
          </cell>
          <cell r="FR115">
            <v>1806</v>
          </cell>
          <cell r="FS115">
            <v>1310</v>
          </cell>
          <cell r="FV115">
            <v>1920</v>
          </cell>
          <cell r="FW115">
            <v>1612</v>
          </cell>
          <cell r="FX115">
            <v>1842</v>
          </cell>
          <cell r="FY115">
            <v>1336</v>
          </cell>
          <cell r="GB115">
            <v>1928</v>
          </cell>
          <cell r="GC115">
            <v>1693</v>
          </cell>
          <cell r="GD115">
            <v>1918.3705778953104</v>
          </cell>
          <cell r="GE115">
            <v>1753.5690816688336</v>
          </cell>
        </row>
        <row r="116">
          <cell r="A116" t="str">
            <v>Total</v>
          </cell>
          <cell r="AN116" t="str">
            <v>Total</v>
          </cell>
          <cell r="BS116">
            <v>2938</v>
          </cell>
          <cell r="BT116">
            <v>2930.8</v>
          </cell>
          <cell r="BU116">
            <v>3352.6</v>
          </cell>
          <cell r="BV116">
            <v>4480.0999999999995</v>
          </cell>
          <cell r="BW116">
            <v>13701.5</v>
          </cell>
          <cell r="CJ116">
            <v>3300.7</v>
          </cell>
          <cell r="CK116">
            <v>3284.2</v>
          </cell>
          <cell r="CL116">
            <v>3609.1</v>
          </cell>
          <cell r="CM116">
            <v>5035.4000000000005</v>
          </cell>
          <cell r="CN116">
            <v>15229.400000000001</v>
          </cell>
          <cell r="CP116">
            <v>3408.6000000000004</v>
          </cell>
          <cell r="CQ116">
            <v>3452.8</v>
          </cell>
          <cell r="CR116">
            <v>3746.1</v>
          </cell>
          <cell r="CS116">
            <v>5061.3999999999996</v>
          </cell>
          <cell r="CT116">
            <v>15668.9</v>
          </cell>
          <cell r="CV116">
            <v>3357</v>
          </cell>
          <cell r="CW116">
            <v>3524.5</v>
          </cell>
          <cell r="CX116">
            <v>3645.9569799999999</v>
          </cell>
          <cell r="CY116">
            <v>5208.0930599999992</v>
          </cell>
          <cell r="CZ116">
            <v>15735.550039999998</v>
          </cell>
          <cell r="DB116">
            <v>3470</v>
          </cell>
          <cell r="DC116">
            <v>3609</v>
          </cell>
          <cell r="DD116">
            <v>3691</v>
          </cell>
          <cell r="DE116">
            <v>5259</v>
          </cell>
          <cell r="DF116">
            <v>16029</v>
          </cell>
          <cell r="DH116">
            <v>3573</v>
          </cell>
          <cell r="DI116">
            <v>3679</v>
          </cell>
          <cell r="DJ116">
            <v>3782</v>
          </cell>
          <cell r="DK116">
            <v>5604</v>
          </cell>
          <cell r="DL116">
            <v>16638</v>
          </cell>
          <cell r="DN116">
            <v>3556</v>
          </cell>
          <cell r="DO116">
            <v>3488</v>
          </cell>
          <cell r="DP116">
            <v>3475</v>
          </cell>
          <cell r="DQ116">
            <v>5132</v>
          </cell>
          <cell r="DR116">
            <v>15785</v>
          </cell>
          <cell r="DT116">
            <v>3453</v>
          </cell>
          <cell r="DU116">
            <v>3486</v>
          </cell>
          <cell r="DV116">
            <v>3479</v>
          </cell>
          <cell r="DW116">
            <v>5017</v>
          </cell>
          <cell r="DX116">
            <v>15571</v>
          </cell>
          <cell r="DZ116">
            <v>3291</v>
          </cell>
          <cell r="EA116">
            <v>3434</v>
          </cell>
          <cell r="EB116">
            <v>3486</v>
          </cell>
          <cell r="EC116">
            <v>5053</v>
          </cell>
          <cell r="ED116">
            <v>15412</v>
          </cell>
          <cell r="EF116">
            <v>3550</v>
          </cell>
          <cell r="EG116">
            <v>3581</v>
          </cell>
          <cell r="EH116">
            <v>3525</v>
          </cell>
          <cell r="EI116">
            <v>5120</v>
          </cell>
          <cell r="EJ116">
            <v>15776</v>
          </cell>
          <cell r="EL116">
            <v>3641</v>
          </cell>
          <cell r="EM116">
            <v>3623</v>
          </cell>
          <cell r="EN116">
            <v>5555</v>
          </cell>
          <cell r="EO116">
            <v>9571</v>
          </cell>
          <cell r="EP116">
            <v>22390</v>
          </cell>
          <cell r="ER116">
            <v>5930</v>
          </cell>
          <cell r="ES116">
            <v>5995</v>
          </cell>
          <cell r="ET116">
            <v>5886</v>
          </cell>
          <cell r="EU116">
            <v>9159</v>
          </cell>
          <cell r="EV116">
            <v>26970</v>
          </cell>
          <cell r="EX116">
            <v>5921</v>
          </cell>
          <cell r="EY116">
            <v>5892</v>
          </cell>
          <cell r="EZ116">
            <v>5906</v>
          </cell>
          <cell r="FA116">
            <v>8594</v>
          </cell>
          <cell r="FB116">
            <v>26313</v>
          </cell>
          <cell r="FD116">
            <v>5747</v>
          </cell>
          <cell r="FE116">
            <v>5718</v>
          </cell>
          <cell r="FF116">
            <v>5493</v>
          </cell>
          <cell r="FG116">
            <v>7934</v>
          </cell>
          <cell r="FH116">
            <v>24892</v>
          </cell>
          <cell r="FJ116">
            <v>5288</v>
          </cell>
          <cell r="FK116">
            <v>5285</v>
          </cell>
          <cell r="FL116">
            <v>5385</v>
          </cell>
          <cell r="FM116">
            <v>7937</v>
          </cell>
          <cell r="FN116">
            <v>23895</v>
          </cell>
          <cell r="FP116">
            <v>5574</v>
          </cell>
          <cell r="FQ116">
            <v>5537</v>
          </cell>
          <cell r="FR116">
            <v>5623</v>
          </cell>
          <cell r="FS116">
            <v>8269</v>
          </cell>
          <cell r="FT116">
            <v>25003</v>
          </cell>
          <cell r="FV116">
            <v>5889</v>
          </cell>
          <cell r="FW116">
            <v>5939</v>
          </cell>
          <cell r="FX116">
            <v>5853</v>
          </cell>
          <cell r="FY116">
            <v>8724</v>
          </cell>
          <cell r="FZ116">
            <v>26405</v>
          </cell>
          <cell r="GB116">
            <v>6143</v>
          </cell>
          <cell r="GC116">
            <v>6118</v>
          </cell>
          <cell r="GD116">
            <v>6069.6866469352608</v>
          </cell>
          <cell r="GE116">
            <v>9367.1339584297966</v>
          </cell>
          <cell r="GF116">
            <v>27697.820605365057</v>
          </cell>
        </row>
        <row r="117">
          <cell r="FJ117">
            <v>1255</v>
          </cell>
          <cell r="FK117">
            <v>4426</v>
          </cell>
          <cell r="FL117">
            <v>2177</v>
          </cell>
          <cell r="FM117">
            <v>7849</v>
          </cell>
        </row>
        <row r="118">
          <cell r="A118" t="str">
            <v>Consolidated Monthly Comps</v>
          </cell>
          <cell r="AN118" t="str">
            <v>Consolidated Monthly Comps</v>
          </cell>
        </row>
        <row r="119">
          <cell r="A119" t="str">
            <v>Month 1</v>
          </cell>
          <cell r="AN119" t="str">
            <v>Month 1</v>
          </cell>
          <cell r="BS119">
            <v>3.9E-2</v>
          </cell>
          <cell r="BT119">
            <v>8.9999999999999993E-3</v>
          </cell>
          <cell r="BU119">
            <v>4.7E-2</v>
          </cell>
          <cell r="BV119">
            <v>4.2999999999999997E-2</v>
          </cell>
          <cell r="BY119">
            <v>3.1E-2</v>
          </cell>
          <cell r="BZ119">
            <v>7.0000000000000007E-2</v>
          </cell>
          <cell r="CA119">
            <v>8.9999999999999993E-3</v>
          </cell>
          <cell r="CB119">
            <v>2.4E-2</v>
          </cell>
          <cell r="CJ119">
            <v>0.09</v>
          </cell>
          <cell r="CK119">
            <v>2.1000000000000001E-2</v>
          </cell>
          <cell r="CL119">
            <v>2.5000000000000001E-2</v>
          </cell>
          <cell r="CM119">
            <v>9.6000000000000002E-2</v>
          </cell>
          <cell r="CP119">
            <v>2.1999999999999999E-2</v>
          </cell>
          <cell r="CQ119">
            <v>2.5000000000000001E-2</v>
          </cell>
          <cell r="CR119">
            <v>3.5000000000000003E-2</v>
          </cell>
          <cell r="CS119">
            <v>0.02</v>
          </cell>
          <cell r="CV119">
            <v>1.4999999999999999E-2</v>
          </cell>
          <cell r="CW119">
            <v>1.7999999999999999E-2</v>
          </cell>
          <cell r="CX119">
            <v>-1.2999999999999999E-2</v>
          </cell>
          <cell r="CY119">
            <v>-2E-3</v>
          </cell>
          <cell r="DB119">
            <v>0.01</v>
          </cell>
          <cell r="DC119">
            <v>4.1000000000000002E-2</v>
          </cell>
          <cell r="DD119">
            <v>2.9000000000000001E-2</v>
          </cell>
          <cell r="DE119">
            <v>1.0999999999999999E-2</v>
          </cell>
          <cell r="DH119">
            <v>5.2999999999999999E-2</v>
          </cell>
          <cell r="DI119">
            <v>4.2000000000000003E-2</v>
          </cell>
          <cell r="DJ119">
            <v>1.0999999999999999E-2</v>
          </cell>
          <cell r="DK119">
            <v>1.4E-2</v>
          </cell>
          <cell r="DN119">
            <v>-1.6E-2</v>
          </cell>
          <cell r="DO119">
            <v>-3.3000000000000002E-2</v>
          </cell>
          <cell r="DP119">
            <v>-2.5999999999999999E-2</v>
          </cell>
          <cell r="DQ119">
            <v>8.9999999999999993E-3</v>
          </cell>
          <cell r="DT119">
            <v>-2.8000000000000001E-2</v>
          </cell>
          <cell r="DU119">
            <v>-3.4000000000000002E-2</v>
          </cell>
          <cell r="DV119">
            <v>-5.8000000000000003E-2</v>
          </cell>
          <cell r="DW119">
            <v>-7.3999999999999996E-2</v>
          </cell>
          <cell r="DZ119">
            <v>-6.8000000000000005E-2</v>
          </cell>
          <cell r="EA119">
            <v>-8.0000000000000002E-3</v>
          </cell>
          <cell r="EB119">
            <v>-8.0000000000000002E-3</v>
          </cell>
          <cell r="EC119">
            <v>-1E-3</v>
          </cell>
          <cell r="EF119">
            <v>0.09</v>
          </cell>
          <cell r="EG119">
            <v>2.9000000000000001E-2</v>
          </cell>
          <cell r="EH119">
            <v>-2.4E-2</v>
          </cell>
          <cell r="EI119">
            <v>-1.4E-2</v>
          </cell>
          <cell r="EL119">
            <v>1.7999999999999999E-2</v>
          </cell>
          <cell r="EM119">
            <v>8.0000000000000002E-3</v>
          </cell>
          <cell r="EN119">
            <v>1.0999999999999999E-2</v>
          </cell>
          <cell r="EO119">
            <v>-3.4000000000000002E-2</v>
          </cell>
          <cell r="ER119">
            <v>0.01</v>
          </cell>
          <cell r="ES119">
            <v>9.1999999999999998E-2</v>
          </cell>
          <cell r="ET119">
            <v>3.7999999999999999E-2</v>
          </cell>
          <cell r="EU119">
            <v>8.5000000000000006E-2</v>
          </cell>
          <cell r="EX119">
            <v>1.2E-2</v>
          </cell>
          <cell r="EY119">
            <v>-3.3000000000000002E-2</v>
          </cell>
          <cell r="EZ119">
            <v>2.4E-2</v>
          </cell>
          <cell r="FA119">
            <v>0.13400000000000001</v>
          </cell>
          <cell r="FD119">
            <v>-3.5000000000000003E-2</v>
          </cell>
          <cell r="FE119">
            <v>-1.4999999999999999E-2</v>
          </cell>
          <cell r="FF119">
            <v>-4.8000000000000001E-2</v>
          </cell>
          <cell r="FG119">
            <v>-0.13300000000000001</v>
          </cell>
          <cell r="FJ119">
            <v>-8.5000000000000006E-2</v>
          </cell>
          <cell r="FK119">
            <v>-9.0999999999999998E-2</v>
          </cell>
          <cell r="FL119">
            <v>-8.1000000000000003E-2</v>
          </cell>
          <cell r="FM119">
            <v>-6.0999999999999999E-2</v>
          </cell>
          <cell r="FP119">
            <v>3.6999999999999998E-2</v>
          </cell>
          <cell r="FQ119">
            <v>1.4E-2</v>
          </cell>
          <cell r="FR119">
            <v>4.2999999999999997E-2</v>
          </cell>
          <cell r="FS119">
            <v>6.0999999999999999E-2</v>
          </cell>
          <cell r="FV119">
            <v>5.8000000000000003E-2</v>
          </cell>
          <cell r="FW119">
            <v>7.3999999999999996E-2</v>
          </cell>
          <cell r="FX119">
            <v>0.05</v>
          </cell>
          <cell r="FY119">
            <v>4.8000000000000001E-2</v>
          </cell>
          <cell r="GB119">
            <v>4.5999999999999999E-2</v>
          </cell>
          <cell r="GC119">
            <v>4.2000000000000003E-2</v>
          </cell>
          <cell r="GD119">
            <v>5.0999999999999997E-2</v>
          </cell>
          <cell r="GE119">
            <v>0.04</v>
          </cell>
        </row>
        <row r="120">
          <cell r="A120" t="str">
            <v>Month 2</v>
          </cell>
          <cell r="AN120" t="str">
            <v>Month 2</v>
          </cell>
          <cell r="BS120">
            <v>0.08</v>
          </cell>
          <cell r="BT120">
            <v>1.9E-2</v>
          </cell>
          <cell r="BU120">
            <v>3.7999999999999999E-2</v>
          </cell>
          <cell r="BV120">
            <v>2.1000000000000001E-2</v>
          </cell>
          <cell r="BY120">
            <v>-2.5000000000000001E-2</v>
          </cell>
          <cell r="BZ120">
            <v>4.8000000000000001E-2</v>
          </cell>
          <cell r="CA120">
            <v>4.9000000000000002E-2</v>
          </cell>
          <cell r="CB120">
            <v>1.2999999999999999E-2</v>
          </cell>
          <cell r="CJ120">
            <v>6.0999999999999999E-2</v>
          </cell>
          <cell r="CK120">
            <v>1.4999999999999999E-2</v>
          </cell>
          <cell r="CL120">
            <v>8.0000000000000002E-3</v>
          </cell>
          <cell r="CM120">
            <v>0</v>
          </cell>
          <cell r="CP120">
            <v>-2E-3</v>
          </cell>
          <cell r="CQ120">
            <v>3.2000000000000001E-2</v>
          </cell>
          <cell r="CR120">
            <v>2.7E-2</v>
          </cell>
          <cell r="CS120">
            <v>0.01</v>
          </cell>
          <cell r="CV120">
            <v>8.9999999999999993E-3</v>
          </cell>
          <cell r="CW120">
            <v>3.4000000000000002E-2</v>
          </cell>
          <cell r="CX120">
            <v>-7.0000000000000001E-3</v>
          </cell>
          <cell r="CY120">
            <v>5.7000000000000002E-2</v>
          </cell>
          <cell r="DB120">
            <v>0.09</v>
          </cell>
          <cell r="DC120">
            <v>8.4000000000000005E-2</v>
          </cell>
          <cell r="DD120">
            <v>3.6999999999999998E-2</v>
          </cell>
          <cell r="DE120">
            <v>6.4000000000000001E-2</v>
          </cell>
          <cell r="DH120">
            <v>-6.0000000000000001E-3</v>
          </cell>
          <cell r="DI120">
            <v>5.0000000000000001E-3</v>
          </cell>
          <cell r="DJ120">
            <v>2.9000000000000001E-2</v>
          </cell>
          <cell r="DK120">
            <v>1.2E-2</v>
          </cell>
          <cell r="DN120">
            <v>-3.2000000000000001E-2</v>
          </cell>
          <cell r="DO120">
            <v>-6.4000000000000001E-2</v>
          </cell>
          <cell r="DP120">
            <v>-0.129</v>
          </cell>
          <cell r="DQ120">
            <v>-8.6999999999999994E-2</v>
          </cell>
          <cell r="DT120">
            <v>-2E-3</v>
          </cell>
          <cell r="DU120">
            <v>-4.0000000000000001E-3</v>
          </cell>
          <cell r="DV120">
            <v>0</v>
          </cell>
          <cell r="DW120">
            <v>-2.5999999999999999E-2</v>
          </cell>
          <cell r="DZ120">
            <v>-6.5000000000000002E-2</v>
          </cell>
          <cell r="EA120">
            <v>-0.02</v>
          </cell>
          <cell r="EB120">
            <v>3.2000000000000001E-2</v>
          </cell>
          <cell r="EC120">
            <v>1.2E-2</v>
          </cell>
          <cell r="EF120">
            <v>6.8000000000000005E-2</v>
          </cell>
          <cell r="EG120">
            <v>3.4000000000000002E-2</v>
          </cell>
          <cell r="EH120">
            <v>1E-3</v>
          </cell>
          <cell r="EI120">
            <v>2.3E-2</v>
          </cell>
          <cell r="EL120">
            <v>3.4000000000000002E-2</v>
          </cell>
          <cell r="EM120">
            <v>2.9000000000000001E-2</v>
          </cell>
          <cell r="EN120">
            <v>1.2999999999999999E-2</v>
          </cell>
          <cell r="EO120">
            <v>3.4000000000000002E-2</v>
          </cell>
          <cell r="ER120">
            <v>0</v>
          </cell>
          <cell r="ES120">
            <v>1.7000000000000001E-2</v>
          </cell>
          <cell r="ET120">
            <v>6.5000000000000002E-2</v>
          </cell>
          <cell r="EU120">
            <v>4.3999999999999997E-2</v>
          </cell>
          <cell r="EX120">
            <v>2.3E-2</v>
          </cell>
          <cell r="EY120">
            <v>-2.7E-2</v>
          </cell>
          <cell r="EZ120">
            <v>-2.7E-2</v>
          </cell>
          <cell r="FA120">
            <v>-7.9000000000000001E-2</v>
          </cell>
          <cell r="FD120">
            <v>-6.2E-2</v>
          </cell>
          <cell r="FE120">
            <v>-2.1000000000000001E-2</v>
          </cell>
          <cell r="FF120">
            <v>-6.6000000000000003E-2</v>
          </cell>
          <cell r="FG120">
            <v>-0.04</v>
          </cell>
          <cell r="FJ120">
            <v>-9.1999999999999998E-2</v>
          </cell>
          <cell r="FK120">
            <v>-8.8999999999999996E-2</v>
          </cell>
          <cell r="FL120">
            <v>-2.3E-2</v>
          </cell>
          <cell r="FM120">
            <v>0.01</v>
          </cell>
          <cell r="FP120">
            <v>0.10800000000000001</v>
          </cell>
          <cell r="FQ120">
            <v>6.5000000000000002E-2</v>
          </cell>
          <cell r="FR120">
            <v>4.8000000000000001E-2</v>
          </cell>
          <cell r="FS120">
            <v>3.9E-2</v>
          </cell>
          <cell r="FV120">
            <v>8.9999999999999993E-3</v>
          </cell>
          <cell r="FW120">
            <v>6.7000000000000004E-2</v>
          </cell>
          <cell r="FX120">
            <v>4.9000000000000002E-2</v>
          </cell>
          <cell r="FY120">
            <v>6.2E-2</v>
          </cell>
          <cell r="GB120">
            <v>7.2999999999999995E-2</v>
          </cell>
          <cell r="GC120">
            <v>1.2E-2</v>
          </cell>
          <cell r="GD120">
            <v>0.03</v>
          </cell>
          <cell r="GE120">
            <v>0.04</v>
          </cell>
        </row>
        <row r="121">
          <cell r="A121" t="str">
            <v>Month 3</v>
          </cell>
          <cell r="AN121" t="str">
            <v>Month 3</v>
          </cell>
          <cell r="BS121">
            <v>-8.9999999999999993E-3</v>
          </cell>
          <cell r="BT121">
            <v>-8.0000000000000002E-3</v>
          </cell>
          <cell r="BU121">
            <v>2.5000000000000001E-2</v>
          </cell>
          <cell r="BV121">
            <v>8.8999999999999996E-2</v>
          </cell>
          <cell r="BY121">
            <v>4.1000000000000002E-2</v>
          </cell>
          <cell r="BZ121">
            <v>7.0999999999999994E-2</v>
          </cell>
          <cell r="CA121">
            <v>-1.7999999999999999E-2</v>
          </cell>
          <cell r="CB121">
            <v>5.0999999999999997E-2</v>
          </cell>
          <cell r="CJ121">
            <v>-1.0999999999999999E-2</v>
          </cell>
          <cell r="CK121">
            <v>-1.7000000000000001E-2</v>
          </cell>
          <cell r="CL121">
            <v>4.9000000000000002E-2</v>
          </cell>
          <cell r="CM121">
            <v>9.4E-2</v>
          </cell>
          <cell r="CP121">
            <v>6.2E-2</v>
          </cell>
          <cell r="CQ121">
            <v>8.5999999999999993E-2</v>
          </cell>
          <cell r="CR121">
            <v>0.03</v>
          </cell>
          <cell r="CS121">
            <v>1.4999999999999999E-2</v>
          </cell>
          <cell r="CV121">
            <v>0.05</v>
          </cell>
          <cell r="CW121">
            <v>3.9E-2</v>
          </cell>
          <cell r="CX121">
            <v>-1.9E-2</v>
          </cell>
          <cell r="CY121">
            <v>7.2999999999999995E-2</v>
          </cell>
          <cell r="DB121">
            <v>1.4999999999999999E-2</v>
          </cell>
          <cell r="DC121">
            <v>4.7E-2</v>
          </cell>
          <cell r="DD121">
            <v>4.4999999999999998E-2</v>
          </cell>
          <cell r="DE121">
            <v>4.2000000000000003E-2</v>
          </cell>
          <cell r="DH121">
            <v>5.1999999999999998E-2</v>
          </cell>
          <cell r="DI121">
            <v>1.6E-2</v>
          </cell>
          <cell r="DJ121">
            <v>1.6E-2</v>
          </cell>
          <cell r="DK121">
            <v>3.6999999999999998E-2</v>
          </cell>
          <cell r="DN121">
            <v>8.0000000000000002E-3</v>
          </cell>
          <cell r="DO121">
            <v>-4.2000000000000003E-2</v>
          </cell>
          <cell r="DP121">
            <v>-8.6999999999999994E-2</v>
          </cell>
          <cell r="DQ121">
            <v>-8.7999999999999995E-2</v>
          </cell>
          <cell r="DT121">
            <v>-5.8999999999999997E-2</v>
          </cell>
          <cell r="DU121">
            <v>-5.1999999999999998E-2</v>
          </cell>
          <cell r="DV121">
            <v>3.0000000000000001E-3</v>
          </cell>
          <cell r="DW121">
            <v>-1.2E-2</v>
          </cell>
          <cell r="DZ121">
            <v>-1.3999999999999999E-2</v>
          </cell>
          <cell r="EA121">
            <v>-4.0000000000000001E-3</v>
          </cell>
          <cell r="EB121">
            <v>-0.02</v>
          </cell>
          <cell r="EC121">
            <v>5.5E-2</v>
          </cell>
          <cell r="EF121">
            <v>5.3999999999999999E-2</v>
          </cell>
          <cell r="EG121">
            <v>3.6999999999999998E-2</v>
          </cell>
          <cell r="EH121">
            <v>0.04</v>
          </cell>
          <cell r="EI121">
            <v>-4.0000000000000001E-3</v>
          </cell>
          <cell r="EL121">
            <v>2.8000000000000001E-2</v>
          </cell>
          <cell r="EM121">
            <v>-8.9999999999999993E-3</v>
          </cell>
          <cell r="EN121">
            <v>-7.0000000000000001E-3</v>
          </cell>
          <cell r="EO121">
            <v>0.01</v>
          </cell>
          <cell r="ER121">
            <v>-8.0000000000000002E-3</v>
          </cell>
          <cell r="ES121">
            <v>3.3000000000000002E-2</v>
          </cell>
          <cell r="ET121">
            <v>7.6999999999999999E-2</v>
          </cell>
          <cell r="EU121">
            <v>8.5999999999999993E-2</v>
          </cell>
          <cell r="EX121">
            <v>-2.1999999999999999E-2</v>
          </cell>
          <cell r="EY121">
            <v>-1.4E-2</v>
          </cell>
          <cell r="EZ121">
            <v>-1.4999999999999999E-2</v>
          </cell>
          <cell r="FA121">
            <v>-7.0999999999999994E-2</v>
          </cell>
          <cell r="FD121">
            <v>0.03</v>
          </cell>
          <cell r="FE121">
            <v>-2.9000000000000001E-2</v>
          </cell>
          <cell r="FF121">
            <v>-6.3E-2</v>
          </cell>
          <cell r="FG121">
            <v>-4.4999999999999998E-2</v>
          </cell>
          <cell r="FJ121">
            <v>-9.0999999999999998E-2</v>
          </cell>
          <cell r="FK121">
            <v>-0.107</v>
          </cell>
          <cell r="FL121">
            <v>-8.0000000000000002E-3</v>
          </cell>
          <cell r="FM121">
            <v>3.4000000000000002E-2</v>
          </cell>
          <cell r="FP121">
            <v>1.0999999999999999E-2</v>
          </cell>
          <cell r="FQ121">
            <v>7.2999999999999995E-2</v>
          </cell>
          <cell r="FR121">
            <v>2.5000000000000001E-2</v>
          </cell>
          <cell r="FS121">
            <v>2.5999999999999999E-2</v>
          </cell>
          <cell r="FV121">
            <v>0.108</v>
          </cell>
          <cell r="FW121">
            <v>0.05</v>
          </cell>
          <cell r="FX121">
            <v>2.1999999999999999E-2</v>
          </cell>
          <cell r="FY121">
            <v>2.4E-2</v>
          </cell>
          <cell r="GB121">
            <v>1.2E-2</v>
          </cell>
          <cell r="GC121">
            <v>4.1000000000000002E-2</v>
          </cell>
          <cell r="GD121">
            <v>5.5E-2</v>
          </cell>
          <cell r="GE121">
            <v>0.05</v>
          </cell>
        </row>
        <row r="122">
          <cell r="A122" t="str">
            <v>Total</v>
          </cell>
          <cell r="AN122" t="str">
            <v>Total</v>
          </cell>
          <cell r="BS122">
            <v>3.9E-2</v>
          </cell>
          <cell r="BT122">
            <v>8.0000000000000002E-3</v>
          </cell>
          <cell r="BU122">
            <v>3.6999999999999998E-2</v>
          </cell>
          <cell r="BV122">
            <v>3.5999999999999997E-2</v>
          </cell>
          <cell r="BW122">
            <v>3.0898675327518881E-2</v>
          </cell>
          <cell r="CJ122">
            <v>4.8470506256248672E-2</v>
          </cell>
          <cell r="CK122">
            <v>8.3184337129285652E-3</v>
          </cell>
          <cell r="CL122">
            <v>8.9999999999999993E-3</v>
          </cell>
          <cell r="CM122">
            <v>4.3417523930571543E-2</v>
          </cell>
          <cell r="CN122">
            <v>3.0844572544785176E-2</v>
          </cell>
          <cell r="CP122">
            <v>2.5000000000000001E-2</v>
          </cell>
          <cell r="CQ122">
            <v>4.3999999999999997E-2</v>
          </cell>
          <cell r="CR122">
            <v>3.1E-2</v>
          </cell>
          <cell r="CS122">
            <v>1.4E-2</v>
          </cell>
          <cell r="CT122">
            <v>2.7069152758765591E-2</v>
          </cell>
          <cell r="CU122">
            <v>0</v>
          </cell>
          <cell r="CV122">
            <v>2.4E-2</v>
          </cell>
          <cell r="CW122">
            <v>3.0187969924812031E-2</v>
          </cell>
          <cell r="CX122">
            <v>-1.2479646871752174E-2</v>
          </cell>
          <cell r="CY122">
            <v>4.1000000000000002E-2</v>
          </cell>
          <cell r="CZ122">
            <v>4.4999999999999998E-2</v>
          </cell>
          <cell r="DB122">
            <v>0.04</v>
          </cell>
          <cell r="DC122">
            <v>5.8999999999999997E-2</v>
          </cell>
          <cell r="DD122">
            <v>3.9E-2</v>
          </cell>
          <cell r="DE122">
            <v>4.3999999999999997E-2</v>
          </cell>
          <cell r="DF122">
            <v>4.4999999999999998E-2</v>
          </cell>
          <cell r="DH122">
            <v>2.9000000000000001E-2</v>
          </cell>
          <cell r="DI122">
            <v>1.9E-2</v>
          </cell>
          <cell r="DJ122">
            <v>1.9E-2</v>
          </cell>
          <cell r="DK122">
            <v>1.6E-2</v>
          </cell>
          <cell r="DL122">
            <v>0.02</v>
          </cell>
          <cell r="DN122">
            <v>-1.4999999999999999E-2</v>
          </cell>
          <cell r="DO122">
            <v>-4.8000000000000001E-2</v>
          </cell>
          <cell r="DP122">
            <v>-8.5999999999999993E-2</v>
          </cell>
          <cell r="DQ122">
            <v>-0.06</v>
          </cell>
          <cell r="DR122">
            <v>-5.2999999999999999E-2</v>
          </cell>
          <cell r="DT122">
            <v>-2.9000000000000001E-2</v>
          </cell>
          <cell r="DU122">
            <v>-2.8000000000000001E-2</v>
          </cell>
          <cell r="DV122">
            <v>-0.02</v>
          </cell>
          <cell r="DW122">
            <v>-3.9E-2</v>
          </cell>
          <cell r="DX122">
            <v>-0.03</v>
          </cell>
          <cell r="DZ122">
            <v>-0.05</v>
          </cell>
          <cell r="EA122">
            <v>-1.2E-2</v>
          </cell>
          <cell r="EB122">
            <v>2E-3</v>
          </cell>
          <cell r="EC122">
            <v>1.3999999999999999E-2</v>
          </cell>
          <cell r="ED122">
            <v>-9.0000000000000011E-3</v>
          </cell>
          <cell r="EF122">
            <v>6.9000000000000006E-2</v>
          </cell>
          <cell r="EG122">
            <v>3.3000000000000002E-2</v>
          </cell>
          <cell r="EH122">
            <v>4.0000000000000001E-3</v>
          </cell>
          <cell r="EI122">
            <v>8.0000000000000002E-3</v>
          </cell>
          <cell r="EJ122">
            <v>2.5999999999999999E-2</v>
          </cell>
          <cell r="EL122">
            <v>2.5999999999999999E-2</v>
          </cell>
          <cell r="EM122">
            <v>1.0999999999999999E-2</v>
          </cell>
          <cell r="EN122">
            <v>6.0000000000000001E-3</v>
          </cell>
          <cell r="EO122">
            <v>1.0999999999999999E-2</v>
          </cell>
          <cell r="EP122">
            <v>1.2999999999999999E-2</v>
          </cell>
          <cell r="ER122">
            <v>0</v>
          </cell>
          <cell r="ES122">
            <v>4.5999999999999999E-2</v>
          </cell>
          <cell r="ET122">
            <v>5.8999999999999997E-2</v>
          </cell>
          <cell r="EU122">
            <v>6.0999999999999999E-2</v>
          </cell>
          <cell r="EV122">
            <v>4.3999999999999997E-2</v>
          </cell>
          <cell r="EX122">
            <v>6.0000000000000001E-3</v>
          </cell>
          <cell r="EY122">
            <v>-2.5999999999999999E-2</v>
          </cell>
          <cell r="EZ122">
            <v>-8.0000000000000002E-3</v>
          </cell>
          <cell r="FA122">
            <v>-0.02</v>
          </cell>
          <cell r="FB122">
            <v>-1.2999999999999999E-2</v>
          </cell>
          <cell r="FD122">
            <v>-2.5999999999999999E-2</v>
          </cell>
          <cell r="FE122">
            <v>-2.1000000000000001E-2</v>
          </cell>
          <cell r="FF122">
            <v>-0.06</v>
          </cell>
          <cell r="FG122">
            <v>-7.0000000000000007E-2</v>
          </cell>
          <cell r="FH122">
            <v>-4.4999999999999998E-2</v>
          </cell>
          <cell r="FJ122">
            <v>-0.09</v>
          </cell>
          <cell r="FK122">
            <v>-9.5000000000000001E-2</v>
          </cell>
          <cell r="FL122">
            <v>-3.5999999999999997E-2</v>
          </cell>
          <cell r="FM122">
            <v>-8.0000000000000002E-3</v>
          </cell>
          <cell r="FN122">
            <v>-5.2999999999999999E-2</v>
          </cell>
          <cell r="FP122">
            <v>5.5E-2</v>
          </cell>
          <cell r="FQ122">
            <v>4.9000000000000002E-2</v>
          </cell>
          <cell r="FR122">
            <v>3.9E-2</v>
          </cell>
          <cell r="FS122">
            <v>4.2999999999999997E-2</v>
          </cell>
          <cell r="FT122">
            <v>4.610434747830261E-2</v>
          </cell>
          <cell r="FV122">
            <v>5.3999999999999999E-2</v>
          </cell>
          <cell r="FW122">
            <v>6.4000000000000001E-2</v>
          </cell>
          <cell r="FX122">
            <v>0.04</v>
          </cell>
          <cell r="FY122">
            <v>5.1999999999999998E-2</v>
          </cell>
          <cell r="FZ122">
            <v>5.2999999999999999E-2</v>
          </cell>
          <cell r="GB122">
            <v>4.3999999999999997E-2</v>
          </cell>
          <cell r="GC122">
            <v>0.03</v>
          </cell>
          <cell r="GD122">
            <v>4.4170626829774157E-2</v>
          </cell>
          <cell r="GE122">
            <v>4.1872044415560798E-2</v>
          </cell>
          <cell r="GF122">
            <v>4.02253638971692E-2</v>
          </cell>
        </row>
        <row r="124">
          <cell r="A124" t="str">
            <v>Consolidated Productivity Factor</v>
          </cell>
          <cell r="AN124" t="str">
            <v>Consolidated Productivity Factor</v>
          </cell>
        </row>
        <row r="125">
          <cell r="A125" t="str">
            <v>Month 1</v>
          </cell>
          <cell r="AN125" t="str">
            <v>Month 1</v>
          </cell>
          <cell r="EF125">
            <v>1.0043063843845854</v>
          </cell>
          <cell r="EG125">
            <v>1.010810633855717</v>
          </cell>
          <cell r="EH125">
            <v>1.0130234439561103</v>
          </cell>
          <cell r="EI125">
            <v>1.0261552566722514</v>
          </cell>
          <cell r="EL125">
            <v>1.0039733185357242</v>
          </cell>
          <cell r="EM125">
            <v>0.99978472992257905</v>
          </cell>
          <cell r="EN125">
            <v>1.0012187282870586</v>
          </cell>
          <cell r="EO125">
            <v>0.91407567624195751</v>
          </cell>
          <cell r="ER125">
            <v>0.85379589916801657</v>
          </cell>
          <cell r="ES125">
            <v>0.82852877251430668</v>
          </cell>
          <cell r="ET125">
            <v>0.83475030563790842</v>
          </cell>
          <cell r="EU125">
            <v>0.91480422703367681</v>
          </cell>
          <cell r="EX125">
            <v>1.0042251017232908</v>
          </cell>
          <cell r="EY125">
            <v>1.0108075527611304</v>
          </cell>
          <cell r="EZ125">
            <v>1.0032705612197608</v>
          </cell>
          <cell r="FA125">
            <v>0.99617129302855612</v>
          </cell>
          <cell r="FD125">
            <v>1.0047260256693704</v>
          </cell>
          <cell r="FE125">
            <v>1.0011731147187122</v>
          </cell>
          <cell r="FF125">
            <v>1.0015681684828099</v>
          </cell>
          <cell r="FG125">
            <v>0.9980273685296247</v>
          </cell>
          <cell r="FJ125">
            <v>1.0146680194879518</v>
          </cell>
          <cell r="FK125">
            <v>1.0229325701507319</v>
          </cell>
          <cell r="FL125">
            <v>1.0237530410429481</v>
          </cell>
          <cell r="FM125">
            <v>1.0168796021749338</v>
          </cell>
          <cell r="FP125">
            <v>1.0016060228776302</v>
          </cell>
          <cell r="FQ125">
            <v>0.98881215735067063</v>
          </cell>
          <cell r="FR125">
            <v>1.0007452413933455</v>
          </cell>
          <cell r="FS125">
            <v>1.0028115913956974</v>
          </cell>
          <cell r="FV125">
            <v>1.0005096291516782</v>
          </cell>
          <cell r="FW125">
            <v>1.0081721608307339</v>
          </cell>
          <cell r="FX125">
            <v>0.99435769750356207</v>
          </cell>
          <cell r="FY125">
            <v>1.0114048185081832</v>
          </cell>
          <cell r="GB125">
            <v>1.0253009585429893</v>
          </cell>
          <cell r="GC125">
            <v>1.0133052611979987</v>
          </cell>
          <cell r="GD125">
            <v>1.018088666893139</v>
          </cell>
          <cell r="GE125">
            <v>1.0011764705882353</v>
          </cell>
        </row>
        <row r="126">
          <cell r="A126" t="str">
            <v>Month 2</v>
          </cell>
          <cell r="AN126" t="str">
            <v>Month 2</v>
          </cell>
          <cell r="EF126">
            <v>1.0053433076034095</v>
          </cell>
          <cell r="EG126">
            <v>1.0066663386950321</v>
          </cell>
          <cell r="EH126">
            <v>1.012796599849775</v>
          </cell>
          <cell r="EI126">
            <v>1.0251796947783753</v>
          </cell>
          <cell r="EL126">
            <v>1.0061447584995618</v>
          </cell>
          <cell r="EM126">
            <v>1.0029492195249803</v>
          </cell>
          <cell r="EN126">
            <v>0.88191400316768354</v>
          </cell>
          <cell r="EO126">
            <v>0.90286524641517052</v>
          </cell>
          <cell r="ER126">
            <v>0.87143545576033965</v>
          </cell>
          <cell r="ES126">
            <v>0.86259214604526391</v>
          </cell>
          <cell r="ET126">
            <v>0.95476655228407081</v>
          </cell>
          <cell r="EU126">
            <v>0.95390310394604827</v>
          </cell>
          <cell r="EX126">
            <v>0.99756383077735888</v>
          </cell>
          <cell r="EY126">
            <v>1.0076309712339664</v>
          </cell>
          <cell r="EZ126">
            <v>1.0058439901456568</v>
          </cell>
          <cell r="FA126">
            <v>1.0104925603418453</v>
          </cell>
          <cell r="FD126">
            <v>1.0038919718017412</v>
          </cell>
          <cell r="FE126">
            <v>1.0002262623646179</v>
          </cell>
          <cell r="FF126">
            <v>1.0022779610885877</v>
          </cell>
          <cell r="FG126">
            <v>0.98797059201406712</v>
          </cell>
          <cell r="FJ126">
            <v>1.0172356632303496</v>
          </cell>
          <cell r="FK126">
            <v>1.0266388149144143</v>
          </cell>
          <cell r="FL126">
            <v>1.0185440088098592</v>
          </cell>
          <cell r="FM126">
            <v>1.0150644106268683</v>
          </cell>
          <cell r="FP126">
            <v>0.9967530496300272</v>
          </cell>
          <cell r="FQ126">
            <v>0.99989171377441255</v>
          </cell>
          <cell r="FR126">
            <v>1.0028971230689774</v>
          </cell>
          <cell r="FS126">
            <v>0.9946391314592461</v>
          </cell>
          <cell r="FV126">
            <v>1.0074992903911262</v>
          </cell>
          <cell r="FW126">
            <v>1.0057878604073234</v>
          </cell>
          <cell r="FX126">
            <v>1.0057401642886414</v>
          </cell>
          <cell r="FY126">
            <v>1.0118477756232767</v>
          </cell>
          <cell r="GB126">
            <v>1.0102541230632647</v>
          </cell>
          <cell r="GC126">
            <v>1.011143062170935</v>
          </cell>
          <cell r="GD126">
            <v>1</v>
          </cell>
          <cell r="GE126">
            <v>1</v>
          </cell>
        </row>
        <row r="127">
          <cell r="A127" t="str">
            <v>Month 3</v>
          </cell>
          <cell r="AN127" t="str">
            <v>Month 3</v>
          </cell>
          <cell r="EF127">
            <v>1.0049191704800837</v>
          </cell>
          <cell r="EG127">
            <v>1.0157391039871562</v>
          </cell>
          <cell r="EH127">
            <v>1.0229244178565875</v>
          </cell>
          <cell r="EI127">
            <v>1.0174283739131365</v>
          </cell>
          <cell r="EL127">
            <v>1.0058035349864145</v>
          </cell>
          <cell r="EM127">
            <v>1.0039069906098907</v>
          </cell>
          <cell r="EN127">
            <v>0.90735496459885556</v>
          </cell>
          <cell r="EO127">
            <v>0.95100379512625965</v>
          </cell>
          <cell r="ER127">
            <v>0.85509041472763314</v>
          </cell>
          <cell r="ES127">
            <v>0.83302342705472399</v>
          </cell>
          <cell r="ET127">
            <v>0.9300581404093593</v>
          </cell>
          <cell r="EU127">
            <v>0.88885616548937241</v>
          </cell>
          <cell r="EX127">
            <v>1.0012993536198342</v>
          </cell>
          <cell r="EY127">
            <v>1.0067406823426219</v>
          </cell>
          <cell r="EZ127">
            <v>1.0010354929971583</v>
          </cell>
          <cell r="FA127">
            <v>0.77697496531497701</v>
          </cell>
          <cell r="FD127">
            <v>0.99998610863561077</v>
          </cell>
          <cell r="FE127">
            <v>1.0000776716315167</v>
          </cell>
          <cell r="FF127">
            <v>1.0026881239876493</v>
          </cell>
          <cell r="FG127">
            <v>1.0034001517037674</v>
          </cell>
          <cell r="FJ127">
            <v>1.017274065207098</v>
          </cell>
          <cell r="FK127">
            <v>1.0307481774152398</v>
          </cell>
          <cell r="FL127">
            <v>1.0154616377110075</v>
          </cell>
          <cell r="FM127">
            <v>1.009307170702717</v>
          </cell>
          <cell r="FP127">
            <v>1.0005893323256754</v>
          </cell>
          <cell r="FQ127">
            <v>1.0111137394005785</v>
          </cell>
          <cell r="FR127">
            <v>1.0254628236300125</v>
          </cell>
          <cell r="FS127">
            <v>1.00775043725629</v>
          </cell>
          <cell r="FV127">
            <v>0.99618702023241001</v>
          </cell>
          <cell r="FW127">
            <v>1.0047825549823146</v>
          </cell>
          <cell r="FX127">
            <v>1.0004489851343907</v>
          </cell>
          <cell r="FY127">
            <v>1.008520012530175</v>
          </cell>
          <cell r="GB127">
            <v>1.0062765433093959</v>
          </cell>
          <cell r="GC127">
            <v>1.0227639737625074</v>
          </cell>
          <cell r="GD127">
            <v>1</v>
          </cell>
          <cell r="GE127">
            <v>1.25</v>
          </cell>
        </row>
        <row r="128">
          <cell r="EX128">
            <v>0.99364581839822941</v>
          </cell>
          <cell r="EY128">
            <v>1.0053855991928882</v>
          </cell>
          <cell r="EZ128">
            <v>1.0049007333596589</v>
          </cell>
          <cell r="FA128">
            <v>0.96635245216954013</v>
          </cell>
          <cell r="FD128">
            <v>1.0093706103322386</v>
          </cell>
          <cell r="FE128">
            <v>0.99942053289687438</v>
          </cell>
          <cell r="FF128">
            <v>1.0028127761391281</v>
          </cell>
          <cell r="FG128">
            <v>0.99829531956488382</v>
          </cell>
          <cell r="FH128">
            <v>0.99616480017746767</v>
          </cell>
          <cell r="FJ128">
            <v>1.0150952522446879</v>
          </cell>
          <cell r="FK128">
            <v>1.028988144998136</v>
          </cell>
          <cell r="FL128">
            <v>1.0174659464761271</v>
          </cell>
          <cell r="FM128">
            <v>1.004258927748259</v>
          </cell>
          <cell r="FN128">
            <v>1.0094977226152135</v>
          </cell>
          <cell r="FP128">
            <v>1.0000259928958455</v>
          </cell>
          <cell r="FQ128">
            <v>0.99963688802128137</v>
          </cell>
          <cell r="FR128">
            <v>1.0093878458063197</v>
          </cell>
          <cell r="FS128">
            <v>1.0000370362620763</v>
          </cell>
          <cell r="FT128">
            <v>1.0017002547102301</v>
          </cell>
          <cell r="FV128">
            <v>1.0021044058948783</v>
          </cell>
          <cell r="FW128">
            <v>1.0081307827273334</v>
          </cell>
          <cell r="FX128">
            <v>1.0033467891940979</v>
          </cell>
          <cell r="FY128">
            <v>1.0155381429309334</v>
          </cell>
          <cell r="FZ128">
            <v>1.0152922484576603</v>
          </cell>
          <cell r="GB128">
            <v>1.0132824557239268</v>
          </cell>
          <cell r="GC128">
            <v>1.0138954016780533</v>
          </cell>
          <cell r="GD128">
            <v>1.0060645702976547</v>
          </cell>
          <cell r="GE128">
            <v>1.0305274860110949</v>
          </cell>
          <cell r="GF128">
            <v>1.0083583012001358</v>
          </cell>
        </row>
        <row r="129">
          <cell r="A129" t="str">
            <v>Consolidated Store Count</v>
          </cell>
          <cell r="AN129" t="str">
            <v>Consolidated Store Count</v>
          </cell>
        </row>
        <row r="130">
          <cell r="A130" t="str">
            <v>Month 1</v>
          </cell>
          <cell r="AN130" t="str">
            <v>Month 1</v>
          </cell>
          <cell r="DZ130">
            <v>456</v>
          </cell>
          <cell r="EA130">
            <v>456</v>
          </cell>
          <cell r="EB130">
            <v>460</v>
          </cell>
          <cell r="EC130">
            <v>465</v>
          </cell>
          <cell r="EF130">
            <v>458</v>
          </cell>
          <cell r="EG130">
            <v>457</v>
          </cell>
          <cell r="EH130">
            <v>457</v>
          </cell>
          <cell r="EI130">
            <v>459</v>
          </cell>
          <cell r="EL130">
            <v>459</v>
          </cell>
          <cell r="EM130">
            <v>460</v>
          </cell>
          <cell r="EN130">
            <v>459</v>
          </cell>
          <cell r="EO130">
            <v>935</v>
          </cell>
          <cell r="ER130">
            <v>868</v>
          </cell>
          <cell r="ES130">
            <v>861</v>
          </cell>
          <cell r="ET130">
            <v>854</v>
          </cell>
          <cell r="EU130">
            <v>860</v>
          </cell>
          <cell r="EX130">
            <v>858</v>
          </cell>
          <cell r="EY130">
            <v>863</v>
          </cell>
          <cell r="EZ130">
            <v>864</v>
          </cell>
          <cell r="FA130">
            <v>866</v>
          </cell>
          <cell r="FD130">
            <v>852</v>
          </cell>
          <cell r="FE130">
            <v>852</v>
          </cell>
          <cell r="FF130">
            <v>856</v>
          </cell>
          <cell r="FG130">
            <v>859</v>
          </cell>
          <cell r="FJ130">
            <v>847</v>
          </cell>
          <cell r="FK130">
            <v>848</v>
          </cell>
          <cell r="FL130">
            <v>849</v>
          </cell>
          <cell r="FM130">
            <v>854</v>
          </cell>
          <cell r="FP130">
            <v>850</v>
          </cell>
          <cell r="FQ130">
            <v>850</v>
          </cell>
          <cell r="FR130">
            <v>849</v>
          </cell>
          <cell r="FS130">
            <v>854</v>
          </cell>
          <cell r="FV130">
            <v>850</v>
          </cell>
          <cell r="FW130">
            <v>850</v>
          </cell>
          <cell r="FX130">
            <v>849</v>
          </cell>
          <cell r="FY130">
            <v>851</v>
          </cell>
          <cell r="GB130">
            <v>842</v>
          </cell>
          <cell r="GC130">
            <v>844</v>
          </cell>
          <cell r="GD130">
            <v>846</v>
          </cell>
          <cell r="GE130">
            <v>847</v>
          </cell>
        </row>
        <row r="131">
          <cell r="A131" t="str">
            <v>Month 2</v>
          </cell>
          <cell r="AN131" t="str">
            <v>Month 2</v>
          </cell>
          <cell r="DZ131">
            <v>456</v>
          </cell>
          <cell r="EA131">
            <v>455</v>
          </cell>
          <cell r="EB131">
            <v>460</v>
          </cell>
          <cell r="EC131">
            <v>465</v>
          </cell>
          <cell r="EF131">
            <v>458</v>
          </cell>
          <cell r="EG131">
            <v>457</v>
          </cell>
          <cell r="EH131">
            <v>458</v>
          </cell>
          <cell r="EI131">
            <v>459</v>
          </cell>
          <cell r="EL131">
            <v>459</v>
          </cell>
          <cell r="EM131">
            <v>460</v>
          </cell>
          <cell r="EN131">
            <v>933</v>
          </cell>
          <cell r="EO131">
            <v>934</v>
          </cell>
          <cell r="ER131">
            <v>861</v>
          </cell>
          <cell r="ES131">
            <v>859</v>
          </cell>
          <cell r="ET131">
            <v>855</v>
          </cell>
          <cell r="EU131">
            <v>860</v>
          </cell>
          <cell r="EX131">
            <v>859</v>
          </cell>
          <cell r="EY131">
            <v>863</v>
          </cell>
          <cell r="EZ131">
            <v>866</v>
          </cell>
          <cell r="FA131">
            <v>857</v>
          </cell>
          <cell r="FD131">
            <v>853</v>
          </cell>
          <cell r="FE131">
            <v>853</v>
          </cell>
          <cell r="FF131">
            <v>853</v>
          </cell>
          <cell r="FG131">
            <v>859</v>
          </cell>
          <cell r="FJ131">
            <v>847</v>
          </cell>
          <cell r="FK131">
            <v>848</v>
          </cell>
          <cell r="FL131">
            <v>852</v>
          </cell>
          <cell r="FM131">
            <v>854</v>
          </cell>
          <cell r="FP131">
            <v>850</v>
          </cell>
          <cell r="FQ131">
            <v>850</v>
          </cell>
          <cell r="FR131">
            <v>852</v>
          </cell>
          <cell r="FS131">
            <v>854</v>
          </cell>
          <cell r="FV131">
            <v>850</v>
          </cell>
          <cell r="FW131">
            <v>850</v>
          </cell>
          <cell r="FX131">
            <v>849</v>
          </cell>
          <cell r="FY131">
            <v>850</v>
          </cell>
          <cell r="GB131">
            <v>844</v>
          </cell>
          <cell r="GC131">
            <v>846</v>
          </cell>
          <cell r="GD131">
            <v>847</v>
          </cell>
          <cell r="GE131">
            <v>848</v>
          </cell>
        </row>
        <row r="132">
          <cell r="A132" t="str">
            <v>Month 3</v>
          </cell>
          <cell r="AN132" t="str">
            <v>Month 3</v>
          </cell>
          <cell r="DZ132">
            <v>456</v>
          </cell>
          <cell r="EA132">
            <v>460</v>
          </cell>
          <cell r="EB132">
            <v>465</v>
          </cell>
          <cell r="EC132">
            <v>459</v>
          </cell>
          <cell r="EF132">
            <v>459</v>
          </cell>
          <cell r="EG132">
            <v>457</v>
          </cell>
          <cell r="EH132">
            <v>459</v>
          </cell>
          <cell r="EI132">
            <v>459</v>
          </cell>
          <cell r="EL132">
            <v>459</v>
          </cell>
          <cell r="EM132">
            <v>460</v>
          </cell>
          <cell r="EN132">
            <v>935</v>
          </cell>
          <cell r="EO132">
            <v>868</v>
          </cell>
          <cell r="ER132">
            <v>861</v>
          </cell>
          <cell r="ES132">
            <v>856</v>
          </cell>
          <cell r="ET132">
            <v>857</v>
          </cell>
          <cell r="EU132">
            <v>858</v>
          </cell>
          <cell r="EX132">
            <v>863</v>
          </cell>
          <cell r="EY132">
            <v>863</v>
          </cell>
          <cell r="EZ132">
            <v>866</v>
          </cell>
          <cell r="FA132">
            <v>852</v>
          </cell>
          <cell r="FD132">
            <v>851</v>
          </cell>
          <cell r="FE132">
            <v>855</v>
          </cell>
          <cell r="FF132">
            <v>856</v>
          </cell>
          <cell r="FG132">
            <v>847</v>
          </cell>
          <cell r="FJ132">
            <v>848</v>
          </cell>
          <cell r="FK132">
            <v>848</v>
          </cell>
          <cell r="FL132">
            <v>854</v>
          </cell>
          <cell r="FM132">
            <v>850</v>
          </cell>
          <cell r="FP132">
            <v>849</v>
          </cell>
          <cell r="FQ132">
            <v>849</v>
          </cell>
          <cell r="FR132">
            <v>854</v>
          </cell>
          <cell r="FS132">
            <v>850</v>
          </cell>
          <cell r="FV132">
            <v>850</v>
          </cell>
          <cell r="FW132">
            <v>849</v>
          </cell>
          <cell r="FX132">
            <v>850</v>
          </cell>
          <cell r="FY132">
            <v>842</v>
          </cell>
          <cell r="GB132">
            <v>844</v>
          </cell>
          <cell r="GC132">
            <v>845</v>
          </cell>
          <cell r="GD132">
            <v>847</v>
          </cell>
          <cell r="GE132">
            <v>844</v>
          </cell>
        </row>
        <row r="133">
          <cell r="A133" t="str">
            <v>Total</v>
          </cell>
          <cell r="AN133" t="str">
            <v>Total</v>
          </cell>
          <cell r="DZ133">
            <v>456</v>
          </cell>
          <cell r="EA133">
            <v>460</v>
          </cell>
          <cell r="EB133">
            <v>465</v>
          </cell>
          <cell r="EC133">
            <v>459</v>
          </cell>
          <cell r="ED133">
            <v>459</v>
          </cell>
          <cell r="EF133">
            <v>459</v>
          </cell>
          <cell r="EG133">
            <v>457</v>
          </cell>
          <cell r="EH133">
            <v>459</v>
          </cell>
          <cell r="EI133">
            <v>459</v>
          </cell>
          <cell r="EJ133">
            <v>459</v>
          </cell>
          <cell r="EL133">
            <v>459</v>
          </cell>
          <cell r="EM133">
            <v>460</v>
          </cell>
          <cell r="EN133">
            <v>935</v>
          </cell>
          <cell r="EO133">
            <v>868</v>
          </cell>
          <cell r="EP133">
            <v>868</v>
          </cell>
          <cell r="ER133">
            <v>861</v>
          </cell>
          <cell r="ES133">
            <v>856</v>
          </cell>
          <cell r="ET133">
            <v>857</v>
          </cell>
          <cell r="EU133">
            <v>858</v>
          </cell>
          <cell r="EV133">
            <v>858</v>
          </cell>
          <cell r="EX133">
            <v>863</v>
          </cell>
          <cell r="EY133">
            <v>863</v>
          </cell>
          <cell r="EZ133">
            <v>866</v>
          </cell>
          <cell r="FA133">
            <v>852</v>
          </cell>
          <cell r="FB133">
            <v>852</v>
          </cell>
          <cell r="FD133">
            <v>851</v>
          </cell>
          <cell r="FE133">
            <v>855</v>
          </cell>
          <cell r="FF133">
            <v>856</v>
          </cell>
          <cell r="FG133">
            <v>847</v>
          </cell>
          <cell r="FH133">
            <v>847</v>
          </cell>
          <cell r="FJ133">
            <v>848</v>
          </cell>
          <cell r="FK133">
            <v>848</v>
          </cell>
          <cell r="FL133">
            <v>854</v>
          </cell>
          <cell r="FM133">
            <v>850</v>
          </cell>
          <cell r="FN133">
            <v>850</v>
          </cell>
          <cell r="FP133">
            <v>849</v>
          </cell>
          <cell r="FQ133">
            <v>849</v>
          </cell>
          <cell r="FR133">
            <v>854</v>
          </cell>
          <cell r="FS133">
            <v>850</v>
          </cell>
          <cell r="FT133">
            <v>850</v>
          </cell>
          <cell r="FV133">
            <v>850</v>
          </cell>
          <cell r="FW133">
            <v>849</v>
          </cell>
          <cell r="FX133">
            <v>850</v>
          </cell>
          <cell r="FY133">
            <v>842</v>
          </cell>
          <cell r="FZ133">
            <v>842</v>
          </cell>
          <cell r="GB133">
            <v>844</v>
          </cell>
          <cell r="GC133">
            <v>845</v>
          </cell>
          <cell r="GD133">
            <v>847</v>
          </cell>
          <cell r="GE133">
            <v>844</v>
          </cell>
          <cell r="GF133">
            <v>844</v>
          </cell>
        </row>
        <row r="134">
          <cell r="GB134">
            <v>2</v>
          </cell>
          <cell r="GC134">
            <v>1</v>
          </cell>
          <cell r="GD134">
            <v>2</v>
          </cell>
          <cell r="GE134">
            <v>-3</v>
          </cell>
        </row>
        <row r="135">
          <cell r="A135" t="str">
            <v>Consolidated EOP Sq. Ft. (Estimated)</v>
          </cell>
          <cell r="AN135" t="str">
            <v>Consolidated EOP Sq. Ft. (Estimated)</v>
          </cell>
        </row>
        <row r="136">
          <cell r="A136" t="str">
            <v>Month 1</v>
          </cell>
          <cell r="AN136" t="str">
            <v>Month 1</v>
          </cell>
          <cell r="DZ136">
            <v>83.683006535947712</v>
          </cell>
          <cell r="EA136">
            <v>83.680988917306053</v>
          </cell>
          <cell r="EB136">
            <v>84.412537774966609</v>
          </cell>
          <cell r="EC136">
            <v>85.098039215686271</v>
          </cell>
          <cell r="EF136">
            <v>83.816993464052288</v>
          </cell>
          <cell r="EG136">
            <v>83.637037037037032</v>
          </cell>
          <cell r="EH136">
            <v>83.633986928104576</v>
          </cell>
          <cell r="EI136">
            <v>83.3</v>
          </cell>
          <cell r="EL136">
            <v>83.3</v>
          </cell>
          <cell r="EM136">
            <v>83.48260368663594</v>
          </cell>
          <cell r="EN136">
            <v>83.562228739002933</v>
          </cell>
          <cell r="EO136">
            <v>170.73444700460828</v>
          </cell>
          <cell r="ER136">
            <v>158.50225330225331</v>
          </cell>
          <cell r="ES136">
            <v>157.2256282269133</v>
          </cell>
          <cell r="ET136">
            <v>155.94704843969723</v>
          </cell>
          <cell r="EU136">
            <v>156.76456876456876</v>
          </cell>
          <cell r="EX136">
            <v>156.13711008111241</v>
          </cell>
          <cell r="EY136">
            <v>156.88300000000001</v>
          </cell>
          <cell r="EZ136">
            <v>157.15721016166282</v>
          </cell>
          <cell r="FA136">
            <v>157.50730751173711</v>
          </cell>
          <cell r="FD136">
            <v>155.23019506462987</v>
          </cell>
          <cell r="FE136">
            <v>155.06001403508773</v>
          </cell>
          <cell r="FF136">
            <v>155.41999999999999</v>
          </cell>
          <cell r="FG136">
            <v>156.27410743801653</v>
          </cell>
          <cell r="FJ136">
            <v>154.26087382075474</v>
          </cell>
          <cell r="FK136">
            <v>154.44300000000001</v>
          </cell>
          <cell r="FL136">
            <v>154.43150936768151</v>
          </cell>
          <cell r="FM136">
            <v>155.12658823529412</v>
          </cell>
          <cell r="FP136">
            <v>154.48674911660777</v>
          </cell>
          <cell r="FQ136">
            <v>154.48674911660777</v>
          </cell>
          <cell r="FR136">
            <v>153.76046135831382</v>
          </cell>
          <cell r="FS136">
            <v>154.94674588235296</v>
          </cell>
          <cell r="FV136">
            <v>154.34800000000001</v>
          </cell>
          <cell r="FW136">
            <v>154.47974087161367</v>
          </cell>
          <cell r="FX136">
            <v>154.10248941176471</v>
          </cell>
          <cell r="FY136">
            <v>153.92588836104514</v>
          </cell>
          <cell r="GB136">
            <v>151.83734123222749</v>
          </cell>
          <cell r="GC136">
            <v>152.19800000000001</v>
          </cell>
          <cell r="GD136">
            <v>152.25400000000002</v>
          </cell>
          <cell r="GE136">
            <v>152.30400000000003</v>
          </cell>
        </row>
        <row r="137">
          <cell r="A137" t="str">
            <v>Month 2</v>
          </cell>
          <cell r="AN137" t="str">
            <v>Month 2</v>
          </cell>
          <cell r="DZ137">
            <v>83.683006535947712</v>
          </cell>
          <cell r="EA137">
            <v>83.497477976697922</v>
          </cell>
          <cell r="EB137">
            <v>84.412537774966609</v>
          </cell>
          <cell r="EC137">
            <v>85.098039215686271</v>
          </cell>
          <cell r="EF137">
            <v>83.816993464052288</v>
          </cell>
          <cell r="EG137">
            <v>83.637037037037032</v>
          </cell>
          <cell r="EH137">
            <v>83.816993464052288</v>
          </cell>
          <cell r="EI137">
            <v>83.3</v>
          </cell>
          <cell r="EL137">
            <v>83.3</v>
          </cell>
          <cell r="EM137">
            <v>83.48260368663594</v>
          </cell>
          <cell r="EN137">
            <v>169.85524926686216</v>
          </cell>
          <cell r="EO137">
            <v>170.55184331797236</v>
          </cell>
          <cell r="ER137">
            <v>157.22400932400933</v>
          </cell>
          <cell r="ES137">
            <v>156.86041190118294</v>
          </cell>
          <cell r="ET137">
            <v>156.12965622475542</v>
          </cell>
          <cell r="EU137">
            <v>156.76456876456876</v>
          </cell>
          <cell r="EX137">
            <v>156.31908806488991</v>
          </cell>
          <cell r="EY137">
            <v>156.88300000000001</v>
          </cell>
          <cell r="EZ137">
            <v>157.52099999999999</v>
          </cell>
          <cell r="FA137">
            <v>155.87039553990613</v>
          </cell>
          <cell r="FD137">
            <v>155.41239012925971</v>
          </cell>
          <cell r="FE137">
            <v>155.24200935672516</v>
          </cell>
          <cell r="FF137">
            <v>154.87530373831774</v>
          </cell>
          <cell r="FG137">
            <v>156.27410743801653</v>
          </cell>
          <cell r="FJ137">
            <v>154.26087382075474</v>
          </cell>
          <cell r="FK137">
            <v>154.44300000000001</v>
          </cell>
          <cell r="FL137">
            <v>154.97720374707259</v>
          </cell>
          <cell r="FM137">
            <v>155.12658823529412</v>
          </cell>
          <cell r="FP137">
            <v>154.48674911660777</v>
          </cell>
          <cell r="FQ137">
            <v>154.48674911660777</v>
          </cell>
          <cell r="FR137">
            <v>154.30378454332552</v>
          </cell>
          <cell r="FS137">
            <v>154.94674588235296</v>
          </cell>
          <cell r="FV137">
            <v>154.34800000000001</v>
          </cell>
          <cell r="FW137">
            <v>154.47974087161367</v>
          </cell>
          <cell r="FX137">
            <v>154.10248941176471</v>
          </cell>
          <cell r="FY137">
            <v>153.74501187648457</v>
          </cell>
          <cell r="GB137">
            <v>152.19800000000001</v>
          </cell>
          <cell r="GC137">
            <v>152.22800000000001</v>
          </cell>
          <cell r="GD137">
            <v>152.30400000000003</v>
          </cell>
          <cell r="GE137">
            <v>152.30400000000003</v>
          </cell>
        </row>
        <row r="138">
          <cell r="A138" t="str">
            <v>Month 3</v>
          </cell>
          <cell r="AN138" t="str">
            <v>Month 3</v>
          </cell>
          <cell r="DZ138">
            <v>83.683006535947712</v>
          </cell>
          <cell r="EA138">
            <v>84.415032679738559</v>
          </cell>
          <cell r="EB138">
            <v>85.330065359477118</v>
          </cell>
          <cell r="EC138">
            <v>84</v>
          </cell>
          <cell r="EF138">
            <v>84</v>
          </cell>
          <cell r="EG138">
            <v>83.637037037037032</v>
          </cell>
          <cell r="EH138">
            <v>84</v>
          </cell>
          <cell r="EI138">
            <v>83.3</v>
          </cell>
          <cell r="EL138">
            <v>83.3</v>
          </cell>
          <cell r="EM138">
            <v>83.48260368663594</v>
          </cell>
          <cell r="EN138">
            <v>170.21935483870968</v>
          </cell>
          <cell r="EO138">
            <v>158.5</v>
          </cell>
          <cell r="ER138">
            <v>157.22400932400933</v>
          </cell>
          <cell r="ES138">
            <v>156.31258741258742</v>
          </cell>
          <cell r="ET138">
            <v>156.49487179487181</v>
          </cell>
          <cell r="EU138">
            <v>156.4</v>
          </cell>
          <cell r="EX138">
            <v>157.047</v>
          </cell>
          <cell r="EY138">
            <v>156.88300000000001</v>
          </cell>
          <cell r="EZ138">
            <v>157.52099999999999</v>
          </cell>
          <cell r="FA138">
            <v>154.96100000000001</v>
          </cell>
          <cell r="FD138">
            <v>155.048</v>
          </cell>
          <cell r="FE138">
            <v>155.60599999999999</v>
          </cell>
          <cell r="FF138">
            <v>155.41999999999999</v>
          </cell>
          <cell r="FG138">
            <v>154.09100000000001</v>
          </cell>
          <cell r="FJ138">
            <v>154.44300000000001</v>
          </cell>
          <cell r="FK138">
            <v>154.44300000000001</v>
          </cell>
          <cell r="FL138">
            <v>155.34100000000001</v>
          </cell>
          <cell r="FM138">
            <v>154.4</v>
          </cell>
          <cell r="FP138">
            <v>154.30500000000001</v>
          </cell>
          <cell r="FQ138">
            <v>154.30500000000001</v>
          </cell>
          <cell r="FR138">
            <v>154.666</v>
          </cell>
          <cell r="FS138">
            <v>154.221</v>
          </cell>
          <cell r="FV138">
            <v>154.34800000000001</v>
          </cell>
          <cell r="FW138">
            <v>154.298</v>
          </cell>
          <cell r="FX138">
            <v>154.28399999999999</v>
          </cell>
          <cell r="FY138">
            <v>152.298</v>
          </cell>
          <cell r="GB138">
            <v>152.19800000000001</v>
          </cell>
          <cell r="GC138">
            <v>152.20400000000001</v>
          </cell>
          <cell r="GD138">
            <v>152.30400000000003</v>
          </cell>
          <cell r="GE138">
            <v>152.30400000000003</v>
          </cell>
        </row>
        <row r="139">
          <cell r="A139" t="str">
            <v>Total</v>
          </cell>
          <cell r="AN139" t="str">
            <v>Total</v>
          </cell>
          <cell r="DZ139">
            <v>83.683006535947712</v>
          </cell>
          <cell r="EA139">
            <v>84.415032679738559</v>
          </cell>
          <cell r="EB139">
            <v>85.330065359477118</v>
          </cell>
          <cell r="EC139">
            <v>84</v>
          </cell>
          <cell r="ED139">
            <v>84</v>
          </cell>
          <cell r="EF139">
            <v>84</v>
          </cell>
          <cell r="EG139">
            <v>83.637037037037032</v>
          </cell>
          <cell r="EH139">
            <v>84</v>
          </cell>
          <cell r="EI139">
            <v>83.3</v>
          </cell>
          <cell r="EJ139">
            <v>83.3</v>
          </cell>
          <cell r="EL139">
            <v>83.3</v>
          </cell>
          <cell r="EM139">
            <v>83.48260368663594</v>
          </cell>
          <cell r="EN139">
            <v>170.21935483870968</v>
          </cell>
          <cell r="EO139">
            <v>158.5</v>
          </cell>
          <cell r="EP139">
            <v>158.5</v>
          </cell>
          <cell r="ER139">
            <v>157.22400932400933</v>
          </cell>
          <cell r="ES139">
            <v>156.31258741258742</v>
          </cell>
          <cell r="ET139">
            <v>156.49487179487181</v>
          </cell>
          <cell r="EU139">
            <v>156.4</v>
          </cell>
          <cell r="EV139">
            <v>156.4</v>
          </cell>
          <cell r="EX139">
            <v>157.047</v>
          </cell>
          <cell r="EY139">
            <v>156.88300000000001</v>
          </cell>
          <cell r="EZ139">
            <v>157.52099999999999</v>
          </cell>
          <cell r="FA139">
            <v>154.96100000000001</v>
          </cell>
          <cell r="FB139">
            <v>154.96100000000001</v>
          </cell>
          <cell r="FD139">
            <v>155.048</v>
          </cell>
          <cell r="FE139">
            <v>155.60599999999999</v>
          </cell>
          <cell r="FF139">
            <v>155.41999999999999</v>
          </cell>
          <cell r="FG139">
            <v>154.09100000000001</v>
          </cell>
          <cell r="FH139">
            <v>154.09100000000001</v>
          </cell>
          <cell r="FJ139">
            <v>154.44300000000001</v>
          </cell>
          <cell r="FK139">
            <v>154.44300000000001</v>
          </cell>
          <cell r="FL139">
            <v>155.34100000000001</v>
          </cell>
          <cell r="FM139">
            <v>154.4</v>
          </cell>
          <cell r="FN139">
            <v>154.4</v>
          </cell>
          <cell r="FP139">
            <v>154.30500000000001</v>
          </cell>
          <cell r="FQ139">
            <v>154.30500000000001</v>
          </cell>
          <cell r="FR139">
            <v>154.666</v>
          </cell>
          <cell r="FS139">
            <v>154.221</v>
          </cell>
          <cell r="FT139">
            <v>154.221</v>
          </cell>
          <cell r="FV139">
            <v>154.34800000000001</v>
          </cell>
          <cell r="FW139">
            <v>154.298</v>
          </cell>
          <cell r="FX139">
            <v>154.28399999999999</v>
          </cell>
          <cell r="FY139">
            <v>152.298</v>
          </cell>
          <cell r="FZ139">
            <v>152.298</v>
          </cell>
          <cell r="GB139">
            <v>152.19800000000001</v>
          </cell>
          <cell r="GC139">
            <v>152.20400000000001</v>
          </cell>
          <cell r="GD139">
            <v>152.30400000000003</v>
          </cell>
          <cell r="GE139">
            <v>152.30400000000003</v>
          </cell>
          <cell r="GF139">
            <v>152.30400000000003</v>
          </cell>
        </row>
        <row r="141">
          <cell r="A141" t="str">
            <v>Dept. Stores Monthly Sales - % change</v>
          </cell>
          <cell r="AN141" t="str">
            <v>Dept. Stores Monthly Sales - % change</v>
          </cell>
        </row>
        <row r="142">
          <cell r="A142" t="str">
            <v>Month 1</v>
          </cell>
          <cell r="AN142" t="str">
            <v>Month 1</v>
          </cell>
          <cell r="BS142" t="str">
            <v xml:space="preserve"> --  </v>
          </cell>
          <cell r="BT142" t="str">
            <v xml:space="preserve"> --  </v>
          </cell>
          <cell r="BU142" t="str">
            <v xml:space="preserve"> --  </v>
          </cell>
          <cell r="BV142" t="str">
            <v xml:space="preserve"> --  </v>
          </cell>
          <cell r="BY142">
            <v>4.014598540145986E-2</v>
          </cell>
          <cell r="BZ142">
            <v>7.0000000000000062E-2</v>
          </cell>
          <cell r="CA142">
            <v>8.999999999999897E-3</v>
          </cell>
          <cell r="CB142">
            <v>2.4000000000000021E-2</v>
          </cell>
          <cell r="CP142">
            <v>2.4489400832446107E-2</v>
          </cell>
          <cell r="CQ142">
            <v>3.166037057024651E-2</v>
          </cell>
          <cell r="CR142">
            <v>4.2093998037991742E-2</v>
          </cell>
          <cell r="CS142">
            <v>8.2543367511445087E-3</v>
          </cell>
          <cell r="CV142">
            <v>0</v>
          </cell>
          <cell r="CW142">
            <v>7.4106364428945248E-3</v>
          </cell>
          <cell r="CX142">
            <v>-3.5000000000000031E-2</v>
          </cell>
          <cell r="CY142">
            <v>-1.5669971218420176E-2</v>
          </cell>
          <cell r="DB142">
            <v>-3.1557067271353101E-2</v>
          </cell>
          <cell r="DC142">
            <v>-7.3561228905235643E-3</v>
          </cell>
          <cell r="DD142">
            <v>-7.6290182045534172E-3</v>
          </cell>
          <cell r="DE142">
            <v>-2.5990903183885639E-2</v>
          </cell>
          <cell r="DH142">
            <v>-1</v>
          </cell>
          <cell r="DI142">
            <v>-1</v>
          </cell>
          <cell r="DJ142">
            <v>-1</v>
          </cell>
          <cell r="DK142">
            <v>-1</v>
          </cell>
          <cell r="DN142" t="str">
            <v>NA</v>
          </cell>
          <cell r="DO142" t="str">
            <v>NA</v>
          </cell>
          <cell r="DP142" t="str">
            <v>NA</v>
          </cell>
          <cell r="DQ142" t="str">
            <v>NA</v>
          </cell>
          <cell r="DT142">
            <v>-3.0527289546716019E-2</v>
          </cell>
          <cell r="DU142">
            <v>-9.4745908699397363E-3</v>
          </cell>
          <cell r="DV142">
            <v>-3.8938053097345104E-2</v>
          </cell>
          <cell r="DW142">
            <v>-5.8785942492012744E-2</v>
          </cell>
          <cell r="DZ142">
            <v>-6.0114503816793841E-2</v>
          </cell>
          <cell r="EA142">
            <v>-1.1304347826086913E-2</v>
          </cell>
          <cell r="EB142">
            <v>-7.3664825046040328E-3</v>
          </cell>
          <cell r="EC142">
            <v>-8.8255261371350535E-3</v>
          </cell>
          <cell r="EF142">
            <v>9.6446700507614169E-2</v>
          </cell>
          <cell r="EG142">
            <v>3.9577836411609502E-2</v>
          </cell>
          <cell r="EH142">
            <v>-2.0408163265306145E-2</v>
          </cell>
          <cell r="EI142">
            <v>-9.5890410958904271E-3</v>
          </cell>
          <cell r="EL142">
            <v>1.5740740740740833E-2</v>
          </cell>
          <cell r="EM142">
            <v>5.9221658206429773E-3</v>
          </cell>
          <cell r="EN142">
            <v>1.1363636363636465E-2</v>
          </cell>
          <cell r="EO142">
            <v>0.80982019363762103</v>
          </cell>
          <cell r="ER142">
            <v>0.64083865086599823</v>
          </cell>
          <cell r="ES142">
            <v>0.70395290159798152</v>
          </cell>
          <cell r="ET142">
            <v>0.61704119850187267</v>
          </cell>
          <cell r="EU142">
            <v>-8.8651127244936956E-2</v>
          </cell>
          <cell r="EX142">
            <v>1.1111111111110628E-3</v>
          </cell>
          <cell r="EY142">
            <v>-2.4679170779861814E-2</v>
          </cell>
          <cell r="EZ142">
            <v>3.5321366531557707E-2</v>
          </cell>
          <cell r="FA142">
            <v>0.13501048218029355</v>
          </cell>
          <cell r="FD142">
            <v>-3.6071032186459462E-2</v>
          </cell>
          <cell r="FE142">
            <v>-2.5303643724696401E-2</v>
          </cell>
          <cell r="FF142">
            <v>-5.7046979865771785E-2</v>
          </cell>
          <cell r="FG142">
            <v>-0.14148503878832652</v>
          </cell>
          <cell r="FJ142">
            <v>-7.7376206594334418E-2</v>
          </cell>
          <cell r="FK142">
            <v>-7.3854331133361484E-2</v>
          </cell>
          <cell r="FL142">
            <v>-6.5154745638739242E-2</v>
          </cell>
          <cell r="FM142">
            <v>-5.2161507132639562E-2</v>
          </cell>
          <cell r="FP142">
            <v>4.0186303599689444E-2</v>
          </cell>
          <cell r="FQ142">
            <v>2.9395500964750632E-3</v>
          </cell>
          <cell r="FR142">
            <v>3.9241783148511233E-2</v>
          </cell>
          <cell r="FS142">
            <v>6.2749594749162307E-2</v>
          </cell>
          <cell r="FV142">
            <v>5.7588482303539301E-2</v>
          </cell>
          <cell r="FW142">
            <v>8.2727780883175006E-2</v>
          </cell>
          <cell r="FX142">
            <v>4.6398046398046455E-2</v>
          </cell>
          <cell r="FY142">
            <v>5.2968816744980884E-2</v>
          </cell>
          <cell r="GB142">
            <v>5.5019852524106572E-2</v>
          </cell>
          <cell r="GC142">
            <v>4.0268456375838868E-2</v>
          </cell>
          <cell r="GD142">
            <v>5.7176196032672211E-2</v>
          </cell>
          <cell r="GE142">
            <v>3.0252351388493137E-2</v>
          </cell>
        </row>
        <row r="143">
          <cell r="A143" t="str">
            <v>Month 2</v>
          </cell>
          <cell r="AN143" t="str">
            <v>Month 2</v>
          </cell>
          <cell r="BS143" t="str">
            <v xml:space="preserve"> --  </v>
          </cell>
          <cell r="BT143" t="str">
            <v xml:space="preserve"> --  </v>
          </cell>
          <cell r="BU143" t="str">
            <v xml:space="preserve"> --  </v>
          </cell>
          <cell r="BV143" t="str">
            <v xml:space="preserve"> --  </v>
          </cell>
          <cell r="BY143">
            <v>-2.4999999999999911E-2</v>
          </cell>
          <cell r="BZ143">
            <v>4.8000000000000043E-2</v>
          </cell>
          <cell r="CA143">
            <v>4.8999999999999932E-2</v>
          </cell>
          <cell r="CB143">
            <v>1.2999999999999901E-2</v>
          </cell>
          <cell r="CP143">
            <v>9.4745908699398473E-3</v>
          </cell>
          <cell r="CQ143">
            <v>3.8961038961038863E-2</v>
          </cell>
          <cell r="CR143">
            <v>3.4921997996278709E-2</v>
          </cell>
          <cell r="CS143">
            <v>2.2241668489753064E-3</v>
          </cell>
          <cell r="CV143">
            <v>-9.3080980452997508E-4</v>
          </cell>
          <cell r="CW143">
            <v>2.2966867469879526E-2</v>
          </cell>
          <cell r="CX143">
            <v>-2.0000000000000018E-2</v>
          </cell>
          <cell r="CY143">
            <v>4.3799999999999839E-2</v>
          </cell>
          <cell r="DB143">
            <v>4.2701863354037251E-2</v>
          </cell>
          <cell r="DC143">
            <v>3.5701140964298883E-2</v>
          </cell>
          <cell r="DD143">
            <v>4.0387334577032252E-3</v>
          </cell>
          <cell r="DE143">
            <v>1.6349047946182971E-2</v>
          </cell>
          <cell r="DH143">
            <v>-1</v>
          </cell>
          <cell r="DI143">
            <v>-1</v>
          </cell>
          <cell r="DJ143">
            <v>-1</v>
          </cell>
          <cell r="DK143">
            <v>-1</v>
          </cell>
          <cell r="DN143" t="str">
            <v>NA</v>
          </cell>
          <cell r="DO143" t="str">
            <v>NA</v>
          </cell>
          <cell r="DP143" t="str">
            <v>NA</v>
          </cell>
          <cell r="DQ143" t="str">
            <v>NA</v>
          </cell>
          <cell r="DT143">
            <v>-4.5558086560364419E-3</v>
          </cell>
          <cell r="DU143">
            <v>3.0920060331824928E-2</v>
          </cell>
          <cell r="DV143">
            <v>2.0170674941815347E-2</v>
          </cell>
          <cell r="DW143">
            <v>-8.2289803220035873E-3</v>
          </cell>
          <cell r="DZ143">
            <v>-5.9496567505720854E-2</v>
          </cell>
          <cell r="EA143">
            <v>-2.1945866861741048E-2</v>
          </cell>
          <cell r="EB143">
            <v>2.8136882129277563E-2</v>
          </cell>
          <cell r="EC143">
            <v>3.6075036075036149E-3</v>
          </cell>
          <cell r="EF143">
            <v>7.5425790754257926E-2</v>
          </cell>
          <cell r="EG143">
            <v>4.2632759910246731E-2</v>
          </cell>
          <cell r="EH143">
            <v>6.6568047337278724E-3</v>
          </cell>
          <cell r="EI143">
            <v>2.6599568655643502E-2</v>
          </cell>
          <cell r="EL143">
            <v>3.3936651583710509E-2</v>
          </cell>
          <cell r="EM143">
            <v>3.0129124820659881E-2</v>
          </cell>
          <cell r="EN143">
            <v>0.81043350477590015</v>
          </cell>
          <cell r="EO143">
            <v>0.91141456582633062</v>
          </cell>
          <cell r="ER143">
            <v>0.64478482859226838</v>
          </cell>
          <cell r="ES143">
            <v>0.64832869080779942</v>
          </cell>
          <cell r="ET143">
            <v>-6.5340909090909061E-2</v>
          </cell>
          <cell r="EU143">
            <v>-8.4630884777431747E-2</v>
          </cell>
          <cell r="EX143">
            <v>1.4634146341463428E-2</v>
          </cell>
          <cell r="EY143">
            <v>-1.9433882551753268E-2</v>
          </cell>
          <cell r="EZ143">
            <v>-1.2592270950933515E-2</v>
          </cell>
          <cell r="FA143">
            <v>-7.4644786872123281E-2</v>
          </cell>
          <cell r="FD143">
            <v>-6.3811188811188857E-2</v>
          </cell>
          <cell r="FE143">
            <v>-3.1021111589832007E-2</v>
          </cell>
          <cell r="FF143">
            <v>-7.9595426561125726E-2</v>
          </cell>
          <cell r="FG143">
            <v>-4.9091695501730093E-2</v>
          </cell>
          <cell r="FJ143">
            <v>-8.3193732222893169E-2</v>
          </cell>
          <cell r="FK143">
            <v>-6.9545735689765187E-2</v>
          </cell>
          <cell r="FL143">
            <v>-4.2277671038386533E-3</v>
          </cell>
          <cell r="FM143">
            <v>1.7686910874161521E-2</v>
          </cell>
          <cell r="FP143">
            <v>0.10601949166366365</v>
          </cell>
          <cell r="FQ143">
            <v>6.5186325382629029E-2</v>
          </cell>
          <cell r="FR143">
            <v>4.6469139412921301E-2</v>
          </cell>
          <cell r="FS143">
            <v>3.2231974812141573E-2</v>
          </cell>
          <cell r="FV143">
            <v>1.5653775322283625E-2</v>
          </cell>
          <cell r="FW143">
            <v>7.3126962763571113E-2</v>
          </cell>
          <cell r="FX143">
            <v>5.3645116918844549E-2</v>
          </cell>
          <cell r="FY143">
            <v>6.6248105650573708E-2</v>
          </cell>
          <cell r="GB143">
            <v>6.8902991840435135E-2</v>
          </cell>
          <cell r="GC143">
            <v>8.3612040133780319E-3</v>
          </cell>
          <cell r="GD143">
            <v>1.7979142315035279E-2</v>
          </cell>
          <cell r="GE143">
            <v>3.0252351388493137E-2</v>
          </cell>
        </row>
        <row r="144">
          <cell r="A144" t="str">
            <v>Month 3</v>
          </cell>
          <cell r="AN144" t="str">
            <v>Month 3</v>
          </cell>
          <cell r="BS144" t="str">
            <v xml:space="preserve"> --  </v>
          </cell>
          <cell r="BT144" t="str">
            <v xml:space="preserve"> --  </v>
          </cell>
          <cell r="BU144" t="str">
            <v xml:space="preserve"> --  </v>
          </cell>
          <cell r="BV144" t="str">
            <v xml:space="preserve"> --  </v>
          </cell>
          <cell r="BY144">
            <v>-1</v>
          </cell>
          <cell r="BZ144">
            <v>-1</v>
          </cell>
          <cell r="CA144">
            <v>-1</v>
          </cell>
          <cell r="CB144">
            <v>-1</v>
          </cell>
          <cell r="CP144">
            <v>7.1176173649671881E-2</v>
          </cell>
          <cell r="CQ144">
            <v>9.3491388951017607E-2</v>
          </cell>
          <cell r="CR144">
            <v>3.7600880410858295E-2</v>
          </cell>
          <cell r="CS144">
            <v>9.5674437407358148E-3</v>
          </cell>
          <cell r="CV144">
            <v>4.7125353440150786E-2</v>
          </cell>
          <cell r="CW144">
            <v>3.3442421763141716E-2</v>
          </cell>
          <cell r="CX144">
            <v>-2.6799999999999935E-2</v>
          </cell>
          <cell r="CY144">
            <v>6.7805659369994498E-2</v>
          </cell>
          <cell r="DB144">
            <v>-3.0603060306030549E-2</v>
          </cell>
          <cell r="DC144">
            <v>4.4532409698170294E-3</v>
          </cell>
          <cell r="DD144">
            <v>5.2999999999999999E-2</v>
          </cell>
          <cell r="DE144">
            <v>-2.1249999999999991E-2</v>
          </cell>
          <cell r="DH144">
            <v>-1</v>
          </cell>
          <cell r="DI144">
            <v>-1</v>
          </cell>
          <cell r="DJ144">
            <v>-1</v>
          </cell>
          <cell r="DK144">
            <v>-1</v>
          </cell>
          <cell r="DN144" t="str">
            <v>NA</v>
          </cell>
          <cell r="DO144" t="str">
            <v>NA</v>
          </cell>
          <cell r="DP144" t="str">
            <v>NA</v>
          </cell>
          <cell r="DQ144" t="str">
            <v>NA</v>
          </cell>
          <cell r="DT144">
            <v>-5.5938037865748691E-2</v>
          </cell>
          <cell r="DU144">
            <v>-3.4825870646766122E-2</v>
          </cell>
          <cell r="DV144">
            <v>2.3629489603024467E-2</v>
          </cell>
          <cell r="DW144">
            <v>1.2919896640826156E-3</v>
          </cell>
          <cell r="DZ144">
            <v>-1.9143117593436676E-2</v>
          </cell>
          <cell r="EA144">
            <v>-7.2164948453607991E-3</v>
          </cell>
          <cell r="EB144">
            <v>-2.3084025854108958E-2</v>
          </cell>
          <cell r="EC144">
            <v>5.0322580645161263E-2</v>
          </cell>
          <cell r="EF144">
            <v>6.3197026022304925E-2</v>
          </cell>
          <cell r="EG144">
            <v>4.3613707165109039E-2</v>
          </cell>
          <cell r="EH144">
            <v>4.7258979206049156E-2</v>
          </cell>
          <cell r="EI144">
            <v>4.9140049140048436E-3</v>
          </cell>
          <cell r="EL144">
            <v>2.5349650349650421E-2</v>
          </cell>
          <cell r="EM144">
            <v>-6.9651741293532687E-3</v>
          </cell>
          <cell r="EN144">
            <v>0.82581227436823101</v>
          </cell>
          <cell r="EO144">
            <v>0.82762836185819078</v>
          </cell>
          <cell r="ER144">
            <v>0.60102301790281332</v>
          </cell>
          <cell r="ES144">
            <v>0.61122244488977961</v>
          </cell>
          <cell r="ET144">
            <v>-7.909045971329709E-2</v>
          </cell>
          <cell r="EU144">
            <v>0.19063545150501682</v>
          </cell>
          <cell r="EX144">
            <v>-2.183173588924392E-2</v>
          </cell>
          <cell r="EY144">
            <v>-3.7313432835820448E-3</v>
          </cell>
          <cell r="EZ144">
            <v>-7.5147611379495771E-3</v>
          </cell>
          <cell r="FA144">
            <v>-0.28483146067415732</v>
          </cell>
          <cell r="FD144">
            <v>1.6875340228633684E-2</v>
          </cell>
          <cell r="FE144">
            <v>-3.6828963795255909E-2</v>
          </cell>
          <cell r="FF144">
            <v>-7.3012439156300735E-2</v>
          </cell>
          <cell r="FG144">
            <v>-4.7132757266300063E-2</v>
          </cell>
          <cell r="FJ144">
            <v>-7.8906078546147729E-2</v>
          </cell>
          <cell r="FK144">
            <v>-8.6421386047222271E-2</v>
          </cell>
          <cell r="FL144">
            <v>6.8259146413351957E-3</v>
          </cell>
          <cell r="FM144">
            <v>4.5716401865264711E-2</v>
          </cell>
          <cell r="FP144">
            <v>1.0691920195042393E-2</v>
          </cell>
          <cell r="FQ144">
            <v>8.3955625466711314E-2</v>
          </cell>
          <cell r="FR144">
            <v>4.6532073995587009E-2</v>
          </cell>
          <cell r="FS144">
            <v>3.2753260808866314E-2</v>
          </cell>
          <cell r="FV144">
            <v>0.10408280621046573</v>
          </cell>
          <cell r="FW144">
            <v>5.4973821989528826E-2</v>
          </cell>
          <cell r="FX144">
            <v>1.9933554817275656E-2</v>
          </cell>
          <cell r="FY144">
            <v>1.984732824427482E-2</v>
          </cell>
          <cell r="GB144">
            <v>4.1666666666666519E-3</v>
          </cell>
          <cell r="GC144">
            <v>5.0248138957816435E-2</v>
          </cell>
          <cell r="GD144">
            <v>4.1460682896476753E-2</v>
          </cell>
          <cell r="GE144">
            <v>0.31255170783595321</v>
          </cell>
        </row>
        <row r="145">
          <cell r="A145" t="str">
            <v>Total</v>
          </cell>
          <cell r="AN145" t="str">
            <v>Total</v>
          </cell>
          <cell r="BS145" t="str">
            <v xml:space="preserve"> --  </v>
          </cell>
          <cell r="BT145" t="str">
            <v xml:space="preserve"> --  </v>
          </cell>
          <cell r="BU145" t="str">
            <v xml:space="preserve"> --  </v>
          </cell>
          <cell r="BV145" t="str">
            <v xml:space="preserve"> --  </v>
          </cell>
          <cell r="BW145" t="str">
            <v xml:space="preserve"> --  </v>
          </cell>
          <cell r="BY145">
            <v>-1</v>
          </cell>
          <cell r="BZ145">
            <v>-1</v>
          </cell>
          <cell r="CA145">
            <v>-1</v>
          </cell>
          <cell r="CB145">
            <v>-1</v>
          </cell>
          <cell r="CF145">
            <v>-1</v>
          </cell>
          <cell r="CP145">
            <v>3.2690035447026533E-2</v>
          </cell>
          <cell r="CQ145">
            <v>5.1336703002253348E-2</v>
          </cell>
          <cell r="CR145">
            <v>3.7959602116871327E-2</v>
          </cell>
          <cell r="CS145">
            <v>5.1634428248001907E-3</v>
          </cell>
          <cell r="CT145">
            <v>3.3414978803579842</v>
          </cell>
          <cell r="CV145">
            <v>-1.5138179897905446E-2</v>
          </cell>
          <cell r="CW145">
            <v>2.0765755329008373E-2</v>
          </cell>
          <cell r="CX145">
            <v>-2.6732607244868034E-2</v>
          </cell>
          <cell r="CY145">
            <v>2.8982704390089653E-2</v>
          </cell>
          <cell r="CZ145">
            <v>4.2536515007434161E-3</v>
          </cell>
          <cell r="DB145">
            <v>3.3661006851355424E-2</v>
          </cell>
          <cell r="DC145">
            <v>2.3975031919421186E-2</v>
          </cell>
          <cell r="DD145">
            <v>1.2354237926307077E-2</v>
          </cell>
          <cell r="DE145">
            <v>9.7745834057736403E-3</v>
          </cell>
          <cell r="DF145">
            <v>1.8648853027320111E-2</v>
          </cell>
          <cell r="DH145">
            <v>2.9682997118155585E-2</v>
          </cell>
          <cell r="DI145">
            <v>1.9395954558049322E-2</v>
          </cell>
          <cell r="DJ145">
            <v>2.4654565158493735E-2</v>
          </cell>
          <cell r="DK145">
            <v>6.560182544209936E-2</v>
          </cell>
          <cell r="DL145">
            <v>3.7993636533782515E-2</v>
          </cell>
          <cell r="DN145">
            <v>-4.7579065211307281E-3</v>
          </cell>
          <cell r="DO145">
            <v>-5.191628159826045E-2</v>
          </cell>
          <cell r="DP145">
            <v>-8.1173982020095181E-2</v>
          </cell>
          <cell r="DQ145">
            <v>-8.4225553176302648E-2</v>
          </cell>
          <cell r="DR145">
            <v>-5.126818127178745E-2</v>
          </cell>
          <cell r="DT145">
            <v>-2.8965129358830111E-2</v>
          </cell>
          <cell r="DU145">
            <v>-5.7339449541282672E-4</v>
          </cell>
          <cell r="DV145">
            <v>1.1510791366906581E-3</v>
          </cell>
          <cell r="DW145">
            <v>-2.2408417770849565E-2</v>
          </cell>
          <cell r="DX145">
            <v>-1.3557174532784266E-2</v>
          </cell>
          <cell r="DZ145">
            <v>-4.6915725456125101E-2</v>
          </cell>
          <cell r="EA145">
            <v>-1.4916810097532984E-2</v>
          </cell>
          <cell r="EB145">
            <v>2.012072434607548E-3</v>
          </cell>
          <cell r="EC145">
            <v>7.1756029499701057E-3</v>
          </cell>
          <cell r="ED145">
            <v>-1.0211290218996805E-2</v>
          </cell>
          <cell r="EF145">
            <v>7.8699483439683915E-2</v>
          </cell>
          <cell r="EG145">
            <v>4.2807221898660375E-2</v>
          </cell>
          <cell r="EH145">
            <v>1.1187607573149849E-2</v>
          </cell>
          <cell r="EI145">
            <v>1.3259449831783066E-2</v>
          </cell>
          <cell r="EJ145">
            <v>2.361796003114458E-2</v>
          </cell>
          <cell r="EL145">
            <v>2.5633802816901419E-2</v>
          </cell>
          <cell r="EM145">
            <v>1.1728567439262871E-2</v>
          </cell>
          <cell r="EN145">
            <v>0.57588652482269498</v>
          </cell>
          <cell r="EO145">
            <v>0.86933593750000004</v>
          </cell>
          <cell r="EP145">
            <v>0.41924442190669375</v>
          </cell>
          <cell r="ER145">
            <v>0.62867344136226322</v>
          </cell>
          <cell r="ES145">
            <v>0.65470604471432514</v>
          </cell>
          <cell r="ET145">
            <v>5.9585958595859578E-2</v>
          </cell>
          <cell r="EU145">
            <v>-4.3046703583742518E-2</v>
          </cell>
          <cell r="EV145">
            <v>0.20455560518088434</v>
          </cell>
          <cell r="EX145">
            <v>-1.5177065767284503E-3</v>
          </cell>
          <cell r="EY145">
            <v>-1.7180984153461254E-2</v>
          </cell>
          <cell r="EZ145">
            <v>3.397893306150257E-3</v>
          </cell>
          <cell r="FA145">
            <v>-6.1687957200567745E-2</v>
          </cell>
          <cell r="FB145">
            <v>-2.4360400444938812E-2</v>
          </cell>
          <cell r="FD145">
            <v>-2.9386927883803371E-2</v>
          </cell>
          <cell r="FE145">
            <v>-2.9531568228105876E-2</v>
          </cell>
          <cell r="FF145">
            <v>-6.9928885878767333E-2</v>
          </cell>
          <cell r="FG145">
            <v>-7.6797765883174329E-2</v>
          </cell>
          <cell r="FH145">
            <v>-5.4003724394785846E-2</v>
          </cell>
          <cell r="FJ145">
            <v>-7.9867757090655966E-2</v>
          </cell>
          <cell r="FK145">
            <v>-7.5725778244141284E-2</v>
          </cell>
          <cell r="FL145">
            <v>-1.9661387220098359E-2</v>
          </cell>
          <cell r="FM145">
            <v>3.7811948575749987E-4</v>
          </cell>
          <cell r="FN145">
            <v>-4.0053029085650005E-2</v>
          </cell>
          <cell r="FP145">
            <v>5.4084720121028829E-2</v>
          </cell>
          <cell r="FQ145">
            <v>4.7682119205298079E-2</v>
          </cell>
          <cell r="FR145">
            <v>4.4196843082636939E-2</v>
          </cell>
          <cell r="FS145">
            <v>4.182940657679235E-2</v>
          </cell>
          <cell r="FT145">
            <v>4.6369533375183014E-2</v>
          </cell>
          <cell r="FV145">
            <v>5.6512378902045191E-2</v>
          </cell>
          <cell r="FW145">
            <v>7.2602492324363332E-2</v>
          </cell>
          <cell r="FX145">
            <v>4.0903432331495626E-2</v>
          </cell>
          <cell r="FY145">
            <v>5.5024791389527206E-2</v>
          </cell>
          <cell r="FZ145">
            <v>5.60732712074552E-2</v>
          </cell>
          <cell r="GB145">
            <v>4.313126167430803E-2</v>
          </cell>
          <cell r="GC145">
            <v>3.0139754167368249E-2</v>
          </cell>
          <cell r="GD145">
            <v>3.7021467099822347E-2</v>
          </cell>
          <cell r="GE145">
            <v>7.372007776590972E-2</v>
          </cell>
          <cell r="GF145">
            <v>4.8961204520547419E-2</v>
          </cell>
        </row>
        <row r="147">
          <cell r="A147" t="str">
            <v>Dept. Stores Monthly Sales - % of Total Year</v>
          </cell>
          <cell r="AN147" t="str">
            <v>Dept. Stores Monthly Sales - % of Total Year</v>
          </cell>
        </row>
        <row r="148">
          <cell r="A148" t="str">
            <v>Month 1</v>
          </cell>
          <cell r="AN148" t="str">
            <v>Month 1</v>
          </cell>
          <cell r="BS148">
            <v>6.3992993467868478E-2</v>
          </cell>
          <cell r="BT148">
            <v>6.9693099295697544E-2</v>
          </cell>
          <cell r="BU148">
            <v>7.6641243659453337E-2</v>
          </cell>
          <cell r="BV148">
            <v>9.6536875524577598E-2</v>
          </cell>
          <cell r="CP148">
            <v>6.7547817651526273E-2</v>
          </cell>
          <cell r="CQ148">
            <v>7.3202330731576559E-2</v>
          </cell>
          <cell r="CR148">
            <v>7.4574475553484926E-2</v>
          </cell>
          <cell r="CS148">
            <v>9.9783647862964217E-2</v>
          </cell>
          <cell r="CV148">
            <v>6.7261709778783194E-2</v>
          </cell>
          <cell r="CW148">
            <v>7.3432450537966709E-2</v>
          </cell>
          <cell r="CX148">
            <v>7.1659554139106546E-2</v>
          </cell>
          <cell r="CY148">
            <v>9.7804016770169422E-2</v>
          </cell>
          <cell r="DB148">
            <v>6.3946596793312119E-2</v>
          </cell>
          <cell r="DC148">
            <v>7.1557801484808781E-2</v>
          </cell>
          <cell r="DD148">
            <v>6.9810967621186604E-2</v>
          </cell>
          <cell r="DE148">
            <v>9.3517998627487678E-2</v>
          </cell>
          <cell r="DH148">
            <v>0</v>
          </cell>
          <cell r="DI148">
            <v>0</v>
          </cell>
          <cell r="DJ148">
            <v>0</v>
          </cell>
          <cell r="DK148">
            <v>0</v>
          </cell>
          <cell r="DN148">
            <v>6.8482736775419703E-2</v>
          </cell>
          <cell r="DO148">
            <v>7.3550839404497942E-2</v>
          </cell>
          <cell r="DP148">
            <v>7.1586949635730118E-2</v>
          </cell>
          <cell r="DQ148">
            <v>9.9144757681343051E-2</v>
          </cell>
          <cell r="DT148">
            <v>6.7304604713891214E-2</v>
          </cell>
          <cell r="DU148">
            <v>7.3855243722304287E-2</v>
          </cell>
          <cell r="DV148">
            <v>6.9745038854280392E-2</v>
          </cell>
          <cell r="DW148">
            <v>9.459893391561236E-2</v>
          </cell>
          <cell r="DZ148">
            <v>6.3911237996366471E-2</v>
          </cell>
          <cell r="EA148">
            <v>7.3773682844536725E-2</v>
          </cell>
          <cell r="EB148">
            <v>6.9945497015312746E-2</v>
          </cell>
          <cell r="EC148">
            <v>9.4731378146898526E-2</v>
          </cell>
          <cell r="EF148">
            <v>6.8458417849898576E-2</v>
          </cell>
          <cell r="EG148">
            <v>7.4923935091277885E-2</v>
          </cell>
          <cell r="EH148">
            <v>6.6937119675456389E-2</v>
          </cell>
          <cell r="EI148">
            <v>9.1658215010141986E-2</v>
          </cell>
          <cell r="EL148">
            <v>4.899508709245199E-2</v>
          </cell>
          <cell r="EM148">
            <v>5.3104064314426082E-2</v>
          </cell>
          <cell r="EN148">
            <v>4.769986601161233E-2</v>
          </cell>
          <cell r="EO148">
            <v>0.11688253684680661</v>
          </cell>
          <cell r="ER148">
            <v>6.6740823136818686E-2</v>
          </cell>
          <cell r="ES148">
            <v>7.5120504263997037E-2</v>
          </cell>
          <cell r="ET148">
            <v>6.4034111976269931E-2</v>
          </cell>
          <cell r="EU148">
            <v>8.8431590656284767E-2</v>
          </cell>
          <cell r="EX148">
            <v>6.8483259225477905E-2</v>
          </cell>
          <cell r="EY148">
            <v>7.5095960171778206E-2</v>
          </cell>
          <cell r="EZ148">
            <v>6.795120282749971E-2</v>
          </cell>
          <cell r="FA148">
            <v>0.10287690495192491</v>
          </cell>
          <cell r="FD148">
            <v>6.9781455889442387E-2</v>
          </cell>
          <cell r="FE148">
            <v>7.7374256789329909E-2</v>
          </cell>
          <cell r="FF148">
            <v>6.7732604852964812E-2</v>
          </cell>
          <cell r="FG148">
            <v>9.3363329583802029E-2</v>
          </cell>
          <cell r="FJ148">
            <v>6.7068320951899615E-2</v>
          </cell>
          <cell r="FK148">
            <v>7.4649782725973876E-2</v>
          </cell>
          <cell r="FL148">
            <v>6.5961460508603714E-2</v>
          </cell>
          <cell r="FM148">
            <v>9.2185673045563743E-2</v>
          </cell>
          <cell r="FP148">
            <v>6.6671999360076797E-2</v>
          </cell>
          <cell r="FQ148">
            <v>7.155141383034036E-2</v>
          </cell>
          <cell r="FR148">
            <v>6.5512138543374801E-2</v>
          </cell>
          <cell r="FS148">
            <v>9.3628764548254209E-2</v>
          </cell>
          <cell r="FV148">
            <v>6.6767657640598374E-2</v>
          </cell>
          <cell r="FW148">
            <v>7.3357318689642112E-2</v>
          </cell>
          <cell r="FX148">
            <v>6.49119484946033E-2</v>
          </cell>
          <cell r="FY148">
            <v>9.3353531528119676E-2</v>
          </cell>
          <cell r="GB148">
            <v>6.7153297961635244E-2</v>
          </cell>
          <cell r="GC148">
            <v>7.2749406125104846E-2</v>
          </cell>
          <cell r="GD148">
            <v>6.5420309627141432E-2</v>
          </cell>
          <cell r="GE148">
            <v>9.1688515221328329E-2</v>
          </cell>
        </row>
        <row r="149">
          <cell r="A149" t="str">
            <v>Month 2</v>
          </cell>
          <cell r="AN149" t="str">
            <v>Month 2</v>
          </cell>
          <cell r="BS149">
            <v>8.4866620443017182E-2</v>
          </cell>
          <cell r="BT149">
            <v>8.483742655913587E-2</v>
          </cell>
          <cell r="BU149">
            <v>9.3559099368682272E-2</v>
          </cell>
          <cell r="BV149">
            <v>0.18623508374995437</v>
          </cell>
          <cell r="CP149">
            <v>8.2277632762989106E-2</v>
          </cell>
          <cell r="CQ149">
            <v>8.4753875511363277E-2</v>
          </cell>
          <cell r="CR149">
            <v>9.2297480997389741E-2</v>
          </cell>
          <cell r="CS149">
            <v>0.1754239289292803</v>
          </cell>
          <cell r="CV149">
            <v>8.1852874333968956E-2</v>
          </cell>
          <cell r="CW149">
            <v>8.6333175297124864E-2</v>
          </cell>
          <cell r="CX149">
            <v>9.0068411742663196E-2</v>
          </cell>
          <cell r="CY149">
            <v>0.18233192056882172</v>
          </cell>
          <cell r="DB149">
            <v>8.3785638530164075E-2</v>
          </cell>
          <cell r="DC149">
            <v>8.7778401647014781E-2</v>
          </cell>
          <cell r="DD149">
            <v>8.8776592426227457E-2</v>
          </cell>
          <cell r="DE149">
            <v>0.18192026951151039</v>
          </cell>
          <cell r="DH149">
            <v>0</v>
          </cell>
          <cell r="DI149">
            <v>0</v>
          </cell>
          <cell r="DJ149">
            <v>0</v>
          </cell>
          <cell r="DK149">
            <v>0</v>
          </cell>
          <cell r="DN149">
            <v>8.3433639531200504E-2</v>
          </cell>
          <cell r="DO149">
            <v>8.4003801076971807E-2</v>
          </cell>
          <cell r="DP149">
            <v>8.1659803611023124E-2</v>
          </cell>
          <cell r="DQ149">
            <v>0.17706683560342096</v>
          </cell>
          <cell r="DT149">
            <v>8.4194977843426888E-2</v>
          </cell>
          <cell r="DU149">
            <v>8.7791407102947791E-2</v>
          </cell>
          <cell r="DV149">
            <v>8.445186564767837E-2</v>
          </cell>
          <cell r="DW149">
            <v>0.17802324834628477</v>
          </cell>
          <cell r="DZ149">
            <v>8.0002595380223196E-2</v>
          </cell>
          <cell r="EA149">
            <v>8.6750583960550215E-2</v>
          </cell>
          <cell r="EB149">
            <v>8.7723851544251233E-2</v>
          </cell>
          <cell r="EC149">
            <v>0.18050869452374774</v>
          </cell>
          <cell r="EF149">
            <v>8.4051724137931036E-2</v>
          </cell>
          <cell r="EG149">
            <v>8.8362068965517238E-2</v>
          </cell>
          <cell r="EH149">
            <v>8.6270283975659223E-2</v>
          </cell>
          <cell r="EI149">
            <v>0.18103448275862069</v>
          </cell>
          <cell r="EL149">
            <v>6.1232693166592231E-2</v>
          </cell>
          <cell r="EM149">
            <v>6.413577489950871E-2</v>
          </cell>
          <cell r="EN149">
            <v>0.11004912907548013</v>
          </cell>
          <cell r="EO149">
            <v>0.24381420276909335</v>
          </cell>
          <cell r="ER149">
            <v>8.3611420096403405E-2</v>
          </cell>
          <cell r="ES149">
            <v>8.776418242491657E-2</v>
          </cell>
          <cell r="ET149">
            <v>8.5391175380051906E-2</v>
          </cell>
          <cell r="EU149">
            <v>0.18527994067482387</v>
          </cell>
          <cell r="EX149">
            <v>8.695321704100635E-2</v>
          </cell>
          <cell r="EY149">
            <v>8.8207349979097779E-2</v>
          </cell>
          <cell r="EZ149">
            <v>8.6421160643028155E-2</v>
          </cell>
          <cell r="FA149">
            <v>0.17573062744650933</v>
          </cell>
          <cell r="FD149">
            <v>8.6051743532058494E-2</v>
          </cell>
          <cell r="FE149">
            <v>9.0350313353687928E-2</v>
          </cell>
          <cell r="FF149">
            <v>8.4083239595050624E-2</v>
          </cell>
          <cell r="FG149">
            <v>0.17664309818415555</v>
          </cell>
          <cell r="FJ149">
            <v>8.2184516659492057E-2</v>
          </cell>
          <cell r="FK149">
            <v>8.7574456599025657E-2</v>
          </cell>
          <cell r="FL149">
            <v>8.7221229690381485E-2</v>
          </cell>
          <cell r="FM149">
            <v>0.18726802038559062</v>
          </cell>
          <cell r="FP149">
            <v>8.686957565092189E-2</v>
          </cell>
          <cell r="FQ149">
            <v>8.9149302083749951E-2</v>
          </cell>
          <cell r="FR149">
            <v>8.7229532456105263E-2</v>
          </cell>
          <cell r="FS149">
            <v>0.18473783146022477</v>
          </cell>
          <cell r="FV149">
            <v>8.3544783185002844E-2</v>
          </cell>
          <cell r="FW149">
            <v>9.0588903616739255E-2</v>
          </cell>
          <cell r="FX149">
            <v>8.7028971785646655E-2</v>
          </cell>
          <cell r="FY149">
            <v>0.18651770498011741</v>
          </cell>
          <cell r="GB149">
            <v>8.5133051932008555E-2</v>
          </cell>
          <cell r="GC149">
            <v>8.7082663808314087E-2</v>
          </cell>
          <cell r="GD149">
            <v>8.4458488715419958E-2</v>
          </cell>
          <cell r="GE149">
            <v>0.18319104968155864</v>
          </cell>
        </row>
        <row r="150">
          <cell r="A150" t="str">
            <v>Month 3</v>
          </cell>
          <cell r="AN150" t="str">
            <v>Month 3</v>
          </cell>
          <cell r="BS150">
            <v>6.5569463197460126E-2</v>
          </cell>
          <cell r="BT150">
            <v>5.9373061343648503E-2</v>
          </cell>
          <cell r="BU150">
            <v>7.4488194723205489E-2</v>
          </cell>
          <cell r="BV150">
            <v>4.4206838667299207E-2</v>
          </cell>
          <cell r="CP150">
            <v>6.7713751443943093E-2</v>
          </cell>
          <cell r="CQ150">
            <v>6.2403870086604675E-2</v>
          </cell>
          <cell r="CR150">
            <v>7.2206727977075613E-2</v>
          </cell>
          <cell r="CS150">
            <v>4.7814460491802234E-2</v>
          </cell>
          <cell r="CV150">
            <v>7.0604459149875398E-2</v>
          </cell>
          <cell r="CW150">
            <v>6.4217647138568035E-2</v>
          </cell>
          <cell r="CX150">
            <v>6.9973942900060218E-2</v>
          </cell>
          <cell r="CY150">
            <v>5.0840294617372023E-2</v>
          </cell>
          <cell r="DB150">
            <v>6.7190716825753324E-2</v>
          </cell>
          <cell r="DC150">
            <v>6.3322727556304192E-2</v>
          </cell>
          <cell r="DD150">
            <v>6.8937550689375501E-2</v>
          </cell>
          <cell r="DE150">
            <v>4.8848961257720383E-2</v>
          </cell>
          <cell r="DH150">
            <v>0</v>
          </cell>
          <cell r="DI150">
            <v>0</v>
          </cell>
          <cell r="DJ150">
            <v>0</v>
          </cell>
          <cell r="DK150">
            <v>0</v>
          </cell>
          <cell r="DN150">
            <v>7.3614190687361414E-2</v>
          </cell>
          <cell r="DO150">
            <v>6.366803927779538E-2</v>
          </cell>
          <cell r="DP150">
            <v>6.702565726955971E-2</v>
          </cell>
          <cell r="DQ150">
            <v>4.9033892936331959E-2</v>
          </cell>
          <cell r="DT150">
            <v>7.0451480315971995E-2</v>
          </cell>
          <cell r="DU150">
            <v>6.229529253098709E-2</v>
          </cell>
          <cell r="DV150">
            <v>6.9552373001091766E-2</v>
          </cell>
          <cell r="DW150">
            <v>4.97720120737268E-2</v>
          </cell>
          <cell r="DZ150">
            <v>6.9815728004152602E-2</v>
          </cell>
          <cell r="EA150">
            <v>6.2483778873604984E-2</v>
          </cell>
          <cell r="EB150">
            <v>6.8647806903711389E-2</v>
          </cell>
          <cell r="EC150">
            <v>5.2815987542174932E-2</v>
          </cell>
          <cell r="EF150">
            <v>7.2515212981744417E-2</v>
          </cell>
          <cell r="EG150">
            <v>6.3704361054766734E-2</v>
          </cell>
          <cell r="EH150">
            <v>7.0233265720081137E-2</v>
          </cell>
          <cell r="EI150">
            <v>5.1850912778904662E-2</v>
          </cell>
          <cell r="EL150">
            <v>5.2389459580169717E-2</v>
          </cell>
          <cell r="EM150">
            <v>4.4573470299240733E-2</v>
          </cell>
          <cell r="EN150">
            <v>9.0352836087539079E-2</v>
          </cell>
          <cell r="EO150">
            <v>6.6770879857079052E-2</v>
          </cell>
          <cell r="ER150">
            <v>6.9632925472747492E-2</v>
          </cell>
          <cell r="ES150">
            <v>5.9621802002224694E-2</v>
          </cell>
          <cell r="ET150">
            <v>6.907675194660734E-2</v>
          </cell>
          <cell r="EU150">
            <v>6.5999258435298483E-2</v>
          </cell>
          <cell r="EX150">
            <v>6.9813400220423372E-2</v>
          </cell>
          <cell r="EY150">
            <v>6.0882453540075245E-2</v>
          </cell>
          <cell r="EZ150">
            <v>7.0269448561547529E-2</v>
          </cell>
          <cell r="FA150">
            <v>4.8379128187587883E-2</v>
          </cell>
          <cell r="FD150">
            <v>7.5044190904708347E-2</v>
          </cell>
          <cell r="FE150">
            <v>6.1987787240880603E-2</v>
          </cell>
          <cell r="FF150">
            <v>6.8857464245540734E-2</v>
          </cell>
          <cell r="FG150">
            <v>4.8730515828378597E-2</v>
          </cell>
          <cell r="FJ150">
            <v>7.2006840145461229E-2</v>
          </cell>
          <cell r="FK150">
            <v>5.899358867248948E-2</v>
          </cell>
          <cell r="FL150">
            <v>7.2220113734892177E-2</v>
          </cell>
          <cell r="FM150">
            <v>5.3084494474265165E-2</v>
          </cell>
          <cell r="FP150">
            <v>6.9551653801543808E-2</v>
          </cell>
          <cell r="FQ150">
            <v>6.11126664800224E-2</v>
          </cell>
          <cell r="FR150">
            <v>7.2231332240131188E-2</v>
          </cell>
          <cell r="FS150">
            <v>5.2393712754469461E-2</v>
          </cell>
          <cell r="FV150">
            <v>7.2713501230827496E-2</v>
          </cell>
          <cell r="FW150">
            <v>6.1049043741715582E-2</v>
          </cell>
          <cell r="FX150">
            <v>6.9759515243325132E-2</v>
          </cell>
          <cell r="FY150">
            <v>5.0596477939784133E-2</v>
          </cell>
          <cell r="GB150">
            <v>6.9608364768834807E-2</v>
          </cell>
          <cell r="GC150">
            <v>6.112394271454219E-2</v>
          </cell>
          <cell r="GD150">
            <v>6.9260704848515153E-2</v>
          </cell>
          <cell r="GE150">
            <v>6.3310724213773262E-2</v>
          </cell>
        </row>
        <row r="151">
          <cell r="A151" t="str">
            <v>Total</v>
          </cell>
          <cell r="AN151" t="str">
            <v>Total</v>
          </cell>
          <cell r="BS151">
            <v>0.2144290771083458</v>
          </cell>
          <cell r="BT151">
            <v>0.21390358719848193</v>
          </cell>
          <cell r="BU151">
            <v>0.24468853775134108</v>
          </cell>
          <cell r="BV151">
            <v>0.32697879794183116</v>
          </cell>
          <cell r="BW151">
            <v>1</v>
          </cell>
          <cell r="CP151">
            <v>0.21753920185845851</v>
          </cell>
          <cell r="CQ151">
            <v>0.22036007632954452</v>
          </cell>
          <cell r="CR151">
            <v>0.23907868452795028</v>
          </cell>
          <cell r="CS151">
            <v>0.32302203728404671</v>
          </cell>
          <cell r="CT151">
            <v>1</v>
          </cell>
          <cell r="CV151">
            <v>0.21333858628814734</v>
          </cell>
          <cell r="CW151">
            <v>0.22398327297365961</v>
          </cell>
          <cell r="CX151">
            <v>0.23170190878182992</v>
          </cell>
          <cell r="CY151">
            <v>0.33097623195636316</v>
          </cell>
          <cell r="CZ151">
            <v>1</v>
          </cell>
          <cell r="DB151">
            <v>0.21648262524174933</v>
          </cell>
          <cell r="DC151">
            <v>0.22515440763615946</v>
          </cell>
          <cell r="DD151">
            <v>0.23027013537962443</v>
          </cell>
          <cell r="DE151">
            <v>0.32809283174246678</v>
          </cell>
          <cell r="DF151">
            <v>1</v>
          </cell>
          <cell r="DH151">
            <v>0.214749368914533</v>
          </cell>
          <cell r="DI151">
            <v>0.2211203269623753</v>
          </cell>
          <cell r="DJ151">
            <v>0.22731097487678809</v>
          </cell>
          <cell r="DK151">
            <v>0.33681932924630364</v>
          </cell>
          <cell r="DL151">
            <v>1</v>
          </cell>
          <cell r="DN151">
            <v>0.22527716186252772</v>
          </cell>
          <cell r="DO151">
            <v>0.22096927462781121</v>
          </cell>
          <cell r="DP151">
            <v>0.22014570795058599</v>
          </cell>
          <cell r="DQ151">
            <v>0.325118783655369</v>
          </cell>
          <cell r="DR151">
            <v>1</v>
          </cell>
          <cell r="DT151">
            <v>0.22175839702010147</v>
          </cell>
          <cell r="DU151">
            <v>0.22387772140517628</v>
          </cell>
          <cell r="DV151">
            <v>0.22342816774773619</v>
          </cell>
          <cell r="DW151">
            <v>0.32220152848243527</v>
          </cell>
          <cell r="DX151">
            <v>1</v>
          </cell>
          <cell r="DZ151">
            <v>0.21353490786400209</v>
          </cell>
          <cell r="EA151">
            <v>0.22281339216195173</v>
          </cell>
          <cell r="EB151">
            <v>0.22618738645211522</v>
          </cell>
          <cell r="EC151">
            <v>0.32786140669608099</v>
          </cell>
          <cell r="ED151">
            <v>1</v>
          </cell>
          <cell r="EF151">
            <v>0.22502535496957404</v>
          </cell>
          <cell r="EG151">
            <v>0.22699036511156187</v>
          </cell>
          <cell r="EH151">
            <v>0.22344066937119675</v>
          </cell>
          <cell r="EI151">
            <v>0.32454361054766734</v>
          </cell>
          <cell r="EJ151">
            <v>1</v>
          </cell>
          <cell r="EL151">
            <v>0.16261723983921395</v>
          </cell>
          <cell r="EM151">
            <v>0.16181330951317552</v>
          </cell>
          <cell r="EN151">
            <v>0.24810183117463153</v>
          </cell>
          <cell r="EO151">
            <v>0.42746761947297901</v>
          </cell>
          <cell r="EP151">
            <v>1</v>
          </cell>
          <cell r="ER151">
            <v>0.21987393400074157</v>
          </cell>
          <cell r="ES151">
            <v>0.22228401928068223</v>
          </cell>
          <cell r="ET151">
            <v>0.21824249165739712</v>
          </cell>
          <cell r="EU151">
            <v>0.33959955506117911</v>
          </cell>
          <cell r="EV151">
            <v>1</v>
          </cell>
          <cell r="EX151">
            <v>0.22502185231634553</v>
          </cell>
          <cell r="EY151">
            <v>0.22391973549196215</v>
          </cell>
          <cell r="EZ151">
            <v>0.22445179188994033</v>
          </cell>
          <cell r="FA151">
            <v>0.32660662030175197</v>
          </cell>
          <cell r="FB151">
            <v>1</v>
          </cell>
          <cell r="FD151">
            <v>0.23087739032620921</v>
          </cell>
          <cell r="FE151">
            <v>0.22971235738389845</v>
          </cell>
          <cell r="FF151">
            <v>0.22067330869355617</v>
          </cell>
          <cell r="FG151">
            <v>0.3187369435963362</v>
          </cell>
          <cell r="FH151">
            <v>1</v>
          </cell>
          <cell r="FJ151">
            <v>0.22130152751621679</v>
          </cell>
          <cell r="FK151">
            <v>0.22117597823812513</v>
          </cell>
          <cell r="FL151">
            <v>0.22536095417451349</v>
          </cell>
          <cell r="FM151">
            <v>0.33216154007114457</v>
          </cell>
          <cell r="FN151">
            <v>1</v>
          </cell>
          <cell r="FP151">
            <v>0.22293324801023878</v>
          </cell>
          <cell r="FQ151">
            <v>0.22145342558892933</v>
          </cell>
          <cell r="FR151">
            <v>0.22489301283845939</v>
          </cell>
          <cell r="FS151">
            <v>0.33072031356237253</v>
          </cell>
          <cell r="FT151">
            <v>1</v>
          </cell>
          <cell r="FV151">
            <v>0.2230259420564287</v>
          </cell>
          <cell r="FW151">
            <v>0.22491952281764818</v>
          </cell>
          <cell r="FX151">
            <v>0.22166256390835068</v>
          </cell>
          <cell r="FY151">
            <v>0.33039197121757241</v>
          </cell>
          <cell r="FZ151">
            <v>1</v>
          </cell>
          <cell r="GB151">
            <v>0.22178640289157275</v>
          </cell>
          <cell r="GC151">
            <v>0.22088380480069056</v>
          </cell>
          <cell r="GD151">
            <v>0.2191395031910765</v>
          </cell>
          <cell r="GE151">
            <v>0.33819028911666016</v>
          </cell>
          <cell r="GF151">
            <v>1</v>
          </cell>
        </row>
        <row r="153">
          <cell r="A153" t="str">
            <v>Original Federated Doors Monthly Sales</v>
          </cell>
          <cell r="AN153" t="str">
            <v>Original Federated Doors Monthly Sales</v>
          </cell>
        </row>
        <row r="154">
          <cell r="A154" t="str">
            <v>Month 1</v>
          </cell>
          <cell r="AN154" t="str">
            <v>Month 1</v>
          </cell>
          <cell r="DZ154">
            <v>985</v>
          </cell>
          <cell r="EA154">
            <v>1137</v>
          </cell>
          <cell r="EB154">
            <v>1078</v>
          </cell>
          <cell r="EC154">
            <v>1460</v>
          </cell>
          <cell r="EF154">
            <v>1080</v>
          </cell>
          <cell r="EG154">
            <v>1182</v>
          </cell>
          <cell r="EH154">
            <v>1056</v>
          </cell>
          <cell r="EI154">
            <v>1446</v>
          </cell>
          <cell r="EL154">
            <v>1097</v>
          </cell>
          <cell r="EM154">
            <v>1189</v>
          </cell>
          <cell r="EN154">
            <v>1068</v>
          </cell>
        </row>
        <row r="155">
          <cell r="A155" t="str">
            <v>Month 2</v>
          </cell>
          <cell r="AN155" t="str">
            <v>Month 2</v>
          </cell>
          <cell r="DZ155">
            <v>1233</v>
          </cell>
          <cell r="EA155">
            <v>1337</v>
          </cell>
          <cell r="EB155">
            <v>1352</v>
          </cell>
          <cell r="EC155">
            <v>2782</v>
          </cell>
          <cell r="EF155">
            <v>1326</v>
          </cell>
          <cell r="EG155">
            <v>1394</v>
          </cell>
          <cell r="EH155">
            <v>1361</v>
          </cell>
          <cell r="EI155">
            <v>2856</v>
          </cell>
          <cell r="EL155">
            <v>1371</v>
          </cell>
          <cell r="EM155">
            <v>1436</v>
          </cell>
        </row>
        <row r="156">
          <cell r="A156" t="str">
            <v>Month 3</v>
          </cell>
          <cell r="AN156" t="str">
            <v>Month 3</v>
          </cell>
          <cell r="DZ156">
            <v>1076</v>
          </cell>
          <cell r="EA156">
            <v>963</v>
          </cell>
          <cell r="EB156">
            <v>1058</v>
          </cell>
          <cell r="EC156">
            <v>814</v>
          </cell>
          <cell r="EF156">
            <v>1144</v>
          </cell>
          <cell r="EG156">
            <v>1005</v>
          </cell>
          <cell r="EH156">
            <v>1108</v>
          </cell>
          <cell r="EI156">
            <v>818</v>
          </cell>
          <cell r="EL156">
            <v>1173</v>
          </cell>
          <cell r="EM156">
            <v>998</v>
          </cell>
        </row>
        <row r="157">
          <cell r="A157" t="str">
            <v>Total</v>
          </cell>
          <cell r="AN157" t="str">
            <v>Total</v>
          </cell>
          <cell r="DZ157">
            <v>3291</v>
          </cell>
          <cell r="EA157">
            <v>3434</v>
          </cell>
          <cell r="EB157">
            <v>3486</v>
          </cell>
          <cell r="EC157">
            <v>5053</v>
          </cell>
          <cell r="ED157">
            <v>15412</v>
          </cell>
          <cell r="EF157">
            <v>3550</v>
          </cell>
          <cell r="EG157">
            <v>3581</v>
          </cell>
          <cell r="EH157">
            <v>3525</v>
          </cell>
          <cell r="EI157">
            <v>5120</v>
          </cell>
          <cell r="EJ157">
            <v>15776</v>
          </cell>
          <cell r="EL157">
            <v>3641</v>
          </cell>
          <cell r="EM157">
            <v>3623</v>
          </cell>
        </row>
        <row r="159">
          <cell r="A159" t="str">
            <v>Original Federated Doors Monthly Comps</v>
          </cell>
          <cell r="AN159" t="str">
            <v>Original Federated Doors Monthly Comps</v>
          </cell>
        </row>
        <row r="160">
          <cell r="A160" t="str">
            <v>Month 1</v>
          </cell>
          <cell r="AN160" t="str">
            <v>Month 1</v>
          </cell>
          <cell r="DH160">
            <v>5.2999999999999999E-2</v>
          </cell>
          <cell r="DI160">
            <v>4.2000000000000003E-2</v>
          </cell>
          <cell r="DJ160">
            <v>1.0999999999999999E-2</v>
          </cell>
          <cell r="DK160">
            <v>1.4E-2</v>
          </cell>
          <cell r="DN160">
            <v>-1.6E-2</v>
          </cell>
          <cell r="DO160">
            <v>-3.3000000000000002E-2</v>
          </cell>
          <cell r="DP160">
            <v>-2.5999999999999999E-2</v>
          </cell>
          <cell r="DQ160">
            <v>8.9999999999999993E-3</v>
          </cell>
          <cell r="DT160">
            <v>-2.8000000000000001E-2</v>
          </cell>
          <cell r="DU160">
            <v>-3.4000000000000002E-2</v>
          </cell>
          <cell r="DV160">
            <v>-5.8000000000000003E-2</v>
          </cell>
          <cell r="DW160">
            <v>-7.3999999999999996E-2</v>
          </cell>
          <cell r="DZ160">
            <v>-6.8000000000000005E-2</v>
          </cell>
          <cell r="EA160">
            <v>-8.0000000000000002E-3</v>
          </cell>
          <cell r="EB160">
            <v>-8.0000000000000002E-3</v>
          </cell>
          <cell r="EC160">
            <v>-1E-3</v>
          </cell>
          <cell r="EF160">
            <v>0.09</v>
          </cell>
          <cell r="EG160">
            <v>2.9000000000000001E-2</v>
          </cell>
          <cell r="EH160">
            <v>-2.4E-2</v>
          </cell>
          <cell r="EI160">
            <v>-1.4E-2</v>
          </cell>
          <cell r="EL160">
            <v>1.7999999999999999E-2</v>
          </cell>
          <cell r="EM160">
            <v>8.0000000000000002E-3</v>
          </cell>
          <cell r="EN160">
            <v>1.0999999999999999E-2</v>
          </cell>
          <cell r="EO160">
            <v>-3.4000000000000002E-2</v>
          </cell>
          <cell r="ER160">
            <v>0.01</v>
          </cell>
          <cell r="ES160">
            <v>9.1999999999999998E-2</v>
          </cell>
          <cell r="ET160">
            <v>3.7999999999999999E-2</v>
          </cell>
          <cell r="EU160">
            <v>8.5000000000000006E-2</v>
          </cell>
          <cell r="EX160">
            <v>1.2E-2</v>
          </cell>
          <cell r="EY160">
            <v>-3.3000000000000002E-2</v>
          </cell>
          <cell r="EZ160">
            <v>2.4E-2</v>
          </cell>
          <cell r="FA160">
            <v>0.13400000000000001</v>
          </cell>
          <cell r="FD160">
            <v>-3.5000000000000003E-2</v>
          </cell>
          <cell r="FE160">
            <v>-1.4999999999999999E-2</v>
          </cell>
          <cell r="FF160">
            <v>-4.8000000000000001E-2</v>
          </cell>
          <cell r="FG160">
            <v>-0.13300000000000001</v>
          </cell>
          <cell r="FJ160">
            <v>-8.5000000000000006E-2</v>
          </cell>
          <cell r="FK160">
            <v>-9.0999999999999998E-2</v>
          </cell>
          <cell r="FL160">
            <v>-8.1000000000000003E-2</v>
          </cell>
          <cell r="FM160">
            <v>-6.0999999999999999E-2</v>
          </cell>
          <cell r="FP160">
            <v>3.6999999999999998E-2</v>
          </cell>
          <cell r="FQ160">
            <v>1.4E-2</v>
          </cell>
          <cell r="FR160">
            <v>4.2999999999999997E-2</v>
          </cell>
          <cell r="FS160">
            <v>6.0999999999999999E-2</v>
          </cell>
          <cell r="FV160">
            <v>5.8000000000000003E-2</v>
          </cell>
          <cell r="FW160">
            <v>7.3999999999999996E-2</v>
          </cell>
          <cell r="FX160">
            <v>0.05</v>
          </cell>
          <cell r="FY160">
            <v>4.8000000000000001E-2</v>
          </cell>
          <cell r="GB160">
            <v>4.5999999999999999E-2</v>
          </cell>
          <cell r="GC160">
            <v>4.2000000000000003E-2</v>
          </cell>
          <cell r="GD160">
            <v>5.0999999999999997E-2</v>
          </cell>
          <cell r="GE160">
            <v>0.04</v>
          </cell>
        </row>
        <row r="161">
          <cell r="A161" t="str">
            <v>Month 2</v>
          </cell>
          <cell r="AN161" t="str">
            <v>Month 2</v>
          </cell>
          <cell r="DH161">
            <v>-6.0000000000000001E-3</v>
          </cell>
          <cell r="DI161">
            <v>5.0000000000000001E-3</v>
          </cell>
          <cell r="DJ161">
            <v>2.9000000000000001E-2</v>
          </cell>
          <cell r="DK161">
            <v>1.2E-2</v>
          </cell>
          <cell r="DN161">
            <v>-3.2000000000000001E-2</v>
          </cell>
          <cell r="DO161">
            <v>-6.4000000000000001E-2</v>
          </cell>
          <cell r="DP161">
            <v>-0.129</v>
          </cell>
          <cell r="DQ161">
            <v>-8.6999999999999994E-2</v>
          </cell>
          <cell r="DT161">
            <v>-2E-3</v>
          </cell>
          <cell r="DU161">
            <v>-4.0000000000000001E-3</v>
          </cell>
          <cell r="DV161">
            <v>0</v>
          </cell>
          <cell r="DW161">
            <v>-2.5999999999999999E-2</v>
          </cell>
          <cell r="DZ161">
            <v>-6.5000000000000002E-2</v>
          </cell>
          <cell r="EA161">
            <v>-0.02</v>
          </cell>
          <cell r="EB161">
            <v>3.2000000000000001E-2</v>
          </cell>
          <cell r="EC161">
            <v>1.2E-2</v>
          </cell>
          <cell r="EF161">
            <v>6.8000000000000005E-2</v>
          </cell>
          <cell r="EG161">
            <v>3.4000000000000002E-2</v>
          </cell>
          <cell r="EH161">
            <v>1E-3</v>
          </cell>
          <cell r="EI161">
            <v>2.3E-2</v>
          </cell>
          <cell r="EL161">
            <v>3.4000000000000002E-2</v>
          </cell>
          <cell r="EM161">
            <v>2.9000000000000001E-2</v>
          </cell>
          <cell r="EN161">
            <v>1.2999999999999999E-2</v>
          </cell>
          <cell r="EO161">
            <v>3.4000000000000002E-2</v>
          </cell>
          <cell r="ER161">
            <v>0</v>
          </cell>
          <cell r="ES161">
            <v>1.7000000000000001E-2</v>
          </cell>
          <cell r="ET161">
            <v>6.5000000000000002E-2</v>
          </cell>
          <cell r="EU161">
            <v>4.3999999999999997E-2</v>
          </cell>
          <cell r="EX161">
            <v>2.3E-2</v>
          </cell>
          <cell r="EY161">
            <v>-2.7E-2</v>
          </cell>
          <cell r="EZ161">
            <v>-2.7E-2</v>
          </cell>
          <cell r="FA161">
            <v>-7.9000000000000001E-2</v>
          </cell>
          <cell r="FD161">
            <v>-6.2E-2</v>
          </cell>
          <cell r="FE161">
            <v>-2.1000000000000001E-2</v>
          </cell>
          <cell r="FF161">
            <v>-6.6000000000000003E-2</v>
          </cell>
          <cell r="FG161">
            <v>-0.04</v>
          </cell>
          <cell r="FJ161">
            <v>-9.1999999999999998E-2</v>
          </cell>
          <cell r="FK161">
            <v>-8.8999999999999996E-2</v>
          </cell>
          <cell r="FL161">
            <v>-2.3E-2</v>
          </cell>
          <cell r="FM161">
            <v>0.01</v>
          </cell>
          <cell r="FP161">
            <v>0.10800000000000001</v>
          </cell>
          <cell r="FQ161">
            <v>6.5000000000000002E-2</v>
          </cell>
          <cell r="FR161">
            <v>4.8000000000000001E-2</v>
          </cell>
          <cell r="FS161">
            <v>3.9E-2</v>
          </cell>
          <cell r="FV161">
            <v>8.9999999999999993E-3</v>
          </cell>
          <cell r="FW161">
            <v>6.7000000000000004E-2</v>
          </cell>
          <cell r="FX161">
            <v>4.9000000000000002E-2</v>
          </cell>
          <cell r="FY161">
            <v>6.2E-2</v>
          </cell>
          <cell r="GB161">
            <v>7.2999999999999995E-2</v>
          </cell>
          <cell r="GC161">
            <v>1.2E-2</v>
          </cell>
          <cell r="GD161">
            <v>0.03</v>
          </cell>
          <cell r="GE161">
            <v>0.04</v>
          </cell>
        </row>
        <row r="162">
          <cell r="A162" t="str">
            <v>Month 3</v>
          </cell>
          <cell r="AN162" t="str">
            <v>Month 3</v>
          </cell>
          <cell r="DH162">
            <v>5.1999999999999998E-2</v>
          </cell>
          <cell r="DI162">
            <v>1.6E-2</v>
          </cell>
          <cell r="DJ162">
            <v>1.6E-2</v>
          </cell>
          <cell r="DK162">
            <v>3.6999999999999998E-2</v>
          </cell>
          <cell r="DN162">
            <v>8.0000000000000002E-3</v>
          </cell>
          <cell r="DO162">
            <v>-4.2000000000000003E-2</v>
          </cell>
          <cell r="DP162">
            <v>-8.6999999999999994E-2</v>
          </cell>
          <cell r="DQ162">
            <v>-8.7999999999999995E-2</v>
          </cell>
          <cell r="DT162">
            <v>-5.8999999999999997E-2</v>
          </cell>
          <cell r="DU162">
            <v>-5.1999999999999998E-2</v>
          </cell>
          <cell r="DV162">
            <v>3.0000000000000001E-3</v>
          </cell>
          <cell r="DW162">
            <v>-1.2E-2</v>
          </cell>
          <cell r="DZ162">
            <v>-1.3999999999999999E-2</v>
          </cell>
          <cell r="EA162">
            <v>-4.0000000000000001E-3</v>
          </cell>
          <cell r="EB162">
            <v>-0.02</v>
          </cell>
          <cell r="EC162">
            <v>5.5E-2</v>
          </cell>
          <cell r="EF162">
            <v>5.3999999999999999E-2</v>
          </cell>
          <cell r="EG162">
            <v>3.6999999999999998E-2</v>
          </cell>
          <cell r="EH162">
            <v>0.04</v>
          </cell>
          <cell r="EI162">
            <v>-4.0000000000000001E-3</v>
          </cell>
          <cell r="EL162">
            <v>2.8000000000000001E-2</v>
          </cell>
          <cell r="EM162">
            <v>-8.9999999999999993E-3</v>
          </cell>
          <cell r="EN162">
            <v>-7.0000000000000001E-3</v>
          </cell>
          <cell r="EO162">
            <v>0.01</v>
          </cell>
          <cell r="ER162">
            <v>-8.0000000000000002E-3</v>
          </cell>
          <cell r="ES162">
            <v>3.3000000000000002E-2</v>
          </cell>
          <cell r="ET162">
            <v>7.6999999999999999E-2</v>
          </cell>
          <cell r="EU162">
            <v>8.5999999999999993E-2</v>
          </cell>
          <cell r="EX162">
            <v>-2.1999999999999999E-2</v>
          </cell>
          <cell r="EY162">
            <v>-1.4E-2</v>
          </cell>
          <cell r="EZ162">
            <v>-1.4999999999999999E-2</v>
          </cell>
          <cell r="FA162">
            <v>-7.0999999999999994E-2</v>
          </cell>
          <cell r="FD162">
            <v>0.03</v>
          </cell>
          <cell r="FE162">
            <v>-2.9000000000000001E-2</v>
          </cell>
          <cell r="FF162">
            <v>-6.3E-2</v>
          </cell>
          <cell r="FG162">
            <v>-4.4999999999999998E-2</v>
          </cell>
          <cell r="FJ162">
            <v>-9.0999999999999998E-2</v>
          </cell>
          <cell r="FK162">
            <v>-0.107</v>
          </cell>
          <cell r="FL162">
            <v>-8.0000000000000002E-3</v>
          </cell>
          <cell r="FM162">
            <v>3.4000000000000002E-2</v>
          </cell>
          <cell r="FP162">
            <v>1.0999999999999999E-2</v>
          </cell>
          <cell r="FQ162">
            <v>7.2999999999999995E-2</v>
          </cell>
          <cell r="FR162">
            <v>2.5000000000000001E-2</v>
          </cell>
          <cell r="FS162">
            <v>2.5999999999999999E-2</v>
          </cell>
          <cell r="FV162">
            <v>0.108</v>
          </cell>
          <cell r="FW162">
            <v>0.05</v>
          </cell>
          <cell r="FX162">
            <v>2.1999999999999999E-2</v>
          </cell>
          <cell r="FY162">
            <v>2.4E-2</v>
          </cell>
          <cell r="GB162">
            <v>1.2E-2</v>
          </cell>
          <cell r="GC162">
            <v>4.1000000000000002E-2</v>
          </cell>
          <cell r="GD162">
            <v>5.5E-2</v>
          </cell>
          <cell r="GE162">
            <v>0.05</v>
          </cell>
        </row>
        <row r="163">
          <cell r="A163" t="str">
            <v>Total</v>
          </cell>
          <cell r="AN163" t="str">
            <v>Total</v>
          </cell>
          <cell r="DH163">
            <v>2.9000000000000001E-2</v>
          </cell>
          <cell r="DI163">
            <v>1.9E-2</v>
          </cell>
          <cell r="DJ163">
            <v>1.9E-2</v>
          </cell>
          <cell r="DK163">
            <v>1.6E-2</v>
          </cell>
          <cell r="DL163">
            <v>0.02</v>
          </cell>
          <cell r="DN163">
            <v>-1.4999999999999999E-2</v>
          </cell>
          <cell r="DO163">
            <v>-4.8000000000000001E-2</v>
          </cell>
          <cell r="DP163">
            <v>-8.5999999999999993E-2</v>
          </cell>
          <cell r="DQ163">
            <v>-0.06</v>
          </cell>
          <cell r="DR163">
            <v>-5.2999999999999999E-2</v>
          </cell>
          <cell r="DT163">
            <v>-2.9000000000000001E-2</v>
          </cell>
          <cell r="DU163">
            <v>-2.8000000000000001E-2</v>
          </cell>
          <cell r="DV163">
            <v>-0.02</v>
          </cell>
          <cell r="DW163">
            <v>-3.9E-2</v>
          </cell>
          <cell r="DX163">
            <v>-0.03</v>
          </cell>
          <cell r="DZ163">
            <v>-0.05</v>
          </cell>
          <cell r="EA163">
            <v>-1.2E-2</v>
          </cell>
          <cell r="EB163">
            <v>2E-3</v>
          </cell>
          <cell r="EC163">
            <v>1.3999999999999999E-2</v>
          </cell>
          <cell r="ED163">
            <v>-9.0000000000000011E-3</v>
          </cell>
          <cell r="EF163">
            <v>6.9000000000000006E-2</v>
          </cell>
          <cell r="EG163">
            <v>3.3000000000000002E-2</v>
          </cell>
          <cell r="EH163">
            <v>4.0000000000000001E-3</v>
          </cell>
          <cell r="EI163">
            <v>8.0000000000000002E-3</v>
          </cell>
          <cell r="EJ163">
            <v>2.5999999999999999E-2</v>
          </cell>
          <cell r="EL163">
            <v>2.5999999999999999E-2</v>
          </cell>
          <cell r="EM163">
            <v>1.0999999999999999E-2</v>
          </cell>
          <cell r="EN163">
            <v>6.0000000000000001E-3</v>
          </cell>
          <cell r="EO163">
            <v>1.0999999999999999E-2</v>
          </cell>
          <cell r="EP163">
            <v>1.2999999999999999E-2</v>
          </cell>
          <cell r="ER163">
            <v>0</v>
          </cell>
          <cell r="ES163">
            <v>4.5999999999999999E-2</v>
          </cell>
          <cell r="ET163">
            <v>5.8999999999999997E-2</v>
          </cell>
          <cell r="EU163">
            <v>6.0999999999999999E-2</v>
          </cell>
          <cell r="EV163">
            <v>4.3999999999999997E-2</v>
          </cell>
          <cell r="EX163">
            <v>6.0000000000000001E-3</v>
          </cell>
          <cell r="EY163">
            <v>-2.5999999999999999E-2</v>
          </cell>
          <cell r="EZ163">
            <v>-8.0000000000000002E-3</v>
          </cell>
          <cell r="FA163">
            <v>-0.02</v>
          </cell>
          <cell r="FB163">
            <v>-1.2999999999999999E-2</v>
          </cell>
          <cell r="FD163">
            <v>-2.5999999999999999E-2</v>
          </cell>
          <cell r="FE163">
            <v>-2.1000000000000001E-2</v>
          </cell>
          <cell r="FF163">
            <v>-0.06</v>
          </cell>
          <cell r="FG163">
            <v>-7.0000000000000007E-2</v>
          </cell>
          <cell r="FH163">
            <v>-4.4999999999999998E-2</v>
          </cell>
          <cell r="FJ163">
            <v>-0.09</v>
          </cell>
          <cell r="FK163">
            <v>-9.5000000000000001E-2</v>
          </cell>
          <cell r="FL163">
            <v>-3.5999999999999997E-2</v>
          </cell>
          <cell r="FM163">
            <v>-8.0000000000000002E-3</v>
          </cell>
          <cell r="FN163">
            <v>-5.2999999999999999E-2</v>
          </cell>
          <cell r="FP163">
            <v>5.5E-2</v>
          </cell>
          <cell r="FQ163">
            <v>4.9000000000000002E-2</v>
          </cell>
          <cell r="FR163">
            <v>3.9E-2</v>
          </cell>
          <cell r="FS163">
            <v>4.2999999999999997E-2</v>
          </cell>
          <cell r="FT163">
            <v>4.610434747830261E-2</v>
          </cell>
          <cell r="FV163">
            <v>5.3999999999999999E-2</v>
          </cell>
          <cell r="FW163">
            <v>6.4000000000000001E-2</v>
          </cell>
          <cell r="FX163">
            <v>0.04</v>
          </cell>
          <cell r="FY163">
            <v>5.1999999999999998E-2</v>
          </cell>
          <cell r="FZ163">
            <v>5.2999999999999999E-2</v>
          </cell>
          <cell r="GB163">
            <v>4.3999999999999997E-2</v>
          </cell>
          <cell r="GC163">
            <v>0.03</v>
          </cell>
          <cell r="GD163">
            <v>4.4170626829774157E-2</v>
          </cell>
          <cell r="GE163">
            <v>4.1872044415560798E-2</v>
          </cell>
          <cell r="GF163">
            <v>4.02253638971692E-2</v>
          </cell>
        </row>
        <row r="165">
          <cell r="A165" t="str">
            <v>Original Federated Doors Store Count (Estimated)</v>
          </cell>
          <cell r="AN165" t="str">
            <v>Original Federated Doors Store Count (Estimated)</v>
          </cell>
        </row>
        <row r="166">
          <cell r="A166" t="str">
            <v>Month 1</v>
          </cell>
          <cell r="AN166" t="str">
            <v>Month 1</v>
          </cell>
          <cell r="DZ166">
            <v>456</v>
          </cell>
          <cell r="EA166">
            <v>456</v>
          </cell>
          <cell r="EB166">
            <v>460</v>
          </cell>
          <cell r="EC166">
            <v>465</v>
          </cell>
          <cell r="EF166">
            <v>458</v>
          </cell>
          <cell r="EG166">
            <v>457</v>
          </cell>
          <cell r="EH166">
            <v>457</v>
          </cell>
          <cell r="EI166">
            <v>459</v>
          </cell>
          <cell r="EL166">
            <v>459</v>
          </cell>
          <cell r="EM166">
            <v>460</v>
          </cell>
          <cell r="EN166">
            <v>459</v>
          </cell>
          <cell r="EO166">
            <v>444</v>
          </cell>
          <cell r="ER166">
            <v>410</v>
          </cell>
          <cell r="ES166">
            <v>406</v>
          </cell>
          <cell r="ET166">
            <v>402</v>
          </cell>
          <cell r="EU166">
            <v>408</v>
          </cell>
          <cell r="EX166">
            <v>407</v>
          </cell>
          <cell r="EY166">
            <v>412</v>
          </cell>
          <cell r="EZ166">
            <v>413</v>
          </cell>
          <cell r="FA166">
            <v>415</v>
          </cell>
          <cell r="FD166">
            <v>415</v>
          </cell>
          <cell r="FE166">
            <v>415</v>
          </cell>
          <cell r="FF166">
            <v>419</v>
          </cell>
          <cell r="FG166">
            <v>422</v>
          </cell>
          <cell r="FJ166">
            <v>410</v>
          </cell>
          <cell r="FK166">
            <v>411</v>
          </cell>
          <cell r="FL166">
            <v>412</v>
          </cell>
          <cell r="FM166">
            <v>417</v>
          </cell>
          <cell r="FP166">
            <v>413</v>
          </cell>
          <cell r="FQ166">
            <v>413</v>
          </cell>
          <cell r="FR166">
            <v>412</v>
          </cell>
          <cell r="FS166">
            <v>417</v>
          </cell>
          <cell r="FV166">
            <v>413</v>
          </cell>
          <cell r="FW166">
            <v>413</v>
          </cell>
          <cell r="FX166">
            <v>412</v>
          </cell>
          <cell r="FY166">
            <v>414</v>
          </cell>
          <cell r="GB166">
            <v>405</v>
          </cell>
          <cell r="GC166">
            <v>407</v>
          </cell>
          <cell r="GD166">
            <v>409</v>
          </cell>
          <cell r="GE166">
            <v>410</v>
          </cell>
        </row>
        <row r="167">
          <cell r="A167" t="str">
            <v>Month 2</v>
          </cell>
          <cell r="AN167" t="str">
            <v>Month 2</v>
          </cell>
          <cell r="DZ167">
            <v>456</v>
          </cell>
          <cell r="EA167">
            <v>455</v>
          </cell>
          <cell r="EB167">
            <v>460</v>
          </cell>
          <cell r="EC167">
            <v>465</v>
          </cell>
          <cell r="EF167">
            <v>458</v>
          </cell>
          <cell r="EG167">
            <v>457</v>
          </cell>
          <cell r="EH167">
            <v>458</v>
          </cell>
          <cell r="EI167">
            <v>459</v>
          </cell>
          <cell r="EL167">
            <v>459</v>
          </cell>
          <cell r="EM167">
            <v>460</v>
          </cell>
          <cell r="EN167">
            <v>446</v>
          </cell>
          <cell r="EO167">
            <v>443</v>
          </cell>
          <cell r="ER167">
            <v>406</v>
          </cell>
          <cell r="ES167">
            <v>405</v>
          </cell>
          <cell r="ET167">
            <v>403</v>
          </cell>
          <cell r="EU167">
            <v>408</v>
          </cell>
          <cell r="EX167">
            <v>408</v>
          </cell>
          <cell r="EY167">
            <v>412</v>
          </cell>
          <cell r="EZ167">
            <v>415</v>
          </cell>
          <cell r="FA167">
            <v>415</v>
          </cell>
          <cell r="FD167">
            <v>416</v>
          </cell>
          <cell r="FE167">
            <v>416</v>
          </cell>
          <cell r="FF167">
            <v>416</v>
          </cell>
          <cell r="FG167">
            <v>422</v>
          </cell>
          <cell r="FJ167">
            <v>410</v>
          </cell>
          <cell r="FK167">
            <v>411</v>
          </cell>
          <cell r="FL167">
            <v>415</v>
          </cell>
          <cell r="FM167">
            <v>417</v>
          </cell>
          <cell r="FP167">
            <v>413</v>
          </cell>
          <cell r="FQ167">
            <v>413</v>
          </cell>
          <cell r="FR167">
            <v>415</v>
          </cell>
          <cell r="FS167">
            <v>417</v>
          </cell>
          <cell r="FV167">
            <v>413</v>
          </cell>
          <cell r="FW167">
            <v>413</v>
          </cell>
          <cell r="FX167">
            <v>412</v>
          </cell>
          <cell r="FY167">
            <v>413</v>
          </cell>
          <cell r="GB167">
            <v>407</v>
          </cell>
          <cell r="GC167">
            <v>409</v>
          </cell>
          <cell r="GD167">
            <v>410</v>
          </cell>
          <cell r="GE167">
            <v>411</v>
          </cell>
        </row>
        <row r="168">
          <cell r="A168" t="str">
            <v>Month 3</v>
          </cell>
          <cell r="AN168" t="str">
            <v>Month 3</v>
          </cell>
          <cell r="DZ168">
            <v>456</v>
          </cell>
          <cell r="EA168">
            <v>460</v>
          </cell>
          <cell r="EB168">
            <v>465</v>
          </cell>
          <cell r="EC168">
            <v>459</v>
          </cell>
          <cell r="EF168">
            <v>459</v>
          </cell>
          <cell r="EG168">
            <v>457</v>
          </cell>
          <cell r="EH168">
            <v>459</v>
          </cell>
          <cell r="EI168">
            <v>459</v>
          </cell>
          <cell r="EL168">
            <v>459</v>
          </cell>
          <cell r="EM168">
            <v>460</v>
          </cell>
          <cell r="EN168">
            <v>444</v>
          </cell>
          <cell r="EO168">
            <v>410</v>
          </cell>
          <cell r="ER168">
            <v>406</v>
          </cell>
          <cell r="ES168">
            <v>403</v>
          </cell>
          <cell r="ET168">
            <v>405</v>
          </cell>
          <cell r="EU168">
            <v>407</v>
          </cell>
          <cell r="EX168">
            <v>412</v>
          </cell>
          <cell r="EY168">
            <v>412</v>
          </cell>
          <cell r="EZ168">
            <v>415</v>
          </cell>
          <cell r="FA168">
            <v>415</v>
          </cell>
          <cell r="FD168">
            <v>414</v>
          </cell>
          <cell r="FE168">
            <v>418</v>
          </cell>
          <cell r="FF168">
            <v>419</v>
          </cell>
          <cell r="FG168">
            <v>410</v>
          </cell>
          <cell r="FJ168">
            <v>411</v>
          </cell>
          <cell r="FK168">
            <v>411</v>
          </cell>
          <cell r="FL168">
            <v>417</v>
          </cell>
          <cell r="FM168">
            <v>413</v>
          </cell>
          <cell r="FP168">
            <v>412</v>
          </cell>
          <cell r="FQ168">
            <v>412</v>
          </cell>
          <cell r="FR168">
            <v>417</v>
          </cell>
          <cell r="FS168">
            <v>413</v>
          </cell>
          <cell r="FV168">
            <v>413</v>
          </cell>
          <cell r="FW168">
            <v>412</v>
          </cell>
          <cell r="FX168">
            <v>413</v>
          </cell>
          <cell r="FY168">
            <v>405</v>
          </cell>
          <cell r="GB168">
            <v>407</v>
          </cell>
          <cell r="GC168">
            <v>408</v>
          </cell>
          <cell r="GD168">
            <v>410</v>
          </cell>
          <cell r="GE168">
            <v>407</v>
          </cell>
        </row>
        <row r="169">
          <cell r="A169" t="str">
            <v>Total</v>
          </cell>
          <cell r="AN169" t="str">
            <v>Total</v>
          </cell>
          <cell r="DZ169">
            <v>456</v>
          </cell>
          <cell r="EA169">
            <v>460</v>
          </cell>
          <cell r="EB169">
            <v>465</v>
          </cell>
          <cell r="EC169">
            <v>459</v>
          </cell>
          <cell r="ED169">
            <v>459</v>
          </cell>
          <cell r="EF169">
            <v>459</v>
          </cell>
          <cell r="EG169">
            <v>457</v>
          </cell>
          <cell r="EH169">
            <v>459</v>
          </cell>
          <cell r="EI169">
            <v>459</v>
          </cell>
          <cell r="EJ169">
            <v>459</v>
          </cell>
          <cell r="EL169">
            <v>459</v>
          </cell>
          <cell r="EM169">
            <v>460</v>
          </cell>
          <cell r="EN169">
            <v>444</v>
          </cell>
          <cell r="EO169">
            <v>410</v>
          </cell>
          <cell r="EP169">
            <v>410</v>
          </cell>
          <cell r="ER169">
            <v>406</v>
          </cell>
          <cell r="ES169">
            <v>403</v>
          </cell>
          <cell r="ET169">
            <v>405</v>
          </cell>
          <cell r="EU169">
            <v>407</v>
          </cell>
          <cell r="EV169">
            <v>407</v>
          </cell>
          <cell r="EX169">
            <v>412</v>
          </cell>
          <cell r="EY169">
            <v>412</v>
          </cell>
          <cell r="EZ169">
            <v>415</v>
          </cell>
          <cell r="FA169">
            <v>415</v>
          </cell>
          <cell r="FB169">
            <v>415</v>
          </cell>
          <cell r="FD169">
            <v>414</v>
          </cell>
          <cell r="FE169">
            <v>418</v>
          </cell>
          <cell r="FF169">
            <v>419</v>
          </cell>
          <cell r="FG169">
            <v>410</v>
          </cell>
          <cell r="FH169">
            <v>410</v>
          </cell>
          <cell r="FJ169">
            <v>411</v>
          </cell>
          <cell r="FK169">
            <v>411</v>
          </cell>
          <cell r="FL169">
            <v>417</v>
          </cell>
          <cell r="FM169">
            <v>413</v>
          </cell>
          <cell r="FN169">
            <v>413</v>
          </cell>
          <cell r="FP169">
            <v>412</v>
          </cell>
          <cell r="FQ169">
            <v>412</v>
          </cell>
          <cell r="FR169">
            <v>417</v>
          </cell>
          <cell r="FS169">
            <v>413</v>
          </cell>
          <cell r="FT169">
            <v>413</v>
          </cell>
          <cell r="FV169">
            <v>413</v>
          </cell>
          <cell r="FW169">
            <v>412</v>
          </cell>
          <cell r="FX169">
            <v>413</v>
          </cell>
          <cell r="FY169">
            <v>405</v>
          </cell>
          <cell r="FZ169">
            <v>405</v>
          </cell>
          <cell r="GB169">
            <v>407</v>
          </cell>
          <cell r="GC169">
            <v>408</v>
          </cell>
          <cell r="GD169">
            <v>410</v>
          </cell>
          <cell r="GE169">
            <v>407</v>
          </cell>
          <cell r="GF169">
            <v>407</v>
          </cell>
        </row>
        <row r="171">
          <cell r="A171" t="str">
            <v>May Co. Monthly Sales ($)</v>
          </cell>
          <cell r="AN171" t="str">
            <v>May Co. Monthly Sales ($)</v>
          </cell>
        </row>
        <row r="172">
          <cell r="A172" t="str">
            <v>Month 1</v>
          </cell>
          <cell r="AN172" t="str">
            <v>Month 1</v>
          </cell>
          <cell r="DZ172">
            <v>846</v>
          </cell>
          <cell r="EA172">
            <v>1005</v>
          </cell>
          <cell r="EB172">
            <v>953.8</v>
          </cell>
          <cell r="EC172">
            <v>1260.8</v>
          </cell>
          <cell r="EF172">
            <v>880.4</v>
          </cell>
          <cell r="EG172">
            <v>977.8</v>
          </cell>
          <cell r="EH172">
            <v>1053.9000000000001</v>
          </cell>
          <cell r="EI172">
            <v>1386.9</v>
          </cell>
          <cell r="EL172">
            <v>1007.8</v>
          </cell>
          <cell r="EM172">
            <v>1119.3</v>
          </cell>
          <cell r="EN172">
            <v>1027</v>
          </cell>
        </row>
        <row r="173">
          <cell r="A173" t="str">
            <v>Month 2</v>
          </cell>
          <cell r="AN173" t="str">
            <v>Month 2</v>
          </cell>
          <cell r="DZ173">
            <v>1060</v>
          </cell>
          <cell r="EA173">
            <v>1131.9000000000001</v>
          </cell>
          <cell r="EB173">
            <v>1135</v>
          </cell>
          <cell r="EC173">
            <v>2517</v>
          </cell>
          <cell r="EF173">
            <v>1161</v>
          </cell>
          <cell r="EG173">
            <v>1160</v>
          </cell>
          <cell r="EH173">
            <v>1339</v>
          </cell>
          <cell r="EI173">
            <v>2844.1</v>
          </cell>
          <cell r="EL173">
            <v>1280</v>
          </cell>
          <cell r="EM173">
            <v>1398.7</v>
          </cell>
        </row>
        <row r="174">
          <cell r="A174" t="str">
            <v>Month 3</v>
          </cell>
          <cell r="AN174" t="str">
            <v>Month 3</v>
          </cell>
          <cell r="DZ174">
            <v>967.4</v>
          </cell>
          <cell r="EA174">
            <v>863.4</v>
          </cell>
          <cell r="EB174">
            <v>887.2</v>
          </cell>
          <cell r="EC174">
            <v>715.4</v>
          </cell>
          <cell r="EF174">
            <v>901.5</v>
          </cell>
          <cell r="EG174">
            <v>817.9</v>
          </cell>
          <cell r="EH174">
            <v>1090.3</v>
          </cell>
          <cell r="EI174">
            <v>808</v>
          </cell>
          <cell r="EL174">
            <v>1080</v>
          </cell>
          <cell r="EM174">
            <v>927.4</v>
          </cell>
        </row>
        <row r="175">
          <cell r="A175" t="str">
            <v>Total</v>
          </cell>
          <cell r="AN175" t="str">
            <v>Total</v>
          </cell>
          <cell r="DZ175">
            <v>2873.4</v>
          </cell>
          <cell r="EA175">
            <v>3000.3</v>
          </cell>
          <cell r="EB175">
            <v>2976</v>
          </cell>
          <cell r="EC175">
            <v>4493.2</v>
          </cell>
          <cell r="ED175">
            <v>13342.900000000001</v>
          </cell>
          <cell r="EF175">
            <v>2963</v>
          </cell>
          <cell r="EG175">
            <v>2955.7</v>
          </cell>
          <cell r="EH175">
            <v>3483.2</v>
          </cell>
          <cell r="EI175">
            <v>5039</v>
          </cell>
          <cell r="EJ175">
            <v>14440.9</v>
          </cell>
          <cell r="EL175">
            <v>3369</v>
          </cell>
          <cell r="EM175">
            <v>3446</v>
          </cell>
        </row>
        <row r="177">
          <cell r="A177" t="str">
            <v>May Co. Monthly Comps</v>
          </cell>
          <cell r="AN177" t="str">
            <v>May Co. Monthly Comps</v>
          </cell>
        </row>
        <row r="178">
          <cell r="A178" t="str">
            <v>Month 1</v>
          </cell>
          <cell r="AN178" t="str">
            <v>Month 1</v>
          </cell>
          <cell r="DZ178">
            <v>-8.8999999999999996E-2</v>
          </cell>
          <cell r="EA178">
            <v>-3.9E-2</v>
          </cell>
          <cell r="EB178">
            <v>-3.2000000000000001E-2</v>
          </cell>
          <cell r="EC178">
            <v>-1.7000000000000001E-2</v>
          </cell>
          <cell r="EF178">
            <v>2.5999999999999999E-2</v>
          </cell>
          <cell r="EG178">
            <v>-3.7999999999999999E-2</v>
          </cell>
          <cell r="EH178">
            <v>-6.7000000000000004E-2</v>
          </cell>
          <cell r="EI178">
            <v>-7.9000000000000001E-2</v>
          </cell>
          <cell r="EL178">
            <v>-4.2000000000000003E-2</v>
          </cell>
          <cell r="EM178">
            <v>-2.9000000000000001E-2</v>
          </cell>
          <cell r="EN178">
            <v>-2.8000000000000001E-2</v>
          </cell>
        </row>
        <row r="179">
          <cell r="A179" t="str">
            <v>Month 2</v>
          </cell>
          <cell r="AN179" t="str">
            <v>Month 2</v>
          </cell>
          <cell r="DZ179">
            <v>-0.114</v>
          </cell>
          <cell r="EA179">
            <v>-5.8999999999999997E-2</v>
          </cell>
          <cell r="EB179">
            <v>-3.0000000000000001E-3</v>
          </cell>
          <cell r="EC179">
            <v>1.0999999999999999E-2</v>
          </cell>
          <cell r="EF179">
            <v>0.10100000000000001</v>
          </cell>
          <cell r="EG179">
            <v>1.9E-2</v>
          </cell>
          <cell r="EH179">
            <v>-1.4999999999999999E-2</v>
          </cell>
          <cell r="EI179">
            <v>-3.5000000000000003E-2</v>
          </cell>
          <cell r="EL179">
            <v>-0.108</v>
          </cell>
          <cell r="EM179">
            <v>7.0000000000000001E-3</v>
          </cell>
        </row>
        <row r="180">
          <cell r="A180" t="str">
            <v>Month 3</v>
          </cell>
          <cell r="AN180" t="str">
            <v>Month 3</v>
          </cell>
          <cell r="DZ180">
            <v>-5.6000000000000001E-2</v>
          </cell>
          <cell r="EA180">
            <v>1.7999999999999999E-2</v>
          </cell>
          <cell r="EB180">
            <v>-4.2000000000000003E-2</v>
          </cell>
          <cell r="EC180">
            <v>5.2999999999999999E-2</v>
          </cell>
          <cell r="EF180">
            <v>-8.1000000000000003E-2</v>
          </cell>
          <cell r="EG180">
            <v>-5.2999999999999999E-2</v>
          </cell>
          <cell r="EH180">
            <v>-2.3E-2</v>
          </cell>
          <cell r="EI180">
            <v>-7.1999999999999995E-2</v>
          </cell>
          <cell r="EL180">
            <v>1.4999999999999999E-2</v>
          </cell>
          <cell r="EM180">
            <v>-3.3000000000000002E-2</v>
          </cell>
        </row>
        <row r="181">
          <cell r="A181" t="str">
            <v>Total</v>
          </cell>
          <cell r="AN181" t="str">
            <v>Total</v>
          </cell>
          <cell r="DZ181">
            <v>-8.7999999999999995E-2</v>
          </cell>
          <cell r="EA181">
            <v>-3.1E-2</v>
          </cell>
          <cell r="EB181">
            <v>-2.3921034946236562E-2</v>
          </cell>
          <cell r="EC181">
            <v>8.0000000000000002E-3</v>
          </cell>
          <cell r="ED181">
            <v>-2.8562204901446453E-2</v>
          </cell>
          <cell r="EF181">
            <v>1.7000000000000001E-2</v>
          </cell>
          <cell r="EG181">
            <v>-2.1999999999999999E-2</v>
          </cell>
          <cell r="EH181">
            <v>-3.4000000000000002E-2</v>
          </cell>
          <cell r="EI181">
            <v>-5.1999999999999998E-2</v>
          </cell>
          <cell r="EJ181">
            <v>-2.4E-2</v>
          </cell>
          <cell r="EL181">
            <v>-5.0999999999999997E-2</v>
          </cell>
          <cell r="EM181">
            <v>-1.6E-2</v>
          </cell>
        </row>
        <row r="183">
          <cell r="A183" t="str">
            <v>May Co. Store Count (Estimated)</v>
          </cell>
          <cell r="AN183" t="str">
            <v>May Co. Store Count (Estimated)</v>
          </cell>
        </row>
        <row r="184">
          <cell r="A184" t="str">
            <v>Month 1</v>
          </cell>
          <cell r="AN184" t="str">
            <v>Month 1</v>
          </cell>
          <cell r="DZ184">
            <v>444</v>
          </cell>
          <cell r="EA184">
            <v>445</v>
          </cell>
          <cell r="EB184">
            <v>447</v>
          </cell>
          <cell r="EC184">
            <v>448</v>
          </cell>
          <cell r="EF184">
            <v>442</v>
          </cell>
          <cell r="EG184">
            <v>438</v>
          </cell>
          <cell r="EH184">
            <v>497</v>
          </cell>
          <cell r="EI184">
            <v>501</v>
          </cell>
          <cell r="EL184">
            <v>491</v>
          </cell>
          <cell r="EM184">
            <v>489</v>
          </cell>
          <cell r="EN184">
            <v>487</v>
          </cell>
          <cell r="EO184">
            <v>491</v>
          </cell>
          <cell r="ER184">
            <v>458</v>
          </cell>
          <cell r="ES184">
            <v>455</v>
          </cell>
          <cell r="ET184">
            <v>452</v>
          </cell>
          <cell r="EU184">
            <v>452</v>
          </cell>
          <cell r="EX184">
            <v>451</v>
          </cell>
          <cell r="EY184">
            <v>451</v>
          </cell>
          <cell r="EZ184">
            <v>451</v>
          </cell>
          <cell r="FA184">
            <v>451</v>
          </cell>
          <cell r="FD184">
            <v>437</v>
          </cell>
          <cell r="FE184">
            <v>437</v>
          </cell>
          <cell r="FF184">
            <v>437</v>
          </cell>
          <cell r="FG184">
            <v>437</v>
          </cell>
          <cell r="FJ184">
            <v>437</v>
          </cell>
          <cell r="FK184">
            <v>437</v>
          </cell>
          <cell r="FL184">
            <v>437</v>
          </cell>
          <cell r="FM184">
            <v>437</v>
          </cell>
          <cell r="FP184">
            <v>437</v>
          </cell>
          <cell r="FQ184">
            <v>437</v>
          </cell>
          <cell r="FR184">
            <v>437</v>
          </cell>
          <cell r="FS184">
            <v>437</v>
          </cell>
          <cell r="FV184">
            <v>437</v>
          </cell>
          <cell r="FW184">
            <v>437</v>
          </cell>
          <cell r="FX184">
            <v>437</v>
          </cell>
          <cell r="FY184">
            <v>437</v>
          </cell>
          <cell r="GB184">
            <v>437</v>
          </cell>
          <cell r="GC184">
            <v>437</v>
          </cell>
          <cell r="GD184">
            <v>437</v>
          </cell>
          <cell r="GE184">
            <v>437</v>
          </cell>
        </row>
        <row r="185">
          <cell r="A185" t="str">
            <v>Month 2</v>
          </cell>
          <cell r="AN185" t="str">
            <v>Month 2</v>
          </cell>
          <cell r="DZ185">
            <v>444</v>
          </cell>
          <cell r="EA185">
            <v>446</v>
          </cell>
          <cell r="EB185">
            <v>448</v>
          </cell>
          <cell r="EC185">
            <v>448</v>
          </cell>
          <cell r="EF185">
            <v>439</v>
          </cell>
          <cell r="EG185">
            <v>438</v>
          </cell>
          <cell r="EH185">
            <v>497</v>
          </cell>
          <cell r="EI185">
            <v>501</v>
          </cell>
          <cell r="EL185">
            <v>490</v>
          </cell>
          <cell r="EM185">
            <v>487</v>
          </cell>
          <cell r="EN185">
            <v>487</v>
          </cell>
          <cell r="EO185">
            <v>491</v>
          </cell>
          <cell r="ER185">
            <v>455</v>
          </cell>
          <cell r="ES185">
            <v>454</v>
          </cell>
          <cell r="ET185">
            <v>452</v>
          </cell>
          <cell r="EU185">
            <v>452</v>
          </cell>
          <cell r="EX185">
            <v>451</v>
          </cell>
          <cell r="EY185">
            <v>451</v>
          </cell>
          <cell r="EZ185">
            <v>451</v>
          </cell>
          <cell r="FA185">
            <v>442</v>
          </cell>
          <cell r="FD185">
            <v>437</v>
          </cell>
          <cell r="FE185">
            <v>437</v>
          </cell>
          <cell r="FF185">
            <v>437</v>
          </cell>
          <cell r="FG185">
            <v>437</v>
          </cell>
          <cell r="FJ185">
            <v>437</v>
          </cell>
          <cell r="FK185">
            <v>437</v>
          </cell>
          <cell r="FL185">
            <v>437</v>
          </cell>
          <cell r="FM185">
            <v>437</v>
          </cell>
          <cell r="FP185">
            <v>437</v>
          </cell>
          <cell r="FQ185">
            <v>437</v>
          </cell>
          <cell r="FR185">
            <v>437</v>
          </cell>
          <cell r="FS185">
            <v>437</v>
          </cell>
          <cell r="FV185">
            <v>437</v>
          </cell>
          <cell r="FW185">
            <v>437</v>
          </cell>
          <cell r="FX185">
            <v>437</v>
          </cell>
          <cell r="FY185">
            <v>437</v>
          </cell>
          <cell r="GB185">
            <v>437</v>
          </cell>
          <cell r="GC185">
            <v>437</v>
          </cell>
          <cell r="GD185">
            <v>437</v>
          </cell>
          <cell r="GE185">
            <v>437</v>
          </cell>
        </row>
        <row r="186">
          <cell r="A186" t="str">
            <v>Month 3</v>
          </cell>
          <cell r="AN186" t="str">
            <v>Month 3</v>
          </cell>
          <cell r="DZ186">
            <v>444</v>
          </cell>
          <cell r="EA186">
            <v>446</v>
          </cell>
          <cell r="EB186">
            <v>450</v>
          </cell>
          <cell r="EC186">
            <v>444</v>
          </cell>
          <cell r="EF186">
            <v>439</v>
          </cell>
          <cell r="EG186">
            <v>497</v>
          </cell>
          <cell r="EH186">
            <v>500</v>
          </cell>
          <cell r="EI186">
            <v>491</v>
          </cell>
          <cell r="EL186">
            <v>490</v>
          </cell>
          <cell r="EM186">
            <v>487</v>
          </cell>
          <cell r="EN186">
            <v>491</v>
          </cell>
          <cell r="EO186">
            <v>458</v>
          </cell>
          <cell r="ER186">
            <v>455</v>
          </cell>
          <cell r="ES186">
            <v>453</v>
          </cell>
          <cell r="ET186">
            <v>452</v>
          </cell>
          <cell r="EU186">
            <v>451</v>
          </cell>
          <cell r="EX186">
            <v>451</v>
          </cell>
          <cell r="EY186">
            <v>451</v>
          </cell>
          <cell r="EZ186">
            <v>451</v>
          </cell>
          <cell r="FA186">
            <v>437</v>
          </cell>
          <cell r="FD186">
            <v>437</v>
          </cell>
          <cell r="FE186">
            <v>437</v>
          </cell>
          <cell r="FF186">
            <v>437</v>
          </cell>
          <cell r="FG186">
            <v>437</v>
          </cell>
          <cell r="FJ186">
            <v>437</v>
          </cell>
          <cell r="FK186">
            <v>437</v>
          </cell>
          <cell r="FL186">
            <v>437</v>
          </cell>
          <cell r="FM186">
            <v>437</v>
          </cell>
          <cell r="FP186">
            <v>437</v>
          </cell>
          <cell r="FQ186">
            <v>437</v>
          </cell>
          <cell r="FR186">
            <v>437</v>
          </cell>
          <cell r="FS186">
            <v>437</v>
          </cell>
          <cell r="FV186">
            <v>437</v>
          </cell>
          <cell r="FW186">
            <v>437</v>
          </cell>
          <cell r="FX186">
            <v>437</v>
          </cell>
          <cell r="FY186">
            <v>437</v>
          </cell>
          <cell r="GB186">
            <v>437</v>
          </cell>
          <cell r="GC186">
            <v>437</v>
          </cell>
          <cell r="GD186">
            <v>437</v>
          </cell>
          <cell r="GE186">
            <v>437</v>
          </cell>
        </row>
        <row r="187">
          <cell r="A187" t="str">
            <v>Total</v>
          </cell>
          <cell r="AN187" t="str">
            <v>Total</v>
          </cell>
          <cell r="DZ187">
            <v>444</v>
          </cell>
          <cell r="EA187">
            <v>446</v>
          </cell>
          <cell r="EB187">
            <v>450</v>
          </cell>
          <cell r="EC187">
            <v>444</v>
          </cell>
          <cell r="ED187">
            <v>444</v>
          </cell>
          <cell r="EF187">
            <v>439</v>
          </cell>
          <cell r="EG187">
            <v>497</v>
          </cell>
          <cell r="EH187">
            <v>500</v>
          </cell>
          <cell r="EI187">
            <v>491</v>
          </cell>
          <cell r="EJ187">
            <v>491</v>
          </cell>
          <cell r="EL187">
            <v>490</v>
          </cell>
          <cell r="EM187">
            <v>487</v>
          </cell>
          <cell r="EN187">
            <v>491</v>
          </cell>
          <cell r="EO187">
            <v>458</v>
          </cell>
          <cell r="EP187">
            <v>458</v>
          </cell>
          <cell r="ER187">
            <v>455</v>
          </cell>
          <cell r="ES187">
            <v>453</v>
          </cell>
          <cell r="ET187">
            <v>452</v>
          </cell>
          <cell r="EU187">
            <v>451</v>
          </cell>
          <cell r="EV187">
            <v>451</v>
          </cell>
          <cell r="EX187">
            <v>451</v>
          </cell>
          <cell r="EY187">
            <v>451</v>
          </cell>
          <cell r="EZ187">
            <v>451</v>
          </cell>
          <cell r="FA187">
            <v>437</v>
          </cell>
          <cell r="FB187">
            <v>437</v>
          </cell>
          <cell r="FD187">
            <v>437</v>
          </cell>
          <cell r="FE187">
            <v>437</v>
          </cell>
          <cell r="FF187">
            <v>437</v>
          </cell>
          <cell r="FG187">
            <v>437</v>
          </cell>
          <cell r="FH187">
            <v>437</v>
          </cell>
          <cell r="FJ187">
            <v>437</v>
          </cell>
          <cell r="FK187">
            <v>437</v>
          </cell>
          <cell r="FL187">
            <v>437</v>
          </cell>
          <cell r="FM187">
            <v>437</v>
          </cell>
          <cell r="FN187">
            <v>437</v>
          </cell>
          <cell r="FP187">
            <v>437</v>
          </cell>
          <cell r="FQ187">
            <v>437</v>
          </cell>
          <cell r="FR187">
            <v>437</v>
          </cell>
          <cell r="FS187">
            <v>437</v>
          </cell>
          <cell r="FT187">
            <v>437</v>
          </cell>
          <cell r="FV187">
            <v>437</v>
          </cell>
          <cell r="FW187">
            <v>437</v>
          </cell>
          <cell r="FX187">
            <v>437</v>
          </cell>
          <cell r="FY187">
            <v>437</v>
          </cell>
          <cell r="FZ187">
            <v>437</v>
          </cell>
          <cell r="GB187">
            <v>437</v>
          </cell>
          <cell r="GC187">
            <v>437</v>
          </cell>
          <cell r="GD187">
            <v>437</v>
          </cell>
          <cell r="GE187">
            <v>437</v>
          </cell>
          <cell r="GF187">
            <v>437</v>
          </cell>
        </row>
        <row r="189">
          <cell r="AN189" t="str">
            <v>Direct-to-consumer Monthly Sales</v>
          </cell>
        </row>
        <row r="190">
          <cell r="AN190" t="str">
            <v>Month 1</v>
          </cell>
          <cell r="CV190" t="str">
            <v>--</v>
          </cell>
          <cell r="CW190" t="str">
            <v>--</v>
          </cell>
          <cell r="CX190" t="str">
            <v>--</v>
          </cell>
          <cell r="CY190" t="str">
            <v>--</v>
          </cell>
          <cell r="DB190">
            <v>8</v>
          </cell>
          <cell r="DC190">
            <v>141</v>
          </cell>
          <cell r="DD190">
            <v>131</v>
          </cell>
          <cell r="DE190">
            <v>209</v>
          </cell>
          <cell r="DH190">
            <v>137</v>
          </cell>
          <cell r="DI190">
            <v>142</v>
          </cell>
          <cell r="DJ190">
            <v>128</v>
          </cell>
          <cell r="DK190">
            <v>185</v>
          </cell>
          <cell r="DN190">
            <v>69</v>
          </cell>
          <cell r="DO190">
            <v>81</v>
          </cell>
          <cell r="DP190" t="str">
            <v xml:space="preserve"> </v>
          </cell>
        </row>
        <row r="201">
          <cell r="AN201" t="str">
            <v>NA = Not Applicable, NM = Not Meaningful</v>
          </cell>
        </row>
        <row r="202">
          <cell r="N202" t="str">
            <v>1995-FY</v>
          </cell>
          <cell r="O202" t="str">
            <v>1996-FY</v>
          </cell>
          <cell r="P202" t="str">
            <v>1997-FY</v>
          </cell>
          <cell r="Q202" t="str">
            <v>1998-FY</v>
          </cell>
          <cell r="R202" t="str">
            <v>1999-FY</v>
          </cell>
          <cell r="S202" t="str">
            <v>2000-FY</v>
          </cell>
          <cell r="T202" t="str">
            <v>2001-FY</v>
          </cell>
          <cell r="U202" t="str">
            <v>2002-FY</v>
          </cell>
          <cell r="V202" t="str">
            <v>2003-FY</v>
          </cell>
          <cell r="W202" t="str">
            <v>2004-FY</v>
          </cell>
          <cell r="X202" t="str">
            <v>2005-FY</v>
          </cell>
          <cell r="Y202" t="str">
            <v>2006-FY</v>
          </cell>
          <cell r="Z202" t="str">
            <v>2007-FY</v>
          </cell>
          <cell r="AA202" t="str">
            <v>2008-FY</v>
          </cell>
          <cell r="AB202" t="str">
            <v>2009-FY</v>
          </cell>
          <cell r="AC202" t="str">
            <v>2010-FY</v>
          </cell>
          <cell r="AD202" t="str">
            <v>2011-FY</v>
          </cell>
          <cell r="AE202" t="str">
            <v>2012-FY</v>
          </cell>
          <cell r="AF202" t="str">
            <v>2013-FY</v>
          </cell>
          <cell r="AG202" t="str">
            <v>2014-FY</v>
          </cell>
          <cell r="AH202" t="str">
            <v>2015-FY</v>
          </cell>
          <cell r="DH202" t="str">
            <v>2000-Q1</v>
          </cell>
          <cell r="DI202" t="str">
            <v>2000-Q2</v>
          </cell>
          <cell r="DJ202" t="str">
            <v>2000-Q3</v>
          </cell>
          <cell r="DK202" t="str">
            <v>2000-Q4</v>
          </cell>
          <cell r="DN202" t="str">
            <v>2001-Q1</v>
          </cell>
          <cell r="DO202" t="str">
            <v>2001-Q2</v>
          </cell>
          <cell r="DP202" t="str">
            <v>2001-Q3</v>
          </cell>
          <cell r="DQ202" t="str">
            <v>2001-Q4</v>
          </cell>
          <cell r="DT202" t="str">
            <v>2002-Q1</v>
          </cell>
          <cell r="DU202" t="str">
            <v>2002-Q2</v>
          </cell>
          <cell r="DV202" t="str">
            <v>2002-Q3</v>
          </cell>
          <cell r="DW202" t="str">
            <v>2002-Q4</v>
          </cell>
          <cell r="DZ202" t="str">
            <v>2003-Q1</v>
          </cell>
          <cell r="EA202" t="str">
            <v>2003-Q2</v>
          </cell>
          <cell r="EB202" t="str">
            <v>2003-Q3</v>
          </cell>
          <cell r="EC202" t="str">
            <v>2003-Q4</v>
          </cell>
          <cell r="EF202" t="str">
            <v>2004-Q1</v>
          </cell>
          <cell r="EG202" t="str">
            <v>2004-Q2</v>
          </cell>
          <cell r="EH202" t="str">
            <v>2004-Q3</v>
          </cell>
          <cell r="EI202" t="str">
            <v>2004-Q4</v>
          </cell>
          <cell r="EL202" t="str">
            <v>2005-Q1</v>
          </cell>
          <cell r="EM202" t="str">
            <v>2005-Q2</v>
          </cell>
          <cell r="EN202" t="str">
            <v>2005-Q3</v>
          </cell>
          <cell r="EO202" t="str">
            <v>2005-Q4</v>
          </cell>
          <cell r="ER202" t="str">
            <v>2006-Q1</v>
          </cell>
          <cell r="ES202" t="str">
            <v>2006-Q2</v>
          </cell>
          <cell r="ET202" t="str">
            <v>2006-Q3</v>
          </cell>
          <cell r="EU202" t="str">
            <v>2006-Q4</v>
          </cell>
          <cell r="EX202" t="str">
            <v>2007-Q1</v>
          </cell>
          <cell r="EY202" t="str">
            <v>2007-Q2</v>
          </cell>
          <cell r="EZ202" t="str">
            <v>2007-Q3</v>
          </cell>
          <cell r="FA202" t="str">
            <v>2007-Q4</v>
          </cell>
          <cell r="FD202" t="str">
            <v>2008-Q1</v>
          </cell>
          <cell r="FE202" t="str">
            <v>2008-Q2</v>
          </cell>
          <cell r="FF202" t="str">
            <v>2008-Q3</v>
          </cell>
          <cell r="FG202" t="str">
            <v>2008-Q4</v>
          </cell>
          <cell r="FJ202" t="str">
            <v>2009-Q1</v>
          </cell>
          <cell r="FK202" t="str">
            <v>2009-Q2</v>
          </cell>
          <cell r="FL202" t="str">
            <v>2009-Q3</v>
          </cell>
          <cell r="FM202" t="str">
            <v>2009-Q4</v>
          </cell>
          <cell r="FP202" t="str">
            <v>2010-Q1</v>
          </cell>
          <cell r="FQ202" t="str">
            <v>2010-Q2</v>
          </cell>
          <cell r="FR202" t="str">
            <v>2010-Q3</v>
          </cell>
          <cell r="FS202" t="str">
            <v>2010-Q4</v>
          </cell>
          <cell r="FV202" t="str">
            <v>2011-Q1</v>
          </cell>
          <cell r="FW202" t="str">
            <v>2011-Q2</v>
          </cell>
          <cell r="FX202" t="str">
            <v>2011-Q3</v>
          </cell>
          <cell r="FY202" t="str">
            <v>2011-Q4</v>
          </cell>
          <cell r="GB202" t="str">
            <v>2012-Q1</v>
          </cell>
          <cell r="GC202" t="str">
            <v>2012-Q2</v>
          </cell>
          <cell r="GD202" t="str">
            <v>2012-Q3</v>
          </cell>
          <cell r="GE202" t="str">
            <v>2012-Q4</v>
          </cell>
        </row>
        <row r="203">
          <cell r="AA203" t="str">
            <v>LINK OVER TO QUARTERLY BULL/BEAR</v>
          </cell>
        </row>
        <row r="204">
          <cell r="A204" t="str">
            <v>Base Case Assumptions</v>
          </cell>
          <cell r="N204">
            <v>1995</v>
          </cell>
          <cell r="O204">
            <v>1996</v>
          </cell>
          <cell r="P204">
            <v>1997</v>
          </cell>
          <cell r="Q204">
            <v>1998</v>
          </cell>
          <cell r="R204">
            <v>1999</v>
          </cell>
          <cell r="S204">
            <v>2000</v>
          </cell>
          <cell r="T204">
            <v>2001</v>
          </cell>
          <cell r="U204">
            <v>2002</v>
          </cell>
          <cell r="V204">
            <v>2003</v>
          </cell>
          <cell r="W204">
            <v>2004</v>
          </cell>
          <cell r="X204">
            <v>2005</v>
          </cell>
          <cell r="Y204">
            <v>2006</v>
          </cell>
          <cell r="Z204">
            <v>2007</v>
          </cell>
          <cell r="AA204">
            <v>2008</v>
          </cell>
          <cell r="AB204">
            <v>2009</v>
          </cell>
          <cell r="AC204">
            <v>2010</v>
          </cell>
          <cell r="AD204">
            <v>2011</v>
          </cell>
          <cell r="AE204" t="str">
            <v>2012E</v>
          </cell>
          <cell r="AF204" t="str">
            <v>2013E</v>
          </cell>
          <cell r="AG204" t="str">
            <v>2014E</v>
          </cell>
          <cell r="AH204" t="str">
            <v>2015E</v>
          </cell>
          <cell r="AI204" t="str">
            <v>2016E</v>
          </cell>
          <cell r="AJ204" t="str">
            <v>2017E</v>
          </cell>
          <cell r="AK204" t="str">
            <v>2018E</v>
          </cell>
          <cell r="AL204" t="str">
            <v>2019E</v>
          </cell>
          <cell r="AN204" t="str">
            <v>Base Case Assumptions</v>
          </cell>
          <cell r="EL204" t="str">
            <v>Base Case Assumptions</v>
          </cell>
        </row>
        <row r="205">
          <cell r="A205" t="str">
            <v>Revenue</v>
          </cell>
          <cell r="N205">
            <v>14614</v>
          </cell>
          <cell r="O205">
            <v>14833</v>
          </cell>
          <cell r="P205">
            <v>15220</v>
          </cell>
          <cell r="Q205">
            <v>15365</v>
          </cell>
          <cell r="R205">
            <v>16029</v>
          </cell>
          <cell r="S205">
            <v>16638</v>
          </cell>
          <cell r="T205">
            <v>15785</v>
          </cell>
          <cell r="U205">
            <v>15571</v>
          </cell>
          <cell r="V205">
            <v>15412</v>
          </cell>
          <cell r="W205">
            <v>15776</v>
          </cell>
          <cell r="X205">
            <v>22390</v>
          </cell>
          <cell r="Y205">
            <v>26970</v>
          </cell>
          <cell r="Z205">
            <v>26313</v>
          </cell>
          <cell r="AA205">
            <v>24892</v>
          </cell>
          <cell r="AB205">
            <v>23895</v>
          </cell>
          <cell r="AC205">
            <v>25003</v>
          </cell>
          <cell r="AD205">
            <v>26405</v>
          </cell>
          <cell r="AE205">
            <v>27697.820605365057</v>
          </cell>
          <cell r="AF205">
            <v>28358.892641397051</v>
          </cell>
          <cell r="AG205">
            <v>28905.408744504351</v>
          </cell>
          <cell r="AH205">
            <v>29204.897015558319</v>
          </cell>
          <cell r="AI205">
            <v>29496.945985713905</v>
          </cell>
          <cell r="AJ205">
            <v>29791.915445571045</v>
          </cell>
          <cell r="AK205">
            <v>30089.834600026756</v>
          </cell>
          <cell r="AL205">
            <v>30390.732946027023</v>
          </cell>
          <cell r="AN205" t="str">
            <v>Consolidated Stores Monthly Sales ($)</v>
          </cell>
          <cell r="EL205" t="str">
            <v>Consolidated Stores Monthly Sales ($)</v>
          </cell>
          <cell r="EU205">
            <v>356</v>
          </cell>
        </row>
        <row r="206">
          <cell r="A206" t="str">
            <v xml:space="preserve"> % Same-store</v>
          </cell>
          <cell r="N206">
            <v>2.7E-2</v>
          </cell>
          <cell r="O206">
            <v>3.1E-2</v>
          </cell>
          <cell r="P206">
            <v>2.7E-2</v>
          </cell>
          <cell r="Q206">
            <v>2.1999999999999999E-2</v>
          </cell>
          <cell r="R206">
            <v>4.4999999999999998E-2</v>
          </cell>
          <cell r="S206">
            <v>0.02</v>
          </cell>
          <cell r="T206">
            <v>-5.2999999999999999E-2</v>
          </cell>
          <cell r="U206">
            <v>-0.03</v>
          </cell>
          <cell r="V206">
            <v>-9.0000000000000011E-3</v>
          </cell>
          <cell r="W206">
            <v>2.5999999999999999E-2</v>
          </cell>
          <cell r="X206">
            <v>1.2999999999999999E-2</v>
          </cell>
          <cell r="Y206">
            <v>4.3999999999999997E-2</v>
          </cell>
          <cell r="Z206">
            <v>-1.2799528750047504E-2</v>
          </cell>
          <cell r="AA206">
            <v>-4.4999999999999998E-2</v>
          </cell>
          <cell r="AB206">
            <v>-5.0987622799162344E-2</v>
          </cell>
          <cell r="AC206">
            <v>4.610434747830261E-2</v>
          </cell>
          <cell r="AD206">
            <v>5.2999999999999999E-2</v>
          </cell>
          <cell r="AE206">
            <v>4.02253638971692E-2</v>
          </cell>
          <cell r="AF206">
            <v>3.5000000000000003E-2</v>
          </cell>
          <cell r="AG206">
            <v>0.02</v>
          </cell>
          <cell r="AH206">
            <v>0.01</v>
          </cell>
          <cell r="AI206">
            <v>0.01</v>
          </cell>
          <cell r="AJ206">
            <v>0.01</v>
          </cell>
          <cell r="AK206">
            <v>0.01</v>
          </cell>
          <cell r="AL206">
            <v>0.01</v>
          </cell>
          <cell r="AN206" t="str">
            <v>Month 1</v>
          </cell>
          <cell r="EL206" t="str">
            <v>Month 1</v>
          </cell>
          <cell r="ER206">
            <v>1800</v>
          </cell>
          <cell r="ES206">
            <v>2026</v>
          </cell>
          <cell r="ET206">
            <v>1727</v>
          </cell>
          <cell r="EU206">
            <v>2385</v>
          </cell>
          <cell r="EX206">
            <v>1802</v>
          </cell>
          <cell r="EY206">
            <v>1976</v>
          </cell>
          <cell r="EZ206">
            <v>1788</v>
          </cell>
          <cell r="FA206">
            <v>2707</v>
          </cell>
          <cell r="FD206">
            <v>1737</v>
          </cell>
          <cell r="FE206">
            <v>1926</v>
          </cell>
          <cell r="FF206">
            <v>1686</v>
          </cell>
          <cell r="FG206">
            <v>2324</v>
          </cell>
          <cell r="FJ206">
            <v>1602.5975291456411</v>
          </cell>
          <cell r="FK206">
            <v>1783.7565582371458</v>
          </cell>
          <cell r="FL206">
            <v>1576.1490988530857</v>
          </cell>
          <cell r="FM206">
            <v>2202.7766574237457</v>
          </cell>
          <cell r="FP206">
            <v>1667</v>
          </cell>
          <cell r="FQ206">
            <v>1789</v>
          </cell>
          <cell r="FR206">
            <v>1638</v>
          </cell>
          <cell r="FS206">
            <v>2341</v>
          </cell>
          <cell r="FV206">
            <v>1763</v>
          </cell>
          <cell r="FW206">
            <v>1937</v>
          </cell>
          <cell r="FX206">
            <v>1714</v>
          </cell>
          <cell r="FY206">
            <v>2465</v>
          </cell>
          <cell r="GB206">
            <v>1860</v>
          </cell>
          <cell r="GC206">
            <v>2015</v>
          </cell>
          <cell r="GD206">
            <v>1812</v>
          </cell>
          <cell r="GE206">
            <v>2539.5720461726355</v>
          </cell>
        </row>
        <row r="207">
          <cell r="A207" t="str">
            <v>CGS, OCC, Buying Costs</v>
          </cell>
          <cell r="N207">
            <v>9038</v>
          </cell>
          <cell r="O207">
            <v>9018</v>
          </cell>
          <cell r="P207">
            <v>9200</v>
          </cell>
          <cell r="Q207">
            <v>9218</v>
          </cell>
          <cell r="R207">
            <v>9576</v>
          </cell>
          <cell r="S207">
            <v>9955</v>
          </cell>
          <cell r="T207">
            <v>9603</v>
          </cell>
          <cell r="U207">
            <v>9324</v>
          </cell>
          <cell r="V207">
            <v>9175</v>
          </cell>
          <cell r="W207">
            <v>9346</v>
          </cell>
          <cell r="X207">
            <v>13272</v>
          </cell>
          <cell r="Y207">
            <v>16019</v>
          </cell>
          <cell r="Z207">
            <v>15774.299839502128</v>
          </cell>
          <cell r="AA207">
            <v>15009</v>
          </cell>
          <cell r="AB207">
            <v>14278</v>
          </cell>
          <cell r="AC207">
            <v>14824</v>
          </cell>
          <cell r="AD207">
            <v>15738</v>
          </cell>
          <cell r="AE207">
            <v>16473.116703251519</v>
          </cell>
          <cell r="AF207">
            <v>16781.208749826241</v>
          </cell>
          <cell r="AG207">
            <v>17061.248342231931</v>
          </cell>
          <cell r="AH207">
            <v>17267.224438478806</v>
          </cell>
          <cell r="AI207">
            <v>17498.890574835023</v>
          </cell>
          <cell r="AJ207">
            <v>17673.879480583375</v>
          </cell>
          <cell r="AK207">
            <v>17850.618275389206</v>
          </cell>
          <cell r="AL207">
            <v>18029.124458143102</v>
          </cell>
          <cell r="AN207" t="str">
            <v>Month 2</v>
          </cell>
          <cell r="EL207" t="str">
            <v>Month 2</v>
          </cell>
          <cell r="ER207">
            <v>2255</v>
          </cell>
          <cell r="ES207">
            <v>2367</v>
          </cell>
          <cell r="ET207">
            <v>2303</v>
          </cell>
          <cell r="EU207">
            <v>4997</v>
          </cell>
          <cell r="EX207">
            <v>2288</v>
          </cell>
          <cell r="EY207">
            <v>2321</v>
          </cell>
          <cell r="EZ207">
            <v>2274</v>
          </cell>
          <cell r="FA207">
            <v>4624</v>
          </cell>
          <cell r="FD207">
            <v>2142</v>
          </cell>
          <cell r="FE207">
            <v>2249</v>
          </cell>
          <cell r="FF207">
            <v>2093</v>
          </cell>
          <cell r="FG207">
            <v>4397</v>
          </cell>
          <cell r="FJ207">
            <v>1963.7990255785628</v>
          </cell>
          <cell r="FK207">
            <v>2092.5916404337181</v>
          </cell>
          <cell r="FL207">
            <v>2084.1512834516657</v>
          </cell>
          <cell r="FM207">
            <v>4474.7693471136881</v>
          </cell>
          <cell r="FP207">
            <v>2172</v>
          </cell>
          <cell r="FQ207">
            <v>2229</v>
          </cell>
          <cell r="FR207">
            <v>2181</v>
          </cell>
          <cell r="FS207">
            <v>4619</v>
          </cell>
          <cell r="FV207">
            <v>2206</v>
          </cell>
          <cell r="FW207">
            <v>2392</v>
          </cell>
          <cell r="FX207">
            <v>2298</v>
          </cell>
          <cell r="FY207">
            <v>4925</v>
          </cell>
          <cell r="GB207">
            <v>2358</v>
          </cell>
          <cell r="GC207">
            <v>2412</v>
          </cell>
          <cell r="GD207">
            <v>2339.3160690399509</v>
          </cell>
          <cell r="GE207">
            <v>5073.9928305883286</v>
          </cell>
        </row>
        <row r="208">
          <cell r="A208" t="str">
            <v>CGS, OCC, Buying Costs %</v>
          </cell>
          <cell r="N208">
            <v>0.61844806350075265</v>
          </cell>
          <cell r="O208">
            <v>0.60796871839816624</v>
          </cell>
          <cell r="P208">
            <v>0.60446780551905388</v>
          </cell>
          <cell r="Q208">
            <v>0.59993491701919943</v>
          </cell>
          <cell r="R208">
            <v>0.59741718135878719</v>
          </cell>
          <cell r="S208">
            <v>0.5983291260968866</v>
          </cell>
          <cell r="T208">
            <v>0.60836236933797905</v>
          </cell>
          <cell r="U208">
            <v>0.59880547171023057</v>
          </cell>
          <cell r="V208">
            <v>0.59531533869711917</v>
          </cell>
          <cell r="W208">
            <v>0.59241886409736311</v>
          </cell>
          <cell r="X208">
            <v>0.59276462706565436</v>
          </cell>
          <cell r="Y208">
            <v>0.59395624768261035</v>
          </cell>
          <cell r="Z208">
            <v>0.59948693951666965</v>
          </cell>
          <cell r="AA208">
            <v>0.60296480797043228</v>
          </cell>
          <cell r="AB208">
            <v>0.59753086419753088</v>
          </cell>
          <cell r="AC208">
            <v>0.59288885333759944</v>
          </cell>
          <cell r="AD208">
            <v>0.59602348040143915</v>
          </cell>
          <cell r="AE208">
            <v>0.59474414748937621</v>
          </cell>
          <cell r="AF208">
            <v>0.5917441474893762</v>
          </cell>
          <cell r="AG208">
            <v>0.59024414748937615</v>
          </cell>
          <cell r="AH208">
            <v>0.59124414748937626</v>
          </cell>
          <cell r="AI208">
            <v>0.59324414748937615</v>
          </cell>
          <cell r="AJ208">
            <v>0.59324414748937626</v>
          </cell>
          <cell r="AK208">
            <v>0.59324414748937615</v>
          </cell>
          <cell r="AL208">
            <v>0.59324414748937626</v>
          </cell>
          <cell r="AN208" t="str">
            <v>Month 3</v>
          </cell>
          <cell r="EL208" t="str">
            <v>Month 3</v>
          </cell>
          <cell r="ER208">
            <v>1878</v>
          </cell>
          <cell r="ES208">
            <v>1608</v>
          </cell>
          <cell r="ET208">
            <v>1863</v>
          </cell>
          <cell r="EU208">
            <v>1780</v>
          </cell>
          <cell r="EX208">
            <v>1837</v>
          </cell>
          <cell r="EY208">
            <v>1602</v>
          </cell>
          <cell r="EZ208">
            <v>1849</v>
          </cell>
          <cell r="FA208">
            <v>1273</v>
          </cell>
          <cell r="FD208">
            <v>1868</v>
          </cell>
          <cell r="FE208">
            <v>1543</v>
          </cell>
          <cell r="FF208">
            <v>1714</v>
          </cell>
          <cell r="FG208">
            <v>1213</v>
          </cell>
          <cell r="FJ208">
            <v>1720.603445275796</v>
          </cell>
          <cell r="FK208">
            <v>1409.6518013291361</v>
          </cell>
          <cell r="FL208">
            <v>1725.6996176952484</v>
          </cell>
          <cell r="FM208">
            <v>1268.4539954625661</v>
          </cell>
          <cell r="FP208">
            <v>1739</v>
          </cell>
          <cell r="FQ208">
            <v>1528</v>
          </cell>
          <cell r="FR208">
            <v>1806</v>
          </cell>
          <cell r="FS208">
            <v>1310</v>
          </cell>
          <cell r="FV208">
            <v>1920</v>
          </cell>
          <cell r="FW208">
            <v>1612</v>
          </cell>
          <cell r="FX208">
            <v>1842</v>
          </cell>
          <cell r="FY208">
            <v>1336</v>
          </cell>
          <cell r="GB208">
            <v>1928</v>
          </cell>
          <cell r="GC208">
            <v>1693</v>
          </cell>
          <cell r="GD208">
            <v>1918.3705778953104</v>
          </cell>
          <cell r="GE208">
            <v>1753.5690816688336</v>
          </cell>
        </row>
        <row r="209">
          <cell r="A209" t="str">
            <v>Y/Y ∆ CGS, OCC, Buying Costs % (bps)</v>
          </cell>
          <cell r="O209">
            <v>-104.79345102586413</v>
          </cell>
          <cell r="P209">
            <v>-35.009128791123615</v>
          </cell>
          <cell r="Q209">
            <v>-45.328884998544481</v>
          </cell>
          <cell r="R209">
            <v>-25.177356604122458</v>
          </cell>
          <cell r="S209">
            <v>9.1194473809941279</v>
          </cell>
          <cell r="T209">
            <v>100.33243241092448</v>
          </cell>
          <cell r="U209">
            <v>-95.568976277484722</v>
          </cell>
          <cell r="V209">
            <v>-34.901330131114072</v>
          </cell>
          <cell r="W209">
            <v>-28.964745997560605</v>
          </cell>
          <cell r="X209">
            <v>3.4576296829125219</v>
          </cell>
          <cell r="Y209">
            <v>11.916206169559906</v>
          </cell>
          <cell r="Z209">
            <v>55.306918340592979</v>
          </cell>
          <cell r="AA209">
            <v>34.778684537626333</v>
          </cell>
          <cell r="AB209">
            <v>-54.339437729014065</v>
          </cell>
          <cell r="AC209">
            <v>-46.420108599314332</v>
          </cell>
          <cell r="AD209">
            <v>31.346270638397122</v>
          </cell>
          <cell r="AE209">
            <v>-12.793329120629471</v>
          </cell>
          <cell r="AF209">
            <v>-30.000000000000028</v>
          </cell>
          <cell r="AG209">
            <v>-15.000000000000568</v>
          </cell>
          <cell r="AH209">
            <v>10.000000000001119</v>
          </cell>
          <cell r="AI209">
            <v>19.999999999998906</v>
          </cell>
          <cell r="AJ209">
            <v>1.1102230246251565E-12</v>
          </cell>
          <cell r="AK209">
            <v>-1.1102230246251565E-12</v>
          </cell>
          <cell r="AL209">
            <v>1.1102230246251565E-12</v>
          </cell>
          <cell r="AN209" t="str">
            <v>Total</v>
          </cell>
          <cell r="EL209" t="str">
            <v>Total</v>
          </cell>
          <cell r="ER209">
            <v>5930</v>
          </cell>
          <cell r="ES209">
            <v>5995</v>
          </cell>
          <cell r="ET209">
            <v>5886</v>
          </cell>
          <cell r="EU209">
            <v>9159</v>
          </cell>
          <cell r="EV209">
            <v>26970</v>
          </cell>
          <cell r="EX209">
            <v>5921</v>
          </cell>
          <cell r="EY209">
            <v>5892</v>
          </cell>
          <cell r="EZ209">
            <v>5906</v>
          </cell>
          <cell r="FA209">
            <v>8594</v>
          </cell>
          <cell r="FB209">
            <v>26313</v>
          </cell>
          <cell r="FD209">
            <v>5747</v>
          </cell>
          <cell r="FE209">
            <v>5718</v>
          </cell>
          <cell r="FF209">
            <v>5493</v>
          </cell>
          <cell r="FG209">
            <v>7934</v>
          </cell>
          <cell r="FH209">
            <v>24892</v>
          </cell>
          <cell r="FJ209">
            <v>5288</v>
          </cell>
          <cell r="FK209">
            <v>5285</v>
          </cell>
          <cell r="FL209">
            <v>5385</v>
          </cell>
          <cell r="FM209">
            <v>7937</v>
          </cell>
          <cell r="FN209">
            <v>23895</v>
          </cell>
          <cell r="FP209">
            <v>5574</v>
          </cell>
          <cell r="FQ209">
            <v>5537</v>
          </cell>
          <cell r="FR209">
            <v>5623</v>
          </cell>
          <cell r="FS209">
            <v>8269</v>
          </cell>
          <cell r="FT209">
            <v>25003</v>
          </cell>
          <cell r="FV209">
            <v>5889</v>
          </cell>
          <cell r="FW209">
            <v>5939</v>
          </cell>
          <cell r="FX209">
            <v>5853</v>
          </cell>
          <cell r="FY209">
            <v>8724</v>
          </cell>
          <cell r="FZ209">
            <v>26405</v>
          </cell>
          <cell r="GB209">
            <v>6143</v>
          </cell>
          <cell r="GC209">
            <v>6118</v>
          </cell>
          <cell r="GD209">
            <v>6069.6866469352608</v>
          </cell>
          <cell r="GE209">
            <v>9367.1339584297966</v>
          </cell>
          <cell r="GF209">
            <v>27697.820605365057</v>
          </cell>
        </row>
        <row r="210">
          <cell r="A210" t="str">
            <v>Gross Income</v>
          </cell>
          <cell r="N210">
            <v>5576</v>
          </cell>
          <cell r="O210">
            <v>5815</v>
          </cell>
          <cell r="P210">
            <v>6020</v>
          </cell>
          <cell r="Q210">
            <v>6147</v>
          </cell>
          <cell r="R210">
            <v>6453</v>
          </cell>
          <cell r="S210">
            <v>6683</v>
          </cell>
          <cell r="T210">
            <v>6182</v>
          </cell>
          <cell r="U210">
            <v>6247</v>
          </cell>
          <cell r="V210">
            <v>6237</v>
          </cell>
          <cell r="W210">
            <v>6430</v>
          </cell>
          <cell r="X210">
            <v>9118</v>
          </cell>
          <cell r="Y210">
            <v>10951</v>
          </cell>
          <cell r="Z210">
            <v>10538.700160497872</v>
          </cell>
          <cell r="AA210">
            <v>9883</v>
          </cell>
          <cell r="AB210">
            <v>9617</v>
          </cell>
          <cell r="AC210">
            <v>10179</v>
          </cell>
          <cell r="AD210">
            <v>10667</v>
          </cell>
          <cell r="AE210">
            <v>11224.703902113539</v>
          </cell>
          <cell r="AF210">
            <v>11577.683891570809</v>
          </cell>
          <cell r="AG210">
            <v>11844.16040227242</v>
          </cell>
          <cell r="AH210">
            <v>11937.672577079513</v>
          </cell>
          <cell r="AI210">
            <v>11998.055410878882</v>
          </cell>
          <cell r="AJ210">
            <v>12118.035964987672</v>
          </cell>
          <cell r="AK210">
            <v>12239.216324637548</v>
          </cell>
          <cell r="AL210">
            <v>12361.608487883923</v>
          </cell>
        </row>
        <row r="211">
          <cell r="A211" t="str">
            <v>Gross Margin</v>
          </cell>
          <cell r="N211">
            <v>0.38155193649924729</v>
          </cell>
          <cell r="O211">
            <v>0.39203128160183376</v>
          </cell>
          <cell r="P211">
            <v>0.39553219448094612</v>
          </cell>
          <cell r="Q211">
            <v>0.40006508298080051</v>
          </cell>
          <cell r="R211">
            <v>0.40258281864121281</v>
          </cell>
          <cell r="S211">
            <v>0.40167087390311335</v>
          </cell>
          <cell r="T211">
            <v>0.3916376306620209</v>
          </cell>
          <cell r="U211">
            <v>0.40119452828976943</v>
          </cell>
          <cell r="V211">
            <v>0.40468466130288089</v>
          </cell>
          <cell r="W211">
            <v>0.40758113590263689</v>
          </cell>
          <cell r="X211">
            <v>0.4072353729343457</v>
          </cell>
          <cell r="Y211">
            <v>0.40604375231738971</v>
          </cell>
          <cell r="Z211">
            <v>0.40051306048333035</v>
          </cell>
          <cell r="AA211">
            <v>0.39703519202956772</v>
          </cell>
          <cell r="AB211">
            <v>0.40246913580246912</v>
          </cell>
          <cell r="AC211">
            <v>0.4071111466624005</v>
          </cell>
          <cell r="AD211">
            <v>0.4039765195985609</v>
          </cell>
          <cell r="AE211">
            <v>0.40525585251062379</v>
          </cell>
          <cell r="AF211">
            <v>0.4082558525106238</v>
          </cell>
          <cell r="AG211">
            <v>0.4097558525106238</v>
          </cell>
          <cell r="AH211">
            <v>0.4087558525106238</v>
          </cell>
          <cell r="AI211">
            <v>0.40675585251062379</v>
          </cell>
          <cell r="AJ211">
            <v>0.40675585251062379</v>
          </cell>
          <cell r="AK211">
            <v>0.40675585251062379</v>
          </cell>
          <cell r="AL211">
            <v>0.40675585251062379</v>
          </cell>
          <cell r="AN211" t="str">
            <v xml:space="preserve">Consolidated Monthly Comps </v>
          </cell>
          <cell r="EL211" t="str">
            <v xml:space="preserve">Consolidated Monthly Comps </v>
          </cell>
          <cell r="EX211">
            <v>2.9599999999999991E-3</v>
          </cell>
          <cell r="FA211">
            <v>-1.5112275862068966E-2</v>
          </cell>
        </row>
        <row r="212">
          <cell r="A212" t="str">
            <v>Y/Y ∆ Gross Margin (bps)</v>
          </cell>
          <cell r="O212">
            <v>104.79345102586468</v>
          </cell>
          <cell r="P212">
            <v>35.009128791123615</v>
          </cell>
          <cell r="Q212">
            <v>45.328884998543927</v>
          </cell>
          <cell r="R212">
            <v>25.177356604123013</v>
          </cell>
          <cell r="S212">
            <v>-9.1194473809946821</v>
          </cell>
          <cell r="T212">
            <v>-100.33243241092448</v>
          </cell>
          <cell r="U212">
            <v>95.568976277485291</v>
          </cell>
          <cell r="V212">
            <v>34.901330131114626</v>
          </cell>
          <cell r="W212">
            <v>28.964745997560048</v>
          </cell>
          <cell r="X212">
            <v>-3.4576296829119668</v>
          </cell>
          <cell r="Y212">
            <v>-11.916206169559906</v>
          </cell>
          <cell r="Z212">
            <v>-55.306918340593533</v>
          </cell>
          <cell r="AA212">
            <v>-34.778684537626333</v>
          </cell>
          <cell r="AB212">
            <v>54.339437729014065</v>
          </cell>
          <cell r="AC212">
            <v>46.420108599313778</v>
          </cell>
          <cell r="AD212">
            <v>-31.346270638396014</v>
          </cell>
          <cell r="AE212">
            <v>12.793329120628915</v>
          </cell>
          <cell r="AF212">
            <v>30</v>
          </cell>
          <cell r="AG212">
            <v>15</v>
          </cell>
          <cell r="AH212">
            <v>-10</v>
          </cell>
          <cell r="AI212">
            <v>-20</v>
          </cell>
          <cell r="AJ212">
            <v>0</v>
          </cell>
          <cell r="AK212">
            <v>0</v>
          </cell>
          <cell r="AL212">
            <v>0</v>
          </cell>
          <cell r="AN212" t="str">
            <v>Month 1</v>
          </cell>
          <cell r="EL212" t="str">
            <v>Month 1</v>
          </cell>
          <cell r="ER212">
            <v>0.01</v>
          </cell>
          <cell r="ES212">
            <v>9.1999999999999998E-2</v>
          </cell>
          <cell r="ET212">
            <v>3.7999999999999999E-2</v>
          </cell>
          <cell r="EU212">
            <v>8.5000000000000006E-2</v>
          </cell>
          <cell r="EX212">
            <v>1.2E-2</v>
          </cell>
          <cell r="EY212">
            <v>-3.3000000000000002E-2</v>
          </cell>
          <cell r="EZ212">
            <v>2.4E-2</v>
          </cell>
          <cell r="FA212">
            <v>0.13400000000000001</v>
          </cell>
          <cell r="FD212">
            <v>-3.5000000000000003E-2</v>
          </cell>
          <cell r="FE212">
            <v>-1.4999999999999999E-2</v>
          </cell>
          <cell r="FF212">
            <v>-4.8000000000000001E-2</v>
          </cell>
          <cell r="FG212">
            <v>-0.13300000000000001</v>
          </cell>
          <cell r="FJ212">
            <v>-8.5000000000000006E-2</v>
          </cell>
          <cell r="FK212">
            <v>-9.0999999999999998E-2</v>
          </cell>
          <cell r="FL212">
            <v>-8.1000000000000003E-2</v>
          </cell>
          <cell r="FM212">
            <v>-6.0999999999999999E-2</v>
          </cell>
          <cell r="FP212">
            <v>3.6999999999999998E-2</v>
          </cell>
          <cell r="FQ212">
            <v>1.4E-2</v>
          </cell>
          <cell r="FR212">
            <v>4.2999999999999997E-2</v>
          </cell>
          <cell r="FS212">
            <v>6.0999999999999999E-2</v>
          </cell>
          <cell r="FV212">
            <v>5.8000000000000003E-2</v>
          </cell>
          <cell r="FW212">
            <v>7.3999999999999996E-2</v>
          </cell>
          <cell r="FX212">
            <v>0.05</v>
          </cell>
          <cell r="FY212">
            <v>4.8000000000000001E-2</v>
          </cell>
          <cell r="GB212">
            <v>4.5999999999999999E-2</v>
          </cell>
          <cell r="GC212">
            <v>4.2000000000000003E-2</v>
          </cell>
          <cell r="GD212">
            <v>5.0999999999999997E-2</v>
          </cell>
          <cell r="GE212">
            <v>0.04</v>
          </cell>
        </row>
        <row r="213">
          <cell r="A213" t="str">
            <v>SG&amp;A Expenses</v>
          </cell>
          <cell r="N213">
            <v>4913</v>
          </cell>
          <cell r="O213">
            <v>4922</v>
          </cell>
          <cell r="P213">
            <v>4679</v>
          </cell>
          <cell r="Q213">
            <v>4692</v>
          </cell>
          <cell r="R213">
            <v>4760</v>
          </cell>
          <cell r="S213">
            <v>4912</v>
          </cell>
          <cell r="T213">
            <v>4806</v>
          </cell>
          <cell r="U213">
            <v>4836</v>
          </cell>
          <cell r="V213">
            <v>4837</v>
          </cell>
          <cell r="W213">
            <v>4931</v>
          </cell>
          <cell r="X213">
            <v>6980</v>
          </cell>
          <cell r="Y213">
            <v>8678</v>
          </cell>
          <cell r="Z213">
            <v>8505.3177921820607</v>
          </cell>
          <cell r="AA213">
            <v>8458</v>
          </cell>
          <cell r="AB213">
            <v>8163</v>
          </cell>
          <cell r="AC213">
            <v>8260</v>
          </cell>
          <cell r="AD213">
            <v>8281</v>
          </cell>
          <cell r="AE213">
            <v>8553.4072798862726</v>
          </cell>
          <cell r="AF213">
            <v>8800.0923077192638</v>
          </cell>
          <cell r="AG213">
            <v>8940.7771652737574</v>
          </cell>
          <cell r="AH213">
            <v>9004.2074535542979</v>
          </cell>
          <cell r="AI213">
            <v>9064.7525821041272</v>
          </cell>
          <cell r="AJ213">
            <v>9125.6081924795981</v>
          </cell>
          <cell r="AK213">
            <v>9186.7744398043687</v>
          </cell>
          <cell r="AL213">
            <v>9248.2514512563848</v>
          </cell>
          <cell r="AN213" t="str">
            <v>Month 2</v>
          </cell>
          <cell r="EL213" t="str">
            <v>Month 2</v>
          </cell>
          <cell r="ER213">
            <v>0</v>
          </cell>
          <cell r="ES213">
            <v>1.7000000000000001E-2</v>
          </cell>
          <cell r="ET213">
            <v>6.5000000000000002E-2</v>
          </cell>
          <cell r="EU213">
            <v>4.3999999999999997E-2</v>
          </cell>
          <cell r="EX213">
            <v>2.3E-2</v>
          </cell>
          <cell r="EY213">
            <v>-2.7E-2</v>
          </cell>
          <cell r="EZ213">
            <v>-2.7E-2</v>
          </cell>
          <cell r="FA213">
            <v>-7.9000000000000001E-2</v>
          </cell>
          <cell r="FD213">
            <v>-6.2E-2</v>
          </cell>
          <cell r="FE213">
            <v>-2.1000000000000001E-2</v>
          </cell>
          <cell r="FF213">
            <v>-6.6000000000000003E-2</v>
          </cell>
          <cell r="FG213">
            <v>-0.04</v>
          </cell>
          <cell r="FJ213">
            <v>-9.1999999999999998E-2</v>
          </cell>
          <cell r="FK213">
            <v>-8.8999999999999996E-2</v>
          </cell>
          <cell r="FL213">
            <v>-2.3E-2</v>
          </cell>
          <cell r="FM213">
            <v>0.01</v>
          </cell>
          <cell r="FP213">
            <v>0.10800000000000001</v>
          </cell>
          <cell r="FQ213">
            <v>6.5000000000000002E-2</v>
          </cell>
          <cell r="FR213">
            <v>4.8000000000000001E-2</v>
          </cell>
          <cell r="FS213">
            <v>3.9E-2</v>
          </cell>
          <cell r="FV213">
            <v>8.9999999999999993E-3</v>
          </cell>
          <cell r="FW213">
            <v>6.7000000000000004E-2</v>
          </cell>
          <cell r="FX213">
            <v>4.9000000000000002E-2</v>
          </cell>
          <cell r="FY213">
            <v>6.2E-2</v>
          </cell>
          <cell r="GB213">
            <v>7.2999999999999995E-2</v>
          </cell>
          <cell r="GC213">
            <v>1.2E-2</v>
          </cell>
          <cell r="GD213">
            <v>0.03</v>
          </cell>
          <cell r="GE213">
            <v>0.04</v>
          </cell>
        </row>
        <row r="214">
          <cell r="A214" t="str">
            <v>SG&amp;A Ratio</v>
          </cell>
          <cell r="N214">
            <v>0.33618448063500755</v>
          </cell>
          <cell r="O214">
            <v>0.33182768152093306</v>
          </cell>
          <cell r="P214">
            <v>0.30742444152431014</v>
          </cell>
          <cell r="Q214">
            <v>0.30536934591604298</v>
          </cell>
          <cell r="R214">
            <v>0.29696175681577142</v>
          </cell>
          <cell r="S214">
            <v>0.29522779180189929</v>
          </cell>
          <cell r="T214">
            <v>0.30446626544187522</v>
          </cell>
          <cell r="U214">
            <v>0.31057735534005521</v>
          </cell>
          <cell r="V214">
            <v>0.31384635349078638</v>
          </cell>
          <cell r="W214">
            <v>0.31256338742393508</v>
          </cell>
          <cell r="X214">
            <v>0.311746315319339</v>
          </cell>
          <cell r="Y214">
            <v>0.32176492398961809</v>
          </cell>
          <cell r="Z214">
            <v>0.32323633915486871</v>
          </cell>
          <cell r="AA214">
            <v>0.33978788365739998</v>
          </cell>
          <cell r="AB214">
            <v>0.34161958568738232</v>
          </cell>
          <cell r="AC214">
            <v>0.33036035675718911</v>
          </cell>
          <cell r="AD214">
            <v>0.31361484567316794</v>
          </cell>
          <cell r="AE214">
            <v>0.30881156325452847</v>
          </cell>
          <cell r="AF214">
            <v>0.31031156325452847</v>
          </cell>
          <cell r="AG214">
            <v>0.30931156325452847</v>
          </cell>
          <cell r="AH214">
            <v>0.30831156325452846</v>
          </cell>
          <cell r="AI214">
            <v>0.30731156325452846</v>
          </cell>
          <cell r="AJ214">
            <v>0.30631156325452846</v>
          </cell>
          <cell r="AK214">
            <v>0.30531156325452846</v>
          </cell>
          <cell r="AL214">
            <v>0.30431156325452846</v>
          </cell>
          <cell r="AN214" t="str">
            <v>Month 3</v>
          </cell>
          <cell r="EL214" t="str">
            <v>Month 3</v>
          </cell>
          <cell r="ER214">
            <v>-8.0000000000000002E-3</v>
          </cell>
          <cell r="ES214">
            <v>3.3000000000000002E-2</v>
          </cell>
          <cell r="ET214">
            <v>7.6999999999999999E-2</v>
          </cell>
          <cell r="EU214">
            <v>8.5999999999999993E-2</v>
          </cell>
          <cell r="EX214">
            <v>-2.1999999999999999E-2</v>
          </cell>
          <cell r="EY214">
            <v>-1.4E-2</v>
          </cell>
          <cell r="EZ214">
            <v>-1.4999999999999999E-2</v>
          </cell>
          <cell r="FA214">
            <v>-7.0999999999999994E-2</v>
          </cell>
          <cell r="FD214">
            <v>0.03</v>
          </cell>
          <cell r="FE214">
            <v>-2.9000000000000001E-2</v>
          </cell>
          <cell r="FF214">
            <v>-6.3E-2</v>
          </cell>
          <cell r="FG214">
            <v>-4.4999999999999998E-2</v>
          </cell>
          <cell r="FJ214">
            <v>-9.0999999999999998E-2</v>
          </cell>
          <cell r="FK214">
            <v>-0.107</v>
          </cell>
          <cell r="FL214">
            <v>-8.0000000000000002E-3</v>
          </cell>
          <cell r="FM214">
            <v>3.4000000000000002E-2</v>
          </cell>
          <cell r="FP214">
            <v>1.0999999999999999E-2</v>
          </cell>
          <cell r="FQ214">
            <v>7.2999999999999995E-2</v>
          </cell>
          <cell r="FR214">
            <v>2.5000000000000001E-2</v>
          </cell>
          <cell r="FS214">
            <v>2.5999999999999999E-2</v>
          </cell>
          <cell r="FV214">
            <v>0.108</v>
          </cell>
          <cell r="FW214">
            <v>0.05</v>
          </cell>
          <cell r="FX214">
            <v>2.1999999999999999E-2</v>
          </cell>
          <cell r="FY214">
            <v>2.4E-2</v>
          </cell>
          <cell r="GB214">
            <v>1.2E-2</v>
          </cell>
          <cell r="GC214">
            <v>4.1000000000000002E-2</v>
          </cell>
          <cell r="GD214">
            <v>5.5E-2</v>
          </cell>
          <cell r="GE214">
            <v>0.05</v>
          </cell>
        </row>
        <row r="215">
          <cell r="A215" t="str">
            <v>Y/Y ∆ SG&amp;A Ratio (bps)</v>
          </cell>
          <cell r="O215">
            <v>-43.567991140744944</v>
          </cell>
          <cell r="P215">
            <v>-244.03239996622915</v>
          </cell>
          <cell r="Q215">
            <v>-20.550956082671657</v>
          </cell>
          <cell r="R215">
            <v>-84.075891002715622</v>
          </cell>
          <cell r="S215">
            <v>-17.339650138721296</v>
          </cell>
          <cell r="T215">
            <v>92.384736399759305</v>
          </cell>
          <cell r="U215">
            <v>61.110898981799892</v>
          </cell>
          <cell r="V215">
            <v>32.689981507311728</v>
          </cell>
          <cell r="W215">
            <v>-12.829660668512988</v>
          </cell>
          <cell r="X215">
            <v>-8.170721045960839</v>
          </cell>
          <cell r="Y215">
            <v>100.18608670279094</v>
          </cell>
          <cell r="Z215">
            <v>14.714151652506224</v>
          </cell>
          <cell r="AA215">
            <v>165.51544502531269</v>
          </cell>
          <cell r="AB215">
            <v>18.317020299823405</v>
          </cell>
          <cell r="AC215">
            <v>-112.5922893019321</v>
          </cell>
          <cell r="AD215">
            <v>-167.45511084021169</v>
          </cell>
          <cell r="AE215">
            <v>-48.032824186394762</v>
          </cell>
          <cell r="AF215">
            <v>15</v>
          </cell>
          <cell r="AG215">
            <v>-10</v>
          </cell>
          <cell r="AH215">
            <v>-10</v>
          </cell>
          <cell r="AI215">
            <v>-10</v>
          </cell>
          <cell r="AJ215">
            <v>-10</v>
          </cell>
          <cell r="AK215">
            <v>-10</v>
          </cell>
          <cell r="AL215">
            <v>-10</v>
          </cell>
          <cell r="AN215" t="str">
            <v>Total</v>
          </cell>
          <cell r="EL215" t="str">
            <v>Total</v>
          </cell>
          <cell r="ER215">
            <v>0</v>
          </cell>
          <cell r="ES215">
            <v>4.5999999999999999E-2</v>
          </cell>
          <cell r="ET215">
            <v>5.8999999999999997E-2</v>
          </cell>
          <cell r="EU215">
            <v>6.0999999999999999E-2</v>
          </cell>
          <cell r="EV215">
            <v>4.3999999999999997E-2</v>
          </cell>
          <cell r="EX215">
            <v>6.0000000000000001E-3</v>
          </cell>
          <cell r="EY215">
            <v>-2.5999999999999999E-2</v>
          </cell>
          <cell r="EZ215">
            <v>-8.0000000000000002E-3</v>
          </cell>
          <cell r="FA215">
            <v>-0.02</v>
          </cell>
          <cell r="FB215">
            <v>-1.2999999999999999E-2</v>
          </cell>
          <cell r="FD215">
            <v>-2.5999999999999999E-2</v>
          </cell>
          <cell r="FE215">
            <v>-2.1000000000000001E-2</v>
          </cell>
          <cell r="FF215">
            <v>-0.06</v>
          </cell>
          <cell r="FG215">
            <v>-7.0000000000000007E-2</v>
          </cell>
          <cell r="FH215">
            <v>-4.4999999999999998E-2</v>
          </cell>
          <cell r="FJ215">
            <v>-0.09</v>
          </cell>
          <cell r="FK215">
            <v>-9.5000000000000001E-2</v>
          </cell>
          <cell r="FL215">
            <v>-3.5999999999999997E-2</v>
          </cell>
          <cell r="FM215">
            <v>-5.8579119044959507E-3</v>
          </cell>
          <cell r="FN215">
            <v>-5.0987622799162344E-2</v>
          </cell>
          <cell r="FP215">
            <v>5.5E-2</v>
          </cell>
          <cell r="FQ215">
            <v>4.9000000000000002E-2</v>
          </cell>
          <cell r="FR215">
            <v>3.9E-2</v>
          </cell>
          <cell r="FS215">
            <v>4.2999999999999997E-2</v>
          </cell>
          <cell r="FT215">
            <v>4.610434747830261E-2</v>
          </cell>
          <cell r="FV215">
            <v>5.3999999999999999E-2</v>
          </cell>
          <cell r="FW215">
            <v>6.4000000000000001E-2</v>
          </cell>
          <cell r="FX215">
            <v>0.04</v>
          </cell>
          <cell r="FY215">
            <v>5.1999999999999998E-2</v>
          </cell>
          <cell r="FZ215">
            <v>5.2999999999999999E-2</v>
          </cell>
          <cell r="GB215">
            <v>4.3999999999999997E-2</v>
          </cell>
          <cell r="GC215">
            <v>0.03</v>
          </cell>
          <cell r="GD215">
            <v>4.4170626829774157E-2</v>
          </cell>
          <cell r="GE215">
            <v>4.1872044415560798E-2</v>
          </cell>
          <cell r="GF215">
            <v>4.02253638971692E-2</v>
          </cell>
        </row>
        <row r="216">
          <cell r="A216" t="str">
            <v>Operating Income</v>
          </cell>
          <cell r="N216">
            <v>663</v>
          </cell>
          <cell r="O216">
            <v>893</v>
          </cell>
          <cell r="P216">
            <v>1341</v>
          </cell>
          <cell r="Q216">
            <v>1455</v>
          </cell>
          <cell r="R216">
            <v>1693</v>
          </cell>
          <cell r="S216">
            <v>1771</v>
          </cell>
          <cell r="T216">
            <v>1376</v>
          </cell>
          <cell r="U216">
            <v>1411</v>
          </cell>
          <cell r="V216">
            <v>1400</v>
          </cell>
          <cell r="W216">
            <v>1499</v>
          </cell>
          <cell r="X216">
            <v>2138</v>
          </cell>
          <cell r="Y216">
            <v>2273</v>
          </cell>
          <cell r="Z216">
            <v>2033.3823683158116</v>
          </cell>
          <cell r="AA216">
            <v>1425</v>
          </cell>
          <cell r="AB216">
            <v>1454</v>
          </cell>
          <cell r="AC216">
            <v>1919</v>
          </cell>
          <cell r="AD216">
            <v>2386</v>
          </cell>
          <cell r="AE216">
            <v>2671.2966222272662</v>
          </cell>
          <cell r="AF216">
            <v>2777.5915838515448</v>
          </cell>
          <cell r="AG216">
            <v>2903.3832369986631</v>
          </cell>
          <cell r="AH216">
            <v>2933.4651235252149</v>
          </cell>
          <cell r="AI216">
            <v>2933.3028287747547</v>
          </cell>
          <cell r="AJ216">
            <v>2992.4277725080738</v>
          </cell>
          <cell r="AK216">
            <v>3052.4418848331788</v>
          </cell>
          <cell r="AL216">
            <v>3113.357036627538</v>
          </cell>
          <cell r="FV216">
            <v>5.45E-2</v>
          </cell>
          <cell r="FW216">
            <v>5.6500000000000002E-2</v>
          </cell>
          <cell r="FX216">
            <v>3.95E-2</v>
          </cell>
          <cell r="FY216">
            <v>4.7500000000000001E-2</v>
          </cell>
          <cell r="GB216">
            <v>4.9000000000000002E-2</v>
          </cell>
          <cell r="GC216">
            <v>4.7E-2</v>
          </cell>
          <cell r="GD216">
            <v>4.2085313414887082E-2</v>
          </cell>
          <cell r="GE216">
            <v>4.6936022207780398E-2</v>
          </cell>
          <cell r="GF216" t="str">
            <v>2-yr comp</v>
          </cell>
        </row>
        <row r="217">
          <cell r="A217" t="str">
            <v>Operating Margin</v>
          </cell>
          <cell r="N217">
            <v>4.5367455864239771E-2</v>
          </cell>
          <cell r="O217">
            <v>6.0203600080900692E-2</v>
          </cell>
          <cell r="P217">
            <v>8.8107752956636004E-2</v>
          </cell>
          <cell r="Q217">
            <v>9.4695737064757562E-2</v>
          </cell>
          <cell r="R217">
            <v>0.10562106182544138</v>
          </cell>
          <cell r="S217">
            <v>0.10644308210121409</v>
          </cell>
          <cell r="T217">
            <v>8.7171365220145708E-2</v>
          </cell>
          <cell r="U217">
            <v>9.0617172949714206E-2</v>
          </cell>
          <cell r="V217">
            <v>9.0838307812094468E-2</v>
          </cell>
          <cell r="W217">
            <v>9.5017748478701827E-2</v>
          </cell>
          <cell r="X217">
            <v>9.5489057615006701E-2</v>
          </cell>
          <cell r="Y217">
            <v>8.4278828327771602E-2</v>
          </cell>
          <cell r="Z217">
            <v>7.7276721328461653E-2</v>
          </cell>
          <cell r="AA217">
            <v>5.7247308372167766E-2</v>
          </cell>
          <cell r="AB217">
            <v>6.0849550115086838E-2</v>
          </cell>
          <cell r="AC217">
            <v>7.6750789905211378E-2</v>
          </cell>
          <cell r="AD217">
            <v>9.0361673925392919E-2</v>
          </cell>
          <cell r="AE217">
            <v>9.644428925609537E-2</v>
          </cell>
          <cell r="AF217">
            <v>9.7944289256095288E-2</v>
          </cell>
          <cell r="AG217">
            <v>0.10044428925609535</v>
          </cell>
          <cell r="AH217">
            <v>0.10044428925609533</v>
          </cell>
          <cell r="AI217">
            <v>9.9444289256095372E-2</v>
          </cell>
          <cell r="AJ217">
            <v>0.10044428925609539</v>
          </cell>
          <cell r="AK217">
            <v>0.1014442892560953</v>
          </cell>
          <cell r="AL217">
            <v>0.10244428925609532</v>
          </cell>
          <cell r="AN217" t="str">
            <v xml:space="preserve">Consolidated Productivity Factor </v>
          </cell>
          <cell r="EL217" t="str">
            <v xml:space="preserve">Consolidated Productivity Factor </v>
          </cell>
          <cell r="FP217">
            <v>-2.0333333333333332E-2</v>
          </cell>
          <cell r="FQ217">
            <v>-2.2333333333333334E-2</v>
          </cell>
          <cell r="FR217">
            <v>-1.9E-2</v>
          </cell>
          <cell r="FS217">
            <v>-1.0952637301498654E-2</v>
          </cell>
          <cell r="FV217">
            <v>6.333333333333334E-3</v>
          </cell>
          <cell r="FW217">
            <v>6.000000000000001E-3</v>
          </cell>
          <cell r="FX217">
            <v>1.4333333333333335E-2</v>
          </cell>
          <cell r="FY217">
            <v>2.971402936516802E-2</v>
          </cell>
        </row>
        <row r="218">
          <cell r="A218" t="str">
            <v>Y/Y ∆ Operating Margin (bps)</v>
          </cell>
          <cell r="O218">
            <v>148.36144216660921</v>
          </cell>
          <cell r="P218">
            <v>279.04152875735315</v>
          </cell>
          <cell r="Q218">
            <v>65.879841081215588</v>
          </cell>
          <cell r="R218">
            <v>109.25324760683822</v>
          </cell>
          <cell r="S218">
            <v>8.22020275772703</v>
          </cell>
          <cell r="T218">
            <v>-192.7171688106838</v>
          </cell>
          <cell r="U218">
            <v>34.45807729568498</v>
          </cell>
          <cell r="V218">
            <v>2.2113486238026225</v>
          </cell>
          <cell r="W218">
            <v>41.794406666073591</v>
          </cell>
          <cell r="X218">
            <v>4.7130913630487328</v>
          </cell>
          <cell r="Y218">
            <v>-112.10229287235099</v>
          </cell>
          <cell r="Z218">
            <v>-70.021069993099488</v>
          </cell>
          <cell r="AA218">
            <v>-200.29412956293888</v>
          </cell>
          <cell r="AB218">
            <v>36.022417429190725</v>
          </cell>
          <cell r="AC218">
            <v>159.01239790124541</v>
          </cell>
          <cell r="AD218">
            <v>136.10884020181541</v>
          </cell>
          <cell r="AE218">
            <v>60.826153307024512</v>
          </cell>
          <cell r="AF218">
            <v>14.999999999999181</v>
          </cell>
          <cell r="AG218">
            <v>25.000000000000576</v>
          </cell>
          <cell r="AH218">
            <v>-1.3877787807814457E-13</v>
          </cell>
          <cell r="AI218">
            <v>-9.9999999999995932</v>
          </cell>
          <cell r="AJ218">
            <v>10.000000000000147</v>
          </cell>
          <cell r="AK218">
            <v>9.9999999999991758</v>
          </cell>
          <cell r="AL218">
            <v>10.000000000000147</v>
          </cell>
          <cell r="AN218" t="str">
            <v>Month 1</v>
          </cell>
          <cell r="EL218" t="str">
            <v>Month 1</v>
          </cell>
          <cell r="ER218">
            <v>0.85379589916801657</v>
          </cell>
          <cell r="ES218">
            <v>0.82852877251430668</v>
          </cell>
          <cell r="ET218">
            <v>0.83475030563790842</v>
          </cell>
          <cell r="EU218">
            <v>0.91480422703367681</v>
          </cell>
          <cell r="EX218">
            <v>1.0042251017232908</v>
          </cell>
          <cell r="EY218">
            <v>1.0108075527611304</v>
          </cell>
          <cell r="EZ218">
            <v>1.0032705612197608</v>
          </cell>
          <cell r="FA218">
            <v>0.99617129302855612</v>
          </cell>
          <cell r="FD218">
            <v>1.0047260256693704</v>
          </cell>
          <cell r="FE218">
            <v>1.0011731147187122</v>
          </cell>
          <cell r="FF218">
            <v>1.0015681684828099</v>
          </cell>
          <cell r="FG218">
            <v>0.9980273685296247</v>
          </cell>
          <cell r="FJ218">
            <v>1.0146680194879518</v>
          </cell>
          <cell r="FK218">
            <v>1.0229325701507319</v>
          </cell>
          <cell r="FL218">
            <v>1.0237530410429481</v>
          </cell>
          <cell r="FM218">
            <v>1.0168796021749338</v>
          </cell>
          <cell r="FP218">
            <v>1.0016060228776302</v>
          </cell>
          <cell r="FQ218">
            <v>0.98881215735067063</v>
          </cell>
          <cell r="FR218">
            <v>1.0007452413933455</v>
          </cell>
          <cell r="FS218">
            <v>1.0028115913956974</v>
          </cell>
          <cell r="FV218">
            <v>1.0005096291516782</v>
          </cell>
          <cell r="FW218">
            <v>1.0081721608307339</v>
          </cell>
          <cell r="FX218">
            <v>0.99435769750356207</v>
          </cell>
          <cell r="FY218">
            <v>1.0114048185081832</v>
          </cell>
          <cell r="GB218">
            <v>1.0253009585429893</v>
          </cell>
          <cell r="GC218">
            <v>1.0133052611979987</v>
          </cell>
          <cell r="GD218">
            <v>1.018088666893139</v>
          </cell>
          <cell r="GE218">
            <v>1</v>
          </cell>
        </row>
        <row r="219">
          <cell r="AN219" t="str">
            <v>Month 2</v>
          </cell>
          <cell r="EL219" t="str">
            <v>Month 2</v>
          </cell>
          <cell r="ER219">
            <v>0.87143545576033965</v>
          </cell>
          <cell r="ES219">
            <v>0.86259214604526391</v>
          </cell>
          <cell r="ET219">
            <v>0.95476655228407081</v>
          </cell>
          <cell r="EU219">
            <v>0.95390310394604827</v>
          </cell>
          <cell r="EX219">
            <v>0.99756383077735888</v>
          </cell>
          <cell r="EY219">
            <v>1.0076309712339664</v>
          </cell>
          <cell r="EZ219">
            <v>1.0058439901456568</v>
          </cell>
          <cell r="FA219">
            <v>1.0104925603418453</v>
          </cell>
          <cell r="FD219">
            <v>1.0038919718017412</v>
          </cell>
          <cell r="FE219">
            <v>1.0002262623646179</v>
          </cell>
          <cell r="FF219">
            <v>1.0022779610885877</v>
          </cell>
          <cell r="FG219">
            <v>0.98797059201406712</v>
          </cell>
          <cell r="FJ219">
            <v>1.0172356632303496</v>
          </cell>
          <cell r="FK219">
            <v>1.0266388149144143</v>
          </cell>
          <cell r="FL219">
            <v>1.0185440088098592</v>
          </cell>
          <cell r="FM219">
            <v>1.0150644106268683</v>
          </cell>
          <cell r="FP219">
            <v>0.9967530496300272</v>
          </cell>
          <cell r="FQ219">
            <v>0.99989171377441255</v>
          </cell>
          <cell r="FR219">
            <v>1.0028971230689774</v>
          </cell>
          <cell r="FS219">
            <v>0.9946391314592461</v>
          </cell>
          <cell r="FV219">
            <v>1.0074992903911262</v>
          </cell>
          <cell r="FW219">
            <v>1.0057878604073234</v>
          </cell>
          <cell r="FX219">
            <v>1.0057401642886414</v>
          </cell>
          <cell r="FY219">
            <v>1.0118477756232767</v>
          </cell>
          <cell r="GB219">
            <v>1.0102541230632647</v>
          </cell>
          <cell r="GC219">
            <v>1.011143062170935</v>
          </cell>
          <cell r="GD219">
            <v>1</v>
          </cell>
          <cell r="GE219">
            <v>1</v>
          </cell>
          <cell r="GG219" t="str">
            <v>See cells GK224 and GK227 to forecast gross profit for 4Q</v>
          </cell>
          <cell r="GM219" t="str">
            <v>Calculation of Extra Week EPS Benefit</v>
          </cell>
        </row>
        <row r="220">
          <cell r="A220" t="str">
            <v>Bull Case Assumptions</v>
          </cell>
          <cell r="N220">
            <v>1995</v>
          </cell>
          <cell r="O220">
            <v>1996</v>
          </cell>
          <cell r="P220">
            <v>1997</v>
          </cell>
          <cell r="Q220">
            <v>1998</v>
          </cell>
          <cell r="R220">
            <v>1999</v>
          </cell>
          <cell r="S220">
            <v>2000</v>
          </cell>
          <cell r="T220">
            <v>2001</v>
          </cell>
          <cell r="U220">
            <v>2002</v>
          </cell>
          <cell r="V220">
            <v>2003</v>
          </cell>
          <cell r="W220">
            <v>2004</v>
          </cell>
          <cell r="X220">
            <v>2005</v>
          </cell>
          <cell r="Y220">
            <v>2006</v>
          </cell>
          <cell r="Z220">
            <v>2007</v>
          </cell>
          <cell r="AA220">
            <v>2008</v>
          </cell>
          <cell r="AB220">
            <v>2009</v>
          </cell>
          <cell r="AC220">
            <v>2010</v>
          </cell>
          <cell r="AD220">
            <v>2011</v>
          </cell>
          <cell r="AE220" t="str">
            <v>2012E</v>
          </cell>
          <cell r="AF220" t="str">
            <v>2013E</v>
          </cell>
          <cell r="AG220" t="str">
            <v>2014E</v>
          </cell>
          <cell r="AH220" t="str">
            <v>2015E</v>
          </cell>
          <cell r="AI220" t="str">
            <v>2016E</v>
          </cell>
          <cell r="AJ220" t="str">
            <v>2017E</v>
          </cell>
          <cell r="AK220" t="str">
            <v>2018E</v>
          </cell>
          <cell r="AL220" t="str">
            <v>2019E</v>
          </cell>
          <cell r="AN220" t="str">
            <v>Month 3</v>
          </cell>
          <cell r="EL220" t="str">
            <v>Month 3</v>
          </cell>
          <cell r="ER220">
            <v>0.85509041472763314</v>
          </cell>
          <cell r="ES220">
            <v>0.83302342705472399</v>
          </cell>
          <cell r="ET220">
            <v>0.9300581404093593</v>
          </cell>
          <cell r="EU220">
            <v>0.88885616548937241</v>
          </cell>
          <cell r="EX220">
            <v>1.0012993536198342</v>
          </cell>
          <cell r="EY220">
            <v>1.0067406823426219</v>
          </cell>
          <cell r="EZ220">
            <v>1.0010354929971583</v>
          </cell>
          <cell r="FA220">
            <v>0.77697496531497701</v>
          </cell>
          <cell r="FD220">
            <v>0.99998610863561077</v>
          </cell>
          <cell r="FE220">
            <v>1.0000776716315167</v>
          </cell>
          <cell r="FF220">
            <v>1.0026881239876493</v>
          </cell>
          <cell r="FG220">
            <v>1.0034001517037674</v>
          </cell>
          <cell r="FJ220">
            <v>1.017274065207098</v>
          </cell>
          <cell r="FK220">
            <v>1.0307481774152398</v>
          </cell>
          <cell r="FL220">
            <v>1.0154616377110075</v>
          </cell>
          <cell r="FM220">
            <v>1.009307170702717</v>
          </cell>
          <cell r="FP220">
            <v>1.0005893323256754</v>
          </cell>
          <cell r="FQ220">
            <v>1.0111137394005785</v>
          </cell>
          <cell r="FR220">
            <v>1.0254628236300125</v>
          </cell>
          <cell r="FS220">
            <v>1.00775043725629</v>
          </cell>
          <cell r="FV220">
            <v>0.99618702023241001</v>
          </cell>
          <cell r="FW220">
            <v>1.0047825549823146</v>
          </cell>
          <cell r="FX220">
            <v>1.0004489851343907</v>
          </cell>
          <cell r="FY220">
            <v>1.008520012530175</v>
          </cell>
          <cell r="GB220">
            <v>1.0062765433093959</v>
          </cell>
          <cell r="GC220">
            <v>1.0227639737625074</v>
          </cell>
          <cell r="GD220">
            <v>1</v>
          </cell>
          <cell r="GE220">
            <v>1</v>
          </cell>
          <cell r="GG220" t="str">
            <v>See cells GK230 and GK232 to forecast SG&amp;A for 4Q</v>
          </cell>
          <cell r="GM220" t="str">
            <v>Extra week (on = 1, off = 0)</v>
          </cell>
          <cell r="GO220">
            <v>1</v>
          </cell>
        </row>
        <row r="221">
          <cell r="A221" t="str">
            <v>Revenue</v>
          </cell>
          <cell r="N221">
            <v>14614</v>
          </cell>
          <cell r="O221">
            <v>14833</v>
          </cell>
          <cell r="P221">
            <v>15220</v>
          </cell>
          <cell r="Q221">
            <v>15365</v>
          </cell>
          <cell r="R221">
            <v>16029</v>
          </cell>
          <cell r="S221">
            <v>16638</v>
          </cell>
          <cell r="T221">
            <v>15785</v>
          </cell>
          <cell r="U221">
            <v>15571</v>
          </cell>
          <cell r="V221">
            <v>15412</v>
          </cell>
          <cell r="W221">
            <v>15776</v>
          </cell>
          <cell r="X221">
            <v>22390</v>
          </cell>
          <cell r="Y221">
            <v>26970</v>
          </cell>
          <cell r="Z221">
            <v>26313</v>
          </cell>
          <cell r="AA221">
            <v>24892</v>
          </cell>
          <cell r="AB221">
            <v>23904</v>
          </cell>
          <cell r="AC221">
            <v>25003</v>
          </cell>
          <cell r="AD221">
            <v>26405</v>
          </cell>
          <cell r="AE221">
            <v>27959.427458112747</v>
          </cell>
          <cell r="AF221">
            <v>29729.463580880543</v>
          </cell>
          <cell r="AG221">
            <v>30302.392530862733</v>
          </cell>
          <cell r="AH221">
            <v>30616.354918597252</v>
          </cell>
          <cell r="AI221">
            <v>30922.518467783226</v>
          </cell>
          <cell r="AJ221">
            <v>31231.743652461057</v>
          </cell>
          <cell r="AK221">
            <v>31544.061088985669</v>
          </cell>
          <cell r="AL221">
            <v>31859.501699875527</v>
          </cell>
          <cell r="AN221" t="str">
            <v>Total</v>
          </cell>
          <cell r="EL221" t="str">
            <v>Total</v>
          </cell>
          <cell r="EX221">
            <v>0.99364581839822941</v>
          </cell>
          <cell r="EY221">
            <v>1.0053855991928882</v>
          </cell>
          <cell r="EZ221">
            <v>1.0049007333596589</v>
          </cell>
          <cell r="FA221">
            <v>0.96635245216954013</v>
          </cell>
          <cell r="FD221">
            <v>1.0093706103322386</v>
          </cell>
          <cell r="FE221">
            <v>0.99942053289687438</v>
          </cell>
          <cell r="FF221">
            <v>1.0028127761391281</v>
          </cell>
          <cell r="FG221">
            <v>0.99829531956488382</v>
          </cell>
          <cell r="FH221">
            <v>0.99616480017746767</v>
          </cell>
          <cell r="FJ221">
            <v>1.0150952522446879</v>
          </cell>
          <cell r="FK221">
            <v>1.028988144998136</v>
          </cell>
          <cell r="FL221">
            <v>1.0174659464761271</v>
          </cell>
          <cell r="FM221">
            <v>1.004258927748259</v>
          </cell>
          <cell r="FN221">
            <v>1.0094977226152135</v>
          </cell>
          <cell r="FP221">
            <v>1.0000259928958455</v>
          </cell>
          <cell r="FQ221">
            <v>0.99963688802128137</v>
          </cell>
          <cell r="FR221">
            <v>1.0093878458063197</v>
          </cell>
          <cell r="FS221">
            <v>1.0000370362620763</v>
          </cell>
          <cell r="FT221">
            <v>1.0017002547102301</v>
          </cell>
          <cell r="FV221">
            <v>1.0021044058948783</v>
          </cell>
          <cell r="FW221">
            <v>1.0081307827273334</v>
          </cell>
          <cell r="FX221">
            <v>1.0033467891940979</v>
          </cell>
          <cell r="FY221">
            <v>1.0155381429309334</v>
          </cell>
          <cell r="FZ221">
            <v>1.0152922484576603</v>
          </cell>
          <cell r="GB221">
            <v>1.0132824557239268</v>
          </cell>
          <cell r="GC221">
            <v>1.0138954016780533</v>
          </cell>
          <cell r="GD221">
            <v>1.0060645702976547</v>
          </cell>
          <cell r="GE221">
            <v>1.0305274860110949</v>
          </cell>
          <cell r="GF221">
            <v>1.0083583012001358</v>
          </cell>
          <cell r="GG221" t="str">
            <v>53rd Week Adjustments for 4Q12e</v>
          </cell>
          <cell r="GM221" t="str">
            <v>Revenues from extra week</v>
          </cell>
          <cell r="GO221">
            <v>350.71381633376672</v>
          </cell>
        </row>
        <row r="222">
          <cell r="A222" t="str">
            <v xml:space="preserve"> % Same-store</v>
          </cell>
          <cell r="N222">
            <v>2.7E-2</v>
          </cell>
          <cell r="O222">
            <v>3.1E-2</v>
          </cell>
          <cell r="P222">
            <v>2.7E-2</v>
          </cell>
          <cell r="Q222">
            <v>2.1999999999999999E-2</v>
          </cell>
          <cell r="R222">
            <v>4.4999999999999998E-2</v>
          </cell>
          <cell r="S222">
            <v>0.02</v>
          </cell>
          <cell r="T222">
            <v>-5.2999999999999999E-2</v>
          </cell>
          <cell r="U222">
            <v>-0.03</v>
          </cell>
          <cell r="V222">
            <v>-9.0000000000000011E-3</v>
          </cell>
          <cell r="W222">
            <v>2.5999999999999999E-2</v>
          </cell>
          <cell r="X222">
            <v>1.2999999999999999E-2</v>
          </cell>
          <cell r="Y222">
            <v>4.3999999999999997E-2</v>
          </cell>
          <cell r="Z222">
            <v>-1.2799528750047504E-2</v>
          </cell>
          <cell r="AA222">
            <v>-4.4999999999999998E-2</v>
          </cell>
          <cell r="AB222">
            <v>-5.0968425652024113E-2</v>
          </cell>
          <cell r="AC222">
            <v>4.610434747830261E-2</v>
          </cell>
          <cell r="AD222">
            <v>5.2999999999999999E-2</v>
          </cell>
          <cell r="AE222">
            <v>5.0171736300135057E-2</v>
          </cell>
          <cell r="AF222">
            <v>7.5000000000000011E-2</v>
          </cell>
          <cell r="AG222">
            <v>0.02</v>
          </cell>
          <cell r="AH222">
            <v>0.01</v>
          </cell>
          <cell r="AI222">
            <v>0.01</v>
          </cell>
          <cell r="AJ222">
            <v>0.01</v>
          </cell>
          <cell r="AK222">
            <v>0.01</v>
          </cell>
          <cell r="AL222">
            <v>0.01</v>
          </cell>
          <cell r="GJ222" t="str">
            <v>4Q Gross Profit $ (ex 53rd week)</v>
          </cell>
          <cell r="GK222">
            <v>3728.8292256978107</v>
          </cell>
          <cell r="GM222" t="str">
            <v>EBIT from extra week</v>
          </cell>
          <cell r="GO222">
            <v>81.440379311760893</v>
          </cell>
        </row>
        <row r="223">
          <cell r="A223" t="str">
            <v>CGS, OCC, Buying Costs</v>
          </cell>
          <cell r="N223">
            <v>9038</v>
          </cell>
          <cell r="O223">
            <v>9018</v>
          </cell>
          <cell r="P223">
            <v>9200</v>
          </cell>
          <cell r="Q223">
            <v>9218</v>
          </cell>
          <cell r="R223">
            <v>9576</v>
          </cell>
          <cell r="S223">
            <v>9955</v>
          </cell>
          <cell r="T223">
            <v>9603</v>
          </cell>
          <cell r="U223">
            <v>9324</v>
          </cell>
          <cell r="V223">
            <v>9175</v>
          </cell>
          <cell r="W223">
            <v>9346</v>
          </cell>
          <cell r="X223">
            <v>13272</v>
          </cell>
          <cell r="Y223">
            <v>16019</v>
          </cell>
          <cell r="Z223">
            <v>15765.705839502129</v>
          </cell>
          <cell r="AA223">
            <v>15009</v>
          </cell>
          <cell r="AB223">
            <v>14287</v>
          </cell>
          <cell r="AC223">
            <v>14824</v>
          </cell>
          <cell r="AD223">
            <v>15738</v>
          </cell>
          <cell r="AE223">
            <v>16573.058987628334</v>
          </cell>
          <cell r="AF223">
            <v>17384.419050847919</v>
          </cell>
          <cell r="AG223">
            <v>17673.987886043768</v>
          </cell>
          <cell r="AH223">
            <v>17887.724020426696</v>
          </cell>
          <cell r="AI223">
            <v>18128.44629756653</v>
          </cell>
          <cell r="AJ223">
            <v>18309.730760542196</v>
          </cell>
          <cell r="AK223">
            <v>18492.828068147617</v>
          </cell>
          <cell r="AL223">
            <v>18677.756348829098</v>
          </cell>
          <cell r="AN223" t="str">
            <v>Cost of Goods Sold</v>
          </cell>
          <cell r="EL223" t="str">
            <v>Cost of Goods Sold</v>
          </cell>
          <cell r="ER223">
            <v>3627</v>
          </cell>
          <cell r="ES223">
            <v>3470</v>
          </cell>
          <cell r="ET223">
            <v>3513</v>
          </cell>
          <cell r="EU223">
            <v>5409</v>
          </cell>
          <cell r="EV223">
            <v>16019</v>
          </cell>
          <cell r="EX223">
            <v>3564</v>
          </cell>
          <cell r="EY223">
            <v>3507</v>
          </cell>
          <cell r="EZ223">
            <v>3585</v>
          </cell>
          <cell r="FA223">
            <v>5021</v>
          </cell>
          <cell r="FB223">
            <v>15677</v>
          </cell>
          <cell r="FD223">
            <v>3527</v>
          </cell>
          <cell r="FE223">
            <v>3346</v>
          </cell>
          <cell r="FF223">
            <v>3324</v>
          </cell>
          <cell r="FG223">
            <v>4812</v>
          </cell>
          <cell r="FH223">
            <v>15009</v>
          </cell>
          <cell r="FJ223">
            <v>3279</v>
          </cell>
          <cell r="FK223">
            <v>3117</v>
          </cell>
          <cell r="FL223">
            <v>3241</v>
          </cell>
          <cell r="FM223">
            <v>4641</v>
          </cell>
          <cell r="FN223">
            <v>14278</v>
          </cell>
          <cell r="FP223">
            <v>3378</v>
          </cell>
          <cell r="FQ223">
            <v>3214</v>
          </cell>
          <cell r="FR223">
            <v>3377</v>
          </cell>
          <cell r="FS223">
            <v>4855</v>
          </cell>
          <cell r="FT223">
            <v>14824</v>
          </cell>
          <cell r="FV223">
            <v>3586</v>
          </cell>
          <cell r="FW223">
            <v>3457</v>
          </cell>
          <cell r="FX223">
            <v>3544</v>
          </cell>
          <cell r="FY223">
            <v>5151</v>
          </cell>
          <cell r="FZ223">
            <v>15738</v>
          </cell>
          <cell r="GB223">
            <v>3757</v>
          </cell>
          <cell r="GC223">
            <v>3555</v>
          </cell>
          <cell r="GD223">
            <v>3666.0995494313679</v>
          </cell>
          <cell r="GE223">
            <v>5495.0171538201503</v>
          </cell>
          <cell r="GF223">
            <v>16473.116703251519</v>
          </cell>
          <cell r="GJ223" t="str">
            <v>4Q Gross Margin % (ex 53rd week)</v>
          </cell>
          <cell r="GK223">
            <v>0.41355983493810178</v>
          </cell>
          <cell r="GM223" t="str">
            <v>4Q tax rate</v>
          </cell>
          <cell r="GO223">
            <v>0.37</v>
          </cell>
        </row>
        <row r="224">
          <cell r="A224" t="str">
            <v>CGS, OCC, Buying Costs %</v>
          </cell>
          <cell r="N224">
            <v>0.61844806350075265</v>
          </cell>
          <cell r="O224">
            <v>0.60796871839816624</v>
          </cell>
          <cell r="P224">
            <v>0.60446780551905388</v>
          </cell>
          <cell r="Q224">
            <v>0.59993491701919943</v>
          </cell>
          <cell r="R224">
            <v>0.59741718135878719</v>
          </cell>
          <cell r="S224">
            <v>0.5983291260968866</v>
          </cell>
          <cell r="T224">
            <v>0.60836236933797905</v>
          </cell>
          <cell r="U224">
            <v>0.59880547171023057</v>
          </cell>
          <cell r="V224">
            <v>0.59531533869711917</v>
          </cell>
          <cell r="W224">
            <v>0.59241886409736311</v>
          </cell>
          <cell r="X224">
            <v>0.59276462706565436</v>
          </cell>
          <cell r="Y224">
            <v>0.59395624768261035</v>
          </cell>
          <cell r="Z224">
            <v>0.59916033289636794</v>
          </cell>
          <cell r="AA224">
            <v>0.60296480797043228</v>
          </cell>
          <cell r="AB224">
            <v>0.59768239625167341</v>
          </cell>
          <cell r="AC224">
            <v>0.59288885333759944</v>
          </cell>
          <cell r="AD224">
            <v>0.59602348040143915</v>
          </cell>
          <cell r="AE224">
            <v>0.59275387568136595</v>
          </cell>
          <cell r="AF224">
            <v>0.58475387568136594</v>
          </cell>
          <cell r="AG224">
            <v>0.583253875681366</v>
          </cell>
          <cell r="AH224">
            <v>0.584253875681366</v>
          </cell>
          <cell r="AI224">
            <v>0.586253875681366</v>
          </cell>
          <cell r="AJ224">
            <v>0.586253875681366</v>
          </cell>
          <cell r="AK224">
            <v>0.586253875681366</v>
          </cell>
          <cell r="AL224">
            <v>0.58625387568136611</v>
          </cell>
          <cell r="AN224" t="str">
            <v>CGS, OCC, Buying Costs %</v>
          </cell>
          <cell r="EL224" t="str">
            <v>CGS, OCC, Buying Costs %</v>
          </cell>
          <cell r="ER224">
            <v>0.61163575042158513</v>
          </cell>
          <cell r="ES224">
            <v>0.57881567973311088</v>
          </cell>
          <cell r="ET224">
            <v>0.59683995922528033</v>
          </cell>
          <cell r="EU224">
            <v>0.59056665574844414</v>
          </cell>
          <cell r="EV224">
            <v>0.59395624768261035</v>
          </cell>
          <cell r="EX224">
            <v>0.60192535044755957</v>
          </cell>
          <cell r="EY224">
            <v>0.59521384928716903</v>
          </cell>
          <cell r="EZ224">
            <v>0.60700982052150354</v>
          </cell>
          <cell r="FA224">
            <v>0.58424482196881544</v>
          </cell>
          <cell r="FB224">
            <v>0.59578915365028695</v>
          </cell>
          <cell r="FD224">
            <v>0.61371150165303634</v>
          </cell>
          <cell r="FE224">
            <v>0.5851696397341728</v>
          </cell>
          <cell r="FF224">
            <v>0.60513380666302563</v>
          </cell>
          <cell r="FG224">
            <v>0.60650365515502902</v>
          </cell>
          <cell r="FH224">
            <v>0.60296480797043228</v>
          </cell>
          <cell r="FJ224">
            <v>0.62008320726172461</v>
          </cell>
          <cell r="FK224">
            <v>0.58978240302743612</v>
          </cell>
          <cell r="FL224">
            <v>0.6018570102135562</v>
          </cell>
          <cell r="FM224">
            <v>0.58472974675570111</v>
          </cell>
          <cell r="FN224">
            <v>0.59753086419753088</v>
          </cell>
          <cell r="FP224">
            <v>0.60602798708288486</v>
          </cell>
          <cell r="FQ224">
            <v>0.58045873216543253</v>
          </cell>
          <cell r="FR224">
            <v>0.60056909123243818</v>
          </cell>
          <cell r="FS224">
            <v>0.58713266416737209</v>
          </cell>
          <cell r="FT224">
            <v>0.59288885333759944</v>
          </cell>
          <cell r="FV224">
            <v>0.60893190694515198</v>
          </cell>
          <cell r="FW224">
            <v>0.58208452601448057</v>
          </cell>
          <cell r="FX224">
            <v>0.60550145224671104</v>
          </cell>
          <cell r="FY224">
            <v>0.59044016506189823</v>
          </cell>
          <cell r="FZ224">
            <v>0.59602348040143915</v>
          </cell>
          <cell r="GB224">
            <v>0.61159042812957842</v>
          </cell>
          <cell r="GC224">
            <v>0.58107224583197126</v>
          </cell>
          <cell r="GD224">
            <v>0.60400145224671109</v>
          </cell>
          <cell r="GE224">
            <v>0.58662736950345429</v>
          </cell>
          <cell r="GF224">
            <v>0.59474414748937621</v>
          </cell>
          <cell r="GJ224" t="str">
            <v>MS 4Q Core Gross Margin ∆ (ex 53rd week)</v>
          </cell>
          <cell r="GK224">
            <v>40</v>
          </cell>
          <cell r="GM224" t="str">
            <v>Net inc. benefit from extra wk</v>
          </cell>
          <cell r="GO224">
            <v>51.307438966409364</v>
          </cell>
        </row>
        <row r="225">
          <cell r="A225" t="str">
            <v>Y/Y ∆ CGS, OCC, Buying Costs % (bps)</v>
          </cell>
          <cell r="O225">
            <v>-104.79345102586413</v>
          </cell>
          <cell r="P225">
            <v>-35.009128791123615</v>
          </cell>
          <cell r="Q225">
            <v>-45.328884998544481</v>
          </cell>
          <cell r="R225">
            <v>-25.177356604122458</v>
          </cell>
          <cell r="S225">
            <v>9.1194473809941279</v>
          </cell>
          <cell r="T225">
            <v>100.33243241092448</v>
          </cell>
          <cell r="U225">
            <v>-95.568976277484722</v>
          </cell>
          <cell r="V225">
            <v>-34.901330131114072</v>
          </cell>
          <cell r="W225">
            <v>-28.964745997560605</v>
          </cell>
          <cell r="X225">
            <v>3.4576296829125219</v>
          </cell>
          <cell r="Y225">
            <v>11.916206169559906</v>
          </cell>
          <cell r="Z225">
            <v>52.040852137575925</v>
          </cell>
          <cell r="AA225">
            <v>38.044750740643394</v>
          </cell>
          <cell r="AB225">
            <v>-52.824117187588726</v>
          </cell>
          <cell r="AC225">
            <v>-47.935429140739672</v>
          </cell>
          <cell r="AD225">
            <v>31.346270638397122</v>
          </cell>
          <cell r="AE225">
            <v>-32.696047200732046</v>
          </cell>
          <cell r="AF225">
            <v>-80.000000000000071</v>
          </cell>
          <cell r="AG225">
            <v>-14.999999999999458</v>
          </cell>
          <cell r="AH225">
            <v>10.000000000000009</v>
          </cell>
          <cell r="AI225">
            <v>20.000000000000018</v>
          </cell>
          <cell r="AJ225">
            <v>0</v>
          </cell>
          <cell r="AK225">
            <v>0</v>
          </cell>
          <cell r="AL225">
            <v>1.1102230246251565E-12</v>
          </cell>
          <cell r="AN225" t="str">
            <v>BPS Change</v>
          </cell>
          <cell r="EL225" t="str">
            <v>BPS Change</v>
          </cell>
          <cell r="ER225">
            <v>139.97738886292632</v>
          </cell>
          <cell r="ES225">
            <v>-79.90834205613973</v>
          </cell>
          <cell r="ET225">
            <v>6.2033726308408088</v>
          </cell>
          <cell r="EU225">
            <v>-5.9414249625333593</v>
          </cell>
          <cell r="EV225">
            <v>11.916206169559906</v>
          </cell>
          <cell r="EX225">
            <v>-97.103999740255631</v>
          </cell>
          <cell r="EY225">
            <v>163.98169554058151</v>
          </cell>
          <cell r="EZ225">
            <v>101.69861296223215</v>
          </cell>
          <cell r="FA225">
            <v>-63.218337796286939</v>
          </cell>
          <cell r="FB225">
            <v>18.329059676766015</v>
          </cell>
          <cell r="FD225">
            <v>117.86151205476769</v>
          </cell>
          <cell r="FE225">
            <v>-100.4420955299623</v>
          </cell>
          <cell r="FF225">
            <v>-18.760138584779096</v>
          </cell>
          <cell r="FG225">
            <v>222.58833186213579</v>
          </cell>
          <cell r="FH225">
            <v>71.756543201453297</v>
          </cell>
          <cell r="FJ225">
            <v>63.717056086882721</v>
          </cell>
          <cell r="FK225">
            <v>46.127632932633219</v>
          </cell>
          <cell r="FL225">
            <v>-32.767964494694326</v>
          </cell>
          <cell r="FM225">
            <v>-217.73908399327914</v>
          </cell>
          <cell r="FN225">
            <v>-54.339437729014065</v>
          </cell>
          <cell r="FP225">
            <v>-140.55220178839755</v>
          </cell>
          <cell r="FQ225">
            <v>-93.236708620035856</v>
          </cell>
          <cell r="FR225">
            <v>-12.879189811180192</v>
          </cell>
          <cell r="FS225">
            <v>24.029174116709797</v>
          </cell>
          <cell r="FT225">
            <v>-46.420108599314332</v>
          </cell>
          <cell r="FV225">
            <v>29.039198622671236</v>
          </cell>
          <cell r="FW225">
            <v>16.257938490480406</v>
          </cell>
          <cell r="FX225">
            <v>49.323610142728569</v>
          </cell>
          <cell r="FY225">
            <v>33.075008945261388</v>
          </cell>
          <cell r="FZ225">
            <v>31.346270638397122</v>
          </cell>
          <cell r="GB225">
            <v>26.585211844264435</v>
          </cell>
          <cell r="GC225">
            <v>-10.122801825093175</v>
          </cell>
          <cell r="GD225">
            <v>-14.999999999999458</v>
          </cell>
          <cell r="GE225">
            <v>-38.127955584439377</v>
          </cell>
          <cell r="GF225">
            <v>-12.793329120629471</v>
          </cell>
          <cell r="GJ225" t="str">
            <v>Extra Week Gross Profit $ (incremental)</v>
          </cell>
          <cell r="GK225">
            <v>143.28757891183548</v>
          </cell>
          <cell r="GM225" t="str">
            <v>4Q diluted shares</v>
          </cell>
          <cell r="GO225">
            <v>397.54335839599003</v>
          </cell>
        </row>
        <row r="226">
          <cell r="A226" t="str">
            <v>Gross Income</v>
          </cell>
          <cell r="N226">
            <v>5576</v>
          </cell>
          <cell r="O226">
            <v>5815</v>
          </cell>
          <cell r="P226">
            <v>6020</v>
          </cell>
          <cell r="Q226">
            <v>6147</v>
          </cell>
          <cell r="R226">
            <v>6453</v>
          </cell>
          <cell r="S226">
            <v>6683</v>
          </cell>
          <cell r="T226">
            <v>6182</v>
          </cell>
          <cell r="U226">
            <v>6247</v>
          </cell>
          <cell r="V226">
            <v>6237</v>
          </cell>
          <cell r="W226">
            <v>6430</v>
          </cell>
          <cell r="X226">
            <v>9118</v>
          </cell>
          <cell r="Y226">
            <v>10951</v>
          </cell>
          <cell r="Z226">
            <v>10547.294160497871</v>
          </cell>
          <cell r="AA226">
            <v>9883</v>
          </cell>
          <cell r="AB226">
            <v>9617</v>
          </cell>
          <cell r="AC226">
            <v>10179</v>
          </cell>
          <cell r="AD226">
            <v>10667</v>
          </cell>
          <cell r="AE226">
            <v>11386.368470484413</v>
          </cell>
          <cell r="AF226">
            <v>12345.044530032625</v>
          </cell>
          <cell r="AG226">
            <v>12628.404644818967</v>
          </cell>
          <cell r="AH226">
            <v>12728.630898170555</v>
          </cell>
          <cell r="AI226">
            <v>12794.072170216694</v>
          </cell>
          <cell r="AJ226">
            <v>12922.012891918861</v>
          </cell>
          <cell r="AK226">
            <v>13051.23302083805</v>
          </cell>
          <cell r="AL226">
            <v>13181.745351046431</v>
          </cell>
          <cell r="GJ226" t="str">
            <v>Extra Week Gross Margin % (incremental)</v>
          </cell>
          <cell r="GK226">
            <v>0.40855983493810177</v>
          </cell>
          <cell r="GM226" t="str">
            <v>4Q EPS benefit from extra wk</v>
          </cell>
          <cell r="GO226">
            <v>0.12906124044789702</v>
          </cell>
        </row>
        <row r="227">
          <cell r="A227" t="str">
            <v>Gross Margin</v>
          </cell>
          <cell r="N227">
            <v>0.38155193649924729</v>
          </cell>
          <cell r="O227">
            <v>0.39203128160183376</v>
          </cell>
          <cell r="P227">
            <v>0.39553219448094612</v>
          </cell>
          <cell r="Q227">
            <v>0.40006508298080051</v>
          </cell>
          <cell r="R227">
            <v>0.40258281864121281</v>
          </cell>
          <cell r="S227">
            <v>0.40167087390311335</v>
          </cell>
          <cell r="T227">
            <v>0.3916376306620209</v>
          </cell>
          <cell r="U227">
            <v>0.40119452828976943</v>
          </cell>
          <cell r="V227">
            <v>0.40468466130288089</v>
          </cell>
          <cell r="W227">
            <v>0.40758113590263689</v>
          </cell>
          <cell r="X227">
            <v>0.4072353729343457</v>
          </cell>
          <cell r="Y227">
            <v>0.40604375231738971</v>
          </cell>
          <cell r="Z227">
            <v>0.40083966710363211</v>
          </cell>
          <cell r="AA227">
            <v>0.39703519202956772</v>
          </cell>
          <cell r="AB227">
            <v>0.40231760374832665</v>
          </cell>
          <cell r="AC227">
            <v>0.4071111466624005</v>
          </cell>
          <cell r="AD227">
            <v>0.4039765195985609</v>
          </cell>
          <cell r="AE227">
            <v>0.407246124318634</v>
          </cell>
          <cell r="AF227">
            <v>0.415246124318634</v>
          </cell>
          <cell r="AG227">
            <v>0.416746124318634</v>
          </cell>
          <cell r="AH227">
            <v>0.415746124318634</v>
          </cell>
          <cell r="AI227">
            <v>0.413746124318634</v>
          </cell>
          <cell r="AJ227">
            <v>0.413746124318634</v>
          </cell>
          <cell r="AK227">
            <v>0.413746124318634</v>
          </cell>
          <cell r="AL227">
            <v>0.413746124318634</v>
          </cell>
          <cell r="AN227" t="str">
            <v>Gross Income</v>
          </cell>
          <cell r="EL227" t="str">
            <v>Gross Income</v>
          </cell>
          <cell r="ER227">
            <v>2303</v>
          </cell>
          <cell r="ES227">
            <v>2525</v>
          </cell>
          <cell r="ET227">
            <v>2373</v>
          </cell>
          <cell r="EU227">
            <v>3750</v>
          </cell>
          <cell r="EV227">
            <v>10951</v>
          </cell>
          <cell r="EX227">
            <v>2357</v>
          </cell>
          <cell r="EY227">
            <v>2385</v>
          </cell>
          <cell r="EZ227">
            <v>2321</v>
          </cell>
          <cell r="FA227">
            <v>3573</v>
          </cell>
          <cell r="FB227">
            <v>10636</v>
          </cell>
          <cell r="FD227">
            <v>2220</v>
          </cell>
          <cell r="FE227">
            <v>2372</v>
          </cell>
          <cell r="FF227">
            <v>2169</v>
          </cell>
          <cell r="FG227">
            <v>3122</v>
          </cell>
          <cell r="FH227">
            <v>9883</v>
          </cell>
          <cell r="FJ227">
            <v>2009</v>
          </cell>
          <cell r="FK227">
            <v>2168</v>
          </cell>
          <cell r="FL227">
            <v>2144</v>
          </cell>
          <cell r="FM227">
            <v>3296</v>
          </cell>
          <cell r="FN227">
            <v>9617</v>
          </cell>
          <cell r="FP227">
            <v>2196</v>
          </cell>
          <cell r="FQ227">
            <v>2323</v>
          </cell>
          <cell r="FR227">
            <v>2246</v>
          </cell>
          <cell r="FS227">
            <v>3414</v>
          </cell>
          <cell r="FT227">
            <v>10179</v>
          </cell>
          <cell r="FU227" t="str">
            <v>2H</v>
          </cell>
          <cell r="FV227">
            <v>2303</v>
          </cell>
          <cell r="FW227">
            <v>2482</v>
          </cell>
          <cell r="FX227">
            <v>2309</v>
          </cell>
          <cell r="FY227">
            <v>3573</v>
          </cell>
          <cell r="FZ227">
            <v>10667</v>
          </cell>
          <cell r="GB227">
            <v>2386</v>
          </cell>
          <cell r="GC227">
            <v>2563</v>
          </cell>
          <cell r="GD227">
            <v>2403.5870975038929</v>
          </cell>
          <cell r="GE227">
            <v>3872.1168046096464</v>
          </cell>
          <cell r="GF227">
            <v>11224.703902113539</v>
          </cell>
          <cell r="GJ227" t="str">
            <v>Extra Week Gross Margin ∆ bps (incremental vs 4Q)</v>
          </cell>
          <cell r="GK227">
            <v>-50</v>
          </cell>
          <cell r="GM227" t="str">
            <v>FY12 diluted shares</v>
          </cell>
          <cell r="GO227">
            <v>411.14899749373433</v>
          </cell>
        </row>
        <row r="228">
          <cell r="A228" t="str">
            <v>Y/Y ∆ Gross Margin (bps)</v>
          </cell>
          <cell r="O228">
            <v>104.79345102586468</v>
          </cell>
          <cell r="P228">
            <v>35.009128791123615</v>
          </cell>
          <cell r="Q228">
            <v>45.328884998543927</v>
          </cell>
          <cell r="R228">
            <v>25.177356604123013</v>
          </cell>
          <cell r="S228">
            <v>-9.1194473809946821</v>
          </cell>
          <cell r="T228">
            <v>-100.33243241092448</v>
          </cell>
          <cell r="U228">
            <v>95.568976277485291</v>
          </cell>
          <cell r="V228">
            <v>34.901330131114626</v>
          </cell>
          <cell r="W228">
            <v>28.964745997560048</v>
          </cell>
          <cell r="X228">
            <v>-3.4576296829119668</v>
          </cell>
          <cell r="Y228">
            <v>-11.916206169559906</v>
          </cell>
          <cell r="Z228">
            <v>-52.040852137575925</v>
          </cell>
          <cell r="AA228">
            <v>-38.044750740643948</v>
          </cell>
          <cell r="AB228">
            <v>52.82411718758928</v>
          </cell>
          <cell r="AC228">
            <v>47.935429140738563</v>
          </cell>
          <cell r="AD228">
            <v>-31.346270638396014</v>
          </cell>
          <cell r="AE228">
            <v>32.696047200730938</v>
          </cell>
          <cell r="AF228">
            <v>80</v>
          </cell>
          <cell r="AG228">
            <v>15</v>
          </cell>
          <cell r="AH228">
            <v>-10</v>
          </cell>
          <cell r="AI228">
            <v>-20</v>
          </cell>
          <cell r="AJ228">
            <v>0</v>
          </cell>
          <cell r="AK228">
            <v>0</v>
          </cell>
          <cell r="AL228">
            <v>0</v>
          </cell>
          <cell r="AN228" t="str">
            <v>Gross Margin</v>
          </cell>
          <cell r="EL228" t="str">
            <v>Gross Margin</v>
          </cell>
          <cell r="ER228">
            <v>0.38836424957841487</v>
          </cell>
          <cell r="ES228">
            <v>0.42118432026688907</v>
          </cell>
          <cell r="ET228">
            <v>0.40316004077471967</v>
          </cell>
          <cell r="EU228">
            <v>0.40943334425155586</v>
          </cell>
          <cell r="EV228">
            <v>0.40604375231738971</v>
          </cell>
          <cell r="EX228">
            <v>0.39807464955244048</v>
          </cell>
          <cell r="EY228">
            <v>0.40478615071283097</v>
          </cell>
          <cell r="EZ228">
            <v>0.39299017947849646</v>
          </cell>
          <cell r="FA228">
            <v>0.41575517803118456</v>
          </cell>
          <cell r="FB228">
            <v>0.40421084634971305</v>
          </cell>
          <cell r="FD228">
            <v>0.38628849834696366</v>
          </cell>
          <cell r="FE228">
            <v>0.4148303602658272</v>
          </cell>
          <cell r="FF228">
            <v>0.39486619333697431</v>
          </cell>
          <cell r="FG228">
            <v>0.39349634484497104</v>
          </cell>
          <cell r="FH228">
            <v>0.39703519202956772</v>
          </cell>
          <cell r="FJ228">
            <v>0.37991679273827533</v>
          </cell>
          <cell r="FK228">
            <v>0.41021759697256388</v>
          </cell>
          <cell r="FL228">
            <v>0.3981429897864438</v>
          </cell>
          <cell r="FM228">
            <v>0.41527025324429884</v>
          </cell>
          <cell r="FN228">
            <v>0.40246913580246912</v>
          </cell>
          <cell r="FP228">
            <v>0.3939720129171152</v>
          </cell>
          <cell r="FQ228">
            <v>0.41954126783456747</v>
          </cell>
          <cell r="FR228">
            <v>0.39943090876756182</v>
          </cell>
          <cell r="FS228">
            <v>0.41286733583262791</v>
          </cell>
          <cell r="FT228">
            <v>0.4071111466624005</v>
          </cell>
          <cell r="FU228">
            <v>0.40742873596314427</v>
          </cell>
          <cell r="FV228">
            <v>0.39106809305484802</v>
          </cell>
          <cell r="FW228">
            <v>0.41791547398551943</v>
          </cell>
          <cell r="FX228">
            <v>0.39449854775328891</v>
          </cell>
          <cell r="FY228">
            <v>0.40955983493810177</v>
          </cell>
          <cell r="FZ228">
            <v>0.4039765195985609</v>
          </cell>
          <cell r="GB228">
            <v>0.38840957187042163</v>
          </cell>
          <cell r="GC228">
            <v>0.41892775416802874</v>
          </cell>
          <cell r="GD228">
            <v>0.39599854775328891</v>
          </cell>
          <cell r="GE228">
            <v>0.41337263049654577</v>
          </cell>
          <cell r="GF228">
            <v>0.40525585251062379</v>
          </cell>
          <cell r="GM228" t="str">
            <v>FY12 EPS benefit</v>
          </cell>
          <cell r="GO228">
            <v>0.12479037837661579</v>
          </cell>
        </row>
        <row r="229">
          <cell r="A229" t="str">
            <v>SG&amp;A Expenses</v>
          </cell>
          <cell r="N229">
            <v>4913</v>
          </cell>
          <cell r="O229">
            <v>4922</v>
          </cell>
          <cell r="P229">
            <v>4679</v>
          </cell>
          <cell r="Q229">
            <v>4692</v>
          </cell>
          <cell r="R229">
            <v>4760</v>
          </cell>
          <cell r="S229">
            <v>4912</v>
          </cell>
          <cell r="T229">
            <v>4806</v>
          </cell>
          <cell r="U229">
            <v>4836</v>
          </cell>
          <cell r="V229">
            <v>4837</v>
          </cell>
          <cell r="W229">
            <v>4931</v>
          </cell>
          <cell r="X229">
            <v>6980</v>
          </cell>
          <cell r="Y229">
            <v>8678</v>
          </cell>
          <cell r="Z229">
            <v>8486.7237921820597</v>
          </cell>
          <cell r="AA229">
            <v>8458</v>
          </cell>
          <cell r="AB229">
            <v>8163</v>
          </cell>
          <cell r="AC229">
            <v>8260</v>
          </cell>
          <cell r="AD229">
            <v>8281</v>
          </cell>
          <cell r="AE229">
            <v>8590.9232459556424</v>
          </cell>
          <cell r="AF229">
            <v>9075.3325541519971</v>
          </cell>
          <cell r="AG229">
            <v>9219.9246980410044</v>
          </cell>
          <cell r="AH229">
            <v>9284.8357695452942</v>
          </cell>
          <cell r="AI229">
            <v>9346.7616087729639</v>
          </cell>
          <cell r="AJ229">
            <v>9408.997481208231</v>
          </cell>
          <cell r="AK229">
            <v>9471.5433949313283</v>
          </cell>
          <cell r="AL229">
            <v>9534.3993271807667</v>
          </cell>
          <cell r="AN229" t="str">
            <v>BPS Change</v>
          </cell>
          <cell r="EL229" t="str">
            <v>BPS Change</v>
          </cell>
          <cell r="ER229">
            <v>-139.97738886292632</v>
          </cell>
          <cell r="ES229">
            <v>79.908342056138622</v>
          </cell>
          <cell r="ET229">
            <v>-6.2033726308408088</v>
          </cell>
          <cell r="EU229">
            <v>5.9414249625339144</v>
          </cell>
          <cell r="EV229">
            <v>-11.916206169559906</v>
          </cell>
          <cell r="EX229">
            <v>97.103999740256185</v>
          </cell>
          <cell r="EY229">
            <v>-163.98169554058094</v>
          </cell>
          <cell r="EZ229">
            <v>-101.69861296223215</v>
          </cell>
          <cell r="FA229">
            <v>63.218337796286939</v>
          </cell>
          <cell r="FB229">
            <v>-18.329059676766569</v>
          </cell>
          <cell r="FD229">
            <v>-117.86151205476824</v>
          </cell>
          <cell r="FE229">
            <v>100.4420955299623</v>
          </cell>
          <cell r="FF229">
            <v>18.760138584778542</v>
          </cell>
          <cell r="FG229">
            <v>-222.58833186213522</v>
          </cell>
          <cell r="FH229">
            <v>-71.756543201453297</v>
          </cell>
          <cell r="FJ229">
            <v>-63.717056086883275</v>
          </cell>
          <cell r="FK229">
            <v>-46.127632932633219</v>
          </cell>
          <cell r="FL229">
            <v>32.76796449469488</v>
          </cell>
          <cell r="FM229">
            <v>217.73908399327803</v>
          </cell>
          <cell r="FN229">
            <v>54.339437729014065</v>
          </cell>
          <cell r="FP229">
            <v>140.55220178839866</v>
          </cell>
          <cell r="FQ229">
            <v>93.236708620035856</v>
          </cell>
          <cell r="FR229">
            <v>12.879189811180192</v>
          </cell>
          <cell r="FS229">
            <v>-24.029174116709239</v>
          </cell>
          <cell r="FT229">
            <v>46.420108599313778</v>
          </cell>
          <cell r="FU229">
            <v>0.40834709503077615</v>
          </cell>
          <cell r="FV229">
            <v>-29.03919862267179</v>
          </cell>
          <cell r="FW229">
            <v>-16.257938490480406</v>
          </cell>
          <cell r="FX229">
            <v>-49.323610142729123</v>
          </cell>
          <cell r="FY229">
            <v>-33.075008945261388</v>
          </cell>
          <cell r="FZ229">
            <v>-31.346270638396014</v>
          </cell>
          <cell r="GB229">
            <v>-26.585211844263878</v>
          </cell>
          <cell r="GC229">
            <v>10.122801825093175</v>
          </cell>
          <cell r="GD229">
            <v>15</v>
          </cell>
          <cell r="GE229">
            <v>38.127955584439931</v>
          </cell>
          <cell r="GF229">
            <v>12.793329120628915</v>
          </cell>
          <cell r="GG229" t="str">
            <v>SEE CREDIT INCOME TAB FOR SG&amp;A EXPENSE CALCS</v>
          </cell>
        </row>
        <row r="230">
          <cell r="A230" t="str">
            <v>SG&amp;A Ratio</v>
          </cell>
          <cell r="N230">
            <v>0.33618448063500755</v>
          </cell>
          <cell r="O230">
            <v>0.33182768152093306</v>
          </cell>
          <cell r="P230">
            <v>0.30742444152431014</v>
          </cell>
          <cell r="Q230">
            <v>0.30536934591604298</v>
          </cell>
          <cell r="R230">
            <v>0.29696175681577142</v>
          </cell>
          <cell r="S230">
            <v>0.29522779180189929</v>
          </cell>
          <cell r="T230">
            <v>0.30446626544187522</v>
          </cell>
          <cell r="U230">
            <v>0.31057735534005521</v>
          </cell>
          <cell r="V230">
            <v>0.31384635349078638</v>
          </cell>
          <cell r="W230">
            <v>0.31256338742393508</v>
          </cell>
          <cell r="X230">
            <v>0.311746315319339</v>
          </cell>
          <cell r="Y230">
            <v>0.32176492398961809</v>
          </cell>
          <cell r="Z230">
            <v>0.32252969225029682</v>
          </cell>
          <cell r="AA230">
            <v>0.33978788365739998</v>
          </cell>
          <cell r="AB230">
            <v>0.34149096385542171</v>
          </cell>
          <cell r="AC230">
            <v>0.33036035675718911</v>
          </cell>
          <cell r="AD230">
            <v>0.31361484567316794</v>
          </cell>
          <cell r="AE230">
            <v>0.30726391872029868</v>
          </cell>
          <cell r="AF230">
            <v>0.30526391872029868</v>
          </cell>
          <cell r="AG230">
            <v>0.30426391872029868</v>
          </cell>
          <cell r="AH230">
            <v>0.30326391872029868</v>
          </cell>
          <cell r="AI230">
            <v>0.30226391872029867</v>
          </cell>
          <cell r="AJ230">
            <v>0.30126391872029867</v>
          </cell>
          <cell r="AK230">
            <v>0.30026391872029867</v>
          </cell>
          <cell r="AL230">
            <v>0.29926391872029867</v>
          </cell>
          <cell r="GB230" t="str">
            <v>SEE CREDIT INCOME TAB FOR SG&amp;A FORECASTS</v>
          </cell>
          <cell r="GJ230" t="str">
            <v>Extra Week SG&amp;A $ (incremental)</v>
          </cell>
          <cell r="GK230">
            <v>61.847199600074589</v>
          </cell>
        </row>
        <row r="231">
          <cell r="A231" t="str">
            <v>Y/Y ∆ SG&amp;A Ratio (bps)</v>
          </cell>
          <cell r="O231">
            <v>-43.567991140744944</v>
          </cell>
          <cell r="P231">
            <v>-244.03239996622915</v>
          </cell>
          <cell r="Q231">
            <v>-20.550956082671657</v>
          </cell>
          <cell r="R231">
            <v>-84.075891002715622</v>
          </cell>
          <cell r="S231">
            <v>-17.339650138721296</v>
          </cell>
          <cell r="T231">
            <v>92.384736399759305</v>
          </cell>
          <cell r="U231">
            <v>61.110898981799892</v>
          </cell>
          <cell r="V231">
            <v>32.689981507311728</v>
          </cell>
          <cell r="W231">
            <v>-12.829660668512988</v>
          </cell>
          <cell r="X231">
            <v>-8.170721045960839</v>
          </cell>
          <cell r="Y231">
            <v>100.18608670279094</v>
          </cell>
          <cell r="Z231">
            <v>7.6476826067872761</v>
          </cell>
          <cell r="AA231">
            <v>172.58191407103163</v>
          </cell>
          <cell r="AB231">
            <v>17.030801980217337</v>
          </cell>
          <cell r="AC231">
            <v>-111.30607098232603</v>
          </cell>
          <cell r="AD231">
            <v>-167.45511084021169</v>
          </cell>
          <cell r="AE231">
            <v>-63.509269528692627</v>
          </cell>
          <cell r="AF231">
            <v>-20</v>
          </cell>
          <cell r="AG231">
            <v>-10</v>
          </cell>
          <cell r="AH231">
            <v>-10</v>
          </cell>
          <cell r="AI231">
            <v>-10</v>
          </cell>
          <cell r="AJ231">
            <v>-10</v>
          </cell>
          <cell r="AK231">
            <v>-10</v>
          </cell>
          <cell r="AL231">
            <v>-10</v>
          </cell>
          <cell r="AN231" t="str">
            <v>SG&amp;A Expenses (Total)</v>
          </cell>
          <cell r="EL231" t="str">
            <v>SG&amp;A Expenses (Total)</v>
          </cell>
          <cell r="ER231">
            <v>2154</v>
          </cell>
          <cell r="ES231">
            <v>2117</v>
          </cell>
          <cell r="ET231">
            <v>2094</v>
          </cell>
          <cell r="EU231">
            <v>2313</v>
          </cell>
          <cell r="EV231">
            <v>8678</v>
          </cell>
          <cell r="EX231">
            <v>2113</v>
          </cell>
          <cell r="EY231">
            <v>2038</v>
          </cell>
          <cell r="EZ231">
            <v>2121</v>
          </cell>
          <cell r="FA231">
            <v>2282</v>
          </cell>
          <cell r="FB231">
            <v>8554</v>
          </cell>
          <cell r="FD231">
            <v>2080</v>
          </cell>
          <cell r="FE231">
            <v>2037</v>
          </cell>
          <cell r="FF231">
            <v>2085</v>
          </cell>
          <cell r="FG231">
            <v>2256</v>
          </cell>
          <cell r="FH231">
            <v>8458</v>
          </cell>
          <cell r="FJ231">
            <v>1985</v>
          </cell>
          <cell r="FK231">
            <v>1886</v>
          </cell>
          <cell r="FL231">
            <v>2056</v>
          </cell>
          <cell r="FM231">
            <v>2236</v>
          </cell>
          <cell r="FN231">
            <v>8163</v>
          </cell>
          <cell r="FP231">
            <v>1993</v>
          </cell>
          <cell r="FQ231">
            <v>1953</v>
          </cell>
          <cell r="FR231">
            <v>2069</v>
          </cell>
          <cell r="FS231">
            <v>2245</v>
          </cell>
          <cell r="FT231">
            <v>8260</v>
          </cell>
          <cell r="FU231">
            <v>4314</v>
          </cell>
          <cell r="FV231">
            <v>1973</v>
          </cell>
          <cell r="FW231">
            <v>1976</v>
          </cell>
          <cell r="FX231">
            <v>2018</v>
          </cell>
          <cell r="FY231">
            <v>2314</v>
          </cell>
          <cell r="FZ231">
            <v>8281</v>
          </cell>
          <cell r="GB231">
            <v>1995</v>
          </cell>
          <cell r="GC231">
            <v>2009</v>
          </cell>
          <cell r="GD231">
            <v>2122.0121029772449</v>
          </cell>
          <cell r="GE231">
            <v>2427.3951769090281</v>
          </cell>
          <cell r="GF231">
            <v>8553.4072798862726</v>
          </cell>
          <cell r="GM231" t="str">
            <v>Bull Retail Revenues from extra week</v>
          </cell>
          <cell r="GO231">
            <v>357.39407950202894</v>
          </cell>
        </row>
        <row r="232">
          <cell r="A232" t="str">
            <v>Operating Income</v>
          </cell>
          <cell r="N232">
            <v>663</v>
          </cell>
          <cell r="O232">
            <v>893</v>
          </cell>
          <cell r="P232">
            <v>1341</v>
          </cell>
          <cell r="Q232">
            <v>1455</v>
          </cell>
          <cell r="R232">
            <v>1693</v>
          </cell>
          <cell r="S232">
            <v>1771</v>
          </cell>
          <cell r="T232">
            <v>1376</v>
          </cell>
          <cell r="U232">
            <v>1411</v>
          </cell>
          <cell r="V232">
            <v>1400</v>
          </cell>
          <cell r="W232">
            <v>1499</v>
          </cell>
          <cell r="X232">
            <v>2138</v>
          </cell>
          <cell r="Y232">
            <v>2273</v>
          </cell>
          <cell r="Z232">
            <v>2060.5703683158117</v>
          </cell>
          <cell r="AA232">
            <v>1425</v>
          </cell>
          <cell r="AB232">
            <v>1454</v>
          </cell>
          <cell r="AC232">
            <v>1919</v>
          </cell>
          <cell r="AD232">
            <v>2386</v>
          </cell>
          <cell r="AE232">
            <v>2795.4452245287703</v>
          </cell>
          <cell r="AF232">
            <v>3269.7119758806275</v>
          </cell>
          <cell r="AG232">
            <v>3408.4799467779631</v>
          </cell>
          <cell r="AH232">
            <v>3443.795128625261</v>
          </cell>
          <cell r="AI232">
            <v>3447.31056144373</v>
          </cell>
          <cell r="AJ232">
            <v>3513.01541071063</v>
          </cell>
          <cell r="AK232">
            <v>3579.6896259067216</v>
          </cell>
          <cell r="AL232">
            <v>3647.3460238656644</v>
          </cell>
          <cell r="AN232" t="str">
            <v>SG&amp;A Expense (Ex Pension, Incl. Credit)</v>
          </cell>
          <cell r="EL232" t="str">
            <v>SG&amp;A Expense (Core Operations)</v>
          </cell>
          <cell r="ER232">
            <v>0.36323777403035412</v>
          </cell>
          <cell r="ES232">
            <v>0.35312760633861551</v>
          </cell>
          <cell r="ET232">
            <v>0.35575942915392456</v>
          </cell>
          <cell r="EU232">
            <v>0.25253848673435964</v>
          </cell>
          <cell r="EV232">
            <v>0.32176492398961809</v>
          </cell>
          <cell r="EX232">
            <v>2078</v>
          </cell>
          <cell r="EY232">
            <v>1998</v>
          </cell>
          <cell r="EZ232">
            <v>2082</v>
          </cell>
          <cell r="FA232">
            <v>2243</v>
          </cell>
          <cell r="FB232">
            <v>8401</v>
          </cell>
          <cell r="FD232">
            <v>2033</v>
          </cell>
          <cell r="FE232">
            <v>1976</v>
          </cell>
          <cell r="FF232">
            <v>2023</v>
          </cell>
          <cell r="FG232">
            <v>2215</v>
          </cell>
          <cell r="FH232">
            <v>11928</v>
          </cell>
          <cell r="FJ232">
            <v>1876</v>
          </cell>
          <cell r="FK232">
            <v>1731</v>
          </cell>
          <cell r="FL232">
            <v>1946</v>
          </cell>
          <cell r="FM232">
            <v>2171</v>
          </cell>
          <cell r="FN232">
            <v>7724</v>
          </cell>
          <cell r="FP232">
            <v>1838.25</v>
          </cell>
          <cell r="FQ232">
            <v>1828.25</v>
          </cell>
          <cell r="FR232">
            <v>1944.25</v>
          </cell>
          <cell r="FS232">
            <v>2210.25</v>
          </cell>
          <cell r="FT232">
            <v>7821</v>
          </cell>
          <cell r="FU232">
            <v>1.6254416961130724E-2</v>
          </cell>
          <cell r="FV232">
            <v>1938.25</v>
          </cell>
          <cell r="FW232">
            <v>1938</v>
          </cell>
          <cell r="FX232">
            <v>1980</v>
          </cell>
          <cell r="FY232">
            <v>2275</v>
          </cell>
          <cell r="FZ232">
            <v>8131.25</v>
          </cell>
          <cell r="GB232">
            <v>1944.25</v>
          </cell>
          <cell r="GC232">
            <v>1952</v>
          </cell>
          <cell r="GD232">
            <v>2066.0121029772449</v>
          </cell>
          <cell r="GE232">
            <v>2370.3951769090281</v>
          </cell>
          <cell r="GF232">
            <v>8332.6572798862726</v>
          </cell>
          <cell r="GM232" t="str">
            <v>Bear Retail Revenues from extra week</v>
          </cell>
          <cell r="GO232">
            <v>344.03355316550449</v>
          </cell>
        </row>
        <row r="233">
          <cell r="A233" t="str">
            <v>Operating Margin</v>
          </cell>
          <cell r="N233">
            <v>4.5367455864239771E-2</v>
          </cell>
          <cell r="O233">
            <v>6.0203600080900692E-2</v>
          </cell>
          <cell r="P233">
            <v>8.8107752956636004E-2</v>
          </cell>
          <cell r="Q233">
            <v>9.4695737064757562E-2</v>
          </cell>
          <cell r="R233">
            <v>0.10562106182544138</v>
          </cell>
          <cell r="S233">
            <v>0.10644308210121409</v>
          </cell>
          <cell r="T233">
            <v>8.7171365220145708E-2</v>
          </cell>
          <cell r="U233">
            <v>9.0617172949714206E-2</v>
          </cell>
          <cell r="V233">
            <v>9.0838307812094468E-2</v>
          </cell>
          <cell r="W233">
            <v>9.5017748478701827E-2</v>
          </cell>
          <cell r="X233">
            <v>9.5489057615006701E-2</v>
          </cell>
          <cell r="Y233">
            <v>8.4278828327771602E-2</v>
          </cell>
          <cell r="Z233">
            <v>7.8309974853335296E-2</v>
          </cell>
          <cell r="AA233">
            <v>5.7247308372167766E-2</v>
          </cell>
          <cell r="AB233">
            <v>6.0826639892904953E-2</v>
          </cell>
          <cell r="AC233">
            <v>7.6750789905211378E-2</v>
          </cell>
          <cell r="AD233">
            <v>9.0361673925392919E-2</v>
          </cell>
          <cell r="AE233">
            <v>9.9982205598335316E-2</v>
          </cell>
          <cell r="AF233">
            <v>0.10998220559833537</v>
          </cell>
          <cell r="AG233">
            <v>0.11248220559833534</v>
          </cell>
          <cell r="AH233">
            <v>0.11248220559833533</v>
          </cell>
          <cell r="AI233">
            <v>0.1114822055983353</v>
          </cell>
          <cell r="AJ233">
            <v>0.11248220559833537</v>
          </cell>
          <cell r="AK233">
            <v>0.11348220559833534</v>
          </cell>
          <cell r="AL233">
            <v>0.11448220559833534</v>
          </cell>
          <cell r="AN233" t="str">
            <v>Pension Expense (Benefit)</v>
          </cell>
          <cell r="EL233" t="str">
            <v>Pension Expense (Benefit)</v>
          </cell>
          <cell r="ER233">
            <v>300.87540578005888</v>
          </cell>
          <cell r="ES233">
            <v>202.54296926526084</v>
          </cell>
          <cell r="ET233">
            <v>5.8391160216936244</v>
          </cell>
          <cell r="EU233">
            <v>-178.61680437304796</v>
          </cell>
          <cell r="EV233">
            <v>100.18608670279094</v>
          </cell>
          <cell r="EX233">
            <v>35</v>
          </cell>
          <cell r="EY233">
            <v>40</v>
          </cell>
          <cell r="EZ233">
            <v>39</v>
          </cell>
          <cell r="FA233">
            <v>39</v>
          </cell>
          <cell r="FB233">
            <v>153</v>
          </cell>
          <cell r="FD233">
            <v>38</v>
          </cell>
          <cell r="FE233">
            <v>37</v>
          </cell>
          <cell r="FF233">
            <v>38</v>
          </cell>
          <cell r="FG233">
            <v>17</v>
          </cell>
          <cell r="FH233">
            <v>130</v>
          </cell>
          <cell r="FJ233">
            <v>34</v>
          </cell>
          <cell r="FK233">
            <v>35</v>
          </cell>
          <cell r="FL233">
            <v>35</v>
          </cell>
          <cell r="FM233">
            <v>35</v>
          </cell>
          <cell r="FN233">
            <v>139</v>
          </cell>
          <cell r="FP233">
            <v>34.75</v>
          </cell>
          <cell r="FQ233">
            <v>34.75</v>
          </cell>
          <cell r="FR233">
            <v>34.75</v>
          </cell>
          <cell r="FS233">
            <v>34.75</v>
          </cell>
          <cell r="FT233">
            <v>139</v>
          </cell>
          <cell r="FV233">
            <v>34.75</v>
          </cell>
          <cell r="FW233">
            <v>38</v>
          </cell>
          <cell r="FX233">
            <v>38</v>
          </cell>
          <cell r="FY233">
            <v>39</v>
          </cell>
          <cell r="FZ233">
            <v>149.75</v>
          </cell>
          <cell r="GB233">
            <v>50.75</v>
          </cell>
          <cell r="GC233">
            <v>57</v>
          </cell>
          <cell r="GD233">
            <v>56</v>
          </cell>
          <cell r="GE233">
            <v>57</v>
          </cell>
          <cell r="GF233">
            <v>220.75</v>
          </cell>
        </row>
        <row r="234">
          <cell r="A234" t="str">
            <v>Y/Y ∆ Operating Margin (bps)</v>
          </cell>
          <cell r="O234">
            <v>148.36144216660921</v>
          </cell>
          <cell r="P234">
            <v>279.04152875735315</v>
          </cell>
          <cell r="Q234">
            <v>65.879841081215588</v>
          </cell>
          <cell r="R234">
            <v>109.25324760683822</v>
          </cell>
          <cell r="S234">
            <v>8.22020275772703</v>
          </cell>
          <cell r="T234">
            <v>-192.7171688106838</v>
          </cell>
          <cell r="U234">
            <v>34.45807729568498</v>
          </cell>
          <cell r="V234">
            <v>2.2113486238026225</v>
          </cell>
          <cell r="W234">
            <v>41.794406666073591</v>
          </cell>
          <cell r="X234">
            <v>4.7130913630487328</v>
          </cell>
          <cell r="Y234">
            <v>-112.10229287235099</v>
          </cell>
          <cell r="Z234">
            <v>-59.688534744363061</v>
          </cell>
          <cell r="AA234">
            <v>-210.62666481167531</v>
          </cell>
          <cell r="AB234">
            <v>35.793315207371876</v>
          </cell>
          <cell r="AC234">
            <v>159.24150012306424</v>
          </cell>
          <cell r="AD234">
            <v>136.10884020181541</v>
          </cell>
          <cell r="AE234">
            <v>96.205316729423984</v>
          </cell>
          <cell r="AF234">
            <v>100.00000000000051</v>
          </cell>
          <cell r="AG234">
            <v>24.999999999999744</v>
          </cell>
          <cell r="AH234">
            <v>-1.3877787807814457E-13</v>
          </cell>
          <cell r="AI234">
            <v>-10.000000000000286</v>
          </cell>
          <cell r="AJ234">
            <v>10.000000000000703</v>
          </cell>
          <cell r="AK234">
            <v>9.9999999999997318</v>
          </cell>
          <cell r="AL234">
            <v>10.000000000000009</v>
          </cell>
          <cell r="AN234" t="str">
            <v>SG&amp;A Ratio (Ex Pension, Incl. Credit)</v>
          </cell>
          <cell r="EL234" t="str">
            <v>SG&amp;A Ratio (Core Operations)</v>
          </cell>
          <cell r="EX234">
            <v>0.35095423070427295</v>
          </cell>
          <cell r="EY234">
            <v>0.33910386965376782</v>
          </cell>
          <cell r="EZ234">
            <v>0.35252285811039619</v>
          </cell>
          <cell r="FA234">
            <v>0.26099604375145452</v>
          </cell>
          <cell r="FB234">
            <v>0.31927184281533844</v>
          </cell>
          <cell r="FD234">
            <v>0.35374978249521488</v>
          </cell>
          <cell r="FE234">
            <v>0.34557537600559635</v>
          </cell>
          <cell r="FF234">
            <v>0.3682869106135081</v>
          </cell>
          <cell r="FG234">
            <v>0.27917822031762035</v>
          </cell>
          <cell r="FH234">
            <v>0.47919010123734535</v>
          </cell>
          <cell r="FJ234">
            <v>0.35476550680786689</v>
          </cell>
          <cell r="FK234">
            <v>0.32753074739829707</v>
          </cell>
          <cell r="FL234">
            <v>0.36137418755803158</v>
          </cell>
          <cell r="FM234">
            <v>0.27352904119944565</v>
          </cell>
          <cell r="FN234">
            <v>0.32324754132663736</v>
          </cell>
          <cell r="FP234">
            <v>0.32979009687836386</v>
          </cell>
          <cell r="FQ234">
            <v>0.33018782734332669</v>
          </cell>
          <cell r="FR234">
            <v>0.3457673839587409</v>
          </cell>
          <cell r="FS234">
            <v>0.26729350586527995</v>
          </cell>
          <cell r="FT234">
            <v>0.31280246370435549</v>
          </cell>
          <cell r="FV234">
            <v>0.32913058244184074</v>
          </cell>
          <cell r="FW234">
            <v>0.32631756187910421</v>
          </cell>
          <cell r="FX234">
            <v>0.33828805740645823</v>
          </cell>
          <cell r="FY234">
            <v>0.26077487391104998</v>
          </cell>
          <cell r="FZ234">
            <v>0.30794357129331568</v>
          </cell>
          <cell r="GB234">
            <v>0.31649845352433664</v>
          </cell>
          <cell r="GC234">
            <v>0.31905851585485451</v>
          </cell>
          <cell r="GD234">
            <v>0.34038200374321254</v>
          </cell>
          <cell r="GE234">
            <v>0.25305447615338417</v>
          </cell>
          <cell r="GF234">
            <v>0.30084162211203869</v>
          </cell>
        </row>
        <row r="235">
          <cell r="AN235" t="str">
            <v>Y/Y ∆ SG&amp;A Ratio (bps)</v>
          </cell>
          <cell r="EL235" t="str">
            <v>Y/Y ∆ SG&amp;A Ratio (bps)</v>
          </cell>
          <cell r="FD235">
            <v>27.955517909419303</v>
          </cell>
          <cell r="FE235">
            <v>64.715063518285262</v>
          </cell>
          <cell r="FF235">
            <v>157.64052503111913</v>
          </cell>
          <cell r="FG235">
            <v>181.8217656616583</v>
          </cell>
          <cell r="FH235">
            <v>1599.1825842200692</v>
          </cell>
          <cell r="FJ235">
            <v>10.157243126520111</v>
          </cell>
          <cell r="FK235">
            <v>-180.44628607299273</v>
          </cell>
          <cell r="FL235">
            <v>-69.127230554765219</v>
          </cell>
          <cell r="FM235">
            <v>-56.491791181746962</v>
          </cell>
          <cell r="FN235">
            <v>-1559.42559910708</v>
          </cell>
          <cell r="FP235">
            <v>-249.75409929503033</v>
          </cell>
          <cell r="FQ235">
            <v>26.570799450296168</v>
          </cell>
          <cell r="FR235">
            <v>-156.06803599290674</v>
          </cell>
          <cell r="FS235">
            <v>-62.355353341657093</v>
          </cell>
          <cell r="FT235">
            <v>-104.45077622281862</v>
          </cell>
          <cell r="FV235">
            <v>-6.5951443652312314</v>
          </cell>
          <cell r="FW235">
            <v>-38.702654642224779</v>
          </cell>
          <cell r="FX235">
            <v>-74.793265522826729</v>
          </cell>
          <cell r="FY235">
            <v>-65.186319542299699</v>
          </cell>
          <cell r="FZ235">
            <v>-48.588924110398167</v>
          </cell>
          <cell r="GB235">
            <v>-126.32128917504093</v>
          </cell>
          <cell r="GC235">
            <v>-72.590460242497045</v>
          </cell>
          <cell r="GD235">
            <v>20.939463367543041</v>
          </cell>
          <cell r="GE235">
            <v>-77.20397757665809</v>
          </cell>
          <cell r="GF235">
            <v>-71.0194918127699</v>
          </cell>
        </row>
        <row r="236">
          <cell r="AN236" t="str">
            <v>SG&amp;A Ratio (Including Pension Impact)</v>
          </cell>
          <cell r="EL236" t="str">
            <v>SG&amp;A Ratio (Including Pension Impact)</v>
          </cell>
          <cell r="EX236">
            <v>0.35686539435906095</v>
          </cell>
          <cell r="EY236">
            <v>0.34589273591310249</v>
          </cell>
          <cell r="EZ236">
            <v>0.35912631222485608</v>
          </cell>
          <cell r="FA236">
            <v>0.2655340935536421</v>
          </cell>
          <cell r="FB236">
            <v>0.32508645916467144</v>
          </cell>
          <cell r="FD236">
            <v>0.36192796241517311</v>
          </cell>
          <cell r="FE236">
            <v>0.35624344176285416</v>
          </cell>
          <cell r="FF236">
            <v>0.37957400327689789</v>
          </cell>
          <cell r="FG236">
            <v>0.28434585328963952</v>
          </cell>
          <cell r="FH236">
            <v>0.33978788365739998</v>
          </cell>
          <cell r="FJ236">
            <v>0.37537821482602118</v>
          </cell>
          <cell r="FK236">
            <v>0.35685903500473037</v>
          </cell>
          <cell r="FL236">
            <v>0.38180129990714951</v>
          </cell>
          <cell r="FM236">
            <v>0.28171853345092607</v>
          </cell>
          <cell r="FN236">
            <v>0.34161958568738232</v>
          </cell>
          <cell r="FP236">
            <v>0.35755292429135271</v>
          </cell>
          <cell r="FQ236">
            <v>0.3527180783817952</v>
          </cell>
          <cell r="FR236">
            <v>0.36795304997332384</v>
          </cell>
          <cell r="FS236">
            <v>0.27149594872415045</v>
          </cell>
          <cell r="FT236">
            <v>0.33036035675718911</v>
          </cell>
          <cell r="FU236">
            <v>0.31053843938957676</v>
          </cell>
          <cell r="FV236">
            <v>0.33503141450161317</v>
          </cell>
          <cell r="FW236">
            <v>0.33271594544536115</v>
          </cell>
          <cell r="FX236">
            <v>0.34478045446779432</v>
          </cell>
          <cell r="FY236">
            <v>0.26524530032095367</v>
          </cell>
          <cell r="FZ236">
            <v>0.31361484567316794</v>
          </cell>
          <cell r="GB236">
            <v>0.32475988930489991</v>
          </cell>
          <cell r="GC236">
            <v>0.32837528604118993</v>
          </cell>
          <cell r="GD236">
            <v>0.34960818019307516</v>
          </cell>
          <cell r="GE236">
            <v>0.25913958182743124</v>
          </cell>
          <cell r="GF236">
            <v>0.30881156325452847</v>
          </cell>
          <cell r="GG236" t="str">
            <v>Implied 2012e Margins (ex Extra Week)</v>
          </cell>
          <cell r="GM236" t="str">
            <v>'12 Spring SG&amp;A</v>
          </cell>
          <cell r="GN236">
            <v>4004</v>
          </cell>
        </row>
        <row r="237">
          <cell r="AN237" t="str">
            <v>Y/Y ∆ SG&amp;A Ratio (bps)</v>
          </cell>
          <cell r="EL237" t="str">
            <v>Y/Y ∆ SG&amp;A Ratio (bps)</v>
          </cell>
          <cell r="EX237">
            <v>-63.723796712931716</v>
          </cell>
          <cell r="EY237">
            <v>-72.348704255130187</v>
          </cell>
          <cell r="EZ237">
            <v>33.668830709315259</v>
          </cell>
          <cell r="FA237">
            <v>129.95606819282469</v>
          </cell>
          <cell r="FB237">
            <v>33.215351750533472</v>
          </cell>
          <cell r="FD237">
            <v>50.625680561121598</v>
          </cell>
          <cell r="FE237">
            <v>103.50705849751674</v>
          </cell>
          <cell r="FF237">
            <v>204.47691052041804</v>
          </cell>
          <cell r="FG237">
            <v>188.11759735997413</v>
          </cell>
          <cell r="FH237">
            <v>147.01424492728543</v>
          </cell>
          <cell r="FJ237">
            <v>134.50252410848074</v>
          </cell>
          <cell r="FK237">
            <v>6.1559324187621112</v>
          </cell>
          <cell r="FL237">
            <v>22.272966302516185</v>
          </cell>
          <cell r="FM237">
            <v>-26.273198387134489</v>
          </cell>
          <cell r="FN237">
            <v>18.317020299823405</v>
          </cell>
          <cell r="FP237">
            <v>-178.25290534668468</v>
          </cell>
          <cell r="FQ237">
            <v>-41.409566229351768</v>
          </cell>
          <cell r="FR237">
            <v>-138.48249933825662</v>
          </cell>
          <cell r="FS237">
            <v>-102.22584726775619</v>
          </cell>
          <cell r="FT237">
            <v>-112.5922893019321</v>
          </cell>
          <cell r="FU237">
            <v>0.32217384777060504</v>
          </cell>
          <cell r="FV237">
            <v>-225.21509789739548</v>
          </cell>
          <cell r="FW237">
            <v>-200.02132936434046</v>
          </cell>
          <cell r="FX237">
            <v>-231.72595505529526</v>
          </cell>
          <cell r="FY237">
            <v>-62.506484031967787</v>
          </cell>
          <cell r="FZ237">
            <v>-167.45511084021169</v>
          </cell>
          <cell r="GB237">
            <v>-102.7152519671326</v>
          </cell>
          <cell r="GC237">
            <v>-43.406594041712211</v>
          </cell>
          <cell r="GD237">
            <v>48.277257252808404</v>
          </cell>
          <cell r="GE237">
            <v>-61.057184935224271</v>
          </cell>
          <cell r="GF237">
            <v>-48.032824186394762</v>
          </cell>
          <cell r="GJ237" t="str">
            <v>FY12e Gross Margin (%) (ex extra week)</v>
          </cell>
          <cell r="GK237">
            <v>0.40521348048585426</v>
          </cell>
          <cell r="GM237" t="str">
            <v>'12 Fall SG&amp;A</v>
          </cell>
          <cell r="GN237">
            <v>4549.4072798862726</v>
          </cell>
        </row>
        <row r="238">
          <cell r="FP238">
            <v>-120</v>
          </cell>
          <cell r="FQ238">
            <v>-90</v>
          </cell>
          <cell r="FR238">
            <v>-90</v>
          </cell>
          <cell r="FS238">
            <v>0</v>
          </cell>
          <cell r="GJ238" t="str">
            <v>FY12e Gross Margin ∆ (bps) (ex extra week)</v>
          </cell>
          <cell r="GK238">
            <v>12.36960887293359</v>
          </cell>
          <cell r="GM238" t="str">
            <v>% Change 2H vs. 1H</v>
          </cell>
          <cell r="GN238">
            <v>0.13621560436720093</v>
          </cell>
        </row>
        <row r="239">
          <cell r="AN239" t="str">
            <v>% Breakout of credit deterioration</v>
          </cell>
          <cell r="FD239">
            <v>0.15</v>
          </cell>
          <cell r="FE239">
            <v>0.2</v>
          </cell>
          <cell r="FF239">
            <v>0.3</v>
          </cell>
          <cell r="FG239">
            <v>0.35000000000000009</v>
          </cell>
          <cell r="FH239">
            <v>50</v>
          </cell>
          <cell r="FK239">
            <v>-120</v>
          </cell>
          <cell r="GJ239" t="str">
            <v>Impact from Extra Wk on FY12e Gross Mgn ∆ (bps)</v>
          </cell>
          <cell r="GK239">
            <v>-0.42372024769532501</v>
          </cell>
          <cell r="GM239" t="str">
            <v>'11 Spring SG&amp;A</v>
          </cell>
          <cell r="GN239">
            <v>3949</v>
          </cell>
        </row>
        <row r="240">
          <cell r="A240" t="str">
            <v>Bear Case Assumptions</v>
          </cell>
          <cell r="N240">
            <v>1995</v>
          </cell>
          <cell r="O240">
            <v>1996</v>
          </cell>
          <cell r="P240">
            <v>1997</v>
          </cell>
          <cell r="Q240">
            <v>1998</v>
          </cell>
          <cell r="R240">
            <v>1999</v>
          </cell>
          <cell r="S240">
            <v>2000</v>
          </cell>
          <cell r="T240">
            <v>2001</v>
          </cell>
          <cell r="U240">
            <v>2002</v>
          </cell>
          <cell r="V240">
            <v>2003</v>
          </cell>
          <cell r="W240">
            <v>2004</v>
          </cell>
          <cell r="X240">
            <v>2005</v>
          </cell>
          <cell r="Y240">
            <v>2006</v>
          </cell>
          <cell r="Z240">
            <v>2007</v>
          </cell>
          <cell r="AA240">
            <v>2008</v>
          </cell>
          <cell r="AB240">
            <v>2009</v>
          </cell>
          <cell r="AC240">
            <v>2010</v>
          </cell>
          <cell r="AD240">
            <v>2011</v>
          </cell>
          <cell r="AE240" t="str">
            <v>2012E</v>
          </cell>
          <cell r="AF240" t="str">
            <v>2013E</v>
          </cell>
          <cell r="AG240" t="str">
            <v>2014E</v>
          </cell>
          <cell r="AH240" t="str">
            <v>2015E</v>
          </cell>
          <cell r="AI240" t="str">
            <v>2016E</v>
          </cell>
          <cell r="AJ240" t="str">
            <v>2017E</v>
          </cell>
          <cell r="AK240" t="str">
            <v>2018E</v>
          </cell>
          <cell r="AL240" t="str">
            <v>2019E</v>
          </cell>
          <cell r="AN240" t="str">
            <v>% Breakout of consolidation SG&amp;A saves</v>
          </cell>
          <cell r="FD240">
            <v>0.05</v>
          </cell>
          <cell r="FE240">
            <v>0.15</v>
          </cell>
          <cell r="FF240">
            <v>0.4</v>
          </cell>
          <cell r="FG240">
            <v>0.39999999999999991</v>
          </cell>
          <cell r="FH240">
            <v>-60</v>
          </cell>
          <cell r="FJ240">
            <v>0.25</v>
          </cell>
          <cell r="FK240">
            <v>0.4</v>
          </cell>
          <cell r="FL240">
            <v>0.25</v>
          </cell>
          <cell r="FM240">
            <v>9.9999999999999978E-2</v>
          </cell>
          <cell r="FN240">
            <v>-300</v>
          </cell>
          <cell r="FP240">
            <v>0.4</v>
          </cell>
          <cell r="FQ240">
            <v>0.3</v>
          </cell>
          <cell r="FR240">
            <v>0.3</v>
          </cell>
          <cell r="FS240">
            <v>0</v>
          </cell>
          <cell r="FT240">
            <v>-140</v>
          </cell>
          <cell r="GJ240" t="str">
            <v>FY12e SG&amp;A Ratio Incl. Pension (%) (ex extra week)</v>
          </cell>
          <cell r="GK240">
            <v>0.31051036388580949</v>
          </cell>
          <cell r="GM240" t="str">
            <v>'11 Fall SG&amp;A</v>
          </cell>
          <cell r="GN240">
            <v>4332</v>
          </cell>
        </row>
        <row r="241">
          <cell r="A241" t="str">
            <v>Revenue</v>
          </cell>
          <cell r="N241">
            <v>14614</v>
          </cell>
          <cell r="O241">
            <v>14833</v>
          </cell>
          <cell r="P241">
            <v>15220</v>
          </cell>
          <cell r="Q241">
            <v>15365</v>
          </cell>
          <cell r="R241">
            <v>16029</v>
          </cell>
          <cell r="S241">
            <v>16638</v>
          </cell>
          <cell r="T241">
            <v>15785</v>
          </cell>
          <cell r="U241">
            <v>15571</v>
          </cell>
          <cell r="V241">
            <v>15412</v>
          </cell>
          <cell r="W241">
            <v>15776</v>
          </cell>
          <cell r="X241">
            <v>22390</v>
          </cell>
          <cell r="Y241">
            <v>26970</v>
          </cell>
          <cell r="Z241">
            <v>26313</v>
          </cell>
          <cell r="AA241">
            <v>24892</v>
          </cell>
          <cell r="AB241">
            <v>23904</v>
          </cell>
          <cell r="AC241">
            <v>25003</v>
          </cell>
          <cell r="AD241">
            <v>26405</v>
          </cell>
          <cell r="AE241">
            <v>27436.213752617372</v>
          </cell>
          <cell r="AF241">
            <v>27415.922360651821</v>
          </cell>
          <cell r="AG241">
            <v>27944.266088353088</v>
          </cell>
          <cell r="AH241">
            <v>28233.795982590062</v>
          </cell>
          <cell r="AI241">
            <v>28516.133942415963</v>
          </cell>
          <cell r="AJ241">
            <v>28801.295281840125</v>
          </cell>
          <cell r="AK241">
            <v>29089.308234658525</v>
          </cell>
          <cell r="AL241">
            <v>29380.20131700511</v>
          </cell>
          <cell r="AN241" t="str">
            <v>% Breakout of pre-tax charges assoc. with consolidation</v>
          </cell>
          <cell r="FD241">
            <v>0.57999999999999996</v>
          </cell>
          <cell r="FE241">
            <v>0.17333333333333334</v>
          </cell>
          <cell r="FF241">
            <v>0.10666666666666667</v>
          </cell>
          <cell r="FG241">
            <v>0.14000000000000001</v>
          </cell>
          <cell r="FH241">
            <v>150</v>
          </cell>
          <cell r="FJ241">
            <v>0.34499999999999997</v>
          </cell>
          <cell r="FK241">
            <v>8.5000000000000006E-2</v>
          </cell>
          <cell r="FL241">
            <v>8.2500000000000004E-2</v>
          </cell>
          <cell r="FM241">
            <v>0.48750000000000004</v>
          </cell>
          <cell r="FN241">
            <v>400</v>
          </cell>
          <cell r="FP241">
            <v>0</v>
          </cell>
          <cell r="FQ241">
            <v>0</v>
          </cell>
          <cell r="FR241">
            <v>0</v>
          </cell>
          <cell r="FS241">
            <v>1</v>
          </cell>
          <cell r="FT241">
            <v>0</v>
          </cell>
          <cell r="GF241" t="str">
            <v xml:space="preserve"> </v>
          </cell>
          <cell r="GJ241" t="str">
            <v>FY12e SG&amp;A Ratio Incl. Pension ∆ (bps) (ex extra wk)</v>
          </cell>
          <cell r="GK241">
            <v>-31.044817873584485</v>
          </cell>
          <cell r="GM241" t="str">
            <v>Y/Y $ Change</v>
          </cell>
          <cell r="GN241">
            <v>159</v>
          </cell>
        </row>
        <row r="242">
          <cell r="A242" t="str">
            <v xml:space="preserve"> % Same-store</v>
          </cell>
          <cell r="N242">
            <v>2.7E-2</v>
          </cell>
          <cell r="O242">
            <v>3.1E-2</v>
          </cell>
          <cell r="P242">
            <v>2.7E-2</v>
          </cell>
          <cell r="Q242">
            <v>2.1999999999999999E-2</v>
          </cell>
          <cell r="R242">
            <v>4.4999999999999998E-2</v>
          </cell>
          <cell r="S242">
            <v>0.02</v>
          </cell>
          <cell r="T242">
            <v>-5.2999999999999999E-2</v>
          </cell>
          <cell r="U242">
            <v>-0.03</v>
          </cell>
          <cell r="V242">
            <v>-9.0000000000000011E-3</v>
          </cell>
          <cell r="W242">
            <v>2.5999999999999999E-2</v>
          </cell>
          <cell r="X242">
            <v>1.2999999999999999E-2</v>
          </cell>
          <cell r="Y242">
            <v>4.3999999999999997E-2</v>
          </cell>
          <cell r="Z242">
            <v>-1.2799528750047504E-2</v>
          </cell>
          <cell r="AA242">
            <v>-4.4999999999999998E-2</v>
          </cell>
          <cell r="AB242">
            <v>-5.0968425652024113E-2</v>
          </cell>
          <cell r="AC242">
            <v>4.610434747830261E-2</v>
          </cell>
          <cell r="AD242">
            <v>5.2999999999999999E-2</v>
          </cell>
          <cell r="AE242">
            <v>3.0470716044687752E-2</v>
          </cell>
          <cell r="AF242">
            <v>1.0000000000000002E-2</v>
          </cell>
          <cell r="AG242">
            <v>0.02</v>
          </cell>
          <cell r="AH242">
            <v>0.01</v>
          </cell>
          <cell r="AI242">
            <v>0.01</v>
          </cell>
          <cell r="AJ242">
            <v>0.01</v>
          </cell>
          <cell r="AK242">
            <v>0.01</v>
          </cell>
          <cell r="AL242">
            <v>0.01</v>
          </cell>
          <cell r="GJ242" t="str">
            <v>Impact from Extra Wk on FY12e SG&amp;A Ratio ∆ (bps)</v>
          </cell>
          <cell r="GK242">
            <v>-16.988006312810278</v>
          </cell>
          <cell r="GN242">
            <v>217.40727988627259</v>
          </cell>
        </row>
        <row r="243">
          <cell r="A243" t="str">
            <v>CGS, OCC, Buying Costs</v>
          </cell>
          <cell r="N243">
            <v>9038</v>
          </cell>
          <cell r="O243">
            <v>9018</v>
          </cell>
          <cell r="P243">
            <v>9200</v>
          </cell>
          <cell r="Q243">
            <v>9218</v>
          </cell>
          <cell r="R243">
            <v>9576</v>
          </cell>
          <cell r="S243">
            <v>9955</v>
          </cell>
          <cell r="T243">
            <v>9603</v>
          </cell>
          <cell r="U243">
            <v>9324</v>
          </cell>
          <cell r="V243">
            <v>9175</v>
          </cell>
          <cell r="W243">
            <v>9346</v>
          </cell>
          <cell r="X243">
            <v>13272</v>
          </cell>
          <cell r="Y243">
            <v>16019</v>
          </cell>
          <cell r="Z243">
            <v>15782.893839502129</v>
          </cell>
          <cell r="AA243">
            <v>15009</v>
          </cell>
          <cell r="AB243">
            <v>14278</v>
          </cell>
          <cell r="AC243">
            <v>14824</v>
          </cell>
          <cell r="AD243">
            <v>15738</v>
          </cell>
          <cell r="AE243">
            <v>16371.343170905468</v>
          </cell>
          <cell r="AF243">
            <v>16386.651105470184</v>
          </cell>
          <cell r="AG243">
            <v>16660.528726167173</v>
          </cell>
          <cell r="AH243">
            <v>16861.381874712744</v>
          </cell>
          <cell r="AI243">
            <v>17087.027961344706</v>
          </cell>
          <cell r="AJ243">
            <v>17257.898240958151</v>
          </cell>
          <cell r="AK243">
            <v>17430.477223367736</v>
          </cell>
          <cell r="AL243">
            <v>17604.781995601414</v>
          </cell>
        </row>
        <row r="244">
          <cell r="A244" t="str">
            <v>CGS, OCC, Buying Costs %</v>
          </cell>
          <cell r="N244">
            <v>0.61844806350075265</v>
          </cell>
          <cell r="O244">
            <v>0.60796871839816624</v>
          </cell>
          <cell r="P244">
            <v>0.60446780551905388</v>
          </cell>
          <cell r="Q244">
            <v>0.59993491701919943</v>
          </cell>
          <cell r="R244">
            <v>0.59741718135878719</v>
          </cell>
          <cell r="S244">
            <v>0.5983291260968866</v>
          </cell>
          <cell r="T244">
            <v>0.60836236933797905</v>
          </cell>
          <cell r="U244">
            <v>0.59880547171023057</v>
          </cell>
          <cell r="V244">
            <v>0.59531533869711917</v>
          </cell>
          <cell r="W244">
            <v>0.59241886409736311</v>
          </cell>
          <cell r="X244">
            <v>0.59276462706565436</v>
          </cell>
          <cell r="Y244">
            <v>0.59395624768261035</v>
          </cell>
          <cell r="Z244">
            <v>0.59981354613697135</v>
          </cell>
          <cell r="AA244">
            <v>0.60296480797043228</v>
          </cell>
          <cell r="AB244">
            <v>0.59730589022757696</v>
          </cell>
          <cell r="AC244">
            <v>0.59288885333759944</v>
          </cell>
          <cell r="AD244">
            <v>0.59602348040143915</v>
          </cell>
          <cell r="AE244">
            <v>0.59670562849962006</v>
          </cell>
          <cell r="AF244">
            <v>0.59770562849962006</v>
          </cell>
          <cell r="AG244">
            <v>0.59620562849962011</v>
          </cell>
          <cell r="AH244">
            <v>0.59720562849962</v>
          </cell>
          <cell r="AI244">
            <v>0.59920562849962</v>
          </cell>
          <cell r="AJ244">
            <v>0.59920562849962</v>
          </cell>
          <cell r="AK244">
            <v>0.59920562849962011</v>
          </cell>
          <cell r="AL244">
            <v>0.59920562849962011</v>
          </cell>
          <cell r="AN244" t="str">
            <v>Operating Margin</v>
          </cell>
          <cell r="EL244" t="str">
            <v>Operating Margin</v>
          </cell>
          <cell r="ER244">
            <v>149</v>
          </cell>
          <cell r="ES244">
            <v>408</v>
          </cell>
          <cell r="ET244">
            <v>279</v>
          </cell>
          <cell r="EU244">
            <v>1437</v>
          </cell>
          <cell r="EV244">
            <v>2273</v>
          </cell>
          <cell r="EX244">
            <v>244</v>
          </cell>
          <cell r="EY244">
            <v>347</v>
          </cell>
          <cell r="EZ244">
            <v>200</v>
          </cell>
          <cell r="FA244">
            <v>1291</v>
          </cell>
          <cell r="FB244">
            <v>2082</v>
          </cell>
          <cell r="FD244">
            <v>140</v>
          </cell>
          <cell r="FE244">
            <v>335</v>
          </cell>
          <cell r="FF244">
            <v>84</v>
          </cell>
          <cell r="FG244">
            <v>866</v>
          </cell>
          <cell r="FH244">
            <v>1425</v>
          </cell>
          <cell r="FJ244">
            <v>24</v>
          </cell>
          <cell r="FK244">
            <v>282</v>
          </cell>
          <cell r="FL244">
            <v>88</v>
          </cell>
          <cell r="FM244">
            <v>1060</v>
          </cell>
          <cell r="FN244">
            <v>1454</v>
          </cell>
          <cell r="FP244">
            <v>203</v>
          </cell>
          <cell r="FQ244">
            <v>370</v>
          </cell>
          <cell r="FR244">
            <v>177</v>
          </cell>
          <cell r="FS244">
            <v>1169</v>
          </cell>
          <cell r="FT244">
            <v>1919</v>
          </cell>
          <cell r="FV244">
            <v>330</v>
          </cell>
          <cell r="FW244">
            <v>506</v>
          </cell>
          <cell r="FX244">
            <v>291</v>
          </cell>
          <cell r="FY244">
            <v>1259</v>
          </cell>
          <cell r="FZ244">
            <v>2386</v>
          </cell>
          <cell r="GB244">
            <v>391</v>
          </cell>
          <cell r="GC244">
            <v>554</v>
          </cell>
          <cell r="GD244">
            <v>281.57499452664797</v>
          </cell>
          <cell r="GE244">
            <v>1444.7216277006182</v>
          </cell>
          <cell r="GF244">
            <v>2671.2966222272662</v>
          </cell>
        </row>
        <row r="245">
          <cell r="A245" t="str">
            <v>Y/Y ∆ CGS, OCC, Buying Costs % (bps)</v>
          </cell>
          <cell r="O245">
            <v>-104.79345102586413</v>
          </cell>
          <cell r="P245">
            <v>-35.009128791123615</v>
          </cell>
          <cell r="Q245">
            <v>-45.328884998544481</v>
          </cell>
          <cell r="R245">
            <v>-25.177356604122458</v>
          </cell>
          <cell r="S245">
            <v>9.1194473809941279</v>
          </cell>
          <cell r="T245">
            <v>100.33243241092448</v>
          </cell>
          <cell r="U245">
            <v>-95.568976277484722</v>
          </cell>
          <cell r="V245">
            <v>-34.901330131114072</v>
          </cell>
          <cell r="W245">
            <v>-28.964745997560605</v>
          </cell>
          <cell r="X245">
            <v>3.4576296829125219</v>
          </cell>
          <cell r="Y245">
            <v>11.916206169559906</v>
          </cell>
          <cell r="Z245">
            <v>58.57298454361004</v>
          </cell>
          <cell r="AA245">
            <v>31.512618334609279</v>
          </cell>
          <cell r="AB245">
            <v>-56.589177428553185</v>
          </cell>
          <cell r="AC245">
            <v>-44.170368899775212</v>
          </cell>
          <cell r="AD245">
            <v>31.346270638397122</v>
          </cell>
          <cell r="AE245">
            <v>6.8214809818090139</v>
          </cell>
          <cell r="AF245">
            <v>10.000000000000009</v>
          </cell>
          <cell r="AG245">
            <v>-14.999999999999458</v>
          </cell>
          <cell r="AH245">
            <v>9.9999999999988987</v>
          </cell>
          <cell r="AI245">
            <v>20.000000000000018</v>
          </cell>
          <cell r="AJ245">
            <v>0</v>
          </cell>
          <cell r="AK245">
            <v>1.1102230246251565E-12</v>
          </cell>
          <cell r="AL245">
            <v>0</v>
          </cell>
          <cell r="AN245" t="str">
            <v>BPS Change</v>
          </cell>
          <cell r="EL245" t="str">
            <v>BPS Change</v>
          </cell>
          <cell r="ER245">
            <v>2.5126475548060707E-2</v>
          </cell>
          <cell r="ES245">
            <v>6.805671392827356E-2</v>
          </cell>
          <cell r="ET245">
            <v>4.7400611620795105E-2</v>
          </cell>
          <cell r="EU245">
            <v>0.1568948575171962</v>
          </cell>
          <cell r="EV245">
            <v>8.4278828327771602E-2</v>
          </cell>
          <cell r="EX245">
            <v>4.12092551933795E-2</v>
          </cell>
          <cell r="EY245">
            <v>5.8893414799728448E-2</v>
          </cell>
          <cell r="EZ245">
            <v>3.3863867253640365E-2</v>
          </cell>
          <cell r="FA245">
            <v>0.15022108447754248</v>
          </cell>
          <cell r="FB245">
            <v>7.9124387185041611E-2</v>
          </cell>
          <cell r="FD245">
            <v>2.4360535931790498E-2</v>
          </cell>
          <cell r="FE245">
            <v>5.8586918502973068E-2</v>
          </cell>
          <cell r="FF245">
            <v>1.5292190060076462E-2</v>
          </cell>
          <cell r="FG245">
            <v>0.10915049155533149</v>
          </cell>
          <cell r="FH245">
            <v>5.7247308372167766E-2</v>
          </cell>
          <cell r="FJ245">
            <v>4.5385779122541605E-3</v>
          </cell>
          <cell r="FK245">
            <v>5.3358561967833493E-2</v>
          </cell>
          <cell r="FL245">
            <v>1.6341689879294335E-2</v>
          </cell>
          <cell r="FM245">
            <v>0.1335517197933728</v>
          </cell>
          <cell r="FN245">
            <v>6.0849550115086838E-2</v>
          </cell>
          <cell r="FP245">
            <v>3.6419088625762472E-2</v>
          </cell>
          <cell r="FQ245">
            <v>6.6823189452772255E-2</v>
          </cell>
          <cell r="FR245">
            <v>3.1477858794237951E-2</v>
          </cell>
          <cell r="FS245">
            <v>0.14137138710847744</v>
          </cell>
          <cell r="FT245">
            <v>7.6750789905211378E-2</v>
          </cell>
          <cell r="FV245">
            <v>5.6036678553234846E-2</v>
          </cell>
          <cell r="FW245">
            <v>8.5199528540158276E-2</v>
          </cell>
          <cell r="FX245">
            <v>4.9718093285494619E-2</v>
          </cell>
          <cell r="FY245">
            <v>0.1443145346171481</v>
          </cell>
          <cell r="FZ245">
            <v>9.0361673925392919E-2</v>
          </cell>
          <cell r="GB245">
            <v>6.3649682565521726E-2</v>
          </cell>
          <cell r="GC245">
            <v>9.0552468126838842E-2</v>
          </cell>
          <cell r="GD245">
            <v>4.6390367560213731E-2</v>
          </cell>
          <cell r="GE245">
            <v>0.15423304866911453</v>
          </cell>
          <cell r="GF245">
            <v>9.644428925609537E-2</v>
          </cell>
        </row>
        <row r="246">
          <cell r="A246" t="str">
            <v>Gross Income</v>
          </cell>
          <cell r="N246">
            <v>5576</v>
          </cell>
          <cell r="O246">
            <v>5815</v>
          </cell>
          <cell r="P246">
            <v>6020</v>
          </cell>
          <cell r="Q246">
            <v>6147</v>
          </cell>
          <cell r="R246">
            <v>6453</v>
          </cell>
          <cell r="S246">
            <v>6683</v>
          </cell>
          <cell r="T246">
            <v>6182</v>
          </cell>
          <cell r="U246">
            <v>6247</v>
          </cell>
          <cell r="V246">
            <v>6237</v>
          </cell>
          <cell r="W246">
            <v>6430</v>
          </cell>
          <cell r="X246">
            <v>9118</v>
          </cell>
          <cell r="Y246">
            <v>10951</v>
          </cell>
          <cell r="Z246">
            <v>10530.106160497871</v>
          </cell>
          <cell r="AA246">
            <v>9883</v>
          </cell>
          <cell r="AB246">
            <v>9626</v>
          </cell>
          <cell r="AC246">
            <v>10179</v>
          </cell>
          <cell r="AD246">
            <v>10667</v>
          </cell>
          <cell r="AE246">
            <v>11064.870581711904</v>
          </cell>
          <cell r="AF246">
            <v>11029.271255181637</v>
          </cell>
          <cell r="AG246">
            <v>11283.737362185915</v>
          </cell>
          <cell r="AH246">
            <v>11372.414107877315</v>
          </cell>
          <cell r="AI246">
            <v>11429.105981071258</v>
          </cell>
          <cell r="AJ246">
            <v>11543.397040881971</v>
          </cell>
          <cell r="AK246">
            <v>11658.831011290791</v>
          </cell>
          <cell r="AL246">
            <v>11775.419321403699</v>
          </cell>
        </row>
        <row r="247">
          <cell r="A247" t="str">
            <v>Gross Margin</v>
          </cell>
          <cell r="N247">
            <v>0.38155193649924729</v>
          </cell>
          <cell r="O247">
            <v>0.39203128160183376</v>
          </cell>
          <cell r="P247">
            <v>0.39553219448094612</v>
          </cell>
          <cell r="Q247">
            <v>0.40006508298080051</v>
          </cell>
          <cell r="R247">
            <v>0.40258281864121281</v>
          </cell>
          <cell r="S247">
            <v>0.40167087390311335</v>
          </cell>
          <cell r="T247">
            <v>0.3916376306620209</v>
          </cell>
          <cell r="U247">
            <v>0.40119452828976943</v>
          </cell>
          <cell r="V247">
            <v>0.40468466130288089</v>
          </cell>
          <cell r="W247">
            <v>0.40758113590263689</v>
          </cell>
          <cell r="X247">
            <v>0.4072353729343457</v>
          </cell>
          <cell r="Y247">
            <v>0.40604375231738971</v>
          </cell>
          <cell r="Z247">
            <v>0.40018645386302859</v>
          </cell>
          <cell r="AA247">
            <v>0.39703519202956772</v>
          </cell>
          <cell r="AB247">
            <v>0.40269410977242304</v>
          </cell>
          <cell r="AC247">
            <v>0.4071111466624005</v>
          </cell>
          <cell r="AD247">
            <v>0.4039765195985609</v>
          </cell>
          <cell r="AE247">
            <v>0.40329437150037994</v>
          </cell>
          <cell r="AF247">
            <v>0.40229437150037994</v>
          </cell>
          <cell r="AG247">
            <v>0.40379437150037994</v>
          </cell>
          <cell r="AH247">
            <v>0.40279437150037994</v>
          </cell>
          <cell r="AI247">
            <v>0.40079437150037994</v>
          </cell>
          <cell r="AJ247">
            <v>0.40079437150037994</v>
          </cell>
          <cell r="AK247">
            <v>0.40079437150037994</v>
          </cell>
          <cell r="AL247">
            <v>0.40079437150037994</v>
          </cell>
        </row>
        <row r="248">
          <cell r="A248" t="str">
            <v>Y/Y ∆ Gross Margin (bps)</v>
          </cell>
          <cell r="O248">
            <v>104.79345102586468</v>
          </cell>
          <cell r="P248">
            <v>35.009128791123615</v>
          </cell>
          <cell r="Q248">
            <v>45.328884998543927</v>
          </cell>
          <cell r="R248">
            <v>25.177356604123013</v>
          </cell>
          <cell r="S248">
            <v>-9.1194473809946821</v>
          </cell>
          <cell r="T248">
            <v>-100.33243241092448</v>
          </cell>
          <cell r="U248">
            <v>95.568976277485291</v>
          </cell>
          <cell r="V248">
            <v>34.901330131114626</v>
          </cell>
          <cell r="W248">
            <v>28.964745997560048</v>
          </cell>
          <cell r="X248">
            <v>-3.4576296829119668</v>
          </cell>
          <cell r="Y248">
            <v>-11.916206169559906</v>
          </cell>
          <cell r="Z248">
            <v>-58.572984543611149</v>
          </cell>
          <cell r="AA248">
            <v>-31.512618334608721</v>
          </cell>
          <cell r="AB248">
            <v>56.589177428553185</v>
          </cell>
          <cell r="AC248">
            <v>44.170368899774658</v>
          </cell>
          <cell r="AD248">
            <v>-31.346270638396014</v>
          </cell>
          <cell r="AE248">
            <v>-6.821480981809569</v>
          </cell>
          <cell r="AF248">
            <v>-10</v>
          </cell>
          <cell r="AG248">
            <v>15</v>
          </cell>
          <cell r="AH248">
            <v>-10</v>
          </cell>
          <cell r="AI248">
            <v>-20</v>
          </cell>
          <cell r="AJ248">
            <v>0</v>
          </cell>
          <cell r="AK248">
            <v>0</v>
          </cell>
          <cell r="AL248">
            <v>0</v>
          </cell>
          <cell r="AN248" t="str">
            <v>Bull Case Assumptions</v>
          </cell>
          <cell r="EL248" t="str">
            <v>Bull Case Assumptions</v>
          </cell>
        </row>
        <row r="249">
          <cell r="A249" t="str">
            <v>SG&amp;A Expenses</v>
          </cell>
          <cell r="N249">
            <v>4913</v>
          </cell>
          <cell r="O249">
            <v>4922</v>
          </cell>
          <cell r="P249">
            <v>4679</v>
          </cell>
          <cell r="Q249">
            <v>4692</v>
          </cell>
          <cell r="R249">
            <v>4760</v>
          </cell>
          <cell r="S249">
            <v>4912</v>
          </cell>
          <cell r="T249">
            <v>4806</v>
          </cell>
          <cell r="U249">
            <v>4836</v>
          </cell>
          <cell r="V249">
            <v>4837</v>
          </cell>
          <cell r="W249">
            <v>4931</v>
          </cell>
          <cell r="X249">
            <v>6980</v>
          </cell>
          <cell r="Y249">
            <v>8678</v>
          </cell>
          <cell r="Z249">
            <v>8523.9117921820616</v>
          </cell>
          <cell r="AA249">
            <v>8458</v>
          </cell>
          <cell r="AB249">
            <v>8163</v>
          </cell>
          <cell r="AC249">
            <v>8260</v>
          </cell>
          <cell r="AD249">
            <v>8281</v>
          </cell>
          <cell r="AE249">
            <v>8516.1531222989761</v>
          </cell>
          <cell r="AF249">
            <v>8646.9343212599488</v>
          </cell>
          <cell r="AG249">
            <v>8785.6287497368903</v>
          </cell>
          <cell r="AH249">
            <v>8848.4226499075667</v>
          </cell>
          <cell r="AI249">
            <v>8908.3907424642257</v>
          </cell>
          <cell r="AJ249">
            <v>8968.67335460703</v>
          </cell>
          <cell r="AK249">
            <v>9029.2707799184409</v>
          </cell>
          <cell r="AL249">
            <v>9090.1832864006192</v>
          </cell>
          <cell r="AN249" t="str">
            <v>Consolidated Stores Monthly Sales ($)</v>
          </cell>
          <cell r="EL249" t="str">
            <v>Consolidated Stores Monthly Sales ($)</v>
          </cell>
          <cell r="EU249">
            <v>356</v>
          </cell>
        </row>
        <row r="250">
          <cell r="A250" t="str">
            <v>SG&amp;A Ratio</v>
          </cell>
          <cell r="N250">
            <v>0.33618448063500755</v>
          </cell>
          <cell r="O250">
            <v>0.33182768152093306</v>
          </cell>
          <cell r="P250">
            <v>0.30742444152431014</v>
          </cell>
          <cell r="Q250">
            <v>0.30536934591604298</v>
          </cell>
          <cell r="R250">
            <v>0.29696175681577142</v>
          </cell>
          <cell r="S250">
            <v>0.29522779180189929</v>
          </cell>
          <cell r="T250">
            <v>0.30446626544187522</v>
          </cell>
          <cell r="U250">
            <v>0.31057735534005521</v>
          </cell>
          <cell r="V250">
            <v>0.31384635349078638</v>
          </cell>
          <cell r="W250">
            <v>0.31256338742393508</v>
          </cell>
          <cell r="X250">
            <v>0.311746315319339</v>
          </cell>
          <cell r="Y250">
            <v>0.32176492398961809</v>
          </cell>
          <cell r="Z250">
            <v>0.32394298605944066</v>
          </cell>
          <cell r="AA250">
            <v>0.33978788365739998</v>
          </cell>
          <cell r="AB250">
            <v>0.34149096385542171</v>
          </cell>
          <cell r="AC250">
            <v>0.33036035675718911</v>
          </cell>
          <cell r="AD250">
            <v>0.31361484567316794</v>
          </cell>
          <cell r="AE250">
            <v>0.31039826410036436</v>
          </cell>
          <cell r="AF250">
            <v>0.31539826410036437</v>
          </cell>
          <cell r="AG250">
            <v>0.31439826410036437</v>
          </cell>
          <cell r="AH250">
            <v>0.31339826410036437</v>
          </cell>
          <cell r="AI250">
            <v>0.31239826410036436</v>
          </cell>
          <cell r="AJ250">
            <v>0.31139826410036436</v>
          </cell>
          <cell r="AK250">
            <v>0.31039826410036436</v>
          </cell>
          <cell r="AL250">
            <v>0.30939826410036436</v>
          </cell>
          <cell r="AN250" t="str">
            <v>Month 1</v>
          </cell>
          <cell r="EL250" t="str">
            <v>Month 1</v>
          </cell>
          <cell r="ER250">
            <v>1800</v>
          </cell>
          <cell r="ES250">
            <v>2026</v>
          </cell>
          <cell r="ET250">
            <v>1727</v>
          </cell>
          <cell r="EU250">
            <v>2385</v>
          </cell>
          <cell r="EX250">
            <v>1802</v>
          </cell>
          <cell r="EY250">
            <v>1976</v>
          </cell>
          <cell r="EZ250">
            <v>1788</v>
          </cell>
          <cell r="FA250">
            <v>2707</v>
          </cell>
          <cell r="FD250">
            <v>1737</v>
          </cell>
          <cell r="FE250">
            <v>1926</v>
          </cell>
          <cell r="FF250">
            <v>1686</v>
          </cell>
          <cell r="FG250">
            <v>2324</v>
          </cell>
          <cell r="FJ250">
            <v>1602.5975291456411</v>
          </cell>
          <cell r="FK250">
            <v>1783.7565582371458</v>
          </cell>
          <cell r="FL250">
            <v>1576.1490988530857</v>
          </cell>
          <cell r="FM250">
            <v>2202.7766574237457</v>
          </cell>
          <cell r="FP250">
            <v>1667</v>
          </cell>
          <cell r="FQ250">
            <v>1789</v>
          </cell>
          <cell r="FR250">
            <v>1638</v>
          </cell>
          <cell r="FS250">
            <v>2341</v>
          </cell>
          <cell r="FV250">
            <v>1763</v>
          </cell>
          <cell r="FW250">
            <v>1937</v>
          </cell>
          <cell r="FX250">
            <v>1714</v>
          </cell>
          <cell r="FY250">
            <v>2465</v>
          </cell>
          <cell r="GB250">
            <v>1860</v>
          </cell>
          <cell r="GC250">
            <v>2015</v>
          </cell>
          <cell r="GD250">
            <v>1812</v>
          </cell>
          <cell r="GE250">
            <v>2588.4099701374939</v>
          </cell>
        </row>
        <row r="251">
          <cell r="A251" t="str">
            <v>Y/Y ∆ SG&amp;A Ratio (bps)</v>
          </cell>
          <cell r="O251">
            <v>-43.567991140744944</v>
          </cell>
          <cell r="P251">
            <v>-244.03239996622915</v>
          </cell>
          <cell r="Q251">
            <v>-20.550956082671657</v>
          </cell>
          <cell r="R251">
            <v>-84.075891002715622</v>
          </cell>
          <cell r="S251">
            <v>-17.339650138721296</v>
          </cell>
          <cell r="T251">
            <v>92.384736399759305</v>
          </cell>
          <cell r="U251">
            <v>61.110898981799892</v>
          </cell>
          <cell r="V251">
            <v>32.689981507311728</v>
          </cell>
          <cell r="W251">
            <v>-12.829660668512988</v>
          </cell>
          <cell r="X251">
            <v>-8.170721045960839</v>
          </cell>
          <cell r="Y251">
            <v>100.18608670279094</v>
          </cell>
          <cell r="Z251">
            <v>21.780620698225729</v>
          </cell>
          <cell r="AA251">
            <v>158.44897597959317</v>
          </cell>
          <cell r="AB251">
            <v>17.030801980217337</v>
          </cell>
          <cell r="AC251">
            <v>-111.30607098232603</v>
          </cell>
          <cell r="AD251">
            <v>-167.45511084021169</v>
          </cell>
          <cell r="AE251">
            <v>-32.165815728035781</v>
          </cell>
          <cell r="AF251">
            <v>50</v>
          </cell>
          <cell r="AG251">
            <v>-10</v>
          </cell>
          <cell r="AH251">
            <v>-10</v>
          </cell>
          <cell r="AI251">
            <v>-10</v>
          </cell>
          <cell r="AJ251">
            <v>-10</v>
          </cell>
          <cell r="AK251">
            <v>-10</v>
          </cell>
          <cell r="AL251">
            <v>-10</v>
          </cell>
          <cell r="AN251" t="str">
            <v>Month 2</v>
          </cell>
          <cell r="EL251" t="str">
            <v>Month 2</v>
          </cell>
          <cell r="ER251">
            <v>2255</v>
          </cell>
          <cell r="ES251">
            <v>2367</v>
          </cell>
          <cell r="ET251">
            <v>2303</v>
          </cell>
          <cell r="EU251">
            <v>4997</v>
          </cell>
          <cell r="EX251">
            <v>2288</v>
          </cell>
          <cell r="EY251">
            <v>2321</v>
          </cell>
          <cell r="EZ251">
            <v>2274</v>
          </cell>
          <cell r="FA251">
            <v>4624</v>
          </cell>
          <cell r="FD251">
            <v>2142</v>
          </cell>
          <cell r="FE251">
            <v>2249</v>
          </cell>
          <cell r="FF251">
            <v>2093</v>
          </cell>
          <cell r="FG251">
            <v>4397</v>
          </cell>
          <cell r="FJ251">
            <v>1963.7990255785628</v>
          </cell>
          <cell r="FK251">
            <v>2092.5916404337181</v>
          </cell>
          <cell r="FL251">
            <v>2084.1512834516657</v>
          </cell>
          <cell r="FM251">
            <v>4474.7693471136881</v>
          </cell>
          <cell r="FP251">
            <v>2172</v>
          </cell>
          <cell r="FQ251">
            <v>2229</v>
          </cell>
          <cell r="FR251">
            <v>2181</v>
          </cell>
          <cell r="FS251">
            <v>4619</v>
          </cell>
          <cell r="FV251">
            <v>2206</v>
          </cell>
          <cell r="FW251">
            <v>2392</v>
          </cell>
          <cell r="FX251">
            <v>2298</v>
          </cell>
          <cell r="FY251">
            <v>4925</v>
          </cell>
          <cell r="GB251">
            <v>2358</v>
          </cell>
          <cell r="GC251">
            <v>2412</v>
          </cell>
          <cell r="GD251">
            <v>2384.7396820310178</v>
          </cell>
          <cell r="GE251">
            <v>5171.5696157919501</v>
          </cell>
        </row>
        <row r="252">
          <cell r="A252" t="str">
            <v>Operating Income</v>
          </cell>
          <cell r="N252">
            <v>663</v>
          </cell>
          <cell r="O252">
            <v>893</v>
          </cell>
          <cell r="P252">
            <v>1341</v>
          </cell>
          <cell r="Q252">
            <v>1455</v>
          </cell>
          <cell r="R252">
            <v>1693</v>
          </cell>
          <cell r="S252">
            <v>1771</v>
          </cell>
          <cell r="T252">
            <v>1376</v>
          </cell>
          <cell r="U252">
            <v>1411</v>
          </cell>
          <cell r="V252">
            <v>1400</v>
          </cell>
          <cell r="W252">
            <v>1499</v>
          </cell>
          <cell r="X252">
            <v>2138</v>
          </cell>
          <cell r="Y252">
            <v>2273</v>
          </cell>
          <cell r="Z252">
            <v>2006.1943683158097</v>
          </cell>
          <cell r="AA252">
            <v>1425</v>
          </cell>
          <cell r="AB252">
            <v>1463</v>
          </cell>
          <cell r="AC252">
            <v>1919</v>
          </cell>
          <cell r="AD252">
            <v>2386</v>
          </cell>
          <cell r="AE252">
            <v>2548.7174594129283</v>
          </cell>
          <cell r="AF252">
            <v>2382.3369339216879</v>
          </cell>
          <cell r="AG252">
            <v>2498.1086124490248</v>
          </cell>
          <cell r="AH252">
            <v>2523.9914579697488</v>
          </cell>
          <cell r="AI252">
            <v>2520.715238607032</v>
          </cell>
          <cell r="AJ252">
            <v>2574.7236862749414</v>
          </cell>
          <cell r="AK252">
            <v>2629.5602313723502</v>
          </cell>
          <cell r="AL252">
            <v>2685.2360350030795</v>
          </cell>
          <cell r="AN252" t="str">
            <v>Month 3</v>
          </cell>
          <cell r="EL252" t="str">
            <v>Month 3</v>
          </cell>
          <cell r="ER252">
            <v>1878</v>
          </cell>
          <cell r="ES252">
            <v>1608</v>
          </cell>
          <cell r="ET252">
            <v>1863</v>
          </cell>
          <cell r="EU252">
            <v>1780</v>
          </cell>
          <cell r="EX252">
            <v>1837</v>
          </cell>
          <cell r="EY252">
            <v>1602</v>
          </cell>
          <cell r="EZ252">
            <v>1849</v>
          </cell>
          <cell r="FA252">
            <v>1273</v>
          </cell>
          <cell r="FD252">
            <v>1868</v>
          </cell>
          <cell r="FE252">
            <v>1543</v>
          </cell>
          <cell r="FF252">
            <v>1714</v>
          </cell>
          <cell r="FG252">
            <v>1213</v>
          </cell>
          <cell r="FJ252">
            <v>1720.603445275796</v>
          </cell>
          <cell r="FK252">
            <v>1409.6518013291361</v>
          </cell>
          <cell r="FL252">
            <v>1725.6996176952484</v>
          </cell>
          <cell r="FM252">
            <v>1268.4539954625661</v>
          </cell>
          <cell r="FP252">
            <v>1739</v>
          </cell>
          <cell r="FQ252">
            <v>1528</v>
          </cell>
          <cell r="FR252">
            <v>1806</v>
          </cell>
          <cell r="FS252">
            <v>1310</v>
          </cell>
          <cell r="FV252">
            <v>1920</v>
          </cell>
          <cell r="FW252">
            <v>1612</v>
          </cell>
          <cell r="FX252">
            <v>1842</v>
          </cell>
          <cell r="FY252">
            <v>1336</v>
          </cell>
          <cell r="GB252">
            <v>1928</v>
          </cell>
          <cell r="GC252">
            <v>1693</v>
          </cell>
          <cell r="GD252">
            <v>1954.7377926421409</v>
          </cell>
          <cell r="GE252">
            <v>1786.9703975101447</v>
          </cell>
        </row>
        <row r="253">
          <cell r="A253" t="str">
            <v>Operating Margin</v>
          </cell>
          <cell r="N253">
            <v>4.5367455864239771E-2</v>
          </cell>
          <cell r="O253">
            <v>6.0203600080900692E-2</v>
          </cell>
          <cell r="P253">
            <v>8.8107752956636004E-2</v>
          </cell>
          <cell r="Q253">
            <v>9.4695737064757562E-2</v>
          </cell>
          <cell r="R253">
            <v>0.10562106182544138</v>
          </cell>
          <cell r="S253">
            <v>0.10644308210121409</v>
          </cell>
          <cell r="T253">
            <v>8.7171365220145708E-2</v>
          </cell>
          <cell r="U253">
            <v>9.0617172949714206E-2</v>
          </cell>
          <cell r="V253">
            <v>9.0838307812094468E-2</v>
          </cell>
          <cell r="W253">
            <v>9.5017748478701827E-2</v>
          </cell>
          <cell r="X253">
            <v>9.5489057615006701E-2</v>
          </cell>
          <cell r="Y253">
            <v>8.4278828327771602E-2</v>
          </cell>
          <cell r="Z253">
            <v>7.6243467803587955E-2</v>
          </cell>
          <cell r="AA253">
            <v>5.7247308372167766E-2</v>
          </cell>
          <cell r="AB253">
            <v>6.1203145917001336E-2</v>
          </cell>
          <cell r="AC253">
            <v>7.6750789905211378E-2</v>
          </cell>
          <cell r="AD253">
            <v>9.0361673925392919E-2</v>
          </cell>
          <cell r="AE253">
            <v>9.2896107400015596E-2</v>
          </cell>
          <cell r="AF253">
            <v>8.6896107400015535E-2</v>
          </cell>
          <cell r="AG253">
            <v>8.9396107400015537E-2</v>
          </cell>
          <cell r="AH253">
            <v>8.9396107400015551E-2</v>
          </cell>
          <cell r="AI253">
            <v>8.8396107400015606E-2</v>
          </cell>
          <cell r="AJ253">
            <v>8.9396107400015565E-2</v>
          </cell>
          <cell r="AK253">
            <v>9.0396107400015593E-2</v>
          </cell>
          <cell r="AL253">
            <v>9.1396107400015622E-2</v>
          </cell>
          <cell r="AN253" t="str">
            <v>Total</v>
          </cell>
          <cell r="EL253" t="str">
            <v>Total</v>
          </cell>
          <cell r="ER253">
            <v>5930</v>
          </cell>
          <cell r="ES253">
            <v>5995</v>
          </cell>
          <cell r="ET253">
            <v>5886</v>
          </cell>
          <cell r="EU253">
            <v>9159</v>
          </cell>
          <cell r="EV253">
            <v>26970</v>
          </cell>
          <cell r="EX253">
            <v>5921</v>
          </cell>
          <cell r="EY253">
            <v>5892</v>
          </cell>
          <cell r="EZ253">
            <v>5906</v>
          </cell>
          <cell r="FA253">
            <v>8594</v>
          </cell>
          <cell r="FB253">
            <v>26313</v>
          </cell>
          <cell r="FD253">
            <v>5747</v>
          </cell>
          <cell r="FE253">
            <v>5718</v>
          </cell>
          <cell r="FF253">
            <v>5493</v>
          </cell>
          <cell r="FG253">
            <v>7934</v>
          </cell>
          <cell r="FH253">
            <v>24892</v>
          </cell>
          <cell r="FJ253">
            <v>5288</v>
          </cell>
          <cell r="FK253">
            <v>5285</v>
          </cell>
          <cell r="FL253">
            <v>5385</v>
          </cell>
          <cell r="FM253">
            <v>7946</v>
          </cell>
          <cell r="FN253">
            <v>23904</v>
          </cell>
          <cell r="FP253">
            <v>5574</v>
          </cell>
          <cell r="FQ253">
            <v>5537</v>
          </cell>
          <cell r="FR253">
            <v>5623</v>
          </cell>
          <cell r="FS253">
            <v>8269</v>
          </cell>
          <cell r="FT253">
            <v>25003</v>
          </cell>
          <cell r="FV253">
            <v>5889</v>
          </cell>
          <cell r="FW253">
            <v>5939</v>
          </cell>
          <cell r="FX253">
            <v>5853</v>
          </cell>
          <cell r="FY253">
            <v>8724</v>
          </cell>
          <cell r="FZ253">
            <v>26405</v>
          </cell>
          <cell r="GB253">
            <v>6143</v>
          </cell>
          <cell r="GC253">
            <v>6118</v>
          </cell>
          <cell r="GD253">
            <v>6151.4774746731582</v>
          </cell>
          <cell r="GE253">
            <v>9546.9499834395901</v>
          </cell>
          <cell r="GF253">
            <v>27959.427458112747</v>
          </cell>
        </row>
        <row r="254">
          <cell r="A254" t="str">
            <v>Y/Y ∆ Operating Margin (bps)</v>
          </cell>
          <cell r="O254">
            <v>148.36144216660921</v>
          </cell>
          <cell r="P254">
            <v>279.04152875735315</v>
          </cell>
          <cell r="Q254">
            <v>65.879841081215588</v>
          </cell>
          <cell r="R254">
            <v>109.25324760683822</v>
          </cell>
          <cell r="S254">
            <v>8.22020275772703</v>
          </cell>
          <cell r="T254">
            <v>-192.7171688106838</v>
          </cell>
          <cell r="U254">
            <v>34.45807729568498</v>
          </cell>
          <cell r="V254">
            <v>2.2113486238026225</v>
          </cell>
          <cell r="W254">
            <v>41.794406666073591</v>
          </cell>
          <cell r="X254">
            <v>4.7130913630487328</v>
          </cell>
          <cell r="Y254">
            <v>-112.10229287235099</v>
          </cell>
          <cell r="Z254">
            <v>-80.353605241836462</v>
          </cell>
          <cell r="AA254">
            <v>-189.9615943142019</v>
          </cell>
          <cell r="AB254">
            <v>39.55837544833571</v>
          </cell>
          <cell r="AC254">
            <v>155.47643988210041</v>
          </cell>
          <cell r="AD254">
            <v>136.10884020181541</v>
          </cell>
          <cell r="AE254">
            <v>25.344334746226771</v>
          </cell>
          <cell r="AF254">
            <v>-60.000000000000611</v>
          </cell>
          <cell r="AG254">
            <v>25.000000000000021</v>
          </cell>
          <cell r="AH254">
            <v>1.3877787807814457E-13</v>
          </cell>
          <cell r="AI254">
            <v>-9.9999999999994529</v>
          </cell>
          <cell r="AJ254">
            <v>9.9999999999995932</v>
          </cell>
          <cell r="AK254">
            <v>10.000000000000286</v>
          </cell>
          <cell r="AL254">
            <v>10.000000000000286</v>
          </cell>
        </row>
        <row r="255">
          <cell r="AN255" t="str">
            <v xml:space="preserve">Consolidated Monthly Comps </v>
          </cell>
          <cell r="EL255" t="str">
            <v xml:space="preserve">Consolidated Monthly Comps </v>
          </cell>
        </row>
        <row r="256">
          <cell r="A256" t="str">
            <v>Assumptions Spreads</v>
          </cell>
          <cell r="N256">
            <v>1995</v>
          </cell>
          <cell r="O256">
            <v>1996</v>
          </cell>
          <cell r="P256">
            <v>1997</v>
          </cell>
          <cell r="Q256">
            <v>1998</v>
          </cell>
          <cell r="R256">
            <v>1999</v>
          </cell>
          <cell r="S256">
            <v>2000</v>
          </cell>
          <cell r="T256">
            <v>2001</v>
          </cell>
          <cell r="U256">
            <v>2002</v>
          </cell>
          <cell r="V256">
            <v>2003</v>
          </cell>
          <cell r="W256">
            <v>2004</v>
          </cell>
          <cell r="X256">
            <v>2005</v>
          </cell>
          <cell r="Y256">
            <v>2006</v>
          </cell>
          <cell r="Z256">
            <v>2007</v>
          </cell>
          <cell r="AA256">
            <v>2008</v>
          </cell>
          <cell r="AB256">
            <v>2009</v>
          </cell>
          <cell r="AC256">
            <v>2010</v>
          </cell>
          <cell r="AD256">
            <v>2011</v>
          </cell>
          <cell r="AE256" t="str">
            <v>2012E</v>
          </cell>
          <cell r="AF256" t="str">
            <v>2013E</v>
          </cell>
          <cell r="AG256" t="str">
            <v>2014E</v>
          </cell>
          <cell r="AH256" t="str">
            <v>2015E</v>
          </cell>
          <cell r="AI256" t="str">
            <v>2016E</v>
          </cell>
          <cell r="AJ256" t="str">
            <v>2017E</v>
          </cell>
          <cell r="AK256" t="str">
            <v>2018E</v>
          </cell>
          <cell r="AL256" t="str">
            <v>2019E</v>
          </cell>
          <cell r="AN256" t="str">
            <v>Month 1</v>
          </cell>
          <cell r="EL256" t="str">
            <v>Month 1</v>
          </cell>
          <cell r="ER256">
            <v>0.01</v>
          </cell>
          <cell r="ES256">
            <v>9.1999999999999998E-2</v>
          </cell>
          <cell r="ET256">
            <v>3.7999999999999999E-2</v>
          </cell>
          <cell r="EU256">
            <v>8.5000000000000006E-2</v>
          </cell>
          <cell r="EX256">
            <v>1.2E-2</v>
          </cell>
          <cell r="EY256">
            <v>-3.3000000000000002E-2</v>
          </cell>
          <cell r="EZ256">
            <v>2.4E-2</v>
          </cell>
          <cell r="FA256">
            <v>0.13400000000000001</v>
          </cell>
          <cell r="FD256">
            <v>-3.5000000000000003E-2</v>
          </cell>
          <cell r="FE256">
            <v>-1.4999999999999999E-2</v>
          </cell>
          <cell r="FF256">
            <v>-4.8000000000000001E-2</v>
          </cell>
          <cell r="FG256">
            <v>-0.13300000000000001</v>
          </cell>
          <cell r="FJ256">
            <v>-8.5000000000000006E-2</v>
          </cell>
          <cell r="FK256">
            <v>-9.0999999999999998E-2</v>
          </cell>
          <cell r="FL256">
            <v>-8.1000000000000003E-2</v>
          </cell>
          <cell r="FM256">
            <v>-6.0999999999999999E-2</v>
          </cell>
          <cell r="FP256">
            <v>3.6999999999999998E-2</v>
          </cell>
          <cell r="FQ256">
            <v>1.4E-2</v>
          </cell>
          <cell r="FR256">
            <v>4.2999999999999997E-2</v>
          </cell>
          <cell r="FS256">
            <v>6.0999999999999999E-2</v>
          </cell>
          <cell r="FV256">
            <v>5.8000000000000003E-2</v>
          </cell>
          <cell r="FW256">
            <v>7.3999999999999996E-2</v>
          </cell>
          <cell r="FX256">
            <v>0.05</v>
          </cell>
          <cell r="FY256">
            <v>4.8000000000000001E-2</v>
          </cell>
          <cell r="GB256">
            <v>4.5999999999999999E-2</v>
          </cell>
          <cell r="GC256">
            <v>4.2000000000000003E-2</v>
          </cell>
          <cell r="GD256">
            <v>5.0999999999999997E-2</v>
          </cell>
          <cell r="GE256">
            <v>0.06</v>
          </cell>
        </row>
        <row r="257">
          <cell r="A257" t="str">
            <v>Bull Case Assumptions</v>
          </cell>
          <cell r="AN257" t="str">
            <v>Month 2</v>
          </cell>
          <cell r="EL257" t="str">
            <v>Month 2</v>
          </cell>
          <cell r="ER257">
            <v>0</v>
          </cell>
          <cell r="ES257">
            <v>1.7000000000000001E-2</v>
          </cell>
          <cell r="ET257">
            <v>6.5000000000000002E-2</v>
          </cell>
          <cell r="EU257">
            <v>4.3999999999999997E-2</v>
          </cell>
          <cell r="EX257">
            <v>2.3E-2</v>
          </cell>
          <cell r="EY257">
            <v>-2.7E-2</v>
          </cell>
          <cell r="EZ257">
            <v>-2.7E-2</v>
          </cell>
          <cell r="FA257">
            <v>-7.9000000000000001E-2</v>
          </cell>
          <cell r="FD257">
            <v>-6.2E-2</v>
          </cell>
          <cell r="FE257">
            <v>-2.1000000000000001E-2</v>
          </cell>
          <cell r="FF257">
            <v>-6.6000000000000003E-2</v>
          </cell>
          <cell r="FG257">
            <v>-0.04</v>
          </cell>
          <cell r="FJ257">
            <v>-9.1999999999999998E-2</v>
          </cell>
          <cell r="FK257">
            <v>-8.8999999999999996E-2</v>
          </cell>
          <cell r="FL257">
            <v>-2.3E-2</v>
          </cell>
          <cell r="FM257">
            <v>0.01</v>
          </cell>
          <cell r="FP257">
            <v>0.10800000000000001</v>
          </cell>
          <cell r="FQ257">
            <v>6.5000000000000002E-2</v>
          </cell>
          <cell r="FR257">
            <v>4.8000000000000001E-2</v>
          </cell>
          <cell r="FS257">
            <v>3.9E-2</v>
          </cell>
          <cell r="FV257">
            <v>8.9999999999999993E-3</v>
          </cell>
          <cell r="FW257">
            <v>6.7000000000000004E-2</v>
          </cell>
          <cell r="FX257">
            <v>4.9000000000000002E-2</v>
          </cell>
          <cell r="FY257">
            <v>6.2E-2</v>
          </cell>
          <cell r="GB257">
            <v>7.2999999999999995E-2</v>
          </cell>
          <cell r="GC257">
            <v>1.2E-2</v>
          </cell>
          <cell r="GD257">
            <v>0.05</v>
          </cell>
          <cell r="GE257">
            <v>0.06</v>
          </cell>
        </row>
        <row r="258">
          <cell r="A258" t="str">
            <v>Same Store</v>
          </cell>
          <cell r="AF258">
            <v>0.04</v>
          </cell>
          <cell r="AN258" t="str">
            <v>Month 3</v>
          </cell>
          <cell r="EL258" t="str">
            <v>Month 3</v>
          </cell>
          <cell r="ER258">
            <v>-8.0000000000000002E-3</v>
          </cell>
          <cell r="ES258">
            <v>3.3000000000000002E-2</v>
          </cell>
          <cell r="ET258">
            <v>7.6999999999999999E-2</v>
          </cell>
          <cell r="EU258">
            <v>8.5999999999999993E-2</v>
          </cell>
          <cell r="EX258">
            <v>-2.1999999999999999E-2</v>
          </cell>
          <cell r="EY258">
            <v>-1.4E-2</v>
          </cell>
          <cell r="EZ258">
            <v>-1.4999999999999999E-2</v>
          </cell>
          <cell r="FA258">
            <v>-7.0999999999999994E-2</v>
          </cell>
          <cell r="FD258">
            <v>0.03</v>
          </cell>
          <cell r="FE258">
            <v>-2.9000000000000001E-2</v>
          </cell>
          <cell r="FF258">
            <v>-6.3E-2</v>
          </cell>
          <cell r="FG258">
            <v>-4.4999999999999998E-2</v>
          </cell>
          <cell r="FJ258">
            <v>-9.0999999999999998E-2</v>
          </cell>
          <cell r="FK258">
            <v>-0.107</v>
          </cell>
          <cell r="FL258">
            <v>-8.0000000000000002E-3</v>
          </cell>
          <cell r="FM258">
            <v>3.4000000000000002E-2</v>
          </cell>
          <cell r="FP258">
            <v>1.0999999999999999E-2</v>
          </cell>
          <cell r="FQ258">
            <v>7.2999999999999995E-2</v>
          </cell>
          <cell r="FR258">
            <v>2.5000000000000001E-2</v>
          </cell>
          <cell r="FS258">
            <v>2.5999999999999999E-2</v>
          </cell>
          <cell r="FV258">
            <v>0.108</v>
          </cell>
          <cell r="FW258">
            <v>0.05</v>
          </cell>
          <cell r="FX258">
            <v>2.1999999999999999E-2</v>
          </cell>
          <cell r="FY258">
            <v>2.4E-2</v>
          </cell>
          <cell r="GB258">
            <v>1.2E-2</v>
          </cell>
          <cell r="GC258">
            <v>4.1000000000000002E-2</v>
          </cell>
          <cell r="GD258">
            <v>7.4999999999999997E-2</v>
          </cell>
          <cell r="GE258">
            <v>7.0000000000000007E-2</v>
          </cell>
        </row>
        <row r="259">
          <cell r="A259" t="str">
            <v>Y/Y ∆ Gross Margin (bps)</v>
          </cell>
          <cell r="AF259">
            <v>50</v>
          </cell>
          <cell r="AN259" t="str">
            <v>Total</v>
          </cell>
          <cell r="EL259" t="str">
            <v>Total</v>
          </cell>
          <cell r="ER259">
            <v>0</v>
          </cell>
          <cell r="ES259">
            <v>4.5999999999999999E-2</v>
          </cell>
          <cell r="ET259">
            <v>5.8999999999999997E-2</v>
          </cell>
          <cell r="EU259">
            <v>6.0999999999999999E-2</v>
          </cell>
          <cell r="EV259">
            <v>4.3999999999999997E-2</v>
          </cell>
          <cell r="EX259">
            <v>6.0000000000000001E-3</v>
          </cell>
          <cell r="EY259">
            <v>-2.5999999999999999E-2</v>
          </cell>
          <cell r="EZ259">
            <v>-8.0000000000000002E-3</v>
          </cell>
          <cell r="FA259">
            <v>-0.02</v>
          </cell>
          <cell r="FB259">
            <v>-1.2999999999999999E-2</v>
          </cell>
          <cell r="FD259">
            <v>-2.5999999999999999E-2</v>
          </cell>
          <cell r="FE259">
            <v>-2.1000000000000001E-2</v>
          </cell>
          <cell r="FF259">
            <v>-0.06</v>
          </cell>
          <cell r="FG259">
            <v>-7.0000000000000007E-2</v>
          </cell>
          <cell r="FH259">
            <v>-4.4999999999999998E-2</v>
          </cell>
          <cell r="FJ259">
            <v>-0.09</v>
          </cell>
          <cell r="FK259">
            <v>-9.5000000000000001E-2</v>
          </cell>
          <cell r="FL259">
            <v>-3.5999999999999997E-2</v>
          </cell>
          <cell r="FM259">
            <v>-5.8512769677805648E-3</v>
          </cell>
          <cell r="FN259">
            <v>-5.0968425652024113E-2</v>
          </cell>
          <cell r="FP259">
            <v>5.5E-2</v>
          </cell>
          <cell r="FQ259">
            <v>4.9000000000000002E-2</v>
          </cell>
          <cell r="FR259">
            <v>3.9E-2</v>
          </cell>
          <cell r="FS259">
            <v>4.2999999999999997E-2</v>
          </cell>
          <cell r="FT259">
            <v>4.610434747830261E-2</v>
          </cell>
          <cell r="FV259">
            <v>5.3999999999999999E-2</v>
          </cell>
          <cell r="FW259">
            <v>6.4000000000000001E-2</v>
          </cell>
          <cell r="FX259">
            <v>0.04</v>
          </cell>
          <cell r="FY259">
            <v>5.1999999999999998E-2</v>
          </cell>
          <cell r="FZ259">
            <v>5.2999999999999999E-2</v>
          </cell>
          <cell r="GB259">
            <v>4.3999999999999997E-2</v>
          </cell>
          <cell r="GC259">
            <v>0.03</v>
          </cell>
          <cell r="GD259">
            <v>5.8238743460366213E-2</v>
          </cell>
          <cell r="GE259">
            <v>6.1871770985089329E-2</v>
          </cell>
          <cell r="GF259">
            <v>5.0171736300135057E-2</v>
          </cell>
        </row>
        <row r="260">
          <cell r="A260" t="str">
            <v>Y/Y ∆ SG&amp;A Ratio (bps)</v>
          </cell>
          <cell r="AF260">
            <v>-35</v>
          </cell>
        </row>
        <row r="261">
          <cell r="A261" t="str">
            <v>Bear Case Assumptions</v>
          </cell>
          <cell r="AN261" t="str">
            <v xml:space="preserve">Consolidated Productivity Factor </v>
          </cell>
          <cell r="EL261" t="str">
            <v xml:space="preserve">Consolidated Productivity Factor </v>
          </cell>
        </row>
        <row r="262">
          <cell r="A262" t="str">
            <v>Same Store</v>
          </cell>
          <cell r="AF262">
            <v>-2.5000000000000001E-2</v>
          </cell>
          <cell r="AN262" t="str">
            <v>Month 1</v>
          </cell>
          <cell r="EL262" t="str">
            <v>Month 1</v>
          </cell>
          <cell r="ER262">
            <v>0.85379589916801657</v>
          </cell>
          <cell r="ES262">
            <v>0.82852877251430668</v>
          </cell>
          <cell r="ET262">
            <v>0.83475030563790842</v>
          </cell>
          <cell r="EU262">
            <v>0.91480422703367681</v>
          </cell>
          <cell r="EX262">
            <v>1.0042251017232908</v>
          </cell>
          <cell r="EY262">
            <v>1.0108075527611304</v>
          </cell>
          <cell r="EZ262">
            <v>1.0032705612197608</v>
          </cell>
          <cell r="FA262">
            <v>0.99617129302855612</v>
          </cell>
          <cell r="FD262">
            <v>1.0047260256693704</v>
          </cell>
          <cell r="FE262">
            <v>1.0011731147187122</v>
          </cell>
          <cell r="FF262">
            <v>1.0015681684828099</v>
          </cell>
          <cell r="FG262">
            <v>0.9980273685296247</v>
          </cell>
          <cell r="FJ262">
            <v>1.0146680194879518</v>
          </cell>
          <cell r="FK262">
            <v>1.0229325701507319</v>
          </cell>
          <cell r="FL262">
            <v>1.0237530410429481</v>
          </cell>
          <cell r="FM262">
            <v>1.0168796021749338</v>
          </cell>
          <cell r="FP262">
            <v>1.0016060228776302</v>
          </cell>
          <cell r="FQ262">
            <v>0.98881215735067063</v>
          </cell>
          <cell r="FR262">
            <v>1.0007452413933455</v>
          </cell>
          <cell r="FS262">
            <v>1.0028115913956974</v>
          </cell>
          <cell r="FV262">
            <v>1.0005096291516782</v>
          </cell>
          <cell r="FW262">
            <v>1.0081721608307339</v>
          </cell>
          <cell r="FX262">
            <v>0.99435769750356207</v>
          </cell>
          <cell r="FY262">
            <v>1.0114048185081832</v>
          </cell>
          <cell r="GB262">
            <v>1.0253009585429893</v>
          </cell>
          <cell r="GC262">
            <v>1.0133052611979987</v>
          </cell>
          <cell r="GD262">
            <v>1.018088666893139</v>
          </cell>
          <cell r="GE262">
            <v>1</v>
          </cell>
        </row>
        <row r="263">
          <cell r="A263" t="str">
            <v>Y/Y ∆ Gross Margin (bps)</v>
          </cell>
          <cell r="AF263">
            <v>-40</v>
          </cell>
          <cell r="AN263" t="str">
            <v>Month 2</v>
          </cell>
          <cell r="EL263" t="str">
            <v>Month 2</v>
          </cell>
          <cell r="ER263">
            <v>0.87143545576033965</v>
          </cell>
          <cell r="ES263">
            <v>0.86259214604526391</v>
          </cell>
          <cell r="ET263">
            <v>0.95476655228407081</v>
          </cell>
          <cell r="EU263">
            <v>0.95390310394604827</v>
          </cell>
          <cell r="EX263">
            <v>0.99756383077735888</v>
          </cell>
          <cell r="EY263">
            <v>1.0076309712339664</v>
          </cell>
          <cell r="EZ263">
            <v>1.0058439901456568</v>
          </cell>
          <cell r="FA263">
            <v>1.0104925603418453</v>
          </cell>
          <cell r="FD263">
            <v>1.0038919718017412</v>
          </cell>
          <cell r="FE263">
            <v>1.0002262623646179</v>
          </cell>
          <cell r="FF263">
            <v>1.0022779610885877</v>
          </cell>
          <cell r="FG263">
            <v>0.98797059201406712</v>
          </cell>
          <cell r="FJ263">
            <v>1.0172356632303496</v>
          </cell>
          <cell r="FK263">
            <v>1.0266388149144143</v>
          </cell>
          <cell r="FL263">
            <v>1.0185440088098592</v>
          </cell>
          <cell r="FM263">
            <v>1.0150644106268683</v>
          </cell>
          <cell r="FP263">
            <v>0.9967530496300272</v>
          </cell>
          <cell r="FQ263">
            <v>0.99989171377441255</v>
          </cell>
          <cell r="FR263">
            <v>1.0028971230689774</v>
          </cell>
          <cell r="FS263">
            <v>0.9946391314592461</v>
          </cell>
          <cell r="FV263">
            <v>1.0074992903911262</v>
          </cell>
          <cell r="FW263">
            <v>1.0057878604073234</v>
          </cell>
          <cell r="FX263">
            <v>1.0057401642886414</v>
          </cell>
          <cell r="FY263">
            <v>1.0118477756232767</v>
          </cell>
          <cell r="GB263">
            <v>1.0102541230632647</v>
          </cell>
          <cell r="GC263">
            <v>1.011143062170935</v>
          </cell>
          <cell r="GD263">
            <v>1</v>
          </cell>
          <cell r="GE263">
            <v>1</v>
          </cell>
        </row>
        <row r="264">
          <cell r="A264" t="str">
            <v>Y/Y ∆ SG&amp;A Ratio (bps)</v>
          </cell>
          <cell r="AF264">
            <v>35</v>
          </cell>
          <cell r="AN264" t="str">
            <v>Month 3</v>
          </cell>
          <cell r="EL264" t="str">
            <v>Month 3</v>
          </cell>
          <cell r="ER264">
            <v>0.85509041472763314</v>
          </cell>
          <cell r="ES264">
            <v>0.83302342705472399</v>
          </cell>
          <cell r="ET264">
            <v>0.9300581404093593</v>
          </cell>
          <cell r="EU264">
            <v>0.88885616548937241</v>
          </cell>
          <cell r="EX264">
            <v>1.0012993536198342</v>
          </cell>
          <cell r="EY264">
            <v>1.0067406823426219</v>
          </cell>
          <cell r="EZ264">
            <v>1.0010354929971583</v>
          </cell>
          <cell r="FA264">
            <v>0.77697496531497701</v>
          </cell>
          <cell r="FD264">
            <v>0.99998610863561077</v>
          </cell>
          <cell r="FE264">
            <v>1.0000776716315167</v>
          </cell>
          <cell r="FF264">
            <v>1.0026881239876493</v>
          </cell>
          <cell r="FG264">
            <v>1.0034001517037674</v>
          </cell>
          <cell r="FJ264">
            <v>1.017274065207098</v>
          </cell>
          <cell r="FK264">
            <v>1.0307481774152398</v>
          </cell>
          <cell r="FL264">
            <v>1.0154616377110075</v>
          </cell>
          <cell r="FM264">
            <v>1.009307170702717</v>
          </cell>
          <cell r="FP264">
            <v>1.0005893323256754</v>
          </cell>
          <cell r="FQ264">
            <v>1.0111137394005785</v>
          </cell>
          <cell r="FR264">
            <v>1.0254628236300125</v>
          </cell>
          <cell r="FS264">
            <v>1.00775043725629</v>
          </cell>
          <cell r="FV264">
            <v>0.99618702023241001</v>
          </cell>
          <cell r="FW264">
            <v>1.0047825549823146</v>
          </cell>
          <cell r="FX264">
            <v>1.0004489851343907</v>
          </cell>
          <cell r="FY264">
            <v>1.008520012530175</v>
          </cell>
          <cell r="GB264">
            <v>1.0062765433093959</v>
          </cell>
          <cell r="GC264">
            <v>1.0227639737625074</v>
          </cell>
          <cell r="GD264">
            <v>1</v>
          </cell>
          <cell r="GE264">
            <v>1</v>
          </cell>
        </row>
        <row r="265">
          <cell r="AN265" t="str">
            <v>Total</v>
          </cell>
          <cell r="EL265" t="str">
            <v>Total</v>
          </cell>
        </row>
        <row r="267">
          <cell r="AN267" t="str">
            <v>Cost of Goods Sold</v>
          </cell>
          <cell r="EL267" t="str">
            <v>Cost of Goods Sold</v>
          </cell>
          <cell r="ER267">
            <v>3627</v>
          </cell>
          <cell r="ES267">
            <v>3470</v>
          </cell>
          <cell r="ET267">
            <v>3513</v>
          </cell>
          <cell r="EU267">
            <v>5409</v>
          </cell>
          <cell r="EV267">
            <v>16019</v>
          </cell>
          <cell r="EX267">
            <v>3564</v>
          </cell>
          <cell r="EY267">
            <v>3507</v>
          </cell>
          <cell r="EZ267">
            <v>3585</v>
          </cell>
          <cell r="FA267">
            <v>5021</v>
          </cell>
          <cell r="FB267">
            <v>15677</v>
          </cell>
          <cell r="FD267">
            <v>3527</v>
          </cell>
          <cell r="FE267">
            <v>3346</v>
          </cell>
          <cell r="FF267">
            <v>3324</v>
          </cell>
          <cell r="FG267">
            <v>4812</v>
          </cell>
          <cell r="FH267">
            <v>15009</v>
          </cell>
          <cell r="FJ267">
            <v>3279</v>
          </cell>
          <cell r="FK267">
            <v>3117</v>
          </cell>
          <cell r="FL267">
            <v>3241</v>
          </cell>
          <cell r="FM267">
            <v>4650</v>
          </cell>
          <cell r="FN267">
            <v>14287</v>
          </cell>
          <cell r="FP267">
            <v>3378</v>
          </cell>
          <cell r="FQ267">
            <v>3214</v>
          </cell>
          <cell r="FR267">
            <v>3377</v>
          </cell>
          <cell r="FS267">
            <v>4855</v>
          </cell>
          <cell r="FT267">
            <v>14824</v>
          </cell>
          <cell r="FV267">
            <v>3586</v>
          </cell>
          <cell r="FW267">
            <v>3457</v>
          </cell>
          <cell r="FX267">
            <v>3544</v>
          </cell>
          <cell r="FY267">
            <v>5151</v>
          </cell>
          <cell r="FZ267">
            <v>15738</v>
          </cell>
          <cell r="GB267">
            <v>3757</v>
          </cell>
          <cell r="GC267">
            <v>3555</v>
          </cell>
          <cell r="GD267">
            <v>3693.9711570041623</v>
          </cell>
          <cell r="GE267">
            <v>5567.0878306241739</v>
          </cell>
          <cell r="GF267">
            <v>16573.058987628334</v>
          </cell>
        </row>
        <row r="268">
          <cell r="AN268" t="str">
            <v>CGS, OCC, Buying Costs %</v>
          </cell>
          <cell r="EL268" t="str">
            <v>CGS, OCC, Buying Costs %</v>
          </cell>
          <cell r="ER268">
            <v>0.61163575042158513</v>
          </cell>
          <cell r="ES268">
            <v>0.57881567973311088</v>
          </cell>
          <cell r="ET268">
            <v>0.59683995922528033</v>
          </cell>
          <cell r="EU268">
            <v>0.59056665574844414</v>
          </cell>
          <cell r="EV268">
            <v>0.59395624768261035</v>
          </cell>
          <cell r="EX268">
            <v>0.60192535044755957</v>
          </cell>
          <cell r="EY268">
            <v>0.59521384928716903</v>
          </cell>
          <cell r="EZ268">
            <v>0.60700982052150354</v>
          </cell>
          <cell r="FA268">
            <v>0.58424482196881544</v>
          </cell>
          <cell r="FB268">
            <v>0.59578915365028695</v>
          </cell>
          <cell r="FD268">
            <v>0.61371150165303634</v>
          </cell>
          <cell r="FE268">
            <v>0.5851696397341728</v>
          </cell>
          <cell r="FF268">
            <v>0.60513380666302563</v>
          </cell>
          <cell r="FG268">
            <v>0.60650365515502902</v>
          </cell>
          <cell r="FH268">
            <v>0.60296480797043228</v>
          </cell>
          <cell r="FJ268">
            <v>0.62008320726172461</v>
          </cell>
          <cell r="FK268">
            <v>0.58978240302743612</v>
          </cell>
          <cell r="FL268">
            <v>0.6018570102135562</v>
          </cell>
          <cell r="FM268">
            <v>0.58520010067958717</v>
          </cell>
          <cell r="FN268">
            <v>0.59768239625167341</v>
          </cell>
          <cell r="FP268">
            <v>0.60602798708288486</v>
          </cell>
          <cell r="FQ268">
            <v>0.58045873216543253</v>
          </cell>
          <cell r="FR268">
            <v>0.60056909123243818</v>
          </cell>
          <cell r="FS268">
            <v>0.58713266416737209</v>
          </cell>
          <cell r="FT268">
            <v>0.59288885333759944</v>
          </cell>
          <cell r="FV268">
            <v>0.60893190694515198</v>
          </cell>
          <cell r="FW268">
            <v>0.58208452601448057</v>
          </cell>
          <cell r="FX268">
            <v>0.60550145224671104</v>
          </cell>
          <cell r="FY268">
            <v>0.59044016506189823</v>
          </cell>
          <cell r="FZ268">
            <v>0.59602348040143915</v>
          </cell>
          <cell r="GB268">
            <v>0.61159042812957842</v>
          </cell>
          <cell r="GC268">
            <v>0.58107224583197126</v>
          </cell>
          <cell r="GD268">
            <v>0.60050145224671103</v>
          </cell>
          <cell r="GE268">
            <v>0.58312736950345423</v>
          </cell>
          <cell r="GF268">
            <v>0.59275387568136595</v>
          </cell>
        </row>
        <row r="269">
          <cell r="AN269" t="str">
            <v>BPS Change</v>
          </cell>
          <cell r="EL269" t="str">
            <v>BPS Change</v>
          </cell>
          <cell r="ER269">
            <v>139.97738886292632</v>
          </cell>
          <cell r="ES269">
            <v>-79.90834205613973</v>
          </cell>
          <cell r="ET269">
            <v>6.2033726308408088</v>
          </cell>
          <cell r="EU269">
            <v>-5.9414249625333593</v>
          </cell>
          <cell r="EV269">
            <v>11.916206169559906</v>
          </cell>
          <cell r="EX269">
            <v>-97.103999740255631</v>
          </cell>
          <cell r="EY269">
            <v>163.98169554058151</v>
          </cell>
          <cell r="EZ269">
            <v>101.69861296223215</v>
          </cell>
          <cell r="FA269">
            <v>-63.218337796286939</v>
          </cell>
          <cell r="FB269">
            <v>18.329059676766015</v>
          </cell>
          <cell r="FD269">
            <v>117.86151205476769</v>
          </cell>
          <cell r="FE269">
            <v>-100.4420955299623</v>
          </cell>
          <cell r="FF269">
            <v>-18.760138584779096</v>
          </cell>
          <cell r="FG269">
            <v>222.58833186213579</v>
          </cell>
          <cell r="FH269">
            <v>71.756543201453297</v>
          </cell>
          <cell r="FJ269">
            <v>63.717056086882721</v>
          </cell>
          <cell r="FK269">
            <v>46.127632932633219</v>
          </cell>
          <cell r="FL269">
            <v>-32.767964494694326</v>
          </cell>
          <cell r="FM269">
            <v>-213.03554475441854</v>
          </cell>
          <cell r="FN269">
            <v>-52.824117187588726</v>
          </cell>
          <cell r="FP269">
            <v>-140.55220178839755</v>
          </cell>
          <cell r="FQ269">
            <v>-93.236708620035856</v>
          </cell>
          <cell r="FR269">
            <v>-12.879189811180192</v>
          </cell>
          <cell r="FS269">
            <v>19.325634877849218</v>
          </cell>
          <cell r="FT269">
            <v>-47.935429140739672</v>
          </cell>
          <cell r="FV269">
            <v>29.039198622671236</v>
          </cell>
          <cell r="FW269">
            <v>16.257938490480406</v>
          </cell>
          <cell r="FX269">
            <v>49.323610142728569</v>
          </cell>
          <cell r="FY269">
            <v>33.075008945261388</v>
          </cell>
          <cell r="FZ269">
            <v>31.346270638397122</v>
          </cell>
          <cell r="GB269">
            <v>26.585211844264435</v>
          </cell>
          <cell r="GC269">
            <v>-10.122801825093175</v>
          </cell>
          <cell r="GD269">
            <v>-50.000000000000043</v>
          </cell>
          <cell r="GE269">
            <v>-73.12795558443996</v>
          </cell>
          <cell r="GF269">
            <v>-32.696047200732046</v>
          </cell>
        </row>
        <row r="271">
          <cell r="AN271" t="str">
            <v>Gross Income</v>
          </cell>
          <cell r="EL271" t="str">
            <v>Gross Income</v>
          </cell>
          <cell r="ER271">
            <v>2303</v>
          </cell>
          <cell r="ES271">
            <v>2525</v>
          </cell>
          <cell r="ET271">
            <v>2373</v>
          </cell>
          <cell r="EU271">
            <v>3750</v>
          </cell>
          <cell r="EV271">
            <v>10951</v>
          </cell>
          <cell r="EX271">
            <v>2357</v>
          </cell>
          <cell r="EY271">
            <v>2385</v>
          </cell>
          <cell r="EZ271">
            <v>2321</v>
          </cell>
          <cell r="FA271">
            <v>3573</v>
          </cell>
          <cell r="FB271">
            <v>10636</v>
          </cell>
          <cell r="FD271">
            <v>2220</v>
          </cell>
          <cell r="FE271">
            <v>2372</v>
          </cell>
          <cell r="FF271">
            <v>2169</v>
          </cell>
          <cell r="FG271">
            <v>3122</v>
          </cell>
          <cell r="FH271">
            <v>9883</v>
          </cell>
          <cell r="FJ271">
            <v>2009</v>
          </cell>
          <cell r="FK271">
            <v>2168</v>
          </cell>
          <cell r="FL271">
            <v>2144</v>
          </cell>
          <cell r="FM271">
            <v>3296</v>
          </cell>
          <cell r="FN271">
            <v>9617</v>
          </cell>
          <cell r="FP271">
            <v>2196</v>
          </cell>
          <cell r="FQ271">
            <v>2323</v>
          </cell>
          <cell r="FR271">
            <v>2246</v>
          </cell>
          <cell r="FS271">
            <v>3414</v>
          </cell>
          <cell r="FT271">
            <v>10179</v>
          </cell>
          <cell r="FV271">
            <v>2303</v>
          </cell>
          <cell r="FW271">
            <v>2482</v>
          </cell>
          <cell r="FX271">
            <v>2309</v>
          </cell>
          <cell r="FY271">
            <v>3573</v>
          </cell>
          <cell r="FZ271">
            <v>10667</v>
          </cell>
          <cell r="GB271">
            <v>2386</v>
          </cell>
          <cell r="GC271">
            <v>2563</v>
          </cell>
          <cell r="GD271">
            <v>2457.506317668996</v>
          </cell>
          <cell r="GE271">
            <v>3979.8621528154158</v>
          </cell>
          <cell r="GF271">
            <v>11386.368470484413</v>
          </cell>
        </row>
        <row r="272">
          <cell r="AN272" t="str">
            <v>Gross Margin</v>
          </cell>
          <cell r="EL272" t="str">
            <v>Gross Margin</v>
          </cell>
          <cell r="ER272">
            <v>0.38836424957841487</v>
          </cell>
          <cell r="ES272">
            <v>0.42118432026688907</v>
          </cell>
          <cell r="ET272">
            <v>0.40316004077471967</v>
          </cell>
          <cell r="EU272">
            <v>0.40943334425155586</v>
          </cell>
          <cell r="EV272">
            <v>0.40604375231738971</v>
          </cell>
          <cell r="EX272">
            <v>0.39807464955244048</v>
          </cell>
          <cell r="EY272">
            <v>0.40478615071283097</v>
          </cell>
          <cell r="EZ272">
            <v>0.39299017947849646</v>
          </cell>
          <cell r="FA272">
            <v>0.41575517803118456</v>
          </cell>
          <cell r="FB272">
            <v>0.40421084634971305</v>
          </cell>
          <cell r="FD272">
            <v>0.38628849834696366</v>
          </cell>
          <cell r="FE272">
            <v>0.4148303602658272</v>
          </cell>
          <cell r="FF272">
            <v>0.39486619333697431</v>
          </cell>
          <cell r="FG272">
            <v>0.39349634484497104</v>
          </cell>
          <cell r="FH272">
            <v>0.39703519202956772</v>
          </cell>
          <cell r="FJ272">
            <v>0.37991679273827533</v>
          </cell>
          <cell r="FK272">
            <v>0.41021759697256388</v>
          </cell>
          <cell r="FL272">
            <v>0.3981429897864438</v>
          </cell>
          <cell r="FM272">
            <v>0.41479989932041278</v>
          </cell>
          <cell r="FN272">
            <v>0.40231760374832665</v>
          </cell>
          <cell r="FP272">
            <v>0.3939720129171152</v>
          </cell>
          <cell r="FQ272">
            <v>0.41954126783456747</v>
          </cell>
          <cell r="FR272">
            <v>0.39943090876756182</v>
          </cell>
          <cell r="FS272">
            <v>0.41286733583262791</v>
          </cell>
          <cell r="FT272">
            <v>0.4071111466624005</v>
          </cell>
          <cell r="FV272">
            <v>0.39106809305484802</v>
          </cell>
          <cell r="FW272">
            <v>0.41791547398551943</v>
          </cell>
          <cell r="FX272">
            <v>0.39449854775328891</v>
          </cell>
          <cell r="FY272">
            <v>0.40955983493810177</v>
          </cell>
          <cell r="FZ272">
            <v>0.4039765195985609</v>
          </cell>
          <cell r="GB272">
            <v>0.38840957187042163</v>
          </cell>
          <cell r="GC272">
            <v>0.41892775416802874</v>
          </cell>
          <cell r="GD272">
            <v>0.39949854775328891</v>
          </cell>
          <cell r="GE272">
            <v>0.41687263049654577</v>
          </cell>
          <cell r="GF272">
            <v>0.407246124318634</v>
          </cell>
        </row>
        <row r="273">
          <cell r="AN273" t="str">
            <v>BPS Change</v>
          </cell>
          <cell r="EL273" t="str">
            <v>BPS Change</v>
          </cell>
          <cell r="ER273">
            <v>-139.97738886292632</v>
          </cell>
          <cell r="ES273">
            <v>79.908342056138622</v>
          </cell>
          <cell r="ET273">
            <v>-6.2033726308408088</v>
          </cell>
          <cell r="EU273">
            <v>5.9414249625339144</v>
          </cell>
          <cell r="EV273">
            <v>-11.916206169559906</v>
          </cell>
          <cell r="EX273">
            <v>97.103999740256185</v>
          </cell>
          <cell r="EY273">
            <v>-163.98169554058094</v>
          </cell>
          <cell r="EZ273">
            <v>-101.69861296223215</v>
          </cell>
          <cell r="FA273">
            <v>63.218337796286939</v>
          </cell>
          <cell r="FB273">
            <v>-18.329059676766569</v>
          </cell>
          <cell r="FD273">
            <v>-117.86151205476824</v>
          </cell>
          <cell r="FE273">
            <v>100.4420955299623</v>
          </cell>
          <cell r="FF273">
            <v>18.760138584778542</v>
          </cell>
          <cell r="FG273">
            <v>-222.58833186213522</v>
          </cell>
          <cell r="FH273">
            <v>-71.756543201453297</v>
          </cell>
          <cell r="FJ273">
            <v>-63.717056086883275</v>
          </cell>
          <cell r="FK273">
            <v>-46.127632932633219</v>
          </cell>
          <cell r="FL273">
            <v>32.76796449469488</v>
          </cell>
          <cell r="FM273">
            <v>213.03554475441743</v>
          </cell>
          <cell r="FN273">
            <v>52.82411718758928</v>
          </cell>
          <cell r="FP273">
            <v>140.55220178839866</v>
          </cell>
          <cell r="FQ273">
            <v>93.236708620035856</v>
          </cell>
          <cell r="FR273">
            <v>12.879189811180192</v>
          </cell>
          <cell r="FS273">
            <v>-19.325634877848664</v>
          </cell>
          <cell r="FT273">
            <v>47.935429140738563</v>
          </cell>
          <cell r="FV273">
            <v>-29.03919862267179</v>
          </cell>
          <cell r="FW273">
            <v>-16.257938490480406</v>
          </cell>
          <cell r="FX273">
            <v>-49.323610142729123</v>
          </cell>
          <cell r="FY273">
            <v>-33.075008945261388</v>
          </cell>
          <cell r="FZ273">
            <v>-31.346270638396014</v>
          </cell>
          <cell r="GB273">
            <v>-26.585211844263878</v>
          </cell>
          <cell r="GC273">
            <v>10.122801825093175</v>
          </cell>
          <cell r="GD273">
            <v>50</v>
          </cell>
          <cell r="GE273">
            <v>73.127955584439931</v>
          </cell>
          <cell r="GF273">
            <v>32.696047200730938</v>
          </cell>
        </row>
        <row r="275">
          <cell r="AN275" t="str">
            <v>SG&amp;A</v>
          </cell>
          <cell r="EL275" t="str">
            <v>SG&amp;A</v>
          </cell>
          <cell r="ER275">
            <v>2154</v>
          </cell>
          <cell r="ES275">
            <v>2117</v>
          </cell>
          <cell r="ET275">
            <v>2094</v>
          </cell>
          <cell r="EU275">
            <v>2313</v>
          </cell>
          <cell r="EV275">
            <v>8678</v>
          </cell>
          <cell r="EX275">
            <v>2113</v>
          </cell>
          <cell r="EY275">
            <v>2038</v>
          </cell>
          <cell r="EZ275">
            <v>2121</v>
          </cell>
          <cell r="FA275">
            <v>2282</v>
          </cell>
          <cell r="FB275">
            <v>8554</v>
          </cell>
          <cell r="FD275">
            <v>2080</v>
          </cell>
          <cell r="FE275">
            <v>2037</v>
          </cell>
          <cell r="FF275">
            <v>2085</v>
          </cell>
          <cell r="FG275">
            <v>2256</v>
          </cell>
          <cell r="FH275">
            <v>8458</v>
          </cell>
          <cell r="FJ275">
            <v>1985</v>
          </cell>
          <cell r="FK275">
            <v>1886</v>
          </cell>
          <cell r="FL275">
            <v>2056</v>
          </cell>
          <cell r="FM275">
            <v>2236</v>
          </cell>
          <cell r="FN275">
            <v>8163</v>
          </cell>
          <cell r="FP275">
            <v>1993</v>
          </cell>
          <cell r="FQ275">
            <v>1953</v>
          </cell>
          <cell r="FR275">
            <v>2069</v>
          </cell>
          <cell r="FS275">
            <v>2245</v>
          </cell>
          <cell r="FT275">
            <v>8260</v>
          </cell>
          <cell r="FV275">
            <v>1973</v>
          </cell>
          <cell r="FW275">
            <v>1976</v>
          </cell>
          <cell r="FX275">
            <v>2018</v>
          </cell>
          <cell r="FY275">
            <v>2314</v>
          </cell>
          <cell r="FZ275">
            <v>8281</v>
          </cell>
          <cell r="GB275">
            <v>1995</v>
          </cell>
          <cell r="GC275">
            <v>2009</v>
          </cell>
          <cell r="GD275">
            <v>2135.8432994799609</v>
          </cell>
          <cell r="GE275">
            <v>2451.0799464756819</v>
          </cell>
          <cell r="GF275">
            <v>8590.9232459556424</v>
          </cell>
        </row>
        <row r="276">
          <cell r="AN276" t="str">
            <v>SG&amp;A Ratio</v>
          </cell>
          <cell r="EL276" t="str">
            <v>SG&amp;A Ratio</v>
          </cell>
          <cell r="ER276">
            <v>0.36323777403035412</v>
          </cell>
          <cell r="ES276">
            <v>0.35312760633861551</v>
          </cell>
          <cell r="ET276">
            <v>0.35575942915392456</v>
          </cell>
          <cell r="EU276">
            <v>0.25253848673435964</v>
          </cell>
          <cell r="EV276">
            <v>0.32176492398961809</v>
          </cell>
          <cell r="EX276">
            <v>0.35686539435906095</v>
          </cell>
          <cell r="EY276">
            <v>0.34589273591310249</v>
          </cell>
          <cell r="EZ276">
            <v>0.35912631222485608</v>
          </cell>
          <cell r="FA276">
            <v>0.2655340935536421</v>
          </cell>
          <cell r="FB276">
            <v>0.32508645916467144</v>
          </cell>
          <cell r="FD276">
            <v>0.36192796241517311</v>
          </cell>
          <cell r="FE276">
            <v>0.35624344176285416</v>
          </cell>
          <cell r="FF276">
            <v>0.37957400327689789</v>
          </cell>
          <cell r="FG276">
            <v>0.28434585328963952</v>
          </cell>
          <cell r="FH276">
            <v>0.33978788365739998</v>
          </cell>
          <cell r="FJ276">
            <v>0.37537821482602118</v>
          </cell>
          <cell r="FK276">
            <v>0.35685903500473037</v>
          </cell>
          <cell r="FL276">
            <v>0.38180129990714951</v>
          </cell>
          <cell r="FM276">
            <v>0.28139944626227031</v>
          </cell>
          <cell r="FN276">
            <v>0.34149096385542171</v>
          </cell>
          <cell r="FP276">
            <v>0.35755292429135271</v>
          </cell>
          <cell r="FQ276">
            <v>0.3527180783817952</v>
          </cell>
          <cell r="FR276">
            <v>0.36795304997332384</v>
          </cell>
          <cell r="FS276">
            <v>0.27149594872415045</v>
          </cell>
          <cell r="FT276">
            <v>0.33036035675718911</v>
          </cell>
          <cell r="FV276">
            <v>0.33503141450161317</v>
          </cell>
          <cell r="FW276">
            <v>0.33271594544536115</v>
          </cell>
          <cell r="FX276">
            <v>0.34478045446779432</v>
          </cell>
          <cell r="FY276">
            <v>0.26524530032095367</v>
          </cell>
          <cell r="FZ276">
            <v>0.31361484567316794</v>
          </cell>
          <cell r="GB276">
            <v>0.32475988930489991</v>
          </cell>
          <cell r="GC276">
            <v>0.32837528604118993</v>
          </cell>
          <cell r="GD276">
            <v>0.34720818019307514</v>
          </cell>
          <cell r="GE276">
            <v>0.25673958182743123</v>
          </cell>
          <cell r="GF276">
            <v>0.30726391872029868</v>
          </cell>
        </row>
        <row r="277">
          <cell r="AN277" t="str">
            <v>BPS Change</v>
          </cell>
          <cell r="EL277" t="str">
            <v>BPS Change</v>
          </cell>
          <cell r="ER277">
            <v>300.87540578005888</v>
          </cell>
          <cell r="ES277">
            <v>202.54296926526084</v>
          </cell>
          <cell r="ET277">
            <v>5.8391160216936244</v>
          </cell>
          <cell r="EU277">
            <v>-178.61680437304796</v>
          </cell>
          <cell r="EV277">
            <v>100.18608670279094</v>
          </cell>
          <cell r="EX277">
            <v>-63.723796712931716</v>
          </cell>
          <cell r="EY277">
            <v>-72.348704255130187</v>
          </cell>
          <cell r="EZ277">
            <v>33.668830709315259</v>
          </cell>
          <cell r="FA277">
            <v>129.95606819282469</v>
          </cell>
          <cell r="FB277">
            <v>33.215351750533472</v>
          </cell>
          <cell r="FD277">
            <v>50.625680561121598</v>
          </cell>
          <cell r="FE277">
            <v>103.50705849751674</v>
          </cell>
          <cell r="FF277">
            <v>204.47691052041804</v>
          </cell>
          <cell r="FG277">
            <v>188.11759735997413</v>
          </cell>
          <cell r="FH277">
            <v>147.01424492728543</v>
          </cell>
          <cell r="FJ277">
            <v>134.50252410848074</v>
          </cell>
          <cell r="FK277">
            <v>6.1559324187621112</v>
          </cell>
          <cell r="FL277">
            <v>22.272966302516185</v>
          </cell>
          <cell r="FM277">
            <v>-29.464070273692023</v>
          </cell>
          <cell r="FN277">
            <v>17.030801980217337</v>
          </cell>
          <cell r="FP277">
            <v>-178.25290534668468</v>
          </cell>
          <cell r="FQ277">
            <v>-41.409566229351768</v>
          </cell>
          <cell r="FR277">
            <v>-138.48249933825662</v>
          </cell>
          <cell r="FS277">
            <v>-99.034975381198649</v>
          </cell>
          <cell r="FT277">
            <v>-111.30607098232603</v>
          </cell>
          <cell r="FV277">
            <v>-225.21509789739548</v>
          </cell>
          <cell r="FW277">
            <v>-200.02132936434046</v>
          </cell>
          <cell r="FX277">
            <v>-231.72595505529526</v>
          </cell>
          <cell r="FY277">
            <v>-62.506484031967787</v>
          </cell>
          <cell r="FZ277">
            <v>-167.45511084021169</v>
          </cell>
          <cell r="GB277">
            <v>-102.7152519671326</v>
          </cell>
          <cell r="GC277">
            <v>-43.406594041712211</v>
          </cell>
          <cell r="GD277">
            <v>24.277257252808404</v>
          </cell>
          <cell r="GE277">
            <v>-85.057184935224271</v>
          </cell>
          <cell r="GF277">
            <v>-63.509269528692627</v>
          </cell>
        </row>
        <row r="279">
          <cell r="AN279" t="str">
            <v>Operating Income</v>
          </cell>
          <cell r="EL279" t="str">
            <v>Operating Income</v>
          </cell>
          <cell r="ER279">
            <v>149</v>
          </cell>
          <cell r="ES279">
            <v>408</v>
          </cell>
          <cell r="ET279">
            <v>279</v>
          </cell>
          <cell r="EU279">
            <v>1437</v>
          </cell>
          <cell r="EV279">
            <v>2273</v>
          </cell>
          <cell r="EX279">
            <v>244</v>
          </cell>
          <cell r="EY279">
            <v>347</v>
          </cell>
          <cell r="EZ279">
            <v>200</v>
          </cell>
          <cell r="FA279">
            <v>1291</v>
          </cell>
          <cell r="FB279">
            <v>2082</v>
          </cell>
          <cell r="FD279">
            <v>140</v>
          </cell>
          <cell r="FE279">
            <v>335</v>
          </cell>
          <cell r="FF279">
            <v>84</v>
          </cell>
          <cell r="FG279">
            <v>866</v>
          </cell>
          <cell r="FH279">
            <v>1425</v>
          </cell>
          <cell r="FJ279">
            <v>24</v>
          </cell>
          <cell r="FK279">
            <v>282</v>
          </cell>
          <cell r="FL279">
            <v>88</v>
          </cell>
          <cell r="FM279">
            <v>1060</v>
          </cell>
          <cell r="FN279">
            <v>1454</v>
          </cell>
          <cell r="FP279">
            <v>203</v>
          </cell>
          <cell r="FQ279">
            <v>370</v>
          </cell>
          <cell r="FR279">
            <v>177</v>
          </cell>
          <cell r="FS279">
            <v>1169</v>
          </cell>
          <cell r="FT279">
            <v>1919</v>
          </cell>
          <cell r="FV279">
            <v>330</v>
          </cell>
          <cell r="FW279">
            <v>506</v>
          </cell>
          <cell r="FX279">
            <v>291</v>
          </cell>
          <cell r="FY279">
            <v>1259</v>
          </cell>
          <cell r="FZ279">
            <v>2386</v>
          </cell>
          <cell r="GB279">
            <v>391</v>
          </cell>
          <cell r="GC279">
            <v>554</v>
          </cell>
          <cell r="GD279">
            <v>321.66301818903503</v>
          </cell>
          <cell r="GE279">
            <v>1528.7822063397339</v>
          </cell>
          <cell r="GF279">
            <v>2795.4452245287689</v>
          </cell>
        </row>
        <row r="280">
          <cell r="AN280" t="str">
            <v>Operating Margin</v>
          </cell>
          <cell r="EL280" t="str">
            <v>Operating Margin</v>
          </cell>
          <cell r="ER280">
            <v>2.5126475548060707E-2</v>
          </cell>
          <cell r="ES280">
            <v>6.805671392827356E-2</v>
          </cell>
          <cell r="ET280">
            <v>4.7400611620795105E-2</v>
          </cell>
          <cell r="EU280">
            <v>0.1568948575171962</v>
          </cell>
          <cell r="EV280">
            <v>8.4278828327771602E-2</v>
          </cell>
          <cell r="EX280">
            <v>4.12092551933795E-2</v>
          </cell>
          <cell r="EY280">
            <v>5.8893414799728448E-2</v>
          </cell>
          <cell r="EZ280">
            <v>3.3863867253640365E-2</v>
          </cell>
          <cell r="FA280">
            <v>0.15022108447754248</v>
          </cell>
          <cell r="FB280">
            <v>7.9124387185041611E-2</v>
          </cell>
          <cell r="FD280">
            <v>2.4360535931790498E-2</v>
          </cell>
          <cell r="FE280">
            <v>5.8586918502973068E-2</v>
          </cell>
          <cell r="FF280">
            <v>1.5292190060076462E-2</v>
          </cell>
          <cell r="FG280">
            <v>0.10915049155533149</v>
          </cell>
          <cell r="FH280">
            <v>5.7247308372167766E-2</v>
          </cell>
          <cell r="FJ280">
            <v>4.5385779122541605E-3</v>
          </cell>
          <cell r="FK280">
            <v>5.3358561967833493E-2</v>
          </cell>
          <cell r="FL280">
            <v>1.6341689879294335E-2</v>
          </cell>
          <cell r="FM280">
            <v>0.13340045305814247</v>
          </cell>
          <cell r="FN280">
            <v>6.0826639892904953E-2</v>
          </cell>
          <cell r="FP280">
            <v>3.6419088625762472E-2</v>
          </cell>
          <cell r="FQ280">
            <v>6.6823189452772255E-2</v>
          </cell>
          <cell r="FR280">
            <v>3.1477858794237951E-2</v>
          </cell>
          <cell r="FS280">
            <v>0.14137138710847744</v>
          </cell>
          <cell r="FT280">
            <v>7.6750789905211378E-2</v>
          </cell>
          <cell r="FV280">
            <v>5.6036678553234846E-2</v>
          </cell>
          <cell r="FW280">
            <v>8.5199528540158276E-2</v>
          </cell>
          <cell r="FX280">
            <v>4.9718093285494619E-2</v>
          </cell>
          <cell r="FY280">
            <v>0.1443145346171481</v>
          </cell>
          <cell r="FZ280">
            <v>9.0361673925392919E-2</v>
          </cell>
          <cell r="GB280">
            <v>6.3649682565521726E-2</v>
          </cell>
          <cell r="GC280">
            <v>9.0552468126838842E-2</v>
          </cell>
          <cell r="GD280">
            <v>5.2290367560213769E-2</v>
          </cell>
          <cell r="GE280">
            <v>0.16013304866911451</v>
          </cell>
          <cell r="GF280">
            <v>9.9982205598335261E-2</v>
          </cell>
        </row>
        <row r="281">
          <cell r="AN281" t="str">
            <v>BPS Change</v>
          </cell>
          <cell r="EL281" t="str">
            <v>BPS Change</v>
          </cell>
        </row>
        <row r="283">
          <cell r="AN283" t="str">
            <v>Bear Case Assumptions</v>
          </cell>
          <cell r="EL283" t="str">
            <v>Bear Case Assumptions</v>
          </cell>
        </row>
        <row r="284">
          <cell r="AN284" t="str">
            <v>Consolidated Stores Monthly Sales ($)</v>
          </cell>
          <cell r="EL284" t="str">
            <v>Consolidated Stores Monthly Sales ($)</v>
          </cell>
          <cell r="EU284">
            <v>356</v>
          </cell>
        </row>
        <row r="285">
          <cell r="AN285" t="str">
            <v>Month 1</v>
          </cell>
          <cell r="EL285" t="str">
            <v>Month 1</v>
          </cell>
          <cell r="ER285">
            <v>1800</v>
          </cell>
          <cell r="ES285">
            <v>2026</v>
          </cell>
          <cell r="ET285">
            <v>1727</v>
          </cell>
          <cell r="EU285">
            <v>2385</v>
          </cell>
          <cell r="EX285">
            <v>1802</v>
          </cell>
          <cell r="EY285">
            <v>1976</v>
          </cell>
          <cell r="EZ285">
            <v>1788</v>
          </cell>
          <cell r="FA285">
            <v>2707</v>
          </cell>
          <cell r="FD285">
            <v>1737</v>
          </cell>
          <cell r="FE285">
            <v>1926</v>
          </cell>
          <cell r="FF285">
            <v>1686</v>
          </cell>
          <cell r="FG285">
            <v>2324</v>
          </cell>
          <cell r="FJ285">
            <v>1602.5975291456411</v>
          </cell>
          <cell r="FK285">
            <v>1783.7565582371458</v>
          </cell>
          <cell r="FL285">
            <v>1576.1490988530857</v>
          </cell>
          <cell r="FM285">
            <v>2202.7766574237457</v>
          </cell>
          <cell r="FP285">
            <v>1667</v>
          </cell>
          <cell r="FQ285">
            <v>1789</v>
          </cell>
          <cell r="FR285">
            <v>1638</v>
          </cell>
          <cell r="FS285">
            <v>2341</v>
          </cell>
          <cell r="FV285">
            <v>1763</v>
          </cell>
          <cell r="FW285">
            <v>1937</v>
          </cell>
          <cell r="FX285">
            <v>1714</v>
          </cell>
          <cell r="FY285">
            <v>2465</v>
          </cell>
          <cell r="GB285">
            <v>1860</v>
          </cell>
          <cell r="GC285">
            <v>2015</v>
          </cell>
          <cell r="GD285">
            <v>1812</v>
          </cell>
          <cell r="GE285">
            <v>2490.7341222077775</v>
          </cell>
        </row>
        <row r="286">
          <cell r="AN286" t="str">
            <v>Month 2</v>
          </cell>
          <cell r="EL286" t="str">
            <v>Month 2</v>
          </cell>
          <cell r="ER286">
            <v>2255</v>
          </cell>
          <cell r="ES286">
            <v>2367</v>
          </cell>
          <cell r="ET286">
            <v>2303</v>
          </cell>
          <cell r="EU286">
            <v>4997</v>
          </cell>
          <cell r="EX286">
            <v>2288</v>
          </cell>
          <cell r="EY286">
            <v>2321</v>
          </cell>
          <cell r="EZ286">
            <v>2274</v>
          </cell>
          <cell r="FA286">
            <v>4624</v>
          </cell>
          <cell r="FD286">
            <v>2142</v>
          </cell>
          <cell r="FE286">
            <v>2249</v>
          </cell>
          <cell r="FF286">
            <v>2093</v>
          </cell>
          <cell r="FG286">
            <v>4397</v>
          </cell>
          <cell r="FJ286">
            <v>1963.7990255785628</v>
          </cell>
          <cell r="FK286">
            <v>2092.5916404337181</v>
          </cell>
          <cell r="FL286">
            <v>2084.1512834516657</v>
          </cell>
          <cell r="FM286">
            <v>4474.7693471136881</v>
          </cell>
          <cell r="FP286">
            <v>2172</v>
          </cell>
          <cell r="FQ286">
            <v>2229</v>
          </cell>
          <cell r="FR286">
            <v>2181</v>
          </cell>
          <cell r="FS286">
            <v>4619</v>
          </cell>
          <cell r="FV286">
            <v>2206</v>
          </cell>
          <cell r="FW286">
            <v>2392</v>
          </cell>
          <cell r="FX286">
            <v>2298</v>
          </cell>
          <cell r="FY286">
            <v>4925</v>
          </cell>
          <cell r="GB286">
            <v>2358</v>
          </cell>
          <cell r="GC286">
            <v>2412</v>
          </cell>
          <cell r="GD286">
            <v>2293.892456048884</v>
          </cell>
          <cell r="GE286">
            <v>4976.4160453847071</v>
          </cell>
        </row>
        <row r="287">
          <cell r="AN287" t="str">
            <v>Month 3</v>
          </cell>
          <cell r="EL287" t="str">
            <v>Month 3</v>
          </cell>
          <cell r="ER287">
            <v>1878</v>
          </cell>
          <cell r="ES287">
            <v>1608</v>
          </cell>
          <cell r="ET287">
            <v>1863</v>
          </cell>
          <cell r="EU287">
            <v>1780</v>
          </cell>
          <cell r="EX287">
            <v>1837</v>
          </cell>
          <cell r="EY287">
            <v>1602</v>
          </cell>
          <cell r="EZ287">
            <v>1849</v>
          </cell>
          <cell r="FA287">
            <v>1273</v>
          </cell>
          <cell r="FD287">
            <v>1868</v>
          </cell>
          <cell r="FE287">
            <v>1543</v>
          </cell>
          <cell r="FF287">
            <v>1714</v>
          </cell>
          <cell r="FG287">
            <v>1213</v>
          </cell>
          <cell r="FJ287">
            <v>1720.603445275796</v>
          </cell>
          <cell r="FK287">
            <v>1409.6518013291361</v>
          </cell>
          <cell r="FL287">
            <v>1725.6996176952484</v>
          </cell>
          <cell r="FM287">
            <v>1268.4539954625661</v>
          </cell>
          <cell r="FP287">
            <v>1739</v>
          </cell>
          <cell r="FQ287">
            <v>1528</v>
          </cell>
          <cell r="FR287">
            <v>1806</v>
          </cell>
          <cell r="FS287">
            <v>1310</v>
          </cell>
          <cell r="FV287">
            <v>1920</v>
          </cell>
          <cell r="FW287">
            <v>1612</v>
          </cell>
          <cell r="FX287">
            <v>1842</v>
          </cell>
          <cell r="FY287">
            <v>1336</v>
          </cell>
          <cell r="GB287">
            <v>1928</v>
          </cell>
          <cell r="GC287">
            <v>1693</v>
          </cell>
          <cell r="GD287">
            <v>1882.0033631484798</v>
          </cell>
          <cell r="GE287">
            <v>1720.1677658275225</v>
          </cell>
        </row>
        <row r="288">
          <cell r="AN288" t="str">
            <v>Total</v>
          </cell>
          <cell r="EL288" t="str">
            <v>Total</v>
          </cell>
          <cell r="ER288">
            <v>5930</v>
          </cell>
          <cell r="ES288">
            <v>5995</v>
          </cell>
          <cell r="ET288">
            <v>5886</v>
          </cell>
          <cell r="EU288">
            <v>9159</v>
          </cell>
          <cell r="EV288">
            <v>26970</v>
          </cell>
          <cell r="EX288">
            <v>5921</v>
          </cell>
          <cell r="EY288">
            <v>5892</v>
          </cell>
          <cell r="EZ288">
            <v>5906</v>
          </cell>
          <cell r="FA288">
            <v>8594</v>
          </cell>
          <cell r="FB288">
            <v>26313</v>
          </cell>
          <cell r="FD288">
            <v>5747</v>
          </cell>
          <cell r="FE288">
            <v>5718</v>
          </cell>
          <cell r="FF288">
            <v>5493</v>
          </cell>
          <cell r="FG288">
            <v>7934</v>
          </cell>
          <cell r="FH288">
            <v>24892</v>
          </cell>
          <cell r="FJ288">
            <v>5288</v>
          </cell>
          <cell r="FK288">
            <v>5285</v>
          </cell>
          <cell r="FL288">
            <v>5385</v>
          </cell>
          <cell r="FM288">
            <v>7946</v>
          </cell>
          <cell r="FN288">
            <v>23904</v>
          </cell>
          <cell r="FP288">
            <v>5574</v>
          </cell>
          <cell r="FQ288">
            <v>5537</v>
          </cell>
          <cell r="FR288">
            <v>5623</v>
          </cell>
          <cell r="FS288">
            <v>8269</v>
          </cell>
          <cell r="FT288">
            <v>25003</v>
          </cell>
          <cell r="FV288">
            <v>5889</v>
          </cell>
          <cell r="FW288">
            <v>5939</v>
          </cell>
          <cell r="FX288">
            <v>5853</v>
          </cell>
          <cell r="FY288">
            <v>8724</v>
          </cell>
          <cell r="FZ288">
            <v>26405</v>
          </cell>
          <cell r="GB288">
            <v>6143</v>
          </cell>
          <cell r="GC288">
            <v>6118</v>
          </cell>
          <cell r="GD288">
            <v>5987.8958191973634</v>
          </cell>
          <cell r="GE288">
            <v>9187.3179334200067</v>
          </cell>
          <cell r="GF288">
            <v>27436.213752617372</v>
          </cell>
        </row>
        <row r="290">
          <cell r="AN290" t="str">
            <v xml:space="preserve">Consolidated Monthly Comps </v>
          </cell>
          <cell r="EL290" t="str">
            <v xml:space="preserve">Consolidated Monthly Comps </v>
          </cell>
        </row>
        <row r="291">
          <cell r="AN291" t="str">
            <v>Month 1</v>
          </cell>
          <cell r="EL291" t="str">
            <v>Month 1</v>
          </cell>
          <cell r="ER291">
            <v>0.01</v>
          </cell>
          <cell r="ES291">
            <v>9.1999999999999998E-2</v>
          </cell>
          <cell r="ET291">
            <v>3.7999999999999999E-2</v>
          </cell>
          <cell r="EU291">
            <v>8.5000000000000006E-2</v>
          </cell>
          <cell r="EX291">
            <v>1.2E-2</v>
          </cell>
          <cell r="EY291">
            <v>-3.3000000000000002E-2</v>
          </cell>
          <cell r="EZ291">
            <v>2.4E-2</v>
          </cell>
          <cell r="FA291">
            <v>0.13400000000000001</v>
          </cell>
          <cell r="FD291">
            <v>-3.5000000000000003E-2</v>
          </cell>
          <cell r="FE291">
            <v>-1.4999999999999999E-2</v>
          </cell>
          <cell r="FF291">
            <v>-4.8000000000000001E-2</v>
          </cell>
          <cell r="FG291">
            <v>-0.13300000000000001</v>
          </cell>
          <cell r="FJ291">
            <v>-8.5000000000000006E-2</v>
          </cell>
          <cell r="FK291">
            <v>-9.0999999999999998E-2</v>
          </cell>
          <cell r="FL291">
            <v>-8.1000000000000003E-2</v>
          </cell>
          <cell r="FM291">
            <v>-6.0999999999999999E-2</v>
          </cell>
          <cell r="FP291">
            <v>3.6999999999999998E-2</v>
          </cell>
          <cell r="FQ291">
            <v>1.4E-2</v>
          </cell>
          <cell r="FR291">
            <v>4.2999999999999997E-2</v>
          </cell>
          <cell r="FS291">
            <v>6.0999999999999999E-2</v>
          </cell>
          <cell r="FV291">
            <v>5.8000000000000003E-2</v>
          </cell>
          <cell r="FW291">
            <v>7.3999999999999996E-2</v>
          </cell>
          <cell r="FX291">
            <v>0.05</v>
          </cell>
          <cell r="FY291">
            <v>4.8000000000000001E-2</v>
          </cell>
          <cell r="GB291">
            <v>4.5999999999999999E-2</v>
          </cell>
          <cell r="GC291">
            <v>4.2000000000000003E-2</v>
          </cell>
          <cell r="GD291">
            <v>5.0999999999999997E-2</v>
          </cell>
          <cell r="GE291">
            <v>0.02</v>
          </cell>
        </row>
        <row r="292">
          <cell r="AN292" t="str">
            <v>Month 2</v>
          </cell>
          <cell r="EL292" t="str">
            <v>Month 2</v>
          </cell>
          <cell r="ER292">
            <v>0</v>
          </cell>
          <cell r="ES292">
            <v>1.7000000000000001E-2</v>
          </cell>
          <cell r="ET292">
            <v>6.5000000000000002E-2</v>
          </cell>
          <cell r="EU292">
            <v>4.3999999999999997E-2</v>
          </cell>
          <cell r="EX292">
            <v>2.3E-2</v>
          </cell>
          <cell r="EY292">
            <v>-2.7E-2</v>
          </cell>
          <cell r="EZ292">
            <v>-2.7E-2</v>
          </cell>
          <cell r="FA292">
            <v>-7.9000000000000001E-2</v>
          </cell>
          <cell r="FD292">
            <v>-6.2E-2</v>
          </cell>
          <cell r="FE292">
            <v>-2.1000000000000001E-2</v>
          </cell>
          <cell r="FF292">
            <v>-6.6000000000000003E-2</v>
          </cell>
          <cell r="FG292">
            <v>-0.04</v>
          </cell>
          <cell r="FJ292">
            <v>-9.1999999999999998E-2</v>
          </cell>
          <cell r="FK292">
            <v>-8.8999999999999996E-2</v>
          </cell>
          <cell r="FL292">
            <v>-2.3E-2</v>
          </cell>
          <cell r="FM292">
            <v>0.01</v>
          </cell>
          <cell r="FP292">
            <v>0.10800000000000001</v>
          </cell>
          <cell r="FQ292">
            <v>6.5000000000000002E-2</v>
          </cell>
          <cell r="FR292">
            <v>4.8000000000000001E-2</v>
          </cell>
          <cell r="FS292">
            <v>3.9E-2</v>
          </cell>
          <cell r="FV292">
            <v>8.9999999999999993E-3</v>
          </cell>
          <cell r="FW292">
            <v>6.7000000000000004E-2</v>
          </cell>
          <cell r="FX292">
            <v>4.9000000000000002E-2</v>
          </cell>
          <cell r="FY292">
            <v>6.2E-2</v>
          </cell>
          <cell r="GB292">
            <v>7.2999999999999995E-2</v>
          </cell>
          <cell r="GC292">
            <v>1.2E-2</v>
          </cell>
          <cell r="GD292">
            <v>9.9999999999999985E-3</v>
          </cell>
          <cell r="GE292">
            <v>0.02</v>
          </cell>
        </row>
        <row r="293">
          <cell r="AN293" t="str">
            <v>Month 3</v>
          </cell>
          <cell r="EL293" t="str">
            <v>Month 3</v>
          </cell>
          <cell r="ER293">
            <v>-8.0000000000000002E-3</v>
          </cell>
          <cell r="ES293">
            <v>3.3000000000000002E-2</v>
          </cell>
          <cell r="ET293">
            <v>7.6999999999999999E-2</v>
          </cell>
          <cell r="EU293">
            <v>8.5999999999999993E-2</v>
          </cell>
          <cell r="EX293">
            <v>-2.1999999999999999E-2</v>
          </cell>
          <cell r="EY293">
            <v>-1.4E-2</v>
          </cell>
          <cell r="EZ293">
            <v>-1.4999999999999999E-2</v>
          </cell>
          <cell r="FA293">
            <v>-7.0999999999999994E-2</v>
          </cell>
          <cell r="FD293">
            <v>0.03</v>
          </cell>
          <cell r="FE293">
            <v>-2.9000000000000001E-2</v>
          </cell>
          <cell r="FF293">
            <v>-6.3E-2</v>
          </cell>
          <cell r="FG293">
            <v>-4.4999999999999998E-2</v>
          </cell>
          <cell r="FJ293">
            <v>-9.0999999999999998E-2</v>
          </cell>
          <cell r="FK293">
            <v>-0.107</v>
          </cell>
          <cell r="FL293">
            <v>-8.0000000000000002E-3</v>
          </cell>
          <cell r="FM293">
            <v>3.4000000000000002E-2</v>
          </cell>
          <cell r="FP293">
            <v>1.0999999999999999E-2</v>
          </cell>
          <cell r="FQ293">
            <v>7.2999999999999995E-2</v>
          </cell>
          <cell r="FR293">
            <v>2.5000000000000001E-2</v>
          </cell>
          <cell r="FS293">
            <v>2.5999999999999999E-2</v>
          </cell>
          <cell r="FV293">
            <v>0.108</v>
          </cell>
          <cell r="FW293">
            <v>0.05</v>
          </cell>
          <cell r="FX293">
            <v>2.1999999999999999E-2</v>
          </cell>
          <cell r="FY293">
            <v>2.4E-2</v>
          </cell>
          <cell r="GB293">
            <v>1.2E-2</v>
          </cell>
          <cell r="GC293">
            <v>4.1000000000000002E-2</v>
          </cell>
          <cell r="GD293">
            <v>3.5000000000000003E-2</v>
          </cell>
          <cell r="GE293">
            <v>3.0000000000000002E-2</v>
          </cell>
        </row>
        <row r="294">
          <cell r="AN294" t="str">
            <v>Total</v>
          </cell>
          <cell r="EL294" t="str">
            <v>Total</v>
          </cell>
          <cell r="ER294">
            <v>0</v>
          </cell>
          <cell r="ES294">
            <v>4.5999999999999999E-2</v>
          </cell>
          <cell r="ET294">
            <v>5.8999999999999997E-2</v>
          </cell>
          <cell r="EU294">
            <v>6.0999999999999999E-2</v>
          </cell>
          <cell r="EV294">
            <v>4.3999999999999997E-2</v>
          </cell>
          <cell r="EX294">
            <v>6.0000000000000001E-3</v>
          </cell>
          <cell r="EY294">
            <v>-2.5999999999999999E-2</v>
          </cell>
          <cell r="EZ294">
            <v>-8.0000000000000002E-3</v>
          </cell>
          <cell r="FA294">
            <v>-0.02</v>
          </cell>
          <cell r="FB294">
            <v>-1.2999999999999999E-2</v>
          </cell>
          <cell r="FD294">
            <v>-2.5999999999999999E-2</v>
          </cell>
          <cell r="FE294">
            <v>-2.1000000000000001E-2</v>
          </cell>
          <cell r="FF294">
            <v>-0.06</v>
          </cell>
          <cell r="FG294">
            <v>-7.0000000000000007E-2</v>
          </cell>
          <cell r="FH294">
            <v>-4.4999999999999998E-2</v>
          </cell>
          <cell r="FJ294">
            <v>-0.09</v>
          </cell>
          <cell r="FK294">
            <v>-9.5000000000000001E-2</v>
          </cell>
          <cell r="FL294">
            <v>-3.5999999999999997E-2</v>
          </cell>
          <cell r="FM294">
            <v>-5.8512769677805648E-3</v>
          </cell>
          <cell r="FN294">
            <v>-5.0968425652024113E-2</v>
          </cell>
          <cell r="FP294">
            <v>5.5E-2</v>
          </cell>
          <cell r="FQ294">
            <v>4.9000000000000002E-2</v>
          </cell>
          <cell r="FR294">
            <v>3.9E-2</v>
          </cell>
          <cell r="FS294">
            <v>4.2999999999999997E-2</v>
          </cell>
          <cell r="FT294">
            <v>4.610434747830261E-2</v>
          </cell>
          <cell r="FV294">
            <v>5.3999999999999999E-2</v>
          </cell>
          <cell r="FW294">
            <v>6.4000000000000001E-2</v>
          </cell>
          <cell r="FX294">
            <v>0.04</v>
          </cell>
          <cell r="FY294">
            <v>5.1999999999999998E-2</v>
          </cell>
          <cell r="FZ294">
            <v>5.2999999999999999E-2</v>
          </cell>
          <cell r="GB294">
            <v>4.3999999999999997E-2</v>
          </cell>
          <cell r="GC294">
            <v>0.03</v>
          </cell>
          <cell r="GD294">
            <v>3.0264561666167575E-2</v>
          </cell>
          <cell r="GE294">
            <v>2.1872328549304036E-2</v>
          </cell>
          <cell r="GF294">
            <v>3.0470716044687752E-2</v>
          </cell>
        </row>
        <row r="296">
          <cell r="AN296" t="str">
            <v xml:space="preserve">Consolidated Productivity Factor </v>
          </cell>
          <cell r="EL296" t="str">
            <v xml:space="preserve">Consolidated Productivity Factor </v>
          </cell>
        </row>
        <row r="297">
          <cell r="AN297" t="str">
            <v>Month 1</v>
          </cell>
          <cell r="EL297" t="str">
            <v>Month 1</v>
          </cell>
          <cell r="ER297">
            <v>0.85379589916801657</v>
          </cell>
          <cell r="ES297">
            <v>0.82852877251430668</v>
          </cell>
          <cell r="ET297">
            <v>0.83475030563790842</v>
          </cell>
          <cell r="EU297">
            <v>0.91480422703367681</v>
          </cell>
          <cell r="EX297">
            <v>1.0042251017232908</v>
          </cell>
          <cell r="EY297">
            <v>1.0108075527611304</v>
          </cell>
          <cell r="EZ297">
            <v>1.0032705612197608</v>
          </cell>
          <cell r="FA297">
            <v>0.99617129302855612</v>
          </cell>
          <cell r="FD297">
            <v>1.0047260256693704</v>
          </cell>
          <cell r="FE297">
            <v>1.0011731147187122</v>
          </cell>
          <cell r="FF297">
            <v>1.0015681684828099</v>
          </cell>
          <cell r="FG297">
            <v>0.9980273685296247</v>
          </cell>
          <cell r="FJ297">
            <v>1.0146680194879518</v>
          </cell>
          <cell r="FK297">
            <v>1.0229325701507319</v>
          </cell>
          <cell r="FL297">
            <v>1.0237530410429481</v>
          </cell>
          <cell r="FM297">
            <v>1.0168796021749338</v>
          </cell>
          <cell r="FP297">
            <v>1.0016060228776302</v>
          </cell>
          <cell r="FQ297">
            <v>0.98881215735067063</v>
          </cell>
          <cell r="FR297">
            <v>1.0007452413933455</v>
          </cell>
          <cell r="FS297">
            <v>1.0028115913956974</v>
          </cell>
          <cell r="FV297">
            <v>1.0005096291516782</v>
          </cell>
          <cell r="FW297">
            <v>1.0081721608307339</v>
          </cell>
          <cell r="FX297">
            <v>0.99435769750356207</v>
          </cell>
          <cell r="FY297">
            <v>1.0114048185081832</v>
          </cell>
          <cell r="GB297">
            <v>1.0253009585429893</v>
          </cell>
          <cell r="GC297">
            <v>1.0133052611979987</v>
          </cell>
          <cell r="GD297">
            <v>1.018088666893139</v>
          </cell>
          <cell r="GE297">
            <v>1</v>
          </cell>
        </row>
        <row r="298">
          <cell r="AN298" t="str">
            <v>Month 2</v>
          </cell>
          <cell r="EL298" t="str">
            <v>Month 2</v>
          </cell>
          <cell r="ER298">
            <v>0.87143545576033965</v>
          </cell>
          <cell r="ES298">
            <v>0.86259214604526391</v>
          </cell>
          <cell r="ET298">
            <v>0.95476655228407081</v>
          </cell>
          <cell r="EU298">
            <v>0.95390310394604827</v>
          </cell>
          <cell r="EX298">
            <v>0.99756383077735888</v>
          </cell>
          <cell r="EY298">
            <v>1.0076309712339664</v>
          </cell>
          <cell r="EZ298">
            <v>1.0058439901456568</v>
          </cell>
          <cell r="FA298">
            <v>1.0104925603418453</v>
          </cell>
          <cell r="FD298">
            <v>1.0038919718017412</v>
          </cell>
          <cell r="FE298">
            <v>1.0002262623646179</v>
          </cell>
          <cell r="FF298">
            <v>1.0022779610885877</v>
          </cell>
          <cell r="FG298">
            <v>0.98797059201406712</v>
          </cell>
          <cell r="FJ298">
            <v>1.0172356632303496</v>
          </cell>
          <cell r="FK298">
            <v>1.0266388149144143</v>
          </cell>
          <cell r="FL298">
            <v>1.0185440088098592</v>
          </cell>
          <cell r="FM298">
            <v>1.0150644106268683</v>
          </cell>
          <cell r="FP298">
            <v>0.9967530496300272</v>
          </cell>
          <cell r="FQ298">
            <v>0.99989171377441255</v>
          </cell>
          <cell r="FR298">
            <v>1.0028971230689774</v>
          </cell>
          <cell r="FS298">
            <v>0.9946391314592461</v>
          </cell>
          <cell r="FV298">
            <v>1.0074992903911262</v>
          </cell>
          <cell r="FW298">
            <v>1.0057878604073234</v>
          </cell>
          <cell r="FX298">
            <v>1.0057401642886414</v>
          </cell>
          <cell r="FY298">
            <v>1.0118477756232767</v>
          </cell>
          <cell r="GB298">
            <v>1.0102541230632647</v>
          </cell>
          <cell r="GC298">
            <v>1.011143062170935</v>
          </cell>
          <cell r="GD298">
            <v>1</v>
          </cell>
          <cell r="GE298">
            <v>1</v>
          </cell>
        </row>
        <row r="299">
          <cell r="AN299" t="str">
            <v>Month 3</v>
          </cell>
          <cell r="EL299" t="str">
            <v>Month 3</v>
          </cell>
          <cell r="ER299">
            <v>0.85509041472763314</v>
          </cell>
          <cell r="ES299">
            <v>0.83302342705472399</v>
          </cell>
          <cell r="ET299">
            <v>0.9300581404093593</v>
          </cell>
          <cell r="EU299">
            <v>0.88885616548937241</v>
          </cell>
          <cell r="EX299">
            <v>1.0012993536198342</v>
          </cell>
          <cell r="EY299">
            <v>1.0067406823426219</v>
          </cell>
          <cell r="EZ299">
            <v>1.0010354929971583</v>
          </cell>
          <cell r="FA299">
            <v>0.77697496531497701</v>
          </cell>
          <cell r="FD299">
            <v>0.99998610863561077</v>
          </cell>
          <cell r="FE299">
            <v>1.0000776716315167</v>
          </cell>
          <cell r="FF299">
            <v>1.0026881239876493</v>
          </cell>
          <cell r="FG299">
            <v>1.0034001517037674</v>
          </cell>
          <cell r="FJ299">
            <v>1.017274065207098</v>
          </cell>
          <cell r="FK299">
            <v>1.0307481774152398</v>
          </cell>
          <cell r="FL299">
            <v>1.0154616377110075</v>
          </cell>
          <cell r="FM299">
            <v>1.009307170702717</v>
          </cell>
          <cell r="FP299">
            <v>1.0005893323256754</v>
          </cell>
          <cell r="FQ299">
            <v>1.0111137394005785</v>
          </cell>
          <cell r="FR299">
            <v>1.0254628236300125</v>
          </cell>
          <cell r="FS299">
            <v>1.00775043725629</v>
          </cell>
          <cell r="FV299">
            <v>0.99618702023241001</v>
          </cell>
          <cell r="FW299">
            <v>1.0047825549823146</v>
          </cell>
          <cell r="FX299">
            <v>1.0004489851343907</v>
          </cell>
          <cell r="FY299">
            <v>1.008520012530175</v>
          </cell>
          <cell r="GB299">
            <v>1.0062765433093959</v>
          </cell>
          <cell r="GC299">
            <v>1.0227639737625074</v>
          </cell>
          <cell r="GD299">
            <v>1</v>
          </cell>
          <cell r="GE299">
            <v>1</v>
          </cell>
        </row>
        <row r="300">
          <cell r="AN300" t="str">
            <v>Total</v>
          </cell>
          <cell r="EL300" t="str">
            <v>Total</v>
          </cell>
        </row>
        <row r="302">
          <cell r="AN302" t="str">
            <v>Cost of Goods Sold</v>
          </cell>
          <cell r="EL302" t="str">
            <v>Cost of Goods Sold</v>
          </cell>
          <cell r="ER302">
            <v>3627</v>
          </cell>
          <cell r="ES302">
            <v>3470</v>
          </cell>
          <cell r="ET302">
            <v>3513</v>
          </cell>
          <cell r="EU302">
            <v>5409</v>
          </cell>
          <cell r="EV302">
            <v>16019</v>
          </cell>
          <cell r="EX302">
            <v>3564</v>
          </cell>
          <cell r="EY302">
            <v>3507</v>
          </cell>
          <cell r="EZ302">
            <v>3585</v>
          </cell>
          <cell r="FA302">
            <v>5021</v>
          </cell>
          <cell r="FB302">
            <v>15677</v>
          </cell>
          <cell r="FD302">
            <v>3527</v>
          </cell>
          <cell r="FE302">
            <v>3346</v>
          </cell>
          <cell r="FF302">
            <v>3324</v>
          </cell>
          <cell r="FG302">
            <v>4812</v>
          </cell>
          <cell r="FH302">
            <v>15009</v>
          </cell>
          <cell r="FJ302">
            <v>3279</v>
          </cell>
          <cell r="FK302">
            <v>3117</v>
          </cell>
          <cell r="FL302">
            <v>3241</v>
          </cell>
          <cell r="FM302">
            <v>4641</v>
          </cell>
          <cell r="FN302">
            <v>14278</v>
          </cell>
          <cell r="FP302">
            <v>3378</v>
          </cell>
          <cell r="FQ302">
            <v>3214</v>
          </cell>
          <cell r="FR302">
            <v>3377</v>
          </cell>
          <cell r="FS302">
            <v>4855</v>
          </cell>
          <cell r="FT302">
            <v>14824</v>
          </cell>
          <cell r="FV302">
            <v>3586</v>
          </cell>
          <cell r="FW302">
            <v>3457</v>
          </cell>
          <cell r="FX302">
            <v>3544</v>
          </cell>
          <cell r="FY302">
            <v>5151</v>
          </cell>
          <cell r="FZ302">
            <v>15738</v>
          </cell>
          <cell r="GB302">
            <v>3757</v>
          </cell>
          <cell r="GC302">
            <v>3555</v>
          </cell>
          <cell r="GD302">
            <v>3637.655406064408</v>
          </cell>
          <cell r="GE302">
            <v>5421.68776484106</v>
          </cell>
          <cell r="GF302">
            <v>16371.343170905468</v>
          </cell>
        </row>
        <row r="303">
          <cell r="AN303" t="str">
            <v>% of Sales</v>
          </cell>
          <cell r="EL303" t="str">
            <v>% of Sales</v>
          </cell>
          <cell r="ER303">
            <v>0.61163575042158513</v>
          </cell>
          <cell r="ES303">
            <v>0.57881567973311088</v>
          </cell>
          <cell r="ET303">
            <v>0.59683995922528033</v>
          </cell>
          <cell r="EU303">
            <v>0.59056665574844414</v>
          </cell>
          <cell r="EV303">
            <v>0.59395624768261035</v>
          </cell>
          <cell r="EX303">
            <v>0.60192535044755957</v>
          </cell>
          <cell r="EY303">
            <v>0.59521384928716903</v>
          </cell>
          <cell r="EZ303">
            <v>0.60700982052150354</v>
          </cell>
          <cell r="FA303">
            <v>0.58424482196881544</v>
          </cell>
          <cell r="FB303">
            <v>0.59578915365028695</v>
          </cell>
          <cell r="FD303">
            <v>0.61371150165303634</v>
          </cell>
          <cell r="FE303">
            <v>0.5851696397341728</v>
          </cell>
          <cell r="FF303">
            <v>0.60513380666302563</v>
          </cell>
          <cell r="FG303">
            <v>0.60650365515502902</v>
          </cell>
          <cell r="FH303">
            <v>0.60296480797043228</v>
          </cell>
          <cell r="FJ303">
            <v>0.62008320726172461</v>
          </cell>
          <cell r="FK303">
            <v>0.58978240302743612</v>
          </cell>
          <cell r="FL303">
            <v>0.6018570102135562</v>
          </cell>
          <cell r="FM303">
            <v>0.58406745532343318</v>
          </cell>
          <cell r="FN303">
            <v>0.59730589022757696</v>
          </cell>
          <cell r="FP303">
            <v>0.60602798708288486</v>
          </cell>
          <cell r="FQ303">
            <v>0.58045873216543253</v>
          </cell>
          <cell r="FR303">
            <v>0.60056909123243818</v>
          </cell>
          <cell r="FS303">
            <v>0.58713266416737209</v>
          </cell>
          <cell r="FT303">
            <v>0.59288885333759944</v>
          </cell>
          <cell r="FV303">
            <v>0.60893190694515198</v>
          </cell>
          <cell r="FW303">
            <v>0.58208452601448057</v>
          </cell>
          <cell r="FX303">
            <v>0.60550145224671104</v>
          </cell>
          <cell r="FY303">
            <v>0.59044016506189823</v>
          </cell>
          <cell r="FZ303">
            <v>0.59602348040143915</v>
          </cell>
          <cell r="GB303">
            <v>0.61159042812957842</v>
          </cell>
          <cell r="GC303">
            <v>0.58107224583197126</v>
          </cell>
          <cell r="GD303">
            <v>0.60750145224671104</v>
          </cell>
          <cell r="GE303">
            <v>0.59012736950345424</v>
          </cell>
          <cell r="GF303">
            <v>0.59670562849962006</v>
          </cell>
        </row>
        <row r="304">
          <cell r="AN304" t="str">
            <v>BPS Change</v>
          </cell>
          <cell r="EL304" t="str">
            <v>BPS Change</v>
          </cell>
          <cell r="ER304">
            <v>139.97738886292632</v>
          </cell>
          <cell r="ES304">
            <v>-79.90834205613973</v>
          </cell>
          <cell r="ET304">
            <v>6.2033726308408088</v>
          </cell>
          <cell r="EU304">
            <v>-5.9414249625333593</v>
          </cell>
          <cell r="EV304">
            <v>11.916206169559906</v>
          </cell>
          <cell r="EX304">
            <v>-97.103999740255631</v>
          </cell>
          <cell r="EY304">
            <v>163.98169554058151</v>
          </cell>
          <cell r="EZ304">
            <v>101.69861296223215</v>
          </cell>
          <cell r="FA304">
            <v>-63.218337796286939</v>
          </cell>
          <cell r="FB304">
            <v>18.329059676766015</v>
          </cell>
          <cell r="FD304">
            <v>117.86151205476769</v>
          </cell>
          <cell r="FE304">
            <v>-100.4420955299623</v>
          </cell>
          <cell r="FF304">
            <v>-18.760138584779096</v>
          </cell>
          <cell r="FG304">
            <v>222.58833186213579</v>
          </cell>
          <cell r="FH304">
            <v>71.756543201453297</v>
          </cell>
          <cell r="FJ304">
            <v>63.717056086882721</v>
          </cell>
          <cell r="FK304">
            <v>46.127632932633219</v>
          </cell>
          <cell r="FL304">
            <v>-32.767964494694326</v>
          </cell>
          <cell r="FM304">
            <v>-224.36199831595837</v>
          </cell>
          <cell r="FN304">
            <v>-56.589177428553185</v>
          </cell>
          <cell r="FP304">
            <v>-140.55220178839755</v>
          </cell>
          <cell r="FQ304">
            <v>-93.236708620035856</v>
          </cell>
          <cell r="FR304">
            <v>-12.879189811180192</v>
          </cell>
          <cell r="FS304">
            <v>30.652088439389047</v>
          </cell>
          <cell r="FT304">
            <v>-44.170368899775212</v>
          </cell>
          <cell r="FV304">
            <v>29.039198622671236</v>
          </cell>
          <cell r="FW304">
            <v>16.257938490480406</v>
          </cell>
          <cell r="FX304">
            <v>49.323610142728569</v>
          </cell>
          <cell r="FY304">
            <v>33.075008945261388</v>
          </cell>
          <cell r="FZ304">
            <v>31.346270638397122</v>
          </cell>
          <cell r="GB304">
            <v>26.585211844264435</v>
          </cell>
          <cell r="GC304">
            <v>-10.122801825093175</v>
          </cell>
          <cell r="GD304">
            <v>20.000000000000018</v>
          </cell>
          <cell r="GE304">
            <v>-3.127955584439901</v>
          </cell>
          <cell r="GF304">
            <v>6.8214809818090139</v>
          </cell>
        </row>
        <row r="306">
          <cell r="AN306" t="str">
            <v>Gross Income</v>
          </cell>
          <cell r="EL306" t="str">
            <v>Gross Income</v>
          </cell>
          <cell r="ER306">
            <v>2303</v>
          </cell>
          <cell r="ES306">
            <v>2525</v>
          </cell>
          <cell r="ET306">
            <v>2373</v>
          </cell>
          <cell r="EU306">
            <v>3750</v>
          </cell>
          <cell r="EV306">
            <v>10951</v>
          </cell>
          <cell r="EX306">
            <v>2357</v>
          </cell>
          <cell r="EY306">
            <v>2385</v>
          </cell>
          <cell r="EZ306">
            <v>2321</v>
          </cell>
          <cell r="FA306">
            <v>3573</v>
          </cell>
          <cell r="FB306">
            <v>10636</v>
          </cell>
          <cell r="FD306">
            <v>2220</v>
          </cell>
          <cell r="FE306">
            <v>2372</v>
          </cell>
          <cell r="FF306">
            <v>2169</v>
          </cell>
          <cell r="FG306">
            <v>3122</v>
          </cell>
          <cell r="FH306">
            <v>9883</v>
          </cell>
          <cell r="FJ306">
            <v>2009</v>
          </cell>
          <cell r="FK306">
            <v>2168</v>
          </cell>
          <cell r="FL306">
            <v>2144</v>
          </cell>
          <cell r="FM306">
            <v>3296</v>
          </cell>
          <cell r="FN306">
            <v>9617</v>
          </cell>
          <cell r="FP306">
            <v>2196</v>
          </cell>
          <cell r="FQ306">
            <v>2323</v>
          </cell>
          <cell r="FR306">
            <v>2246</v>
          </cell>
          <cell r="FS306">
            <v>3414</v>
          </cell>
          <cell r="FT306">
            <v>10179</v>
          </cell>
          <cell r="FV306">
            <v>2303</v>
          </cell>
          <cell r="FW306">
            <v>2482</v>
          </cell>
          <cell r="FX306">
            <v>2309</v>
          </cell>
          <cell r="FY306">
            <v>3573</v>
          </cell>
          <cell r="FZ306">
            <v>10667</v>
          </cell>
          <cell r="GB306">
            <v>2386</v>
          </cell>
          <cell r="GC306">
            <v>2563</v>
          </cell>
          <cell r="GD306">
            <v>2350.2404131329554</v>
          </cell>
          <cell r="GE306">
            <v>3765.6301685789467</v>
          </cell>
          <cell r="GF306">
            <v>11064.870581711901</v>
          </cell>
        </row>
        <row r="307">
          <cell r="AN307" t="str">
            <v>Gross Margin</v>
          </cell>
          <cell r="EL307" t="str">
            <v>Gross Margin</v>
          </cell>
          <cell r="ER307">
            <v>0.38836424957841487</v>
          </cell>
          <cell r="ES307">
            <v>0.42118432026688907</v>
          </cell>
          <cell r="ET307">
            <v>0.40316004077471967</v>
          </cell>
          <cell r="EU307">
            <v>0.40943334425155586</v>
          </cell>
          <cell r="EV307">
            <v>0.40604375231738971</v>
          </cell>
          <cell r="EX307">
            <v>0.39807464955244048</v>
          </cell>
          <cell r="EY307">
            <v>0.40478615071283097</v>
          </cell>
          <cell r="EZ307">
            <v>0.39299017947849646</v>
          </cell>
          <cell r="FA307">
            <v>0.41575517803118456</v>
          </cell>
          <cell r="FB307">
            <v>0.40421084634971305</v>
          </cell>
          <cell r="FD307">
            <v>0.38628849834696366</v>
          </cell>
          <cell r="FE307">
            <v>0.4148303602658272</v>
          </cell>
          <cell r="FF307">
            <v>0.39486619333697431</v>
          </cell>
          <cell r="FG307">
            <v>0.39349634484497104</v>
          </cell>
          <cell r="FH307">
            <v>0.39703519202956772</v>
          </cell>
          <cell r="FJ307">
            <v>0.37991679273827533</v>
          </cell>
          <cell r="FK307">
            <v>0.41021759697256388</v>
          </cell>
          <cell r="FL307">
            <v>0.3981429897864438</v>
          </cell>
          <cell r="FM307">
            <v>0.41479989932041278</v>
          </cell>
          <cell r="FN307">
            <v>0.40231760374832665</v>
          </cell>
          <cell r="FP307">
            <v>0.3939720129171152</v>
          </cell>
          <cell r="FQ307">
            <v>0.41954126783456747</v>
          </cell>
          <cell r="FR307">
            <v>0.39943090876756182</v>
          </cell>
          <cell r="FS307">
            <v>0.41286733583262791</v>
          </cell>
          <cell r="FT307">
            <v>0.4071111466624005</v>
          </cell>
          <cell r="FV307">
            <v>0.39106809305484802</v>
          </cell>
          <cell r="FW307">
            <v>0.41791547398551943</v>
          </cell>
          <cell r="FX307">
            <v>0.39449854775328891</v>
          </cell>
          <cell r="FY307">
            <v>0.40955983493810177</v>
          </cell>
          <cell r="FZ307">
            <v>0.4039765195985609</v>
          </cell>
          <cell r="GB307">
            <v>0.38840957187042163</v>
          </cell>
          <cell r="GC307">
            <v>0.41892775416802874</v>
          </cell>
          <cell r="GD307">
            <v>0.39249854775328891</v>
          </cell>
          <cell r="GE307">
            <v>0.40987263049654576</v>
          </cell>
          <cell r="GF307">
            <v>0.40329437150037983</v>
          </cell>
        </row>
        <row r="308">
          <cell r="AN308" t="str">
            <v>BPS Change</v>
          </cell>
          <cell r="EL308" t="str">
            <v>BPS Change</v>
          </cell>
          <cell r="ER308">
            <v>-139.97738886292632</v>
          </cell>
          <cell r="ES308">
            <v>79.908342056138622</v>
          </cell>
          <cell r="ET308">
            <v>-6.2033726308408088</v>
          </cell>
          <cell r="EU308">
            <v>5.9414249625339144</v>
          </cell>
          <cell r="EV308">
            <v>-11.916206169559906</v>
          </cell>
          <cell r="EX308">
            <v>97.103999740256185</v>
          </cell>
          <cell r="EY308">
            <v>-163.98169554058094</v>
          </cell>
          <cell r="EZ308">
            <v>-101.69861296223215</v>
          </cell>
          <cell r="FA308">
            <v>63.218337796286939</v>
          </cell>
          <cell r="FB308">
            <v>-18.329059676766569</v>
          </cell>
          <cell r="FD308">
            <v>-117.86151205476824</v>
          </cell>
          <cell r="FE308">
            <v>100.4420955299623</v>
          </cell>
          <cell r="FF308">
            <v>18.760138584778542</v>
          </cell>
          <cell r="FG308">
            <v>-222.58833186213522</v>
          </cell>
          <cell r="FH308">
            <v>-71.756543201453297</v>
          </cell>
          <cell r="FJ308">
            <v>-63.717056086883275</v>
          </cell>
          <cell r="FK308">
            <v>-46.127632932633219</v>
          </cell>
          <cell r="FL308">
            <v>32.76796449469488</v>
          </cell>
          <cell r="FM308">
            <v>213.03554475441743</v>
          </cell>
          <cell r="FN308">
            <v>52.82411718758928</v>
          </cell>
          <cell r="FP308">
            <v>140.55220178839866</v>
          </cell>
          <cell r="FQ308">
            <v>93.236708620035856</v>
          </cell>
          <cell r="FR308">
            <v>12.879189811180192</v>
          </cell>
          <cell r="FS308">
            <v>-19.325634877848664</v>
          </cell>
          <cell r="FT308">
            <v>47.935429140738563</v>
          </cell>
          <cell r="FV308">
            <v>-29.03919862267179</v>
          </cell>
          <cell r="FW308">
            <v>-16.257938490480406</v>
          </cell>
          <cell r="FX308">
            <v>-49.323610142729123</v>
          </cell>
          <cell r="FY308">
            <v>-33.075008945261388</v>
          </cell>
          <cell r="FZ308">
            <v>-31.346270638396014</v>
          </cell>
          <cell r="GB308">
            <v>-26.585211844263878</v>
          </cell>
          <cell r="GC308">
            <v>10.122801825093175</v>
          </cell>
          <cell r="GD308">
            <v>-20</v>
          </cell>
          <cell r="GE308">
            <v>3.1279555844399312</v>
          </cell>
          <cell r="GF308">
            <v>-6.8214809818106792</v>
          </cell>
        </row>
        <row r="310">
          <cell r="AN310" t="str">
            <v>Total SG&amp;A</v>
          </cell>
          <cell r="EL310" t="str">
            <v>Total SG&amp;A</v>
          </cell>
          <cell r="ER310">
            <v>2154</v>
          </cell>
          <cell r="ES310">
            <v>2117</v>
          </cell>
          <cell r="ET310">
            <v>2094</v>
          </cell>
          <cell r="EU310">
            <v>2313</v>
          </cell>
          <cell r="EV310">
            <v>8678</v>
          </cell>
          <cell r="EX310">
            <v>2113</v>
          </cell>
          <cell r="EY310">
            <v>2038</v>
          </cell>
          <cell r="EZ310">
            <v>2121</v>
          </cell>
          <cell r="FA310">
            <v>2282</v>
          </cell>
          <cell r="FB310">
            <v>8554</v>
          </cell>
          <cell r="FD310">
            <v>2080</v>
          </cell>
          <cell r="FE310">
            <v>2037</v>
          </cell>
          <cell r="FF310">
            <v>2085</v>
          </cell>
          <cell r="FG310">
            <v>2256</v>
          </cell>
          <cell r="FH310">
            <v>8458</v>
          </cell>
          <cell r="FJ310">
            <v>1985</v>
          </cell>
          <cell r="FK310">
            <v>1886</v>
          </cell>
          <cell r="FL310">
            <v>2056</v>
          </cell>
          <cell r="FM310">
            <v>2236</v>
          </cell>
          <cell r="FN310">
            <v>8163</v>
          </cell>
          <cell r="FP310">
            <v>1993</v>
          </cell>
          <cell r="FQ310">
            <v>1953</v>
          </cell>
          <cell r="FR310">
            <v>2069</v>
          </cell>
          <cell r="FS310">
            <v>2245</v>
          </cell>
          <cell r="FT310">
            <v>8260</v>
          </cell>
          <cell r="FV310">
            <v>1973</v>
          </cell>
          <cell r="FW310">
            <v>1976</v>
          </cell>
          <cell r="FX310">
            <v>2018</v>
          </cell>
          <cell r="FY310">
            <v>2314</v>
          </cell>
          <cell r="FZ310">
            <v>8281</v>
          </cell>
          <cell r="GB310">
            <v>1995</v>
          </cell>
          <cell r="GC310">
            <v>2009</v>
          </cell>
          <cell r="GD310">
            <v>2108.3871000833064</v>
          </cell>
          <cell r="GE310">
            <v>2403.7660222156705</v>
          </cell>
          <cell r="GF310">
            <v>8516.1531222989761</v>
          </cell>
        </row>
        <row r="311">
          <cell r="AN311" t="str">
            <v>SG&amp;A Ratio</v>
          </cell>
          <cell r="EL311" t="str">
            <v>SG&amp;A Ratio</v>
          </cell>
          <cell r="ER311">
            <v>0.36323777403035412</v>
          </cell>
          <cell r="ES311">
            <v>0.35312760633861551</v>
          </cell>
          <cell r="ET311">
            <v>0.35575942915392456</v>
          </cell>
          <cell r="EU311">
            <v>0.25253848673435964</v>
          </cell>
          <cell r="EV311">
            <v>0.32176492398961809</v>
          </cell>
          <cell r="EX311">
            <v>0.35686539435906095</v>
          </cell>
          <cell r="EY311">
            <v>0.34589273591310249</v>
          </cell>
          <cell r="EZ311">
            <v>0.35912631222485608</v>
          </cell>
          <cell r="FA311">
            <v>0.2655340935536421</v>
          </cell>
          <cell r="FB311">
            <v>0.32508645916467144</v>
          </cell>
          <cell r="FD311">
            <v>0.36192796241517311</v>
          </cell>
          <cell r="FE311">
            <v>0.35624344176285416</v>
          </cell>
          <cell r="FF311">
            <v>0.37957400327689789</v>
          </cell>
          <cell r="FG311">
            <v>0.28434585328963952</v>
          </cell>
          <cell r="FH311">
            <v>0.33978788365739998</v>
          </cell>
          <cell r="FJ311">
            <v>0.37537821482602118</v>
          </cell>
          <cell r="FK311">
            <v>0.35685903500473037</v>
          </cell>
          <cell r="FL311">
            <v>0.38180129990714951</v>
          </cell>
          <cell r="FM311">
            <v>0.28139944626227031</v>
          </cell>
          <cell r="FN311">
            <v>0.34149096385542171</v>
          </cell>
          <cell r="FP311">
            <v>0.35755292429135271</v>
          </cell>
          <cell r="FQ311">
            <v>0.3527180783817952</v>
          </cell>
          <cell r="FR311">
            <v>0.36795304997332384</v>
          </cell>
          <cell r="FS311">
            <v>0.27149594872415045</v>
          </cell>
          <cell r="FT311">
            <v>0.33036035675718911</v>
          </cell>
          <cell r="FV311">
            <v>0.33503141450161317</v>
          </cell>
          <cell r="FW311">
            <v>0.33271594544536115</v>
          </cell>
          <cell r="FX311">
            <v>0.34478045446779432</v>
          </cell>
          <cell r="FY311">
            <v>0.26524530032095367</v>
          </cell>
          <cell r="FZ311">
            <v>0.31361484567316794</v>
          </cell>
          <cell r="GB311">
            <v>0.32475988930489991</v>
          </cell>
          <cell r="GC311">
            <v>0.32837528604118993</v>
          </cell>
          <cell r="GD311">
            <v>0.35210818019307516</v>
          </cell>
          <cell r="GE311">
            <v>0.26163958182743124</v>
          </cell>
          <cell r="GF311">
            <v>0.31039826410036436</v>
          </cell>
        </row>
        <row r="312">
          <cell r="AN312" t="str">
            <v>BPS Change</v>
          </cell>
          <cell r="EL312" t="str">
            <v>BPS Change</v>
          </cell>
          <cell r="ER312">
            <v>300.87540578005888</v>
          </cell>
          <cell r="ES312">
            <v>202.54296926526084</v>
          </cell>
          <cell r="ET312">
            <v>5.8391160216936244</v>
          </cell>
          <cell r="EU312">
            <v>-178.61680437304796</v>
          </cell>
          <cell r="EV312">
            <v>100.18608670279094</v>
          </cell>
          <cell r="EX312">
            <v>-63.723796712931716</v>
          </cell>
          <cell r="EY312">
            <v>-72.348704255130187</v>
          </cell>
          <cell r="EZ312">
            <v>33.668830709315259</v>
          </cell>
          <cell r="FA312">
            <v>129.95606819282469</v>
          </cell>
          <cell r="FB312">
            <v>33.215351750533472</v>
          </cell>
          <cell r="FD312">
            <v>50.625680561121598</v>
          </cell>
          <cell r="FE312">
            <v>103.50705849751674</v>
          </cell>
          <cell r="FF312">
            <v>204.47691052041804</v>
          </cell>
          <cell r="FG312">
            <v>188.11759735997413</v>
          </cell>
          <cell r="FH312">
            <v>147.01424492728543</v>
          </cell>
          <cell r="FJ312">
            <v>134.50252410848074</v>
          </cell>
          <cell r="FK312">
            <v>6.1559324187621112</v>
          </cell>
          <cell r="FL312">
            <v>22.272966302516185</v>
          </cell>
          <cell r="FM312">
            <v>-29.464070273692023</v>
          </cell>
          <cell r="FN312">
            <v>17.030801980217337</v>
          </cell>
          <cell r="FP312">
            <v>-178.25290534668468</v>
          </cell>
          <cell r="FQ312">
            <v>-41.409566229351768</v>
          </cell>
          <cell r="FR312">
            <v>-138.48249933825662</v>
          </cell>
          <cell r="FS312">
            <v>-99.034975381198649</v>
          </cell>
          <cell r="FT312">
            <v>-111.30607098232603</v>
          </cell>
          <cell r="FV312">
            <v>-225.21509789739548</v>
          </cell>
          <cell r="FW312">
            <v>-200.02132936434046</v>
          </cell>
          <cell r="FX312">
            <v>-231.72595505529526</v>
          </cell>
          <cell r="FY312">
            <v>-62.506484031967787</v>
          </cell>
          <cell r="FZ312">
            <v>-167.45511084021169</v>
          </cell>
          <cell r="GB312">
            <v>-102.7152519671326</v>
          </cell>
          <cell r="GC312">
            <v>-43.406594041712211</v>
          </cell>
          <cell r="GD312">
            <v>73.277257252808397</v>
          </cell>
          <cell r="GE312">
            <v>-36.057184935224271</v>
          </cell>
          <cell r="GF312">
            <v>-32.165815728035781</v>
          </cell>
        </row>
        <row r="314">
          <cell r="AN314" t="str">
            <v>Operating Income</v>
          </cell>
          <cell r="EL314" t="str">
            <v>Operating Income</v>
          </cell>
          <cell r="ER314">
            <v>149</v>
          </cell>
          <cell r="ES314">
            <v>408</v>
          </cell>
          <cell r="ET314">
            <v>279</v>
          </cell>
          <cell r="EU314">
            <v>1437</v>
          </cell>
          <cell r="EV314">
            <v>2273</v>
          </cell>
          <cell r="EX314">
            <v>244</v>
          </cell>
          <cell r="EY314">
            <v>347</v>
          </cell>
          <cell r="EZ314">
            <v>200</v>
          </cell>
          <cell r="FA314">
            <v>1291</v>
          </cell>
          <cell r="FB314">
            <v>2082</v>
          </cell>
          <cell r="FD314">
            <v>140</v>
          </cell>
          <cell r="FE314">
            <v>335</v>
          </cell>
          <cell r="FF314">
            <v>84</v>
          </cell>
          <cell r="FG314">
            <v>866</v>
          </cell>
          <cell r="FH314">
            <v>1425</v>
          </cell>
          <cell r="FJ314">
            <v>24</v>
          </cell>
          <cell r="FK314">
            <v>282</v>
          </cell>
          <cell r="FL314">
            <v>88</v>
          </cell>
          <cell r="FM314">
            <v>1060</v>
          </cell>
          <cell r="FN314">
            <v>1454</v>
          </cell>
          <cell r="FP314">
            <v>203</v>
          </cell>
          <cell r="FQ314">
            <v>370</v>
          </cell>
          <cell r="FR314">
            <v>177</v>
          </cell>
          <cell r="FS314">
            <v>1169</v>
          </cell>
          <cell r="FT314">
            <v>1919</v>
          </cell>
          <cell r="FV314">
            <v>330</v>
          </cell>
          <cell r="FW314">
            <v>506</v>
          </cell>
          <cell r="FX314">
            <v>291</v>
          </cell>
          <cell r="FY314">
            <v>1259</v>
          </cell>
          <cell r="FZ314">
            <v>2386</v>
          </cell>
          <cell r="GB314">
            <v>391</v>
          </cell>
          <cell r="GC314">
            <v>554</v>
          </cell>
          <cell r="GD314">
            <v>241.85331304964893</v>
          </cell>
          <cell r="GE314">
            <v>1361.8641463632762</v>
          </cell>
          <cell r="GF314">
            <v>2548.7174594129251</v>
          </cell>
        </row>
        <row r="315">
          <cell r="AN315" t="str">
            <v>Operating Margin</v>
          </cell>
          <cell r="EL315" t="str">
            <v>Operating Margin</v>
          </cell>
          <cell r="ER315">
            <v>2.5126475548060707E-2</v>
          </cell>
          <cell r="ES315">
            <v>6.805671392827356E-2</v>
          </cell>
          <cell r="ET315">
            <v>4.7400611620795105E-2</v>
          </cell>
          <cell r="EU315">
            <v>0.1568948575171962</v>
          </cell>
          <cell r="EV315">
            <v>8.4278828327771602E-2</v>
          </cell>
          <cell r="EX315">
            <v>4.12092551933795E-2</v>
          </cell>
          <cell r="EY315">
            <v>5.8893414799728448E-2</v>
          </cell>
          <cell r="EZ315">
            <v>3.3863867253640365E-2</v>
          </cell>
          <cell r="FA315">
            <v>0.15022108447754248</v>
          </cell>
          <cell r="FB315">
            <v>7.9124387185041611E-2</v>
          </cell>
          <cell r="FD315">
            <v>2.4360535931790498E-2</v>
          </cell>
          <cell r="FE315">
            <v>5.8586918502973068E-2</v>
          </cell>
          <cell r="FF315">
            <v>1.5292190060076462E-2</v>
          </cell>
          <cell r="FG315">
            <v>0.10915049155533149</v>
          </cell>
          <cell r="FH315">
            <v>5.7247308372167766E-2</v>
          </cell>
          <cell r="FJ315">
            <v>4.5385779122541605E-3</v>
          </cell>
          <cell r="FK315">
            <v>5.3358561967833493E-2</v>
          </cell>
          <cell r="FL315">
            <v>1.6341689879294335E-2</v>
          </cell>
          <cell r="FM315">
            <v>0.13340045305814247</v>
          </cell>
          <cell r="FN315">
            <v>6.0826639892904953E-2</v>
          </cell>
          <cell r="FP315">
            <v>3.6419088625762472E-2</v>
          </cell>
          <cell r="FQ315">
            <v>6.6823189452772255E-2</v>
          </cell>
          <cell r="FR315">
            <v>3.1477858794237951E-2</v>
          </cell>
          <cell r="FS315">
            <v>0.14137138710847744</v>
          </cell>
          <cell r="FT315">
            <v>7.6750789905211378E-2</v>
          </cell>
          <cell r="FV315">
            <v>5.6036678553234846E-2</v>
          </cell>
          <cell r="FW315">
            <v>8.5199528540158276E-2</v>
          </cell>
          <cell r="FX315">
            <v>4.9718093285494619E-2</v>
          </cell>
          <cell r="FY315">
            <v>0.1443145346171481</v>
          </cell>
          <cell r="FZ315">
            <v>9.0361673925392919E-2</v>
          </cell>
          <cell r="GB315">
            <v>6.3649682565521726E-2</v>
          </cell>
          <cell r="GC315">
            <v>9.0552468126838842E-2</v>
          </cell>
          <cell r="GD315">
            <v>4.0390367560213782E-2</v>
          </cell>
          <cell r="GE315">
            <v>0.14823304866911449</v>
          </cell>
          <cell r="GF315">
            <v>9.2896107400015485E-2</v>
          </cell>
        </row>
        <row r="316">
          <cell r="AN316" t="str">
            <v>BPS Change</v>
          </cell>
          <cell r="EL316" t="str">
            <v>BPS Change</v>
          </cell>
          <cell r="ER316">
            <v>-440.85279464298537</v>
          </cell>
          <cell r="ES316">
            <v>-122.63462720912194</v>
          </cell>
          <cell r="ET316">
            <v>-12.042488652534988</v>
          </cell>
          <cell r="EU316">
            <v>184.5582293355813</v>
          </cell>
          <cell r="EV316">
            <v>-112.10229287235099</v>
          </cell>
          <cell r="EX316">
            <v>160.82779645318794</v>
          </cell>
          <cell r="EY316">
            <v>-91.632991285451112</v>
          </cell>
          <cell r="EZ316">
            <v>-135.36744367154739</v>
          </cell>
          <cell r="FA316">
            <v>-66.737730396537188</v>
          </cell>
          <cell r="FB316">
            <v>-51.544411427299899</v>
          </cell>
          <cell r="FD316">
            <v>-168.48719261589002</v>
          </cell>
          <cell r="FE316">
            <v>-3.0649629675538055</v>
          </cell>
          <cell r="FF316">
            <v>-185.71677193563903</v>
          </cell>
          <cell r="FG316">
            <v>-410.70592922210989</v>
          </cell>
          <cell r="FJ316">
            <v>-198.21958019536339</v>
          </cell>
          <cell r="FK316">
            <v>-52.283565351395751</v>
          </cell>
          <cell r="FL316">
            <v>10.494998192178731</v>
          </cell>
          <cell r="FM316">
            <v>242.49961502810973</v>
          </cell>
          <cell r="FP316">
            <v>318.80510713508306</v>
          </cell>
          <cell r="FQ316">
            <v>134.64627484938762</v>
          </cell>
          <cell r="FR316">
            <v>151.36168914943616</v>
          </cell>
          <cell r="FS316">
            <v>78.196673151046397</v>
          </cell>
          <cell r="FV316">
            <v>196.17589927472375</v>
          </cell>
          <cell r="FW316">
            <v>183.7633908738602</v>
          </cell>
          <cell r="FX316">
            <v>182.40234491256669</v>
          </cell>
          <cell r="FY316">
            <v>29.431475086706683</v>
          </cell>
          <cell r="GB316">
            <v>76.130040122868792</v>
          </cell>
          <cell r="GC316">
            <v>53.529395866805665</v>
          </cell>
          <cell r="GD316">
            <v>-93.277257252808369</v>
          </cell>
          <cell r="GE316">
            <v>39.185140519663875</v>
          </cell>
        </row>
        <row r="318">
          <cell r="AN318" t="str">
            <v>Assumptions Spreads</v>
          </cell>
        </row>
        <row r="319">
          <cell r="AN319" t="str">
            <v>Bull Case Assumptions</v>
          </cell>
        </row>
        <row r="320">
          <cell r="AN320" t="str">
            <v>Monthly Comps</v>
          </cell>
        </row>
        <row r="321">
          <cell r="AN321" t="str">
            <v>Month 1</v>
          </cell>
          <cell r="GE321">
            <v>0.02</v>
          </cell>
        </row>
        <row r="322">
          <cell r="AN322" t="str">
            <v>Month 2</v>
          </cell>
          <cell r="GD322">
            <v>0.02</v>
          </cell>
          <cell r="GE322">
            <v>0.02</v>
          </cell>
        </row>
        <row r="323">
          <cell r="AN323" t="str">
            <v>Month 3</v>
          </cell>
          <cell r="GD323">
            <v>0.02</v>
          </cell>
          <cell r="GE323">
            <v>0.02</v>
          </cell>
        </row>
        <row r="324">
          <cell r="AN324" t="str">
            <v xml:space="preserve">  Total</v>
          </cell>
        </row>
        <row r="325">
          <cell r="AN325" t="str">
            <v>Y/Y ∆ Gross Margin (bps)</v>
          </cell>
          <cell r="GD325">
            <v>35</v>
          </cell>
          <cell r="GE325">
            <v>35</v>
          </cell>
        </row>
        <row r="326">
          <cell r="AN326" t="str">
            <v>Y/Y ∆ SG&amp;A Ratio (bps)</v>
          </cell>
          <cell r="GD326">
            <v>-24</v>
          </cell>
          <cell r="GE326">
            <v>-24</v>
          </cell>
        </row>
        <row r="328">
          <cell r="AN328" t="str">
            <v>Bear Case Assumptions</v>
          </cell>
        </row>
        <row r="329">
          <cell r="AN329" t="str">
            <v>Monthly Comps</v>
          </cell>
        </row>
        <row r="330">
          <cell r="AN330" t="str">
            <v>Month 1</v>
          </cell>
          <cell r="GE330">
            <v>-0.02</v>
          </cell>
        </row>
        <row r="331">
          <cell r="AN331" t="str">
            <v>Month 2</v>
          </cell>
          <cell r="GD331">
            <v>-0.02</v>
          </cell>
          <cell r="GE331">
            <v>-0.02</v>
          </cell>
        </row>
        <row r="332">
          <cell r="AN332" t="str">
            <v>Month 3</v>
          </cell>
          <cell r="GD332">
            <v>-0.02</v>
          </cell>
          <cell r="GE332">
            <v>-0.02</v>
          </cell>
        </row>
        <row r="333">
          <cell r="AN333" t="str">
            <v xml:space="preserve">  Total</v>
          </cell>
        </row>
        <row r="334">
          <cell r="AN334" t="str">
            <v>Y/Y ∆ Gross Margin (bps)</v>
          </cell>
          <cell r="GD334">
            <v>-35</v>
          </cell>
          <cell r="GE334">
            <v>-35</v>
          </cell>
        </row>
        <row r="335">
          <cell r="AN335" t="str">
            <v>Y/Y ∆ SG&amp;A Ratio (bps)</v>
          </cell>
          <cell r="GD335">
            <v>25</v>
          </cell>
          <cell r="GE335">
            <v>25</v>
          </cell>
        </row>
        <row r="338">
          <cell r="AN338" t="str">
            <v>Pension Expense (Benefit)</v>
          </cell>
          <cell r="EX338">
            <v>35</v>
          </cell>
          <cell r="EY338">
            <v>40</v>
          </cell>
          <cell r="EZ338">
            <v>39</v>
          </cell>
          <cell r="FA338">
            <v>39</v>
          </cell>
          <cell r="FB338">
            <v>153</v>
          </cell>
          <cell r="FD338">
            <v>38</v>
          </cell>
          <cell r="FE338">
            <v>37</v>
          </cell>
          <cell r="FF338">
            <v>38</v>
          </cell>
          <cell r="FG338">
            <v>17</v>
          </cell>
          <cell r="FH338">
            <v>130</v>
          </cell>
          <cell r="FJ338">
            <v>34</v>
          </cell>
          <cell r="FK338">
            <v>35</v>
          </cell>
          <cell r="FL338">
            <v>35</v>
          </cell>
          <cell r="FM338">
            <v>35</v>
          </cell>
          <cell r="FN338">
            <v>139</v>
          </cell>
          <cell r="FP338">
            <v>34.75</v>
          </cell>
          <cell r="FQ338">
            <v>34.75</v>
          </cell>
          <cell r="FR338">
            <v>34.75</v>
          </cell>
          <cell r="FS338">
            <v>34.75</v>
          </cell>
          <cell r="FT338">
            <v>139</v>
          </cell>
          <cell r="FV338">
            <v>34.75</v>
          </cell>
          <cell r="FW338">
            <v>38</v>
          </cell>
          <cell r="FX338">
            <v>38</v>
          </cell>
          <cell r="FY338">
            <v>39</v>
          </cell>
          <cell r="FZ338">
            <v>149.75</v>
          </cell>
          <cell r="GB338">
            <v>50.75</v>
          </cell>
          <cell r="GC338">
            <v>57</v>
          </cell>
          <cell r="GD338">
            <v>56</v>
          </cell>
          <cell r="GE338">
            <v>57</v>
          </cell>
          <cell r="GF338">
            <v>220.75</v>
          </cell>
        </row>
        <row r="339">
          <cell r="GB339">
            <v>16</v>
          </cell>
          <cell r="GC339">
            <v>19</v>
          </cell>
          <cell r="GD339">
            <v>18</v>
          </cell>
          <cell r="GE339">
            <v>18</v>
          </cell>
          <cell r="GF339">
            <v>71</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riance-4Q12A"/>
      <sheetName val="bal"/>
      <sheetName val="flow"/>
      <sheetName val="qtrP&amp;L"/>
      <sheetName val="Flow-through"/>
      <sheetName val="mthSales-Total"/>
      <sheetName val="sumry"/>
      <sheetName val="FY13 Guidance"/>
      <sheetName val="BBB"/>
      <sheetName val="yrP&amp;L"/>
      <sheetName val="qtrSales"/>
      <sheetName val="qtrSales-seg"/>
      <sheetName val="stores"/>
      <sheetName val="qtlycomp"/>
      <sheetName val="yrSales"/>
      <sheetName val="qtrP&amp;L-seg"/>
      <sheetName val="JWN ROIC"/>
      <sheetName val="turn"/>
      <sheetName val="wc"/>
      <sheetName val="Debt"/>
      <sheetName val="Earnings"/>
      <sheetName val="E-comm chart"/>
      <sheetName val="MWA RR"/>
      <sheetName val="dtc"/>
      <sheetName val="LEASES NEW"/>
      <sheetName val="mwareDates"/>
      <sheetName val="mwareSettings"/>
      <sheetName val="MW-Cach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2">
          <cell r="B2" t="str">
            <v>2001-Q1</v>
          </cell>
        </row>
      </sheetData>
      <sheetData sheetId="26"/>
      <sheetData sheetId="27"/>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
      <sheetName val="Sheet1"/>
      <sheetName val="Scenario"/>
      <sheetName val="ImportantDisclosures"/>
      <sheetName val="IndexInformation"/>
      <sheetName val="Income"/>
      <sheetName val="GWP"/>
      <sheetName val="Euro vs. PM"/>
      <sheetName val="Ruble"/>
      <sheetName val="Income Statement"/>
      <sheetName val="Margins"/>
      <sheetName val="MS_IRI_Methodology"/>
      <sheetName val="MARKET_SHARE ($)_RAW_DATA"/>
      <sheetName val="NEXXUS_RAW_DATA"/>
      <sheetName val="HAIR_CARE_MARKET SHARE ROLL-UP"/>
      <sheetName val="TOTAL_ACV_DOLLAR_SALES"/>
      <sheetName val="Comps"/>
      <sheetName val="Switches"/>
      <sheetName val="SSB Nielsen Sales"/>
      <sheetName val="TimeSeries"/>
      <sheetName val="Valuation Analyzer"/>
      <sheetName val="EBITDA"/>
      <sheetName val="GWP-WLine"/>
      <sheetName val="TS_Stnd_Dev_Band"/>
      <sheetName val="Print "/>
      <sheetName val="Lookup"/>
      <sheetName val="Input"/>
      <sheetName val="99 cons YTD"/>
      <sheetName val="KPN"/>
      <sheetName val="summary"/>
      <sheetName val="B"/>
      <sheetName val="Ratios"/>
      <sheetName val="C"/>
      <sheetName val="Realizations vs Average"/>
      <sheetName val="Oil Consumption – barrels"/>
      <sheetName val="rev change analysis"/>
      <sheetName val="O100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ning"/>
      <sheetName val="Insurance"/>
      <sheetName val="Banks"/>
      <sheetName val="Oils"/>
      <sheetName val="General Europe"/>
      <sheetName val="General UK"/>
      <sheetName val="Latest_Chart"/>
      <sheetName val="Add4Sheet"/>
      <sheetName val="Module2"/>
      <sheetName val="Module1"/>
      <sheetName val="LINKTAB"/>
      <sheetName val="Model"/>
      <sheetName val="Market_Share"/>
      <sheetName val="Assumptions"/>
      <sheetName val="P"/>
      <sheetName val="Summary"/>
      <sheetName val="Consol_Income"/>
      <sheetName val="Rate Case"/>
      <sheetName val="Balance Sheet"/>
      <sheetName val="Sheet9"/>
      <sheetName val="Leases"/>
      <sheetName val="Graph"/>
      <sheetName val="Income"/>
      <sheetName val="Financial Summary"/>
      <sheetName val="Cash flow"/>
      <sheetName val="Profit &amp; Loss"/>
      <sheetName val="Inputs, sensitivity &amp; val"/>
      <sheetName val="Exclusion List"/>
      <sheetName val="CFOld"/>
      <sheetName val="PLOld"/>
      <sheetName val="Headline"/>
      <sheetName val="MTT old"/>
      <sheetName val="BizJet Deliveries"/>
      <sheetName val="DOMNETREV1002B"/>
      <sheetName val="c1"/>
      <sheetName val="Monthly figures"/>
      <sheetName val="Consolidated"/>
      <sheetName val="CENMODEL"/>
      <sheetName val="Customize Your Statement"/>
      <sheetName val="Sainsbury"/>
      <sheetName val="KQ"/>
    </sheetNames>
    <definedNames>
      <definedName name="Download_series"/>
      <definedName name="Update_This"/>
    </definedNames>
    <sheetDataSet>
      <sheetData sheetId="0"/>
      <sheetData sheetId="1"/>
      <sheetData sheetId="2"/>
      <sheetData sheetId="3"/>
      <sheetData sheetId="4"/>
      <sheetData sheetId="5"/>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6.vml" Type="http://schemas.openxmlformats.org/officeDocument/2006/relationships/vmlDrawing"/>
<Relationship Id="rId3" Target="../comments6.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7.vml" Type="http://schemas.openxmlformats.org/officeDocument/2006/relationships/vmlDrawing"/>
<Relationship Id="rId3" Target="../comments7.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8.vml" Type="http://schemas.openxmlformats.org/officeDocument/2006/relationships/vmlDrawing"/>
<Relationship Id="rId3" Target="../comments8.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vmlDrawing9.vml" Type="http://schemas.openxmlformats.org/officeDocument/2006/relationships/vmlDrawing"/>
<Relationship Id="rId3" Target="../comments9.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 Id="rId2" Target="../drawings/vmlDrawing10.vml" Type="http://schemas.openxmlformats.org/officeDocument/2006/relationships/vmlDrawing"/>
<Relationship Id="rId3" Target="../comments10.xml" Type="http://schemas.openxmlformats.org/officeDocument/2006/relationships/comments"/>
</Relationships>

</file>

<file path=xl/worksheets/_rels/sheet12.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13.xml.rels><?xml version="1.0" encoding="UTF-8" standalone="yes"?>
<Relationships xmlns="http://schemas.openxmlformats.org/package/2006/relationships">
<Relationship Id="rId1" Target="../printerSettings/printerSettings13.bin" Type="http://schemas.openxmlformats.org/officeDocument/2006/relationships/printerSettings"/>
<Relationship Id="rId2" Target="../drawings/vmlDrawing11.vml" Type="http://schemas.openxmlformats.org/officeDocument/2006/relationships/vmlDrawing"/>
<Relationship Id="rId3" Target="../comments11.xml" Type="http://schemas.openxmlformats.org/officeDocument/2006/relationships/comments"/>
</Relationships>

</file>

<file path=xl/worksheets/_rels/sheet14.xml.rels><?xml version="1.0" encoding="UTF-8" standalone="yes"?>
<Relationships xmlns="http://schemas.openxmlformats.org/package/2006/relationships">
<Relationship Id="rId1" Target="../printerSettings/printerSettings14.bin" Type="http://schemas.openxmlformats.org/officeDocument/2006/relationships/printerSettings"/>
<Relationship Id="rId2" Target="../drawings/vmlDrawing12.vml" Type="http://schemas.openxmlformats.org/officeDocument/2006/relationships/vmlDrawing"/>
<Relationship Id="rId3" Target="../comments12.xml" Type="http://schemas.openxmlformats.org/officeDocument/2006/relationships/comments"/>
</Relationships>

</file>

<file path=xl/worksheets/_rels/sheet15.xml.rels><?xml version="1.0" encoding="UTF-8" standalone="yes"?>
<Relationships xmlns="http://schemas.openxmlformats.org/package/2006/relationships">
<Relationship Id="rId1" Target="../printerSettings/printerSettings15.bin" Type="http://schemas.openxmlformats.org/officeDocument/2006/relationships/printerSettings"/>
</Relationships>

</file>

<file path=xl/worksheets/_rels/sheet16.xml.rels><?xml version="1.0" encoding="UTF-8" standalone="yes"?>
<Relationships xmlns="http://schemas.openxmlformats.org/package/2006/relationships">
<Relationship Id="rId1" Target="../printerSettings/printerSettings16.bin" Type="http://schemas.openxmlformats.org/officeDocument/2006/relationships/printerSettings"/>
<Relationship Id="rId2" Target="../drawings/vmlDrawing13.vml" Type="http://schemas.openxmlformats.org/officeDocument/2006/relationships/vmlDrawing"/>
<Relationship Id="rId3" Target="../comments13.xml" Type="http://schemas.openxmlformats.org/officeDocument/2006/relationships/comments"/>
</Relationships>

</file>

<file path=xl/worksheets/_rels/sheet17.xml.rels><?xml version="1.0" encoding="UTF-8" standalone="yes"?>
<Relationships xmlns="http://schemas.openxmlformats.org/package/2006/relationships">
<Relationship Id="rId1" Target="../printerSettings/printerSettings17.bin" Type="http://schemas.openxmlformats.org/officeDocument/2006/relationships/printerSettings"/>
<Relationship Id="rId2" Target="../drawings/vmlDrawing14.vml" Type="http://schemas.openxmlformats.org/officeDocument/2006/relationships/vmlDrawing"/>
<Relationship Id="rId3" Target="../comments14.xml" Type="http://schemas.openxmlformats.org/officeDocument/2006/relationships/comments"/>
</Relationships>

</file>

<file path=xl/worksheets/_rels/sheet18.xml.rels><?xml version="1.0" encoding="UTF-8" standalone="yes"?>
<Relationships xmlns="http://schemas.openxmlformats.org/package/2006/relationships">
<Relationship Id="rId1" Target="../printerSettings/printerSettings18.bin" Type="http://schemas.openxmlformats.org/officeDocument/2006/relationships/printerSettings"/>
<Relationship Id="rId2" Target="../drawings/vmlDrawing15.vml" Type="http://schemas.openxmlformats.org/officeDocument/2006/relationships/vmlDrawing"/>
<Relationship Id="rId3" Target="../comments15.xml" Type="http://schemas.openxmlformats.org/officeDocument/2006/relationships/comments"/>
</Relationships>

</file>

<file path=xl/worksheets/_rels/sheet19.xml.rels><?xml version="1.0" encoding="UTF-8" standalone="yes"?>
<Relationships xmlns="http://schemas.openxmlformats.org/package/2006/relationships">
<Relationship Id="rId1" Target="../printerSettings/printerSettings19.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391"/>
  <sheetViews>
    <sheetView showGridLines="0" tabSelected="1" workbookViewId="0">
      <selection activeCell="Z1" sqref="Z1"/>
    </sheetView>
  </sheetViews>
  <sheetFormatPr defaultRowHeight="12.75" x14ac:dyDescent="0.2"/>
  <cols>
    <col min="1" max="1" width="25.7109375" style="1522" customWidth="1"/>
    <col min="2" max="5" width="9.140625" style="1522"/>
    <col min="6" max="6" width="18.7109375" style="1522" customWidth="1"/>
    <col min="7" max="256" width="9.140625" style="1522"/>
    <col min="257" max="257" width="100.7109375" style="1522" customWidth="1"/>
    <col min="258" max="512" width="9.140625" style="1522"/>
    <col min="513" max="513" width="100.7109375" style="1522" customWidth="1"/>
    <col min="514" max="768" width="9.140625" style="1522"/>
    <col min="769" max="769" width="100.7109375" style="1522" customWidth="1"/>
    <col min="770" max="1024" width="9.140625" style="1522"/>
    <col min="1025" max="1025" width="100.7109375" style="1522" customWidth="1"/>
    <col min="1026" max="1280" width="9.140625" style="1522"/>
    <col min="1281" max="1281" width="100.7109375" style="1522" customWidth="1"/>
    <col min="1282" max="1536" width="9.140625" style="1522"/>
    <col min="1537" max="1537" width="100.7109375" style="1522" customWidth="1"/>
    <col min="1538" max="1792" width="9.140625" style="1522"/>
    <col min="1793" max="1793" width="100.7109375" style="1522" customWidth="1"/>
    <col min="1794" max="2048" width="9.140625" style="1522"/>
    <col min="2049" max="2049" width="100.7109375" style="1522" customWidth="1"/>
    <col min="2050" max="2304" width="9.140625" style="1522"/>
    <col min="2305" max="2305" width="100.7109375" style="1522" customWidth="1"/>
    <col min="2306" max="2560" width="9.140625" style="1522"/>
    <col min="2561" max="2561" width="100.7109375" style="1522" customWidth="1"/>
    <col min="2562" max="2816" width="9.140625" style="1522"/>
    <col min="2817" max="2817" width="100.7109375" style="1522" customWidth="1"/>
    <col min="2818" max="3072" width="9.140625" style="1522"/>
    <col min="3073" max="3073" width="100.7109375" style="1522" customWidth="1"/>
    <col min="3074" max="3328" width="9.140625" style="1522"/>
    <col min="3329" max="3329" width="100.7109375" style="1522" customWidth="1"/>
    <col min="3330" max="3584" width="9.140625" style="1522"/>
    <col min="3585" max="3585" width="100.7109375" style="1522" customWidth="1"/>
    <col min="3586" max="3840" width="9.140625" style="1522"/>
    <col min="3841" max="3841" width="100.7109375" style="1522" customWidth="1"/>
    <col min="3842" max="4096" width="9.140625" style="1522"/>
    <col min="4097" max="4097" width="100.7109375" style="1522" customWidth="1"/>
    <col min="4098" max="4352" width="9.140625" style="1522"/>
    <col min="4353" max="4353" width="100.7109375" style="1522" customWidth="1"/>
    <col min="4354" max="4608" width="9.140625" style="1522"/>
    <col min="4609" max="4609" width="100.7109375" style="1522" customWidth="1"/>
    <col min="4610" max="4864" width="9.140625" style="1522"/>
    <col min="4865" max="4865" width="100.7109375" style="1522" customWidth="1"/>
    <col min="4866" max="5120" width="9.140625" style="1522"/>
    <col min="5121" max="5121" width="100.7109375" style="1522" customWidth="1"/>
    <col min="5122" max="5376" width="9.140625" style="1522"/>
    <col min="5377" max="5377" width="100.7109375" style="1522" customWidth="1"/>
    <col min="5378" max="5632" width="9.140625" style="1522"/>
    <col min="5633" max="5633" width="100.7109375" style="1522" customWidth="1"/>
    <col min="5634" max="5888" width="9.140625" style="1522"/>
    <col min="5889" max="5889" width="100.7109375" style="1522" customWidth="1"/>
    <col min="5890" max="6144" width="9.140625" style="1522"/>
    <col min="6145" max="6145" width="100.7109375" style="1522" customWidth="1"/>
    <col min="6146" max="6400" width="9.140625" style="1522"/>
    <col min="6401" max="6401" width="100.7109375" style="1522" customWidth="1"/>
    <col min="6402" max="6656" width="9.140625" style="1522"/>
    <col min="6657" max="6657" width="100.7109375" style="1522" customWidth="1"/>
    <col min="6658" max="6912" width="9.140625" style="1522"/>
    <col min="6913" max="6913" width="100.7109375" style="1522" customWidth="1"/>
    <col min="6914" max="7168" width="9.140625" style="1522"/>
    <col min="7169" max="7169" width="100.7109375" style="1522" customWidth="1"/>
    <col min="7170" max="7424" width="9.140625" style="1522"/>
    <col min="7425" max="7425" width="100.7109375" style="1522" customWidth="1"/>
    <col min="7426" max="7680" width="9.140625" style="1522"/>
    <col min="7681" max="7681" width="100.7109375" style="1522" customWidth="1"/>
    <col min="7682" max="7936" width="9.140625" style="1522"/>
    <col min="7937" max="7937" width="100.7109375" style="1522" customWidth="1"/>
    <col min="7938" max="8192" width="9.140625" style="1522"/>
    <col min="8193" max="8193" width="100.7109375" style="1522" customWidth="1"/>
    <col min="8194" max="8448" width="9.140625" style="1522"/>
    <col min="8449" max="8449" width="100.7109375" style="1522" customWidth="1"/>
    <col min="8450" max="8704" width="9.140625" style="1522"/>
    <col min="8705" max="8705" width="100.7109375" style="1522" customWidth="1"/>
    <col min="8706" max="8960" width="9.140625" style="1522"/>
    <col min="8961" max="8961" width="100.7109375" style="1522" customWidth="1"/>
    <col min="8962" max="9216" width="9.140625" style="1522"/>
    <col min="9217" max="9217" width="100.7109375" style="1522" customWidth="1"/>
    <col min="9218" max="9472" width="9.140625" style="1522"/>
    <col min="9473" max="9473" width="100.7109375" style="1522" customWidth="1"/>
    <col min="9474" max="9728" width="9.140625" style="1522"/>
    <col min="9729" max="9729" width="100.7109375" style="1522" customWidth="1"/>
    <col min="9730" max="9984" width="9.140625" style="1522"/>
    <col min="9985" max="9985" width="100.7109375" style="1522" customWidth="1"/>
    <col min="9986" max="10240" width="9.140625" style="1522"/>
    <col min="10241" max="10241" width="100.7109375" style="1522" customWidth="1"/>
    <col min="10242" max="10496" width="9.140625" style="1522"/>
    <col min="10497" max="10497" width="100.7109375" style="1522" customWidth="1"/>
    <col min="10498" max="10752" width="9.140625" style="1522"/>
    <col min="10753" max="10753" width="100.7109375" style="1522" customWidth="1"/>
    <col min="10754" max="11008" width="9.140625" style="1522"/>
    <col min="11009" max="11009" width="100.7109375" style="1522" customWidth="1"/>
    <col min="11010" max="11264" width="9.140625" style="1522"/>
    <col min="11265" max="11265" width="100.7109375" style="1522" customWidth="1"/>
    <col min="11266" max="11520" width="9.140625" style="1522"/>
    <col min="11521" max="11521" width="100.7109375" style="1522" customWidth="1"/>
    <col min="11522" max="11776" width="9.140625" style="1522"/>
    <col min="11777" max="11777" width="100.7109375" style="1522" customWidth="1"/>
    <col min="11778" max="12032" width="9.140625" style="1522"/>
    <col min="12033" max="12033" width="100.7109375" style="1522" customWidth="1"/>
    <col min="12034" max="12288" width="9.140625" style="1522"/>
    <col min="12289" max="12289" width="100.7109375" style="1522" customWidth="1"/>
    <col min="12290" max="12544" width="9.140625" style="1522"/>
    <col min="12545" max="12545" width="100.7109375" style="1522" customWidth="1"/>
    <col min="12546" max="12800" width="9.140625" style="1522"/>
    <col min="12801" max="12801" width="100.7109375" style="1522" customWidth="1"/>
    <col min="12802" max="13056" width="9.140625" style="1522"/>
    <col min="13057" max="13057" width="100.7109375" style="1522" customWidth="1"/>
    <col min="13058" max="13312" width="9.140625" style="1522"/>
    <col min="13313" max="13313" width="100.7109375" style="1522" customWidth="1"/>
    <col min="13314" max="13568" width="9.140625" style="1522"/>
    <col min="13569" max="13569" width="100.7109375" style="1522" customWidth="1"/>
    <col min="13570" max="13824" width="9.140625" style="1522"/>
    <col min="13825" max="13825" width="100.7109375" style="1522" customWidth="1"/>
    <col min="13826" max="14080" width="9.140625" style="1522"/>
    <col min="14081" max="14081" width="100.7109375" style="1522" customWidth="1"/>
    <col min="14082" max="14336" width="9.140625" style="1522"/>
    <col min="14337" max="14337" width="100.7109375" style="1522" customWidth="1"/>
    <col min="14338" max="14592" width="9.140625" style="1522"/>
    <col min="14593" max="14593" width="100.7109375" style="1522" customWidth="1"/>
    <col min="14594" max="14848" width="9.140625" style="1522"/>
    <col min="14849" max="14849" width="100.7109375" style="1522" customWidth="1"/>
    <col min="14850" max="15104" width="9.140625" style="1522"/>
    <col min="15105" max="15105" width="100.7109375" style="1522" customWidth="1"/>
    <col min="15106" max="15360" width="9.140625" style="1522"/>
    <col min="15361" max="15361" width="100.7109375" style="1522" customWidth="1"/>
    <col min="15362" max="15616" width="9.140625" style="1522"/>
    <col min="15617" max="15617" width="100.7109375" style="1522" customWidth="1"/>
    <col min="15618" max="15872" width="9.140625" style="1522"/>
    <col min="15873" max="15873" width="100.7109375" style="1522" customWidth="1"/>
    <col min="15874" max="16128" width="9.140625" style="1522"/>
    <col min="16129" max="16129" width="100.7109375" style="1522" customWidth="1"/>
    <col min="16130" max="16384" width="9.140625" style="1522"/>
  </cols>
  <sheetData>
    <row r="1" spans="1:8" ht="30" customHeight="1" x14ac:dyDescent="0.2">
      <c r="A1" s="1520"/>
      <c r="B1" s="1521"/>
      <c r="C1" s="1521"/>
      <c r="D1" s="1521"/>
      <c r="E1" s="1521"/>
      <c r="F1" s="1521"/>
      <c r="G1" s="1521"/>
      <c r="H1" s="1521"/>
    </row>
    <row r="2" spans="1:8" ht="14.25" x14ac:dyDescent="0.2">
      <c r="A2" s="1523" t="s">
        <v>710</v>
      </c>
      <c r="B2" s="1521"/>
      <c r="C2" s="1521"/>
      <c r="D2" s="1521"/>
      <c r="E2" s="1521"/>
      <c r="F2" s="1521"/>
      <c r="G2" s="1521"/>
      <c r="H2" s="1521"/>
    </row>
    <row r="3" spans="1:8" ht="14.25" x14ac:dyDescent="0.2">
      <c r="A3" s="1523" t="s">
        <v>711</v>
      </c>
      <c r="B3" s="1521"/>
      <c r="C3" s="1521"/>
      <c r="D3" s="1521"/>
      <c r="E3" s="1521"/>
      <c r="F3" s="1521"/>
      <c r="G3" s="1521"/>
      <c r="H3" s="1521"/>
    </row>
    <row r="4" spans="1:8" ht="14.25" x14ac:dyDescent="0.2">
      <c r="A4" s="1523" t="s">
        <v>712</v>
      </c>
      <c r="B4" s="1521"/>
      <c r="C4" s="1521"/>
      <c r="D4" s="1521"/>
      <c r="E4" s="1521"/>
      <c r="F4" s="1521"/>
      <c r="G4" s="1521"/>
      <c r="H4" s="1521"/>
    </row>
    <row r="5" spans="1:8" ht="14.25" x14ac:dyDescent="0.2">
      <c r="A5" s="1523" t="s">
        <v>713</v>
      </c>
      <c r="B5" s="1521"/>
      <c r="C5" s="1521"/>
      <c r="D5" s="1521"/>
      <c r="E5" s="1521"/>
      <c r="F5" s="1521"/>
      <c r="G5" s="1521"/>
      <c r="H5" s="1521"/>
    </row>
    <row r="6" spans="1:8" ht="14.25" x14ac:dyDescent="0.2">
      <c r="A6" s="1523"/>
      <c r="B6" s="1521"/>
      <c r="C6" s="1521"/>
      <c r="D6" s="1521"/>
      <c r="E6" s="1521"/>
      <c r="F6" s="1521"/>
      <c r="G6" s="1521"/>
      <c r="H6" s="1521"/>
    </row>
    <row r="7" spans="1:8" x14ac:dyDescent="0.2">
      <c r="A7" s="1520" t="s">
        <v>714</v>
      </c>
      <c r="B7" s="1521"/>
      <c r="C7" s="1521"/>
      <c r="D7" s="1521"/>
      <c r="E7" s="1521"/>
      <c r="F7" s="1521"/>
      <c r="G7" s="1521"/>
      <c r="H7" s="1521"/>
    </row>
    <row r="8" spans="1:8" x14ac:dyDescent="0.2">
      <c r="A8" s="1520" t="s">
        <v>715</v>
      </c>
      <c r="B8" s="1521"/>
      <c r="C8" s="1521"/>
      <c r="D8" s="1521"/>
      <c r="E8" s="1521"/>
      <c r="F8" s="1521"/>
      <c r="G8" s="1521"/>
      <c r="H8" s="1521"/>
    </row>
    <row r="9" spans="1:8" x14ac:dyDescent="0.2">
      <c r="A9" s="1520"/>
      <c r="B9" s="1521"/>
      <c r="C9" s="1521"/>
      <c r="D9" s="1521"/>
      <c r="E9" s="1521"/>
      <c r="F9" s="1521"/>
      <c r="G9" s="1521"/>
      <c r="H9" s="1521"/>
    </row>
    <row r="10" spans="1:8" x14ac:dyDescent="0.2">
      <c r="A10" s="1524" t="s">
        <v>716</v>
      </c>
      <c r="B10" s="1521"/>
      <c r="C10" s="1521"/>
      <c r="D10" s="1521"/>
      <c r="E10" s="1521"/>
      <c r="F10" s="1521"/>
      <c r="G10" s="1521"/>
      <c r="H10" s="1521"/>
    </row>
    <row r="11" spans="1:8" x14ac:dyDescent="0.2">
      <c r="A11" s="1524" t="s">
        <v>717</v>
      </c>
      <c r="B11" s="1521"/>
      <c r="C11" s="1521"/>
      <c r="D11" s="1521"/>
      <c r="E11" s="1521"/>
      <c r="F11" s="1521"/>
      <c r="G11" s="1521"/>
      <c r="H11" s="1521"/>
    </row>
    <row r="12" spans="1:8" x14ac:dyDescent="0.2">
      <c r="A12" s="1524" t="s">
        <v>718</v>
      </c>
      <c r="B12" s="1521"/>
      <c r="C12" s="1521"/>
      <c r="D12" s="1521"/>
      <c r="E12" s="1521"/>
      <c r="F12" s="1521"/>
      <c r="G12" s="1521"/>
      <c r="H12" s="1521"/>
    </row>
    <row r="13" spans="1:8" x14ac:dyDescent="0.2">
      <c r="A13" s="1524" t="s">
        <v>719</v>
      </c>
      <c r="B13" s="1521"/>
      <c r="C13" s="1521"/>
      <c r="D13" s="1521"/>
      <c r="E13" s="1521"/>
      <c r="F13" s="1521"/>
      <c r="G13" s="1521"/>
      <c r="H13" s="1521"/>
    </row>
    <row r="14" spans="1:8" x14ac:dyDescent="0.2">
      <c r="A14" s="1524" t="s">
        <v>720</v>
      </c>
      <c r="B14" s="1521"/>
      <c r="C14" s="1521"/>
      <c r="D14" s="1521"/>
      <c r="E14" s="1521"/>
      <c r="F14" s="1521"/>
      <c r="G14" s="1521"/>
      <c r="H14" s="1521"/>
    </row>
    <row r="15" spans="1:8" x14ac:dyDescent="0.2">
      <c r="A15" s="1524" t="s">
        <v>721</v>
      </c>
      <c r="B15" s="1521"/>
      <c r="C15" s="1521"/>
      <c r="D15" s="1521"/>
      <c r="E15" s="1521"/>
      <c r="F15" s="1521"/>
      <c r="G15" s="1521"/>
      <c r="H15" s="1521"/>
    </row>
    <row r="16" spans="1:8" x14ac:dyDescent="0.2">
      <c r="A16" s="1524"/>
      <c r="B16" s="1521"/>
      <c r="C16" s="1521"/>
      <c r="D16" s="1521"/>
      <c r="E16" s="1521"/>
      <c r="F16" s="1521"/>
      <c r="G16" s="1521"/>
      <c r="H16" s="1521"/>
    </row>
    <row r="17" spans="1:8" x14ac:dyDescent="0.2">
      <c r="A17" s="1524" t="s">
        <v>707</v>
      </c>
      <c r="B17" s="1521"/>
      <c r="C17" s="1521"/>
      <c r="D17" s="1521"/>
      <c r="E17" s="1521"/>
      <c r="F17" s="1521"/>
      <c r="G17" s="1521"/>
      <c r="H17" s="1521"/>
    </row>
    <row r="18" spans="1:8" x14ac:dyDescent="0.2">
      <c r="A18" s="1524"/>
      <c r="B18" s="1521"/>
      <c r="C18" s="1521"/>
      <c r="D18" s="1521"/>
      <c r="E18" s="1521"/>
      <c r="F18" s="1521"/>
      <c r="G18" s="1521"/>
      <c r="H18" s="1521"/>
    </row>
    <row r="19" spans="1:8" x14ac:dyDescent="0.2">
      <c r="A19" s="1524" t="s">
        <v>708</v>
      </c>
      <c r="B19" s="1521"/>
      <c r="C19" s="1521"/>
      <c r="D19" s="1521"/>
      <c r="E19" s="1521"/>
      <c r="F19" s="1521"/>
      <c r="G19" s="1521"/>
      <c r="H19" s="1521"/>
    </row>
    <row r="20" spans="1:8" x14ac:dyDescent="0.2">
      <c r="A20" s="1520"/>
      <c r="B20" s="1521"/>
      <c r="C20" s="1521"/>
      <c r="D20" s="1521"/>
      <c r="E20" s="1521"/>
      <c r="F20" s="1521"/>
      <c r="G20" s="1521"/>
      <c r="H20" s="1521"/>
    </row>
    <row r="21" spans="1:8" x14ac:dyDescent="0.2">
      <c r="A21" s="1525" t="s">
        <v>709</v>
      </c>
      <c r="B21" s="1521"/>
      <c r="C21" s="1521"/>
      <c r="D21" s="1521"/>
      <c r="E21" s="1521"/>
      <c r="F21" s="1521"/>
      <c r="G21" s="1521"/>
      <c r="H21" s="1521"/>
    </row>
    <row r="22" spans="1:8" x14ac:dyDescent="0.2">
      <c r="A22" s="1526"/>
      <c r="B22" s="1526"/>
      <c r="C22" s="1526"/>
      <c r="D22" s="1526"/>
      <c r="E22" s="1526"/>
      <c r="F22" s="1526"/>
      <c r="G22" s="1526"/>
      <c r="H22" s="1526"/>
    </row>
    <row r="23" spans="1:8" x14ac:dyDescent="0.2">
      <c r="A23" s="1527" t="s">
        <v>999</v>
      </c>
      <c r="B23" s="1526"/>
      <c r="C23" s="1526"/>
      <c r="D23" s="1526"/>
      <c r="E23" s="1526"/>
      <c r="F23" s="1526"/>
      <c r="G23" s="1526"/>
      <c r="H23" s="1526"/>
    </row>
    <row r="24" spans="1:8" x14ac:dyDescent="0.2">
      <c r="A24" s="1527" t="s">
        <v>1000</v>
      </c>
      <c r="B24" s="1526"/>
      <c r="C24" s="1526"/>
      <c r="D24" s="1526"/>
      <c r="E24" s="1526"/>
      <c r="F24" s="1526"/>
      <c r="G24" s="1526"/>
      <c r="H24" s="1526"/>
    </row>
    <row r="25" spans="1:8" x14ac:dyDescent="0.2">
      <c r="A25" s="1527" t="s">
        <v>1001</v>
      </c>
      <c r="B25" s="1526"/>
      <c r="C25" s="1526"/>
      <c r="D25" s="1526"/>
      <c r="E25" s="1526"/>
      <c r="F25" s="1526"/>
      <c r="G25" s="1526"/>
      <c r="H25" s="1526"/>
    </row>
    <row r="26" spans="1:8" x14ac:dyDescent="0.2">
      <c r="A26" s="1527" t="s">
        <v>1002</v>
      </c>
      <c r="B26" s="1526"/>
      <c r="C26" s="1526"/>
      <c r="D26" s="1526"/>
      <c r="E26" s="1526"/>
      <c r="F26" s="1526"/>
      <c r="G26" s="1526"/>
      <c r="H26" s="1526"/>
    </row>
    <row r="27" spans="1:8" x14ac:dyDescent="0.2">
      <c r="A27" s="1526"/>
      <c r="B27" s="1526"/>
      <c r="C27" s="1526"/>
      <c r="D27" s="1526"/>
      <c r="E27" s="1526"/>
      <c r="F27" s="1526"/>
      <c r="G27" s="1526"/>
      <c r="H27" s="1526"/>
    </row>
    <row r="28" spans="1:8" x14ac:dyDescent="0.2">
      <c r="A28" s="1526"/>
      <c r="B28" s="1526"/>
      <c r="C28" s="1526"/>
      <c r="D28" s="1526"/>
      <c r="E28" s="1526"/>
      <c r="F28" s="1526"/>
      <c r="G28" s="1526"/>
      <c r="H28" s="1526"/>
    </row>
    <row r="29" spans="1:8" x14ac:dyDescent="0.2">
      <c r="A29" s="1527" t="s">
        <v>994</v>
      </c>
      <c r="B29" s="1526"/>
      <c r="C29" s="1526"/>
      <c r="D29" s="1526"/>
      <c r="E29" s="1526"/>
      <c r="F29" s="1526"/>
      <c r="G29" s="1526"/>
      <c r="H29" s="1526"/>
    </row>
    <row r="30" spans="1:8" x14ac:dyDescent="0.2">
      <c r="A30" s="1527" t="s">
        <v>995</v>
      </c>
      <c r="B30" s="1526"/>
      <c r="C30" s="1526"/>
      <c r="D30" s="1526"/>
      <c r="E30" s="1526"/>
      <c r="F30" s="1526"/>
      <c r="G30" s="1526"/>
      <c r="H30" s="1526"/>
    </row>
    <row r="31" spans="1:8" x14ac:dyDescent="0.2">
      <c r="A31" s="1527" t="s">
        <v>996</v>
      </c>
      <c r="B31" s="1526"/>
      <c r="C31" s="1526"/>
      <c r="D31" s="1526"/>
      <c r="E31" s="1526"/>
      <c r="F31" s="1526"/>
      <c r="G31" s="1526"/>
      <c r="H31" s="1526"/>
    </row>
    <row r="32" spans="1:8" x14ac:dyDescent="0.2">
      <c r="A32" s="1527" t="s">
        <v>997</v>
      </c>
      <c r="B32" s="1526"/>
      <c r="C32" s="1526"/>
      <c r="D32" s="1526"/>
      <c r="E32" s="1526"/>
      <c r="F32" s="1526"/>
      <c r="G32" s="1526"/>
      <c r="H32" s="1526"/>
    </row>
    <row r="33" spans="1:8" x14ac:dyDescent="0.2">
      <c r="A33" s="1527" t="s">
        <v>998</v>
      </c>
      <c r="B33" s="1526"/>
      <c r="C33" s="1526"/>
      <c r="D33" s="1526"/>
      <c r="E33" s="1526"/>
      <c r="F33" s="1526"/>
      <c r="G33" s="1526"/>
      <c r="H33" s="1526"/>
    </row>
    <row r="34" spans="1:8" x14ac:dyDescent="0.2">
      <c r="A34" s="1526"/>
      <c r="B34" s="1526"/>
      <c r="C34" s="1526"/>
      <c r="D34" s="1526"/>
      <c r="E34" s="1526"/>
      <c r="F34" s="1526"/>
      <c r="G34" s="1526"/>
      <c r="H34" s="1526"/>
    </row>
    <row r="35" spans="1:8" x14ac:dyDescent="0.2">
      <c r="A35" s="1527" t="s">
        <v>990</v>
      </c>
      <c r="B35" s="1526"/>
      <c r="C35" s="1526"/>
      <c r="D35" s="1526"/>
      <c r="E35" s="1526"/>
      <c r="F35" s="1526"/>
      <c r="G35" s="1526"/>
      <c r="H35" s="1526"/>
    </row>
    <row r="36" spans="1:8" x14ac:dyDescent="0.2">
      <c r="A36" s="1527" t="s">
        <v>991</v>
      </c>
      <c r="B36" s="1526"/>
      <c r="C36" s="1526"/>
      <c r="D36" s="1526"/>
      <c r="E36" s="1526"/>
      <c r="F36" s="1526"/>
      <c r="G36" s="1526"/>
      <c r="H36" s="1526"/>
    </row>
    <row r="37" spans="1:8" x14ac:dyDescent="0.2">
      <c r="A37" s="1527" t="s">
        <v>992</v>
      </c>
      <c r="B37" s="1526"/>
      <c r="C37" s="1526"/>
      <c r="D37" s="1526"/>
      <c r="E37" s="1526"/>
      <c r="F37" s="1526"/>
      <c r="G37" s="1526"/>
      <c r="H37" s="1526"/>
    </row>
    <row r="38" spans="1:8" x14ac:dyDescent="0.2">
      <c r="A38" s="1527" t="s">
        <v>993</v>
      </c>
      <c r="B38" s="1526"/>
      <c r="C38" s="1526"/>
      <c r="D38" s="1526"/>
      <c r="E38" s="1526"/>
      <c r="F38" s="1526"/>
      <c r="G38" s="1526"/>
      <c r="H38" s="1526"/>
    </row>
    <row r="39" spans="1:8" x14ac:dyDescent="0.2">
      <c r="A39" s="1526"/>
      <c r="B39" s="1526"/>
      <c r="C39" s="1526"/>
      <c r="D39" s="1526"/>
      <c r="E39" s="1526"/>
      <c r="F39" s="1526"/>
      <c r="G39" s="1526"/>
      <c r="H39" s="1526"/>
    </row>
    <row r="40" spans="1:8" x14ac:dyDescent="0.2">
      <c r="A40" s="1527" t="s">
        <v>984</v>
      </c>
      <c r="B40" s="1526"/>
      <c r="C40" s="1526"/>
      <c r="D40" s="1526"/>
      <c r="E40" s="1526"/>
      <c r="F40" s="1526"/>
      <c r="G40" s="1526"/>
      <c r="H40" s="1526"/>
    </row>
    <row r="41" spans="1:8" x14ac:dyDescent="0.2">
      <c r="A41" s="1527" t="s">
        <v>985</v>
      </c>
      <c r="B41" s="1526"/>
      <c r="C41" s="1526"/>
      <c r="D41" s="1526"/>
      <c r="E41" s="1526"/>
      <c r="F41" s="1526"/>
      <c r="G41" s="1526"/>
      <c r="H41" s="1526"/>
    </row>
    <row r="42" spans="1:8" x14ac:dyDescent="0.2">
      <c r="A42" s="1527" t="s">
        <v>986</v>
      </c>
      <c r="B42" s="1526"/>
      <c r="C42" s="1526"/>
      <c r="D42" s="1526"/>
      <c r="E42" s="1526"/>
      <c r="F42" s="1526"/>
      <c r="G42" s="1526"/>
      <c r="H42" s="1526"/>
    </row>
    <row r="43" spans="1:8" x14ac:dyDescent="0.2">
      <c r="A43" s="1527" t="s">
        <v>987</v>
      </c>
      <c r="B43" s="1526"/>
      <c r="C43" s="1526"/>
      <c r="D43" s="1526"/>
      <c r="E43" s="1526"/>
      <c r="F43" s="1526"/>
      <c r="G43" s="1526"/>
      <c r="H43" s="1526"/>
    </row>
    <row r="44" spans="1:8" x14ac:dyDescent="0.2">
      <c r="A44" s="1527" t="s">
        <v>988</v>
      </c>
      <c r="B44" s="1526"/>
      <c r="C44" s="1526"/>
      <c r="D44" s="1526"/>
      <c r="E44" s="1526"/>
      <c r="F44" s="1526"/>
      <c r="G44" s="1526"/>
      <c r="H44" s="1526"/>
    </row>
    <row r="45" spans="1:8" x14ac:dyDescent="0.2">
      <c r="A45" s="1527" t="s">
        <v>989</v>
      </c>
      <c r="B45" s="1526"/>
      <c r="C45" s="1526"/>
      <c r="D45" s="1526"/>
      <c r="E45" s="1526"/>
      <c r="F45" s="1526"/>
      <c r="G45" s="1526"/>
      <c r="H45" s="1526"/>
    </row>
    <row r="46" spans="1:8" x14ac:dyDescent="0.2">
      <c r="A46" s="1526"/>
      <c r="B46" s="1526"/>
      <c r="C46" s="1526"/>
      <c r="D46" s="1526"/>
      <c r="E46" s="1526"/>
      <c r="F46" s="1526"/>
      <c r="G46" s="1526"/>
      <c r="H46" s="1526"/>
    </row>
    <row r="47" spans="1:8" ht="15.75" x14ac:dyDescent="0.2">
      <c r="A47" s="1528" t="s">
        <v>722</v>
      </c>
      <c r="B47" s="1526"/>
      <c r="C47" s="1526"/>
      <c r="D47" s="1526"/>
      <c r="E47" s="1526"/>
      <c r="F47" s="1526"/>
      <c r="G47" s="1526"/>
      <c r="H47" s="1526"/>
    </row>
    <row r="48" spans="1:8" x14ac:dyDescent="0.2">
      <c r="A48" s="1526"/>
      <c r="B48" s="1526"/>
      <c r="C48" s="1526"/>
      <c r="D48" s="1526"/>
      <c r="E48" s="1526"/>
      <c r="F48" s="1526"/>
      <c r="G48" s="1526"/>
      <c r="H48" s="1526"/>
    </row>
    <row r="49" spans="1:8" x14ac:dyDescent="0.2">
      <c r="A49" s="1527" t="s">
        <v>980</v>
      </c>
      <c r="B49" s="1526"/>
      <c r="C49" s="1526"/>
      <c r="D49" s="1526"/>
      <c r="E49" s="1526"/>
      <c r="F49" s="1526"/>
      <c r="G49" s="1526"/>
      <c r="H49" s="1526"/>
    </row>
    <row r="50" spans="1:8" x14ac:dyDescent="0.2">
      <c r="A50" s="1527" t="s">
        <v>981</v>
      </c>
      <c r="B50" s="1526"/>
      <c r="C50" s="1526"/>
      <c r="D50" s="1526"/>
      <c r="E50" s="1526"/>
      <c r="F50" s="1526"/>
      <c r="G50" s="1526"/>
      <c r="H50" s="1526"/>
    </row>
    <row r="51" spans="1:8" x14ac:dyDescent="0.2">
      <c r="A51" s="1527" t="s">
        <v>982</v>
      </c>
      <c r="B51" s="1526"/>
      <c r="C51" s="1526"/>
      <c r="D51" s="1526"/>
      <c r="E51" s="1526"/>
      <c r="F51" s="1526"/>
      <c r="G51" s="1526"/>
      <c r="H51" s="1526"/>
    </row>
    <row r="52" spans="1:8" x14ac:dyDescent="0.2">
      <c r="A52" s="1527" t="s">
        <v>983</v>
      </c>
      <c r="B52" s="1526"/>
      <c r="C52" s="1526"/>
      <c r="D52" s="1526"/>
      <c r="E52" s="1526"/>
      <c r="F52" s="1526"/>
      <c r="G52" s="1526"/>
      <c r="H52" s="1526"/>
    </row>
    <row r="53" spans="1:8" x14ac:dyDescent="0.2">
      <c r="A53" s="1526"/>
      <c r="B53" s="1526"/>
      <c r="C53" s="1526"/>
      <c r="D53" s="1526"/>
      <c r="E53" s="1526"/>
      <c r="F53" s="1526"/>
      <c r="G53" s="1526"/>
      <c r="H53" s="1526"/>
    </row>
    <row r="54" spans="1:8" x14ac:dyDescent="0.2">
      <c r="A54" s="1527" t="s">
        <v>723</v>
      </c>
      <c r="B54" s="1526"/>
      <c r="C54" s="1526"/>
      <c r="D54" s="1526"/>
      <c r="E54" s="1526"/>
      <c r="F54" s="1526"/>
      <c r="G54" s="1526"/>
      <c r="H54" s="1526"/>
    </row>
    <row r="55" spans="1:8" x14ac:dyDescent="0.2">
      <c r="A55" s="1526"/>
      <c r="B55" s="1526"/>
      <c r="C55" s="1526"/>
      <c r="D55" s="1526"/>
      <c r="E55" s="1526"/>
      <c r="F55" s="1526"/>
      <c r="G55" s="1526"/>
      <c r="H55" s="1526"/>
    </row>
    <row r="56" spans="1:8" ht="15.75" x14ac:dyDescent="0.2">
      <c r="A56" s="1528" t="s">
        <v>724</v>
      </c>
      <c r="B56" s="1526"/>
      <c r="C56" s="1526"/>
      <c r="D56" s="1526"/>
      <c r="E56" s="1526"/>
      <c r="F56" s="1526"/>
      <c r="G56" s="1526"/>
      <c r="H56" s="1526"/>
    </row>
    <row r="57" spans="1:8" x14ac:dyDescent="0.2">
      <c r="A57" s="1526"/>
      <c r="B57" s="1526"/>
      <c r="C57" s="1526"/>
      <c r="D57" s="1526"/>
      <c r="E57" s="1526"/>
      <c r="F57" s="1526"/>
      <c r="G57" s="1526"/>
      <c r="H57" s="1526"/>
    </row>
    <row r="58" spans="1:8" x14ac:dyDescent="0.2">
      <c r="A58" s="1527" t="s">
        <v>978</v>
      </c>
      <c r="B58" s="1526"/>
      <c r="C58" s="1526"/>
      <c r="D58" s="1526"/>
      <c r="E58" s="1526"/>
      <c r="F58" s="1526"/>
      <c r="G58" s="1526"/>
      <c r="H58" s="1526"/>
    </row>
    <row r="59" spans="1:8" x14ac:dyDescent="0.2">
      <c r="A59" s="1527" t="s">
        <v>979</v>
      </c>
      <c r="B59" s="1526"/>
      <c r="C59" s="1526"/>
      <c r="D59" s="1526"/>
      <c r="E59" s="1526"/>
      <c r="F59" s="1526"/>
      <c r="G59" s="1526"/>
      <c r="H59" s="1526"/>
    </row>
    <row r="60" spans="1:8" x14ac:dyDescent="0.2">
      <c r="A60" s="1526"/>
      <c r="B60" s="1526"/>
      <c r="C60" s="1526"/>
      <c r="D60" s="1526"/>
      <c r="E60" s="1526"/>
      <c r="F60" s="1526"/>
      <c r="G60" s="1526"/>
      <c r="H60" s="1526"/>
    </row>
    <row r="61" spans="1:8" ht="15.75" x14ac:dyDescent="0.2">
      <c r="A61" s="1528" t="s">
        <v>725</v>
      </c>
      <c r="B61" s="1526"/>
      <c r="C61" s="1526"/>
      <c r="D61" s="1526"/>
      <c r="E61" s="1526"/>
      <c r="F61" s="1526"/>
      <c r="G61" s="1526"/>
      <c r="H61" s="1526"/>
    </row>
    <row r="62" spans="1:8" x14ac:dyDescent="0.2">
      <c r="A62" s="1526"/>
      <c r="B62" s="1526"/>
      <c r="C62" s="1526"/>
      <c r="D62" s="1526"/>
      <c r="E62" s="1526"/>
      <c r="F62" s="1526"/>
      <c r="G62" s="1526"/>
      <c r="H62" s="1526"/>
    </row>
    <row r="63" spans="1:8" x14ac:dyDescent="0.2">
      <c r="A63" s="1527" t="s">
        <v>976</v>
      </c>
      <c r="B63" s="1526"/>
      <c r="C63" s="1526"/>
      <c r="D63" s="1526"/>
      <c r="E63" s="1526"/>
      <c r="F63" s="1526"/>
      <c r="G63" s="1526"/>
      <c r="H63" s="1526"/>
    </row>
    <row r="64" spans="1:8" x14ac:dyDescent="0.2">
      <c r="A64" s="1527" t="s">
        <v>977</v>
      </c>
      <c r="B64" s="1526"/>
      <c r="C64" s="1526"/>
      <c r="D64" s="1526"/>
      <c r="E64" s="1526"/>
      <c r="F64" s="1526"/>
      <c r="G64" s="1526"/>
      <c r="H64" s="1526"/>
    </row>
    <row r="65" spans="1:8" x14ac:dyDescent="0.2">
      <c r="A65" s="1526"/>
      <c r="B65" s="1526"/>
      <c r="C65" s="1526"/>
      <c r="D65" s="1526"/>
      <c r="E65" s="1526"/>
      <c r="F65" s="1526"/>
      <c r="G65" s="1526"/>
      <c r="H65" s="1526"/>
    </row>
    <row r="66" spans="1:8" x14ac:dyDescent="0.2">
      <c r="A66" s="1527" t="s">
        <v>974</v>
      </c>
      <c r="B66" s="1526"/>
      <c r="C66" s="1526"/>
      <c r="D66" s="1526"/>
      <c r="E66" s="1526"/>
      <c r="F66" s="1526"/>
      <c r="G66" s="1526"/>
      <c r="H66" s="1526"/>
    </row>
    <row r="67" spans="1:8" x14ac:dyDescent="0.2">
      <c r="A67" s="1527" t="s">
        <v>975</v>
      </c>
      <c r="B67" s="1526"/>
      <c r="C67" s="1526"/>
      <c r="D67" s="1526"/>
      <c r="E67" s="1526"/>
      <c r="F67" s="1526"/>
      <c r="G67" s="1526"/>
      <c r="H67" s="1526"/>
    </row>
    <row r="68" spans="1:8" x14ac:dyDescent="0.2">
      <c r="A68" s="1526"/>
      <c r="B68" s="1526"/>
      <c r="C68" s="1526"/>
      <c r="D68" s="1526"/>
      <c r="E68" s="1526"/>
      <c r="F68" s="1526"/>
      <c r="G68" s="1526"/>
      <c r="H68" s="1526"/>
    </row>
    <row r="69" spans="1:8" x14ac:dyDescent="0.2">
      <c r="A69" s="1527" t="s">
        <v>972</v>
      </c>
      <c r="B69" s="1526"/>
      <c r="C69" s="1526"/>
      <c r="D69" s="1526"/>
      <c r="E69" s="1526"/>
      <c r="F69" s="1526"/>
      <c r="G69" s="1526"/>
      <c r="H69" s="1526"/>
    </row>
    <row r="70" spans="1:8" x14ac:dyDescent="0.2">
      <c r="A70" s="1527" t="s">
        <v>973</v>
      </c>
      <c r="B70" s="1526"/>
      <c r="C70" s="1526"/>
      <c r="D70" s="1526"/>
      <c r="E70" s="1526"/>
      <c r="F70" s="1526"/>
      <c r="G70" s="1526"/>
      <c r="H70" s="1526"/>
    </row>
    <row r="71" spans="1:8" x14ac:dyDescent="0.2">
      <c r="A71" s="1526"/>
      <c r="B71" s="1526"/>
      <c r="C71" s="1526"/>
      <c r="D71" s="1526"/>
      <c r="E71" s="1526"/>
      <c r="F71" s="1526"/>
      <c r="G71" s="1526"/>
      <c r="H71" s="1526"/>
    </row>
    <row r="72" spans="1:8" x14ac:dyDescent="0.2">
      <c r="A72" s="1527" t="s">
        <v>969</v>
      </c>
      <c r="B72" s="1526"/>
      <c r="C72" s="1526"/>
      <c r="D72" s="1526"/>
      <c r="E72" s="1526"/>
      <c r="F72" s="1526"/>
      <c r="G72" s="1526"/>
      <c r="H72" s="1526"/>
    </row>
    <row r="73" spans="1:8" x14ac:dyDescent="0.2">
      <c r="A73" s="1527" t="s">
        <v>970</v>
      </c>
      <c r="B73" s="1526"/>
      <c r="C73" s="1526"/>
      <c r="D73" s="1526"/>
      <c r="E73" s="1526"/>
      <c r="F73" s="1526"/>
      <c r="G73" s="1526"/>
      <c r="H73" s="1526"/>
    </row>
    <row r="74" spans="1:8" x14ac:dyDescent="0.2">
      <c r="A74" s="1527" t="s">
        <v>971</v>
      </c>
      <c r="B74" s="1526"/>
      <c r="C74" s="1526"/>
      <c r="D74" s="1526"/>
      <c r="E74" s="1526"/>
      <c r="F74" s="1526"/>
      <c r="G74" s="1526"/>
      <c r="H74" s="1526"/>
    </row>
    <row r="75" spans="1:8" x14ac:dyDescent="0.2">
      <c r="A75" s="1526"/>
      <c r="B75" s="1526"/>
      <c r="C75" s="1526"/>
      <c r="D75" s="1526"/>
      <c r="E75" s="1526"/>
      <c r="F75" s="1526"/>
      <c r="G75" s="1526"/>
      <c r="H75" s="1526"/>
    </row>
    <row r="76" spans="1:8" x14ac:dyDescent="0.2">
      <c r="A76" s="1527" t="s">
        <v>726</v>
      </c>
      <c r="B76" s="1526"/>
      <c r="C76" s="1526"/>
      <c r="D76" s="1526"/>
      <c r="E76" s="1526"/>
      <c r="F76" s="1526"/>
      <c r="G76" s="1526"/>
      <c r="H76" s="1526"/>
    </row>
    <row r="77" spans="1:8" x14ac:dyDescent="0.2">
      <c r="A77" s="1526"/>
      <c r="B77" s="1526"/>
      <c r="C77" s="1526"/>
      <c r="D77" s="1526"/>
      <c r="E77" s="1526"/>
      <c r="F77" s="1526"/>
      <c r="G77" s="1526"/>
      <c r="H77" s="1526"/>
    </row>
    <row r="78" spans="1:8" x14ac:dyDescent="0.2">
      <c r="A78" s="1527" t="s">
        <v>964</v>
      </c>
      <c r="B78" s="1526"/>
      <c r="C78" s="1526"/>
      <c r="D78" s="1526"/>
      <c r="E78" s="1526"/>
      <c r="F78" s="1526"/>
      <c r="G78" s="1526"/>
      <c r="H78" s="1526"/>
    </row>
    <row r="79" spans="1:8" x14ac:dyDescent="0.2">
      <c r="A79" s="1527" t="s">
        <v>965</v>
      </c>
      <c r="B79" s="1526"/>
      <c r="C79" s="1526"/>
      <c r="D79" s="1526"/>
      <c r="E79" s="1526"/>
      <c r="F79" s="1526"/>
      <c r="G79" s="1526"/>
      <c r="H79" s="1526"/>
    </row>
    <row r="80" spans="1:8" x14ac:dyDescent="0.2">
      <c r="A80" s="1527" t="s">
        <v>966</v>
      </c>
      <c r="B80" s="1526"/>
      <c r="C80" s="1526"/>
      <c r="D80" s="1526"/>
      <c r="E80" s="1526"/>
      <c r="F80" s="1526"/>
      <c r="G80" s="1526"/>
      <c r="H80" s="1526"/>
    </row>
    <row r="81" spans="1:8" x14ac:dyDescent="0.2">
      <c r="A81" s="1527" t="s">
        <v>967</v>
      </c>
      <c r="B81" s="1526"/>
      <c r="C81" s="1526"/>
      <c r="D81" s="1526"/>
      <c r="E81" s="1526"/>
      <c r="F81" s="1526"/>
      <c r="G81" s="1526"/>
      <c r="H81" s="1526"/>
    </row>
    <row r="82" spans="1:8" x14ac:dyDescent="0.2">
      <c r="A82" s="1527" t="s">
        <v>968</v>
      </c>
      <c r="B82" s="1526"/>
      <c r="C82" s="1526"/>
      <c r="D82" s="1526"/>
      <c r="E82" s="1526"/>
      <c r="F82" s="1526"/>
      <c r="G82" s="1526"/>
      <c r="H82" s="1526"/>
    </row>
    <row r="83" spans="1:8" x14ac:dyDescent="0.2">
      <c r="A83" s="1527" t="s">
        <v>851</v>
      </c>
      <c r="B83" s="1526"/>
      <c r="C83" s="1526"/>
      <c r="D83" s="1526"/>
      <c r="E83" s="1526"/>
      <c r="F83" s="1526"/>
      <c r="G83" s="1526"/>
      <c r="H83" s="1526"/>
    </row>
    <row r="84" spans="1:8" x14ac:dyDescent="0.2">
      <c r="A84" s="1526"/>
      <c r="B84" s="1526"/>
      <c r="C84" s="1526"/>
      <c r="D84" s="1526"/>
      <c r="E84" s="1526"/>
      <c r="F84" s="1526"/>
      <c r="G84" s="1526"/>
      <c r="H84" s="1526"/>
    </row>
    <row r="85" spans="1:8" x14ac:dyDescent="0.2">
      <c r="A85" s="1527" t="s">
        <v>957</v>
      </c>
      <c r="B85" s="1526"/>
      <c r="C85" s="1526"/>
      <c r="D85" s="1526"/>
      <c r="E85" s="1526"/>
      <c r="F85" s="1526"/>
      <c r="G85" s="1526"/>
      <c r="H85" s="1526"/>
    </row>
    <row r="86" spans="1:8" x14ac:dyDescent="0.2">
      <c r="A86" s="1527" t="s">
        <v>958</v>
      </c>
      <c r="B86" s="1526"/>
      <c r="C86" s="1526"/>
      <c r="D86" s="1526"/>
      <c r="E86" s="1526"/>
      <c r="F86" s="1526"/>
      <c r="G86" s="1526"/>
      <c r="H86" s="1526"/>
    </row>
    <row r="87" spans="1:8" x14ac:dyDescent="0.2">
      <c r="A87" s="1527" t="s">
        <v>959</v>
      </c>
      <c r="B87" s="1526"/>
      <c r="C87" s="1526"/>
      <c r="D87" s="1526"/>
      <c r="E87" s="1526"/>
      <c r="F87" s="1526"/>
      <c r="G87" s="1526"/>
      <c r="H87" s="1526"/>
    </row>
    <row r="88" spans="1:8" x14ac:dyDescent="0.2">
      <c r="A88" s="1527" t="s">
        <v>960</v>
      </c>
      <c r="B88" s="1526"/>
      <c r="C88" s="1526"/>
      <c r="D88" s="1526"/>
      <c r="E88" s="1526"/>
      <c r="F88" s="1526"/>
      <c r="G88" s="1526"/>
      <c r="H88" s="1526"/>
    </row>
    <row r="89" spans="1:8" x14ac:dyDescent="0.2">
      <c r="A89" s="1527" t="s">
        <v>961</v>
      </c>
      <c r="B89" s="1526"/>
      <c r="C89" s="1526"/>
      <c r="D89" s="1526"/>
      <c r="E89" s="1526"/>
      <c r="F89" s="1526"/>
      <c r="G89" s="1526"/>
      <c r="H89" s="1526"/>
    </row>
    <row r="90" spans="1:8" x14ac:dyDescent="0.2">
      <c r="A90" s="1527" t="s">
        <v>962</v>
      </c>
      <c r="B90" s="1526"/>
      <c r="C90" s="1526"/>
      <c r="D90" s="1526"/>
      <c r="E90" s="1526"/>
      <c r="F90" s="1526"/>
      <c r="G90" s="1526"/>
      <c r="H90" s="1526"/>
    </row>
    <row r="91" spans="1:8" x14ac:dyDescent="0.2">
      <c r="A91" s="1527" t="s">
        <v>963</v>
      </c>
      <c r="B91" s="1526"/>
      <c r="C91" s="1526"/>
      <c r="D91" s="1526"/>
      <c r="E91" s="1526"/>
      <c r="F91" s="1526"/>
      <c r="G91" s="1526"/>
      <c r="H91" s="1526"/>
    </row>
    <row r="92" spans="1:8" x14ac:dyDescent="0.2">
      <c r="A92" s="1526"/>
      <c r="B92" s="1526"/>
      <c r="C92" s="1526"/>
      <c r="D92" s="1526"/>
      <c r="E92" s="1526"/>
      <c r="F92" s="1526"/>
      <c r="G92" s="1526"/>
      <c r="H92" s="1526"/>
    </row>
    <row r="93" spans="1:8" x14ac:dyDescent="0.2">
      <c r="A93" s="1527" t="s">
        <v>955</v>
      </c>
      <c r="B93" s="1526"/>
      <c r="C93" s="1526"/>
      <c r="D93" s="1526"/>
      <c r="E93" s="1526"/>
      <c r="F93" s="1526"/>
      <c r="G93" s="1526"/>
      <c r="H93" s="1526"/>
    </row>
    <row r="94" spans="1:8" x14ac:dyDescent="0.2">
      <c r="A94" s="1527" t="s">
        <v>956</v>
      </c>
      <c r="B94" s="1526"/>
      <c r="C94" s="1526"/>
      <c r="D94" s="1526"/>
      <c r="E94" s="1526"/>
      <c r="F94" s="1526"/>
      <c r="G94" s="1526"/>
      <c r="H94" s="1526"/>
    </row>
    <row r="95" spans="1:8" x14ac:dyDescent="0.2">
      <c r="A95" s="1526"/>
      <c r="B95" s="1526"/>
      <c r="C95" s="1526"/>
      <c r="D95" s="1526"/>
      <c r="E95" s="1526"/>
      <c r="F95" s="1526"/>
      <c r="G95" s="1526"/>
      <c r="H95" s="1526"/>
    </row>
    <row r="96" spans="1:8" ht="15.75" x14ac:dyDescent="0.2">
      <c r="A96" s="1528" t="s">
        <v>727</v>
      </c>
      <c r="B96" s="1526"/>
      <c r="C96" s="1526"/>
      <c r="D96" s="1526"/>
      <c r="E96" s="1526"/>
      <c r="F96" s="1526"/>
      <c r="G96" s="1526"/>
      <c r="H96" s="1526"/>
    </row>
    <row r="97" spans="1:8" x14ac:dyDescent="0.2">
      <c r="A97" s="1526"/>
      <c r="B97" s="1526"/>
      <c r="C97" s="1526"/>
      <c r="D97" s="1526"/>
      <c r="E97" s="1526"/>
      <c r="F97" s="1526"/>
      <c r="G97" s="1526"/>
      <c r="H97" s="1526"/>
    </row>
    <row r="98" spans="1:8" x14ac:dyDescent="0.2">
      <c r="A98" s="1527" t="s">
        <v>946</v>
      </c>
      <c r="B98" s="1526"/>
      <c r="C98" s="1526"/>
      <c r="D98" s="1526"/>
      <c r="E98" s="1526"/>
      <c r="F98" s="1526"/>
      <c r="G98" s="1526"/>
      <c r="H98" s="1526"/>
    </row>
    <row r="99" spans="1:8" x14ac:dyDescent="0.2">
      <c r="A99" s="1527" t="s">
        <v>947</v>
      </c>
      <c r="B99" s="1526"/>
      <c r="C99" s="1526"/>
      <c r="D99" s="1526"/>
      <c r="E99" s="1526"/>
      <c r="F99" s="1526"/>
      <c r="G99" s="1526"/>
      <c r="H99" s="1526"/>
    </row>
    <row r="100" spans="1:8" x14ac:dyDescent="0.2">
      <c r="A100" s="1527" t="s">
        <v>948</v>
      </c>
      <c r="B100" s="1526"/>
      <c r="C100" s="1526"/>
      <c r="D100" s="1526"/>
      <c r="E100" s="1526"/>
      <c r="F100" s="1526"/>
      <c r="G100" s="1526"/>
      <c r="H100" s="1526"/>
    </row>
    <row r="101" spans="1:8" x14ac:dyDescent="0.2">
      <c r="A101" s="1527" t="s">
        <v>949</v>
      </c>
      <c r="B101" s="1526"/>
      <c r="C101" s="1526"/>
      <c r="D101" s="1526"/>
      <c r="E101" s="1526"/>
      <c r="F101" s="1526"/>
      <c r="G101" s="1526"/>
      <c r="H101" s="1526"/>
    </row>
    <row r="102" spans="1:8" x14ac:dyDescent="0.2">
      <c r="A102" s="1527" t="s">
        <v>950</v>
      </c>
      <c r="B102" s="1526"/>
      <c r="C102" s="1526"/>
      <c r="D102" s="1526"/>
      <c r="E102" s="1526"/>
      <c r="F102" s="1526"/>
      <c r="G102" s="1526"/>
      <c r="H102" s="1526"/>
    </row>
    <row r="103" spans="1:8" x14ac:dyDescent="0.2">
      <c r="A103" s="1527" t="s">
        <v>951</v>
      </c>
      <c r="B103" s="1526"/>
      <c r="C103" s="1526"/>
      <c r="D103" s="1526"/>
      <c r="E103" s="1526"/>
      <c r="F103" s="1526"/>
      <c r="G103" s="1526"/>
      <c r="H103" s="1526"/>
    </row>
    <row r="104" spans="1:8" x14ac:dyDescent="0.2">
      <c r="A104" s="1527" t="s">
        <v>952</v>
      </c>
      <c r="B104" s="1526"/>
      <c r="C104" s="1526"/>
      <c r="D104" s="1526"/>
      <c r="E104" s="1526"/>
      <c r="F104" s="1526"/>
      <c r="G104" s="1526"/>
      <c r="H104" s="1526"/>
    </row>
    <row r="105" spans="1:8" x14ac:dyDescent="0.2">
      <c r="A105" s="1527" t="s">
        <v>953</v>
      </c>
      <c r="B105" s="1526"/>
      <c r="C105" s="1526"/>
      <c r="D105" s="1526"/>
      <c r="E105" s="1526"/>
      <c r="F105" s="1526"/>
      <c r="G105" s="1526"/>
      <c r="H105" s="1526"/>
    </row>
    <row r="106" spans="1:8" x14ac:dyDescent="0.2">
      <c r="A106" s="1527" t="s">
        <v>954</v>
      </c>
      <c r="B106" s="1526"/>
      <c r="C106" s="1526"/>
      <c r="D106" s="1526"/>
      <c r="E106" s="1526"/>
      <c r="F106" s="1526"/>
      <c r="G106" s="1526"/>
      <c r="H106" s="1526"/>
    </row>
    <row r="107" spans="1:8" x14ac:dyDescent="0.2">
      <c r="A107" s="1526"/>
      <c r="B107" s="1526"/>
      <c r="C107" s="1526"/>
      <c r="D107" s="1526"/>
      <c r="E107" s="1526"/>
      <c r="F107" s="1526"/>
      <c r="G107" s="1526"/>
      <c r="H107" s="1526"/>
    </row>
    <row r="108" spans="1:8" ht="15.75" x14ac:dyDescent="0.2">
      <c r="A108" s="1529" t="s">
        <v>728</v>
      </c>
      <c r="B108" s="1529"/>
      <c r="C108" s="1529"/>
      <c r="D108" s="1529"/>
      <c r="E108" s="1529"/>
      <c r="F108" s="1529"/>
      <c r="G108" s="1529"/>
      <c r="H108" s="1529"/>
    </row>
    <row r="109" spans="1:8" x14ac:dyDescent="0.2">
      <c r="A109" s="1530" t="s">
        <v>729</v>
      </c>
      <c r="B109" s="1530"/>
      <c r="C109" s="1530"/>
      <c r="D109" s="1530"/>
      <c r="E109" s="1530"/>
      <c r="F109" s="1530"/>
      <c r="G109" s="1530"/>
      <c r="H109" s="1530"/>
    </row>
    <row r="110" spans="1:8" x14ac:dyDescent="0.2">
      <c r="A110" s="1531"/>
      <c r="B110" s="1531"/>
      <c r="C110" s="1531"/>
      <c r="D110" s="1531"/>
      <c r="E110" s="1531"/>
      <c r="F110" s="1531"/>
      <c r="G110" s="1531"/>
      <c r="H110" s="1531"/>
    </row>
    <row r="111" spans="1:8" x14ac:dyDescent="0.2">
      <c r="A111" s="1530" t="s">
        <v>944</v>
      </c>
      <c r="B111" s="1530"/>
      <c r="C111" s="1530"/>
      <c r="D111" s="1530"/>
      <c r="E111" s="1530"/>
      <c r="F111" s="1530"/>
      <c r="G111" s="1530"/>
      <c r="H111" s="1530"/>
    </row>
    <row r="112" spans="1:8" x14ac:dyDescent="0.2">
      <c r="A112" s="1527" t="s">
        <v>945</v>
      </c>
      <c r="B112" s="1527"/>
      <c r="C112" s="1527"/>
      <c r="D112" s="1527"/>
      <c r="E112" s="1527"/>
      <c r="F112" s="1527"/>
      <c r="G112" s="1527"/>
      <c r="H112" s="1527"/>
    </row>
    <row r="113" spans="1:8" x14ac:dyDescent="0.2">
      <c r="A113" s="1531"/>
      <c r="B113" s="1531"/>
      <c r="C113" s="1531"/>
      <c r="D113" s="1531"/>
      <c r="E113" s="1531"/>
      <c r="F113" s="1531"/>
      <c r="G113" s="1531"/>
      <c r="H113" s="1531"/>
    </row>
    <row r="114" spans="1:8" x14ac:dyDescent="0.2">
      <c r="A114" s="1530" t="s">
        <v>937</v>
      </c>
      <c r="B114" s="1530"/>
      <c r="C114" s="1530"/>
      <c r="D114" s="1530"/>
      <c r="E114" s="1530"/>
      <c r="F114" s="1530"/>
      <c r="G114" s="1530"/>
      <c r="H114" s="1530"/>
    </row>
    <row r="115" spans="1:8" x14ac:dyDescent="0.2">
      <c r="A115" s="1527" t="s">
        <v>938</v>
      </c>
      <c r="B115" s="1527"/>
      <c r="C115" s="1527"/>
      <c r="D115" s="1527"/>
      <c r="E115" s="1527"/>
      <c r="F115" s="1527"/>
      <c r="G115" s="1527"/>
      <c r="H115" s="1527"/>
    </row>
    <row r="116" spans="1:8" x14ac:dyDescent="0.2">
      <c r="A116" s="1527" t="s">
        <v>939</v>
      </c>
      <c r="B116" s="1527"/>
      <c r="C116" s="1527"/>
      <c r="D116" s="1527"/>
      <c r="E116" s="1527"/>
      <c r="F116" s="1527"/>
      <c r="G116" s="1527"/>
      <c r="H116" s="1527"/>
    </row>
    <row r="117" spans="1:8" x14ac:dyDescent="0.2">
      <c r="A117" s="1527" t="s">
        <v>940</v>
      </c>
      <c r="B117" s="1527"/>
      <c r="C117" s="1527"/>
      <c r="D117" s="1527"/>
      <c r="E117" s="1527"/>
      <c r="F117" s="1527"/>
      <c r="G117" s="1527"/>
      <c r="H117" s="1527"/>
    </row>
    <row r="118" spans="1:8" x14ac:dyDescent="0.2">
      <c r="A118" s="1527" t="s">
        <v>941</v>
      </c>
      <c r="B118" s="1527"/>
      <c r="C118" s="1527"/>
      <c r="D118" s="1527"/>
      <c r="E118" s="1527"/>
      <c r="F118" s="1527"/>
      <c r="G118" s="1527"/>
      <c r="H118" s="1527"/>
    </row>
    <row r="119" spans="1:8" x14ac:dyDescent="0.2">
      <c r="A119" s="1527" t="s">
        <v>942</v>
      </c>
      <c r="B119" s="1527"/>
      <c r="C119" s="1527"/>
      <c r="D119" s="1527"/>
      <c r="E119" s="1527"/>
      <c r="F119" s="1527"/>
      <c r="G119" s="1527"/>
      <c r="H119" s="1527"/>
    </row>
    <row r="120" spans="1:8" x14ac:dyDescent="0.2">
      <c r="A120" s="1527" t="s">
        <v>943</v>
      </c>
      <c r="B120" s="1527"/>
      <c r="C120" s="1527"/>
      <c r="D120" s="1527"/>
      <c r="E120" s="1527"/>
      <c r="F120" s="1527"/>
      <c r="G120" s="1527"/>
      <c r="H120" s="1527"/>
    </row>
    <row r="121" spans="1:8" x14ac:dyDescent="0.2">
      <c r="A121" s="1532"/>
      <c r="B121" s="1532"/>
      <c r="C121" s="1532"/>
      <c r="D121" s="1532"/>
      <c r="E121" s="1532"/>
      <c r="F121" s="1532"/>
      <c r="G121" s="1532"/>
      <c r="H121" s="1532"/>
    </row>
    <row r="122" spans="1:8" x14ac:dyDescent="0.2">
      <c r="A122" s="1533"/>
      <c r="B122" s="1534" t="s">
        <v>730</v>
      </c>
      <c r="C122" s="1535"/>
      <c r="D122" s="1534" t="s">
        <v>731</v>
      </c>
      <c r="E122" s="1536"/>
      <c r="F122" s="1535"/>
      <c r="G122" s="1534" t="s">
        <v>732</v>
      </c>
      <c r="H122" s="1535"/>
    </row>
    <row r="123" spans="1:8" x14ac:dyDescent="0.2">
      <c r="A123" s="1533" t="s">
        <v>733</v>
      </c>
      <c r="B123" s="1533" t="s">
        <v>557</v>
      </c>
      <c r="C123" s="1533" t="s">
        <v>734</v>
      </c>
      <c r="D123" s="1533" t="s">
        <v>557</v>
      </c>
      <c r="E123" s="1533" t="s">
        <v>735</v>
      </c>
      <c r="F123" s="1533" t="s">
        <v>736</v>
      </c>
      <c r="G123" s="1533" t="s">
        <v>557</v>
      </c>
      <c r="H123" s="1533" t="s">
        <v>737</v>
      </c>
    </row>
    <row r="124" spans="1:8" x14ac:dyDescent="0.2">
      <c r="A124" s="1533" t="s">
        <v>738</v>
      </c>
      <c r="B124" s="1533">
        <v>1189</v>
      </c>
      <c r="C124" s="1537">
        <v>0.38</v>
      </c>
      <c r="D124" s="1533">
        <v>315</v>
      </c>
      <c r="E124" s="1537">
        <v>0.41</v>
      </c>
      <c r="F124" s="1537">
        <v>0.26</v>
      </c>
      <c r="G124" s="1533">
        <v>555</v>
      </c>
      <c r="H124" s="1537">
        <v>0.39</v>
      </c>
    </row>
    <row r="125" spans="1:8" x14ac:dyDescent="0.2">
      <c r="A125" s="1533" t="s">
        <v>739</v>
      </c>
      <c r="B125" s="1533">
        <v>1355</v>
      </c>
      <c r="C125" s="1537">
        <v>0.43</v>
      </c>
      <c r="D125" s="1533">
        <v>364</v>
      </c>
      <c r="E125" s="1537">
        <v>0.47</v>
      </c>
      <c r="F125" s="1537">
        <v>0.27</v>
      </c>
      <c r="G125" s="1533">
        <v>644</v>
      </c>
      <c r="H125" s="1537">
        <v>0.45</v>
      </c>
    </row>
    <row r="126" spans="1:8" x14ac:dyDescent="0.2">
      <c r="A126" s="1533" t="s">
        <v>740</v>
      </c>
      <c r="B126" s="1533">
        <v>53</v>
      </c>
      <c r="C126" s="1537">
        <v>0.02</v>
      </c>
      <c r="D126" s="1533">
        <v>4</v>
      </c>
      <c r="E126" s="1537">
        <v>0.01</v>
      </c>
      <c r="F126" s="1537">
        <v>0.08</v>
      </c>
      <c r="G126" s="1533">
        <v>7</v>
      </c>
      <c r="H126" s="1537">
        <v>0</v>
      </c>
    </row>
    <row r="127" spans="1:8" x14ac:dyDescent="0.2">
      <c r="A127" s="1533" t="s">
        <v>741</v>
      </c>
      <c r="B127" s="1533">
        <v>545</v>
      </c>
      <c r="C127" s="1537">
        <v>0.17</v>
      </c>
      <c r="D127" s="1533">
        <v>84</v>
      </c>
      <c r="E127" s="1537">
        <v>0.11</v>
      </c>
      <c r="F127" s="1537">
        <v>0.15</v>
      </c>
      <c r="G127" s="1533">
        <v>214</v>
      </c>
      <c r="H127" s="1537">
        <v>0.15</v>
      </c>
    </row>
    <row r="128" spans="1:8" x14ac:dyDescent="0.2">
      <c r="A128" s="1533" t="s">
        <v>90</v>
      </c>
      <c r="B128" s="1538">
        <v>3142</v>
      </c>
      <c r="C128" s="1533"/>
      <c r="D128" s="1533">
        <v>767</v>
      </c>
      <c r="E128" s="1533"/>
      <c r="F128" s="1533"/>
      <c r="G128" s="1533">
        <v>1420</v>
      </c>
      <c r="H128" s="1533"/>
    </row>
    <row r="129" spans="1:8" x14ac:dyDescent="0.2">
      <c r="A129" s="1539"/>
      <c r="B129" s="1539"/>
      <c r="C129" s="1539"/>
      <c r="D129" s="1539"/>
      <c r="E129" s="1539"/>
      <c r="F129" s="1539"/>
      <c r="G129" s="1539"/>
      <c r="H129" s="1539"/>
    </row>
    <row r="130" spans="1:8" x14ac:dyDescent="0.2">
      <c r="A130" s="1530" t="s">
        <v>933</v>
      </c>
      <c r="B130" s="1530"/>
      <c r="C130" s="1530"/>
      <c r="D130" s="1530"/>
      <c r="E130" s="1530"/>
      <c r="F130" s="1530"/>
      <c r="G130" s="1530"/>
      <c r="H130" s="1530"/>
    </row>
    <row r="131" spans="1:8" x14ac:dyDescent="0.2">
      <c r="A131" s="1527" t="s">
        <v>934</v>
      </c>
      <c r="B131" s="1527"/>
      <c r="C131" s="1527"/>
      <c r="D131" s="1527"/>
      <c r="E131" s="1527"/>
      <c r="F131" s="1527"/>
      <c r="G131" s="1527"/>
      <c r="H131" s="1527"/>
    </row>
    <row r="132" spans="1:8" x14ac:dyDescent="0.2">
      <c r="A132" s="1527" t="s">
        <v>935</v>
      </c>
      <c r="B132" s="1527"/>
      <c r="C132" s="1527"/>
      <c r="D132" s="1527"/>
      <c r="E132" s="1527"/>
      <c r="F132" s="1527"/>
      <c r="G132" s="1527"/>
      <c r="H132" s="1527"/>
    </row>
    <row r="133" spans="1:8" x14ac:dyDescent="0.2">
      <c r="A133" s="1527" t="s">
        <v>936</v>
      </c>
      <c r="B133" s="1527"/>
      <c r="C133" s="1527"/>
      <c r="D133" s="1527"/>
      <c r="E133" s="1527"/>
      <c r="F133" s="1527"/>
      <c r="G133" s="1527"/>
      <c r="H133" s="1527"/>
    </row>
    <row r="134" spans="1:8" x14ac:dyDescent="0.2">
      <c r="A134" s="1526"/>
      <c r="B134" s="1526"/>
      <c r="C134" s="1526"/>
      <c r="D134" s="1526"/>
      <c r="E134" s="1526"/>
      <c r="F134" s="1526"/>
      <c r="G134" s="1526"/>
      <c r="H134" s="1526"/>
    </row>
    <row r="135" spans="1:8" ht="15.75" x14ac:dyDescent="0.2">
      <c r="A135" s="1528" t="s">
        <v>742</v>
      </c>
      <c r="B135" s="1526"/>
      <c r="C135" s="1526"/>
      <c r="D135" s="1526"/>
      <c r="E135" s="1526"/>
      <c r="F135" s="1526"/>
      <c r="G135" s="1526"/>
      <c r="H135" s="1526"/>
    </row>
    <row r="136" spans="1:8" x14ac:dyDescent="0.2">
      <c r="A136" s="1526"/>
      <c r="B136" s="1526"/>
      <c r="C136" s="1526"/>
      <c r="D136" s="1526"/>
      <c r="E136" s="1526"/>
      <c r="F136" s="1526"/>
      <c r="G136" s="1526"/>
      <c r="H136" s="1526"/>
    </row>
    <row r="137" spans="1:8" x14ac:dyDescent="0.2">
      <c r="A137" s="1527" t="s">
        <v>931</v>
      </c>
      <c r="B137" s="1526"/>
      <c r="C137" s="1526"/>
      <c r="D137" s="1526"/>
      <c r="E137" s="1526"/>
      <c r="F137" s="1526"/>
      <c r="G137" s="1526"/>
      <c r="H137" s="1526"/>
    </row>
    <row r="138" spans="1:8" x14ac:dyDescent="0.2">
      <c r="A138" s="1527" t="s">
        <v>932</v>
      </c>
      <c r="B138" s="1526"/>
      <c r="C138" s="1526"/>
      <c r="D138" s="1526"/>
      <c r="E138" s="1526"/>
      <c r="F138" s="1526"/>
      <c r="G138" s="1526"/>
      <c r="H138" s="1526"/>
    </row>
    <row r="139" spans="1:8" x14ac:dyDescent="0.2">
      <c r="A139" s="1526"/>
      <c r="B139" s="1526"/>
      <c r="C139" s="1526"/>
      <c r="D139" s="1526"/>
      <c r="E139" s="1526"/>
      <c r="F139" s="1526"/>
      <c r="G139" s="1526"/>
      <c r="H139" s="1526"/>
    </row>
    <row r="140" spans="1:8" x14ac:dyDescent="0.2">
      <c r="A140" s="1527" t="s">
        <v>928</v>
      </c>
      <c r="B140" s="1526"/>
      <c r="C140" s="1526"/>
      <c r="D140" s="1526"/>
      <c r="E140" s="1526"/>
      <c r="F140" s="1526"/>
      <c r="G140" s="1526"/>
      <c r="H140" s="1526"/>
    </row>
    <row r="141" spans="1:8" x14ac:dyDescent="0.2">
      <c r="A141" s="1527" t="s">
        <v>929</v>
      </c>
      <c r="B141" s="1526"/>
      <c r="C141" s="1526"/>
      <c r="D141" s="1526"/>
      <c r="E141" s="1526"/>
      <c r="F141" s="1526"/>
      <c r="G141" s="1526"/>
      <c r="H141" s="1526"/>
    </row>
    <row r="142" spans="1:8" x14ac:dyDescent="0.2">
      <c r="A142" s="1527" t="s">
        <v>930</v>
      </c>
      <c r="B142" s="1526"/>
      <c r="C142" s="1526"/>
      <c r="D142" s="1526"/>
      <c r="E142" s="1526"/>
      <c r="F142" s="1526"/>
      <c r="G142" s="1526"/>
      <c r="H142" s="1526"/>
    </row>
    <row r="143" spans="1:8" x14ac:dyDescent="0.2">
      <c r="A143" s="1526"/>
      <c r="B143" s="1526"/>
      <c r="C143" s="1526"/>
      <c r="D143" s="1526"/>
      <c r="E143" s="1526"/>
      <c r="F143" s="1526"/>
      <c r="G143" s="1526"/>
      <c r="H143" s="1526"/>
    </row>
    <row r="144" spans="1:8" x14ac:dyDescent="0.2">
      <c r="A144" s="1527" t="s">
        <v>925</v>
      </c>
      <c r="B144" s="1526"/>
      <c r="C144" s="1526"/>
      <c r="D144" s="1526"/>
      <c r="E144" s="1526"/>
      <c r="F144" s="1526"/>
      <c r="G144" s="1526"/>
      <c r="H144" s="1526"/>
    </row>
    <row r="145" spans="1:8" x14ac:dyDescent="0.2">
      <c r="A145" s="1527" t="s">
        <v>926</v>
      </c>
      <c r="B145" s="1526"/>
      <c r="C145" s="1526"/>
      <c r="D145" s="1526"/>
      <c r="E145" s="1526"/>
      <c r="F145" s="1526"/>
      <c r="G145" s="1526"/>
      <c r="H145" s="1526"/>
    </row>
    <row r="146" spans="1:8" x14ac:dyDescent="0.2">
      <c r="A146" s="1527" t="s">
        <v>927</v>
      </c>
      <c r="B146" s="1526"/>
      <c r="C146" s="1526"/>
      <c r="D146" s="1526"/>
      <c r="E146" s="1526"/>
      <c r="F146" s="1526"/>
      <c r="G146" s="1526"/>
      <c r="H146" s="1526"/>
    </row>
    <row r="147" spans="1:8" x14ac:dyDescent="0.2">
      <c r="A147" s="1526"/>
      <c r="B147" s="1526"/>
      <c r="C147" s="1526"/>
      <c r="D147" s="1526"/>
      <c r="E147" s="1526"/>
      <c r="F147" s="1526"/>
      <c r="G147" s="1526"/>
      <c r="H147" s="1526"/>
    </row>
    <row r="148" spans="1:8" x14ac:dyDescent="0.2">
      <c r="A148" s="1527" t="s">
        <v>922</v>
      </c>
      <c r="B148" s="1526"/>
      <c r="C148" s="1526"/>
      <c r="D148" s="1526"/>
      <c r="E148" s="1526"/>
      <c r="F148" s="1526"/>
      <c r="G148" s="1526"/>
      <c r="H148" s="1526"/>
    </row>
    <row r="149" spans="1:8" x14ac:dyDescent="0.2">
      <c r="A149" s="1527" t="s">
        <v>923</v>
      </c>
      <c r="B149" s="1526"/>
      <c r="C149" s="1526"/>
      <c r="D149" s="1526"/>
      <c r="E149" s="1526"/>
      <c r="F149" s="1526"/>
      <c r="G149" s="1526"/>
      <c r="H149" s="1526"/>
    </row>
    <row r="150" spans="1:8" x14ac:dyDescent="0.2">
      <c r="A150" s="1527" t="s">
        <v>924</v>
      </c>
      <c r="B150" s="1526"/>
      <c r="C150" s="1526"/>
      <c r="D150" s="1526"/>
      <c r="E150" s="1526"/>
      <c r="F150" s="1526"/>
      <c r="G150" s="1526"/>
      <c r="H150" s="1526"/>
    </row>
    <row r="151" spans="1:8" x14ac:dyDescent="0.2">
      <c r="A151" s="1526"/>
      <c r="B151" s="1526"/>
      <c r="C151" s="1526"/>
      <c r="D151" s="1526"/>
      <c r="E151" s="1526"/>
      <c r="F151" s="1526"/>
      <c r="G151" s="1526"/>
      <c r="H151" s="1526"/>
    </row>
    <row r="152" spans="1:8" x14ac:dyDescent="0.2">
      <c r="A152" s="1527" t="s">
        <v>920</v>
      </c>
      <c r="B152" s="1526"/>
      <c r="C152" s="1526"/>
      <c r="D152" s="1526"/>
      <c r="E152" s="1526"/>
      <c r="F152" s="1526"/>
      <c r="G152" s="1526"/>
      <c r="H152" s="1526"/>
    </row>
    <row r="153" spans="1:8" x14ac:dyDescent="0.2">
      <c r="A153" s="1527" t="s">
        <v>921</v>
      </c>
      <c r="B153" s="1526"/>
      <c r="C153" s="1526"/>
      <c r="D153" s="1526"/>
      <c r="E153" s="1526"/>
      <c r="F153" s="1526"/>
      <c r="G153" s="1526"/>
      <c r="H153" s="1526"/>
    </row>
    <row r="154" spans="1:8" x14ac:dyDescent="0.2">
      <c r="A154" s="1526"/>
      <c r="B154" s="1526"/>
      <c r="C154" s="1526"/>
      <c r="D154" s="1526"/>
      <c r="E154" s="1526"/>
      <c r="F154" s="1526"/>
      <c r="G154" s="1526"/>
      <c r="H154" s="1526"/>
    </row>
    <row r="155" spans="1:8" ht="15.75" x14ac:dyDescent="0.2">
      <c r="A155" s="1528" t="s">
        <v>743</v>
      </c>
      <c r="B155" s="1526"/>
      <c r="C155" s="1526"/>
      <c r="D155" s="1526"/>
      <c r="E155" s="1526"/>
      <c r="F155" s="1526"/>
      <c r="G155" s="1526"/>
      <c r="H155" s="1526"/>
    </row>
    <row r="156" spans="1:8" x14ac:dyDescent="0.2">
      <c r="A156" s="1526"/>
      <c r="B156" s="1526"/>
      <c r="C156" s="1526"/>
      <c r="D156" s="1526"/>
      <c r="E156" s="1526"/>
      <c r="F156" s="1526"/>
      <c r="G156" s="1526"/>
      <c r="H156" s="1526"/>
    </row>
    <row r="157" spans="1:8" x14ac:dyDescent="0.2">
      <c r="A157" s="1527" t="s">
        <v>918</v>
      </c>
      <c r="B157" s="1526"/>
      <c r="C157" s="1526"/>
      <c r="D157" s="1526"/>
      <c r="E157" s="1526"/>
      <c r="F157" s="1526"/>
      <c r="G157" s="1526"/>
      <c r="H157" s="1526"/>
    </row>
    <row r="158" spans="1:8" x14ac:dyDescent="0.2">
      <c r="A158" s="1527" t="s">
        <v>919</v>
      </c>
      <c r="B158" s="1526"/>
      <c r="C158" s="1526"/>
      <c r="D158" s="1526"/>
      <c r="E158" s="1526"/>
      <c r="F158" s="1526"/>
      <c r="G158" s="1526"/>
      <c r="H158" s="1526"/>
    </row>
    <row r="159" spans="1:8" x14ac:dyDescent="0.2">
      <c r="A159" s="1526"/>
      <c r="B159" s="1526"/>
      <c r="C159" s="1526"/>
      <c r="D159" s="1526"/>
      <c r="E159" s="1526"/>
      <c r="F159" s="1526"/>
      <c r="G159" s="1526"/>
      <c r="H159" s="1526"/>
    </row>
    <row r="160" spans="1:8" x14ac:dyDescent="0.2">
      <c r="A160" s="1527" t="s">
        <v>916</v>
      </c>
      <c r="B160" s="1526"/>
      <c r="C160" s="1526"/>
      <c r="D160" s="1526"/>
      <c r="E160" s="1526"/>
      <c r="F160" s="1526"/>
      <c r="G160" s="1526"/>
      <c r="H160" s="1526"/>
    </row>
    <row r="161" spans="1:8" x14ac:dyDescent="0.2">
      <c r="A161" s="1527" t="s">
        <v>917</v>
      </c>
      <c r="B161" s="1526"/>
      <c r="C161" s="1526"/>
      <c r="D161" s="1526"/>
      <c r="E161" s="1526"/>
      <c r="F161" s="1526"/>
      <c r="G161" s="1526"/>
      <c r="H161" s="1526"/>
    </row>
    <row r="162" spans="1:8" x14ac:dyDescent="0.2">
      <c r="A162" s="1526"/>
      <c r="B162" s="1526"/>
      <c r="C162" s="1526"/>
      <c r="D162" s="1526"/>
      <c r="E162" s="1526"/>
      <c r="F162" s="1526"/>
      <c r="G162" s="1526"/>
      <c r="H162" s="1526"/>
    </row>
    <row r="163" spans="1:8" x14ac:dyDescent="0.2">
      <c r="A163" s="1527" t="s">
        <v>914</v>
      </c>
      <c r="B163" s="1526"/>
      <c r="C163" s="1526"/>
      <c r="D163" s="1526"/>
      <c r="E163" s="1526"/>
      <c r="F163" s="1526"/>
      <c r="G163" s="1526"/>
      <c r="H163" s="1526"/>
    </row>
    <row r="164" spans="1:8" x14ac:dyDescent="0.2">
      <c r="A164" s="1527" t="s">
        <v>915</v>
      </c>
      <c r="B164" s="1526"/>
      <c r="C164" s="1526"/>
      <c r="D164" s="1526"/>
      <c r="E164" s="1526"/>
      <c r="F164" s="1526"/>
      <c r="G164" s="1526"/>
      <c r="H164" s="1526"/>
    </row>
    <row r="165" spans="1:8" x14ac:dyDescent="0.2">
      <c r="A165" s="1526"/>
      <c r="B165" s="1526"/>
      <c r="C165" s="1526"/>
      <c r="D165" s="1526"/>
      <c r="E165" s="1526"/>
      <c r="F165" s="1526"/>
      <c r="G165" s="1526"/>
      <c r="H165" s="1526"/>
    </row>
    <row r="166" spans="1:8" x14ac:dyDescent="0.2">
      <c r="A166" s="1527" t="s">
        <v>911</v>
      </c>
      <c r="B166" s="1526"/>
      <c r="C166" s="1526"/>
      <c r="D166" s="1526"/>
      <c r="E166" s="1526"/>
      <c r="F166" s="1526"/>
      <c r="G166" s="1526"/>
      <c r="H166" s="1526"/>
    </row>
    <row r="167" spans="1:8" x14ac:dyDescent="0.2">
      <c r="A167" s="1527" t="s">
        <v>912</v>
      </c>
      <c r="B167" s="1526"/>
      <c r="C167" s="1526"/>
      <c r="D167" s="1526"/>
      <c r="E167" s="1526"/>
      <c r="F167" s="1526"/>
      <c r="G167" s="1526"/>
      <c r="H167" s="1526"/>
    </row>
    <row r="168" spans="1:8" x14ac:dyDescent="0.2">
      <c r="A168" s="1527" t="s">
        <v>913</v>
      </c>
      <c r="B168" s="1526"/>
      <c r="C168" s="1526"/>
      <c r="D168" s="1526"/>
      <c r="E168" s="1526"/>
      <c r="F168" s="1526"/>
      <c r="G168" s="1526"/>
      <c r="H168" s="1526"/>
    </row>
    <row r="169" spans="1:8" x14ac:dyDescent="0.2">
      <c r="A169" s="1526"/>
      <c r="B169" s="1526"/>
      <c r="C169" s="1526"/>
      <c r="D169" s="1526"/>
      <c r="E169" s="1526"/>
      <c r="F169" s="1526"/>
      <c r="G169" s="1526"/>
      <c r="H169" s="1526"/>
    </row>
    <row r="170" spans="1:8" x14ac:dyDescent="0.2">
      <c r="A170" s="1526"/>
      <c r="B170" s="1526"/>
      <c r="C170" s="1526"/>
      <c r="D170" s="1526"/>
      <c r="E170" s="1526"/>
      <c r="F170" s="1526"/>
      <c r="G170" s="1526"/>
      <c r="H170" s="1526"/>
    </row>
    <row r="171" spans="1:8" x14ac:dyDescent="0.2">
      <c r="A171" s="1527" t="s">
        <v>521</v>
      </c>
      <c r="B171" s="1526"/>
      <c r="C171" s="1526"/>
      <c r="D171" s="1526"/>
      <c r="E171" s="1526"/>
      <c r="F171" s="1526"/>
      <c r="G171" s="1526"/>
      <c r="H171" s="1526"/>
    </row>
    <row r="172" spans="1:8" x14ac:dyDescent="0.2">
      <c r="A172" s="1526"/>
      <c r="B172" s="1526"/>
      <c r="C172" s="1526"/>
      <c r="D172" s="1526"/>
      <c r="E172" s="1526"/>
      <c r="F172" s="1526"/>
      <c r="G172" s="1526"/>
      <c r="H172" s="1526"/>
    </row>
    <row r="173" spans="1:8" ht="15.75" x14ac:dyDescent="0.2">
      <c r="A173" s="1528" t="s">
        <v>744</v>
      </c>
      <c r="B173" s="1526"/>
      <c r="C173" s="1526"/>
      <c r="D173" s="1526"/>
      <c r="E173" s="1526"/>
      <c r="F173" s="1526"/>
      <c r="G173" s="1526"/>
      <c r="H173" s="1526"/>
    </row>
    <row r="174" spans="1:8" x14ac:dyDescent="0.2">
      <c r="A174" s="1526"/>
      <c r="B174" s="1526"/>
      <c r="C174" s="1526"/>
      <c r="D174" s="1526"/>
      <c r="E174" s="1526"/>
      <c r="F174" s="1526"/>
      <c r="G174" s="1526"/>
      <c r="H174" s="1526"/>
    </row>
    <row r="175" spans="1:8" x14ac:dyDescent="0.2">
      <c r="A175" s="1526"/>
      <c r="B175" s="1526"/>
      <c r="C175" s="1526"/>
      <c r="D175" s="1526"/>
      <c r="E175" s="1526"/>
      <c r="F175" s="1526"/>
      <c r="G175" s="1526"/>
      <c r="H175" s="1526"/>
    </row>
    <row r="176" spans="1:8" x14ac:dyDescent="0.2">
      <c r="A176" s="1526"/>
      <c r="B176" s="1526"/>
      <c r="C176" s="1526"/>
      <c r="D176" s="1526"/>
      <c r="E176" s="1526"/>
      <c r="F176" s="1526"/>
      <c r="G176" s="1526"/>
      <c r="H176" s="1526"/>
    </row>
    <row r="177" spans="1:8" x14ac:dyDescent="0.2">
      <c r="A177" s="1526"/>
      <c r="B177" s="1526"/>
      <c r="C177" s="1526"/>
      <c r="D177" s="1526"/>
      <c r="E177" s="1526"/>
      <c r="F177" s="1526"/>
      <c r="G177" s="1526"/>
      <c r="H177" s="1526"/>
    </row>
    <row r="178" spans="1:8" x14ac:dyDescent="0.2">
      <c r="A178" s="1526"/>
      <c r="B178" s="1526"/>
      <c r="C178" s="1526"/>
      <c r="D178" s="1526"/>
      <c r="E178" s="1526"/>
      <c r="F178" s="1526"/>
      <c r="G178" s="1526"/>
      <c r="H178" s="1526"/>
    </row>
    <row r="179" spans="1:8" x14ac:dyDescent="0.2">
      <c r="A179" s="1526"/>
      <c r="B179" s="1526"/>
      <c r="C179" s="1526"/>
      <c r="D179" s="1526"/>
      <c r="E179" s="1526"/>
      <c r="F179" s="1526"/>
      <c r="G179" s="1526"/>
      <c r="H179" s="1526"/>
    </row>
    <row r="180" spans="1:8" x14ac:dyDescent="0.2">
      <c r="A180" s="1526"/>
      <c r="B180" s="1526"/>
      <c r="C180" s="1526"/>
      <c r="D180" s="1526"/>
      <c r="E180" s="1526"/>
      <c r="F180" s="1526"/>
      <c r="G180" s="1526"/>
      <c r="H180" s="1526"/>
    </row>
    <row r="181" spans="1:8" x14ac:dyDescent="0.2">
      <c r="A181" s="1526"/>
      <c r="B181" s="1526"/>
      <c r="C181" s="1526"/>
      <c r="D181" s="1526"/>
      <c r="E181" s="1526"/>
      <c r="F181" s="1526"/>
      <c r="G181" s="1526"/>
      <c r="H181" s="1526"/>
    </row>
    <row r="182" spans="1:8" x14ac:dyDescent="0.2">
      <c r="A182" s="1526"/>
      <c r="B182" s="1526"/>
      <c r="C182" s="1526"/>
      <c r="D182" s="1526"/>
      <c r="E182" s="1526"/>
      <c r="F182" s="1526"/>
      <c r="G182" s="1526"/>
      <c r="H182" s="1526"/>
    </row>
    <row r="183" spans="1:8" x14ac:dyDescent="0.2">
      <c r="A183" s="1526"/>
      <c r="B183" s="1526"/>
      <c r="C183" s="1526"/>
      <c r="D183" s="1526"/>
      <c r="E183" s="1526"/>
      <c r="F183" s="1526"/>
      <c r="G183" s="1526"/>
      <c r="H183" s="1526"/>
    </row>
    <row r="184" spans="1:8" x14ac:dyDescent="0.2">
      <c r="A184" s="1526"/>
      <c r="B184" s="1526"/>
      <c r="C184" s="1526"/>
      <c r="D184" s="1526"/>
      <c r="E184" s="1526"/>
      <c r="F184" s="1526"/>
      <c r="G184" s="1526"/>
      <c r="H184" s="1526"/>
    </row>
    <row r="185" spans="1:8" x14ac:dyDescent="0.2">
      <c r="A185" s="1526"/>
      <c r="B185" s="1526"/>
      <c r="C185" s="1526"/>
      <c r="D185" s="1526"/>
      <c r="E185" s="1526"/>
      <c r="F185" s="1526"/>
      <c r="G185" s="1526"/>
      <c r="H185" s="1526"/>
    </row>
    <row r="186" spans="1:8" x14ac:dyDescent="0.2">
      <c r="A186" s="1526"/>
      <c r="B186" s="1526"/>
      <c r="C186" s="1526"/>
      <c r="D186" s="1526"/>
      <c r="E186" s="1526"/>
      <c r="F186" s="1526"/>
      <c r="G186" s="1526"/>
      <c r="H186" s="1526"/>
    </row>
    <row r="187" spans="1:8" x14ac:dyDescent="0.2">
      <c r="A187" s="1526"/>
      <c r="B187" s="1526"/>
      <c r="C187" s="1526"/>
      <c r="D187" s="1526"/>
      <c r="E187" s="1526"/>
      <c r="F187" s="1526"/>
      <c r="G187" s="1526"/>
      <c r="H187" s="1526"/>
    </row>
    <row r="188" spans="1:8" x14ac:dyDescent="0.2">
      <c r="A188" s="1526"/>
      <c r="B188" s="1526"/>
      <c r="C188" s="1526"/>
      <c r="D188" s="1526"/>
      <c r="E188" s="1526"/>
      <c r="F188" s="1526"/>
      <c r="G188" s="1526"/>
      <c r="H188" s="1526"/>
    </row>
    <row r="189" spans="1:8" x14ac:dyDescent="0.2">
      <c r="A189" s="1526"/>
      <c r="B189" s="1526"/>
      <c r="C189" s="1526"/>
      <c r="D189" s="1526"/>
      <c r="E189" s="1526"/>
      <c r="F189" s="1526"/>
      <c r="G189" s="1526"/>
      <c r="H189" s="1526"/>
    </row>
    <row r="190" spans="1:8" x14ac:dyDescent="0.2">
      <c r="A190" s="1526"/>
      <c r="B190" s="1526"/>
      <c r="C190" s="1526"/>
      <c r="D190" s="1526"/>
      <c r="E190" s="1526"/>
      <c r="F190" s="1526"/>
      <c r="G190" s="1526"/>
      <c r="H190" s="1526"/>
    </row>
    <row r="191" spans="1:8" x14ac:dyDescent="0.2">
      <c r="A191" s="1526"/>
      <c r="B191" s="1526"/>
      <c r="C191" s="1526"/>
      <c r="D191" s="1526"/>
      <c r="E191" s="1526"/>
      <c r="F191" s="1526"/>
      <c r="G191" s="1526"/>
      <c r="H191" s="1526"/>
    </row>
    <row r="192" spans="1:8" x14ac:dyDescent="0.2">
      <c r="A192" s="1526"/>
      <c r="B192" s="1526"/>
      <c r="C192" s="1526"/>
      <c r="D192" s="1526"/>
      <c r="E192" s="1526"/>
      <c r="F192" s="1526"/>
      <c r="G192" s="1526"/>
      <c r="H192" s="1526"/>
    </row>
    <row r="193" spans="1:8" x14ac:dyDescent="0.2">
      <c r="A193" s="1526"/>
      <c r="B193" s="1526"/>
      <c r="C193" s="1526"/>
      <c r="D193" s="1526"/>
      <c r="E193" s="1526"/>
      <c r="F193" s="1526"/>
      <c r="G193" s="1526"/>
      <c r="H193" s="1526"/>
    </row>
    <row r="194" spans="1:8" x14ac:dyDescent="0.2">
      <c r="A194" s="1526"/>
      <c r="B194" s="1526"/>
      <c r="C194" s="1526"/>
      <c r="D194" s="1526"/>
      <c r="E194" s="1526"/>
      <c r="F194" s="1526"/>
      <c r="G194" s="1526"/>
      <c r="H194" s="1526"/>
    </row>
    <row r="195" spans="1:8" x14ac:dyDescent="0.2">
      <c r="A195" s="1526"/>
      <c r="B195" s="1526"/>
      <c r="C195" s="1526"/>
      <c r="D195" s="1526"/>
      <c r="E195" s="1526"/>
      <c r="F195" s="1526"/>
      <c r="G195" s="1526"/>
      <c r="H195" s="1526"/>
    </row>
    <row r="196" spans="1:8" x14ac:dyDescent="0.2">
      <c r="A196" s="1526"/>
      <c r="B196" s="1526"/>
      <c r="C196" s="1526"/>
      <c r="D196" s="1526"/>
      <c r="E196" s="1526"/>
      <c r="F196" s="1526"/>
      <c r="G196" s="1526"/>
      <c r="H196" s="1526"/>
    </row>
    <row r="197" spans="1:8" x14ac:dyDescent="0.2">
      <c r="A197" s="1526"/>
      <c r="B197" s="1526"/>
      <c r="C197" s="1526"/>
      <c r="D197" s="1526"/>
      <c r="E197" s="1526"/>
      <c r="F197" s="1526"/>
      <c r="G197" s="1526"/>
      <c r="H197" s="1526"/>
    </row>
    <row r="198" spans="1:8" x14ac:dyDescent="0.2">
      <c r="A198" s="1526"/>
      <c r="B198" s="1526"/>
      <c r="C198" s="1526"/>
      <c r="D198" s="1526"/>
      <c r="E198" s="1526"/>
      <c r="F198" s="1526"/>
      <c r="G198" s="1526"/>
      <c r="H198" s="1526"/>
    </row>
    <row r="199" spans="1:8" x14ac:dyDescent="0.2">
      <c r="A199" s="1526"/>
      <c r="B199" s="1526"/>
      <c r="C199" s="1526"/>
      <c r="D199" s="1526"/>
      <c r="E199" s="1526"/>
      <c r="F199" s="1526"/>
      <c r="G199" s="1526"/>
      <c r="H199" s="1526"/>
    </row>
    <row r="200" spans="1:8" ht="15.75" x14ac:dyDescent="0.2">
      <c r="A200" s="1528" t="s">
        <v>745</v>
      </c>
      <c r="B200" s="1526"/>
      <c r="C200" s="1526"/>
      <c r="D200" s="1526"/>
      <c r="E200" s="1526"/>
      <c r="F200" s="1526"/>
      <c r="G200" s="1526"/>
      <c r="H200" s="1526"/>
    </row>
    <row r="201" spans="1:8" x14ac:dyDescent="0.2">
      <c r="A201" s="1526"/>
      <c r="B201" s="1526"/>
      <c r="C201" s="1526"/>
      <c r="D201" s="1526"/>
      <c r="E201" s="1526"/>
      <c r="F201" s="1526"/>
      <c r="G201" s="1526"/>
      <c r="H201" s="1526"/>
    </row>
    <row r="202" spans="1:8" x14ac:dyDescent="0.2">
      <c r="A202" s="1527" t="s">
        <v>906</v>
      </c>
      <c r="B202" s="1526"/>
      <c r="C202" s="1526"/>
      <c r="D202" s="1526"/>
      <c r="E202" s="1526"/>
      <c r="F202" s="1526"/>
      <c r="G202" s="1526"/>
      <c r="H202" s="1526"/>
    </row>
    <row r="203" spans="1:8" x14ac:dyDescent="0.2">
      <c r="A203" s="1527" t="s">
        <v>907</v>
      </c>
      <c r="B203" s="1526"/>
      <c r="C203" s="1526"/>
      <c r="D203" s="1526"/>
      <c r="E203" s="1526"/>
      <c r="F203" s="1526"/>
      <c r="G203" s="1526"/>
      <c r="H203" s="1526"/>
    </row>
    <row r="204" spans="1:8" x14ac:dyDescent="0.2">
      <c r="A204" s="1527" t="s">
        <v>908</v>
      </c>
      <c r="B204" s="1526"/>
      <c r="C204" s="1526"/>
      <c r="D204" s="1526"/>
      <c r="E204" s="1526"/>
      <c r="F204" s="1526"/>
      <c r="G204" s="1526"/>
      <c r="H204" s="1526"/>
    </row>
    <row r="205" spans="1:8" x14ac:dyDescent="0.2">
      <c r="A205" s="1527" t="s">
        <v>909</v>
      </c>
      <c r="B205" s="1526"/>
      <c r="C205" s="1526"/>
      <c r="D205" s="1526"/>
      <c r="E205" s="1526"/>
      <c r="F205" s="1526"/>
      <c r="G205" s="1526"/>
      <c r="H205" s="1526"/>
    </row>
    <row r="206" spans="1:8" x14ac:dyDescent="0.2">
      <c r="A206" s="1527" t="s">
        <v>910</v>
      </c>
      <c r="B206" s="1526"/>
      <c r="C206" s="1526"/>
      <c r="D206" s="1526"/>
      <c r="E206" s="1526"/>
      <c r="F206" s="1526"/>
      <c r="G206" s="1526"/>
      <c r="H206" s="1526"/>
    </row>
    <row r="207" spans="1:8" x14ac:dyDescent="0.2">
      <c r="A207" s="1526"/>
      <c r="B207" s="1526"/>
      <c r="C207" s="1526"/>
      <c r="D207" s="1526"/>
      <c r="E207" s="1526"/>
      <c r="F207" s="1526"/>
      <c r="G207" s="1526"/>
      <c r="H207" s="1526"/>
    </row>
    <row r="208" spans="1:8" x14ac:dyDescent="0.2">
      <c r="A208" s="1527" t="s">
        <v>903</v>
      </c>
      <c r="B208" s="1526"/>
      <c r="C208" s="1526"/>
      <c r="D208" s="1526"/>
      <c r="E208" s="1526"/>
      <c r="F208" s="1526"/>
      <c r="G208" s="1526"/>
      <c r="H208" s="1526"/>
    </row>
    <row r="209" spans="1:8" x14ac:dyDescent="0.2">
      <c r="A209" s="1527" t="s">
        <v>904</v>
      </c>
      <c r="B209" s="1526"/>
      <c r="C209" s="1526"/>
      <c r="D209" s="1526"/>
      <c r="E209" s="1526"/>
      <c r="F209" s="1526"/>
      <c r="G209" s="1526"/>
      <c r="H209" s="1526"/>
    </row>
    <row r="210" spans="1:8" x14ac:dyDescent="0.2">
      <c r="A210" s="1527" t="s">
        <v>905</v>
      </c>
      <c r="B210" s="1526"/>
      <c r="C210" s="1526"/>
      <c r="D210" s="1526"/>
      <c r="E210" s="1526"/>
      <c r="F210" s="1526"/>
      <c r="G210" s="1526"/>
      <c r="H210" s="1526"/>
    </row>
    <row r="211" spans="1:8" ht="15.75" x14ac:dyDescent="0.2">
      <c r="A211" s="1528" t="s">
        <v>746</v>
      </c>
      <c r="B211" s="1526"/>
      <c r="C211" s="1526"/>
      <c r="D211" s="1526"/>
      <c r="E211" s="1526"/>
      <c r="F211" s="1526"/>
      <c r="G211" s="1526"/>
      <c r="H211" s="1526"/>
    </row>
    <row r="212" spans="1:8" x14ac:dyDescent="0.2">
      <c r="A212" s="1526"/>
      <c r="B212" s="1526"/>
      <c r="C212" s="1526"/>
      <c r="D212" s="1526"/>
      <c r="E212" s="1526"/>
      <c r="F212" s="1526"/>
      <c r="G212" s="1526"/>
      <c r="H212" s="1526"/>
    </row>
    <row r="213" spans="1:8" x14ac:dyDescent="0.2">
      <c r="A213" s="1527" t="s">
        <v>901</v>
      </c>
      <c r="B213" s="1526"/>
      <c r="C213" s="1526"/>
      <c r="D213" s="1526"/>
      <c r="E213" s="1526"/>
      <c r="F213" s="1526"/>
      <c r="G213" s="1526"/>
      <c r="H213" s="1526"/>
    </row>
    <row r="214" spans="1:8" x14ac:dyDescent="0.2">
      <c r="A214" s="1527" t="s">
        <v>902</v>
      </c>
      <c r="B214" s="1526"/>
      <c r="C214" s="1526"/>
      <c r="D214" s="1526"/>
      <c r="E214" s="1526"/>
      <c r="F214" s="1526"/>
      <c r="G214" s="1526"/>
      <c r="H214" s="1526"/>
    </row>
    <row r="215" spans="1:8" x14ac:dyDescent="0.2">
      <c r="A215" s="1526"/>
      <c r="B215" s="1526"/>
      <c r="C215" s="1526"/>
      <c r="D215" s="1526"/>
      <c r="E215" s="1526"/>
      <c r="F215" s="1526"/>
      <c r="G215" s="1526"/>
      <c r="H215" s="1526"/>
    </row>
    <row r="216" spans="1:8" x14ac:dyDescent="0.2">
      <c r="A216" s="1527" t="s">
        <v>894</v>
      </c>
      <c r="B216" s="1526"/>
      <c r="C216" s="1526"/>
      <c r="D216" s="1526"/>
      <c r="E216" s="1526"/>
      <c r="F216" s="1526"/>
      <c r="G216" s="1526"/>
      <c r="H216" s="1526"/>
    </row>
    <row r="217" spans="1:8" x14ac:dyDescent="0.2">
      <c r="A217" s="1527" t="s">
        <v>895</v>
      </c>
      <c r="B217" s="1526"/>
      <c r="C217" s="1526"/>
      <c r="D217" s="1526"/>
      <c r="E217" s="1526"/>
      <c r="F217" s="1526"/>
      <c r="G217" s="1526"/>
      <c r="H217" s="1526"/>
    </row>
    <row r="218" spans="1:8" x14ac:dyDescent="0.2">
      <c r="A218" s="1527" t="s">
        <v>896</v>
      </c>
      <c r="B218" s="1526"/>
      <c r="C218" s="1526"/>
      <c r="D218" s="1526"/>
      <c r="E218" s="1526"/>
      <c r="F218" s="1526"/>
      <c r="G218" s="1526"/>
      <c r="H218" s="1526"/>
    </row>
    <row r="219" spans="1:8" x14ac:dyDescent="0.2">
      <c r="A219" s="1527" t="s">
        <v>897</v>
      </c>
      <c r="B219" s="1526"/>
      <c r="C219" s="1526"/>
      <c r="D219" s="1526"/>
      <c r="E219" s="1526"/>
      <c r="F219" s="1526"/>
      <c r="G219" s="1526"/>
      <c r="H219" s="1526"/>
    </row>
    <row r="220" spans="1:8" x14ac:dyDescent="0.2">
      <c r="A220" s="1527" t="s">
        <v>898</v>
      </c>
      <c r="B220" s="1526"/>
      <c r="C220" s="1526"/>
      <c r="D220" s="1526"/>
      <c r="E220" s="1526"/>
      <c r="F220" s="1526"/>
      <c r="G220" s="1526"/>
      <c r="H220" s="1526"/>
    </row>
    <row r="221" spans="1:8" x14ac:dyDescent="0.2">
      <c r="A221" s="1527" t="s">
        <v>899</v>
      </c>
      <c r="B221" s="1526"/>
      <c r="C221" s="1526"/>
      <c r="D221" s="1526"/>
      <c r="E221" s="1526"/>
      <c r="F221" s="1526"/>
      <c r="G221" s="1526"/>
      <c r="H221" s="1526"/>
    </row>
    <row r="222" spans="1:8" x14ac:dyDescent="0.2">
      <c r="A222" s="1527" t="s">
        <v>900</v>
      </c>
      <c r="B222" s="1526"/>
      <c r="C222" s="1526"/>
      <c r="D222" s="1526"/>
      <c r="E222" s="1526"/>
      <c r="F222" s="1526"/>
      <c r="G222" s="1526"/>
      <c r="H222" s="1526"/>
    </row>
    <row r="223" spans="1:8" x14ac:dyDescent="0.2">
      <c r="A223" s="1526"/>
      <c r="B223" s="1526"/>
      <c r="C223" s="1526"/>
      <c r="D223" s="1526"/>
      <c r="E223" s="1526"/>
      <c r="F223" s="1526"/>
      <c r="G223" s="1526"/>
      <c r="H223" s="1526"/>
    </row>
    <row r="224" spans="1:8" x14ac:dyDescent="0.2">
      <c r="A224" s="1527" t="s">
        <v>891</v>
      </c>
      <c r="B224" s="1526"/>
      <c r="C224" s="1526"/>
      <c r="D224" s="1526"/>
      <c r="E224" s="1526"/>
      <c r="F224" s="1526"/>
      <c r="G224" s="1526"/>
      <c r="H224" s="1526"/>
    </row>
    <row r="225" spans="1:8" x14ac:dyDescent="0.2">
      <c r="A225" s="1527" t="s">
        <v>892</v>
      </c>
      <c r="B225" s="1526"/>
      <c r="C225" s="1526"/>
      <c r="D225" s="1526"/>
      <c r="E225" s="1526"/>
      <c r="F225" s="1526"/>
      <c r="G225" s="1526"/>
      <c r="H225" s="1526"/>
    </row>
    <row r="226" spans="1:8" x14ac:dyDescent="0.2">
      <c r="A226" s="1527" t="s">
        <v>893</v>
      </c>
      <c r="B226" s="1526"/>
      <c r="C226" s="1526"/>
      <c r="D226" s="1526"/>
      <c r="E226" s="1526"/>
      <c r="F226" s="1526"/>
      <c r="G226" s="1526"/>
      <c r="H226" s="1526"/>
    </row>
    <row r="227" spans="1:8" x14ac:dyDescent="0.2">
      <c r="A227" s="1526"/>
      <c r="B227" s="1526"/>
      <c r="C227" s="1526"/>
      <c r="D227" s="1526"/>
      <c r="E227" s="1526"/>
      <c r="F227" s="1526"/>
      <c r="G227" s="1526"/>
      <c r="H227" s="1526"/>
    </row>
    <row r="228" spans="1:8" x14ac:dyDescent="0.2">
      <c r="A228" s="1527" t="s">
        <v>886</v>
      </c>
      <c r="B228" s="1526"/>
      <c r="C228" s="1526"/>
      <c r="D228" s="1526"/>
      <c r="E228" s="1526"/>
      <c r="F228" s="1526"/>
      <c r="G228" s="1526"/>
      <c r="H228" s="1526"/>
    </row>
    <row r="229" spans="1:8" x14ac:dyDescent="0.2">
      <c r="A229" s="1527" t="s">
        <v>887</v>
      </c>
      <c r="B229" s="1526"/>
      <c r="C229" s="1526"/>
      <c r="D229" s="1526"/>
      <c r="E229" s="1526"/>
      <c r="F229" s="1526"/>
      <c r="G229" s="1526"/>
      <c r="H229" s="1526"/>
    </row>
    <row r="230" spans="1:8" x14ac:dyDescent="0.2">
      <c r="A230" s="1527" t="s">
        <v>888</v>
      </c>
      <c r="B230" s="1526"/>
      <c r="C230" s="1526"/>
      <c r="D230" s="1526"/>
      <c r="E230" s="1526"/>
      <c r="F230" s="1526"/>
      <c r="G230" s="1526"/>
      <c r="H230" s="1526"/>
    </row>
    <row r="231" spans="1:8" x14ac:dyDescent="0.2">
      <c r="A231" s="1527" t="s">
        <v>889</v>
      </c>
      <c r="B231" s="1526"/>
      <c r="C231" s="1526"/>
      <c r="D231" s="1526"/>
      <c r="E231" s="1526"/>
      <c r="F231" s="1526"/>
      <c r="G231" s="1526"/>
      <c r="H231" s="1526"/>
    </row>
    <row r="232" spans="1:8" x14ac:dyDescent="0.2">
      <c r="A232" s="1527" t="s">
        <v>890</v>
      </c>
      <c r="B232" s="1526"/>
      <c r="C232" s="1526"/>
      <c r="D232" s="1526"/>
      <c r="E232" s="1526"/>
      <c r="F232" s="1526"/>
      <c r="G232" s="1526"/>
      <c r="H232" s="1526"/>
    </row>
    <row r="233" spans="1:8" x14ac:dyDescent="0.2">
      <c r="A233" s="1526"/>
      <c r="B233" s="1526"/>
      <c r="C233" s="1526"/>
      <c r="D233" s="1526"/>
      <c r="E233" s="1526"/>
      <c r="F233" s="1526"/>
      <c r="G233" s="1526"/>
      <c r="H233" s="1526"/>
    </row>
    <row r="234" spans="1:8" x14ac:dyDescent="0.2">
      <c r="A234" s="1527" t="s">
        <v>880</v>
      </c>
      <c r="B234" s="1526"/>
      <c r="C234" s="1526"/>
      <c r="D234" s="1526"/>
      <c r="E234" s="1526"/>
      <c r="F234" s="1526"/>
      <c r="G234" s="1526"/>
      <c r="H234" s="1526"/>
    </row>
    <row r="235" spans="1:8" x14ac:dyDescent="0.2">
      <c r="A235" s="1527" t="s">
        <v>881</v>
      </c>
      <c r="B235" s="1526"/>
      <c r="C235" s="1526"/>
      <c r="D235" s="1526"/>
      <c r="E235" s="1526"/>
      <c r="F235" s="1526"/>
      <c r="G235" s="1526"/>
      <c r="H235" s="1526"/>
    </row>
    <row r="236" spans="1:8" x14ac:dyDescent="0.2">
      <c r="A236" s="1527" t="s">
        <v>882</v>
      </c>
      <c r="B236" s="1526"/>
      <c r="C236" s="1526"/>
      <c r="D236" s="1526"/>
      <c r="E236" s="1526"/>
      <c r="F236" s="1526"/>
      <c r="G236" s="1526"/>
      <c r="H236" s="1526"/>
    </row>
    <row r="237" spans="1:8" x14ac:dyDescent="0.2">
      <c r="A237" s="1527" t="s">
        <v>883</v>
      </c>
      <c r="B237" s="1526"/>
      <c r="C237" s="1526"/>
      <c r="D237" s="1526"/>
      <c r="E237" s="1526"/>
      <c r="F237" s="1526"/>
      <c r="G237" s="1526"/>
      <c r="H237" s="1526"/>
    </row>
    <row r="238" spans="1:8" x14ac:dyDescent="0.2">
      <c r="A238" s="1527" t="s">
        <v>884</v>
      </c>
      <c r="B238" s="1526"/>
      <c r="C238" s="1526"/>
      <c r="D238" s="1526"/>
      <c r="E238" s="1526"/>
      <c r="F238" s="1526"/>
      <c r="G238" s="1526"/>
      <c r="H238" s="1526"/>
    </row>
    <row r="239" spans="1:8" x14ac:dyDescent="0.2">
      <c r="A239" s="1527" t="s">
        <v>885</v>
      </c>
      <c r="B239" s="1526"/>
      <c r="C239" s="1526"/>
      <c r="D239" s="1526"/>
      <c r="E239" s="1526"/>
      <c r="F239" s="1526"/>
      <c r="G239" s="1526"/>
      <c r="H239" s="1526"/>
    </row>
    <row r="240" spans="1:8" x14ac:dyDescent="0.2">
      <c r="A240" s="1526"/>
      <c r="B240" s="1526"/>
      <c r="C240" s="1526"/>
      <c r="D240" s="1526"/>
      <c r="E240" s="1526"/>
      <c r="F240" s="1526"/>
      <c r="G240" s="1526"/>
      <c r="H240" s="1526"/>
    </row>
    <row r="241" spans="1:8" x14ac:dyDescent="0.2">
      <c r="A241" s="1527" t="s">
        <v>870</v>
      </c>
      <c r="B241" s="1526"/>
      <c r="C241" s="1526"/>
      <c r="D241" s="1526"/>
      <c r="E241" s="1526"/>
      <c r="F241" s="1526"/>
      <c r="G241" s="1526"/>
      <c r="H241" s="1526"/>
    </row>
    <row r="242" spans="1:8" x14ac:dyDescent="0.2">
      <c r="A242" s="1527" t="s">
        <v>871</v>
      </c>
      <c r="B242" s="1526"/>
      <c r="C242" s="1526"/>
      <c r="D242" s="1526"/>
      <c r="E242" s="1526"/>
      <c r="F242" s="1526"/>
      <c r="G242" s="1526"/>
      <c r="H242" s="1526"/>
    </row>
    <row r="243" spans="1:8" x14ac:dyDescent="0.2">
      <c r="A243" s="1527" t="s">
        <v>872</v>
      </c>
      <c r="B243" s="1526"/>
      <c r="C243" s="1526"/>
      <c r="D243" s="1526"/>
      <c r="E243" s="1526"/>
      <c r="F243" s="1526"/>
      <c r="G243" s="1526"/>
      <c r="H243" s="1526"/>
    </row>
    <row r="244" spans="1:8" x14ac:dyDescent="0.2">
      <c r="A244" s="1527" t="s">
        <v>873</v>
      </c>
      <c r="B244" s="1526"/>
      <c r="C244" s="1526"/>
      <c r="D244" s="1526"/>
      <c r="E244" s="1526"/>
      <c r="F244" s="1526"/>
      <c r="G244" s="1526"/>
      <c r="H244" s="1526"/>
    </row>
    <row r="245" spans="1:8" x14ac:dyDescent="0.2">
      <c r="A245" s="1527" t="s">
        <v>874</v>
      </c>
      <c r="B245" s="1526"/>
      <c r="C245" s="1526"/>
      <c r="D245" s="1526"/>
      <c r="E245" s="1526"/>
      <c r="F245" s="1526"/>
      <c r="G245" s="1526"/>
      <c r="H245" s="1526"/>
    </row>
    <row r="246" spans="1:8" x14ac:dyDescent="0.2">
      <c r="A246" s="1527" t="s">
        <v>875</v>
      </c>
      <c r="B246" s="1526"/>
      <c r="C246" s="1526"/>
      <c r="D246" s="1526"/>
      <c r="E246" s="1526"/>
      <c r="F246" s="1526"/>
      <c r="G246" s="1526"/>
      <c r="H246" s="1526"/>
    </row>
    <row r="247" spans="1:8" x14ac:dyDescent="0.2">
      <c r="A247" s="1527" t="s">
        <v>876</v>
      </c>
      <c r="B247" s="1526"/>
      <c r="C247" s="1526"/>
      <c r="D247" s="1526"/>
      <c r="E247" s="1526"/>
      <c r="F247" s="1526"/>
      <c r="G247" s="1526"/>
      <c r="H247" s="1526"/>
    </row>
    <row r="248" spans="1:8" x14ac:dyDescent="0.2">
      <c r="A248" s="1527" t="s">
        <v>877</v>
      </c>
      <c r="B248" s="1526"/>
      <c r="C248" s="1526"/>
      <c r="D248" s="1526"/>
      <c r="E248" s="1526"/>
      <c r="F248" s="1526"/>
      <c r="G248" s="1526"/>
      <c r="H248" s="1526"/>
    </row>
    <row r="249" spans="1:8" x14ac:dyDescent="0.2">
      <c r="A249" s="1527" t="s">
        <v>878</v>
      </c>
      <c r="B249" s="1526"/>
      <c r="C249" s="1526"/>
      <c r="D249" s="1526"/>
      <c r="E249" s="1526"/>
      <c r="F249" s="1526"/>
      <c r="G249" s="1526"/>
      <c r="H249" s="1526"/>
    </row>
    <row r="250" spans="1:8" x14ac:dyDescent="0.2">
      <c r="A250" s="1527" t="s">
        <v>879</v>
      </c>
      <c r="B250" s="1526"/>
      <c r="C250" s="1526"/>
      <c r="D250" s="1526"/>
      <c r="E250" s="1526"/>
      <c r="F250" s="1526"/>
      <c r="G250" s="1526"/>
      <c r="H250" s="1526"/>
    </row>
    <row r="251" spans="1:8" x14ac:dyDescent="0.2">
      <c r="A251" s="1526"/>
      <c r="B251" s="1526"/>
      <c r="C251" s="1526"/>
      <c r="D251" s="1526"/>
      <c r="E251" s="1526"/>
      <c r="F251" s="1526"/>
      <c r="G251" s="1526"/>
      <c r="H251" s="1526"/>
    </row>
    <row r="252" spans="1:8" x14ac:dyDescent="0.2">
      <c r="A252" s="1527" t="s">
        <v>868</v>
      </c>
      <c r="B252" s="1526"/>
      <c r="C252" s="1526"/>
      <c r="D252" s="1526"/>
      <c r="E252" s="1526"/>
      <c r="F252" s="1526"/>
      <c r="G252" s="1526"/>
      <c r="H252" s="1526"/>
    </row>
    <row r="253" spans="1:8" x14ac:dyDescent="0.2">
      <c r="A253" s="1527" t="s">
        <v>869</v>
      </c>
      <c r="B253" s="1526"/>
      <c r="C253" s="1526"/>
      <c r="D253" s="1526"/>
      <c r="E253" s="1526"/>
      <c r="F253" s="1526"/>
      <c r="G253" s="1526"/>
      <c r="H253" s="1526"/>
    </row>
    <row r="254" spans="1:8" x14ac:dyDescent="0.2">
      <c r="A254" s="1526"/>
      <c r="B254" s="1526"/>
      <c r="C254" s="1526"/>
      <c r="D254" s="1526"/>
      <c r="E254" s="1526"/>
      <c r="F254" s="1526"/>
      <c r="G254" s="1526"/>
      <c r="H254" s="1526"/>
    </row>
    <row r="255" spans="1:8" x14ac:dyDescent="0.2">
      <c r="A255" s="1527" t="s">
        <v>852</v>
      </c>
      <c r="B255" s="1526"/>
      <c r="C255" s="1526"/>
      <c r="D255" s="1526"/>
      <c r="E255" s="1526"/>
      <c r="F255" s="1526"/>
      <c r="G255" s="1526"/>
      <c r="H255" s="1526"/>
    </row>
    <row r="256" spans="1:8" x14ac:dyDescent="0.2">
      <c r="A256" s="1527" t="s">
        <v>853</v>
      </c>
      <c r="B256" s="1526"/>
      <c r="C256" s="1526"/>
      <c r="D256" s="1526"/>
      <c r="E256" s="1526"/>
      <c r="F256" s="1526"/>
      <c r="G256" s="1526"/>
      <c r="H256" s="1526"/>
    </row>
    <row r="257" spans="1:8" x14ac:dyDescent="0.2">
      <c r="A257" s="1527" t="s">
        <v>854</v>
      </c>
      <c r="B257" s="1526"/>
      <c r="C257" s="1526"/>
      <c r="D257" s="1526"/>
      <c r="E257" s="1526"/>
      <c r="F257" s="1526"/>
      <c r="G257" s="1526"/>
      <c r="H257" s="1526"/>
    </row>
    <row r="258" spans="1:8" x14ac:dyDescent="0.2">
      <c r="A258" s="1527" t="s">
        <v>855</v>
      </c>
      <c r="B258" s="1526"/>
      <c r="C258" s="1526"/>
      <c r="D258" s="1526"/>
      <c r="E258" s="1526"/>
      <c r="F258" s="1526"/>
      <c r="G258" s="1526"/>
      <c r="H258" s="1526"/>
    </row>
    <row r="259" spans="1:8" x14ac:dyDescent="0.2">
      <c r="A259" s="1527" t="s">
        <v>856</v>
      </c>
      <c r="B259" s="1526"/>
      <c r="C259" s="1526"/>
      <c r="D259" s="1526"/>
      <c r="E259" s="1526"/>
      <c r="F259" s="1526"/>
      <c r="G259" s="1526"/>
      <c r="H259" s="1526"/>
    </row>
    <row r="260" spans="1:8" x14ac:dyDescent="0.2">
      <c r="A260" s="1527" t="s">
        <v>857</v>
      </c>
      <c r="B260" s="1526"/>
      <c r="C260" s="1526"/>
      <c r="D260" s="1526"/>
      <c r="E260" s="1526"/>
      <c r="F260" s="1526"/>
      <c r="G260" s="1526"/>
      <c r="H260" s="1526"/>
    </row>
    <row r="261" spans="1:8" x14ac:dyDescent="0.2">
      <c r="A261" s="1527" t="s">
        <v>858</v>
      </c>
      <c r="B261" s="1526"/>
      <c r="C261" s="1526"/>
      <c r="D261" s="1526"/>
      <c r="E261" s="1526"/>
      <c r="F261" s="1526"/>
      <c r="G261" s="1526"/>
      <c r="H261" s="1526"/>
    </row>
    <row r="262" spans="1:8" x14ac:dyDescent="0.2">
      <c r="A262" s="1527" t="s">
        <v>859</v>
      </c>
      <c r="B262" s="1526"/>
      <c r="C262" s="1526"/>
      <c r="D262" s="1526"/>
      <c r="E262" s="1526"/>
      <c r="F262" s="1526"/>
      <c r="G262" s="1526"/>
      <c r="H262" s="1526"/>
    </row>
    <row r="263" spans="1:8" x14ac:dyDescent="0.2">
      <c r="A263" s="1527" t="s">
        <v>860</v>
      </c>
      <c r="B263" s="1526"/>
      <c r="C263" s="1526"/>
      <c r="D263" s="1526"/>
      <c r="E263" s="1526"/>
      <c r="F263" s="1526"/>
      <c r="G263" s="1526"/>
      <c r="H263" s="1526"/>
    </row>
    <row r="264" spans="1:8" x14ac:dyDescent="0.2">
      <c r="A264" s="1527" t="s">
        <v>861</v>
      </c>
      <c r="B264" s="1526"/>
      <c r="C264" s="1526"/>
      <c r="D264" s="1526"/>
      <c r="E264" s="1526"/>
      <c r="F264" s="1526"/>
      <c r="G264" s="1526"/>
      <c r="H264" s="1526"/>
    </row>
    <row r="265" spans="1:8" x14ac:dyDescent="0.2">
      <c r="A265" s="1527" t="s">
        <v>862</v>
      </c>
      <c r="B265" s="1526"/>
      <c r="C265" s="1526"/>
      <c r="D265" s="1526"/>
      <c r="E265" s="1526"/>
      <c r="F265" s="1526"/>
      <c r="G265" s="1526"/>
      <c r="H265" s="1526"/>
    </row>
    <row r="266" spans="1:8" x14ac:dyDescent="0.2">
      <c r="A266" s="1527" t="s">
        <v>863</v>
      </c>
      <c r="B266" s="1526"/>
      <c r="C266" s="1526"/>
      <c r="D266" s="1526"/>
      <c r="E266" s="1526"/>
      <c r="F266" s="1526"/>
      <c r="G266" s="1526"/>
      <c r="H266" s="1526"/>
    </row>
    <row r="267" spans="1:8" x14ac:dyDescent="0.2">
      <c r="A267" s="1527" t="s">
        <v>864</v>
      </c>
      <c r="B267" s="1526"/>
      <c r="C267" s="1526"/>
      <c r="D267" s="1526"/>
      <c r="E267" s="1526"/>
      <c r="F267" s="1526"/>
      <c r="G267" s="1526"/>
      <c r="H267" s="1526"/>
    </row>
    <row r="268" spans="1:8" x14ac:dyDescent="0.2">
      <c r="A268" s="1527" t="s">
        <v>865</v>
      </c>
      <c r="B268" s="1526"/>
      <c r="C268" s="1526"/>
      <c r="D268" s="1526"/>
      <c r="E268" s="1526"/>
      <c r="F268" s="1526"/>
      <c r="G268" s="1526"/>
      <c r="H268" s="1526"/>
    </row>
    <row r="269" spans="1:8" x14ac:dyDescent="0.2">
      <c r="A269" s="1527" t="s">
        <v>866</v>
      </c>
      <c r="B269" s="1526"/>
      <c r="C269" s="1526"/>
      <c r="D269" s="1526"/>
      <c r="E269" s="1526"/>
      <c r="F269" s="1526"/>
      <c r="G269" s="1526"/>
      <c r="H269" s="1526"/>
    </row>
    <row r="270" spans="1:8" x14ac:dyDescent="0.2">
      <c r="A270" s="1527" t="s">
        <v>867</v>
      </c>
      <c r="B270" s="1526"/>
      <c r="C270" s="1526"/>
      <c r="D270" s="1526"/>
      <c r="E270" s="1526"/>
      <c r="F270" s="1526"/>
      <c r="G270" s="1526"/>
      <c r="H270" s="1526"/>
    </row>
    <row r="271" spans="1:8" x14ac:dyDescent="0.2">
      <c r="A271" s="1526"/>
      <c r="B271" s="1526"/>
      <c r="C271" s="1526"/>
      <c r="D271" s="1526"/>
      <c r="E271" s="1526"/>
      <c r="F271" s="1526"/>
      <c r="G271" s="1526"/>
      <c r="H271" s="1526"/>
    </row>
    <row r="272" spans="1:8" x14ac:dyDescent="0.2">
      <c r="A272" s="1527" t="s">
        <v>845</v>
      </c>
      <c r="B272" s="1526"/>
      <c r="C272" s="1526"/>
      <c r="D272" s="1526"/>
      <c r="E272" s="1526"/>
      <c r="F272" s="1526"/>
      <c r="G272" s="1526"/>
      <c r="H272" s="1526"/>
    </row>
    <row r="273" spans="1:8" x14ac:dyDescent="0.2">
      <c r="A273" s="1527" t="s">
        <v>846</v>
      </c>
      <c r="B273" s="1526"/>
      <c r="C273" s="1526"/>
      <c r="D273" s="1526"/>
      <c r="E273" s="1526"/>
      <c r="F273" s="1526"/>
      <c r="G273" s="1526"/>
      <c r="H273" s="1526"/>
    </row>
    <row r="274" spans="1:8" x14ac:dyDescent="0.2">
      <c r="A274" s="1527" t="s">
        <v>847</v>
      </c>
      <c r="B274" s="1526"/>
      <c r="C274" s="1526"/>
      <c r="D274" s="1526"/>
      <c r="E274" s="1526"/>
      <c r="F274" s="1526"/>
      <c r="G274" s="1526"/>
      <c r="H274" s="1526"/>
    </row>
    <row r="275" spans="1:8" x14ac:dyDescent="0.2">
      <c r="A275" s="1527" t="s">
        <v>848</v>
      </c>
      <c r="B275" s="1526"/>
      <c r="C275" s="1526"/>
      <c r="D275" s="1526"/>
      <c r="E275" s="1526"/>
      <c r="F275" s="1526"/>
      <c r="G275" s="1526"/>
      <c r="H275" s="1526"/>
    </row>
    <row r="276" spans="1:8" x14ac:dyDescent="0.2">
      <c r="A276" s="1527" t="s">
        <v>849</v>
      </c>
      <c r="B276" s="1526"/>
      <c r="C276" s="1526"/>
      <c r="D276" s="1526"/>
      <c r="E276" s="1526"/>
      <c r="F276" s="1526"/>
      <c r="G276" s="1526"/>
      <c r="H276" s="1526"/>
    </row>
    <row r="277" spans="1:8" x14ac:dyDescent="0.2">
      <c r="A277" s="1527" t="s">
        <v>850</v>
      </c>
      <c r="B277" s="1526"/>
      <c r="C277" s="1526"/>
      <c r="D277" s="1526"/>
      <c r="E277" s="1526"/>
      <c r="F277" s="1526"/>
      <c r="G277" s="1526"/>
      <c r="H277" s="1526"/>
    </row>
    <row r="278" spans="1:8" x14ac:dyDescent="0.2">
      <c r="A278" s="1527" t="s">
        <v>851</v>
      </c>
      <c r="B278" s="1526"/>
      <c r="C278" s="1526"/>
      <c r="D278" s="1526"/>
      <c r="E278" s="1526"/>
      <c r="F278" s="1526"/>
      <c r="G278" s="1526"/>
      <c r="H278" s="1526"/>
    </row>
    <row r="279" spans="1:8" x14ac:dyDescent="0.2">
      <c r="A279" s="1526"/>
      <c r="B279" s="1526"/>
      <c r="C279" s="1526"/>
      <c r="D279" s="1526"/>
      <c r="E279" s="1526"/>
      <c r="F279" s="1526"/>
      <c r="G279" s="1526"/>
      <c r="H279" s="1526"/>
    </row>
    <row r="280" spans="1:8" x14ac:dyDescent="0.2">
      <c r="A280" s="1527" t="s">
        <v>836</v>
      </c>
      <c r="B280" s="1526"/>
      <c r="C280" s="1526"/>
      <c r="D280" s="1526"/>
      <c r="E280" s="1526"/>
      <c r="F280" s="1526"/>
      <c r="G280" s="1526"/>
      <c r="H280" s="1526"/>
    </row>
    <row r="281" spans="1:8" x14ac:dyDescent="0.2">
      <c r="A281" s="1527" t="s">
        <v>837</v>
      </c>
      <c r="B281" s="1526"/>
      <c r="C281" s="1526"/>
      <c r="D281" s="1526"/>
      <c r="E281" s="1526"/>
      <c r="F281" s="1526"/>
      <c r="G281" s="1526"/>
      <c r="H281" s="1526"/>
    </row>
    <row r="282" spans="1:8" x14ac:dyDescent="0.2">
      <c r="A282" s="1527" t="s">
        <v>838</v>
      </c>
      <c r="B282" s="1526"/>
      <c r="C282" s="1526"/>
      <c r="D282" s="1526"/>
      <c r="E282" s="1526"/>
      <c r="F282" s="1526"/>
      <c r="G282" s="1526"/>
      <c r="H282" s="1526"/>
    </row>
    <row r="283" spans="1:8" x14ac:dyDescent="0.2">
      <c r="A283" s="1527" t="s">
        <v>839</v>
      </c>
      <c r="B283" s="1526"/>
      <c r="C283" s="1526"/>
      <c r="D283" s="1526"/>
      <c r="E283" s="1526"/>
      <c r="F283" s="1526"/>
      <c r="G283" s="1526"/>
      <c r="H283" s="1526"/>
    </row>
    <row r="284" spans="1:8" x14ac:dyDescent="0.2">
      <c r="A284" s="1527" t="s">
        <v>840</v>
      </c>
      <c r="B284" s="1526"/>
      <c r="C284" s="1526"/>
      <c r="D284" s="1526"/>
      <c r="E284" s="1526"/>
      <c r="F284" s="1526"/>
      <c r="G284" s="1526"/>
      <c r="H284" s="1526"/>
    </row>
    <row r="285" spans="1:8" x14ac:dyDescent="0.2">
      <c r="A285" s="1527" t="s">
        <v>841</v>
      </c>
      <c r="B285" s="1526"/>
      <c r="C285" s="1526"/>
      <c r="D285" s="1526"/>
      <c r="E285" s="1526"/>
      <c r="F285" s="1526"/>
      <c r="G285" s="1526"/>
      <c r="H285" s="1526"/>
    </row>
    <row r="286" spans="1:8" x14ac:dyDescent="0.2">
      <c r="A286" s="1527" t="s">
        <v>842</v>
      </c>
      <c r="B286" s="1526"/>
      <c r="C286" s="1526"/>
      <c r="D286" s="1526"/>
      <c r="E286" s="1526"/>
      <c r="F286" s="1526"/>
      <c r="G286" s="1526"/>
      <c r="H286" s="1526"/>
    </row>
    <row r="287" spans="1:8" x14ac:dyDescent="0.2">
      <c r="A287" s="1527" t="s">
        <v>843</v>
      </c>
      <c r="B287" s="1526"/>
      <c r="C287" s="1526"/>
      <c r="D287" s="1526"/>
      <c r="E287" s="1526"/>
      <c r="F287" s="1526"/>
      <c r="G287" s="1526"/>
      <c r="H287" s="1526"/>
    </row>
    <row r="288" spans="1:8" x14ac:dyDescent="0.2">
      <c r="A288" s="1527" t="s">
        <v>844</v>
      </c>
      <c r="B288" s="1526"/>
      <c r="C288" s="1526"/>
      <c r="D288" s="1526"/>
      <c r="E288" s="1526"/>
      <c r="F288" s="1526"/>
      <c r="G288" s="1526"/>
      <c r="H288" s="1526"/>
    </row>
    <row r="289" spans="1:8" x14ac:dyDescent="0.2">
      <c r="A289" s="1526"/>
      <c r="B289" s="1526"/>
      <c r="C289" s="1526"/>
      <c r="D289" s="1526"/>
      <c r="E289" s="1526"/>
      <c r="F289" s="1526"/>
      <c r="G289" s="1526"/>
      <c r="H289" s="1526"/>
    </row>
    <row r="290" spans="1:8" x14ac:dyDescent="0.2">
      <c r="A290" s="1527" t="s">
        <v>829</v>
      </c>
      <c r="B290" s="1526"/>
      <c r="C290" s="1526"/>
      <c r="D290" s="1526"/>
      <c r="E290" s="1526"/>
      <c r="F290" s="1526"/>
      <c r="G290" s="1526"/>
      <c r="H290" s="1526"/>
    </row>
    <row r="291" spans="1:8" x14ac:dyDescent="0.2">
      <c r="A291" s="1527" t="s">
        <v>830</v>
      </c>
      <c r="B291" s="1526"/>
      <c r="C291" s="1526"/>
      <c r="D291" s="1526"/>
      <c r="E291" s="1526"/>
      <c r="F291" s="1526"/>
      <c r="G291" s="1526"/>
      <c r="H291" s="1526"/>
    </row>
    <row r="292" spans="1:8" x14ac:dyDescent="0.2">
      <c r="A292" s="1527" t="s">
        <v>831</v>
      </c>
      <c r="B292" s="1526"/>
      <c r="C292" s="1526"/>
      <c r="D292" s="1526"/>
      <c r="E292" s="1526"/>
      <c r="F292" s="1526"/>
      <c r="G292" s="1526"/>
      <c r="H292" s="1526"/>
    </row>
    <row r="293" spans="1:8" x14ac:dyDescent="0.2">
      <c r="A293" s="1527" t="s">
        <v>832</v>
      </c>
      <c r="B293" s="1526"/>
      <c r="C293" s="1526"/>
      <c r="D293" s="1526"/>
      <c r="E293" s="1526"/>
      <c r="F293" s="1526"/>
      <c r="G293" s="1526"/>
      <c r="H293" s="1526"/>
    </row>
    <row r="294" spans="1:8" x14ac:dyDescent="0.2">
      <c r="A294" s="1527" t="s">
        <v>833</v>
      </c>
      <c r="B294" s="1526"/>
      <c r="C294" s="1526"/>
      <c r="D294" s="1526"/>
      <c r="E294" s="1526"/>
      <c r="F294" s="1526"/>
      <c r="G294" s="1526"/>
      <c r="H294" s="1526"/>
    </row>
    <row r="295" spans="1:8" x14ac:dyDescent="0.2">
      <c r="A295" s="1527" t="s">
        <v>834</v>
      </c>
      <c r="B295" s="1526"/>
      <c r="C295" s="1526"/>
      <c r="D295" s="1526"/>
      <c r="E295" s="1526"/>
      <c r="F295" s="1526"/>
      <c r="G295" s="1526"/>
      <c r="H295" s="1526"/>
    </row>
    <row r="296" spans="1:8" x14ac:dyDescent="0.2">
      <c r="A296" s="1527" t="s">
        <v>835</v>
      </c>
      <c r="B296" s="1526"/>
      <c r="C296" s="1526"/>
      <c r="D296" s="1526"/>
      <c r="E296" s="1526"/>
      <c r="F296" s="1526"/>
      <c r="G296" s="1526"/>
      <c r="H296" s="1526"/>
    </row>
    <row r="297" spans="1:8" x14ac:dyDescent="0.2">
      <c r="A297" s="1526"/>
      <c r="B297" s="1526"/>
      <c r="C297" s="1526"/>
      <c r="D297" s="1526"/>
      <c r="E297" s="1526"/>
      <c r="F297" s="1526"/>
      <c r="G297" s="1526"/>
      <c r="H297" s="1526"/>
    </row>
    <row r="298" spans="1:8" x14ac:dyDescent="0.2">
      <c r="A298" s="1527" t="s">
        <v>826</v>
      </c>
      <c r="B298" s="1526"/>
      <c r="C298" s="1526"/>
      <c r="D298" s="1526"/>
      <c r="E298" s="1526"/>
      <c r="F298" s="1526"/>
      <c r="G298" s="1526"/>
      <c r="H298" s="1526"/>
    </row>
    <row r="299" spans="1:8" x14ac:dyDescent="0.2">
      <c r="A299" s="1527" t="s">
        <v>827</v>
      </c>
      <c r="B299" s="1526"/>
      <c r="C299" s="1526"/>
      <c r="D299" s="1526"/>
      <c r="E299" s="1526"/>
      <c r="F299" s="1526"/>
      <c r="G299" s="1526"/>
      <c r="H299" s="1526"/>
    </row>
    <row r="300" spans="1:8" x14ac:dyDescent="0.2">
      <c r="A300" s="1527" t="s">
        <v>828</v>
      </c>
      <c r="B300" s="1526"/>
      <c r="C300" s="1526"/>
      <c r="D300" s="1526"/>
      <c r="E300" s="1526"/>
      <c r="F300" s="1526"/>
      <c r="G300" s="1526"/>
      <c r="H300" s="1526"/>
    </row>
    <row r="301" spans="1:8" x14ac:dyDescent="0.2">
      <c r="A301" s="1526"/>
      <c r="B301" s="1526"/>
      <c r="C301" s="1526"/>
      <c r="D301" s="1526"/>
      <c r="E301" s="1526"/>
      <c r="F301" s="1526"/>
      <c r="G301" s="1526"/>
      <c r="H301" s="1526"/>
    </row>
    <row r="302" spans="1:8" x14ac:dyDescent="0.2">
      <c r="A302" s="1527" t="s">
        <v>824</v>
      </c>
      <c r="B302" s="1526"/>
      <c r="C302" s="1526"/>
      <c r="D302" s="1526"/>
      <c r="E302" s="1526"/>
      <c r="F302" s="1526"/>
      <c r="G302" s="1526"/>
      <c r="H302" s="1526"/>
    </row>
    <row r="303" spans="1:8" x14ac:dyDescent="0.2">
      <c r="A303" s="1527" t="s">
        <v>825</v>
      </c>
      <c r="B303" s="1526"/>
      <c r="C303" s="1526"/>
      <c r="D303" s="1526"/>
      <c r="E303" s="1526"/>
      <c r="F303" s="1526"/>
      <c r="G303" s="1526"/>
      <c r="H303" s="1526"/>
    </row>
    <row r="304" spans="1:8" x14ac:dyDescent="0.2">
      <c r="A304" s="1526"/>
      <c r="B304" s="1526"/>
      <c r="C304" s="1526"/>
      <c r="D304" s="1526"/>
      <c r="E304" s="1526"/>
      <c r="F304" s="1526"/>
      <c r="G304" s="1526"/>
      <c r="H304" s="1526"/>
    </row>
    <row r="305" spans="1:8" x14ac:dyDescent="0.2">
      <c r="A305" s="1527" t="s">
        <v>811</v>
      </c>
      <c r="B305" s="1526"/>
      <c r="C305" s="1526"/>
      <c r="D305" s="1526"/>
      <c r="E305" s="1526"/>
      <c r="F305" s="1526"/>
      <c r="G305" s="1526"/>
      <c r="H305" s="1526"/>
    </row>
    <row r="306" spans="1:8" x14ac:dyDescent="0.2">
      <c r="A306" s="1527" t="s">
        <v>812</v>
      </c>
      <c r="B306" s="1526"/>
      <c r="C306" s="1526"/>
      <c r="D306" s="1526"/>
      <c r="E306" s="1526"/>
      <c r="F306" s="1526"/>
      <c r="G306" s="1526"/>
      <c r="H306" s="1526"/>
    </row>
    <row r="307" spans="1:8" x14ac:dyDescent="0.2">
      <c r="A307" s="1527" t="s">
        <v>813</v>
      </c>
      <c r="B307" s="1526"/>
      <c r="C307" s="1526"/>
      <c r="D307" s="1526"/>
      <c r="E307" s="1526"/>
      <c r="F307" s="1526"/>
      <c r="G307" s="1526"/>
      <c r="H307" s="1526"/>
    </row>
    <row r="308" spans="1:8" x14ac:dyDescent="0.2">
      <c r="A308" s="1527" t="s">
        <v>814</v>
      </c>
      <c r="B308" s="1526"/>
      <c r="C308" s="1526"/>
      <c r="D308" s="1526"/>
      <c r="E308" s="1526"/>
      <c r="F308" s="1526"/>
      <c r="G308" s="1526"/>
      <c r="H308" s="1526"/>
    </row>
    <row r="309" spans="1:8" x14ac:dyDescent="0.2">
      <c r="A309" s="1527" t="s">
        <v>815</v>
      </c>
      <c r="B309" s="1526"/>
      <c r="C309" s="1526"/>
      <c r="D309" s="1526"/>
      <c r="E309" s="1526"/>
      <c r="F309" s="1526"/>
      <c r="G309" s="1526"/>
      <c r="H309" s="1526"/>
    </row>
    <row r="310" spans="1:8" x14ac:dyDescent="0.2">
      <c r="A310" s="1527" t="s">
        <v>816</v>
      </c>
      <c r="B310" s="1526"/>
      <c r="C310" s="1526"/>
      <c r="D310" s="1526"/>
      <c r="E310" s="1526"/>
      <c r="F310" s="1526"/>
      <c r="G310" s="1526"/>
      <c r="H310" s="1526"/>
    </row>
    <row r="311" spans="1:8" x14ac:dyDescent="0.2">
      <c r="A311" s="1527" t="s">
        <v>817</v>
      </c>
      <c r="B311" s="1526"/>
      <c r="C311" s="1526"/>
      <c r="D311" s="1526"/>
      <c r="E311" s="1526"/>
      <c r="F311" s="1526"/>
      <c r="G311" s="1526"/>
      <c r="H311" s="1526"/>
    </row>
    <row r="312" spans="1:8" x14ac:dyDescent="0.2">
      <c r="A312" s="1527" t="s">
        <v>818</v>
      </c>
      <c r="B312" s="1526"/>
      <c r="C312" s="1526"/>
      <c r="D312" s="1526"/>
      <c r="E312" s="1526"/>
      <c r="F312" s="1526"/>
      <c r="G312" s="1526"/>
      <c r="H312" s="1526"/>
    </row>
    <row r="313" spans="1:8" x14ac:dyDescent="0.2">
      <c r="A313" s="1527" t="s">
        <v>819</v>
      </c>
      <c r="B313" s="1526"/>
      <c r="C313" s="1526"/>
      <c r="D313" s="1526"/>
      <c r="E313" s="1526"/>
      <c r="F313" s="1526"/>
      <c r="G313" s="1526"/>
      <c r="H313" s="1526"/>
    </row>
    <row r="314" spans="1:8" x14ac:dyDescent="0.2">
      <c r="A314" s="1527" t="s">
        <v>820</v>
      </c>
      <c r="B314" s="1526"/>
      <c r="C314" s="1526"/>
      <c r="D314" s="1526"/>
      <c r="E314" s="1526"/>
      <c r="F314" s="1526"/>
      <c r="G314" s="1526"/>
      <c r="H314" s="1526"/>
    </row>
    <row r="315" spans="1:8" x14ac:dyDescent="0.2">
      <c r="A315" s="1527" t="s">
        <v>821</v>
      </c>
      <c r="B315" s="1526"/>
      <c r="C315" s="1526"/>
      <c r="D315" s="1526"/>
      <c r="E315" s="1526"/>
      <c r="F315" s="1526"/>
      <c r="G315" s="1526"/>
      <c r="H315" s="1526"/>
    </row>
    <row r="316" spans="1:8" x14ac:dyDescent="0.2">
      <c r="A316" s="1527" t="s">
        <v>822</v>
      </c>
      <c r="B316" s="1526"/>
      <c r="C316" s="1526"/>
      <c r="D316" s="1526"/>
      <c r="E316" s="1526"/>
      <c r="F316" s="1526"/>
      <c r="G316" s="1526"/>
      <c r="H316" s="1526"/>
    </row>
    <row r="317" spans="1:8" x14ac:dyDescent="0.2">
      <c r="A317" s="1527" t="s">
        <v>823</v>
      </c>
      <c r="B317" s="1526"/>
      <c r="C317" s="1526"/>
      <c r="D317" s="1526"/>
      <c r="E317" s="1526"/>
      <c r="F317" s="1526"/>
      <c r="G317" s="1526"/>
      <c r="H317" s="1526"/>
    </row>
    <row r="318" spans="1:8" x14ac:dyDescent="0.2">
      <c r="A318" s="1526"/>
      <c r="B318" s="1526"/>
      <c r="C318" s="1526"/>
      <c r="D318" s="1526"/>
      <c r="E318" s="1526"/>
      <c r="F318" s="1526"/>
      <c r="G318" s="1526"/>
      <c r="H318" s="1526"/>
    </row>
    <row r="319" spans="1:8" x14ac:dyDescent="0.2">
      <c r="A319" s="1527" t="s">
        <v>803</v>
      </c>
      <c r="B319" s="1526"/>
      <c r="C319" s="1526"/>
      <c r="D319" s="1526"/>
      <c r="E319" s="1526"/>
      <c r="F319" s="1526"/>
      <c r="G319" s="1526"/>
      <c r="H319" s="1526"/>
    </row>
    <row r="320" spans="1:8" x14ac:dyDescent="0.2">
      <c r="A320" s="1527" t="s">
        <v>804</v>
      </c>
      <c r="B320" s="1526"/>
      <c r="C320" s="1526"/>
      <c r="D320" s="1526"/>
      <c r="E320" s="1526"/>
      <c r="F320" s="1526"/>
      <c r="G320" s="1526"/>
      <c r="H320" s="1526"/>
    </row>
    <row r="321" spans="1:8" x14ac:dyDescent="0.2">
      <c r="A321" s="1527" t="s">
        <v>805</v>
      </c>
      <c r="B321" s="1526"/>
      <c r="C321" s="1526"/>
      <c r="D321" s="1526"/>
      <c r="E321" s="1526"/>
      <c r="F321" s="1526"/>
      <c r="G321" s="1526"/>
      <c r="H321" s="1526"/>
    </row>
    <row r="322" spans="1:8" x14ac:dyDescent="0.2">
      <c r="A322" s="1527" t="s">
        <v>806</v>
      </c>
      <c r="B322" s="1526"/>
      <c r="C322" s="1526"/>
      <c r="D322" s="1526"/>
      <c r="E322" s="1526"/>
      <c r="F322" s="1526"/>
      <c r="G322" s="1526"/>
      <c r="H322" s="1526"/>
    </row>
    <row r="323" spans="1:8" x14ac:dyDescent="0.2">
      <c r="A323" s="1527" t="s">
        <v>807</v>
      </c>
      <c r="B323" s="1526"/>
      <c r="C323" s="1526"/>
      <c r="D323" s="1526"/>
      <c r="E323" s="1526"/>
      <c r="F323" s="1526"/>
      <c r="G323" s="1526"/>
      <c r="H323" s="1526"/>
    </row>
    <row r="324" spans="1:8" x14ac:dyDescent="0.2">
      <c r="A324" s="1527" t="s">
        <v>808</v>
      </c>
      <c r="B324" s="1526"/>
      <c r="C324" s="1526"/>
      <c r="D324" s="1526"/>
      <c r="E324" s="1526"/>
      <c r="F324" s="1526"/>
      <c r="G324" s="1526"/>
      <c r="H324" s="1526"/>
    </row>
    <row r="325" spans="1:8" x14ac:dyDescent="0.2">
      <c r="A325" s="1527" t="s">
        <v>809</v>
      </c>
      <c r="B325" s="1526"/>
      <c r="C325" s="1526"/>
      <c r="D325" s="1526"/>
      <c r="E325" s="1526"/>
      <c r="F325" s="1526"/>
      <c r="G325" s="1526"/>
      <c r="H325" s="1526"/>
    </row>
    <row r="326" spans="1:8" x14ac:dyDescent="0.2">
      <c r="A326" s="1527" t="s">
        <v>810</v>
      </c>
      <c r="B326" s="1526"/>
      <c r="C326" s="1526"/>
      <c r="D326" s="1526"/>
      <c r="E326" s="1526"/>
      <c r="F326" s="1526"/>
      <c r="G326" s="1526"/>
      <c r="H326" s="1526"/>
    </row>
    <row r="327" spans="1:8" x14ac:dyDescent="0.2">
      <c r="A327" s="1526"/>
      <c r="B327" s="1526"/>
      <c r="C327" s="1526"/>
      <c r="D327" s="1526"/>
      <c r="E327" s="1526"/>
      <c r="F327" s="1526"/>
      <c r="G327" s="1526"/>
      <c r="H327" s="1526"/>
    </row>
    <row r="328" spans="1:8" x14ac:dyDescent="0.2">
      <c r="A328" s="1527" t="s">
        <v>768</v>
      </c>
      <c r="B328" s="1526"/>
      <c r="C328" s="1526"/>
      <c r="D328" s="1526"/>
      <c r="E328" s="1526"/>
      <c r="F328" s="1526"/>
      <c r="G328" s="1526"/>
      <c r="H328" s="1526"/>
    </row>
    <row r="329" spans="1:8" x14ac:dyDescent="0.2">
      <c r="A329" s="1527" t="s">
        <v>769</v>
      </c>
      <c r="B329" s="1526"/>
      <c r="C329" s="1526"/>
      <c r="D329" s="1526"/>
      <c r="E329" s="1526"/>
      <c r="F329" s="1526"/>
      <c r="G329" s="1526"/>
      <c r="H329" s="1526"/>
    </row>
    <row r="330" spans="1:8" x14ac:dyDescent="0.2">
      <c r="A330" s="1527" t="s">
        <v>770</v>
      </c>
      <c r="B330" s="1526"/>
      <c r="C330" s="1526"/>
      <c r="D330" s="1526"/>
      <c r="E330" s="1526"/>
      <c r="F330" s="1526"/>
      <c r="G330" s="1526"/>
      <c r="H330" s="1526"/>
    </row>
    <row r="331" spans="1:8" x14ac:dyDescent="0.2">
      <c r="A331" s="1527" t="s">
        <v>771</v>
      </c>
      <c r="B331" s="1526"/>
      <c r="C331" s="1526"/>
      <c r="D331" s="1526"/>
      <c r="E331" s="1526"/>
      <c r="F331" s="1526"/>
      <c r="G331" s="1526"/>
      <c r="H331" s="1526"/>
    </row>
    <row r="332" spans="1:8" x14ac:dyDescent="0.2">
      <c r="A332" s="1527" t="s">
        <v>772</v>
      </c>
      <c r="B332" s="1526"/>
      <c r="C332" s="1526"/>
      <c r="D332" s="1526"/>
      <c r="E332" s="1526"/>
      <c r="F332" s="1526"/>
      <c r="G332" s="1526"/>
      <c r="H332" s="1526"/>
    </row>
    <row r="333" spans="1:8" x14ac:dyDescent="0.2">
      <c r="A333" s="1527" t="s">
        <v>773</v>
      </c>
      <c r="B333" s="1526"/>
      <c r="C333" s="1526"/>
      <c r="D333" s="1526"/>
      <c r="E333" s="1526"/>
      <c r="F333" s="1526"/>
      <c r="G333" s="1526"/>
      <c r="H333" s="1526"/>
    </row>
    <row r="334" spans="1:8" x14ac:dyDescent="0.2">
      <c r="A334" s="1527" t="s">
        <v>774</v>
      </c>
      <c r="B334" s="1526"/>
      <c r="C334" s="1526"/>
      <c r="D334" s="1526"/>
      <c r="E334" s="1526"/>
      <c r="F334" s="1526"/>
      <c r="G334" s="1526"/>
      <c r="H334" s="1526"/>
    </row>
    <row r="335" spans="1:8" x14ac:dyDescent="0.2">
      <c r="A335" s="1527" t="s">
        <v>775</v>
      </c>
      <c r="B335" s="1526"/>
      <c r="C335" s="1526"/>
      <c r="D335" s="1526"/>
      <c r="E335" s="1526"/>
      <c r="F335" s="1526"/>
      <c r="G335" s="1526"/>
      <c r="H335" s="1526"/>
    </row>
    <row r="336" spans="1:8" x14ac:dyDescent="0.2">
      <c r="A336" s="1527" t="s">
        <v>776</v>
      </c>
      <c r="B336" s="1526"/>
      <c r="C336" s="1526"/>
      <c r="D336" s="1526"/>
      <c r="E336" s="1526"/>
      <c r="F336" s="1526"/>
      <c r="G336" s="1526"/>
      <c r="H336" s="1526"/>
    </row>
    <row r="337" spans="1:8" x14ac:dyDescent="0.2">
      <c r="A337" s="1527" t="s">
        <v>777</v>
      </c>
      <c r="B337" s="1526"/>
      <c r="C337" s="1526"/>
      <c r="D337" s="1526"/>
      <c r="E337" s="1526"/>
      <c r="F337" s="1526"/>
      <c r="G337" s="1526"/>
      <c r="H337" s="1526"/>
    </row>
    <row r="338" spans="1:8" x14ac:dyDescent="0.2">
      <c r="A338" s="1527" t="s">
        <v>778</v>
      </c>
      <c r="B338" s="1526"/>
      <c r="C338" s="1526"/>
      <c r="D338" s="1526"/>
      <c r="E338" s="1526"/>
      <c r="F338" s="1526"/>
      <c r="G338" s="1526"/>
      <c r="H338" s="1526"/>
    </row>
    <row r="339" spans="1:8" x14ac:dyDescent="0.2">
      <c r="A339" s="1527" t="s">
        <v>779</v>
      </c>
      <c r="B339" s="1526"/>
      <c r="C339" s="1526"/>
      <c r="D339" s="1526"/>
      <c r="E339" s="1526"/>
      <c r="F339" s="1526"/>
      <c r="G339" s="1526"/>
      <c r="H339" s="1526"/>
    </row>
    <row r="340" spans="1:8" x14ac:dyDescent="0.2">
      <c r="A340" s="1527" t="s">
        <v>780</v>
      </c>
      <c r="B340" s="1526"/>
      <c r="C340" s="1526"/>
      <c r="D340" s="1526"/>
      <c r="E340" s="1526"/>
      <c r="F340" s="1526"/>
      <c r="G340" s="1526"/>
      <c r="H340" s="1526"/>
    </row>
    <row r="341" spans="1:8" x14ac:dyDescent="0.2">
      <c r="A341" s="1527" t="s">
        <v>781</v>
      </c>
      <c r="B341" s="1526"/>
      <c r="C341" s="1526"/>
      <c r="D341" s="1526"/>
      <c r="E341" s="1526"/>
      <c r="F341" s="1526"/>
      <c r="G341" s="1526"/>
      <c r="H341" s="1526"/>
    </row>
    <row r="342" spans="1:8" x14ac:dyDescent="0.2">
      <c r="A342" s="1527" t="s">
        <v>782</v>
      </c>
      <c r="B342" s="1526"/>
      <c r="C342" s="1526"/>
      <c r="D342" s="1526"/>
      <c r="E342" s="1526"/>
      <c r="F342" s="1526"/>
      <c r="G342" s="1526"/>
      <c r="H342" s="1526"/>
    </row>
    <row r="343" spans="1:8" x14ac:dyDescent="0.2">
      <c r="A343" s="1527" t="s">
        <v>783</v>
      </c>
      <c r="B343" s="1526"/>
      <c r="C343" s="1526"/>
      <c r="D343" s="1526"/>
      <c r="E343" s="1526"/>
      <c r="F343" s="1526"/>
      <c r="G343" s="1526"/>
      <c r="H343" s="1526"/>
    </row>
    <row r="344" spans="1:8" x14ac:dyDescent="0.2">
      <c r="A344" s="1527" t="s">
        <v>784</v>
      </c>
      <c r="B344" s="1526"/>
      <c r="C344" s="1526"/>
      <c r="D344" s="1526"/>
      <c r="E344" s="1526"/>
      <c r="F344" s="1526"/>
      <c r="G344" s="1526"/>
      <c r="H344" s="1526"/>
    </row>
    <row r="345" spans="1:8" x14ac:dyDescent="0.2">
      <c r="A345" s="1527" t="s">
        <v>785</v>
      </c>
      <c r="B345" s="1526"/>
      <c r="C345" s="1526"/>
      <c r="D345" s="1526"/>
      <c r="E345" s="1526"/>
      <c r="F345" s="1526"/>
      <c r="G345" s="1526"/>
      <c r="H345" s="1526"/>
    </row>
    <row r="346" spans="1:8" x14ac:dyDescent="0.2">
      <c r="A346" s="1527" t="s">
        <v>786</v>
      </c>
      <c r="B346" s="1526"/>
      <c r="C346" s="1526"/>
      <c r="D346" s="1526"/>
      <c r="E346" s="1526"/>
      <c r="F346" s="1526"/>
      <c r="G346" s="1526"/>
      <c r="H346" s="1526"/>
    </row>
    <row r="347" spans="1:8" x14ac:dyDescent="0.2">
      <c r="A347" s="1527" t="s">
        <v>787</v>
      </c>
      <c r="B347" s="1526"/>
      <c r="C347" s="1526"/>
      <c r="D347" s="1526"/>
      <c r="E347" s="1526"/>
      <c r="F347" s="1526"/>
      <c r="G347" s="1526"/>
      <c r="H347" s="1526"/>
    </row>
    <row r="348" spans="1:8" x14ac:dyDescent="0.2">
      <c r="A348" s="1527" t="s">
        <v>788</v>
      </c>
      <c r="B348" s="1526"/>
      <c r="C348" s="1526"/>
      <c r="D348" s="1526"/>
      <c r="E348" s="1526"/>
      <c r="F348" s="1526"/>
      <c r="G348" s="1526"/>
      <c r="H348" s="1526"/>
    </row>
    <row r="349" spans="1:8" x14ac:dyDescent="0.2">
      <c r="A349" s="1527" t="s">
        <v>789</v>
      </c>
      <c r="B349" s="1526"/>
      <c r="C349" s="1526"/>
      <c r="D349" s="1526"/>
      <c r="E349" s="1526"/>
      <c r="F349" s="1526"/>
      <c r="G349" s="1526"/>
      <c r="H349" s="1526"/>
    </row>
    <row r="350" spans="1:8" x14ac:dyDescent="0.2">
      <c r="A350" s="1527" t="s">
        <v>790</v>
      </c>
      <c r="B350" s="1526"/>
      <c r="C350" s="1526"/>
      <c r="D350" s="1526"/>
      <c r="E350" s="1526"/>
      <c r="F350" s="1526"/>
      <c r="G350" s="1526"/>
      <c r="H350" s="1526"/>
    </row>
    <row r="351" spans="1:8" x14ac:dyDescent="0.2">
      <c r="A351" s="1527" t="s">
        <v>791</v>
      </c>
      <c r="B351" s="1526"/>
      <c r="C351" s="1526"/>
      <c r="D351" s="1526"/>
      <c r="E351" s="1526"/>
      <c r="F351" s="1526"/>
      <c r="G351" s="1526"/>
      <c r="H351" s="1526"/>
    </row>
    <row r="352" spans="1:8" x14ac:dyDescent="0.2">
      <c r="A352" s="1527" t="s">
        <v>792</v>
      </c>
      <c r="B352" s="1526"/>
      <c r="C352" s="1526"/>
      <c r="D352" s="1526"/>
      <c r="E352" s="1526"/>
      <c r="F352" s="1526"/>
      <c r="G352" s="1526"/>
      <c r="H352" s="1526"/>
    </row>
    <row r="353" spans="1:8" x14ac:dyDescent="0.2">
      <c r="A353" s="1527" t="s">
        <v>793</v>
      </c>
      <c r="B353" s="1526"/>
      <c r="C353" s="1526"/>
      <c r="D353" s="1526"/>
      <c r="E353" s="1526"/>
      <c r="F353" s="1526"/>
      <c r="G353" s="1526"/>
      <c r="H353" s="1526"/>
    </row>
    <row r="354" spans="1:8" x14ac:dyDescent="0.2">
      <c r="A354" s="1527" t="s">
        <v>794</v>
      </c>
      <c r="B354" s="1526"/>
      <c r="C354" s="1526"/>
      <c r="D354" s="1526"/>
      <c r="E354" s="1526"/>
      <c r="F354" s="1526"/>
      <c r="G354" s="1526"/>
      <c r="H354" s="1526"/>
    </row>
    <row r="355" spans="1:8" x14ac:dyDescent="0.2">
      <c r="A355" s="1527" t="s">
        <v>795</v>
      </c>
      <c r="B355" s="1526"/>
      <c r="C355" s="1526"/>
      <c r="D355" s="1526"/>
      <c r="E355" s="1526"/>
      <c r="F355" s="1526"/>
      <c r="G355" s="1526"/>
      <c r="H355" s="1526"/>
    </row>
    <row r="356" spans="1:8" x14ac:dyDescent="0.2">
      <c r="A356" s="1527" t="s">
        <v>796</v>
      </c>
      <c r="B356" s="1526"/>
      <c r="C356" s="1526"/>
      <c r="D356" s="1526"/>
      <c r="E356" s="1526"/>
      <c r="F356" s="1526"/>
      <c r="G356" s="1526"/>
      <c r="H356" s="1526"/>
    </row>
    <row r="357" spans="1:8" x14ac:dyDescent="0.2">
      <c r="A357" s="1527" t="s">
        <v>797</v>
      </c>
      <c r="B357" s="1526"/>
      <c r="C357" s="1526"/>
      <c r="D357" s="1526"/>
      <c r="E357" s="1526"/>
      <c r="F357" s="1526"/>
      <c r="G357" s="1526"/>
      <c r="H357" s="1526"/>
    </row>
    <row r="358" spans="1:8" x14ac:dyDescent="0.2">
      <c r="A358" s="1527" t="s">
        <v>798</v>
      </c>
      <c r="B358" s="1526"/>
      <c r="C358" s="1526"/>
      <c r="D358" s="1526"/>
      <c r="E358" s="1526"/>
      <c r="F358" s="1526"/>
      <c r="G358" s="1526"/>
      <c r="H358" s="1526"/>
    </row>
    <row r="359" spans="1:8" x14ac:dyDescent="0.2">
      <c r="A359" s="1527" t="s">
        <v>799</v>
      </c>
      <c r="B359" s="1526"/>
      <c r="C359" s="1526"/>
      <c r="D359" s="1526"/>
      <c r="E359" s="1526"/>
      <c r="F359" s="1526"/>
      <c r="G359" s="1526"/>
      <c r="H359" s="1526"/>
    </row>
    <row r="360" spans="1:8" x14ac:dyDescent="0.2">
      <c r="A360" s="1527" t="s">
        <v>800</v>
      </c>
      <c r="B360" s="1526"/>
      <c r="C360" s="1526"/>
      <c r="D360" s="1526"/>
      <c r="E360" s="1526"/>
      <c r="F360" s="1526"/>
      <c r="G360" s="1526"/>
      <c r="H360" s="1526"/>
    </row>
    <row r="361" spans="1:8" x14ac:dyDescent="0.2">
      <c r="A361" s="1527" t="s">
        <v>801</v>
      </c>
      <c r="B361" s="1526"/>
      <c r="C361" s="1526"/>
      <c r="D361" s="1526"/>
      <c r="E361" s="1526"/>
      <c r="F361" s="1526"/>
      <c r="G361" s="1526"/>
      <c r="H361" s="1526"/>
    </row>
    <row r="362" spans="1:8" x14ac:dyDescent="0.2">
      <c r="A362" s="1527" t="s">
        <v>802</v>
      </c>
      <c r="B362" s="1526"/>
      <c r="C362" s="1526"/>
      <c r="D362" s="1526"/>
      <c r="E362" s="1526"/>
      <c r="F362" s="1526"/>
      <c r="G362" s="1526"/>
      <c r="H362" s="1526"/>
    </row>
    <row r="363" spans="1:8" x14ac:dyDescent="0.2">
      <c r="A363" s="1526"/>
      <c r="B363" s="1526"/>
      <c r="C363" s="1526"/>
      <c r="D363" s="1526"/>
      <c r="E363" s="1526"/>
      <c r="F363" s="1526"/>
      <c r="G363" s="1526"/>
      <c r="H363" s="1526"/>
    </row>
    <row r="364" spans="1:8" x14ac:dyDescent="0.2">
      <c r="A364" s="1527" t="s">
        <v>760</v>
      </c>
      <c r="B364" s="1526"/>
      <c r="C364" s="1526"/>
      <c r="D364" s="1526"/>
      <c r="E364" s="1526"/>
      <c r="F364" s="1526"/>
      <c r="G364" s="1526"/>
      <c r="H364" s="1526"/>
    </row>
    <row r="365" spans="1:8" x14ac:dyDescent="0.2">
      <c r="A365" s="1527" t="s">
        <v>764</v>
      </c>
      <c r="B365" s="1526"/>
      <c r="C365" s="1526"/>
      <c r="D365" s="1526"/>
      <c r="E365" s="1526"/>
      <c r="F365" s="1526"/>
      <c r="G365" s="1526"/>
      <c r="H365" s="1526"/>
    </row>
    <row r="366" spans="1:8" x14ac:dyDescent="0.2">
      <c r="A366" s="1527" t="s">
        <v>765</v>
      </c>
      <c r="B366" s="1526"/>
      <c r="C366" s="1526"/>
      <c r="D366" s="1526"/>
      <c r="E366" s="1526"/>
      <c r="F366" s="1526"/>
      <c r="G366" s="1526"/>
      <c r="H366" s="1526"/>
    </row>
    <row r="367" spans="1:8" x14ac:dyDescent="0.2">
      <c r="A367" s="1527" t="s">
        <v>766</v>
      </c>
      <c r="B367" s="1526"/>
      <c r="C367" s="1526"/>
      <c r="D367" s="1526"/>
      <c r="E367" s="1526"/>
      <c r="F367" s="1526"/>
      <c r="G367" s="1526"/>
      <c r="H367" s="1526"/>
    </row>
    <row r="368" spans="1:8" x14ac:dyDescent="0.2">
      <c r="A368" s="1527" t="s">
        <v>767</v>
      </c>
      <c r="B368" s="1526"/>
      <c r="C368" s="1526"/>
      <c r="D368" s="1526"/>
      <c r="E368" s="1526"/>
      <c r="F368" s="1526"/>
      <c r="G368" s="1526"/>
      <c r="H368" s="1526"/>
    </row>
    <row r="369" spans="1:8" x14ac:dyDescent="0.2">
      <c r="A369" s="1526"/>
      <c r="B369" s="1526"/>
      <c r="C369" s="1526"/>
      <c r="D369" s="1526"/>
      <c r="E369" s="1526"/>
      <c r="F369" s="1526"/>
      <c r="G369" s="1526"/>
      <c r="H369" s="1526"/>
    </row>
    <row r="370" spans="1:8" x14ac:dyDescent="0.2">
      <c r="A370" s="1527" t="s">
        <v>760</v>
      </c>
      <c r="B370" s="1526"/>
      <c r="C370" s="1526"/>
      <c r="D370" s="1526"/>
      <c r="E370" s="1526"/>
      <c r="F370" s="1526"/>
      <c r="G370" s="1526"/>
      <c r="H370" s="1526"/>
    </row>
    <row r="371" spans="1:8" x14ac:dyDescent="0.2">
      <c r="A371" s="1527" t="s">
        <v>761</v>
      </c>
      <c r="B371" s="1526"/>
      <c r="C371" s="1526"/>
      <c r="D371" s="1526"/>
      <c r="E371" s="1526"/>
      <c r="F371" s="1526"/>
      <c r="G371" s="1526"/>
      <c r="H371" s="1526"/>
    </row>
    <row r="372" spans="1:8" x14ac:dyDescent="0.2">
      <c r="A372" s="1527" t="s">
        <v>762</v>
      </c>
      <c r="B372" s="1526"/>
      <c r="C372" s="1526"/>
      <c r="D372" s="1526"/>
      <c r="E372" s="1526"/>
      <c r="F372" s="1526"/>
      <c r="G372" s="1526"/>
      <c r="H372" s="1526"/>
    </row>
    <row r="373" spans="1:8" x14ac:dyDescent="0.2">
      <c r="A373" s="1527" t="s">
        <v>763</v>
      </c>
      <c r="B373" s="1526"/>
      <c r="C373" s="1526"/>
      <c r="D373" s="1526"/>
      <c r="E373" s="1526"/>
      <c r="F373" s="1526"/>
      <c r="G373" s="1526"/>
      <c r="H373" s="1526"/>
    </row>
    <row r="374" spans="1:8" x14ac:dyDescent="0.2">
      <c r="A374" s="1526"/>
      <c r="B374" s="1526"/>
      <c r="C374" s="1526"/>
      <c r="D374" s="1526"/>
      <c r="E374" s="1526"/>
      <c r="F374" s="1526"/>
      <c r="G374" s="1526"/>
      <c r="H374" s="1526"/>
    </row>
    <row r="375" spans="1:8" x14ac:dyDescent="0.2">
      <c r="A375" s="1527" t="s">
        <v>754</v>
      </c>
      <c r="B375" s="1526"/>
      <c r="C375" s="1526"/>
      <c r="D375" s="1526"/>
      <c r="E375" s="1526"/>
      <c r="F375" s="1526"/>
      <c r="G375" s="1526"/>
      <c r="H375" s="1526"/>
    </row>
    <row r="376" spans="1:8" x14ac:dyDescent="0.2">
      <c r="A376" s="1527" t="s">
        <v>755</v>
      </c>
      <c r="B376" s="1526"/>
      <c r="C376" s="1526"/>
      <c r="D376" s="1526"/>
      <c r="E376" s="1526"/>
      <c r="F376" s="1526"/>
      <c r="G376" s="1526"/>
      <c r="H376" s="1526"/>
    </row>
    <row r="377" spans="1:8" x14ac:dyDescent="0.2">
      <c r="A377" s="1527" t="s">
        <v>756</v>
      </c>
      <c r="B377" s="1526"/>
      <c r="C377" s="1526"/>
      <c r="D377" s="1526"/>
      <c r="E377" s="1526"/>
      <c r="F377" s="1526"/>
      <c r="G377" s="1526"/>
      <c r="H377" s="1526"/>
    </row>
    <row r="378" spans="1:8" x14ac:dyDescent="0.2">
      <c r="A378" s="1527" t="s">
        <v>757</v>
      </c>
      <c r="B378" s="1526"/>
      <c r="C378" s="1526"/>
      <c r="D378" s="1526"/>
      <c r="E378" s="1526"/>
      <c r="F378" s="1526"/>
      <c r="G378" s="1526"/>
      <c r="H378" s="1526"/>
    </row>
    <row r="379" spans="1:8" x14ac:dyDescent="0.2">
      <c r="A379" s="1527" t="s">
        <v>758</v>
      </c>
      <c r="B379" s="1526"/>
      <c r="C379" s="1526"/>
      <c r="D379" s="1526"/>
      <c r="E379" s="1526"/>
      <c r="F379" s="1526"/>
      <c r="G379" s="1526"/>
      <c r="H379" s="1526"/>
    </row>
    <row r="380" spans="1:8" x14ac:dyDescent="0.2">
      <c r="A380" s="1527" t="s">
        <v>759</v>
      </c>
      <c r="B380" s="1526"/>
      <c r="C380" s="1526"/>
      <c r="D380" s="1526"/>
      <c r="E380" s="1526"/>
      <c r="F380" s="1526"/>
      <c r="G380" s="1526"/>
      <c r="H380" s="1526"/>
    </row>
    <row r="381" spans="1:8" x14ac:dyDescent="0.2">
      <c r="A381" s="1526"/>
      <c r="B381" s="1526"/>
      <c r="C381" s="1526"/>
      <c r="D381" s="1526"/>
      <c r="E381" s="1526"/>
      <c r="F381" s="1526"/>
      <c r="G381" s="1526"/>
      <c r="H381" s="1526"/>
    </row>
    <row r="382" spans="1:8" x14ac:dyDescent="0.2">
      <c r="A382" s="1527" t="s">
        <v>749</v>
      </c>
      <c r="B382" s="1526"/>
      <c r="C382" s="1526"/>
      <c r="D382" s="1526"/>
      <c r="E382" s="1526"/>
      <c r="F382" s="1526"/>
      <c r="G382" s="1526"/>
      <c r="H382" s="1526"/>
    </row>
    <row r="383" spans="1:8" x14ac:dyDescent="0.2">
      <c r="A383" s="1527" t="s">
        <v>750</v>
      </c>
      <c r="B383" s="1526"/>
      <c r="C383" s="1526"/>
      <c r="D383" s="1526"/>
      <c r="E383" s="1526"/>
      <c r="F383" s="1526"/>
      <c r="G383" s="1526"/>
      <c r="H383" s="1526"/>
    </row>
    <row r="384" spans="1:8" x14ac:dyDescent="0.2">
      <c r="A384" s="1527" t="s">
        <v>751</v>
      </c>
      <c r="B384" s="1526"/>
      <c r="C384" s="1526"/>
      <c r="D384" s="1526"/>
      <c r="E384" s="1526"/>
      <c r="F384" s="1526"/>
      <c r="G384" s="1526"/>
      <c r="H384" s="1526"/>
    </row>
    <row r="385" spans="1:8" x14ac:dyDescent="0.2">
      <c r="A385" s="1527" t="s">
        <v>752</v>
      </c>
      <c r="B385" s="1526"/>
      <c r="C385" s="1526"/>
      <c r="D385" s="1526"/>
      <c r="E385" s="1526"/>
      <c r="F385" s="1526"/>
      <c r="G385" s="1526"/>
      <c r="H385" s="1526"/>
    </row>
    <row r="386" spans="1:8" x14ac:dyDescent="0.2">
      <c r="A386" s="1527" t="s">
        <v>753</v>
      </c>
      <c r="B386" s="1526"/>
      <c r="C386" s="1526"/>
      <c r="D386" s="1526"/>
      <c r="E386" s="1526"/>
      <c r="F386" s="1526"/>
      <c r="G386" s="1526"/>
      <c r="H386" s="1526"/>
    </row>
    <row r="387" spans="1:8" x14ac:dyDescent="0.2">
      <c r="A387" s="1526"/>
      <c r="B387" s="1526"/>
      <c r="C387" s="1526"/>
      <c r="D387" s="1526"/>
      <c r="E387" s="1526"/>
      <c r="F387" s="1526"/>
      <c r="G387" s="1526"/>
      <c r="H387" s="1526"/>
    </row>
    <row r="388" spans="1:8" x14ac:dyDescent="0.2">
      <c r="A388" s="1527" t="s">
        <v>747</v>
      </c>
      <c r="B388" s="1526"/>
      <c r="C388" s="1526"/>
      <c r="D388" s="1526"/>
      <c r="E388" s="1526"/>
      <c r="F388" s="1526"/>
      <c r="G388" s="1526"/>
      <c r="H388" s="1526"/>
    </row>
    <row r="389" spans="1:8" x14ac:dyDescent="0.2">
      <c r="A389" s="1527" t="s">
        <v>748</v>
      </c>
      <c r="B389" s="1526"/>
      <c r="C389" s="1526"/>
      <c r="D389" s="1526"/>
      <c r="E389" s="1526"/>
      <c r="F389" s="1526"/>
      <c r="G389" s="1526"/>
      <c r="H389" s="1526"/>
    </row>
    <row r="391" spans="1:8" x14ac:dyDescent="0.2">
      <c r="A391" s="1522" t="s">
        <v>1003</v>
      </c>
    </row>
  </sheetData>
  <mergeCells count="12">
    <mergeCell ref="A129:H129"/>
    <mergeCell ref="A130:H130"/>
    <mergeCell ref="B122:C122"/>
    <mergeCell ref="D122:F122"/>
    <mergeCell ref="G122:H122"/>
    <mergeCell ref="A108:H108"/>
    <mergeCell ref="A109:H109"/>
    <mergeCell ref="A110:H110"/>
    <mergeCell ref="A111:H111"/>
    <mergeCell ref="A113:H113"/>
    <mergeCell ref="A114:H114"/>
    <mergeCell ref="A121:H121"/>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A1:AD182"/>
  <sheetViews>
    <sheetView zoomScale="85" zoomScaleNormal="85" workbookViewId="0"/>
  </sheetViews>
  <sheetFormatPr defaultRowHeight="12.75" outlineLevelRow="2" outlineLevelCol="1" x14ac:dyDescent="0.2"/>
  <cols>
    <col min="1" max="1" width="24.7109375" customWidth="1"/>
    <col min="2" max="2" width="1" customWidth="1"/>
    <col min="3" max="8" width="9.140625" hidden="1" customWidth="1" outlineLevel="1"/>
    <col min="9" max="11" width="0" hidden="1" customWidth="1" outlineLevel="1"/>
    <col min="12" max="12" width="9.140625" collapsed="1"/>
    <col min="14" max="14" width="9" bestFit="1" customWidth="1"/>
    <col min="15" max="15" width="9" customWidth="1"/>
    <col min="16" max="16" width="9.42578125" customWidth="1"/>
    <col min="17" max="17" width="10.28515625" bestFit="1" customWidth="1"/>
    <col min="18" max="19" width="9" bestFit="1" customWidth="1"/>
    <col min="20" max="20" width="9" customWidth="1" outlineLevel="1"/>
    <col min="21" max="21" width="9" style="1" customWidth="1" outlineLevel="1"/>
    <col min="22" max="22" width="11.28515625" bestFit="1" customWidth="1"/>
    <col min="23" max="23" width="15.42578125" customWidth="1"/>
    <col min="24" max="24" width="11.5703125" bestFit="1" customWidth="1"/>
    <col min="29" max="29" width="10.85546875" bestFit="1" customWidth="1"/>
  </cols>
  <sheetData>
    <row r="1" spans="1:21" x14ac:dyDescent="0.2">
      <c r="O1" s="254"/>
      <c r="P1" s="180"/>
      <c r="Q1" s="180"/>
      <c r="R1" s="180"/>
      <c r="S1" s="180"/>
      <c r="T1" s="180"/>
      <c r="U1" s="1422"/>
    </row>
    <row r="2" spans="1:21" x14ac:dyDescent="0.2">
      <c r="O2" s="180"/>
    </row>
    <row r="3" spans="1:21" x14ac:dyDescent="0.2">
      <c r="A3" s="153" t="s">
        <v>535</v>
      </c>
      <c r="B3" s="2"/>
      <c r="C3" s="154" t="s">
        <v>536</v>
      </c>
      <c r="D3" s="154" t="s">
        <v>537</v>
      </c>
      <c r="E3" s="154" t="s">
        <v>538</v>
      </c>
      <c r="F3" s="154" t="s">
        <v>539</v>
      </c>
      <c r="G3" s="154" t="s">
        <v>540</v>
      </c>
      <c r="H3" s="154" t="s">
        <v>541</v>
      </c>
      <c r="I3" s="154" t="s">
        <v>421</v>
      </c>
      <c r="J3" s="154" t="s">
        <v>422</v>
      </c>
      <c r="K3" s="154" t="s">
        <v>529</v>
      </c>
      <c r="L3" s="154" t="s">
        <v>564</v>
      </c>
      <c r="M3" s="154" t="s">
        <v>566</v>
      </c>
      <c r="N3" s="154" t="s">
        <v>621</v>
      </c>
      <c r="O3" s="154" t="s">
        <v>658</v>
      </c>
      <c r="P3" s="154" t="s">
        <v>542</v>
      </c>
      <c r="Q3" s="154" t="s">
        <v>565</v>
      </c>
      <c r="R3" s="154" t="s">
        <v>569</v>
      </c>
      <c r="S3" s="154" t="s">
        <v>653</v>
      </c>
      <c r="T3" s="154" t="s">
        <v>654</v>
      </c>
      <c r="U3" s="1423" t="s">
        <v>668</v>
      </c>
    </row>
    <row r="4" spans="1:21" x14ac:dyDescent="0.2">
      <c r="A4" s="4" t="s">
        <v>161</v>
      </c>
      <c r="B4" s="2"/>
      <c r="C4" s="8" t="s">
        <v>82</v>
      </c>
      <c r="D4" s="8" t="s">
        <v>82</v>
      </c>
      <c r="E4" s="8" t="s">
        <v>82</v>
      </c>
      <c r="F4" s="8" t="s">
        <v>82</v>
      </c>
      <c r="G4" s="8" t="s">
        <v>82</v>
      </c>
      <c r="H4" s="8" t="s">
        <v>82</v>
      </c>
      <c r="I4" s="8" t="s">
        <v>82</v>
      </c>
      <c r="J4" s="8" t="s">
        <v>82</v>
      </c>
      <c r="K4" s="8" t="s">
        <v>82</v>
      </c>
      <c r="L4" s="8" t="s">
        <v>82</v>
      </c>
      <c r="M4" s="8" t="s">
        <v>82</v>
      </c>
      <c r="N4" s="8" t="s">
        <v>82</v>
      </c>
      <c r="O4" s="8" t="s">
        <v>82</v>
      </c>
      <c r="P4" s="8" t="s">
        <v>82</v>
      </c>
      <c r="Q4" s="8" t="s">
        <v>82</v>
      </c>
      <c r="R4" s="8" t="s">
        <v>82</v>
      </c>
      <c r="S4" s="8" t="s">
        <v>82</v>
      </c>
      <c r="T4" s="8" t="s">
        <v>82</v>
      </c>
      <c r="U4" s="182" t="s">
        <v>82</v>
      </c>
    </row>
    <row r="5" spans="1:21" x14ac:dyDescent="0.2">
      <c r="A5" s="7"/>
      <c r="B5" s="7"/>
      <c r="C5" s="2"/>
      <c r="D5" s="2"/>
      <c r="E5" s="2"/>
      <c r="F5" s="2"/>
      <c r="G5" s="2"/>
      <c r="H5" s="2"/>
      <c r="I5" s="2"/>
      <c r="J5" s="2"/>
      <c r="K5" s="2"/>
      <c r="L5" s="2"/>
      <c r="M5" s="7"/>
      <c r="N5" s="7"/>
      <c r="O5" s="7"/>
      <c r="P5" s="7"/>
      <c r="Q5" s="7"/>
      <c r="R5" s="7"/>
      <c r="S5" s="7"/>
      <c r="T5" s="7"/>
      <c r="U5" s="12"/>
    </row>
    <row r="6" spans="1:21" x14ac:dyDescent="0.2">
      <c r="A6" s="155" t="s">
        <v>418</v>
      </c>
      <c r="B6" s="7"/>
      <c r="C6" s="156">
        <f>'yrP&amp;L'!U7</f>
        <v>15776</v>
      </c>
      <c r="D6" s="156">
        <f>'yrP&amp;L'!V7</f>
        <v>22390</v>
      </c>
      <c r="E6" s="156">
        <f>'yrP&amp;L'!W7</f>
        <v>26970</v>
      </c>
      <c r="F6" s="156">
        <f>'yrP&amp;L'!X7</f>
        <v>26313</v>
      </c>
      <c r="G6" s="156">
        <f>'yrP&amp;L'!Y7</f>
        <v>24892</v>
      </c>
      <c r="H6" s="156">
        <f>'yrP&amp;L'!Z7</f>
        <v>23895</v>
      </c>
      <c r="I6" s="156">
        <f>'yrP&amp;L'!AA7</f>
        <v>25003</v>
      </c>
      <c r="J6" s="156">
        <f>'yrP&amp;L'!AB7</f>
        <v>26405</v>
      </c>
      <c r="K6" s="156">
        <f>'yrP&amp;L'!AC7</f>
        <v>27686</v>
      </c>
      <c r="L6" s="156">
        <f>'yrP&amp;L'!AD7</f>
        <v>27931</v>
      </c>
      <c r="M6" s="156">
        <f>'yrP&amp;L'!AE7</f>
        <v>28105</v>
      </c>
      <c r="N6" s="156">
        <f>'yrP&amp;L'!AF7</f>
        <v>27079</v>
      </c>
      <c r="O6" s="156">
        <f>'yrP&amp;L'!AG7+'yrP&amp;L'!AG11</f>
        <v>26566</v>
      </c>
      <c r="P6" s="156">
        <f>'yrP&amp;L'!AH7+'yrP&amp;L'!AH11</f>
        <v>25647</v>
      </c>
      <c r="Q6" s="156">
        <f>'yrP&amp;L'!AI7+'yrP&amp;L'!AI11</f>
        <v>25211.261999999999</v>
      </c>
      <c r="R6" s="156">
        <f>'yrP&amp;L'!AJ7+'yrP&amp;L'!AJ11</f>
        <v>24492.44730298777</v>
      </c>
      <c r="S6" s="156">
        <f>'yrP&amp;L'!AK7+'yrP&amp;L'!AK11</f>
        <v>23789.892412542602</v>
      </c>
      <c r="T6" s="156">
        <f>'yrP&amp;L'!AL7+'yrP&amp;L'!AL11</f>
        <v>23125.593200827767</v>
      </c>
      <c r="U6" s="156">
        <f>'yrP&amp;L'!AM7+'yrP&amp;L'!AM11</f>
        <v>22475.585572460201</v>
      </c>
    </row>
    <row r="7" spans="1:21" outlineLevel="1" x14ac:dyDescent="0.2">
      <c r="A7" s="155"/>
      <c r="B7" s="7"/>
      <c r="C7" s="157"/>
      <c r="D7" s="157"/>
      <c r="E7" s="157"/>
      <c r="F7" s="157"/>
      <c r="G7" s="157"/>
      <c r="H7" s="157"/>
      <c r="I7" s="157"/>
      <c r="J7" s="157"/>
      <c r="K7" s="157"/>
      <c r="L7" s="157"/>
      <c r="M7" s="7"/>
      <c r="N7" s="7"/>
      <c r="O7" s="7"/>
      <c r="P7" s="7"/>
      <c r="Q7" s="7"/>
      <c r="R7" s="7"/>
      <c r="S7" s="7"/>
      <c r="T7" s="7"/>
      <c r="U7" s="12"/>
    </row>
    <row r="8" spans="1:21" outlineLevel="1" x14ac:dyDescent="0.2">
      <c r="A8" s="155" t="s">
        <v>162</v>
      </c>
      <c r="B8" s="7"/>
      <c r="C8" s="156">
        <f>'yrP&amp;L'!U14</f>
        <v>9346</v>
      </c>
      <c r="D8" s="156">
        <f>'yrP&amp;L'!V14</f>
        <v>13272</v>
      </c>
      <c r="E8" s="156">
        <f>'yrP&amp;L'!W14</f>
        <v>16019</v>
      </c>
      <c r="F8" s="156">
        <f>'yrP&amp;L'!X14</f>
        <v>15677</v>
      </c>
      <c r="G8" s="156">
        <f>'yrP&amp;L'!Y14</f>
        <v>15009</v>
      </c>
      <c r="H8" s="156">
        <f>'yrP&amp;L'!Z14</f>
        <v>14278</v>
      </c>
      <c r="I8" s="156">
        <f>'yrP&amp;L'!AA14</f>
        <v>14824</v>
      </c>
      <c r="J8" s="156">
        <f>'yrP&amp;L'!AB14</f>
        <v>15738</v>
      </c>
      <c r="K8" s="156">
        <f>'yrP&amp;L'!AC14</f>
        <v>16538</v>
      </c>
      <c r="L8" s="156">
        <f>'yrP&amp;L'!AD14</f>
        <v>16725</v>
      </c>
      <c r="M8" s="156">
        <f>'yrP&amp;L'!AE14</f>
        <v>16863</v>
      </c>
      <c r="N8" s="156">
        <f>'yrP&amp;L'!AF14</f>
        <v>16496</v>
      </c>
      <c r="O8" s="156">
        <f>'yrP&amp;L'!AG14</f>
        <v>15667</v>
      </c>
      <c r="P8" s="156">
        <f>'yrP&amp;L'!AH14</f>
        <v>15182</v>
      </c>
      <c r="Q8" s="156">
        <f>'yrP&amp;L'!AI14</f>
        <v>14942.530947799998</v>
      </c>
      <c r="R8" s="156">
        <f>'yrP&amp;L'!AJ14</f>
        <v>14604.545649520051</v>
      </c>
      <c r="S8" s="156">
        <f>'yrP&amp;L'!AK14</f>
        <v>14255.108135560306</v>
      </c>
      <c r="T8" s="156">
        <f>'yrP&amp;L'!AL14</f>
        <v>13935.469518792235</v>
      </c>
      <c r="U8" s="1424">
        <f>'yrP&amp;L'!AM14</f>
        <v>13611.805864056552</v>
      </c>
    </row>
    <row r="9" spans="1:21" outlineLevel="1" x14ac:dyDescent="0.2">
      <c r="A9" s="155"/>
      <c r="B9" s="7"/>
      <c r="C9" s="157"/>
      <c r="D9" s="157"/>
      <c r="E9" s="157"/>
      <c r="F9" s="157"/>
      <c r="G9" s="157"/>
      <c r="H9" s="157"/>
      <c r="I9" s="157"/>
      <c r="J9" s="157"/>
      <c r="K9" s="157"/>
      <c r="L9" s="157"/>
      <c r="M9" s="7"/>
      <c r="N9" s="7"/>
      <c r="O9" s="7"/>
      <c r="P9" s="7"/>
      <c r="Q9" s="7"/>
      <c r="R9" s="7"/>
      <c r="S9" s="7"/>
      <c r="T9" s="7"/>
      <c r="U9" s="12"/>
    </row>
    <row r="10" spans="1:21" x14ac:dyDescent="0.2">
      <c r="A10" s="155" t="s">
        <v>163</v>
      </c>
      <c r="B10" s="7"/>
      <c r="C10" s="156">
        <f t="shared" ref="C10:N10" si="0">C6-C8</f>
        <v>6430</v>
      </c>
      <c r="D10" s="156">
        <f t="shared" si="0"/>
        <v>9118</v>
      </c>
      <c r="E10" s="156">
        <f t="shared" si="0"/>
        <v>10951</v>
      </c>
      <c r="F10" s="156">
        <f t="shared" si="0"/>
        <v>10636</v>
      </c>
      <c r="G10" s="156">
        <f t="shared" si="0"/>
        <v>9883</v>
      </c>
      <c r="H10" s="156">
        <f t="shared" si="0"/>
        <v>9617</v>
      </c>
      <c r="I10" s="156">
        <f t="shared" si="0"/>
        <v>10179</v>
      </c>
      <c r="J10" s="156">
        <f t="shared" si="0"/>
        <v>10667</v>
      </c>
      <c r="K10" s="156">
        <f>K6-K8</f>
        <v>11148</v>
      </c>
      <c r="L10" s="156">
        <f t="shared" si="0"/>
        <v>11206</v>
      </c>
      <c r="M10" s="156">
        <f t="shared" si="0"/>
        <v>11242</v>
      </c>
      <c r="N10" s="156">
        <f t="shared" si="0"/>
        <v>10583</v>
      </c>
      <c r="O10" s="156">
        <f>O6-O8-'yrP&amp;L'!AG11</f>
        <v>10243</v>
      </c>
      <c r="P10" s="156">
        <f>P6-P8-'yrP&amp;L'!AH11</f>
        <v>9763</v>
      </c>
      <c r="Q10" s="156">
        <f>Q6-Q8-'yrP&amp;L'!AI11</f>
        <v>9612.7310522000007</v>
      </c>
      <c r="R10" s="156">
        <f>R6-R8-'yrP&amp;L'!AJ11</f>
        <v>9226.9016534677194</v>
      </c>
      <c r="S10" s="156">
        <f>S6-S8-'yrP&amp;L'!AK11</f>
        <v>8868.7842769822964</v>
      </c>
      <c r="T10" s="156">
        <f>T6-T8-'yrP&amp;L'!AL11</f>
        <v>8519.1236820355316</v>
      </c>
      <c r="U10" s="156">
        <f>U6-U8-'yrP&amp;L'!AM11</f>
        <v>8187.7797084036483</v>
      </c>
    </row>
    <row r="11" spans="1:21" x14ac:dyDescent="0.2">
      <c r="A11" s="155" t="s">
        <v>164</v>
      </c>
      <c r="B11" s="7"/>
      <c r="C11" s="157">
        <f>'yrP&amp;L'!U18</f>
        <v>4931</v>
      </c>
      <c r="D11" s="157">
        <f>'yrP&amp;L'!V18</f>
        <v>6980</v>
      </c>
      <c r="E11" s="157">
        <f>'yrP&amp;L'!W18</f>
        <v>8678</v>
      </c>
      <c r="F11" s="157">
        <f>'yrP&amp;L'!X18</f>
        <v>8554</v>
      </c>
      <c r="G11" s="157">
        <f>'yrP&amp;L'!Y18</f>
        <v>8458</v>
      </c>
      <c r="H11" s="157">
        <f>'yrP&amp;L'!Z18</f>
        <v>8163</v>
      </c>
      <c r="I11" s="157">
        <f>'yrP&amp;L'!AA18</f>
        <v>8260</v>
      </c>
      <c r="J11" s="157">
        <f>'yrP&amp;L'!AB18</f>
        <v>8281</v>
      </c>
      <c r="K11" s="157">
        <f>'yrP&amp;L'!AC18</f>
        <v>8482</v>
      </c>
      <c r="L11" s="157">
        <f>'yrP&amp;L'!AD18</f>
        <v>8440</v>
      </c>
      <c r="M11" s="157">
        <f>'yrP&amp;L'!AE18</f>
        <v>8355</v>
      </c>
      <c r="N11" s="157">
        <f>'yrP&amp;L'!AF18</f>
        <v>8256</v>
      </c>
      <c r="O11" s="157">
        <f>'yrP&amp;L'!AG18</f>
        <v>9048.25</v>
      </c>
      <c r="P11" s="157">
        <f>'yrP&amp;L'!AH18</f>
        <v>8409</v>
      </c>
      <c r="Q11" s="157">
        <f>'yrP&amp;L'!AI18</f>
        <v>8635</v>
      </c>
      <c r="R11" s="157">
        <f>'yrP&amp;L'!AJ18</f>
        <v>8603.5889999999999</v>
      </c>
      <c r="S11" s="157">
        <f>'yrP&amp;L'!AK18</f>
        <v>8579.9294594999992</v>
      </c>
      <c r="T11" s="157">
        <f>'yrP&amp;L'!AL18</f>
        <v>8508.1300238240001</v>
      </c>
      <c r="U11" s="1425">
        <f>'yrP&amp;L'!AM18</f>
        <v>8436.8249836334071</v>
      </c>
    </row>
    <row r="12" spans="1:21" x14ac:dyDescent="0.2">
      <c r="A12" s="155" t="s">
        <v>543</v>
      </c>
      <c r="B12" s="7"/>
      <c r="C12" s="157">
        <f>sumry!FG41</f>
        <v>743</v>
      </c>
      <c r="D12" s="157">
        <f>sumry!FH41</f>
        <v>958</v>
      </c>
      <c r="E12" s="157">
        <f>sumry!FI41</f>
        <v>1216</v>
      </c>
      <c r="F12" s="157">
        <f>sumry!FJ41</f>
        <v>1273</v>
      </c>
      <c r="G12" s="157">
        <f>sumry!FK41</f>
        <v>1251</v>
      </c>
      <c r="H12" s="157">
        <f>sumry!FL41</f>
        <v>1210</v>
      </c>
      <c r="I12" s="157">
        <f>sumry!FM41</f>
        <v>1150</v>
      </c>
      <c r="J12" s="157">
        <f>sumry!FN41</f>
        <v>1085</v>
      </c>
      <c r="K12" s="157">
        <f>sumry!FO41</f>
        <v>1049</v>
      </c>
      <c r="L12" s="157">
        <f>sumry!FP41</f>
        <v>1020</v>
      </c>
      <c r="M12" s="157">
        <f>sumry!FQ41</f>
        <v>1036</v>
      </c>
      <c r="N12" s="157">
        <f>sumry!FR41</f>
        <v>1061</v>
      </c>
      <c r="O12" s="157">
        <f>sumry!FS41</f>
        <v>1058</v>
      </c>
      <c r="P12" s="157">
        <f>sumry!FT41</f>
        <v>991</v>
      </c>
      <c r="Q12" s="157">
        <f>sumry!FU41</f>
        <v>991</v>
      </c>
      <c r="R12" s="157">
        <f>sumry!FV41</f>
        <v>981</v>
      </c>
      <c r="S12" s="157">
        <f>sumry!FW41</f>
        <v>971</v>
      </c>
      <c r="T12" s="157">
        <f>sumry!FX41</f>
        <v>961</v>
      </c>
      <c r="U12" s="1425">
        <f>sumry!FY41</f>
        <v>951</v>
      </c>
    </row>
    <row r="13" spans="1:21" x14ac:dyDescent="0.2">
      <c r="A13" s="152" t="s">
        <v>165</v>
      </c>
      <c r="B13" s="7"/>
      <c r="C13" s="156">
        <f>C10-C11</f>
        <v>1499</v>
      </c>
      <c r="D13" s="156">
        <f t="shared" ref="D13:N13" si="1">D10-D11</f>
        <v>2138</v>
      </c>
      <c r="E13" s="156">
        <f t="shared" si="1"/>
        <v>2273</v>
      </c>
      <c r="F13" s="156">
        <f t="shared" si="1"/>
        <v>2082</v>
      </c>
      <c r="G13" s="156">
        <f t="shared" si="1"/>
        <v>1425</v>
      </c>
      <c r="H13" s="156">
        <f t="shared" si="1"/>
        <v>1454</v>
      </c>
      <c r="I13" s="156">
        <f t="shared" si="1"/>
        <v>1919</v>
      </c>
      <c r="J13" s="156">
        <f t="shared" si="1"/>
        <v>2386</v>
      </c>
      <c r="K13" s="156">
        <f t="shared" si="1"/>
        <v>2666</v>
      </c>
      <c r="L13" s="156">
        <f t="shared" si="1"/>
        <v>2766</v>
      </c>
      <c r="M13" s="156">
        <f t="shared" si="1"/>
        <v>2887</v>
      </c>
      <c r="N13" s="156">
        <f t="shared" si="1"/>
        <v>2327</v>
      </c>
      <c r="O13" s="156">
        <f>O10-O11+'yrP&amp;L'!AG11</f>
        <v>1850.75</v>
      </c>
      <c r="P13" s="156">
        <f>P10-P11+'yrP&amp;L'!AH11</f>
        <v>2056</v>
      </c>
      <c r="Q13" s="156">
        <f>Q10-Q11+'yrP&amp;L'!AI11</f>
        <v>1633.7310522000007</v>
      </c>
      <c r="R13" s="156">
        <f>R10-R11+'yrP&amp;L'!AJ11</f>
        <v>1284.3126534677194</v>
      </c>
      <c r="S13" s="156">
        <f>S10-S11+'yrP&amp;L'!AK11</f>
        <v>954.85481748229722</v>
      </c>
      <c r="T13" s="156">
        <f>T10-T11+'yrP&amp;L'!AL11</f>
        <v>681.99365821153151</v>
      </c>
      <c r="U13" s="156">
        <f>U10-U11+'yrP&amp;L'!AM11</f>
        <v>426.95472477024123</v>
      </c>
    </row>
    <row r="14" spans="1:21" outlineLevel="1" x14ac:dyDescent="0.2">
      <c r="A14" s="155"/>
      <c r="B14" s="7"/>
      <c r="C14" s="157"/>
      <c r="D14" s="157"/>
      <c r="E14" s="157"/>
      <c r="F14" s="157"/>
      <c r="G14" s="157"/>
      <c r="H14" s="157"/>
      <c r="I14" s="157"/>
      <c r="J14" s="157"/>
      <c r="K14" s="157"/>
      <c r="L14" s="157"/>
      <c r="M14" s="7"/>
      <c r="N14" s="7"/>
      <c r="O14" s="7"/>
      <c r="P14" s="7"/>
      <c r="Q14" s="7"/>
      <c r="R14" s="7"/>
      <c r="S14" s="7"/>
      <c r="T14" s="7"/>
      <c r="U14" s="12"/>
    </row>
    <row r="15" spans="1:21" outlineLevel="1" x14ac:dyDescent="0.2">
      <c r="A15" s="155" t="s">
        <v>544</v>
      </c>
      <c r="B15" s="7"/>
      <c r="C15" s="157">
        <f>'yrP&amp;L'!U25</f>
        <v>225</v>
      </c>
      <c r="D15" s="157">
        <f>'yrP&amp;L'!V25</f>
        <v>397</v>
      </c>
      <c r="E15" s="157">
        <f>'yrP&amp;L'!W25</f>
        <v>461</v>
      </c>
      <c r="F15" s="157">
        <f>'yrP&amp;L'!X25</f>
        <v>543</v>
      </c>
      <c r="G15" s="157">
        <f>'yrP&amp;L'!Y25</f>
        <v>560</v>
      </c>
      <c r="H15" s="157">
        <f>'yrP&amp;L'!Z25</f>
        <v>556</v>
      </c>
      <c r="I15" s="157">
        <f>'yrP&amp;L'!AA25</f>
        <v>574</v>
      </c>
      <c r="J15" s="157">
        <f>'yrP&amp;L'!AB25</f>
        <v>443</v>
      </c>
      <c r="K15" s="157">
        <f>'yrP&amp;L'!AC25</f>
        <v>422</v>
      </c>
      <c r="L15" s="157">
        <f>'yrP&amp;L'!AD25</f>
        <v>388</v>
      </c>
      <c r="M15" s="157">
        <f>'yrP&amp;L'!AE25</f>
        <v>393</v>
      </c>
      <c r="N15" s="157">
        <f>'yrP&amp;L'!AF25</f>
        <v>361</v>
      </c>
      <c r="O15" s="157">
        <f>'yrP&amp;L'!AG25</f>
        <v>363</v>
      </c>
      <c r="P15" s="157">
        <f>'yrP&amp;L'!AH25</f>
        <v>310</v>
      </c>
      <c r="Q15" s="157">
        <f>'yrP&amp;L'!AI25</f>
        <v>255</v>
      </c>
      <c r="R15" s="157">
        <f>'yrP&amp;L'!AJ25</f>
        <v>243</v>
      </c>
      <c r="S15" s="157">
        <f>'yrP&amp;L'!AK25</f>
        <v>231</v>
      </c>
      <c r="T15" s="157">
        <f>'yrP&amp;L'!AL25</f>
        <v>219</v>
      </c>
      <c r="U15" s="1425">
        <f>'yrP&amp;L'!AM25</f>
        <v>207</v>
      </c>
    </row>
    <row r="16" spans="1:21" outlineLevel="1" x14ac:dyDescent="0.2">
      <c r="A16" s="152" t="s">
        <v>166</v>
      </c>
      <c r="B16" s="7"/>
      <c r="C16" s="156">
        <f>C13-C15</f>
        <v>1274</v>
      </c>
      <c r="D16" s="156">
        <f t="shared" ref="D16:N16" si="2">D13-D15</f>
        <v>1741</v>
      </c>
      <c r="E16" s="156">
        <f t="shared" si="2"/>
        <v>1812</v>
      </c>
      <c r="F16" s="156">
        <f t="shared" si="2"/>
        <v>1539</v>
      </c>
      <c r="G16" s="156">
        <f t="shared" si="2"/>
        <v>865</v>
      </c>
      <c r="H16" s="156">
        <f t="shared" si="2"/>
        <v>898</v>
      </c>
      <c r="I16" s="156">
        <f t="shared" si="2"/>
        <v>1345</v>
      </c>
      <c r="J16" s="156">
        <f t="shared" si="2"/>
        <v>1943</v>
      </c>
      <c r="K16" s="156">
        <f t="shared" si="2"/>
        <v>2244</v>
      </c>
      <c r="L16" s="156">
        <f t="shared" si="2"/>
        <v>2378</v>
      </c>
      <c r="M16" s="156">
        <f t="shared" si="2"/>
        <v>2494</v>
      </c>
      <c r="N16" s="156">
        <f t="shared" si="2"/>
        <v>1966</v>
      </c>
      <c r="O16" s="156">
        <f>O13-O15+'qtrP&amp;L'!DH63</f>
        <v>1542.75</v>
      </c>
      <c r="P16" s="156">
        <f>P13-P15+'yrP&amp;L'!AH28</f>
        <v>1803</v>
      </c>
      <c r="Q16" s="156">
        <f>Q13-Q15+'yrP&amp;L'!AI28</f>
        <v>1423.7310522000007</v>
      </c>
      <c r="R16" s="156">
        <f>R13-R15+'yrP&amp;L'!AJ28</f>
        <v>1086.3126534677194</v>
      </c>
      <c r="S16" s="156">
        <f>S13-S15+'yrP&amp;L'!AK28</f>
        <v>768.85481748229722</v>
      </c>
      <c r="T16" s="156">
        <f>T13-T15+'yrP&amp;L'!AL28</f>
        <v>507.99365821153151</v>
      </c>
      <c r="U16" s="156">
        <f>U13-U15+'yrP&amp;L'!AM28</f>
        <v>264.95472477024123</v>
      </c>
    </row>
    <row r="17" spans="1:29" outlineLevel="1" x14ac:dyDescent="0.2">
      <c r="A17" s="155"/>
      <c r="B17" s="7"/>
      <c r="C17" s="157"/>
      <c r="D17" s="157"/>
      <c r="E17" s="157"/>
      <c r="F17" s="157"/>
      <c r="G17" s="157"/>
      <c r="H17" s="157"/>
      <c r="I17" s="157"/>
      <c r="J17" s="157"/>
      <c r="K17" s="157"/>
      <c r="L17" s="157"/>
      <c r="M17" s="7"/>
      <c r="N17" s="7"/>
      <c r="O17" s="7"/>
      <c r="P17" s="7"/>
      <c r="Q17" s="7"/>
      <c r="R17" s="7"/>
      <c r="S17" s="7"/>
      <c r="T17" s="7"/>
      <c r="U17" s="12"/>
    </row>
    <row r="18" spans="1:29" x14ac:dyDescent="0.2">
      <c r="A18" s="155" t="s">
        <v>167</v>
      </c>
      <c r="B18" s="7"/>
      <c r="C18" s="157">
        <f>'yrP&amp;L'!U39</f>
        <v>427</v>
      </c>
      <c r="D18" s="157">
        <f>'yrP&amp;L'!V39</f>
        <v>765.40858992805761</v>
      </c>
      <c r="E18" s="157">
        <f>'yrP&amp;L'!W39</f>
        <v>511.75</v>
      </c>
      <c r="F18" s="157">
        <f>'yrP&amp;L'!X39</f>
        <v>489</v>
      </c>
      <c r="G18" s="157">
        <f>G16-G21</f>
        <v>320.04999999999995</v>
      </c>
      <c r="H18" s="157">
        <f>H16-H21</f>
        <v>322.38199999999995</v>
      </c>
      <c r="I18" s="157">
        <f>'yrP&amp;L'!AA39</f>
        <v>473.04089219330854</v>
      </c>
      <c r="J18" s="157">
        <f>J16-J21</f>
        <v>703.36599999999999</v>
      </c>
      <c r="K18" s="157">
        <f>'yrP&amp;L'!AC39</f>
        <v>817</v>
      </c>
      <c r="L18" s="157">
        <f>'yrP&amp;L'!AD39</f>
        <v>837.44</v>
      </c>
      <c r="M18" s="157">
        <f>'yrP&amp;L'!AE39</f>
        <v>903.52</v>
      </c>
      <c r="N18" s="157">
        <f>'yrP&amp;L'!AF39</f>
        <v>712.13</v>
      </c>
      <c r="O18" s="157">
        <f>'yrP&amp;L'!AG39</f>
        <v>565.45900000000006</v>
      </c>
      <c r="P18" s="157">
        <f>'yrP&amp;L'!AH39</f>
        <v>640.59999999999991</v>
      </c>
      <c r="Q18" s="157">
        <f>'yrP&amp;L'!AI39</f>
        <v>331.01746963649987</v>
      </c>
      <c r="R18" s="157">
        <f>'yrP&amp;L'!AJ39</f>
        <v>252.56769193124455</v>
      </c>
      <c r="S18" s="157">
        <f>'yrP&amp;L'!AK39</f>
        <v>178.75874506463396</v>
      </c>
      <c r="T18" s="157">
        <f>'yrP&amp;L'!AL39</f>
        <v>118.10852553418097</v>
      </c>
      <c r="U18" s="1425">
        <f>'yrP&amp;L'!AM39</f>
        <v>61.601973509081027</v>
      </c>
    </row>
    <row r="19" spans="1:29" outlineLevel="1" x14ac:dyDescent="0.2">
      <c r="A19" s="155"/>
      <c r="B19" s="7"/>
      <c r="C19" s="157"/>
      <c r="D19" s="157"/>
      <c r="E19" s="157"/>
      <c r="F19" s="157"/>
      <c r="G19" s="157"/>
      <c r="H19" s="157"/>
      <c r="I19" s="157"/>
      <c r="J19" s="157"/>
      <c r="K19" s="157"/>
      <c r="L19" s="157"/>
      <c r="M19" s="7"/>
      <c r="N19" s="7"/>
      <c r="O19" s="7"/>
      <c r="P19" s="7"/>
      <c r="Q19" s="7"/>
      <c r="R19" s="7"/>
      <c r="S19" s="7"/>
      <c r="T19" s="7"/>
      <c r="U19" s="12"/>
    </row>
    <row r="20" spans="1:29" outlineLevel="1" x14ac:dyDescent="0.2">
      <c r="A20" s="155"/>
      <c r="B20" s="7"/>
      <c r="C20" s="157"/>
      <c r="D20" s="157"/>
      <c r="E20" s="157"/>
      <c r="F20" s="157"/>
      <c r="G20" s="157"/>
      <c r="H20" s="157"/>
      <c r="I20" s="157"/>
      <c r="J20" s="157"/>
      <c r="K20" s="157"/>
      <c r="L20" s="157"/>
      <c r="M20" s="7"/>
      <c r="N20" s="7"/>
      <c r="O20" s="7"/>
      <c r="P20" s="7"/>
      <c r="Q20" s="7"/>
      <c r="R20" s="7"/>
      <c r="S20" s="7"/>
      <c r="T20" s="7"/>
      <c r="U20" s="12"/>
    </row>
    <row r="21" spans="1:29" outlineLevel="1" x14ac:dyDescent="0.2">
      <c r="A21" s="155" t="s">
        <v>168</v>
      </c>
      <c r="B21" s="7"/>
      <c r="C21" s="157">
        <f t="shared" ref="C21:H21" si="3">C16*(1-C32)</f>
        <v>786.05799999999999</v>
      </c>
      <c r="D21" s="157">
        <f t="shared" si="3"/>
        <v>1089.866</v>
      </c>
      <c r="E21" s="157">
        <f t="shared" si="3"/>
        <v>1137.9359999999999</v>
      </c>
      <c r="F21" s="157">
        <f t="shared" si="3"/>
        <v>961.875</v>
      </c>
      <c r="G21" s="157">
        <f t="shared" si="3"/>
        <v>544.95000000000005</v>
      </c>
      <c r="H21" s="157">
        <f t="shared" si="3"/>
        <v>575.61800000000005</v>
      </c>
      <c r="I21" s="156">
        <f>I16-I18+16</f>
        <v>887.95910780669146</v>
      </c>
      <c r="J21" s="157">
        <f>J16*(1-J32)</f>
        <v>1239.634</v>
      </c>
      <c r="K21" s="156">
        <f t="shared" ref="K21:P21" si="4">K16-K18</f>
        <v>1427</v>
      </c>
      <c r="L21" s="156">
        <f t="shared" si="4"/>
        <v>1540.56</v>
      </c>
      <c r="M21" s="156">
        <f t="shared" si="4"/>
        <v>1590.48</v>
      </c>
      <c r="N21" s="156">
        <f t="shared" si="4"/>
        <v>1253.8699999999999</v>
      </c>
      <c r="O21" s="156">
        <f t="shared" si="4"/>
        <v>977.29099999999994</v>
      </c>
      <c r="P21" s="156">
        <f t="shared" si="4"/>
        <v>1162.4000000000001</v>
      </c>
      <c r="Q21" s="156">
        <f>Q16-Q18</f>
        <v>1092.7135825635009</v>
      </c>
      <c r="R21" s="156">
        <f>R16-R18</f>
        <v>833.74496153647488</v>
      </c>
      <c r="S21" s="156">
        <f>S16-S18</f>
        <v>590.09607241766321</v>
      </c>
      <c r="T21" s="156">
        <f>T16-T18</f>
        <v>389.88513267735055</v>
      </c>
      <c r="U21" s="1424">
        <f>U16-U18</f>
        <v>203.35275126116019</v>
      </c>
    </row>
    <row r="22" spans="1:29" outlineLevel="1" x14ac:dyDescent="0.2">
      <c r="A22" s="155"/>
      <c r="B22" s="7"/>
      <c r="C22" s="157"/>
      <c r="D22" s="157"/>
      <c r="E22" s="157"/>
      <c r="F22" s="157"/>
      <c r="G22" s="157"/>
      <c r="H22" s="157"/>
      <c r="I22" s="157"/>
      <c r="J22" s="157"/>
      <c r="K22" s="157"/>
      <c r="L22" s="157"/>
      <c r="M22" s="7"/>
      <c r="N22" s="7"/>
      <c r="O22" s="7"/>
      <c r="P22" s="7"/>
      <c r="Q22" s="7"/>
      <c r="R22" s="7"/>
      <c r="S22" s="7"/>
      <c r="T22" s="7"/>
      <c r="U22" s="12"/>
    </row>
    <row r="23" spans="1:29" x14ac:dyDescent="0.2">
      <c r="A23" s="11" t="s">
        <v>172</v>
      </c>
      <c r="B23" s="11"/>
      <c r="C23" s="158">
        <f t="shared" ref="C23:P23" si="5">C21/C24</f>
        <v>2.2055499438832773</v>
      </c>
      <c r="D23" s="158">
        <f t="shared" si="5"/>
        <v>2.5077450529222274</v>
      </c>
      <c r="E23" s="158">
        <f t="shared" si="5"/>
        <v>2.0776629541719918</v>
      </c>
      <c r="F23" s="158">
        <f t="shared" si="5"/>
        <v>2.1292197011621474</v>
      </c>
      <c r="G23" s="158">
        <f t="shared" si="5"/>
        <v>1.2931126534970636</v>
      </c>
      <c r="H23" s="158">
        <f t="shared" si="5"/>
        <v>1.3628933349118031</v>
      </c>
      <c r="I23" s="158">
        <f t="shared" si="5"/>
        <v>2.0693523836091621</v>
      </c>
      <c r="J23" s="158">
        <f t="shared" si="5"/>
        <v>2.8801905204460967</v>
      </c>
      <c r="K23" s="158">
        <f>K21/K24</f>
        <v>3.4619116933527416</v>
      </c>
      <c r="L23" s="158">
        <f t="shared" si="5"/>
        <v>4.0035343035343036</v>
      </c>
      <c r="M23" s="158">
        <f>M21/M24</f>
        <v>4.3978432185815022</v>
      </c>
      <c r="N23" s="158">
        <f>N21/N24</f>
        <v>3.7653753753753749</v>
      </c>
      <c r="O23" s="158">
        <f t="shared" si="5"/>
        <v>3.1444369369369367</v>
      </c>
      <c r="P23" s="158">
        <f t="shared" si="5"/>
        <v>3.7850862911103875</v>
      </c>
      <c r="Q23" s="158">
        <f>Q21/Q24</f>
        <v>3.5474834268760684</v>
      </c>
      <c r="R23" s="158">
        <f>R21/R24</f>
        <v>2.6979854754032035</v>
      </c>
      <c r="S23" s="158">
        <f>S21/S24</f>
        <v>1.903382218910292</v>
      </c>
      <c r="T23" s="158">
        <f>T21/T24</f>
        <v>1.2535491766814584</v>
      </c>
      <c r="U23" s="1426">
        <f>U21/U24</f>
        <v>0.65171941755038931</v>
      </c>
    </row>
    <row r="24" spans="1:29" x14ac:dyDescent="0.2">
      <c r="A24" s="155" t="s">
        <v>170</v>
      </c>
      <c r="B24" s="7"/>
      <c r="C24" s="157">
        <f>'yrP&amp;L'!U56</f>
        <v>356.4</v>
      </c>
      <c r="D24" s="157">
        <f>'yrP&amp;L'!V56</f>
        <v>434.6</v>
      </c>
      <c r="E24" s="157">
        <f>'yrP&amp;L'!W56</f>
        <v>547.70000000000005</v>
      </c>
      <c r="F24" s="157">
        <f>'yrP&amp;L'!X56</f>
        <v>451.75</v>
      </c>
      <c r="G24" s="157">
        <f>'yrP&amp;L'!Y56</f>
        <v>421.42500000000001</v>
      </c>
      <c r="H24" s="157">
        <f>'yrP&amp;L'!Z56</f>
        <v>422.35</v>
      </c>
      <c r="I24" s="157">
        <f>'yrP&amp;L'!AA56</f>
        <v>429.1</v>
      </c>
      <c r="J24" s="157">
        <f>'yrP&amp;L'!AB56</f>
        <v>430.4</v>
      </c>
      <c r="K24" s="157">
        <f>'yrP&amp;L'!AC56</f>
        <v>412.2</v>
      </c>
      <c r="L24" s="157">
        <f>'yrP&amp;L'!AD56</f>
        <v>384.8</v>
      </c>
      <c r="M24" s="157">
        <f>'yrP&amp;L'!AE56</f>
        <v>361.65</v>
      </c>
      <c r="N24" s="157">
        <f>'yrP&amp;L'!AF56</f>
        <v>333</v>
      </c>
      <c r="O24" s="157">
        <f>'yrP&amp;L'!AG56</f>
        <v>310.8</v>
      </c>
      <c r="P24" s="157">
        <f>'yrP&amp;L'!AH56</f>
        <v>307.10000000000002</v>
      </c>
      <c r="Q24" s="157">
        <f>'yrP&amp;L'!AI56</f>
        <v>308.02499999999998</v>
      </c>
      <c r="R24" s="157">
        <f>'yrP&amp;L'!AJ56</f>
        <v>309.02499999999998</v>
      </c>
      <c r="S24" s="157">
        <f>'yrP&amp;L'!AK56</f>
        <v>310.02499999999998</v>
      </c>
      <c r="T24" s="157">
        <f>'yrP&amp;L'!AL56</f>
        <v>311.02499999999998</v>
      </c>
      <c r="U24" s="1425">
        <f>'yrP&amp;L'!AM56</f>
        <v>312.02499999999998</v>
      </c>
    </row>
    <row r="25" spans="1:29" outlineLevel="1" x14ac:dyDescent="0.2">
      <c r="A25" s="155"/>
      <c r="B25" s="7"/>
      <c r="C25" s="157"/>
      <c r="D25" s="157"/>
      <c r="E25" s="157"/>
      <c r="F25" s="157"/>
      <c r="G25" s="157"/>
      <c r="H25" s="157"/>
      <c r="I25" s="157"/>
      <c r="J25" s="157"/>
      <c r="K25" s="157"/>
      <c r="L25" s="157"/>
      <c r="M25" s="7"/>
      <c r="N25" s="7"/>
      <c r="O25" s="7"/>
      <c r="P25" s="7"/>
      <c r="Q25" s="7"/>
      <c r="R25" s="7"/>
      <c r="S25" s="7"/>
      <c r="T25" s="7"/>
      <c r="U25" s="12"/>
    </row>
    <row r="26" spans="1:29" outlineLevel="1" x14ac:dyDescent="0.2">
      <c r="A26" s="155" t="s">
        <v>174</v>
      </c>
      <c r="B26" s="7"/>
      <c r="C26" s="156">
        <f>C13+E12</f>
        <v>2715</v>
      </c>
      <c r="D26" s="156">
        <f>D13+D12</f>
        <v>3096</v>
      </c>
      <c r="E26" s="156">
        <f t="shared" ref="E26:P26" si="6">E13+E12</f>
        <v>3489</v>
      </c>
      <c r="F26" s="156">
        <f t="shared" si="6"/>
        <v>3355</v>
      </c>
      <c r="G26" s="156">
        <f t="shared" si="6"/>
        <v>2676</v>
      </c>
      <c r="H26" s="156">
        <f t="shared" si="6"/>
        <v>2664</v>
      </c>
      <c r="I26" s="156">
        <f t="shared" si="6"/>
        <v>3069</v>
      </c>
      <c r="J26" s="156">
        <f t="shared" si="6"/>
        <v>3471</v>
      </c>
      <c r="K26" s="156">
        <f t="shared" si="6"/>
        <v>3715</v>
      </c>
      <c r="L26" s="156">
        <f t="shared" si="6"/>
        <v>3786</v>
      </c>
      <c r="M26" s="156">
        <f t="shared" si="6"/>
        <v>3923</v>
      </c>
      <c r="N26" s="156">
        <f t="shared" si="6"/>
        <v>3388</v>
      </c>
      <c r="O26" s="156">
        <f t="shared" si="6"/>
        <v>2908.75</v>
      </c>
      <c r="P26" s="156">
        <f t="shared" si="6"/>
        <v>3047</v>
      </c>
      <c r="Q26" s="156">
        <f>Q13+Q12</f>
        <v>2624.7310522000007</v>
      </c>
      <c r="R26" s="156">
        <f>R13+R12</f>
        <v>2265.3126534677194</v>
      </c>
      <c r="S26" s="156">
        <f>S13+S12</f>
        <v>1925.8548174822972</v>
      </c>
      <c r="T26" s="156">
        <f>T13+T12</f>
        <v>1642.9936582115315</v>
      </c>
      <c r="U26" s="1424">
        <f>U13+U12</f>
        <v>1377.9547247702412</v>
      </c>
    </row>
    <row r="27" spans="1:29" x14ac:dyDescent="0.2">
      <c r="A27" s="155"/>
      <c r="B27" s="7"/>
      <c r="C27" s="157"/>
      <c r="D27" s="157"/>
      <c r="E27" s="157"/>
      <c r="F27" s="157"/>
      <c r="G27" s="157"/>
      <c r="H27" s="157"/>
      <c r="I27" s="157"/>
      <c r="J27" s="157"/>
      <c r="K27" s="157"/>
      <c r="L27" s="157"/>
      <c r="M27" s="7"/>
      <c r="N27" s="7"/>
      <c r="O27" s="7"/>
      <c r="P27" s="7"/>
      <c r="Q27" s="7"/>
      <c r="R27" s="7"/>
      <c r="S27" s="7"/>
      <c r="T27" s="7"/>
      <c r="U27" s="12"/>
    </row>
    <row r="28" spans="1:29" x14ac:dyDescent="0.2">
      <c r="A28" s="159" t="s">
        <v>175</v>
      </c>
      <c r="B28" s="7"/>
      <c r="C28" s="157"/>
      <c r="D28" s="157"/>
      <c r="E28" s="157"/>
      <c r="F28" s="157"/>
      <c r="G28" s="157"/>
      <c r="H28" s="157"/>
      <c r="I28" s="157"/>
      <c r="J28" s="157"/>
      <c r="K28" s="157"/>
      <c r="L28" s="157"/>
      <c r="M28" s="7"/>
      <c r="N28" s="7"/>
      <c r="O28" s="7"/>
      <c r="P28" s="7"/>
      <c r="Q28" s="7"/>
      <c r="R28" s="7"/>
      <c r="S28" s="7"/>
      <c r="T28" s="7"/>
      <c r="U28" s="12"/>
      <c r="Y28" s="7" t="s">
        <v>523</v>
      </c>
      <c r="Z28">
        <v>2.95</v>
      </c>
      <c r="AA28">
        <v>3.1</v>
      </c>
      <c r="AB28">
        <f>AVERAGE(Z28:AA28)</f>
        <v>3.0250000000000004</v>
      </c>
      <c r="AC28" s="587">
        <f>AB28/AB29-1</f>
        <v>-7.6335877862595325E-2</v>
      </c>
    </row>
    <row r="29" spans="1:29" x14ac:dyDescent="0.2">
      <c r="A29" s="155" t="s">
        <v>176</v>
      </c>
      <c r="B29" s="7"/>
      <c r="C29" s="160">
        <f>C10/C6</f>
        <v>0.40758113590263689</v>
      </c>
      <c r="D29" s="160">
        <f t="shared" ref="D29:M29" si="7">D10/D6</f>
        <v>0.4072353729343457</v>
      </c>
      <c r="E29" s="160">
        <f t="shared" si="7"/>
        <v>0.40604375231738971</v>
      </c>
      <c r="F29" s="160">
        <f t="shared" si="7"/>
        <v>0.40421084634971305</v>
      </c>
      <c r="G29" s="160">
        <f t="shared" si="7"/>
        <v>0.39703519202956772</v>
      </c>
      <c r="H29" s="160">
        <f t="shared" si="7"/>
        <v>0.40246913580246912</v>
      </c>
      <c r="I29" s="160">
        <f t="shared" si="7"/>
        <v>0.4071111466624005</v>
      </c>
      <c r="J29" s="160">
        <f t="shared" si="7"/>
        <v>0.4039765195985609</v>
      </c>
      <c r="K29" s="160">
        <f>K10/K6</f>
        <v>0.40265838329841797</v>
      </c>
      <c r="L29" s="160">
        <f t="shared" si="7"/>
        <v>0.40120296444810427</v>
      </c>
      <c r="M29" s="160">
        <f t="shared" si="7"/>
        <v>0.4</v>
      </c>
      <c r="N29" s="160">
        <f t="shared" ref="N29" si="8">N10/N6</f>
        <v>0.39081945418959341</v>
      </c>
      <c r="O29" s="160">
        <f>O10/(O6-'yrP&amp;L'!AG11)</f>
        <v>0.39532998842145889</v>
      </c>
      <c r="P29" s="160">
        <f>P10/(P6-'yrP&amp;L'!AH11)</f>
        <v>0.39138103828422527</v>
      </c>
      <c r="Q29" s="160">
        <f>Q10/(Q6-'yrP&amp;L'!AI11)</f>
        <v>0.3914733653503677</v>
      </c>
      <c r="R29" s="160">
        <f>R10/(R6-'yrP&amp;L'!AJ11)</f>
        <v>0.38717336535036773</v>
      </c>
      <c r="S29" s="160">
        <f>S10/(S6-'yrP&amp;L'!AK11)</f>
        <v>0.38353336535036764</v>
      </c>
      <c r="T29" s="160">
        <f>T10/(T6-'yrP&amp;L'!AL11)</f>
        <v>0.37939336535036772</v>
      </c>
      <c r="U29" s="160">
        <f>U10/(U6-'yrP&amp;L'!AM11)</f>
        <v>0.37559336535036769</v>
      </c>
      <c r="Z29">
        <v>3.15</v>
      </c>
      <c r="AA29">
        <v>3.4</v>
      </c>
      <c r="AB29">
        <f>AVERAGE(Z29:AA29)</f>
        <v>3.2749999999999999</v>
      </c>
    </row>
    <row r="30" spans="1:29" x14ac:dyDescent="0.2">
      <c r="A30" s="155" t="s">
        <v>177</v>
      </c>
      <c r="B30" s="7"/>
      <c r="C30" s="160">
        <f>C11/C6</f>
        <v>0.31256338742393508</v>
      </c>
      <c r="D30" s="160">
        <f t="shared" ref="D30:M30" si="9">D11/D6</f>
        <v>0.311746315319339</v>
      </c>
      <c r="E30" s="160">
        <f t="shared" si="9"/>
        <v>0.32176492398961809</v>
      </c>
      <c r="F30" s="160">
        <f t="shared" si="9"/>
        <v>0.32508645916467144</v>
      </c>
      <c r="G30" s="160">
        <f t="shared" si="9"/>
        <v>0.33978788365739998</v>
      </c>
      <c r="H30" s="160">
        <f t="shared" si="9"/>
        <v>0.34161958568738232</v>
      </c>
      <c r="I30" s="160">
        <f t="shared" si="9"/>
        <v>0.33036035675718911</v>
      </c>
      <c r="J30" s="160">
        <f t="shared" si="9"/>
        <v>0.31361484567316794</v>
      </c>
      <c r="K30" s="160">
        <f>K11/K6</f>
        <v>0.30636422740735392</v>
      </c>
      <c r="L30" s="160">
        <f t="shared" si="9"/>
        <v>0.30217321255952168</v>
      </c>
      <c r="M30" s="160">
        <f t="shared" si="9"/>
        <v>0.29727806440135207</v>
      </c>
      <c r="N30" s="160">
        <f t="shared" ref="N30" si="10">N11/N6</f>
        <v>0.3048857047896894</v>
      </c>
      <c r="O30" s="160">
        <f>O11/(O6-'yrP&amp;L'!AG11)</f>
        <v>0.3492184484754921</v>
      </c>
      <c r="P30" s="160">
        <f>P11/(P6-'yrP&amp;L'!AH11)</f>
        <v>0.33710162357185808</v>
      </c>
      <c r="Q30" s="160">
        <f>Q11/(Q6-'yrP&amp;L'!AI11)</f>
        <v>0.35165578766783268</v>
      </c>
      <c r="R30" s="160">
        <f>R11/(R6-'yrP&amp;L'!AJ11)</f>
        <v>0.36101831712593302</v>
      </c>
      <c r="S30" s="160">
        <f>S11/(S6-'yrP&amp;L'!AK11)</f>
        <v>0.37104174792156402</v>
      </c>
      <c r="T30" s="160">
        <f>T11/(T6-'yrP&amp;L'!AL11)</f>
        <v>0.37890377027673589</v>
      </c>
      <c r="U30" s="160">
        <f>U11/(U6-'yrP&amp;L'!AM11)</f>
        <v>0.38701767772557089</v>
      </c>
    </row>
    <row r="31" spans="1:29" x14ac:dyDescent="0.2">
      <c r="A31" s="155" t="s">
        <v>178</v>
      </c>
      <c r="B31" s="7"/>
      <c r="C31" s="160">
        <f t="shared" ref="C31:N31" si="11">C13/C6</f>
        <v>9.5017748478701827E-2</v>
      </c>
      <c r="D31" s="160">
        <f t="shared" si="11"/>
        <v>9.5489057615006701E-2</v>
      </c>
      <c r="E31" s="160">
        <f t="shared" si="11"/>
        <v>8.4278828327771602E-2</v>
      </c>
      <c r="F31" s="160">
        <f t="shared" si="11"/>
        <v>7.9124387185041611E-2</v>
      </c>
      <c r="G31" s="160">
        <f t="shared" si="11"/>
        <v>5.7247308372167766E-2</v>
      </c>
      <c r="H31" s="160">
        <f t="shared" si="11"/>
        <v>6.0849550115086838E-2</v>
      </c>
      <c r="I31" s="160">
        <f t="shared" si="11"/>
        <v>7.6750789905211378E-2</v>
      </c>
      <c r="J31" s="160">
        <f t="shared" si="11"/>
        <v>9.0361673925392919E-2</v>
      </c>
      <c r="K31" s="160">
        <f t="shared" si="11"/>
        <v>9.6294155891064076E-2</v>
      </c>
      <c r="L31" s="160">
        <f t="shared" si="11"/>
        <v>9.9029751888582582E-2</v>
      </c>
      <c r="M31" s="160">
        <f t="shared" si="11"/>
        <v>0.10272193559864792</v>
      </c>
      <c r="N31" s="160">
        <f t="shared" si="11"/>
        <v>8.5933749399903989E-2</v>
      </c>
      <c r="O31" s="160">
        <f>O13/(O6-'yrP&amp;L'!AG11)</f>
        <v>7.1429949826321879E-2</v>
      </c>
      <c r="P31" s="160">
        <f>P13/(P6-'yrP&amp;L'!AH11)</f>
        <v>8.2421326919222285E-2</v>
      </c>
      <c r="Q31" s="160">
        <f>Q13/(Q6-'yrP&amp;L'!AI11)</f>
        <v>6.6532829183414979E-2</v>
      </c>
      <c r="R31" s="160">
        <f>R13/(R6-'yrP&amp;L'!AJ11)</f>
        <v>5.3891508859669805E-2</v>
      </c>
      <c r="S31" s="160">
        <f>S13/(S6-'yrP&amp;L'!AK11)</f>
        <v>4.1292996890280272E-2</v>
      </c>
      <c r="T31" s="160">
        <f>T13/(T6-'yrP&amp;L'!AL11)</f>
        <v>3.0372122625957457E-2</v>
      </c>
      <c r="U31" s="160">
        <f>U13/(U6-'yrP&amp;L'!AM11)</f>
        <v>1.9585451445903661E-2</v>
      </c>
      <c r="Y31" s="7"/>
      <c r="AC31" s="587"/>
    </row>
    <row r="32" spans="1:29" x14ac:dyDescent="0.2">
      <c r="A32" s="155" t="s">
        <v>180</v>
      </c>
      <c r="B32" s="7"/>
      <c r="C32" s="160">
        <v>0.38300000000000001</v>
      </c>
      <c r="D32" s="160">
        <v>0.374</v>
      </c>
      <c r="E32" s="160">
        <v>0.372</v>
      </c>
      <c r="F32" s="160">
        <v>0.375</v>
      </c>
      <c r="G32" s="160">
        <v>0.37</v>
      </c>
      <c r="H32" s="160">
        <v>0.35899999999999999</v>
      </c>
      <c r="I32" s="160">
        <f t="shared" ref="I32:P32" si="12">I18/I16</f>
        <v>0.3517032655712331</v>
      </c>
      <c r="J32" s="160">
        <v>0.36199999999999999</v>
      </c>
      <c r="K32" s="160">
        <f t="shared" si="12"/>
        <v>0.3640819964349376</v>
      </c>
      <c r="L32" s="160">
        <f t="shared" si="12"/>
        <v>0.35216148023549204</v>
      </c>
      <c r="M32" s="160">
        <f t="shared" si="12"/>
        <v>0.3622774659182037</v>
      </c>
      <c r="N32" s="160">
        <f t="shared" si="12"/>
        <v>0.36222278738555441</v>
      </c>
      <c r="O32" s="160">
        <f t="shared" si="12"/>
        <v>0.36652665694376929</v>
      </c>
      <c r="P32" s="160">
        <f t="shared" si="12"/>
        <v>0.35529672767609533</v>
      </c>
      <c r="Q32" s="160">
        <f>Q18/Q16</f>
        <v>0.23249999999999979</v>
      </c>
      <c r="R32" s="160">
        <f>R18/R16</f>
        <v>0.23249999999999979</v>
      </c>
      <c r="S32" s="160">
        <f>S18/S16</f>
        <v>0.23249999999999982</v>
      </c>
      <c r="T32" s="160">
        <f>T18/T16</f>
        <v>0.23249999999999979</v>
      </c>
      <c r="U32" s="1427">
        <f>U18/U16</f>
        <v>0.23249999999999979</v>
      </c>
    </row>
    <row r="33" spans="1:27" x14ac:dyDescent="0.2">
      <c r="A33" s="155"/>
      <c r="B33" s="7"/>
      <c r="C33" s="157"/>
      <c r="D33" s="157"/>
      <c r="E33" s="157"/>
      <c r="F33" s="157"/>
      <c r="G33" s="157"/>
      <c r="H33" s="157"/>
      <c r="I33" s="157"/>
      <c r="J33" s="157"/>
      <c r="K33" s="157"/>
      <c r="L33" s="157"/>
      <c r="M33" s="7"/>
      <c r="N33" s="7"/>
      <c r="O33" s="7"/>
      <c r="P33" s="7"/>
      <c r="Q33" s="7"/>
      <c r="R33" s="7"/>
      <c r="S33" s="7"/>
      <c r="T33" s="7"/>
      <c r="U33" s="12"/>
      <c r="X33" s="180"/>
    </row>
    <row r="34" spans="1:27" x14ac:dyDescent="0.2">
      <c r="A34" s="159" t="s">
        <v>183</v>
      </c>
      <c r="B34" s="7"/>
      <c r="C34" s="157"/>
      <c r="D34" s="157"/>
      <c r="E34" s="157"/>
      <c r="F34" s="157"/>
      <c r="G34" s="157"/>
      <c r="H34" s="157"/>
      <c r="I34" s="157"/>
      <c r="J34" s="157"/>
      <c r="K34" s="157"/>
      <c r="L34" s="157"/>
      <c r="M34" s="7"/>
      <c r="N34" s="7"/>
      <c r="O34" s="7"/>
      <c r="P34" s="7"/>
      <c r="Q34" s="7"/>
      <c r="R34" s="7"/>
      <c r="S34" s="7"/>
      <c r="T34" s="7"/>
      <c r="U34" s="12"/>
      <c r="X34" s="553" t="s">
        <v>617</v>
      </c>
      <c r="Y34" t="s">
        <v>641</v>
      </c>
    </row>
    <row r="35" spans="1:27" x14ac:dyDescent="0.2">
      <c r="A35" s="155" t="s">
        <v>89</v>
      </c>
      <c r="B35" s="7"/>
      <c r="C35" s="161" t="s">
        <v>86</v>
      </c>
      <c r="D35" s="160">
        <f>((D6/C6)-1)</f>
        <v>0.41924442190669375</v>
      </c>
      <c r="E35" s="160">
        <f t="shared" ref="E35:M35" si="13">((E6/D6)-1)</f>
        <v>0.20455560518088434</v>
      </c>
      <c r="F35" s="160">
        <f t="shared" si="13"/>
        <v>-2.4360400444938812E-2</v>
      </c>
      <c r="G35" s="160">
        <f t="shared" si="13"/>
        <v>-5.4003724394785846E-2</v>
      </c>
      <c r="H35" s="160">
        <f t="shared" si="13"/>
        <v>-4.0053029085650005E-2</v>
      </c>
      <c r="I35" s="160">
        <f t="shared" si="13"/>
        <v>4.6369533375183014E-2</v>
      </c>
      <c r="J35" s="160">
        <f t="shared" si="13"/>
        <v>5.60732712074552E-2</v>
      </c>
      <c r="K35" s="160">
        <f t="shared" si="13"/>
        <v>4.8513539102442715E-2</v>
      </c>
      <c r="L35" s="160">
        <f t="shared" si="13"/>
        <v>8.8492378819620132E-3</v>
      </c>
      <c r="M35" s="160">
        <f t="shared" si="13"/>
        <v>6.229637320539938E-3</v>
      </c>
      <c r="N35" s="160">
        <f t="shared" ref="N35:U35" si="14">((N6/M6)-1)</f>
        <v>-3.6505959793631026E-2</v>
      </c>
      <c r="O35" s="160">
        <f t="shared" si="14"/>
        <v>-1.8944569592673322E-2</v>
      </c>
      <c r="P35" s="160">
        <f t="shared" si="14"/>
        <v>-3.4593088910637615E-2</v>
      </c>
      <c r="Q35" s="160">
        <f t="shared" si="14"/>
        <v>-1.6989823371154622E-2</v>
      </c>
      <c r="R35" s="160">
        <f t="shared" si="14"/>
        <v>-2.8511650746092299E-2</v>
      </c>
      <c r="S35" s="160">
        <f t="shared" si="14"/>
        <v>-2.8684552497106552E-2</v>
      </c>
      <c r="T35" s="160">
        <f t="shared" si="14"/>
        <v>-2.7923590413742261E-2</v>
      </c>
      <c r="U35" s="1427">
        <f t="shared" si="14"/>
        <v>-2.8107716966339291E-2</v>
      </c>
      <c r="W35" t="s">
        <v>420</v>
      </c>
      <c r="X35" s="553">
        <v>9</v>
      </c>
      <c r="Y35" s="183">
        <f>X35*Q103</f>
        <v>24.964489159570871</v>
      </c>
    </row>
    <row r="36" spans="1:27" x14ac:dyDescent="0.2">
      <c r="A36" s="155" t="s">
        <v>184</v>
      </c>
      <c r="B36" s="7"/>
      <c r="C36" s="160">
        <v>-0.01</v>
      </c>
      <c r="D36" s="160">
        <v>0.06</v>
      </c>
      <c r="E36" s="160">
        <v>0.04</v>
      </c>
      <c r="F36" s="160">
        <v>0.01</v>
      </c>
      <c r="G36" s="160">
        <v>0.02</v>
      </c>
      <c r="H36" s="160">
        <v>0.06</v>
      </c>
      <c r="I36" s="160">
        <f>'yrP&amp;L'!AA9</f>
        <v>4.5999999999999999E-2</v>
      </c>
      <c r="J36" s="160">
        <f>'yrP&amp;L'!AB9</f>
        <v>5.2999999999999999E-2</v>
      </c>
      <c r="K36" s="160">
        <f>'yrP&amp;L'!AC9</f>
        <v>3.7000000000000005E-2</v>
      </c>
      <c r="L36" s="160">
        <f>'yrP&amp;L'!AD9</f>
        <v>1.9428806702230499E-2</v>
      </c>
      <c r="M36" s="160">
        <f>'yrP&amp;L'!AE9</f>
        <v>6.9999999999999993E-3</v>
      </c>
      <c r="N36" s="160">
        <f>'yrP&amp;L'!AF9</f>
        <v>-3.052572103844307E-2</v>
      </c>
      <c r="O36" s="160">
        <f>'yrP&amp;L'!AG9</f>
        <v>-3.5000000000000003E-2</v>
      </c>
      <c r="P36" s="160">
        <v>-3.3000000000000002E-2</v>
      </c>
      <c r="Q36" s="160">
        <f>'yrP&amp;L'!AI9</f>
        <v>3.3402492304908001E-3</v>
      </c>
      <c r="R36" s="160">
        <f>'yrP&amp;L'!AJ9</f>
        <v>-0.02</v>
      </c>
      <c r="S36" s="160">
        <f>'yrP&amp;L'!AK9</f>
        <v>-0.02</v>
      </c>
      <c r="T36" s="160">
        <f>'yrP&amp;L'!AL9</f>
        <v>-0.02</v>
      </c>
      <c r="U36" s="1427">
        <f>'yrP&amp;L'!AM9</f>
        <v>-0.02</v>
      </c>
      <c r="W36" t="s">
        <v>551</v>
      </c>
      <c r="X36" s="553">
        <v>10</v>
      </c>
      <c r="Y36" s="183">
        <f>X36*Q23</f>
        <v>35.474834268760688</v>
      </c>
    </row>
    <row r="37" spans="1:27" x14ac:dyDescent="0.2">
      <c r="A37" s="155" t="s">
        <v>164</v>
      </c>
      <c r="B37" s="7"/>
      <c r="C37" s="162" t="s">
        <v>86</v>
      </c>
      <c r="D37" s="160">
        <f>((D11/C11)-1)</f>
        <v>0.41553437436625429</v>
      </c>
      <c r="E37" s="160">
        <f t="shared" ref="E37:U37" si="15">((E11/D11)-1)</f>
        <v>0.24326647564469916</v>
      </c>
      <c r="F37" s="160">
        <f t="shared" si="15"/>
        <v>-1.4289006683567695E-2</v>
      </c>
      <c r="G37" s="160">
        <f t="shared" si="15"/>
        <v>-1.1222819733458067E-2</v>
      </c>
      <c r="H37" s="160">
        <f t="shared" si="15"/>
        <v>-3.4878221801844411E-2</v>
      </c>
      <c r="I37" s="160">
        <f t="shared" si="15"/>
        <v>1.1882886193801401E-2</v>
      </c>
      <c r="J37" s="160">
        <f t="shared" si="15"/>
        <v>2.5423728813558366E-3</v>
      </c>
      <c r="K37" s="160">
        <f t="shared" si="15"/>
        <v>2.4272430865837524E-2</v>
      </c>
      <c r="L37" s="160">
        <f t="shared" si="15"/>
        <v>-4.9516623437868557E-3</v>
      </c>
      <c r="M37" s="160">
        <f t="shared" si="15"/>
        <v>-1.0071090047393372E-2</v>
      </c>
      <c r="N37" s="160">
        <f t="shared" si="15"/>
        <v>-1.1849192100538586E-2</v>
      </c>
      <c r="O37" s="160">
        <f t="shared" si="15"/>
        <v>9.5960513565891414E-2</v>
      </c>
      <c r="P37" s="160">
        <f t="shared" si="15"/>
        <v>-7.0649020528831596E-2</v>
      </c>
      <c r="Q37" s="160">
        <f t="shared" si="15"/>
        <v>2.6875966226661996E-2</v>
      </c>
      <c r="R37" s="160">
        <f t="shared" si="15"/>
        <v>-3.6376375217139767E-3</v>
      </c>
      <c r="S37" s="160">
        <f t="shared" si="15"/>
        <v>-2.7499617310869917E-3</v>
      </c>
      <c r="T37" s="160">
        <f t="shared" si="15"/>
        <v>-8.3683013962895236E-3</v>
      </c>
      <c r="U37" s="1427">
        <f t="shared" si="15"/>
        <v>-8.3808122338197011E-3</v>
      </c>
      <c r="W37" s="7" t="s">
        <v>419</v>
      </c>
      <c r="X37" s="553">
        <v>11</v>
      </c>
      <c r="Y37" s="183">
        <f>X37*Q62</f>
        <v>40.263144413856708</v>
      </c>
    </row>
    <row r="38" spans="1:27" x14ac:dyDescent="0.2">
      <c r="A38" s="155" t="s">
        <v>165</v>
      </c>
      <c r="B38" s="7"/>
      <c r="C38" s="162" t="s">
        <v>86</v>
      </c>
      <c r="D38" s="160">
        <f>((D13/C13)-1)</f>
        <v>0.42628418945963986</v>
      </c>
      <c r="E38" s="160">
        <f t="shared" ref="E38:U38" si="16">((E13/D13)-1)</f>
        <v>6.3143124415341534E-2</v>
      </c>
      <c r="F38" s="160">
        <f t="shared" si="16"/>
        <v>-8.4029916410030769E-2</v>
      </c>
      <c r="G38" s="160">
        <f t="shared" si="16"/>
        <v>-0.31556195965417866</v>
      </c>
      <c r="H38" s="160">
        <f t="shared" si="16"/>
        <v>2.0350877192982564E-2</v>
      </c>
      <c r="I38" s="160">
        <f t="shared" si="16"/>
        <v>0.31980742778541948</v>
      </c>
      <c r="J38" s="160">
        <f t="shared" si="16"/>
        <v>0.24335591453882222</v>
      </c>
      <c r="K38" s="160">
        <f t="shared" si="16"/>
        <v>0.11735121542330251</v>
      </c>
      <c r="L38" s="160">
        <f t="shared" si="16"/>
        <v>3.7509377344336015E-2</v>
      </c>
      <c r="M38" s="160">
        <f t="shared" si="16"/>
        <v>4.374548083875629E-2</v>
      </c>
      <c r="N38" s="160">
        <f t="shared" si="16"/>
        <v>-0.19397298233460336</v>
      </c>
      <c r="O38" s="160">
        <f t="shared" si="16"/>
        <v>-0.20466265577997422</v>
      </c>
      <c r="P38" s="160">
        <f t="shared" si="16"/>
        <v>0.11090098608672161</v>
      </c>
      <c r="Q38" s="160">
        <f t="shared" si="16"/>
        <v>-0.20538372947470784</v>
      </c>
      <c r="R38" s="160">
        <f t="shared" si="16"/>
        <v>-0.21387755240481632</v>
      </c>
      <c r="S38" s="160">
        <f t="shared" si="16"/>
        <v>-0.25652463603458764</v>
      </c>
      <c r="T38" s="160">
        <f t="shared" si="16"/>
        <v>-0.28576193393486704</v>
      </c>
      <c r="U38" s="1427">
        <f t="shared" si="16"/>
        <v>-0.37396085780343979</v>
      </c>
    </row>
    <row r="39" spans="1:27" x14ac:dyDescent="0.2">
      <c r="A39" s="155" t="s">
        <v>522</v>
      </c>
      <c r="B39" s="7"/>
      <c r="C39" s="162" t="s">
        <v>86</v>
      </c>
      <c r="D39" s="160">
        <f>((D23/C23)-1)</f>
        <v>0.13701576329161691</v>
      </c>
      <c r="E39" s="160">
        <f t="shared" ref="E39:M39" si="17">((E23/D23)-1)</f>
        <v>-0.1715015241477873</v>
      </c>
      <c r="F39" s="160">
        <f t="shared" si="17"/>
        <v>2.4814778973956564E-2</v>
      </c>
      <c r="G39" s="160">
        <f t="shared" si="17"/>
        <v>-0.39268237430300357</v>
      </c>
      <c r="H39" s="160">
        <f t="shared" si="17"/>
        <v>5.3963342811646164E-2</v>
      </c>
      <c r="I39" s="160">
        <f t="shared" si="17"/>
        <v>0.51835241291504008</v>
      </c>
      <c r="J39" s="160">
        <f t="shared" si="17"/>
        <v>0.39183183263487975</v>
      </c>
      <c r="K39" s="160">
        <f t="shared" si="17"/>
        <v>0.20197315725368936</v>
      </c>
      <c r="L39" s="160">
        <f t="shared" si="17"/>
        <v>0.15645188501530471</v>
      </c>
      <c r="M39" s="160">
        <f t="shared" si="17"/>
        <v>9.8490205191723801E-2</v>
      </c>
      <c r="N39" s="160">
        <f t="shared" ref="N39:U39" si="18">((N23/M23)-1)</f>
        <v>-0.14381318563923839</v>
      </c>
      <c r="O39" s="160">
        <f t="shared" si="18"/>
        <v>-0.16490744654549516</v>
      </c>
      <c r="P39" s="160">
        <f t="shared" si="18"/>
        <v>0.2037405637390588</v>
      </c>
      <c r="Q39" s="160">
        <f t="shared" si="18"/>
        <v>-6.277343393527135E-2</v>
      </c>
      <c r="R39" s="160">
        <f t="shared" si="18"/>
        <v>-0.2394649528274011</v>
      </c>
      <c r="S39" s="160">
        <f t="shared" si="18"/>
        <v>-0.2945172476787189</v>
      </c>
      <c r="T39" s="160">
        <f t="shared" si="18"/>
        <v>-0.34140964214789737</v>
      </c>
      <c r="U39" s="1427">
        <f t="shared" si="18"/>
        <v>-0.48010063771435196</v>
      </c>
    </row>
    <row r="40" spans="1:27" x14ac:dyDescent="0.2">
      <c r="A40" s="155" t="s">
        <v>174</v>
      </c>
      <c r="B40" s="7"/>
      <c r="C40" s="162" t="s">
        <v>86</v>
      </c>
      <c r="D40" s="160">
        <f>((D26/C26)-1)</f>
        <v>0.1403314917127072</v>
      </c>
      <c r="E40" s="160">
        <f t="shared" ref="E40:M40" si="19">((E26/D26)-1)</f>
        <v>0.12693798449612403</v>
      </c>
      <c r="F40" s="160">
        <f t="shared" si="19"/>
        <v>-3.840642017770135E-2</v>
      </c>
      <c r="G40" s="160">
        <f t="shared" si="19"/>
        <v>-0.20238450074515646</v>
      </c>
      <c r="H40" s="160">
        <f t="shared" si="19"/>
        <v>-4.484304932735439E-3</v>
      </c>
      <c r="I40" s="160">
        <f t="shared" si="19"/>
        <v>0.15202702702702697</v>
      </c>
      <c r="J40" s="160">
        <f t="shared" si="19"/>
        <v>0.13098729227761496</v>
      </c>
      <c r="K40" s="160">
        <f t="shared" si="19"/>
        <v>7.0296744454047877E-2</v>
      </c>
      <c r="L40" s="160">
        <f t="shared" si="19"/>
        <v>1.9111709286675715E-2</v>
      </c>
      <c r="M40" s="160">
        <f t="shared" si="19"/>
        <v>3.6185948230322174E-2</v>
      </c>
      <c r="N40" s="160">
        <f t="shared" ref="N40:U40" si="20">((N26/M26)-1)</f>
        <v>-0.13637522304358907</v>
      </c>
      <c r="O40" s="160">
        <f t="shared" si="20"/>
        <v>-0.14145513577331759</v>
      </c>
      <c r="P40" s="160">
        <f t="shared" si="20"/>
        <v>4.7529007305543658E-2</v>
      </c>
      <c r="Q40" s="160">
        <f t="shared" si="20"/>
        <v>-0.13858514860518523</v>
      </c>
      <c r="R40" s="160">
        <f t="shared" si="20"/>
        <v>-0.13693532464250902</v>
      </c>
      <c r="S40" s="160">
        <f t="shared" si="20"/>
        <v>-0.14985032439817225</v>
      </c>
      <c r="T40" s="160">
        <f t="shared" si="20"/>
        <v>-0.14687564021079991</v>
      </c>
      <c r="U40" s="1427">
        <f t="shared" si="20"/>
        <v>-0.16131464179222488</v>
      </c>
      <c r="AA40" t="s">
        <v>617</v>
      </c>
    </row>
    <row r="41" spans="1:27" outlineLevel="1" x14ac:dyDescent="0.2">
      <c r="A41" s="163"/>
      <c r="B41" s="163"/>
      <c r="C41" s="163"/>
      <c r="D41" s="163"/>
      <c r="E41" s="163"/>
      <c r="F41" s="163"/>
      <c r="G41" s="163"/>
      <c r="H41" s="163"/>
      <c r="I41" s="163"/>
      <c r="J41" s="163"/>
      <c r="K41" s="163"/>
      <c r="L41" s="163"/>
      <c r="M41" s="163"/>
      <c r="N41" s="163"/>
      <c r="O41" s="163"/>
      <c r="P41" s="163"/>
      <c r="Q41" s="163"/>
      <c r="R41" s="163"/>
      <c r="S41" s="163"/>
      <c r="T41" s="163"/>
      <c r="U41" s="163"/>
    </row>
    <row r="42" spans="1:27" outlineLevel="1" x14ac:dyDescent="0.2">
      <c r="A42" s="153" t="s">
        <v>545</v>
      </c>
      <c r="B42" s="7"/>
      <c r="C42" s="14" t="s">
        <v>536</v>
      </c>
      <c r="D42" s="14" t="s">
        <v>537</v>
      </c>
      <c r="E42" s="14" t="s">
        <v>538</v>
      </c>
      <c r="F42" s="14" t="s">
        <v>539</v>
      </c>
      <c r="G42" s="14" t="s">
        <v>540</v>
      </c>
      <c r="H42" s="14" t="s">
        <v>541</v>
      </c>
      <c r="I42" s="14" t="s">
        <v>421</v>
      </c>
      <c r="J42" s="14" t="s">
        <v>422</v>
      </c>
      <c r="K42" s="14" t="s">
        <v>529</v>
      </c>
      <c r="L42" s="14" t="s">
        <v>564</v>
      </c>
      <c r="M42" s="14" t="str">
        <f>M3</f>
        <v>2014A</v>
      </c>
      <c r="N42" s="14" t="str">
        <f>N3</f>
        <v>2015A</v>
      </c>
      <c r="O42" s="14" t="str">
        <f>O3</f>
        <v>2016A</v>
      </c>
      <c r="P42" s="14" t="s">
        <v>542</v>
      </c>
      <c r="Q42" s="14" t="s">
        <v>565</v>
      </c>
      <c r="R42" s="14" t="str">
        <f>R3</f>
        <v>2019E</v>
      </c>
      <c r="S42" s="14" t="str">
        <f>S3</f>
        <v>2020E</v>
      </c>
      <c r="T42" s="14" t="str">
        <f>T3</f>
        <v>2021E</v>
      </c>
      <c r="U42" s="15" t="str">
        <f>U3</f>
        <v>2022E</v>
      </c>
    </row>
    <row r="43" spans="1:27" outlineLevel="1" x14ac:dyDescent="0.2">
      <c r="A43" s="4" t="s">
        <v>161</v>
      </c>
      <c r="B43" s="7"/>
      <c r="C43" s="8" t="s">
        <v>82</v>
      </c>
      <c r="D43" s="8" t="s">
        <v>82</v>
      </c>
      <c r="E43" s="8" t="s">
        <v>82</v>
      </c>
      <c r="F43" s="8" t="s">
        <v>82</v>
      </c>
      <c r="G43" s="8" t="s">
        <v>82</v>
      </c>
      <c r="H43" s="8" t="s">
        <v>82</v>
      </c>
      <c r="I43" s="8" t="s">
        <v>82</v>
      </c>
      <c r="J43" s="8" t="s">
        <v>82</v>
      </c>
      <c r="K43" s="8" t="s">
        <v>82</v>
      </c>
      <c r="L43" s="8" t="s">
        <v>82</v>
      </c>
      <c r="M43" s="8" t="s">
        <v>82</v>
      </c>
      <c r="N43" s="8" t="s">
        <v>82</v>
      </c>
      <c r="O43" s="8" t="s">
        <v>82</v>
      </c>
      <c r="P43" s="8" t="s">
        <v>82</v>
      </c>
      <c r="Q43" s="8" t="s">
        <v>82</v>
      </c>
      <c r="R43" s="8" t="s">
        <v>82</v>
      </c>
      <c r="S43" s="8" t="s">
        <v>82</v>
      </c>
      <c r="T43" s="8" t="s">
        <v>82</v>
      </c>
      <c r="U43" s="182" t="s">
        <v>82</v>
      </c>
    </row>
    <row r="44" spans="1:27" outlineLevel="1" x14ac:dyDescent="0.2">
      <c r="A44" s="2"/>
      <c r="B44" s="7"/>
      <c r="C44" s="7"/>
      <c r="D44" s="7"/>
      <c r="E44" s="7"/>
      <c r="F44" s="7"/>
      <c r="G44" s="7"/>
      <c r="H44" s="7"/>
      <c r="I44" s="7"/>
      <c r="J44" s="7"/>
      <c r="K44" s="7"/>
      <c r="L44" s="7"/>
      <c r="M44" s="7"/>
      <c r="N44" s="7"/>
      <c r="O44" s="7"/>
      <c r="P44" s="558"/>
      <c r="Q44" s="558"/>
      <c r="R44" s="7"/>
      <c r="S44" s="7"/>
      <c r="T44" s="7"/>
      <c r="U44" s="12"/>
      <c r="V44" s="559"/>
    </row>
    <row r="45" spans="1:27" outlineLevel="1" x14ac:dyDescent="0.2">
      <c r="A45" s="2" t="s">
        <v>418</v>
      </c>
      <c r="B45" s="7"/>
      <c r="C45" s="164">
        <f>C6</f>
        <v>15776</v>
      </c>
      <c r="D45" s="164">
        <f t="shared" ref="D45:K45" si="21">D6</f>
        <v>22390</v>
      </c>
      <c r="E45" s="164">
        <f t="shared" si="21"/>
        <v>26970</v>
      </c>
      <c r="F45" s="164">
        <f t="shared" si="21"/>
        <v>26313</v>
      </c>
      <c r="G45" s="164">
        <f t="shared" si="21"/>
        <v>24892</v>
      </c>
      <c r="H45" s="164">
        <f t="shared" si="21"/>
        <v>23895</v>
      </c>
      <c r="I45" s="164">
        <f t="shared" si="21"/>
        <v>25003</v>
      </c>
      <c r="J45" s="164">
        <f t="shared" si="21"/>
        <v>26405</v>
      </c>
      <c r="K45" s="164">
        <f t="shared" si="21"/>
        <v>27686</v>
      </c>
      <c r="L45" s="164">
        <f>L6</f>
        <v>27931</v>
      </c>
      <c r="M45" s="164">
        <f>M6</f>
        <v>28105</v>
      </c>
      <c r="N45" s="164">
        <f>N6</f>
        <v>27079</v>
      </c>
      <c r="O45" s="164">
        <f>O6</f>
        <v>26566</v>
      </c>
      <c r="P45" s="164">
        <f>P6</f>
        <v>25647</v>
      </c>
      <c r="Q45" s="164">
        <f t="shared" ref="Q45:U45" si="22">(P45*(1+Q74))</f>
        <v>25176.888627985598</v>
      </c>
      <c r="R45" s="164">
        <f t="shared" si="22"/>
        <v>24761.176636087039</v>
      </c>
      <c r="S45" s="164">
        <f t="shared" si="22"/>
        <v>24348.047484612118</v>
      </c>
      <c r="T45" s="164">
        <f t="shared" si="22"/>
        <v>23960.339149092808</v>
      </c>
      <c r="U45" s="1428">
        <f t="shared" si="22"/>
        <v>23574.392787661724</v>
      </c>
      <c r="V45" s="183"/>
      <c r="W45" s="183">
        <f>O45*(1+0.005)</f>
        <v>26698.829999999998</v>
      </c>
    </row>
    <row r="46" spans="1:27" outlineLevel="2" x14ac:dyDescent="0.2">
      <c r="A46" s="2"/>
      <c r="B46" s="7"/>
      <c r="C46" s="165"/>
      <c r="D46" s="165"/>
      <c r="E46" s="165"/>
      <c r="F46" s="165"/>
      <c r="G46" s="165"/>
      <c r="H46" s="165"/>
      <c r="I46" s="165"/>
      <c r="J46" s="165"/>
      <c r="K46" s="165"/>
      <c r="L46" s="165"/>
      <c r="M46" s="165"/>
      <c r="N46" s="7"/>
      <c r="O46" s="7"/>
      <c r="P46" s="7"/>
      <c r="Q46" s="7"/>
      <c r="R46" s="7"/>
      <c r="S46" s="7"/>
      <c r="T46" s="7"/>
      <c r="U46" s="12"/>
      <c r="W46" s="183">
        <f>W45-575</f>
        <v>26123.829999999998</v>
      </c>
    </row>
    <row r="47" spans="1:27" outlineLevel="2" x14ac:dyDescent="0.2">
      <c r="A47" s="2" t="s">
        <v>162</v>
      </c>
      <c r="B47" s="7"/>
      <c r="C47" s="164">
        <f>C8</f>
        <v>9346</v>
      </c>
      <c r="D47" s="164">
        <f t="shared" ref="D47:K47" si="23">D8</f>
        <v>13272</v>
      </c>
      <c r="E47" s="164">
        <f t="shared" si="23"/>
        <v>16019</v>
      </c>
      <c r="F47" s="164">
        <f t="shared" si="23"/>
        <v>15677</v>
      </c>
      <c r="G47" s="164">
        <f t="shared" si="23"/>
        <v>15009</v>
      </c>
      <c r="H47" s="164">
        <f t="shared" si="23"/>
        <v>14278</v>
      </c>
      <c r="I47" s="164">
        <f t="shared" si="23"/>
        <v>14824</v>
      </c>
      <c r="J47" s="164">
        <f t="shared" si="23"/>
        <v>15738</v>
      </c>
      <c r="K47" s="164">
        <f t="shared" si="23"/>
        <v>16538</v>
      </c>
      <c r="L47" s="164">
        <f>L8</f>
        <v>16725</v>
      </c>
      <c r="M47" s="164">
        <f>M8</f>
        <v>16863</v>
      </c>
      <c r="N47" s="164">
        <f t="shared" ref="N47:P63" si="24">N8</f>
        <v>16496</v>
      </c>
      <c r="O47" s="164">
        <f t="shared" si="24"/>
        <v>15667</v>
      </c>
      <c r="P47" s="164">
        <f t="shared" ref="P47" si="25">P8</f>
        <v>15182</v>
      </c>
      <c r="Q47" s="164">
        <f t="shared" ref="Q47:U47" si="26">Q45-Q49</f>
        <v>15297.954927370305</v>
      </c>
      <c r="R47" s="164">
        <f t="shared" si="26"/>
        <v>15020.59926184402</v>
      </c>
      <c r="S47" s="164">
        <f t="shared" si="26"/>
        <v>14745.639237437172</v>
      </c>
      <c r="T47" s="164">
        <f t="shared" si="26"/>
        <v>14486.875378682324</v>
      </c>
      <c r="U47" s="1428">
        <f t="shared" si="26"/>
        <v>14229.950497568218</v>
      </c>
      <c r="V47" s="183"/>
      <c r="W47" s="183">
        <f>W46+300</f>
        <v>26423.829999999998</v>
      </c>
      <c r="X47" s="559">
        <f>P45-300</f>
        <v>25347</v>
      </c>
    </row>
    <row r="48" spans="1:27" outlineLevel="2" x14ac:dyDescent="0.2">
      <c r="A48" s="2"/>
      <c r="B48" s="7"/>
      <c r="C48" s="165"/>
      <c r="D48" s="165"/>
      <c r="E48" s="165"/>
      <c r="F48" s="165"/>
      <c r="G48" s="165"/>
      <c r="H48" s="165"/>
      <c r="I48" s="165"/>
      <c r="J48" s="165"/>
      <c r="K48" s="165"/>
      <c r="L48" s="165"/>
      <c r="M48" s="165"/>
      <c r="N48" s="7"/>
      <c r="O48" s="7"/>
      <c r="P48" s="7"/>
      <c r="Q48" s="7"/>
      <c r="R48" s="7"/>
      <c r="S48" s="7"/>
      <c r="T48" s="7"/>
      <c r="U48" s="12"/>
      <c r="X48">
        <f>X47-(8.5*30)</f>
        <v>25092</v>
      </c>
    </row>
    <row r="49" spans="1:23" outlineLevel="1" x14ac:dyDescent="0.2">
      <c r="A49" s="2" t="s">
        <v>163</v>
      </c>
      <c r="B49" s="7"/>
      <c r="C49" s="164">
        <f>C45-C47</f>
        <v>6430</v>
      </c>
      <c r="D49" s="164">
        <f t="shared" ref="D49:J49" si="27">D45-D47</f>
        <v>9118</v>
      </c>
      <c r="E49" s="164">
        <f t="shared" si="27"/>
        <v>10951</v>
      </c>
      <c r="F49" s="164">
        <f t="shared" si="27"/>
        <v>10636</v>
      </c>
      <c r="G49" s="164">
        <f t="shared" si="27"/>
        <v>9883</v>
      </c>
      <c r="H49" s="164">
        <f t="shared" si="27"/>
        <v>9617</v>
      </c>
      <c r="I49" s="164">
        <f t="shared" si="27"/>
        <v>10179</v>
      </c>
      <c r="J49" s="164">
        <f t="shared" si="27"/>
        <v>10667</v>
      </c>
      <c r="K49" s="164">
        <f>K45-K47</f>
        <v>11148</v>
      </c>
      <c r="L49" s="164">
        <f>L45-L47</f>
        <v>11206</v>
      </c>
      <c r="M49" s="164">
        <f>M45-M47</f>
        <v>11242</v>
      </c>
      <c r="N49" s="164">
        <f t="shared" si="24"/>
        <v>10583</v>
      </c>
      <c r="O49" s="164">
        <f t="shared" si="24"/>
        <v>10243</v>
      </c>
      <c r="P49" s="164">
        <f t="shared" ref="P49" si="28">P10</f>
        <v>9763</v>
      </c>
      <c r="Q49" s="164">
        <f t="shared" ref="Q49:U49" si="29">Q45*Q68</f>
        <v>9878.9337006152928</v>
      </c>
      <c r="R49" s="164">
        <f t="shared" si="29"/>
        <v>9740.5773742430192</v>
      </c>
      <c r="S49" s="164">
        <f t="shared" si="29"/>
        <v>9602.4082471749462</v>
      </c>
      <c r="T49" s="164">
        <f t="shared" si="29"/>
        <v>9473.4637704104844</v>
      </c>
      <c r="U49" s="1428">
        <f t="shared" si="29"/>
        <v>9344.442290093506</v>
      </c>
    </row>
    <row r="50" spans="1:23" outlineLevel="1" x14ac:dyDescent="0.2">
      <c r="A50" s="2" t="s">
        <v>164</v>
      </c>
      <c r="B50" s="7"/>
      <c r="C50" s="165">
        <f>C11</f>
        <v>4931</v>
      </c>
      <c r="D50" s="165">
        <f t="shared" ref="D50:K50" si="30">D11</f>
        <v>6980</v>
      </c>
      <c r="E50" s="165">
        <f t="shared" si="30"/>
        <v>8678</v>
      </c>
      <c r="F50" s="165">
        <f t="shared" si="30"/>
        <v>8554</v>
      </c>
      <c r="G50" s="165">
        <f t="shared" si="30"/>
        <v>8458</v>
      </c>
      <c r="H50" s="165">
        <f t="shared" si="30"/>
        <v>8163</v>
      </c>
      <c r="I50" s="165">
        <f t="shared" si="30"/>
        <v>8260</v>
      </c>
      <c r="J50" s="165">
        <f t="shared" si="30"/>
        <v>8281</v>
      </c>
      <c r="K50" s="165">
        <f t="shared" si="30"/>
        <v>8482</v>
      </c>
      <c r="L50" s="165">
        <f>L11</f>
        <v>8440</v>
      </c>
      <c r="M50" s="165">
        <f>M11</f>
        <v>8355</v>
      </c>
      <c r="N50" s="165">
        <f t="shared" si="24"/>
        <v>8256</v>
      </c>
      <c r="O50" s="165">
        <f t="shared" si="24"/>
        <v>9048.25</v>
      </c>
      <c r="P50" s="165">
        <f t="shared" ref="P50" si="31">P11</f>
        <v>8409</v>
      </c>
      <c r="Q50" s="165">
        <f t="shared" ref="Q50:U50" si="32">Q45*Q69</f>
        <v>8813.3155796947976</v>
      </c>
      <c r="R50" s="165">
        <f t="shared" si="32"/>
        <v>8889.7159659459394</v>
      </c>
      <c r="S50" s="165">
        <f t="shared" si="32"/>
        <v>8985.446002198496</v>
      </c>
      <c r="T50" s="165">
        <f t="shared" si="32"/>
        <v>9030.7421624023573</v>
      </c>
      <c r="U50" s="172">
        <f t="shared" si="32"/>
        <v>9076.5579648959647</v>
      </c>
      <c r="W50" s="183"/>
    </row>
    <row r="51" spans="1:23" outlineLevel="1" x14ac:dyDescent="0.2">
      <c r="A51" s="2" t="s">
        <v>543</v>
      </c>
      <c r="B51" s="7"/>
      <c r="C51" s="165">
        <f>C12</f>
        <v>743</v>
      </c>
      <c r="D51" s="165">
        <f t="shared" ref="D51:K51" si="33">D12</f>
        <v>958</v>
      </c>
      <c r="E51" s="165">
        <f t="shared" si="33"/>
        <v>1216</v>
      </c>
      <c r="F51" s="165">
        <f t="shared" si="33"/>
        <v>1273</v>
      </c>
      <c r="G51" s="165">
        <f t="shared" si="33"/>
        <v>1251</v>
      </c>
      <c r="H51" s="165">
        <f t="shared" si="33"/>
        <v>1210</v>
      </c>
      <c r="I51" s="165">
        <f t="shared" si="33"/>
        <v>1150</v>
      </c>
      <c r="J51" s="165">
        <f t="shared" si="33"/>
        <v>1085</v>
      </c>
      <c r="K51" s="165">
        <f t="shared" si="33"/>
        <v>1049</v>
      </c>
      <c r="L51" s="165">
        <f>L12</f>
        <v>1020</v>
      </c>
      <c r="M51" s="165">
        <f>M12</f>
        <v>1036</v>
      </c>
      <c r="N51" s="165">
        <f t="shared" si="24"/>
        <v>1061</v>
      </c>
      <c r="O51" s="165">
        <f t="shared" si="24"/>
        <v>1058</v>
      </c>
      <c r="P51" s="165">
        <f t="shared" ref="P51" si="34">P12</f>
        <v>991</v>
      </c>
      <c r="Q51" s="165">
        <f>Q12</f>
        <v>991</v>
      </c>
      <c r="R51" s="165">
        <f>R12</f>
        <v>981</v>
      </c>
      <c r="S51" s="165">
        <f>S12</f>
        <v>971</v>
      </c>
      <c r="T51" s="165">
        <f>T12</f>
        <v>961</v>
      </c>
      <c r="U51" s="172">
        <f>U12</f>
        <v>951</v>
      </c>
    </row>
    <row r="52" spans="1:23" outlineLevel="1" x14ac:dyDescent="0.2">
      <c r="A52" s="3" t="s">
        <v>165</v>
      </c>
      <c r="B52" s="7"/>
      <c r="C52" s="164">
        <f>C49-C50</f>
        <v>1499</v>
      </c>
      <c r="D52" s="164">
        <f t="shared" ref="D52:K52" si="35">D49-D50</f>
        <v>2138</v>
      </c>
      <c r="E52" s="164">
        <f t="shared" si="35"/>
        <v>2273</v>
      </c>
      <c r="F52" s="164">
        <f t="shared" si="35"/>
        <v>2082</v>
      </c>
      <c r="G52" s="164">
        <f t="shared" si="35"/>
        <v>1425</v>
      </c>
      <c r="H52" s="164">
        <f t="shared" si="35"/>
        <v>1454</v>
      </c>
      <c r="I52" s="164">
        <f t="shared" si="35"/>
        <v>1919</v>
      </c>
      <c r="J52" s="164">
        <f t="shared" si="35"/>
        <v>2386</v>
      </c>
      <c r="K52" s="164">
        <f t="shared" si="35"/>
        <v>2666</v>
      </c>
      <c r="L52" s="164">
        <f>L49-L50</f>
        <v>2766</v>
      </c>
      <c r="M52" s="164">
        <f>M49-M50</f>
        <v>2887</v>
      </c>
      <c r="N52" s="164">
        <f t="shared" si="24"/>
        <v>2327</v>
      </c>
      <c r="O52" s="164">
        <f t="shared" si="24"/>
        <v>1850.75</v>
      </c>
      <c r="P52" s="164">
        <f t="shared" ref="P52" si="36">P13</f>
        <v>2056</v>
      </c>
      <c r="Q52" s="164">
        <f>Q49-Q50+'yrP&amp;L'!AI11</f>
        <v>1721.6181209204951</v>
      </c>
      <c r="R52" s="164">
        <f>R49-R50+'yrP&amp;L'!AJ11</f>
        <v>1511.8614082970798</v>
      </c>
      <c r="S52" s="164">
        <f>S49-S50+'yrP&amp;L'!AK11</f>
        <v>1282.9622449764502</v>
      </c>
      <c r="T52" s="164">
        <f>T49-T50+'yrP&amp;L'!AL11</f>
        <v>1113.7216080081271</v>
      </c>
      <c r="U52" s="164">
        <f>U49-U50+'yrP&amp;L'!AM11</f>
        <v>943.88432519754133</v>
      </c>
    </row>
    <row r="53" spans="1:23" outlineLevel="2" x14ac:dyDescent="0.2">
      <c r="A53" s="2"/>
      <c r="B53" s="7"/>
      <c r="C53" s="165"/>
      <c r="D53" s="165"/>
      <c r="E53" s="165"/>
      <c r="F53" s="165"/>
      <c r="G53" s="165"/>
      <c r="H53" s="165"/>
      <c r="I53" s="165"/>
      <c r="J53" s="165"/>
      <c r="K53" s="165"/>
      <c r="L53" s="165"/>
      <c r="M53" s="165"/>
      <c r="N53" s="7"/>
      <c r="O53" s="7"/>
      <c r="P53" s="7"/>
      <c r="Q53" s="7"/>
      <c r="R53" s="7"/>
      <c r="S53" s="7"/>
      <c r="T53" s="7"/>
      <c r="U53" s="12"/>
    </row>
    <row r="54" spans="1:23" outlineLevel="2" x14ac:dyDescent="0.2">
      <c r="A54" s="2" t="s">
        <v>544</v>
      </c>
      <c r="B54" s="7"/>
      <c r="C54" s="165">
        <f>C15</f>
        <v>225</v>
      </c>
      <c r="D54" s="165">
        <f t="shared" ref="D54:J54" si="37">D15</f>
        <v>397</v>
      </c>
      <c r="E54" s="165">
        <f t="shared" si="37"/>
        <v>461</v>
      </c>
      <c r="F54" s="165">
        <f t="shared" si="37"/>
        <v>543</v>
      </c>
      <c r="G54" s="165">
        <f t="shared" si="37"/>
        <v>560</v>
      </c>
      <c r="H54" s="165">
        <f t="shared" si="37"/>
        <v>556</v>
      </c>
      <c r="I54" s="165">
        <f t="shared" si="37"/>
        <v>574</v>
      </c>
      <c r="J54" s="165">
        <f t="shared" si="37"/>
        <v>443</v>
      </c>
      <c r="K54" s="165">
        <f>K15</f>
        <v>422</v>
      </c>
      <c r="L54" s="165">
        <f>L15</f>
        <v>388</v>
      </c>
      <c r="M54" s="165">
        <f>M15</f>
        <v>393</v>
      </c>
      <c r="N54" s="165">
        <f t="shared" si="24"/>
        <v>361</v>
      </c>
      <c r="O54" s="165">
        <f t="shared" si="24"/>
        <v>363</v>
      </c>
      <c r="P54" s="165">
        <f t="shared" ref="P54" si="38">P15</f>
        <v>310</v>
      </c>
      <c r="Q54" s="165">
        <f>Q15</f>
        <v>255</v>
      </c>
      <c r="R54" s="165">
        <f>R15</f>
        <v>243</v>
      </c>
      <c r="S54" s="165">
        <f>S15</f>
        <v>231</v>
      </c>
      <c r="T54" s="165">
        <f>T15</f>
        <v>219</v>
      </c>
      <c r="U54" s="172">
        <f>U15</f>
        <v>207</v>
      </c>
    </row>
    <row r="55" spans="1:23" outlineLevel="2" x14ac:dyDescent="0.2">
      <c r="A55" s="3" t="s">
        <v>166</v>
      </c>
      <c r="B55" s="7"/>
      <c r="C55" s="164">
        <f>C52-C54</f>
        <v>1274</v>
      </c>
      <c r="D55" s="164">
        <f t="shared" ref="D55:K55" si="39">D52-D54</f>
        <v>1741</v>
      </c>
      <c r="E55" s="164">
        <f t="shared" si="39"/>
        <v>1812</v>
      </c>
      <c r="F55" s="164">
        <f t="shared" si="39"/>
        <v>1539</v>
      </c>
      <c r="G55" s="164">
        <f t="shared" si="39"/>
        <v>865</v>
      </c>
      <c r="H55" s="164">
        <f t="shared" si="39"/>
        <v>898</v>
      </c>
      <c r="I55" s="164">
        <f t="shared" si="39"/>
        <v>1345</v>
      </c>
      <c r="J55" s="164">
        <f t="shared" si="39"/>
        <v>1943</v>
      </c>
      <c r="K55" s="164">
        <f t="shared" si="39"/>
        <v>2244</v>
      </c>
      <c r="L55" s="164">
        <f t="shared" ref="L55:Q55" si="40">L52-L54</f>
        <v>2378</v>
      </c>
      <c r="M55" s="164">
        <f t="shared" si="40"/>
        <v>2494</v>
      </c>
      <c r="N55" s="164">
        <f t="shared" si="24"/>
        <v>1966</v>
      </c>
      <c r="O55" s="164">
        <f t="shared" si="24"/>
        <v>1542.75</v>
      </c>
      <c r="P55" s="164">
        <f t="shared" ref="P55" si="41">P16</f>
        <v>1803</v>
      </c>
      <c r="Q55" s="164">
        <f t="shared" si="40"/>
        <v>1466.6181209204951</v>
      </c>
      <c r="R55" s="164">
        <f>R52-R54</f>
        <v>1268.8614082970798</v>
      </c>
      <c r="S55" s="164">
        <f>S52-S54</f>
        <v>1051.9622449764502</v>
      </c>
      <c r="T55" s="164">
        <f>T52-T54</f>
        <v>894.72160800812708</v>
      </c>
      <c r="U55" s="1428">
        <f>U52-U54</f>
        <v>736.88432519754133</v>
      </c>
    </row>
    <row r="56" spans="1:23" outlineLevel="2" x14ac:dyDescent="0.2">
      <c r="A56" s="2"/>
      <c r="B56" s="7"/>
      <c r="C56" s="165"/>
      <c r="D56" s="165"/>
      <c r="E56" s="165"/>
      <c r="F56" s="165"/>
      <c r="G56" s="165"/>
      <c r="H56" s="165"/>
      <c r="I56" s="165"/>
      <c r="J56" s="165"/>
      <c r="K56" s="165"/>
      <c r="L56" s="165"/>
      <c r="M56" s="165"/>
      <c r="N56" s="7"/>
      <c r="O56" s="7"/>
      <c r="P56" s="7"/>
      <c r="Q56" s="7"/>
      <c r="R56" s="7"/>
      <c r="S56" s="7"/>
      <c r="T56" s="7"/>
      <c r="U56" s="12"/>
    </row>
    <row r="57" spans="1:23" outlineLevel="1" x14ac:dyDescent="0.2">
      <c r="A57" s="2" t="s">
        <v>167</v>
      </c>
      <c r="B57" s="7"/>
      <c r="C57" s="165">
        <f t="shared" ref="C57:K57" si="42">C18</f>
        <v>427</v>
      </c>
      <c r="D57" s="165">
        <f t="shared" si="42"/>
        <v>765.40858992805761</v>
      </c>
      <c r="E57" s="165">
        <f t="shared" si="42"/>
        <v>511.75</v>
      </c>
      <c r="F57" s="165">
        <f t="shared" si="42"/>
        <v>489</v>
      </c>
      <c r="G57" s="165">
        <f t="shared" si="42"/>
        <v>320.04999999999995</v>
      </c>
      <c r="H57" s="165">
        <f t="shared" si="42"/>
        <v>322.38199999999995</v>
      </c>
      <c r="I57" s="165">
        <f t="shared" si="42"/>
        <v>473.04089219330854</v>
      </c>
      <c r="J57" s="165">
        <f t="shared" si="42"/>
        <v>703.36599999999999</v>
      </c>
      <c r="K57" s="165">
        <f t="shared" si="42"/>
        <v>817</v>
      </c>
      <c r="L57" s="165">
        <f>L18</f>
        <v>837.44</v>
      </c>
      <c r="M57" s="165">
        <f>M18</f>
        <v>903.52</v>
      </c>
      <c r="N57" s="165">
        <f t="shared" si="24"/>
        <v>712.13</v>
      </c>
      <c r="O57" s="165">
        <f t="shared" si="24"/>
        <v>565.45900000000006</v>
      </c>
      <c r="P57" s="165">
        <f t="shared" ref="P57" si="43">P18</f>
        <v>640.59999999999991</v>
      </c>
      <c r="Q57" s="165">
        <f t="shared" ref="Q57:U57" si="44">Q55*Q71</f>
        <v>340.98871311401479</v>
      </c>
      <c r="R57" s="165">
        <f t="shared" si="44"/>
        <v>295.01027742907081</v>
      </c>
      <c r="S57" s="165">
        <f t="shared" si="44"/>
        <v>244.58122195702447</v>
      </c>
      <c r="T57" s="165">
        <f t="shared" si="44"/>
        <v>208.02277386188936</v>
      </c>
      <c r="U57" s="172">
        <f t="shared" si="44"/>
        <v>171.32560560842819</v>
      </c>
    </row>
    <row r="58" spans="1:23" outlineLevel="2" x14ac:dyDescent="0.2">
      <c r="A58" s="2"/>
      <c r="B58" s="7"/>
      <c r="C58" s="165"/>
      <c r="D58" s="165"/>
      <c r="E58" s="165"/>
      <c r="F58" s="165"/>
      <c r="G58" s="165"/>
      <c r="H58" s="165"/>
      <c r="I58" s="165"/>
      <c r="J58" s="165"/>
      <c r="K58" s="165"/>
      <c r="L58" s="165"/>
      <c r="M58" s="165"/>
      <c r="N58" s="7"/>
      <c r="O58" s="7"/>
      <c r="P58" s="7"/>
      <c r="Q58" s="7"/>
      <c r="R58" s="7"/>
      <c r="S58" s="7"/>
      <c r="T58" s="7"/>
      <c r="U58" s="12"/>
    </row>
    <row r="59" spans="1:23" outlineLevel="2" x14ac:dyDescent="0.2">
      <c r="A59" s="2"/>
      <c r="B59" s="7"/>
      <c r="C59" s="165"/>
      <c r="D59" s="165"/>
      <c r="E59" s="165"/>
      <c r="F59" s="165"/>
      <c r="G59" s="165"/>
      <c r="H59" s="165"/>
      <c r="I59" s="165"/>
      <c r="J59" s="165"/>
      <c r="K59" s="165"/>
      <c r="L59" s="165"/>
      <c r="M59" s="165"/>
      <c r="N59" s="7"/>
      <c r="O59" s="7"/>
      <c r="P59" s="7"/>
      <c r="Q59" s="7"/>
      <c r="R59" s="7"/>
      <c r="S59" s="7"/>
      <c r="T59" s="7"/>
      <c r="U59" s="12"/>
    </row>
    <row r="60" spans="1:23" outlineLevel="2" x14ac:dyDescent="0.2">
      <c r="A60" s="2" t="s">
        <v>168</v>
      </c>
      <c r="B60" s="7"/>
      <c r="C60" s="164">
        <f>C55*(1-C71)</f>
        <v>786.05799999999999</v>
      </c>
      <c r="D60" s="164">
        <f>D55*(1-D71)</f>
        <v>1089.866</v>
      </c>
      <c r="E60" s="164">
        <f>E55*(1-E71)</f>
        <v>1137.9359999999999</v>
      </c>
      <c r="F60" s="164">
        <f>F55*(1-F71)</f>
        <v>961.875</v>
      </c>
      <c r="G60" s="164">
        <f>G55*(1-G71)</f>
        <v>544.95000000000005</v>
      </c>
      <c r="H60" s="164">
        <f>H55-H57</f>
        <v>575.61800000000005</v>
      </c>
      <c r="I60" s="164">
        <f>I55-I57+16</f>
        <v>887.95910780669146</v>
      </c>
      <c r="J60" s="164">
        <f>J55-J57</f>
        <v>1239.634</v>
      </c>
      <c r="K60" s="164">
        <f>K55-K57</f>
        <v>1427</v>
      </c>
      <c r="L60" s="164">
        <f>L55-L57</f>
        <v>1540.56</v>
      </c>
      <c r="M60" s="164">
        <f>M55-M57</f>
        <v>1590.48</v>
      </c>
      <c r="N60" s="164">
        <f t="shared" si="24"/>
        <v>1253.8699999999999</v>
      </c>
      <c r="O60" s="164">
        <f t="shared" si="24"/>
        <v>977.29099999999994</v>
      </c>
      <c r="P60" s="164">
        <f t="shared" ref="P60" si="45">P21</f>
        <v>1162.4000000000001</v>
      </c>
      <c r="Q60" s="164">
        <f t="shared" ref="Q60:U60" si="46">Q55-Q57</f>
        <v>1125.6294078064802</v>
      </c>
      <c r="R60" s="164">
        <f t="shared" si="46"/>
        <v>973.85113086800902</v>
      </c>
      <c r="S60" s="164">
        <f t="shared" si="46"/>
        <v>807.3810230194257</v>
      </c>
      <c r="T60" s="164">
        <f t="shared" si="46"/>
        <v>686.69883414623769</v>
      </c>
      <c r="U60" s="1428">
        <f t="shared" si="46"/>
        <v>565.55871958911314</v>
      </c>
    </row>
    <row r="61" spans="1:23" outlineLevel="2" x14ac:dyDescent="0.2">
      <c r="A61" s="2"/>
      <c r="B61" s="7"/>
      <c r="C61" s="165"/>
      <c r="D61" s="165"/>
      <c r="E61" s="165"/>
      <c r="F61" s="165"/>
      <c r="G61" s="165"/>
      <c r="H61" s="165"/>
      <c r="I61" s="165"/>
      <c r="J61" s="165"/>
      <c r="K61" s="165"/>
      <c r="L61" s="165"/>
      <c r="M61" s="165"/>
      <c r="N61" s="7">
        <f t="shared" si="24"/>
        <v>0</v>
      </c>
      <c r="O61" s="7">
        <f t="shared" si="24"/>
        <v>0</v>
      </c>
      <c r="P61" s="7"/>
      <c r="Q61" s="7"/>
      <c r="R61" s="7"/>
      <c r="S61" s="7"/>
      <c r="T61" s="7"/>
      <c r="U61" s="12"/>
    </row>
    <row r="62" spans="1:23" outlineLevel="1" x14ac:dyDescent="0.2">
      <c r="A62" s="11" t="s">
        <v>172</v>
      </c>
      <c r="B62" s="11"/>
      <c r="C62" s="158">
        <f>C60/C63</f>
        <v>2.2055499438832773</v>
      </c>
      <c r="D62" s="158">
        <f t="shared" ref="D62:J62" si="47">D60/D63</f>
        <v>2.5077450529222274</v>
      </c>
      <c r="E62" s="158">
        <f t="shared" si="47"/>
        <v>2.0776629541719918</v>
      </c>
      <c r="F62" s="158">
        <f t="shared" si="47"/>
        <v>2.1292197011621474</v>
      </c>
      <c r="G62" s="158">
        <f t="shared" si="47"/>
        <v>1.2931126534970636</v>
      </c>
      <c r="H62" s="158">
        <f t="shared" si="47"/>
        <v>1.3628933349118031</v>
      </c>
      <c r="I62" s="158">
        <f t="shared" si="47"/>
        <v>2.0693523836091621</v>
      </c>
      <c r="J62" s="158">
        <f t="shared" si="47"/>
        <v>2.8801905204460967</v>
      </c>
      <c r="K62" s="158">
        <f>K60/K63</f>
        <v>3.4619116933527416</v>
      </c>
      <c r="L62" s="158">
        <f>L60/L63</f>
        <v>4.0035343035343036</v>
      </c>
      <c r="M62" s="158">
        <f>M60/M63</f>
        <v>4.3978432185815022</v>
      </c>
      <c r="N62" s="158">
        <f t="shared" si="24"/>
        <v>3.7653753753753749</v>
      </c>
      <c r="O62" s="158">
        <f t="shared" si="24"/>
        <v>3.1444369369369367</v>
      </c>
      <c r="P62" s="158">
        <f t="shared" ref="P62:U62" si="48">P60/P63</f>
        <v>3.7850862911103875</v>
      </c>
      <c r="Q62" s="158">
        <f t="shared" si="48"/>
        <v>3.6602858558051552</v>
      </c>
      <c r="R62" s="158">
        <f t="shared" si="48"/>
        <v>3.1564739676460873</v>
      </c>
      <c r="S62" s="158">
        <f t="shared" si="48"/>
        <v>2.6084517341714748</v>
      </c>
      <c r="T62" s="158">
        <f t="shared" si="48"/>
        <v>2.2114123956082046</v>
      </c>
      <c r="U62" s="1426">
        <f t="shared" si="48"/>
        <v>1.8154521132785915</v>
      </c>
      <c r="W62" s="183"/>
    </row>
    <row r="63" spans="1:23" outlineLevel="1" x14ac:dyDescent="0.2">
      <c r="A63" s="2" t="s">
        <v>170</v>
      </c>
      <c r="B63" s="7"/>
      <c r="C63" s="165">
        <f>C24</f>
        <v>356.4</v>
      </c>
      <c r="D63" s="165">
        <f t="shared" ref="D63:J63" si="49">D24</f>
        <v>434.6</v>
      </c>
      <c r="E63" s="165">
        <f t="shared" si="49"/>
        <v>547.70000000000005</v>
      </c>
      <c r="F63" s="165">
        <f t="shared" si="49"/>
        <v>451.75</v>
      </c>
      <c r="G63" s="165">
        <f t="shared" si="49"/>
        <v>421.42500000000001</v>
      </c>
      <c r="H63" s="165">
        <f t="shared" si="49"/>
        <v>422.35</v>
      </c>
      <c r="I63" s="165">
        <f t="shared" si="49"/>
        <v>429.1</v>
      </c>
      <c r="J63" s="165">
        <f t="shared" si="49"/>
        <v>430.4</v>
      </c>
      <c r="K63" s="165">
        <f>K24</f>
        <v>412.2</v>
      </c>
      <c r="L63" s="165">
        <f>L24</f>
        <v>384.8</v>
      </c>
      <c r="M63" s="165">
        <f>M24</f>
        <v>361.65</v>
      </c>
      <c r="N63" s="165">
        <f t="shared" si="24"/>
        <v>333</v>
      </c>
      <c r="O63" s="165">
        <f t="shared" si="24"/>
        <v>310.8</v>
      </c>
      <c r="P63" s="165">
        <f t="shared" si="24"/>
        <v>307.10000000000002</v>
      </c>
      <c r="Q63" s="166">
        <f t="shared" ref="Q63:U63" si="50">Q24-0.5</f>
        <v>307.52499999999998</v>
      </c>
      <c r="R63" s="166">
        <f t="shared" si="50"/>
        <v>308.52499999999998</v>
      </c>
      <c r="S63" s="166">
        <f t="shared" si="50"/>
        <v>309.52499999999998</v>
      </c>
      <c r="T63" s="166">
        <f t="shared" si="50"/>
        <v>310.52499999999998</v>
      </c>
      <c r="U63" s="168">
        <f t="shared" si="50"/>
        <v>311.52499999999998</v>
      </c>
    </row>
    <row r="64" spans="1:23" outlineLevel="2" x14ac:dyDescent="0.2">
      <c r="A64" s="2"/>
      <c r="B64" s="7"/>
      <c r="C64" s="7"/>
      <c r="D64" s="7"/>
      <c r="E64" s="7"/>
      <c r="F64" s="7"/>
      <c r="G64" s="7"/>
      <c r="H64" s="7"/>
      <c r="I64" s="7"/>
      <c r="J64" s="7"/>
      <c r="K64" s="7"/>
      <c r="L64" s="7"/>
      <c r="M64" s="7"/>
      <c r="N64" s="7"/>
      <c r="O64" s="7"/>
      <c r="P64" s="181"/>
      <c r="Q64" s="181"/>
      <c r="R64" s="181"/>
      <c r="S64" s="181"/>
      <c r="T64" s="181"/>
      <c r="U64" s="1160"/>
    </row>
    <row r="65" spans="1:30" outlineLevel="2" x14ac:dyDescent="0.2">
      <c r="A65" s="2" t="s">
        <v>174</v>
      </c>
      <c r="B65" s="7"/>
      <c r="C65" s="164">
        <f>C52+C51</f>
        <v>2242</v>
      </c>
      <c r="D65" s="164">
        <f t="shared" ref="D65:P65" si="51">D52+D51</f>
        <v>3096</v>
      </c>
      <c r="E65" s="164">
        <f t="shared" si="51"/>
        <v>3489</v>
      </c>
      <c r="F65" s="164">
        <f t="shared" si="51"/>
        <v>3355</v>
      </c>
      <c r="G65" s="164">
        <f t="shared" si="51"/>
        <v>2676</v>
      </c>
      <c r="H65" s="164">
        <f t="shared" si="51"/>
        <v>2664</v>
      </c>
      <c r="I65" s="164">
        <f t="shared" si="51"/>
        <v>3069</v>
      </c>
      <c r="J65" s="164">
        <f t="shared" si="51"/>
        <v>3471</v>
      </c>
      <c r="K65" s="164">
        <f t="shared" si="51"/>
        <v>3715</v>
      </c>
      <c r="L65" s="164">
        <f>L52+L51</f>
        <v>3786</v>
      </c>
      <c r="M65" s="164">
        <f>M52+M51</f>
        <v>3923</v>
      </c>
      <c r="N65" s="164">
        <f t="shared" si="51"/>
        <v>3388</v>
      </c>
      <c r="O65" s="164">
        <f>O52+O51</f>
        <v>2908.75</v>
      </c>
      <c r="P65" s="164">
        <f t="shared" si="51"/>
        <v>3047</v>
      </c>
      <c r="Q65" s="164">
        <f>Q52+Q51</f>
        <v>2712.6181209204951</v>
      </c>
      <c r="R65" s="164">
        <f>R52+R51</f>
        <v>2492.8614082970798</v>
      </c>
      <c r="S65" s="164">
        <f>S52+S51</f>
        <v>2253.9622449764502</v>
      </c>
      <c r="T65" s="164">
        <f>T52+T51</f>
        <v>2074.7216080081271</v>
      </c>
      <c r="U65" s="1428">
        <f>U52+U51</f>
        <v>1894.8843251975413</v>
      </c>
      <c r="AD65">
        <f>32/3.55</f>
        <v>9.0140845070422539</v>
      </c>
    </row>
    <row r="66" spans="1:30" outlineLevel="1" x14ac:dyDescent="0.2">
      <c r="A66" s="2"/>
      <c r="B66" s="7"/>
      <c r="C66" s="7"/>
      <c r="D66" s="7"/>
      <c r="E66" s="7"/>
      <c r="F66" s="7"/>
      <c r="G66" s="7"/>
      <c r="H66" s="7"/>
      <c r="I66" s="7"/>
      <c r="J66" s="7"/>
      <c r="K66" s="7"/>
      <c r="L66" s="7"/>
      <c r="M66" s="7"/>
      <c r="N66" s="7"/>
      <c r="O66" s="7"/>
      <c r="P66" s="181">
        <f t="shared" ref="P66:U66" si="52">P50/O50-1</f>
        <v>-7.0649020528831596E-2</v>
      </c>
      <c r="Q66" s="181">
        <f t="shared" si="52"/>
        <v>4.8081291437126694E-2</v>
      </c>
      <c r="R66" s="181">
        <f t="shared" si="52"/>
        <v>8.6687451005569294E-3</v>
      </c>
      <c r="S66" s="181">
        <f t="shared" si="52"/>
        <v>1.0768627098916461E-2</v>
      </c>
      <c r="T66" s="181">
        <f t="shared" si="52"/>
        <v>5.0410586400251312E-3</v>
      </c>
      <c r="U66" s="1160">
        <f t="shared" si="52"/>
        <v>5.0733153122621832E-3</v>
      </c>
    </row>
    <row r="67" spans="1:30" outlineLevel="1" x14ac:dyDescent="0.2">
      <c r="A67" s="4" t="s">
        <v>175</v>
      </c>
      <c r="B67" s="7"/>
      <c r="C67" s="7"/>
      <c r="D67" s="7"/>
      <c r="E67" s="7"/>
      <c r="F67" s="7"/>
      <c r="G67" s="7"/>
      <c r="H67" s="7"/>
      <c r="I67" s="7"/>
      <c r="J67" s="7"/>
      <c r="K67" s="7"/>
      <c r="L67" s="7"/>
      <c r="M67" s="7"/>
      <c r="N67" s="7"/>
      <c r="O67" s="7"/>
      <c r="P67" s="7"/>
      <c r="Q67" s="7"/>
      <c r="R67" s="7"/>
      <c r="S67" s="7"/>
      <c r="T67" s="7"/>
      <c r="U67" s="12"/>
    </row>
    <row r="68" spans="1:30" outlineLevel="1" x14ac:dyDescent="0.2">
      <c r="A68" s="2" t="s">
        <v>176</v>
      </c>
      <c r="B68" s="7"/>
      <c r="C68" s="6">
        <f>C49/C45</f>
        <v>0.40758113590263689</v>
      </c>
      <c r="D68" s="6">
        <f t="shared" ref="D68:J68" si="53">D49/D45</f>
        <v>0.4072353729343457</v>
      </c>
      <c r="E68" s="6">
        <f t="shared" si="53"/>
        <v>0.40604375231738971</v>
      </c>
      <c r="F68" s="6">
        <f t="shared" si="53"/>
        <v>0.40421084634971305</v>
      </c>
      <c r="G68" s="6">
        <f t="shared" si="53"/>
        <v>0.39703519202956772</v>
      </c>
      <c r="H68" s="6">
        <f t="shared" si="53"/>
        <v>0.40246913580246912</v>
      </c>
      <c r="I68" s="6">
        <f t="shared" si="53"/>
        <v>0.4071111466624005</v>
      </c>
      <c r="J68" s="6">
        <f t="shared" si="53"/>
        <v>0.4039765195985609</v>
      </c>
      <c r="K68" s="6">
        <f>K49/K45</f>
        <v>0.40265838329841797</v>
      </c>
      <c r="L68" s="6">
        <f>L49/L45</f>
        <v>0.40120296444810427</v>
      </c>
      <c r="M68" s="6">
        <f>M49/M45</f>
        <v>0.4</v>
      </c>
      <c r="N68" s="6">
        <f>N49/N45</f>
        <v>0.39081945418959341</v>
      </c>
      <c r="O68" s="6">
        <f>O49/O45</f>
        <v>0.38556801927275464</v>
      </c>
      <c r="P68" s="6">
        <f>P29</f>
        <v>0.39138103828422527</v>
      </c>
      <c r="Q68" s="167">
        <f>P68+0.001</f>
        <v>0.39238103828422527</v>
      </c>
      <c r="R68" s="167">
        <f t="shared" ref="R68:U68" si="54">Q68+0.001</f>
        <v>0.39338103828422527</v>
      </c>
      <c r="S68" s="167">
        <f t="shared" si="54"/>
        <v>0.39438103828422527</v>
      </c>
      <c r="T68" s="167">
        <f t="shared" si="54"/>
        <v>0.39538103828422527</v>
      </c>
      <c r="U68" s="1429">
        <f t="shared" si="54"/>
        <v>0.39638103828422527</v>
      </c>
    </row>
    <row r="69" spans="1:30" outlineLevel="1" x14ac:dyDescent="0.2">
      <c r="A69" s="2" t="s">
        <v>177</v>
      </c>
      <c r="B69" s="7"/>
      <c r="C69" s="6">
        <f>C50/C45</f>
        <v>0.31256338742393508</v>
      </c>
      <c r="D69" s="6">
        <f t="shared" ref="D69:J69" si="55">D50/D45</f>
        <v>0.311746315319339</v>
      </c>
      <c r="E69" s="6">
        <f t="shared" si="55"/>
        <v>0.32176492398961809</v>
      </c>
      <c r="F69" s="6">
        <f t="shared" si="55"/>
        <v>0.32508645916467144</v>
      </c>
      <c r="G69" s="6">
        <f t="shared" si="55"/>
        <v>0.33978788365739998</v>
      </c>
      <c r="H69" s="6">
        <f t="shared" si="55"/>
        <v>0.34161958568738232</v>
      </c>
      <c r="I69" s="6">
        <f t="shared" si="55"/>
        <v>0.33036035675718911</v>
      </c>
      <c r="J69" s="6">
        <f t="shared" si="55"/>
        <v>0.31361484567316794</v>
      </c>
      <c r="K69" s="6">
        <f>K50/K45</f>
        <v>0.30636422740735392</v>
      </c>
      <c r="L69" s="6">
        <f>L50/L45</f>
        <v>0.30217321255952168</v>
      </c>
      <c r="M69" s="6">
        <f>M50/M45</f>
        <v>0.29727806440135207</v>
      </c>
      <c r="N69" s="6">
        <f>N50/N45</f>
        <v>0.3048857047896894</v>
      </c>
      <c r="O69" s="6">
        <f>O50/O45</f>
        <v>0.34059512158397953</v>
      </c>
      <c r="P69" s="6">
        <f t="shared" ref="P69:P71" si="56">P30</f>
        <v>0.33710162357185808</v>
      </c>
      <c r="Q69" s="167">
        <f>Q30-0.0016</f>
        <v>0.35005578766783269</v>
      </c>
      <c r="R69" s="167">
        <f>R30-0.002</f>
        <v>0.35901831712593302</v>
      </c>
      <c r="S69" s="167">
        <f>S30-0.002</f>
        <v>0.36904174792156402</v>
      </c>
      <c r="T69" s="167">
        <f>T30-0.002</f>
        <v>0.37690377027673588</v>
      </c>
      <c r="U69" s="1429">
        <f>U30-0.002</f>
        <v>0.38501767772557088</v>
      </c>
      <c r="V69" s="588">
        <v>0</v>
      </c>
      <c r="W69" s="183">
        <f>12*P62</f>
        <v>45.421035493324652</v>
      </c>
    </row>
    <row r="70" spans="1:30" outlineLevel="1" x14ac:dyDescent="0.2">
      <c r="A70" s="2" t="s">
        <v>178</v>
      </c>
      <c r="B70" s="7"/>
      <c r="C70" s="6">
        <f>C52/C45</f>
        <v>9.5017748478701827E-2</v>
      </c>
      <c r="D70" s="6">
        <f t="shared" ref="D70:K70" si="57">D52/D45</f>
        <v>9.5489057615006701E-2</v>
      </c>
      <c r="E70" s="6">
        <f t="shared" si="57"/>
        <v>8.4278828327771602E-2</v>
      </c>
      <c r="F70" s="6">
        <f t="shared" si="57"/>
        <v>7.9124387185041611E-2</v>
      </c>
      <c r="G70" s="6">
        <f t="shared" si="57"/>
        <v>5.7247308372167766E-2</v>
      </c>
      <c r="H70" s="6">
        <f t="shared" si="57"/>
        <v>6.0849550115086838E-2</v>
      </c>
      <c r="I70" s="6">
        <f t="shared" si="57"/>
        <v>7.6750789905211378E-2</v>
      </c>
      <c r="J70" s="6">
        <f t="shared" si="57"/>
        <v>9.0361673925392919E-2</v>
      </c>
      <c r="K70" s="6">
        <f t="shared" si="57"/>
        <v>9.6294155891064076E-2</v>
      </c>
      <c r="L70" s="6">
        <f t="shared" ref="L70:R70" si="58">L52/L45</f>
        <v>9.9029751888582582E-2</v>
      </c>
      <c r="M70" s="6">
        <f t="shared" si="58"/>
        <v>0.10272193559864792</v>
      </c>
      <c r="N70" s="6">
        <f t="shared" si="58"/>
        <v>8.5933749399903989E-2</v>
      </c>
      <c r="O70" s="6">
        <f>O52/O45</f>
        <v>6.9666114582549121E-2</v>
      </c>
      <c r="P70" s="6">
        <f t="shared" si="56"/>
        <v>8.2421326919222285E-2</v>
      </c>
      <c r="Q70" s="6">
        <f t="shared" si="58"/>
        <v>6.8380892744896796E-2</v>
      </c>
      <c r="R70" s="6">
        <f t="shared" si="58"/>
        <v>6.1057736896625782E-2</v>
      </c>
      <c r="S70" s="6">
        <f>S52/S45</f>
        <v>5.2692613064241715E-2</v>
      </c>
      <c r="T70" s="6">
        <f>T52/T45</f>
        <v>4.6481879954954439E-2</v>
      </c>
      <c r="U70" s="177">
        <f>U52/U45</f>
        <v>4.0038542400614788E-2</v>
      </c>
      <c r="W70" s="189"/>
    </row>
    <row r="71" spans="1:30" outlineLevel="1" x14ac:dyDescent="0.2">
      <c r="A71" s="2" t="s">
        <v>180</v>
      </c>
      <c r="B71" s="7"/>
      <c r="C71" s="6">
        <v>0.38300000000000001</v>
      </c>
      <c r="D71" s="6">
        <v>0.374</v>
      </c>
      <c r="E71" s="6">
        <v>0.372</v>
      </c>
      <c r="F71" s="6">
        <v>0.375</v>
      </c>
      <c r="G71" s="6">
        <v>0.37</v>
      </c>
      <c r="H71" s="6">
        <f t="shared" ref="H71:M71" si="59">H57/H55</f>
        <v>0.35899999999999993</v>
      </c>
      <c r="I71" s="6">
        <f t="shared" si="59"/>
        <v>0.3517032655712331</v>
      </c>
      <c r="J71" s="6">
        <f t="shared" si="59"/>
        <v>0.36199999999999999</v>
      </c>
      <c r="K71" s="6">
        <f t="shared" si="59"/>
        <v>0.3640819964349376</v>
      </c>
      <c r="L71" s="6">
        <f t="shared" si="59"/>
        <v>0.35216148023549204</v>
      </c>
      <c r="M71" s="6">
        <f t="shared" si="59"/>
        <v>0.3622774659182037</v>
      </c>
      <c r="N71" s="6">
        <f>N57/N55</f>
        <v>0.36222278738555441</v>
      </c>
      <c r="O71" s="6">
        <f>O57/O55</f>
        <v>0.36652665694376929</v>
      </c>
      <c r="P71" s="6">
        <f t="shared" si="56"/>
        <v>0.35529672767609533</v>
      </c>
      <c r="Q71" s="167">
        <f t="shared" ref="Q71:U71" si="60">Q32</f>
        <v>0.23249999999999979</v>
      </c>
      <c r="R71" s="167">
        <f t="shared" si="60"/>
        <v>0.23249999999999979</v>
      </c>
      <c r="S71" s="167">
        <f t="shared" si="60"/>
        <v>0.23249999999999982</v>
      </c>
      <c r="T71" s="167">
        <f t="shared" si="60"/>
        <v>0.23249999999999979</v>
      </c>
      <c r="U71" s="1429">
        <f t="shared" si="60"/>
        <v>0.23249999999999979</v>
      </c>
    </row>
    <row r="72" spans="1:30" outlineLevel="1" x14ac:dyDescent="0.2">
      <c r="A72" s="2"/>
      <c r="B72" s="7"/>
      <c r="C72" s="7"/>
      <c r="D72" s="7"/>
      <c r="E72" s="7"/>
      <c r="F72" s="7"/>
      <c r="G72" s="7"/>
      <c r="H72" s="7"/>
      <c r="I72" s="7"/>
      <c r="J72" s="7"/>
      <c r="K72" s="7"/>
      <c r="L72" s="7"/>
      <c r="M72" s="7"/>
      <c r="N72" s="7"/>
      <c r="O72" s="7"/>
      <c r="P72" s="7"/>
      <c r="Q72" s="7"/>
      <c r="R72" s="7"/>
      <c r="S72" s="7"/>
      <c r="T72" s="7"/>
      <c r="U72" s="12"/>
    </row>
    <row r="73" spans="1:30" outlineLevel="1" x14ac:dyDescent="0.2">
      <c r="A73" s="4" t="s">
        <v>183</v>
      </c>
      <c r="B73" s="7"/>
      <c r="C73" s="7"/>
      <c r="D73" s="7"/>
      <c r="E73" s="7"/>
      <c r="F73" s="7"/>
      <c r="G73" s="7"/>
      <c r="H73" s="7"/>
      <c r="I73" s="7"/>
      <c r="J73" s="7"/>
      <c r="K73" s="7"/>
      <c r="L73" s="7"/>
      <c r="M73" s="7"/>
      <c r="N73" s="7"/>
      <c r="O73" s="7"/>
      <c r="P73" s="7"/>
      <c r="Q73" s="7"/>
      <c r="R73" s="7"/>
      <c r="S73" s="7"/>
      <c r="T73" s="7"/>
      <c r="U73" s="12"/>
    </row>
    <row r="74" spans="1:30" outlineLevel="1" x14ac:dyDescent="0.2">
      <c r="A74" s="2" t="s">
        <v>89</v>
      </c>
      <c r="B74" s="7"/>
      <c r="C74" s="13" t="s">
        <v>86</v>
      </c>
      <c r="D74" s="6">
        <f>((D45/C45)-1)</f>
        <v>0.41924442190669375</v>
      </c>
      <c r="E74" s="6">
        <f t="shared" ref="E74:P74" si="61">((E45/D45)-1)</f>
        <v>0.20455560518088434</v>
      </c>
      <c r="F74" s="6">
        <f t="shared" si="61"/>
        <v>-2.4360400444938812E-2</v>
      </c>
      <c r="G74" s="6">
        <f t="shared" si="61"/>
        <v>-5.4003724394785846E-2</v>
      </c>
      <c r="H74" s="6">
        <f t="shared" si="61"/>
        <v>-4.0053029085650005E-2</v>
      </c>
      <c r="I74" s="6">
        <f t="shared" si="61"/>
        <v>4.6369533375183014E-2</v>
      </c>
      <c r="J74" s="6">
        <f t="shared" si="61"/>
        <v>5.60732712074552E-2</v>
      </c>
      <c r="K74" s="6">
        <f t="shared" si="61"/>
        <v>4.8513539102442715E-2</v>
      </c>
      <c r="L74" s="6">
        <f t="shared" si="61"/>
        <v>8.8492378819620132E-3</v>
      </c>
      <c r="M74" s="6">
        <f t="shared" si="61"/>
        <v>6.229637320539938E-3</v>
      </c>
      <c r="N74" s="6">
        <f t="shared" si="61"/>
        <v>-3.6505959793631026E-2</v>
      </c>
      <c r="O74" s="6">
        <f t="shared" si="61"/>
        <v>-1.8944569592673322E-2</v>
      </c>
      <c r="P74" s="6">
        <f t="shared" si="61"/>
        <v>-3.4593088910637615E-2</v>
      </c>
      <c r="Q74" s="6">
        <f t="shared" ref="Q74:U74" si="62">Q75+Q81</f>
        <v>-1.8330072601645424E-2</v>
      </c>
      <c r="R74" s="6">
        <f t="shared" si="62"/>
        <v>-1.6511650746092298E-2</v>
      </c>
      <c r="S74" s="6">
        <f t="shared" si="62"/>
        <v>-1.6684552497106552E-2</v>
      </c>
      <c r="T74" s="6">
        <f t="shared" si="62"/>
        <v>-1.5923590413742261E-2</v>
      </c>
      <c r="U74" s="177">
        <f t="shared" si="62"/>
        <v>-1.6107716966339291E-2</v>
      </c>
    </row>
    <row r="75" spans="1:30" outlineLevel="1" x14ac:dyDescent="0.2">
      <c r="A75" s="2" t="s">
        <v>184</v>
      </c>
      <c r="B75" s="7"/>
      <c r="C75" s="6" t="str">
        <f>C37</f>
        <v>NA</v>
      </c>
      <c r="D75" s="6">
        <f>D36</f>
        <v>0.06</v>
      </c>
      <c r="E75" s="6">
        <f t="shared" ref="E75:K75" si="63">E36</f>
        <v>0.04</v>
      </c>
      <c r="F75" s="6">
        <f t="shared" si="63"/>
        <v>0.01</v>
      </c>
      <c r="G75" s="6">
        <f t="shared" si="63"/>
        <v>0.02</v>
      </c>
      <c r="H75" s="6">
        <f t="shared" si="63"/>
        <v>0.06</v>
      </c>
      <c r="I75" s="6">
        <f t="shared" si="63"/>
        <v>4.5999999999999999E-2</v>
      </c>
      <c r="J75" s="6">
        <f t="shared" si="63"/>
        <v>5.2999999999999999E-2</v>
      </c>
      <c r="K75" s="6">
        <f t="shared" si="63"/>
        <v>3.7000000000000005E-2</v>
      </c>
      <c r="L75" s="6">
        <f>L36</f>
        <v>1.9428806702230499E-2</v>
      </c>
      <c r="M75" s="6">
        <f>M36</f>
        <v>6.9999999999999993E-3</v>
      </c>
      <c r="N75" s="189">
        <f>N36</f>
        <v>-3.052572103844307E-2</v>
      </c>
      <c r="O75" s="189">
        <f>O36</f>
        <v>-3.5000000000000003E-2</v>
      </c>
      <c r="P75" s="189">
        <f>P36</f>
        <v>-3.3000000000000002E-2</v>
      </c>
      <c r="Q75" s="167">
        <v>0</v>
      </c>
      <c r="R75" s="167">
        <v>-0.01</v>
      </c>
      <c r="S75" s="167">
        <v>-0.01</v>
      </c>
      <c r="T75" s="167">
        <v>-0.01</v>
      </c>
      <c r="U75" s="1429">
        <v>-0.01</v>
      </c>
    </row>
    <row r="76" spans="1:30" outlineLevel="1" x14ac:dyDescent="0.2">
      <c r="A76" s="2" t="s">
        <v>164</v>
      </c>
      <c r="B76" s="7"/>
      <c r="C76" s="13" t="s">
        <v>86</v>
      </c>
      <c r="D76" s="6">
        <f t="shared" ref="D76:U76" si="64">((D50/C50)-1)</f>
        <v>0.41553437436625429</v>
      </c>
      <c r="E76" s="6">
        <f t="shared" si="64"/>
        <v>0.24326647564469916</v>
      </c>
      <c r="F76" s="6">
        <f t="shared" si="64"/>
        <v>-1.4289006683567695E-2</v>
      </c>
      <c r="G76" s="6">
        <f t="shared" si="64"/>
        <v>-1.1222819733458067E-2</v>
      </c>
      <c r="H76" s="6">
        <f t="shared" si="64"/>
        <v>-3.4878221801844411E-2</v>
      </c>
      <c r="I76" s="6">
        <f t="shared" si="64"/>
        <v>1.1882886193801401E-2</v>
      </c>
      <c r="J76" s="6">
        <f t="shared" si="64"/>
        <v>2.5423728813558366E-3</v>
      </c>
      <c r="K76" s="6">
        <f t="shared" si="64"/>
        <v>2.4272430865837524E-2</v>
      </c>
      <c r="L76" s="6">
        <f t="shared" si="64"/>
        <v>-4.9516623437868557E-3</v>
      </c>
      <c r="M76" s="6">
        <f t="shared" si="64"/>
        <v>-1.0071090047393372E-2</v>
      </c>
      <c r="N76" s="6">
        <f>((N50/M50)-1)</f>
        <v>-1.1849192100538586E-2</v>
      </c>
      <c r="O76" s="6">
        <f>((O50/N50)-1)</f>
        <v>9.5960513565891414E-2</v>
      </c>
      <c r="P76" s="6">
        <f>((P50/O50)-1)</f>
        <v>-7.0649020528831596E-2</v>
      </c>
      <c r="Q76" s="177">
        <f t="shared" si="64"/>
        <v>4.8081291437126694E-2</v>
      </c>
      <c r="R76" s="177">
        <f t="shared" si="64"/>
        <v>8.6687451005569294E-3</v>
      </c>
      <c r="S76" s="177">
        <f t="shared" si="64"/>
        <v>1.0768627098916461E-2</v>
      </c>
      <c r="T76" s="177">
        <f t="shared" si="64"/>
        <v>5.0410586400251312E-3</v>
      </c>
      <c r="U76" s="177">
        <f t="shared" si="64"/>
        <v>5.0733153122621832E-3</v>
      </c>
    </row>
    <row r="77" spans="1:30" outlineLevel="1" x14ac:dyDescent="0.2">
      <c r="A77" s="2" t="s">
        <v>165</v>
      </c>
      <c r="B77" s="7"/>
      <c r="C77" s="13" t="s">
        <v>86</v>
      </c>
      <c r="D77" s="6">
        <f>((D52/C52)-1)</f>
        <v>0.42628418945963986</v>
      </c>
      <c r="E77" s="6">
        <f t="shared" ref="E77:M77" si="65">((E52/D52)-1)</f>
        <v>6.3143124415341534E-2</v>
      </c>
      <c r="F77" s="6">
        <f t="shared" si="65"/>
        <v>-8.4029916410030769E-2</v>
      </c>
      <c r="G77" s="6">
        <f t="shared" si="65"/>
        <v>-0.31556195965417866</v>
      </c>
      <c r="H77" s="6">
        <f t="shared" si="65"/>
        <v>2.0350877192982564E-2</v>
      </c>
      <c r="I77" s="6">
        <f t="shared" si="65"/>
        <v>0.31980742778541948</v>
      </c>
      <c r="J77" s="6">
        <f t="shared" si="65"/>
        <v>0.24335591453882222</v>
      </c>
      <c r="K77" s="6">
        <f t="shared" si="65"/>
        <v>0.11735121542330251</v>
      </c>
      <c r="L77" s="6">
        <f t="shared" si="65"/>
        <v>3.7509377344336015E-2</v>
      </c>
      <c r="M77" s="6">
        <f t="shared" si="65"/>
        <v>4.374548083875629E-2</v>
      </c>
      <c r="N77" s="6">
        <f t="shared" ref="N77:U77" si="66">((N52/M52)-1)</f>
        <v>-0.19397298233460336</v>
      </c>
      <c r="O77" s="6">
        <f t="shared" si="66"/>
        <v>-0.20466265577997422</v>
      </c>
      <c r="P77" s="6">
        <f t="shared" si="66"/>
        <v>0.11090098608672161</v>
      </c>
      <c r="Q77" s="6">
        <f t="shared" si="66"/>
        <v>-0.16263710071960358</v>
      </c>
      <c r="R77" s="6">
        <f t="shared" si="66"/>
        <v>-0.12183695679926099</v>
      </c>
      <c r="S77" s="6">
        <f t="shared" si="66"/>
        <v>-0.15140221323491254</v>
      </c>
      <c r="T77" s="6">
        <f t="shared" si="66"/>
        <v>-0.1319139652246194</v>
      </c>
      <c r="U77" s="177">
        <f t="shared" si="66"/>
        <v>-0.15249527493171022</v>
      </c>
    </row>
    <row r="78" spans="1:30" outlineLevel="1" x14ac:dyDescent="0.2">
      <c r="A78" s="2" t="s">
        <v>522</v>
      </c>
      <c r="B78" s="7"/>
      <c r="C78" s="13" t="s">
        <v>86</v>
      </c>
      <c r="D78" s="6">
        <f>((D62/C62)-1)</f>
        <v>0.13701576329161691</v>
      </c>
      <c r="E78" s="6">
        <f t="shared" ref="E78:M78" si="67">((E62/D62)-1)</f>
        <v>-0.1715015241477873</v>
      </c>
      <c r="F78" s="6">
        <f t="shared" si="67"/>
        <v>2.4814778973956564E-2</v>
      </c>
      <c r="G78" s="6">
        <f t="shared" si="67"/>
        <v>-0.39268237430300357</v>
      </c>
      <c r="H78" s="6">
        <f t="shared" si="67"/>
        <v>5.3963342811646164E-2</v>
      </c>
      <c r="I78" s="6">
        <f t="shared" si="67"/>
        <v>0.51835241291504008</v>
      </c>
      <c r="J78" s="6">
        <f t="shared" si="67"/>
        <v>0.39183183263487975</v>
      </c>
      <c r="K78" s="6">
        <f t="shared" si="67"/>
        <v>0.20197315725368936</v>
      </c>
      <c r="L78" s="6">
        <f t="shared" si="67"/>
        <v>0.15645188501530471</v>
      </c>
      <c r="M78" s="6">
        <f t="shared" si="67"/>
        <v>9.8490205191723801E-2</v>
      </c>
      <c r="N78" s="6">
        <f t="shared" ref="N78:U78" si="68">((N62/M62)-1)</f>
        <v>-0.14381318563923839</v>
      </c>
      <c r="O78" s="6">
        <f t="shared" si="68"/>
        <v>-0.16490744654549516</v>
      </c>
      <c r="P78" s="6">
        <f t="shared" si="68"/>
        <v>0.2037405637390588</v>
      </c>
      <c r="Q78" s="177">
        <f t="shared" si="68"/>
        <v>-3.2971622231793618E-2</v>
      </c>
      <c r="R78" s="177">
        <f t="shared" si="68"/>
        <v>-0.13764277108576917</v>
      </c>
      <c r="S78" s="177">
        <f t="shared" si="68"/>
        <v>-0.1736184866695718</v>
      </c>
      <c r="T78" s="177">
        <f t="shared" si="68"/>
        <v>-0.15221264528760092</v>
      </c>
      <c r="U78" s="177">
        <f t="shared" si="68"/>
        <v>-0.17905311696541892</v>
      </c>
    </row>
    <row r="79" spans="1:30" outlineLevel="2" x14ac:dyDescent="0.2">
      <c r="A79" s="2" t="s">
        <v>174</v>
      </c>
      <c r="B79" s="7"/>
      <c r="C79" s="13" t="s">
        <v>86</v>
      </c>
      <c r="D79" s="6">
        <f>((D65/C65)-1)</f>
        <v>0.38090990187332729</v>
      </c>
      <c r="E79" s="6">
        <f t="shared" ref="E79:M79" si="69">((E65/D65)-1)</f>
        <v>0.12693798449612403</v>
      </c>
      <c r="F79" s="6">
        <f t="shared" si="69"/>
        <v>-3.840642017770135E-2</v>
      </c>
      <c r="G79" s="6">
        <f t="shared" si="69"/>
        <v>-0.20238450074515646</v>
      </c>
      <c r="H79" s="6">
        <f t="shared" si="69"/>
        <v>-4.484304932735439E-3</v>
      </c>
      <c r="I79" s="6">
        <f t="shared" si="69"/>
        <v>0.15202702702702697</v>
      </c>
      <c r="J79" s="6">
        <f t="shared" si="69"/>
        <v>0.13098729227761496</v>
      </c>
      <c r="K79" s="6">
        <f t="shared" si="69"/>
        <v>7.0296744454047877E-2</v>
      </c>
      <c r="L79" s="6">
        <f t="shared" si="69"/>
        <v>1.9111709286675715E-2</v>
      </c>
      <c r="M79" s="6">
        <f t="shared" si="69"/>
        <v>3.6185948230322174E-2</v>
      </c>
      <c r="N79" s="6">
        <f t="shared" ref="N79:U79" si="70">((N65/M65)-1)</f>
        <v>-0.13637522304358907</v>
      </c>
      <c r="O79" s="6">
        <f t="shared" si="70"/>
        <v>-0.14145513577331759</v>
      </c>
      <c r="P79" s="6">
        <f t="shared" si="70"/>
        <v>4.7529007305543658E-2</v>
      </c>
      <c r="Q79" s="6">
        <f t="shared" si="70"/>
        <v>-0.10974134528372326</v>
      </c>
      <c r="R79" s="6">
        <f t="shared" si="70"/>
        <v>-8.1012771730966437E-2</v>
      </c>
      <c r="S79" s="6">
        <f t="shared" si="70"/>
        <v>-9.5833311280560163E-2</v>
      </c>
      <c r="T79" s="6">
        <f t="shared" si="70"/>
        <v>-7.9522466433414429E-2</v>
      </c>
      <c r="U79" s="177">
        <f t="shared" si="70"/>
        <v>-8.6680199462154217E-2</v>
      </c>
    </row>
    <row r="80" spans="1:30" outlineLevel="1" x14ac:dyDescent="0.2">
      <c r="A80" s="2" t="s">
        <v>546</v>
      </c>
      <c r="B80" s="7"/>
      <c r="C80" s="13" t="s">
        <v>86</v>
      </c>
      <c r="D80" s="6">
        <f>D35-D36</f>
        <v>0.35924442190669376</v>
      </c>
      <c r="E80" s="6">
        <f t="shared" ref="E80:K80" si="71">E35-E36</f>
        <v>0.16455560518088433</v>
      </c>
      <c r="F80" s="6">
        <f t="shared" si="71"/>
        <v>-3.4360400444938814E-2</v>
      </c>
      <c r="G80" s="6">
        <f t="shared" si="71"/>
        <v>-7.400372439478585E-2</v>
      </c>
      <c r="H80" s="6">
        <f t="shared" si="71"/>
        <v>-0.10005302908565</v>
      </c>
      <c r="I80" s="6">
        <f t="shared" si="71"/>
        <v>3.6953337518301488E-4</v>
      </c>
      <c r="J80" s="6">
        <f t="shared" si="71"/>
        <v>3.0732712074552013E-3</v>
      </c>
      <c r="K80" s="6">
        <f t="shared" si="71"/>
        <v>1.151353910244271E-2</v>
      </c>
      <c r="L80" s="6">
        <f t="shared" ref="L80:T80" si="72">L35-L36</f>
        <v>-1.0579568820268486E-2</v>
      </c>
      <c r="M80" s="6">
        <f t="shared" si="72"/>
        <v>-7.7036267946006126E-4</v>
      </c>
      <c r="N80" s="6">
        <f t="shared" si="72"/>
        <v>-5.9802387551879561E-3</v>
      </c>
      <c r="O80" s="6">
        <f t="shared" si="72"/>
        <v>1.6055430407326682E-2</v>
      </c>
      <c r="P80" s="6">
        <f t="shared" ref="P80" si="73">P35-P36</f>
        <v>-1.5930889106376134E-3</v>
      </c>
      <c r="Q80" s="6">
        <f t="shared" si="72"/>
        <v>-2.0330072601645422E-2</v>
      </c>
      <c r="R80" s="6">
        <f t="shared" si="72"/>
        <v>-8.5116507460922981E-3</v>
      </c>
      <c r="S80" s="6">
        <f t="shared" si="72"/>
        <v>-8.684552497106552E-3</v>
      </c>
      <c r="T80" s="6">
        <f t="shared" si="72"/>
        <v>-7.9235904137422604E-3</v>
      </c>
      <c r="U80" s="177">
        <f t="shared" ref="U80" si="74">U35-U36</f>
        <v>-8.1077169663392908E-3</v>
      </c>
    </row>
    <row r="81" spans="1:29" outlineLevel="1" x14ac:dyDescent="0.2">
      <c r="A81" s="2" t="s">
        <v>547</v>
      </c>
      <c r="B81" s="7"/>
      <c r="C81" s="13" t="s">
        <v>86</v>
      </c>
      <c r="D81" s="6">
        <f>D80</f>
        <v>0.35924442190669376</v>
      </c>
      <c r="E81" s="6">
        <f t="shared" ref="E81:K81" si="75">E80</f>
        <v>0.16455560518088433</v>
      </c>
      <c r="F81" s="6">
        <f t="shared" si="75"/>
        <v>-3.4360400444938814E-2</v>
      </c>
      <c r="G81" s="6">
        <f t="shared" si="75"/>
        <v>-7.400372439478585E-2</v>
      </c>
      <c r="H81" s="6">
        <f t="shared" si="75"/>
        <v>-0.10005302908565</v>
      </c>
      <c r="I81" s="6">
        <f t="shared" si="75"/>
        <v>3.6953337518301488E-4</v>
      </c>
      <c r="J81" s="6">
        <f t="shared" si="75"/>
        <v>3.0732712074552013E-3</v>
      </c>
      <c r="K81" s="6">
        <f t="shared" si="75"/>
        <v>1.151353910244271E-2</v>
      </c>
      <c r="L81" s="6">
        <f>L80</f>
        <v>-1.0579568820268486E-2</v>
      </c>
      <c r="M81" s="6">
        <f>M80</f>
        <v>-7.7036267946006126E-4</v>
      </c>
      <c r="N81" s="6">
        <f>N80</f>
        <v>-5.9802387551879561E-3</v>
      </c>
      <c r="O81" s="6">
        <f>O80</f>
        <v>1.6055430407326682E-2</v>
      </c>
      <c r="P81" s="6">
        <f>P80</f>
        <v>-1.5930889106376134E-3</v>
      </c>
      <c r="Q81" s="167">
        <f t="shared" ref="Q81:U81" si="76">Q80+0.002</f>
        <v>-1.8330072601645424E-2</v>
      </c>
      <c r="R81" s="167">
        <f t="shared" si="76"/>
        <v>-6.5116507460922981E-3</v>
      </c>
      <c r="S81" s="167">
        <f t="shared" si="76"/>
        <v>-6.684552497106552E-3</v>
      </c>
      <c r="T81" s="167">
        <f t="shared" si="76"/>
        <v>-5.9235904137422603E-3</v>
      </c>
      <c r="U81" s="1429">
        <f t="shared" si="76"/>
        <v>-6.1077169663392907E-3</v>
      </c>
      <c r="Z81" s="184"/>
      <c r="AA81" s="186" t="s">
        <v>617</v>
      </c>
      <c r="AB81" s="186" t="s">
        <v>574</v>
      </c>
      <c r="AC81" s="186" t="s">
        <v>618</v>
      </c>
    </row>
    <row r="82" spans="1:29" x14ac:dyDescent="0.2">
      <c r="A82" s="163"/>
      <c r="B82" s="163"/>
      <c r="C82" s="163"/>
      <c r="D82" s="163"/>
      <c r="E82" s="163"/>
      <c r="F82" s="163"/>
      <c r="G82" s="163"/>
      <c r="H82" s="163"/>
      <c r="I82" s="163"/>
      <c r="J82" s="163"/>
      <c r="K82" s="163"/>
      <c r="L82" s="163"/>
      <c r="M82" s="163"/>
      <c r="N82" s="163"/>
      <c r="O82" s="163"/>
      <c r="P82" s="163"/>
      <c r="Q82" s="163"/>
      <c r="R82" s="163"/>
      <c r="S82" s="163"/>
      <c r="T82" s="163"/>
      <c r="U82" s="163"/>
      <c r="Z82" s="568" t="s">
        <v>551</v>
      </c>
      <c r="AA82" s="569">
        <v>10</v>
      </c>
      <c r="AB82" s="570">
        <f>R23</f>
        <v>2.6979854754032035</v>
      </c>
      <c r="AC82" s="571">
        <f>AA82*AB82</f>
        <v>26.979854754032036</v>
      </c>
    </row>
    <row r="83" spans="1:29" x14ac:dyDescent="0.2">
      <c r="A83" s="153" t="s">
        <v>548</v>
      </c>
      <c r="B83" s="7"/>
      <c r="C83" s="14" t="s">
        <v>536</v>
      </c>
      <c r="D83" s="14" t="s">
        <v>537</v>
      </c>
      <c r="E83" s="14" t="s">
        <v>538</v>
      </c>
      <c r="F83" s="14" t="s">
        <v>539</v>
      </c>
      <c r="G83" s="14" t="s">
        <v>540</v>
      </c>
      <c r="H83" s="14" t="s">
        <v>541</v>
      </c>
      <c r="I83" s="14" t="s">
        <v>421</v>
      </c>
      <c r="J83" s="14" t="s">
        <v>422</v>
      </c>
      <c r="K83" s="14" t="s">
        <v>529</v>
      </c>
      <c r="L83" s="14" t="s">
        <v>564</v>
      </c>
      <c r="M83" s="14" t="str">
        <f>M42</f>
        <v>2014A</v>
      </c>
      <c r="N83" s="14" t="str">
        <f>N42</f>
        <v>2015A</v>
      </c>
      <c r="O83" s="14" t="str">
        <f>O42</f>
        <v>2016A</v>
      </c>
      <c r="P83" s="14" t="s">
        <v>542</v>
      </c>
      <c r="Q83" s="14" t="s">
        <v>565</v>
      </c>
      <c r="R83" s="14" t="str">
        <f>R42</f>
        <v>2019E</v>
      </c>
      <c r="S83" s="14" t="str">
        <f>S42</f>
        <v>2020E</v>
      </c>
      <c r="T83" s="14" t="str">
        <f>T42</f>
        <v>2021E</v>
      </c>
      <c r="U83" s="15" t="str">
        <f>U42</f>
        <v>2022E</v>
      </c>
      <c r="W83" s="15"/>
      <c r="Z83" s="572" t="s">
        <v>419</v>
      </c>
      <c r="AA83" s="573">
        <v>12.5</v>
      </c>
      <c r="AB83" s="574">
        <f>R62</f>
        <v>3.1564739676460873</v>
      </c>
      <c r="AC83" s="575">
        <f>AA83*AB83</f>
        <v>39.455924595576093</v>
      </c>
    </row>
    <row r="84" spans="1:29" x14ac:dyDescent="0.2">
      <c r="A84" s="4" t="s">
        <v>161</v>
      </c>
      <c r="B84" s="7"/>
      <c r="C84" s="8" t="s">
        <v>82</v>
      </c>
      <c r="D84" s="8" t="s">
        <v>82</v>
      </c>
      <c r="E84" s="8" t="s">
        <v>82</v>
      </c>
      <c r="F84" s="8" t="s">
        <v>82</v>
      </c>
      <c r="G84" s="8" t="s">
        <v>82</v>
      </c>
      <c r="H84" s="8" t="s">
        <v>82</v>
      </c>
      <c r="I84" s="8" t="s">
        <v>82</v>
      </c>
      <c r="J84" s="8" t="s">
        <v>82</v>
      </c>
      <c r="K84" s="8" t="s">
        <v>82</v>
      </c>
      <c r="L84" s="8" t="s">
        <v>82</v>
      </c>
      <c r="M84" s="8" t="s">
        <v>82</v>
      </c>
      <c r="N84" s="8" t="s">
        <v>82</v>
      </c>
      <c r="O84" s="8" t="s">
        <v>82</v>
      </c>
      <c r="P84" s="8" t="s">
        <v>82</v>
      </c>
      <c r="Q84" s="8" t="s">
        <v>82</v>
      </c>
      <c r="R84" s="8" t="s">
        <v>82</v>
      </c>
      <c r="S84" s="8" t="s">
        <v>82</v>
      </c>
      <c r="T84" s="8" t="s">
        <v>82</v>
      </c>
      <c r="U84" s="182" t="s">
        <v>82</v>
      </c>
      <c r="W84" s="182"/>
      <c r="X84" s="183"/>
      <c r="Z84" s="576" t="s">
        <v>420</v>
      </c>
      <c r="AA84" s="577">
        <v>9</v>
      </c>
      <c r="AB84" s="578">
        <f>R103</f>
        <v>1.8573006199590878</v>
      </c>
      <c r="AC84" s="579">
        <f>AA84*AB84</f>
        <v>16.715705579631791</v>
      </c>
    </row>
    <row r="85" spans="1:29" x14ac:dyDescent="0.2">
      <c r="A85" s="2"/>
      <c r="B85" s="7"/>
      <c r="C85" s="7"/>
      <c r="D85" s="7"/>
      <c r="E85" s="7"/>
      <c r="F85" s="7"/>
      <c r="G85" s="7"/>
      <c r="H85" s="7"/>
      <c r="I85" s="7"/>
      <c r="J85" s="7"/>
      <c r="K85" s="7"/>
      <c r="L85" s="7"/>
      <c r="M85" s="7"/>
      <c r="N85" s="7"/>
      <c r="O85" s="7"/>
      <c r="P85" s="558">
        <f>O86-750</f>
        <v>25816</v>
      </c>
      <c r="Q85" s="7"/>
      <c r="R85" s="7"/>
      <c r="S85" s="7"/>
      <c r="T85" s="7"/>
      <c r="U85" s="12"/>
      <c r="V85">
        <f>P85*(1+-0.003)</f>
        <v>25738.552</v>
      </c>
      <c r="W85" s="560">
        <f>V85*-0.03</f>
        <v>-772.15656000000001</v>
      </c>
      <c r="X85" s="183">
        <f>V85+W85</f>
        <v>24966.39544</v>
      </c>
    </row>
    <row r="86" spans="1:29" x14ac:dyDescent="0.2">
      <c r="A86" s="2" t="s">
        <v>418</v>
      </c>
      <c r="B86" s="7"/>
      <c r="C86" s="164">
        <f>C6</f>
        <v>15776</v>
      </c>
      <c r="D86" s="164">
        <f t="shared" ref="D86:J86" si="77">D6</f>
        <v>22390</v>
      </c>
      <c r="E86" s="164">
        <f t="shared" si="77"/>
        <v>26970</v>
      </c>
      <c r="F86" s="164">
        <f t="shared" si="77"/>
        <v>26313</v>
      </c>
      <c r="G86" s="164">
        <f t="shared" si="77"/>
        <v>24892</v>
      </c>
      <c r="H86" s="164">
        <f t="shared" si="77"/>
        <v>23895</v>
      </c>
      <c r="I86" s="164">
        <f t="shared" si="77"/>
        <v>25003</v>
      </c>
      <c r="J86" s="164">
        <f t="shared" si="77"/>
        <v>26405</v>
      </c>
      <c r="K86" s="164">
        <f t="shared" ref="K86:P86" si="78">K6</f>
        <v>27686</v>
      </c>
      <c r="L86" s="164">
        <f t="shared" si="78"/>
        <v>27931</v>
      </c>
      <c r="M86" s="164">
        <f t="shared" si="78"/>
        <v>28105</v>
      </c>
      <c r="N86" s="164">
        <f t="shared" si="78"/>
        <v>27079</v>
      </c>
      <c r="O86" s="164">
        <f t="shared" si="78"/>
        <v>26566</v>
      </c>
      <c r="P86" s="164">
        <f t="shared" si="78"/>
        <v>25647</v>
      </c>
      <c r="Q86" s="164">
        <f t="shared" ref="Q86:U86" si="79">(P86*(1+Q115))</f>
        <v>24903.497999999996</v>
      </c>
      <c r="R86" s="164">
        <f t="shared" si="79"/>
        <v>23894.616186667987</v>
      </c>
      <c r="S86" s="164">
        <f t="shared" si="79"/>
        <v>22922.474420023282</v>
      </c>
      <c r="T86" s="164">
        <f t="shared" si="79"/>
        <v>22007.326940008788</v>
      </c>
      <c r="U86" s="1428">
        <f t="shared" si="79"/>
        <v>21124.663299913223</v>
      </c>
    </row>
    <row r="87" spans="1:29" outlineLevel="1" x14ac:dyDescent="0.2">
      <c r="A87" s="2"/>
      <c r="B87" s="7"/>
      <c r="C87" s="165"/>
      <c r="D87" s="165"/>
      <c r="E87" s="165"/>
      <c r="F87" s="165"/>
      <c r="G87" s="165"/>
      <c r="H87" s="165"/>
      <c r="I87" s="165"/>
      <c r="J87" s="165"/>
      <c r="K87" s="165"/>
      <c r="L87" s="165"/>
      <c r="M87" s="165"/>
      <c r="N87" s="7">
        <f t="shared" ref="N87:O101" si="80">N7</f>
        <v>0</v>
      </c>
      <c r="O87" s="7">
        <f t="shared" si="80"/>
        <v>0</v>
      </c>
      <c r="P87" s="7">
        <f t="shared" ref="P87" si="81">P7</f>
        <v>0</v>
      </c>
      <c r="Q87" s="7"/>
      <c r="R87" s="7"/>
      <c r="S87" s="7"/>
      <c r="T87" s="7"/>
      <c r="U87" s="12"/>
    </row>
    <row r="88" spans="1:29" outlineLevel="1" x14ac:dyDescent="0.2">
      <c r="A88" s="2" t="s">
        <v>162</v>
      </c>
      <c r="B88" s="7"/>
      <c r="C88" s="164">
        <f>C8</f>
        <v>9346</v>
      </c>
      <c r="D88" s="164">
        <f t="shared" ref="D88:J88" si="82">D8</f>
        <v>13272</v>
      </c>
      <c r="E88" s="164">
        <f t="shared" si="82"/>
        <v>16019</v>
      </c>
      <c r="F88" s="164">
        <f t="shared" si="82"/>
        <v>15677</v>
      </c>
      <c r="G88" s="164">
        <f t="shared" si="82"/>
        <v>15009</v>
      </c>
      <c r="H88" s="164">
        <f t="shared" si="82"/>
        <v>14278</v>
      </c>
      <c r="I88" s="164">
        <f t="shared" si="82"/>
        <v>14824</v>
      </c>
      <c r="J88" s="164">
        <f t="shared" si="82"/>
        <v>15738</v>
      </c>
      <c r="K88" s="164">
        <f>K8</f>
        <v>16538</v>
      </c>
      <c r="L88" s="164">
        <f>L8</f>
        <v>16725</v>
      </c>
      <c r="M88" s="164">
        <f>M8</f>
        <v>16863</v>
      </c>
      <c r="N88" s="164">
        <f t="shared" si="80"/>
        <v>16496</v>
      </c>
      <c r="O88" s="164">
        <f t="shared" si="80"/>
        <v>15667</v>
      </c>
      <c r="P88" s="164">
        <f t="shared" ref="P88" si="83">P8</f>
        <v>15182</v>
      </c>
      <c r="Q88" s="164">
        <f t="shared" ref="Q88:U88" si="84">Q86-Q90</f>
        <v>15278.959318943846</v>
      </c>
      <c r="R88" s="164">
        <f t="shared" si="84"/>
        <v>14815.298460464381</v>
      </c>
      <c r="S88" s="164">
        <f t="shared" si="84"/>
        <v>14314.320458914222</v>
      </c>
      <c r="T88" s="164">
        <f t="shared" si="84"/>
        <v>13833.951725393115</v>
      </c>
      <c r="U88" s="1428">
        <f t="shared" si="84"/>
        <v>13359.377225604718</v>
      </c>
      <c r="W88" s="183">
        <f>P85*-0.03</f>
        <v>-774.48</v>
      </c>
    </row>
    <row r="89" spans="1:29" outlineLevel="1" x14ac:dyDescent="0.2">
      <c r="A89" s="2"/>
      <c r="B89" s="7"/>
      <c r="C89" s="165"/>
      <c r="D89" s="165"/>
      <c r="E89" s="165"/>
      <c r="F89" s="165"/>
      <c r="G89" s="165"/>
      <c r="H89" s="165"/>
      <c r="I89" s="165"/>
      <c r="J89" s="165"/>
      <c r="K89" s="165"/>
      <c r="L89" s="165"/>
      <c r="M89" s="165"/>
      <c r="N89" s="7">
        <f t="shared" si="80"/>
        <v>0</v>
      </c>
      <c r="O89" s="7">
        <f t="shared" si="80"/>
        <v>0</v>
      </c>
      <c r="P89" s="7">
        <f t="shared" ref="P89" si="85">P9</f>
        <v>0</v>
      </c>
      <c r="Q89" s="7"/>
      <c r="R89" s="7"/>
      <c r="S89" s="7"/>
      <c r="T89" s="7"/>
      <c r="U89" s="12"/>
      <c r="W89" s="183">
        <f>P85+W88</f>
        <v>25041.52</v>
      </c>
      <c r="X89" s="559">
        <f>P86-250</f>
        <v>25397</v>
      </c>
    </row>
    <row r="90" spans="1:29" x14ac:dyDescent="0.2">
      <c r="A90" s="2" t="s">
        <v>163</v>
      </c>
      <c r="B90" s="7"/>
      <c r="C90" s="164">
        <f>C86-C88</f>
        <v>6430</v>
      </c>
      <c r="D90" s="164">
        <f t="shared" ref="D90:J90" si="86">D86-D88</f>
        <v>9118</v>
      </c>
      <c r="E90" s="164">
        <f t="shared" si="86"/>
        <v>10951</v>
      </c>
      <c r="F90" s="164">
        <f t="shared" si="86"/>
        <v>10636</v>
      </c>
      <c r="G90" s="164">
        <f t="shared" si="86"/>
        <v>9883</v>
      </c>
      <c r="H90" s="164">
        <f t="shared" si="86"/>
        <v>9617</v>
      </c>
      <c r="I90" s="164">
        <f t="shared" si="86"/>
        <v>10179</v>
      </c>
      <c r="J90" s="164">
        <f t="shared" si="86"/>
        <v>10667</v>
      </c>
      <c r="K90" s="164">
        <f>K86-K88</f>
        <v>11148</v>
      </c>
      <c r="L90" s="164">
        <f>L86-L88</f>
        <v>11206</v>
      </c>
      <c r="M90" s="164">
        <f>M86-M88</f>
        <v>11242</v>
      </c>
      <c r="N90" s="164">
        <f t="shared" si="80"/>
        <v>10583</v>
      </c>
      <c r="O90" s="164">
        <f t="shared" si="80"/>
        <v>10243</v>
      </c>
      <c r="P90" s="164">
        <f t="shared" ref="P90" si="87">P10</f>
        <v>9763</v>
      </c>
      <c r="Q90" s="164">
        <f t="shared" ref="Q90:U90" si="88">Q86*Q109</f>
        <v>9624.5386810561504</v>
      </c>
      <c r="R90" s="164">
        <f t="shared" si="88"/>
        <v>9079.3177262036061</v>
      </c>
      <c r="S90" s="164">
        <f t="shared" si="88"/>
        <v>8608.1539611090593</v>
      </c>
      <c r="T90" s="164">
        <f t="shared" si="88"/>
        <v>8173.3752146156739</v>
      </c>
      <c r="U90" s="1428">
        <f t="shared" si="88"/>
        <v>7765.2860743085057</v>
      </c>
      <c r="X90" s="183">
        <f>X89*-0.02</f>
        <v>-507.94</v>
      </c>
    </row>
    <row r="91" spans="1:29" x14ac:dyDescent="0.2">
      <c r="A91" s="2" t="s">
        <v>164</v>
      </c>
      <c r="B91" s="7"/>
      <c r="C91" s="165">
        <f>C11</f>
        <v>4931</v>
      </c>
      <c r="D91" s="165">
        <f t="shared" ref="D91:J91" si="89">D11</f>
        <v>6980</v>
      </c>
      <c r="E91" s="165">
        <f t="shared" si="89"/>
        <v>8678</v>
      </c>
      <c r="F91" s="165">
        <f t="shared" si="89"/>
        <v>8554</v>
      </c>
      <c r="G91" s="165">
        <f t="shared" si="89"/>
        <v>8458</v>
      </c>
      <c r="H91" s="165">
        <f t="shared" si="89"/>
        <v>8163</v>
      </c>
      <c r="I91" s="165">
        <f t="shared" si="89"/>
        <v>8260</v>
      </c>
      <c r="J91" s="165">
        <f t="shared" si="89"/>
        <v>8281</v>
      </c>
      <c r="K91" s="165">
        <f>K11</f>
        <v>8482</v>
      </c>
      <c r="L91" s="165">
        <f>L11</f>
        <v>8440</v>
      </c>
      <c r="M91" s="165">
        <f>M11</f>
        <v>8355</v>
      </c>
      <c r="N91" s="165">
        <f t="shared" si="80"/>
        <v>8256</v>
      </c>
      <c r="O91" s="165">
        <f t="shared" si="80"/>
        <v>9048.25</v>
      </c>
      <c r="P91" s="165">
        <f t="shared" ref="P91" si="90">P11</f>
        <v>8409</v>
      </c>
      <c r="Q91" s="165">
        <f t="shared" ref="Q91:U91" si="91">Q86*Q110</f>
        <v>8906.8801928742942</v>
      </c>
      <c r="R91" s="165">
        <f t="shared" si="91"/>
        <v>8745.8672050142959</v>
      </c>
      <c r="S91" s="165">
        <f t="shared" si="91"/>
        <v>8619.8073475928941</v>
      </c>
      <c r="T91" s="165">
        <f t="shared" si="91"/>
        <v>8448.6957859821541</v>
      </c>
      <c r="U91" s="172">
        <f t="shared" si="91"/>
        <v>8281.2414495665762</v>
      </c>
      <c r="X91" s="183">
        <f>X89+X90</f>
        <v>24889.06</v>
      </c>
    </row>
    <row r="92" spans="1:29" x14ac:dyDescent="0.2">
      <c r="A92" s="2" t="s">
        <v>543</v>
      </c>
      <c r="B92" s="7"/>
      <c r="C92" s="165">
        <f>C12</f>
        <v>743</v>
      </c>
      <c r="D92" s="165">
        <f t="shared" ref="D92:K92" si="92">D12</f>
        <v>958</v>
      </c>
      <c r="E92" s="165">
        <f t="shared" si="92"/>
        <v>1216</v>
      </c>
      <c r="F92" s="165">
        <f t="shared" si="92"/>
        <v>1273</v>
      </c>
      <c r="G92" s="165">
        <f t="shared" si="92"/>
        <v>1251</v>
      </c>
      <c r="H92" s="165">
        <f t="shared" si="92"/>
        <v>1210</v>
      </c>
      <c r="I92" s="165">
        <f t="shared" si="92"/>
        <v>1150</v>
      </c>
      <c r="J92" s="165">
        <f t="shared" si="92"/>
        <v>1085</v>
      </c>
      <c r="K92" s="165">
        <f t="shared" si="92"/>
        <v>1049</v>
      </c>
      <c r="L92" s="165">
        <f>L12</f>
        <v>1020</v>
      </c>
      <c r="M92" s="165">
        <f>M12</f>
        <v>1036</v>
      </c>
      <c r="N92" s="165">
        <f t="shared" si="80"/>
        <v>1061</v>
      </c>
      <c r="O92" s="165">
        <f t="shared" si="80"/>
        <v>1058</v>
      </c>
      <c r="P92" s="165">
        <f t="shared" ref="P92" si="93">P12</f>
        <v>991</v>
      </c>
      <c r="Q92" s="165">
        <f>Q12</f>
        <v>991</v>
      </c>
      <c r="R92" s="165">
        <f>R12</f>
        <v>981</v>
      </c>
      <c r="S92" s="165">
        <f>S12</f>
        <v>971</v>
      </c>
      <c r="T92" s="165">
        <f>T12</f>
        <v>961</v>
      </c>
      <c r="U92" s="172">
        <f>U12</f>
        <v>951</v>
      </c>
    </row>
    <row r="93" spans="1:29" x14ac:dyDescent="0.2">
      <c r="A93" s="3" t="s">
        <v>165</v>
      </c>
      <c r="B93" s="7"/>
      <c r="C93" s="164">
        <f>C90-C91</f>
        <v>1499</v>
      </c>
      <c r="D93" s="164">
        <f t="shared" ref="D93:K93" si="94">D90-D91</f>
        <v>2138</v>
      </c>
      <c r="E93" s="164">
        <f t="shared" si="94"/>
        <v>2273</v>
      </c>
      <c r="F93" s="164">
        <f t="shared" si="94"/>
        <v>2082</v>
      </c>
      <c r="G93" s="164">
        <f t="shared" si="94"/>
        <v>1425</v>
      </c>
      <c r="H93" s="164">
        <f t="shared" si="94"/>
        <v>1454</v>
      </c>
      <c r="I93" s="164">
        <f t="shared" si="94"/>
        <v>1919</v>
      </c>
      <c r="J93" s="164">
        <f t="shared" si="94"/>
        <v>2386</v>
      </c>
      <c r="K93" s="164">
        <f t="shared" si="94"/>
        <v>2666</v>
      </c>
      <c r="L93" s="164">
        <f>L90-L91</f>
        <v>2766</v>
      </c>
      <c r="M93" s="164">
        <f>M90-M91</f>
        <v>2887</v>
      </c>
      <c r="N93" s="164">
        <f t="shared" si="80"/>
        <v>2327</v>
      </c>
      <c r="O93" s="164">
        <f t="shared" si="80"/>
        <v>1850.75</v>
      </c>
      <c r="P93" s="164">
        <f t="shared" ref="P93" si="95">P13</f>
        <v>2056</v>
      </c>
      <c r="Q93" s="164">
        <f>Q90-Q91+'yrP&amp;L'!AI11</f>
        <v>1373.6584881818562</v>
      </c>
      <c r="R93" s="164">
        <f>R90-R91+'yrP&amp;L'!AJ11</f>
        <v>994.45052118931017</v>
      </c>
      <c r="S93" s="164">
        <f>S90-S91+'yrP&amp;L'!AK11</f>
        <v>654.34661351616523</v>
      </c>
      <c r="T93" s="164">
        <f>T90-T91+'yrP&amp;L'!AL11</f>
        <v>395.67942863351982</v>
      </c>
      <c r="U93" s="164">
        <f>U90-U91+'yrP&amp;L'!AM11</f>
        <v>160.04462474192951</v>
      </c>
    </row>
    <row r="94" spans="1:29" outlineLevel="1" x14ac:dyDescent="0.2">
      <c r="A94" s="2"/>
      <c r="B94" s="7"/>
      <c r="C94" s="165"/>
      <c r="D94" s="165"/>
      <c r="E94" s="165"/>
      <c r="F94" s="165"/>
      <c r="G94" s="165"/>
      <c r="H94" s="165"/>
      <c r="I94" s="165"/>
      <c r="J94" s="165"/>
      <c r="K94" s="165"/>
      <c r="L94" s="165"/>
      <c r="M94" s="165"/>
      <c r="N94" s="7"/>
      <c r="O94" s="7"/>
      <c r="P94" s="7"/>
      <c r="Q94" s="7"/>
      <c r="R94" s="7"/>
      <c r="S94" s="7"/>
      <c r="T94" s="7"/>
      <c r="U94" s="12"/>
    </row>
    <row r="95" spans="1:29" outlineLevel="1" x14ac:dyDescent="0.2">
      <c r="A95" s="2" t="s">
        <v>544</v>
      </c>
      <c r="B95" s="7"/>
      <c r="C95" s="165">
        <f>C15</f>
        <v>225</v>
      </c>
      <c r="D95" s="165">
        <f t="shared" ref="D95:K95" si="96">D15</f>
        <v>397</v>
      </c>
      <c r="E95" s="165">
        <f t="shared" si="96"/>
        <v>461</v>
      </c>
      <c r="F95" s="165">
        <f t="shared" si="96"/>
        <v>543</v>
      </c>
      <c r="G95" s="165">
        <f t="shared" si="96"/>
        <v>560</v>
      </c>
      <c r="H95" s="165">
        <f t="shared" si="96"/>
        <v>556</v>
      </c>
      <c r="I95" s="165">
        <f t="shared" si="96"/>
        <v>574</v>
      </c>
      <c r="J95" s="165">
        <f t="shared" si="96"/>
        <v>443</v>
      </c>
      <c r="K95" s="165">
        <f t="shared" si="96"/>
        <v>422</v>
      </c>
      <c r="L95" s="165">
        <f>L15</f>
        <v>388</v>
      </c>
      <c r="M95" s="165">
        <f>M15</f>
        <v>393</v>
      </c>
      <c r="N95" s="165">
        <f t="shared" si="80"/>
        <v>361</v>
      </c>
      <c r="O95" s="165">
        <f t="shared" si="80"/>
        <v>363</v>
      </c>
      <c r="P95" s="165">
        <f t="shared" ref="P95" si="97">P15</f>
        <v>310</v>
      </c>
      <c r="Q95" s="165">
        <f>Q15</f>
        <v>255</v>
      </c>
      <c r="R95" s="165">
        <f>R15</f>
        <v>243</v>
      </c>
      <c r="S95" s="165">
        <f>S15</f>
        <v>231</v>
      </c>
      <c r="T95" s="165">
        <f>T15</f>
        <v>219</v>
      </c>
      <c r="U95" s="172">
        <f>U15</f>
        <v>207</v>
      </c>
    </row>
    <row r="96" spans="1:29" outlineLevel="1" x14ac:dyDescent="0.2">
      <c r="A96" s="3" t="s">
        <v>166</v>
      </c>
      <c r="B96" s="7"/>
      <c r="C96" s="164">
        <f>C93-C95</f>
        <v>1274</v>
      </c>
      <c r="D96" s="164">
        <f t="shared" ref="D96:K96" si="98">D93-D95</f>
        <v>1741</v>
      </c>
      <c r="E96" s="164">
        <f t="shared" si="98"/>
        <v>1812</v>
      </c>
      <c r="F96" s="164">
        <f t="shared" si="98"/>
        <v>1539</v>
      </c>
      <c r="G96" s="164">
        <f t="shared" si="98"/>
        <v>865</v>
      </c>
      <c r="H96" s="164">
        <f t="shared" si="98"/>
        <v>898</v>
      </c>
      <c r="I96" s="164">
        <f t="shared" si="98"/>
        <v>1345</v>
      </c>
      <c r="J96" s="164">
        <f t="shared" si="98"/>
        <v>1943</v>
      </c>
      <c r="K96" s="164">
        <f t="shared" si="98"/>
        <v>2244</v>
      </c>
      <c r="L96" s="164">
        <f t="shared" ref="L96:Q96" si="99">L93-L95</f>
        <v>2378</v>
      </c>
      <c r="M96" s="164">
        <f t="shared" si="99"/>
        <v>2494</v>
      </c>
      <c r="N96" s="164">
        <f t="shared" si="80"/>
        <v>1966</v>
      </c>
      <c r="O96" s="164">
        <f t="shared" si="80"/>
        <v>1542.75</v>
      </c>
      <c r="P96" s="164">
        <f t="shared" ref="P96" si="100">P16</f>
        <v>1803</v>
      </c>
      <c r="Q96" s="164">
        <f t="shared" si="99"/>
        <v>1118.6584881818562</v>
      </c>
      <c r="R96" s="164">
        <f>R93-R95</f>
        <v>751.45052118931017</v>
      </c>
      <c r="S96" s="164">
        <f>S93-S95</f>
        <v>423.34661351616523</v>
      </c>
      <c r="T96" s="164">
        <f>T93-T95</f>
        <v>176.67942863351982</v>
      </c>
      <c r="U96" s="1428">
        <f>U93-U95</f>
        <v>-46.95537525807049</v>
      </c>
    </row>
    <row r="97" spans="1:23" outlineLevel="1" x14ac:dyDescent="0.2">
      <c r="A97" s="2"/>
      <c r="B97" s="7"/>
      <c r="C97" s="165"/>
      <c r="D97" s="165"/>
      <c r="E97" s="165"/>
      <c r="F97" s="165"/>
      <c r="G97" s="165"/>
      <c r="H97" s="165"/>
      <c r="I97" s="165"/>
      <c r="J97" s="165"/>
      <c r="K97" s="165"/>
      <c r="L97" s="165"/>
      <c r="M97" s="165"/>
      <c r="N97" s="7"/>
      <c r="O97" s="7"/>
      <c r="P97" s="7"/>
      <c r="Q97" s="7"/>
      <c r="R97" s="7"/>
      <c r="S97" s="7"/>
      <c r="T97" s="7"/>
      <c r="U97" s="12"/>
    </row>
    <row r="98" spans="1:23" x14ac:dyDescent="0.2">
      <c r="A98" s="2" t="s">
        <v>167</v>
      </c>
      <c r="B98" s="7"/>
      <c r="C98" s="165">
        <f>C18</f>
        <v>427</v>
      </c>
      <c r="D98" s="165">
        <f t="shared" ref="D98:K98" si="101">D18</f>
        <v>765.40858992805761</v>
      </c>
      <c r="E98" s="165">
        <f t="shared" si="101"/>
        <v>511.75</v>
      </c>
      <c r="F98" s="165">
        <f t="shared" si="101"/>
        <v>489</v>
      </c>
      <c r="G98" s="165">
        <f t="shared" si="101"/>
        <v>320.04999999999995</v>
      </c>
      <c r="H98" s="165">
        <f t="shared" si="101"/>
        <v>322.38199999999995</v>
      </c>
      <c r="I98" s="165">
        <f t="shared" si="101"/>
        <v>473.04089219330854</v>
      </c>
      <c r="J98" s="165">
        <f t="shared" si="101"/>
        <v>703.36599999999999</v>
      </c>
      <c r="K98" s="165">
        <f t="shared" si="101"/>
        <v>817</v>
      </c>
      <c r="L98" s="165">
        <f>L18</f>
        <v>837.44</v>
      </c>
      <c r="M98" s="165">
        <f>M18</f>
        <v>903.52</v>
      </c>
      <c r="N98" s="165">
        <f t="shared" si="80"/>
        <v>712.13</v>
      </c>
      <c r="O98" s="165">
        <f t="shared" si="80"/>
        <v>565.45900000000006</v>
      </c>
      <c r="P98" s="165">
        <f t="shared" ref="P98" si="102">P18</f>
        <v>640.59999999999991</v>
      </c>
      <c r="Q98" s="165">
        <f t="shared" ref="Q98:U98" si="103">Q96*Q112</f>
        <v>260.08809850228135</v>
      </c>
      <c r="R98" s="165">
        <f t="shared" si="103"/>
        <v>174.71224617651447</v>
      </c>
      <c r="S98" s="165">
        <f t="shared" si="103"/>
        <v>98.428087642508345</v>
      </c>
      <c r="T98" s="165">
        <f t="shared" si="103"/>
        <v>41.077967157293322</v>
      </c>
      <c r="U98" s="172">
        <f t="shared" si="103"/>
        <v>-10.917124747501379</v>
      </c>
    </row>
    <row r="99" spans="1:23" outlineLevel="1" x14ac:dyDescent="0.2">
      <c r="A99" s="2"/>
      <c r="B99" s="7"/>
      <c r="C99" s="165"/>
      <c r="D99" s="165"/>
      <c r="E99" s="165"/>
      <c r="F99" s="165"/>
      <c r="G99" s="165"/>
      <c r="H99" s="165"/>
      <c r="I99" s="165"/>
      <c r="J99" s="181"/>
      <c r="K99" s="181"/>
      <c r="L99" s="181"/>
      <c r="M99" s="181"/>
      <c r="N99" s="7"/>
      <c r="O99" s="7"/>
      <c r="P99" s="7"/>
      <c r="Q99" s="181"/>
      <c r="R99" s="181"/>
      <c r="S99" s="181"/>
      <c r="T99" s="181"/>
      <c r="U99" s="1160"/>
    </row>
    <row r="100" spans="1:23" outlineLevel="1" x14ac:dyDescent="0.2">
      <c r="A100" s="2"/>
      <c r="B100" s="7"/>
      <c r="C100" s="165"/>
      <c r="D100" s="165"/>
      <c r="E100" s="165"/>
      <c r="F100" s="165"/>
      <c r="G100" s="165"/>
      <c r="H100" s="165"/>
      <c r="I100" s="165"/>
      <c r="J100" s="165"/>
      <c r="K100" s="165"/>
      <c r="L100" s="165"/>
      <c r="M100" s="165"/>
      <c r="N100" s="7"/>
      <c r="O100" s="7"/>
      <c r="P100" s="7"/>
      <c r="Q100" s="7"/>
      <c r="R100" s="7"/>
      <c r="S100" s="7"/>
      <c r="T100" s="7"/>
      <c r="U100" s="12"/>
    </row>
    <row r="101" spans="1:23" outlineLevel="1" x14ac:dyDescent="0.2">
      <c r="A101" s="2" t="s">
        <v>168</v>
      </c>
      <c r="B101" s="7"/>
      <c r="C101" s="164">
        <f>C96*(1-C112)</f>
        <v>786.05799999999999</v>
      </c>
      <c r="D101" s="164">
        <f>D96*(1-D112)</f>
        <v>1089.866</v>
      </c>
      <c r="E101" s="164">
        <f>E96*(1-E112)</f>
        <v>1137.9359999999999</v>
      </c>
      <c r="F101" s="164">
        <f>F96*(1-F112)</f>
        <v>961.875</v>
      </c>
      <c r="G101" s="164">
        <f>G96*(1-G112)</f>
        <v>544.95000000000005</v>
      </c>
      <c r="H101" s="164">
        <f>H96-H98</f>
        <v>575.61800000000005</v>
      </c>
      <c r="I101" s="164">
        <f>I96-I98+16</f>
        <v>887.95910780669146</v>
      </c>
      <c r="J101" s="164">
        <f>J96-J98</f>
        <v>1239.634</v>
      </c>
      <c r="K101" s="164">
        <f>K96-K98</f>
        <v>1427</v>
      </c>
      <c r="L101" s="164">
        <f>L96-L98</f>
        <v>1540.56</v>
      </c>
      <c r="M101" s="164">
        <f>M96-M98</f>
        <v>1590.48</v>
      </c>
      <c r="N101" s="164">
        <f t="shared" si="80"/>
        <v>1253.8699999999999</v>
      </c>
      <c r="O101" s="164">
        <f t="shared" si="80"/>
        <v>977.29099999999994</v>
      </c>
      <c r="P101" s="164">
        <f t="shared" ref="P101" si="104">P21</f>
        <v>1162.4000000000001</v>
      </c>
      <c r="Q101" s="164">
        <f t="shared" ref="Q101:U101" si="105">Q96-Q98</f>
        <v>858.57038967957487</v>
      </c>
      <c r="R101" s="164">
        <f t="shared" si="105"/>
        <v>576.73827501279573</v>
      </c>
      <c r="S101" s="164">
        <f t="shared" si="105"/>
        <v>324.9185258736569</v>
      </c>
      <c r="T101" s="164">
        <f t="shared" si="105"/>
        <v>135.60146147622649</v>
      </c>
      <c r="U101" s="1428">
        <f t="shared" si="105"/>
        <v>-36.038250510569114</v>
      </c>
    </row>
    <row r="102" spans="1:23" outlineLevel="1" x14ac:dyDescent="0.2">
      <c r="A102" s="2"/>
      <c r="B102" s="7"/>
      <c r="C102" s="7"/>
      <c r="D102" s="7"/>
      <c r="E102" s="7"/>
      <c r="F102" s="7"/>
      <c r="G102" s="7"/>
      <c r="H102" s="7"/>
      <c r="I102" s="7"/>
      <c r="J102" s="7"/>
      <c r="K102" s="7"/>
      <c r="L102" s="7"/>
      <c r="M102" s="7"/>
      <c r="N102" s="7"/>
      <c r="O102" s="7"/>
      <c r="P102" s="7"/>
      <c r="Q102" s="7"/>
      <c r="R102" s="7"/>
      <c r="S102" s="7"/>
      <c r="T102" s="7"/>
      <c r="U102" s="12"/>
    </row>
    <row r="103" spans="1:23" x14ac:dyDescent="0.2">
      <c r="A103" s="11" t="s">
        <v>172</v>
      </c>
      <c r="B103" s="11"/>
      <c r="C103" s="158">
        <f t="shared" ref="C103:J103" si="106">C101/C104</f>
        <v>2.2055499438832773</v>
      </c>
      <c r="D103" s="158">
        <f t="shared" si="106"/>
        <v>2.5077450529222274</v>
      </c>
      <c r="E103" s="158">
        <f t="shared" si="106"/>
        <v>2.0776629541719918</v>
      </c>
      <c r="F103" s="158">
        <f t="shared" si="106"/>
        <v>2.1292197011621474</v>
      </c>
      <c r="G103" s="158">
        <f t="shared" si="106"/>
        <v>1.2931126534970636</v>
      </c>
      <c r="H103" s="158">
        <f t="shared" si="106"/>
        <v>1.3628933349118031</v>
      </c>
      <c r="I103" s="158">
        <f t="shared" si="106"/>
        <v>2.0693523836091621</v>
      </c>
      <c r="J103" s="158">
        <f t="shared" si="106"/>
        <v>2.8801905204460967</v>
      </c>
      <c r="K103" s="158">
        <f t="shared" ref="K103:T103" si="107">K101/K104</f>
        <v>3.4619116933527416</v>
      </c>
      <c r="L103" s="158">
        <f t="shared" si="107"/>
        <v>4.0035343035343036</v>
      </c>
      <c r="M103" s="158">
        <f t="shared" si="107"/>
        <v>4.3978432185815022</v>
      </c>
      <c r="N103" s="158">
        <f t="shared" si="107"/>
        <v>3.7653753753753749</v>
      </c>
      <c r="O103" s="158">
        <f t="shared" si="107"/>
        <v>3.1444369369369367</v>
      </c>
      <c r="P103" s="158">
        <f t="shared" si="107"/>
        <v>3.7850862911103875</v>
      </c>
      <c r="Q103" s="158">
        <f>Q101/Q104</f>
        <v>2.773832128841208</v>
      </c>
      <c r="R103" s="158">
        <f t="shared" si="107"/>
        <v>1.8573006199590878</v>
      </c>
      <c r="S103" s="158">
        <f t="shared" si="107"/>
        <v>1.0429934222731945</v>
      </c>
      <c r="T103" s="158">
        <f t="shared" si="107"/>
        <v>0.43388996552668269</v>
      </c>
      <c r="U103" s="1426">
        <f t="shared" ref="U103" si="108">U101/U104</f>
        <v>-0.11494538078484687</v>
      </c>
      <c r="W103" s="183">
        <f>P103*9</f>
        <v>34.065776619993485</v>
      </c>
    </row>
    <row r="104" spans="1:23" x14ac:dyDescent="0.2">
      <c r="A104" s="2" t="s">
        <v>170</v>
      </c>
      <c r="B104" s="7"/>
      <c r="C104" s="165">
        <f>C63</f>
        <v>356.4</v>
      </c>
      <c r="D104" s="165">
        <f t="shared" ref="D104:K104" si="109">D63</f>
        <v>434.6</v>
      </c>
      <c r="E104" s="165">
        <f t="shared" si="109"/>
        <v>547.70000000000005</v>
      </c>
      <c r="F104" s="165">
        <f t="shared" si="109"/>
        <v>451.75</v>
      </c>
      <c r="G104" s="165">
        <f t="shared" si="109"/>
        <v>421.42500000000001</v>
      </c>
      <c r="H104" s="165">
        <f t="shared" si="109"/>
        <v>422.35</v>
      </c>
      <c r="I104" s="165">
        <f t="shared" si="109"/>
        <v>429.1</v>
      </c>
      <c r="J104" s="165">
        <f t="shared" si="109"/>
        <v>430.4</v>
      </c>
      <c r="K104" s="165">
        <f t="shared" si="109"/>
        <v>412.2</v>
      </c>
      <c r="L104" s="165">
        <f>L63</f>
        <v>384.8</v>
      </c>
      <c r="M104" s="165">
        <f>M63</f>
        <v>361.65</v>
      </c>
      <c r="N104" s="165">
        <f>N24</f>
        <v>333</v>
      </c>
      <c r="O104" s="165">
        <f>O24</f>
        <v>310.8</v>
      </c>
      <c r="P104" s="165">
        <f>P24</f>
        <v>307.10000000000002</v>
      </c>
      <c r="Q104" s="168">
        <f t="shared" ref="Q104:U104" si="110">Q63+2</f>
        <v>309.52499999999998</v>
      </c>
      <c r="R104" s="168">
        <f t="shared" si="110"/>
        <v>310.52499999999998</v>
      </c>
      <c r="S104" s="168">
        <f t="shared" si="110"/>
        <v>311.52499999999998</v>
      </c>
      <c r="T104" s="168">
        <f t="shared" si="110"/>
        <v>312.52499999999998</v>
      </c>
      <c r="U104" s="168">
        <f t="shared" si="110"/>
        <v>313.52499999999998</v>
      </c>
      <c r="W104" s="183"/>
    </row>
    <row r="105" spans="1:23" hidden="1" outlineLevel="1" x14ac:dyDescent="0.2">
      <c r="A105" s="2"/>
      <c r="B105" s="7"/>
      <c r="C105" s="7"/>
      <c r="D105" s="7"/>
      <c r="E105" s="7"/>
      <c r="F105" s="7"/>
      <c r="G105" s="7"/>
      <c r="H105" s="7"/>
      <c r="I105" s="7"/>
      <c r="J105" s="7"/>
      <c r="K105" s="7"/>
      <c r="L105" s="7"/>
      <c r="M105" s="7"/>
      <c r="N105" s="7"/>
      <c r="O105" s="7"/>
      <c r="P105" s="7"/>
      <c r="Q105" s="7"/>
      <c r="R105" s="7"/>
      <c r="S105" s="7"/>
      <c r="T105" s="7"/>
      <c r="U105" s="12"/>
    </row>
    <row r="106" spans="1:23" hidden="1" outlineLevel="1" x14ac:dyDescent="0.2">
      <c r="A106" s="2" t="s">
        <v>174</v>
      </c>
      <c r="B106" s="7"/>
      <c r="C106" s="164">
        <f>C92+C93</f>
        <v>2242</v>
      </c>
      <c r="D106" s="164">
        <f t="shared" ref="D106:P106" si="111">D92+D93</f>
        <v>3096</v>
      </c>
      <c r="E106" s="164">
        <f t="shared" si="111"/>
        <v>3489</v>
      </c>
      <c r="F106" s="164">
        <f t="shared" si="111"/>
        <v>3355</v>
      </c>
      <c r="G106" s="164">
        <f t="shared" si="111"/>
        <v>2676</v>
      </c>
      <c r="H106" s="164">
        <f t="shared" si="111"/>
        <v>2664</v>
      </c>
      <c r="I106" s="164">
        <f t="shared" si="111"/>
        <v>3069</v>
      </c>
      <c r="J106" s="164">
        <f t="shared" si="111"/>
        <v>3471</v>
      </c>
      <c r="K106" s="164">
        <f t="shared" si="111"/>
        <v>3715</v>
      </c>
      <c r="L106" s="164">
        <f>L92+L93</f>
        <v>3786</v>
      </c>
      <c r="M106" s="164">
        <f>M92+M93</f>
        <v>3923</v>
      </c>
      <c r="N106" s="164">
        <f t="shared" si="111"/>
        <v>3388</v>
      </c>
      <c r="O106" s="164">
        <f>O92+O93</f>
        <v>2908.75</v>
      </c>
      <c r="P106" s="164">
        <f t="shared" si="111"/>
        <v>3047</v>
      </c>
      <c r="Q106" s="164">
        <f>Q92+Q93</f>
        <v>2364.6584881818562</v>
      </c>
      <c r="R106" s="164">
        <f>R92+R93</f>
        <v>1975.4505211893102</v>
      </c>
      <c r="S106" s="164">
        <f>S92+S93</f>
        <v>1625.3466135161652</v>
      </c>
      <c r="T106" s="164">
        <f>T92+T93</f>
        <v>1356.6794286335198</v>
      </c>
      <c r="U106" s="1428">
        <f>U92+U93</f>
        <v>1111.0446247419295</v>
      </c>
    </row>
    <row r="107" spans="1:23" collapsed="1" x14ac:dyDescent="0.2">
      <c r="A107" s="2"/>
      <c r="B107" s="7"/>
      <c r="C107" s="7"/>
      <c r="D107" s="7"/>
      <c r="E107" s="7"/>
      <c r="F107" s="7"/>
      <c r="G107" s="7"/>
      <c r="H107" s="7"/>
      <c r="I107" s="7"/>
      <c r="J107" s="7"/>
      <c r="K107" s="7"/>
      <c r="L107" s="7"/>
      <c r="M107" s="7"/>
      <c r="N107" s="181"/>
      <c r="O107" s="181"/>
      <c r="P107" s="181">
        <f t="shared" ref="P107:U107" si="112">P91/O91-1</f>
        <v>-7.0649020528831596E-2</v>
      </c>
      <c r="Q107" s="181">
        <f t="shared" si="112"/>
        <v>5.9208014374395823E-2</v>
      </c>
      <c r="R107" s="181">
        <f t="shared" si="112"/>
        <v>-1.8077372140787529E-2</v>
      </c>
      <c r="S107" s="181">
        <f t="shared" si="112"/>
        <v>-1.4413648694451608E-2</v>
      </c>
      <c r="T107" s="181">
        <f t="shared" si="112"/>
        <v>-1.9850972847847204E-2</v>
      </c>
      <c r="U107" s="1160">
        <f t="shared" si="112"/>
        <v>-1.982014036928792E-2</v>
      </c>
      <c r="W107" s="183"/>
    </row>
    <row r="108" spans="1:23" x14ac:dyDescent="0.2">
      <c r="A108" s="4" t="s">
        <v>175</v>
      </c>
      <c r="B108" s="7"/>
      <c r="C108" s="7"/>
      <c r="D108" s="7"/>
      <c r="E108" s="7"/>
      <c r="F108" s="7"/>
      <c r="G108" s="7"/>
      <c r="H108" s="7"/>
      <c r="I108" s="7"/>
      <c r="J108" s="7"/>
      <c r="K108" s="7"/>
      <c r="L108" s="7"/>
      <c r="M108" s="7"/>
      <c r="N108" s="7"/>
      <c r="O108" s="7"/>
      <c r="P108" s="7"/>
      <c r="Q108" s="7"/>
      <c r="R108" s="7"/>
      <c r="S108" s="7"/>
      <c r="T108" s="7"/>
      <c r="U108" s="12"/>
    </row>
    <row r="109" spans="1:23" x14ac:dyDescent="0.2">
      <c r="A109" s="2" t="s">
        <v>176</v>
      </c>
      <c r="B109" s="7"/>
      <c r="C109" s="6">
        <f>C90/C86</f>
        <v>0.40758113590263689</v>
      </c>
      <c r="D109" s="6">
        <f t="shared" ref="D109:J109" si="113">D90/D86</f>
        <v>0.4072353729343457</v>
      </c>
      <c r="E109" s="6">
        <f t="shared" si="113"/>
        <v>0.40604375231738971</v>
      </c>
      <c r="F109" s="6">
        <f t="shared" si="113"/>
        <v>0.40421084634971305</v>
      </c>
      <c r="G109" s="6">
        <f t="shared" si="113"/>
        <v>0.39703519202956772</v>
      </c>
      <c r="H109" s="6">
        <f t="shared" si="113"/>
        <v>0.40246913580246912</v>
      </c>
      <c r="I109" s="6">
        <f t="shared" si="113"/>
        <v>0.4071111466624005</v>
      </c>
      <c r="J109" s="6">
        <f t="shared" si="113"/>
        <v>0.4039765195985609</v>
      </c>
      <c r="K109" s="6">
        <f>K90/K86</f>
        <v>0.40265838329841797</v>
      </c>
      <c r="L109" s="6">
        <f>L90/L86</f>
        <v>0.40120296444810427</v>
      </c>
      <c r="M109" s="6">
        <f>M90/M86</f>
        <v>0.4</v>
      </c>
      <c r="N109" s="6">
        <f t="shared" ref="N109:P109" si="114">N90/N86</f>
        <v>0.39081945418959341</v>
      </c>
      <c r="O109" s="6">
        <f t="shared" si="114"/>
        <v>0.38556801927275464</v>
      </c>
      <c r="P109" s="6">
        <f t="shared" si="114"/>
        <v>0.38066830428510157</v>
      </c>
      <c r="Q109" s="167">
        <f>Q29-0.005</f>
        <v>0.38647336535036769</v>
      </c>
      <c r="R109" s="167">
        <f>R29-0.0072</f>
        <v>0.37997336535036774</v>
      </c>
      <c r="S109" s="167">
        <f>S29-0.008</f>
        <v>0.37553336535036763</v>
      </c>
      <c r="T109" s="167">
        <f>T29-0.008</f>
        <v>0.37139336535036771</v>
      </c>
      <c r="U109" s="1429">
        <f>U29-0.008</f>
        <v>0.36759336535036768</v>
      </c>
    </row>
    <row r="110" spans="1:23" x14ac:dyDescent="0.2">
      <c r="A110" s="2" t="s">
        <v>177</v>
      </c>
      <c r="B110" s="7"/>
      <c r="C110" s="6">
        <f>C91/C86</f>
        <v>0.31256338742393508</v>
      </c>
      <c r="D110" s="6">
        <f t="shared" ref="D110:J110" si="115">D91/D86</f>
        <v>0.311746315319339</v>
      </c>
      <c r="E110" s="6">
        <f t="shared" si="115"/>
        <v>0.32176492398961809</v>
      </c>
      <c r="F110" s="6">
        <f t="shared" si="115"/>
        <v>0.32508645916467144</v>
      </c>
      <c r="G110" s="6">
        <f t="shared" si="115"/>
        <v>0.33978788365739998</v>
      </c>
      <c r="H110" s="6">
        <f t="shared" si="115"/>
        <v>0.34161958568738232</v>
      </c>
      <c r="I110" s="6">
        <f t="shared" si="115"/>
        <v>0.33036035675718911</v>
      </c>
      <c r="J110" s="6">
        <f t="shared" si="115"/>
        <v>0.31361484567316794</v>
      </c>
      <c r="K110" s="6">
        <f>K91/K86</f>
        <v>0.30636422740735392</v>
      </c>
      <c r="L110" s="6">
        <f>L91/L86</f>
        <v>0.30217321255952168</v>
      </c>
      <c r="M110" s="6">
        <f>M91/M86</f>
        <v>0.29727806440135207</v>
      </c>
      <c r="N110" s="6">
        <f t="shared" ref="N110:P110" si="116">N91/N86</f>
        <v>0.3048857047896894</v>
      </c>
      <c r="O110" s="6">
        <f t="shared" si="116"/>
        <v>0.34059512158397953</v>
      </c>
      <c r="P110" s="6">
        <f t="shared" si="116"/>
        <v>0.32787460521698442</v>
      </c>
      <c r="Q110" s="167">
        <f>Q30+0.006</f>
        <v>0.35765578766783268</v>
      </c>
      <c r="R110" s="167">
        <f>R30+0.005</f>
        <v>0.36601831712593302</v>
      </c>
      <c r="S110" s="167">
        <f>S30+0.005</f>
        <v>0.37604174792156403</v>
      </c>
      <c r="T110" s="167">
        <f>T30+0.005</f>
        <v>0.38390377027673589</v>
      </c>
      <c r="U110" s="1429">
        <f>U30+0.005</f>
        <v>0.39201767772557089</v>
      </c>
    </row>
    <row r="111" spans="1:23" x14ac:dyDescent="0.2">
      <c r="A111" s="2" t="s">
        <v>178</v>
      </c>
      <c r="B111" s="7"/>
      <c r="C111" s="6">
        <f t="shared" ref="C111:K111" si="117">C93/C86</f>
        <v>9.5017748478701827E-2</v>
      </c>
      <c r="D111" s="6">
        <f t="shared" si="117"/>
        <v>9.5489057615006701E-2</v>
      </c>
      <c r="E111" s="6">
        <f t="shared" si="117"/>
        <v>8.4278828327771602E-2</v>
      </c>
      <c r="F111" s="6">
        <f t="shared" si="117"/>
        <v>7.9124387185041611E-2</v>
      </c>
      <c r="G111" s="6">
        <f t="shared" si="117"/>
        <v>5.7247308372167766E-2</v>
      </c>
      <c r="H111" s="6">
        <f t="shared" si="117"/>
        <v>6.0849550115086838E-2</v>
      </c>
      <c r="I111" s="6">
        <f t="shared" si="117"/>
        <v>7.6750789905211378E-2</v>
      </c>
      <c r="J111" s="6">
        <f t="shared" si="117"/>
        <v>9.0361673925392919E-2</v>
      </c>
      <c r="K111" s="6">
        <f t="shared" si="117"/>
        <v>9.6294155891064076E-2</v>
      </c>
      <c r="L111" s="6">
        <f>L93/L86</f>
        <v>9.9029751888582582E-2</v>
      </c>
      <c r="M111" s="6">
        <f>M93/M86</f>
        <v>0.10272193559864792</v>
      </c>
      <c r="N111" s="6">
        <f t="shared" ref="N111:P111" si="118">N93/N86</f>
        <v>8.5933749399903989E-2</v>
      </c>
      <c r="O111" s="6">
        <f t="shared" si="118"/>
        <v>6.9666114582549121E-2</v>
      </c>
      <c r="P111" s="6">
        <f t="shared" si="118"/>
        <v>8.0165321480095142E-2</v>
      </c>
      <c r="Q111" s="6">
        <f>Q93/Q86</f>
        <v>5.5159258678514018E-2</v>
      </c>
      <c r="R111" s="6">
        <f>R93/R86</f>
        <v>4.1618183502950108E-2</v>
      </c>
      <c r="S111" s="6">
        <f>S93/S86</f>
        <v>2.8546072362265532E-2</v>
      </c>
      <c r="T111" s="6">
        <f>T93/T86</f>
        <v>1.7979440652294041E-2</v>
      </c>
      <c r="U111" s="177">
        <f>U93/U86</f>
        <v>7.5761976638267624E-3</v>
      </c>
    </row>
    <row r="112" spans="1:23" x14ac:dyDescent="0.2">
      <c r="A112" s="2" t="s">
        <v>180</v>
      </c>
      <c r="B112" s="7"/>
      <c r="C112" s="6">
        <v>0.38300000000000001</v>
      </c>
      <c r="D112" s="6">
        <v>0.374</v>
      </c>
      <c r="E112" s="6">
        <v>0.372</v>
      </c>
      <c r="F112" s="6">
        <v>0.375</v>
      </c>
      <c r="G112" s="6">
        <v>0.37</v>
      </c>
      <c r="H112" s="6">
        <f t="shared" ref="H112:M112" si="119">H98/H96</f>
        <v>0.35899999999999993</v>
      </c>
      <c r="I112" s="6">
        <f t="shared" si="119"/>
        <v>0.3517032655712331</v>
      </c>
      <c r="J112" s="6">
        <f t="shared" si="119"/>
        <v>0.36199999999999999</v>
      </c>
      <c r="K112" s="6">
        <f t="shared" si="119"/>
        <v>0.3640819964349376</v>
      </c>
      <c r="L112" s="6">
        <f t="shared" si="119"/>
        <v>0.35216148023549204</v>
      </c>
      <c r="M112" s="6">
        <f t="shared" si="119"/>
        <v>0.3622774659182037</v>
      </c>
      <c r="N112" s="6">
        <f t="shared" ref="N112:P112" si="120">N98/N96</f>
        <v>0.36222278738555441</v>
      </c>
      <c r="O112" s="6">
        <f t="shared" si="120"/>
        <v>0.36652665694376929</v>
      </c>
      <c r="P112" s="6">
        <f t="shared" si="120"/>
        <v>0.35529672767609533</v>
      </c>
      <c r="Q112" s="167">
        <f t="shared" ref="Q112:T112" si="121">Q32</f>
        <v>0.23249999999999979</v>
      </c>
      <c r="R112" s="167">
        <f t="shared" si="121"/>
        <v>0.23249999999999979</v>
      </c>
      <c r="S112" s="167">
        <f t="shared" si="121"/>
        <v>0.23249999999999982</v>
      </c>
      <c r="T112" s="167">
        <f t="shared" si="121"/>
        <v>0.23249999999999979</v>
      </c>
      <c r="U112" s="1429">
        <f t="shared" ref="U112" si="122">U32</f>
        <v>0.23249999999999979</v>
      </c>
    </row>
    <row r="113" spans="1:28" x14ac:dyDescent="0.2">
      <c r="A113" s="2"/>
      <c r="B113" s="7"/>
      <c r="C113" s="7"/>
      <c r="D113" s="7"/>
      <c r="E113" s="7"/>
      <c r="F113" s="7"/>
      <c r="G113" s="7"/>
      <c r="H113" s="7"/>
      <c r="I113" s="7"/>
      <c r="J113" s="7"/>
      <c r="K113" s="7"/>
      <c r="L113" s="7"/>
      <c r="M113" s="7"/>
      <c r="N113" s="7"/>
      <c r="O113" s="7"/>
      <c r="P113" s="7"/>
      <c r="Q113" s="7"/>
      <c r="R113" s="7"/>
      <c r="S113" s="7"/>
      <c r="T113" s="7"/>
      <c r="U113" s="12"/>
    </row>
    <row r="114" spans="1:28" x14ac:dyDescent="0.2">
      <c r="A114" s="4" t="s">
        <v>183</v>
      </c>
      <c r="B114" s="7"/>
      <c r="C114" s="7"/>
      <c r="D114" s="7"/>
      <c r="E114" s="7"/>
      <c r="F114" s="7"/>
      <c r="G114" s="7"/>
      <c r="H114" s="7"/>
      <c r="I114" s="7"/>
      <c r="J114" s="7"/>
      <c r="K114" s="7"/>
      <c r="L114" s="7"/>
      <c r="M114" s="7"/>
      <c r="N114" s="7"/>
      <c r="O114" s="7"/>
      <c r="P114" s="7"/>
      <c r="Q114" s="7"/>
      <c r="R114" s="7"/>
      <c r="S114" s="7"/>
      <c r="T114" s="7"/>
      <c r="U114" s="12"/>
    </row>
    <row r="115" spans="1:28" x14ac:dyDescent="0.2">
      <c r="A115" s="2" t="s">
        <v>89</v>
      </c>
      <c r="B115" s="7"/>
      <c r="C115" s="5" t="s">
        <v>86</v>
      </c>
      <c r="D115" s="169">
        <f>((D86/C86)-1)</f>
        <v>0.41924442190669375</v>
      </c>
      <c r="E115" s="169">
        <f t="shared" ref="E115:M115" si="123">((E86/D86)-1)</f>
        <v>0.20455560518088434</v>
      </c>
      <c r="F115" s="169">
        <f t="shared" si="123"/>
        <v>-2.4360400444938812E-2</v>
      </c>
      <c r="G115" s="169">
        <f t="shared" si="123"/>
        <v>-5.4003724394785846E-2</v>
      </c>
      <c r="H115" s="169">
        <f t="shared" si="123"/>
        <v>-4.0053029085650005E-2</v>
      </c>
      <c r="I115" s="169">
        <f t="shared" si="123"/>
        <v>4.6369533375183014E-2</v>
      </c>
      <c r="J115" s="169">
        <f t="shared" si="123"/>
        <v>5.60732712074552E-2</v>
      </c>
      <c r="K115" s="169">
        <f t="shared" si="123"/>
        <v>4.8513539102442715E-2</v>
      </c>
      <c r="L115" s="169">
        <f t="shared" si="123"/>
        <v>8.8492378819620132E-3</v>
      </c>
      <c r="M115" s="169">
        <f t="shared" si="123"/>
        <v>6.229637320539938E-3</v>
      </c>
      <c r="N115" s="169">
        <f t="shared" ref="N115" si="124">((N86/M86)-1)</f>
        <v>-3.6505959793631026E-2</v>
      </c>
      <c r="O115" s="169">
        <f t="shared" ref="O115" si="125">((O86/N86)-1)</f>
        <v>-1.8944569592673322E-2</v>
      </c>
      <c r="P115" s="169">
        <f t="shared" ref="P115" si="126">((P86/O86)-1)</f>
        <v>-3.4593088910637615E-2</v>
      </c>
      <c r="Q115" s="169">
        <f t="shared" ref="Q115:U115" si="127">Q116+Q122</f>
        <v>-2.8989823371154619E-2</v>
      </c>
      <c r="R115" s="169">
        <f t="shared" si="127"/>
        <v>-4.0511650746092295E-2</v>
      </c>
      <c r="S115" s="169">
        <f t="shared" si="127"/>
        <v>-4.0684552497106549E-2</v>
      </c>
      <c r="T115" s="169">
        <f t="shared" si="127"/>
        <v>-3.9923590413742258E-2</v>
      </c>
      <c r="U115" s="1430">
        <f t="shared" si="127"/>
        <v>-4.0107716966339288E-2</v>
      </c>
    </row>
    <row r="116" spans="1:28" x14ac:dyDescent="0.2">
      <c r="A116" s="2" t="s">
        <v>184</v>
      </c>
      <c r="B116" s="7"/>
      <c r="C116" s="6">
        <f>C36</f>
        <v>-0.01</v>
      </c>
      <c r="D116" s="6">
        <f t="shared" ref="D116:J116" si="128">D36</f>
        <v>0.06</v>
      </c>
      <c r="E116" s="6">
        <f t="shared" si="128"/>
        <v>0.04</v>
      </c>
      <c r="F116" s="6">
        <f t="shared" si="128"/>
        <v>0.01</v>
      </c>
      <c r="G116" s="6">
        <f t="shared" si="128"/>
        <v>0.02</v>
      </c>
      <c r="H116" s="6">
        <f t="shared" si="128"/>
        <v>0.06</v>
      </c>
      <c r="I116" s="6">
        <f t="shared" si="128"/>
        <v>4.5999999999999999E-2</v>
      </c>
      <c r="J116" s="6">
        <f t="shared" si="128"/>
        <v>5.2999999999999999E-2</v>
      </c>
      <c r="K116" s="6">
        <f>K36</f>
        <v>3.7000000000000005E-2</v>
      </c>
      <c r="L116" s="6">
        <f>L36</f>
        <v>1.9428806702230499E-2</v>
      </c>
      <c r="M116" s="6">
        <f>M36</f>
        <v>6.9999999999999993E-3</v>
      </c>
      <c r="N116" s="6">
        <f t="shared" ref="N116:P116" si="129">N36</f>
        <v>-3.052572103844307E-2</v>
      </c>
      <c r="O116" s="6">
        <f t="shared" si="129"/>
        <v>-3.5000000000000003E-2</v>
      </c>
      <c r="P116" s="6">
        <f t="shared" si="129"/>
        <v>-3.3000000000000002E-2</v>
      </c>
      <c r="Q116" s="1086">
        <f>Q36-1%</f>
        <v>-6.6597507695092002E-3</v>
      </c>
      <c r="R116" s="167">
        <f>R36-1%</f>
        <v>-0.03</v>
      </c>
      <c r="S116" s="167">
        <f>S36-1%</f>
        <v>-0.03</v>
      </c>
      <c r="T116" s="167">
        <f>T36-1%</f>
        <v>-0.03</v>
      </c>
      <c r="U116" s="1429">
        <f>U36-1%</f>
        <v>-0.03</v>
      </c>
    </row>
    <row r="117" spans="1:28" x14ac:dyDescent="0.2">
      <c r="A117" s="2" t="s">
        <v>164</v>
      </c>
      <c r="B117" s="7"/>
      <c r="C117" s="5" t="s">
        <v>86</v>
      </c>
      <c r="D117" s="169">
        <f t="shared" ref="D117:U117" si="130">((D91/C91)-1)</f>
        <v>0.41553437436625429</v>
      </c>
      <c r="E117" s="169">
        <f t="shared" si="130"/>
        <v>0.24326647564469916</v>
      </c>
      <c r="F117" s="169">
        <f t="shared" si="130"/>
        <v>-1.4289006683567695E-2</v>
      </c>
      <c r="G117" s="169">
        <f t="shared" si="130"/>
        <v>-1.1222819733458067E-2</v>
      </c>
      <c r="H117" s="169">
        <f t="shared" si="130"/>
        <v>-3.4878221801844411E-2</v>
      </c>
      <c r="I117" s="169">
        <f t="shared" si="130"/>
        <v>1.1882886193801401E-2</v>
      </c>
      <c r="J117" s="169">
        <f t="shared" si="130"/>
        <v>2.5423728813558366E-3</v>
      </c>
      <c r="K117" s="169">
        <f t="shared" si="130"/>
        <v>2.4272430865837524E-2</v>
      </c>
      <c r="L117" s="169">
        <f t="shared" si="130"/>
        <v>-4.9516623437868557E-3</v>
      </c>
      <c r="M117" s="169">
        <f t="shared" si="130"/>
        <v>-1.0071090047393372E-2</v>
      </c>
      <c r="N117" s="169">
        <f t="shared" ref="N117" si="131">((N91/M91)-1)</f>
        <v>-1.1849192100538586E-2</v>
      </c>
      <c r="O117" s="169">
        <f t="shared" ref="O117" si="132">((O91/N91)-1)</f>
        <v>9.5960513565891414E-2</v>
      </c>
      <c r="P117" s="169">
        <f t="shared" ref="P117" si="133">((P91/O91)-1)</f>
        <v>-7.0649020528831596E-2</v>
      </c>
      <c r="Q117" s="169">
        <f t="shared" si="130"/>
        <v>5.9208014374395823E-2</v>
      </c>
      <c r="R117" s="169">
        <f t="shared" si="130"/>
        <v>-1.8077372140787529E-2</v>
      </c>
      <c r="S117" s="169">
        <f t="shared" si="130"/>
        <v>-1.4413648694451608E-2</v>
      </c>
      <c r="T117" s="169">
        <f t="shared" si="130"/>
        <v>-1.9850972847847204E-2</v>
      </c>
      <c r="U117" s="1430">
        <f t="shared" si="130"/>
        <v>-1.982014036928792E-2</v>
      </c>
    </row>
    <row r="118" spans="1:28" x14ac:dyDescent="0.2">
      <c r="A118" s="2" t="s">
        <v>165</v>
      </c>
      <c r="B118" s="7"/>
      <c r="C118" s="5" t="s">
        <v>86</v>
      </c>
      <c r="D118" s="169">
        <f t="shared" ref="D118:U118" si="134">((D93/C93)-1)</f>
        <v>0.42628418945963986</v>
      </c>
      <c r="E118" s="169">
        <f t="shared" si="134"/>
        <v>6.3143124415341534E-2</v>
      </c>
      <c r="F118" s="169">
        <f t="shared" si="134"/>
        <v>-8.4029916410030769E-2</v>
      </c>
      <c r="G118" s="169">
        <f t="shared" si="134"/>
        <v>-0.31556195965417866</v>
      </c>
      <c r="H118" s="169">
        <f t="shared" si="134"/>
        <v>2.0350877192982564E-2</v>
      </c>
      <c r="I118" s="169">
        <f t="shared" si="134"/>
        <v>0.31980742778541948</v>
      </c>
      <c r="J118" s="169">
        <f t="shared" si="134"/>
        <v>0.24335591453882222</v>
      </c>
      <c r="K118" s="169">
        <f t="shared" si="134"/>
        <v>0.11735121542330251</v>
      </c>
      <c r="L118" s="169">
        <f t="shared" si="134"/>
        <v>3.7509377344336015E-2</v>
      </c>
      <c r="M118" s="169">
        <f t="shared" si="134"/>
        <v>4.374548083875629E-2</v>
      </c>
      <c r="N118" s="169">
        <f t="shared" ref="N118" si="135">((N93/M93)-1)</f>
        <v>-0.19397298233460336</v>
      </c>
      <c r="O118" s="169">
        <f t="shared" ref="O118" si="136">((O93/N93)-1)</f>
        <v>-0.20466265577997422</v>
      </c>
      <c r="P118" s="169">
        <f t="shared" ref="P118" si="137">((P93/O93)-1)</f>
        <v>0.11090098608672161</v>
      </c>
      <c r="Q118" s="169">
        <f t="shared" si="134"/>
        <v>-0.33187816722672359</v>
      </c>
      <c r="R118" s="169">
        <f t="shared" si="134"/>
        <v>-0.27605694592580821</v>
      </c>
      <c r="S118" s="169">
        <f t="shared" si="134"/>
        <v>-0.34200183963541864</v>
      </c>
      <c r="T118" s="169">
        <f t="shared" si="134"/>
        <v>-0.39530606491975862</v>
      </c>
      <c r="U118" s="1430">
        <f t="shared" si="134"/>
        <v>-0.59551947066178257</v>
      </c>
    </row>
    <row r="119" spans="1:28" x14ac:dyDescent="0.2">
      <c r="A119" s="2" t="s">
        <v>522</v>
      </c>
      <c r="B119" s="7"/>
      <c r="C119" s="5" t="s">
        <v>86</v>
      </c>
      <c r="D119" s="169">
        <f t="shared" ref="D119:U119" si="138">((D103/C103)-1)</f>
        <v>0.13701576329161691</v>
      </c>
      <c r="E119" s="169">
        <f t="shared" si="138"/>
        <v>-0.1715015241477873</v>
      </c>
      <c r="F119" s="169">
        <f t="shared" si="138"/>
        <v>2.4814778973956564E-2</v>
      </c>
      <c r="G119" s="169">
        <f t="shared" si="138"/>
        <v>-0.39268237430300357</v>
      </c>
      <c r="H119" s="169">
        <f t="shared" si="138"/>
        <v>5.3963342811646164E-2</v>
      </c>
      <c r="I119" s="169">
        <f t="shared" si="138"/>
        <v>0.51835241291504008</v>
      </c>
      <c r="J119" s="169">
        <f t="shared" si="138"/>
        <v>0.39183183263487975</v>
      </c>
      <c r="K119" s="169">
        <f t="shared" si="138"/>
        <v>0.20197315725368936</v>
      </c>
      <c r="L119" s="169">
        <f t="shared" si="138"/>
        <v>0.15645188501530471</v>
      </c>
      <c r="M119" s="169">
        <f t="shared" si="138"/>
        <v>9.8490205191723801E-2</v>
      </c>
      <c r="N119" s="169">
        <f t="shared" ref="N119" si="139">((N103/M103)-1)</f>
        <v>-0.14381318563923839</v>
      </c>
      <c r="O119" s="169">
        <f t="shared" ref="O119" si="140">((O103/N103)-1)</f>
        <v>-0.16490744654549516</v>
      </c>
      <c r="P119" s="169">
        <f t="shared" ref="P119" si="141">((P103/O103)-1)</f>
        <v>0.2037405637390588</v>
      </c>
      <c r="Q119" s="169">
        <f t="shared" si="138"/>
        <v>-0.26716806024850748</v>
      </c>
      <c r="R119" s="169">
        <f t="shared" si="138"/>
        <v>-0.33042068384470302</v>
      </c>
      <c r="S119" s="169">
        <f t="shared" si="138"/>
        <v>-0.43843586166671866</v>
      </c>
      <c r="T119" s="169">
        <f t="shared" si="138"/>
        <v>-0.58399549195523826</v>
      </c>
      <c r="U119" s="1430">
        <f t="shared" si="138"/>
        <v>-1.2649182740267317</v>
      </c>
    </row>
    <row r="120" spans="1:28" x14ac:dyDescent="0.2">
      <c r="A120" s="2" t="s">
        <v>174</v>
      </c>
      <c r="B120" s="7"/>
      <c r="C120" s="5" t="s">
        <v>86</v>
      </c>
      <c r="D120" s="169">
        <f>((D106/C106)-1)</f>
        <v>0.38090990187332729</v>
      </c>
      <c r="E120" s="169">
        <f t="shared" ref="E120:M120" si="142">((E106/D106)-1)</f>
        <v>0.12693798449612403</v>
      </c>
      <c r="F120" s="169">
        <f t="shared" si="142"/>
        <v>-3.840642017770135E-2</v>
      </c>
      <c r="G120" s="169">
        <f t="shared" si="142"/>
        <v>-0.20238450074515646</v>
      </c>
      <c r="H120" s="169">
        <f t="shared" si="142"/>
        <v>-4.484304932735439E-3</v>
      </c>
      <c r="I120" s="169">
        <f t="shared" si="142"/>
        <v>0.15202702702702697</v>
      </c>
      <c r="J120" s="169">
        <f t="shared" si="142"/>
        <v>0.13098729227761496</v>
      </c>
      <c r="K120" s="169">
        <f t="shared" si="142"/>
        <v>7.0296744454047877E-2</v>
      </c>
      <c r="L120" s="169">
        <f t="shared" si="142"/>
        <v>1.9111709286675715E-2</v>
      </c>
      <c r="M120" s="169">
        <f t="shared" si="142"/>
        <v>3.6185948230322174E-2</v>
      </c>
      <c r="N120" s="169">
        <f t="shared" ref="N120" si="143">((N106/M106)-1)</f>
        <v>-0.13637522304358907</v>
      </c>
      <c r="O120" s="169">
        <f t="shared" ref="O120" si="144">((O106/N106)-1)</f>
        <v>-0.14145513577331759</v>
      </c>
      <c r="P120" s="169">
        <f t="shared" ref="P120" si="145">((P106/O106)-1)</f>
        <v>4.7529007305543658E-2</v>
      </c>
      <c r="Q120" s="169">
        <f t="shared" ref="Q120:U120" si="146">((Q106/P106)-1)</f>
        <v>-0.22393879613329304</v>
      </c>
      <c r="R120" s="169">
        <f t="shared" si="146"/>
        <v>-0.1645937326416218</v>
      </c>
      <c r="S120" s="169">
        <f t="shared" si="146"/>
        <v>-0.17722737366378916</v>
      </c>
      <c r="T120" s="169">
        <f t="shared" si="146"/>
        <v>-0.16529839398467072</v>
      </c>
      <c r="U120" s="1430">
        <f t="shared" si="146"/>
        <v>-0.18105589183953319</v>
      </c>
    </row>
    <row r="121" spans="1:28" outlineLevel="1" x14ac:dyDescent="0.2">
      <c r="A121" s="2" t="s">
        <v>546</v>
      </c>
      <c r="B121" s="7"/>
      <c r="C121" s="5" t="s">
        <v>86</v>
      </c>
      <c r="D121" s="6">
        <f t="shared" ref="D121:M121" si="147">D35-D36</f>
        <v>0.35924442190669376</v>
      </c>
      <c r="E121" s="6">
        <f t="shared" si="147"/>
        <v>0.16455560518088433</v>
      </c>
      <c r="F121" s="6">
        <f t="shared" si="147"/>
        <v>-3.4360400444938814E-2</v>
      </c>
      <c r="G121" s="6">
        <f t="shared" si="147"/>
        <v>-7.400372439478585E-2</v>
      </c>
      <c r="H121" s="6">
        <f t="shared" si="147"/>
        <v>-0.10005302908565</v>
      </c>
      <c r="I121" s="6">
        <f t="shared" si="147"/>
        <v>3.6953337518301488E-4</v>
      </c>
      <c r="J121" s="6">
        <f t="shared" si="147"/>
        <v>3.0732712074552013E-3</v>
      </c>
      <c r="K121" s="6">
        <f t="shared" si="147"/>
        <v>1.151353910244271E-2</v>
      </c>
      <c r="L121" s="6">
        <f t="shared" si="147"/>
        <v>-1.0579568820268486E-2</v>
      </c>
      <c r="M121" s="6">
        <f t="shared" si="147"/>
        <v>-7.7036267946006126E-4</v>
      </c>
      <c r="N121" s="6">
        <f t="shared" ref="N121:P121" si="148">N35-N36</f>
        <v>-5.9802387551879561E-3</v>
      </c>
      <c r="O121" s="6">
        <f t="shared" si="148"/>
        <v>1.6055430407326682E-2</v>
      </c>
      <c r="P121" s="6">
        <f t="shared" si="148"/>
        <v>-1.5930889106376134E-3</v>
      </c>
      <c r="Q121" s="6">
        <f>Q35-Q36</f>
        <v>-2.0330072601645422E-2</v>
      </c>
      <c r="R121" s="6">
        <f>R35-R36</f>
        <v>-8.5116507460922981E-3</v>
      </c>
      <c r="S121" s="6">
        <f>S35-S36</f>
        <v>-8.684552497106552E-3</v>
      </c>
      <c r="T121" s="6">
        <f>T35-T36</f>
        <v>-7.9235904137422604E-3</v>
      </c>
      <c r="U121" s="177">
        <f>U35-U36</f>
        <v>-8.1077169663392908E-3</v>
      </c>
    </row>
    <row r="122" spans="1:28" outlineLevel="1" x14ac:dyDescent="0.2">
      <c r="A122" s="2" t="s">
        <v>549</v>
      </c>
      <c r="B122" s="7"/>
      <c r="C122" s="5" t="s">
        <v>86</v>
      </c>
      <c r="D122" s="6">
        <f t="shared" ref="D122:M122" si="149">D121</f>
        <v>0.35924442190669376</v>
      </c>
      <c r="E122" s="6">
        <f t="shared" si="149"/>
        <v>0.16455560518088433</v>
      </c>
      <c r="F122" s="6">
        <f t="shared" si="149"/>
        <v>-3.4360400444938814E-2</v>
      </c>
      <c r="G122" s="6">
        <f t="shared" si="149"/>
        <v>-7.400372439478585E-2</v>
      </c>
      <c r="H122" s="6">
        <f t="shared" si="149"/>
        <v>-0.10005302908565</v>
      </c>
      <c r="I122" s="6">
        <f t="shared" si="149"/>
        <v>3.6953337518301488E-4</v>
      </c>
      <c r="J122" s="6">
        <f t="shared" si="149"/>
        <v>3.0732712074552013E-3</v>
      </c>
      <c r="K122" s="6">
        <f t="shared" si="149"/>
        <v>1.151353910244271E-2</v>
      </c>
      <c r="L122" s="6">
        <f t="shared" si="149"/>
        <v>-1.0579568820268486E-2</v>
      </c>
      <c r="M122" s="6">
        <f t="shared" si="149"/>
        <v>-7.7036267946006126E-4</v>
      </c>
      <c r="N122" s="6">
        <f t="shared" ref="N122:P122" si="150">N121</f>
        <v>-5.9802387551879561E-3</v>
      </c>
      <c r="O122" s="6">
        <f t="shared" si="150"/>
        <v>1.6055430407326682E-2</v>
      </c>
      <c r="P122" s="6">
        <f t="shared" si="150"/>
        <v>-1.5930889106376134E-3</v>
      </c>
      <c r="Q122" s="167">
        <f t="shared" ref="Q122:U122" si="151">Q121-0.002</f>
        <v>-2.233007260164542E-2</v>
      </c>
      <c r="R122" s="167">
        <f t="shared" si="151"/>
        <v>-1.0511650746092298E-2</v>
      </c>
      <c r="S122" s="167">
        <f t="shared" si="151"/>
        <v>-1.0684552497106552E-2</v>
      </c>
      <c r="T122" s="167">
        <f t="shared" si="151"/>
        <v>-9.9235904137422604E-3</v>
      </c>
      <c r="U122" s="1429">
        <f t="shared" si="151"/>
        <v>-1.0107716966339291E-2</v>
      </c>
    </row>
    <row r="123" spans="1:28" x14ac:dyDescent="0.2">
      <c r="A123" s="170"/>
      <c r="B123" s="170"/>
      <c r="C123" s="170"/>
      <c r="D123" s="170"/>
      <c r="E123" s="170"/>
      <c r="F123" s="170"/>
      <c r="G123" s="170"/>
      <c r="H123" s="170"/>
      <c r="I123" s="170"/>
      <c r="J123" s="170"/>
      <c r="K123" s="170"/>
      <c r="L123" s="170"/>
      <c r="M123" s="170"/>
      <c r="N123" s="170"/>
      <c r="O123" s="170"/>
      <c r="P123" s="170"/>
      <c r="Q123" s="170"/>
      <c r="R123" s="170"/>
      <c r="S123" s="170"/>
      <c r="T123" s="170"/>
      <c r="U123" s="170"/>
      <c r="V123" s="7"/>
      <c r="W123" s="7"/>
      <c r="X123" s="7"/>
      <c r="Y123" s="7"/>
      <c r="Z123" s="7"/>
      <c r="AA123" s="7"/>
      <c r="AB123" s="7"/>
    </row>
    <row r="124" spans="1:28" x14ac:dyDescent="0.2">
      <c r="A124" s="171" t="s">
        <v>550</v>
      </c>
      <c r="B124" s="7"/>
      <c r="C124" s="14" t="str">
        <f t="shared" ref="C124:P125" si="152">C83</f>
        <v>2004A</v>
      </c>
      <c r="D124" s="14" t="str">
        <f t="shared" si="152"/>
        <v>2005A</v>
      </c>
      <c r="E124" s="14" t="str">
        <f t="shared" si="152"/>
        <v>2006A</v>
      </c>
      <c r="F124" s="14" t="str">
        <f t="shared" si="152"/>
        <v>2007A</v>
      </c>
      <c r="G124" s="14" t="str">
        <f t="shared" si="152"/>
        <v>2008A</v>
      </c>
      <c r="H124" s="14" t="str">
        <f t="shared" si="152"/>
        <v>2009A</v>
      </c>
      <c r="I124" s="14" t="str">
        <f t="shared" si="152"/>
        <v>2010A</v>
      </c>
      <c r="J124" s="14" t="str">
        <f t="shared" si="152"/>
        <v>2011A</v>
      </c>
      <c r="K124" s="14" t="str">
        <f>K83</f>
        <v>2012A</v>
      </c>
      <c r="L124" s="14" t="str">
        <f t="shared" si="152"/>
        <v>2013A</v>
      </c>
      <c r="M124" s="14" t="str">
        <f t="shared" si="152"/>
        <v>2014A</v>
      </c>
      <c r="N124" s="14" t="str">
        <f t="shared" si="152"/>
        <v>2015A</v>
      </c>
      <c r="O124" s="14" t="str">
        <f t="shared" si="152"/>
        <v>2016A</v>
      </c>
      <c r="P124" s="14" t="str">
        <f t="shared" si="152"/>
        <v>2017E</v>
      </c>
      <c r="Q124" s="14" t="str">
        <f t="shared" ref="Q124:T125" si="153">Q83</f>
        <v>2018E</v>
      </c>
      <c r="R124" s="14" t="str">
        <f t="shared" si="153"/>
        <v>2019E</v>
      </c>
      <c r="S124" s="14" t="str">
        <f t="shared" si="153"/>
        <v>2020E</v>
      </c>
      <c r="T124" s="14" t="str">
        <f t="shared" si="153"/>
        <v>2021E</v>
      </c>
      <c r="U124" s="15" t="str">
        <f t="shared" ref="U124" si="154">U83</f>
        <v>2022E</v>
      </c>
      <c r="V124" s="7"/>
      <c r="W124" s="7"/>
      <c r="X124" s="7"/>
      <c r="Y124" s="7"/>
      <c r="Z124" s="7"/>
      <c r="AA124" s="7"/>
      <c r="AB124" s="7"/>
    </row>
    <row r="125" spans="1:28" x14ac:dyDescent="0.2">
      <c r="A125" s="4" t="s">
        <v>161</v>
      </c>
      <c r="B125" s="7"/>
      <c r="C125" s="8" t="str">
        <f t="shared" si="152"/>
        <v>Jan</v>
      </c>
      <c r="D125" s="8" t="str">
        <f t="shared" si="152"/>
        <v>Jan</v>
      </c>
      <c r="E125" s="8" t="str">
        <f t="shared" si="152"/>
        <v>Jan</v>
      </c>
      <c r="F125" s="8" t="str">
        <f t="shared" si="152"/>
        <v>Jan</v>
      </c>
      <c r="G125" s="8" t="str">
        <f t="shared" si="152"/>
        <v>Jan</v>
      </c>
      <c r="H125" s="8" t="str">
        <f t="shared" si="152"/>
        <v>Jan</v>
      </c>
      <c r="I125" s="8" t="str">
        <f t="shared" si="152"/>
        <v>Jan</v>
      </c>
      <c r="J125" s="8" t="str">
        <f t="shared" si="152"/>
        <v>Jan</v>
      </c>
      <c r="K125" s="8" t="str">
        <f>K84</f>
        <v>Jan</v>
      </c>
      <c r="L125" s="8" t="str">
        <f t="shared" si="152"/>
        <v>Jan</v>
      </c>
      <c r="M125" s="8" t="str">
        <f t="shared" si="152"/>
        <v>Jan</v>
      </c>
      <c r="N125" s="8" t="str">
        <f t="shared" si="152"/>
        <v>Jan</v>
      </c>
      <c r="O125" s="8" t="str">
        <f t="shared" si="152"/>
        <v>Jan</v>
      </c>
      <c r="P125" s="8" t="str">
        <f t="shared" si="152"/>
        <v>Jan</v>
      </c>
      <c r="Q125" s="8" t="str">
        <f t="shared" si="153"/>
        <v>Jan</v>
      </c>
      <c r="R125" s="8" t="str">
        <f t="shared" si="153"/>
        <v>Jan</v>
      </c>
      <c r="S125" s="8" t="str">
        <f t="shared" si="153"/>
        <v>Jan</v>
      </c>
      <c r="T125" s="8" t="str">
        <f t="shared" si="153"/>
        <v>Jan</v>
      </c>
      <c r="U125" s="182" t="str">
        <f t="shared" ref="U125" si="155">U84</f>
        <v>Jan</v>
      </c>
      <c r="V125" s="7"/>
      <c r="W125" s="7"/>
      <c r="X125" s="7"/>
      <c r="Y125" s="7"/>
      <c r="Z125" s="7"/>
      <c r="AA125" s="7"/>
      <c r="AB125" s="7"/>
    </row>
    <row r="126" spans="1:28" x14ac:dyDescent="0.2">
      <c r="A126" s="2"/>
      <c r="B126" s="7"/>
      <c r="C126" s="7"/>
      <c r="D126" s="7"/>
      <c r="E126" s="7"/>
      <c r="F126" s="7"/>
      <c r="G126" s="7"/>
      <c r="H126" s="7"/>
      <c r="I126" s="7"/>
      <c r="J126" s="7"/>
      <c r="K126" s="7"/>
      <c r="L126" s="7"/>
      <c r="M126" s="7"/>
      <c r="N126" s="7"/>
      <c r="O126" s="7"/>
      <c r="P126" s="7"/>
      <c r="Q126" s="7"/>
      <c r="R126" s="7"/>
      <c r="S126" s="7"/>
      <c r="T126" s="7"/>
      <c r="U126" s="12"/>
      <c r="V126" s="7"/>
      <c r="W126" s="7"/>
      <c r="X126" s="7"/>
      <c r="Y126" s="7"/>
      <c r="Z126" s="7"/>
      <c r="AA126" s="7"/>
      <c r="AB126" s="7"/>
    </row>
    <row r="127" spans="1:28" x14ac:dyDescent="0.2">
      <c r="A127" s="2" t="s">
        <v>418</v>
      </c>
      <c r="B127" s="7"/>
      <c r="C127" s="164">
        <f t="shared" ref="C127:J127" si="156">C6</f>
        <v>15776</v>
      </c>
      <c r="D127" s="164">
        <f t="shared" si="156"/>
        <v>22390</v>
      </c>
      <c r="E127" s="164">
        <f t="shared" si="156"/>
        <v>26970</v>
      </c>
      <c r="F127" s="164">
        <f t="shared" si="156"/>
        <v>26313</v>
      </c>
      <c r="G127" s="164">
        <f t="shared" si="156"/>
        <v>24892</v>
      </c>
      <c r="H127" s="164">
        <f t="shared" si="156"/>
        <v>23895</v>
      </c>
      <c r="I127" s="164">
        <f t="shared" si="156"/>
        <v>25003</v>
      </c>
      <c r="J127" s="164">
        <f t="shared" si="156"/>
        <v>26405</v>
      </c>
      <c r="K127" s="164">
        <f>K6</f>
        <v>27686</v>
      </c>
      <c r="L127" s="164">
        <f t="shared" ref="L127:U127" si="157">(K127*(1+L168))</f>
        <v>27931</v>
      </c>
      <c r="M127" s="164">
        <f t="shared" si="157"/>
        <v>28105</v>
      </c>
      <c r="N127" s="164">
        <f t="shared" si="157"/>
        <v>27079</v>
      </c>
      <c r="O127" s="164">
        <f t="shared" si="157"/>
        <v>26566</v>
      </c>
      <c r="P127" s="164">
        <f t="shared" si="157"/>
        <v>25647</v>
      </c>
      <c r="Q127" s="164">
        <f t="shared" si="157"/>
        <v>25176.888627985598</v>
      </c>
      <c r="R127" s="164">
        <f t="shared" si="157"/>
        <v>24761.176636087039</v>
      </c>
      <c r="S127" s="164">
        <f t="shared" si="157"/>
        <v>24348.047484612118</v>
      </c>
      <c r="T127" s="164">
        <f t="shared" si="157"/>
        <v>23960.339149092808</v>
      </c>
      <c r="U127" s="1428">
        <f t="shared" si="157"/>
        <v>23574.392787661724</v>
      </c>
      <c r="V127" s="7"/>
      <c r="W127" s="7"/>
      <c r="X127" s="7"/>
      <c r="Y127" s="7"/>
      <c r="Z127" s="7"/>
      <c r="AA127" s="7"/>
      <c r="AB127" s="7"/>
    </row>
    <row r="128" spans="1:28" x14ac:dyDescent="0.2">
      <c r="A128" s="2"/>
      <c r="B128" s="7"/>
      <c r="C128" s="165"/>
      <c r="D128" s="165"/>
      <c r="E128" s="165"/>
      <c r="F128" s="165"/>
      <c r="G128" s="165"/>
      <c r="H128" s="165"/>
      <c r="I128" s="165"/>
      <c r="J128" s="165"/>
      <c r="K128" s="165"/>
      <c r="L128" s="165"/>
      <c r="V128" s="7"/>
      <c r="W128" s="7"/>
      <c r="X128" s="7"/>
      <c r="Y128" s="7"/>
      <c r="Z128" s="7"/>
      <c r="AA128" s="7"/>
      <c r="AB128" s="7"/>
    </row>
    <row r="129" spans="1:28" x14ac:dyDescent="0.2">
      <c r="A129" s="2" t="s">
        <v>162</v>
      </c>
      <c r="B129" s="7"/>
      <c r="C129" s="164">
        <f>C8</f>
        <v>9346</v>
      </c>
      <c r="D129" s="164">
        <f t="shared" ref="D129:J129" si="158">D8</f>
        <v>13272</v>
      </c>
      <c r="E129" s="164">
        <f t="shared" si="158"/>
        <v>16019</v>
      </c>
      <c r="F129" s="164">
        <f t="shared" si="158"/>
        <v>15677</v>
      </c>
      <c r="G129" s="164">
        <f t="shared" si="158"/>
        <v>15009</v>
      </c>
      <c r="H129" s="164">
        <f t="shared" si="158"/>
        <v>14278</v>
      </c>
      <c r="I129" s="164">
        <f t="shared" si="158"/>
        <v>14824</v>
      </c>
      <c r="J129" s="164">
        <f t="shared" si="158"/>
        <v>15738</v>
      </c>
      <c r="K129" s="164">
        <f>K8</f>
        <v>16538</v>
      </c>
      <c r="L129" s="164">
        <f t="shared" ref="L129:Q129" si="159">L127-L131</f>
        <v>16725</v>
      </c>
      <c r="M129" s="164">
        <f t="shared" si="159"/>
        <v>16863</v>
      </c>
      <c r="N129" s="164">
        <f t="shared" si="159"/>
        <v>16496</v>
      </c>
      <c r="O129" s="164">
        <f t="shared" si="159"/>
        <v>16323</v>
      </c>
      <c r="P129" s="164">
        <f t="shared" si="159"/>
        <v>15609.250511124474</v>
      </c>
      <c r="Q129" s="164">
        <f t="shared" si="159"/>
        <v>15297.954927370305</v>
      </c>
      <c r="R129" s="164">
        <f>R127-R131</f>
        <v>15020.59926184402</v>
      </c>
      <c r="S129" s="164">
        <f>S127-S131</f>
        <v>14745.639237437172</v>
      </c>
      <c r="T129" s="164">
        <f>T127-T131</f>
        <v>14486.875378682324</v>
      </c>
      <c r="U129" s="1428">
        <f>U127-U131</f>
        <v>14229.950497568218</v>
      </c>
      <c r="V129" s="7"/>
      <c r="W129" s="7"/>
      <c r="X129" s="7"/>
      <c r="Y129" s="7"/>
      <c r="Z129" s="7"/>
      <c r="AA129" s="7"/>
      <c r="AB129" s="7"/>
    </row>
    <row r="130" spans="1:28" x14ac:dyDescent="0.2">
      <c r="A130" s="2"/>
      <c r="B130" s="7"/>
      <c r="C130" s="165"/>
      <c r="D130" s="165"/>
      <c r="E130" s="165"/>
      <c r="F130" s="165"/>
      <c r="G130" s="165"/>
      <c r="H130" s="165"/>
      <c r="I130" s="165"/>
      <c r="J130" s="165"/>
      <c r="K130" s="165"/>
      <c r="L130" s="165"/>
      <c r="V130" s="7"/>
      <c r="W130" s="7"/>
      <c r="X130" s="7"/>
      <c r="Y130" s="7"/>
      <c r="Z130" s="7"/>
      <c r="AA130" s="7"/>
      <c r="AB130" s="7"/>
    </row>
    <row r="131" spans="1:28" x14ac:dyDescent="0.2">
      <c r="A131" s="2" t="s">
        <v>163</v>
      </c>
      <c r="B131" s="7"/>
      <c r="C131" s="164">
        <f t="shared" ref="C131:J131" si="160">C127-C129</f>
        <v>6430</v>
      </c>
      <c r="D131" s="164">
        <f t="shared" si="160"/>
        <v>9118</v>
      </c>
      <c r="E131" s="164">
        <f t="shared" si="160"/>
        <v>10951</v>
      </c>
      <c r="F131" s="164">
        <f t="shared" si="160"/>
        <v>10636</v>
      </c>
      <c r="G131" s="164">
        <f t="shared" si="160"/>
        <v>9883</v>
      </c>
      <c r="H131" s="164">
        <f t="shared" si="160"/>
        <v>9617</v>
      </c>
      <c r="I131" s="164">
        <f t="shared" si="160"/>
        <v>10179</v>
      </c>
      <c r="J131" s="164">
        <f t="shared" si="160"/>
        <v>10667</v>
      </c>
      <c r="K131" s="164">
        <f>K127-K129</f>
        <v>11148</v>
      </c>
      <c r="L131" s="164">
        <f t="shared" ref="L131:Q131" si="161">L127*L153</f>
        <v>11206</v>
      </c>
      <c r="M131" s="164">
        <f t="shared" si="161"/>
        <v>11242</v>
      </c>
      <c r="N131" s="164">
        <f t="shared" si="161"/>
        <v>10583</v>
      </c>
      <c r="O131" s="164">
        <f t="shared" si="161"/>
        <v>10243</v>
      </c>
      <c r="P131" s="164">
        <f t="shared" si="161"/>
        <v>10037.749488875526</v>
      </c>
      <c r="Q131" s="164">
        <f t="shared" si="161"/>
        <v>9878.9337006152928</v>
      </c>
      <c r="R131" s="164">
        <f>R127*R153</f>
        <v>9740.5773742430192</v>
      </c>
      <c r="S131" s="164">
        <f>S127*S153</f>
        <v>9602.4082471749462</v>
      </c>
      <c r="T131" s="164">
        <f>T127*T153</f>
        <v>9473.4637704104844</v>
      </c>
      <c r="U131" s="1428">
        <f>U127*U153</f>
        <v>9344.442290093506</v>
      </c>
      <c r="V131" s="7"/>
      <c r="W131" s="7"/>
      <c r="X131" s="7"/>
      <c r="Y131" s="7"/>
      <c r="Z131" s="7"/>
      <c r="AA131" s="7"/>
      <c r="AB131" s="7"/>
    </row>
    <row r="132" spans="1:28" x14ac:dyDescent="0.2">
      <c r="A132" s="2" t="s">
        <v>164</v>
      </c>
      <c r="B132" s="7"/>
      <c r="C132" s="165">
        <f>C11</f>
        <v>4931</v>
      </c>
      <c r="D132" s="165">
        <f t="shared" ref="D132:J132" si="162">D11</f>
        <v>6980</v>
      </c>
      <c r="E132" s="165">
        <f t="shared" si="162"/>
        <v>8678</v>
      </c>
      <c r="F132" s="165">
        <f t="shared" si="162"/>
        <v>8554</v>
      </c>
      <c r="G132" s="165">
        <f t="shared" si="162"/>
        <v>8458</v>
      </c>
      <c r="H132" s="165">
        <f t="shared" si="162"/>
        <v>8163</v>
      </c>
      <c r="I132" s="165">
        <f t="shared" si="162"/>
        <v>8260</v>
      </c>
      <c r="J132" s="165">
        <f t="shared" si="162"/>
        <v>8281</v>
      </c>
      <c r="K132" s="165">
        <f>K11</f>
        <v>8482</v>
      </c>
      <c r="L132" s="165">
        <f t="shared" ref="L132:Q132" si="163">L127*L157</f>
        <v>8440</v>
      </c>
      <c r="M132" s="165">
        <f t="shared" si="163"/>
        <v>8355</v>
      </c>
      <c r="N132" s="165">
        <f t="shared" si="163"/>
        <v>8256</v>
      </c>
      <c r="O132" s="165">
        <f t="shared" si="163"/>
        <v>9048.25</v>
      </c>
      <c r="P132" s="165">
        <f t="shared" si="163"/>
        <v>8645.6453397474434</v>
      </c>
      <c r="Q132" s="165">
        <f t="shared" si="163"/>
        <v>8813.3155796947976</v>
      </c>
      <c r="R132" s="165">
        <f>R127*R157</f>
        <v>8889.7159659459394</v>
      </c>
      <c r="S132" s="165">
        <f>S127*S157</f>
        <v>8985.446002198496</v>
      </c>
      <c r="T132" s="165">
        <f>T127*T157</f>
        <v>9030.7421624023573</v>
      </c>
      <c r="U132" s="172">
        <f>U127*U157</f>
        <v>9076.5579648959647</v>
      </c>
      <c r="V132" s="7"/>
      <c r="W132" s="7"/>
      <c r="X132" s="7"/>
      <c r="Y132" s="7"/>
      <c r="Z132" s="7"/>
      <c r="AA132" s="7"/>
      <c r="AB132" s="7"/>
    </row>
    <row r="133" spans="1:28" x14ac:dyDescent="0.2">
      <c r="A133" s="165" t="s">
        <v>543</v>
      </c>
      <c r="B133" s="7"/>
      <c r="C133" s="165">
        <f>C12</f>
        <v>743</v>
      </c>
      <c r="D133" s="165">
        <f t="shared" ref="D133:P133" si="164">D12</f>
        <v>958</v>
      </c>
      <c r="E133" s="165">
        <f t="shared" si="164"/>
        <v>1216</v>
      </c>
      <c r="F133" s="165">
        <f t="shared" si="164"/>
        <v>1273</v>
      </c>
      <c r="G133" s="165">
        <f t="shared" si="164"/>
        <v>1251</v>
      </c>
      <c r="H133" s="165">
        <f t="shared" si="164"/>
        <v>1210</v>
      </c>
      <c r="I133" s="165">
        <f t="shared" si="164"/>
        <v>1150</v>
      </c>
      <c r="J133" s="165">
        <f t="shared" si="164"/>
        <v>1085</v>
      </c>
      <c r="K133" s="165">
        <f t="shared" si="164"/>
        <v>1049</v>
      </c>
      <c r="L133" s="165">
        <f t="shared" si="164"/>
        <v>1020</v>
      </c>
      <c r="M133" s="165">
        <f t="shared" si="164"/>
        <v>1036</v>
      </c>
      <c r="N133" s="165">
        <f t="shared" si="164"/>
        <v>1061</v>
      </c>
      <c r="O133" s="165">
        <f t="shared" si="164"/>
        <v>1058</v>
      </c>
      <c r="P133" s="165">
        <f t="shared" si="164"/>
        <v>991</v>
      </c>
      <c r="Q133" s="165">
        <f>Q12</f>
        <v>991</v>
      </c>
      <c r="R133" s="165">
        <f>R12</f>
        <v>981</v>
      </c>
      <c r="S133" s="165">
        <f>S12</f>
        <v>971</v>
      </c>
      <c r="T133" s="165">
        <f>T12</f>
        <v>961</v>
      </c>
      <c r="U133" s="172">
        <f>U12</f>
        <v>951</v>
      </c>
      <c r="V133" s="7"/>
      <c r="W133" s="7"/>
      <c r="X133" s="7"/>
      <c r="Y133" s="7"/>
      <c r="Z133" s="7"/>
      <c r="AA133" s="7"/>
      <c r="AB133" s="7"/>
    </row>
    <row r="134" spans="1:28" x14ac:dyDescent="0.2">
      <c r="A134" s="3" t="s">
        <v>165</v>
      </c>
      <c r="B134" s="7"/>
      <c r="C134" s="164">
        <f>C131-C132</f>
        <v>1499</v>
      </c>
      <c r="D134" s="164">
        <f t="shared" ref="D134:P134" si="165">D131-D132</f>
        <v>2138</v>
      </c>
      <c r="E134" s="164">
        <f t="shared" si="165"/>
        <v>2273</v>
      </c>
      <c r="F134" s="164">
        <f t="shared" si="165"/>
        <v>2082</v>
      </c>
      <c r="G134" s="164">
        <f t="shared" si="165"/>
        <v>1425</v>
      </c>
      <c r="H134" s="164">
        <f t="shared" si="165"/>
        <v>1454</v>
      </c>
      <c r="I134" s="164">
        <f t="shared" si="165"/>
        <v>1919</v>
      </c>
      <c r="J134" s="164">
        <f t="shared" si="165"/>
        <v>2386</v>
      </c>
      <c r="K134" s="164">
        <f t="shared" si="165"/>
        <v>2666</v>
      </c>
      <c r="L134" s="164">
        <f t="shared" si="165"/>
        <v>2766</v>
      </c>
      <c r="M134" s="164">
        <f t="shared" si="165"/>
        <v>2887</v>
      </c>
      <c r="N134" s="164">
        <f t="shared" si="165"/>
        <v>2327</v>
      </c>
      <c r="O134" s="164">
        <f t="shared" si="165"/>
        <v>1194.75</v>
      </c>
      <c r="P134" s="164">
        <f t="shared" si="165"/>
        <v>1392.104149128083</v>
      </c>
      <c r="Q134" s="164">
        <f>Q131-Q132</f>
        <v>1065.6181209204951</v>
      </c>
      <c r="R134" s="164">
        <f>R131-R132</f>
        <v>850.86140829707983</v>
      </c>
      <c r="S134" s="164">
        <f>S131-S132</f>
        <v>616.96224497645017</v>
      </c>
      <c r="T134" s="164">
        <f>T131-T132</f>
        <v>442.72160800812708</v>
      </c>
      <c r="U134" s="1428">
        <f>U131-U132</f>
        <v>267.88432519754133</v>
      </c>
      <c r="V134" s="7"/>
      <c r="W134" s="7"/>
      <c r="X134" s="7"/>
      <c r="Y134" s="7"/>
      <c r="Z134" s="7"/>
      <c r="AA134" s="7"/>
      <c r="AB134" s="7"/>
    </row>
    <row r="135" spans="1:28" x14ac:dyDescent="0.2">
      <c r="A135" s="2"/>
      <c r="B135" s="7"/>
      <c r="C135" s="165"/>
      <c r="D135" s="165"/>
      <c r="E135" s="165"/>
      <c r="F135" s="165"/>
      <c r="G135" s="165"/>
      <c r="H135" s="165"/>
      <c r="I135" s="165"/>
      <c r="J135" s="165"/>
      <c r="K135" s="165"/>
      <c r="L135" s="165"/>
      <c r="V135" s="7"/>
      <c r="W135" s="7"/>
      <c r="X135" s="7"/>
      <c r="Y135" s="7"/>
      <c r="Z135" s="7"/>
      <c r="AA135" s="7"/>
      <c r="AB135" s="7"/>
    </row>
    <row r="136" spans="1:28" x14ac:dyDescent="0.2">
      <c r="A136" s="2" t="s">
        <v>544</v>
      </c>
      <c r="B136" s="7"/>
      <c r="C136" s="165">
        <f>C15</f>
        <v>225</v>
      </c>
      <c r="D136" s="165">
        <f t="shared" ref="D136:P136" si="166">D15</f>
        <v>397</v>
      </c>
      <c r="E136" s="165">
        <f t="shared" si="166"/>
        <v>461</v>
      </c>
      <c r="F136" s="165">
        <f t="shared" si="166"/>
        <v>543</v>
      </c>
      <c r="G136" s="165">
        <f t="shared" si="166"/>
        <v>560</v>
      </c>
      <c r="H136" s="165">
        <f t="shared" si="166"/>
        <v>556</v>
      </c>
      <c r="I136" s="165">
        <f t="shared" si="166"/>
        <v>574</v>
      </c>
      <c r="J136" s="165">
        <f t="shared" si="166"/>
        <v>443</v>
      </c>
      <c r="K136" s="165">
        <f t="shared" si="166"/>
        <v>422</v>
      </c>
      <c r="L136" s="165">
        <f t="shared" si="166"/>
        <v>388</v>
      </c>
      <c r="M136" s="165">
        <f t="shared" si="166"/>
        <v>393</v>
      </c>
      <c r="N136" s="165">
        <f t="shared" si="166"/>
        <v>361</v>
      </c>
      <c r="O136" s="165">
        <f t="shared" si="166"/>
        <v>363</v>
      </c>
      <c r="P136" s="165">
        <f t="shared" si="166"/>
        <v>310</v>
      </c>
      <c r="Q136" s="165">
        <f>Q15</f>
        <v>255</v>
      </c>
      <c r="R136" s="165">
        <f>R15</f>
        <v>243</v>
      </c>
      <c r="S136" s="165">
        <f>S15</f>
        <v>231</v>
      </c>
      <c r="T136" s="165">
        <f>T15</f>
        <v>219</v>
      </c>
      <c r="U136" s="172">
        <f>U15</f>
        <v>207</v>
      </c>
      <c r="V136" s="7"/>
      <c r="W136" s="7"/>
      <c r="X136" s="7"/>
      <c r="Y136" s="7"/>
      <c r="Z136" s="7"/>
      <c r="AA136" s="7"/>
      <c r="AB136" s="7"/>
    </row>
    <row r="137" spans="1:28" x14ac:dyDescent="0.2">
      <c r="A137" s="3" t="s">
        <v>166</v>
      </c>
      <c r="B137" s="7"/>
      <c r="C137" s="164">
        <f>C134-C136</f>
        <v>1274</v>
      </c>
      <c r="D137" s="164">
        <f>D134-D136</f>
        <v>1741</v>
      </c>
      <c r="E137" s="164">
        <f>E134-E136</f>
        <v>1812</v>
      </c>
      <c r="F137" s="164">
        <f>F134-F136</f>
        <v>1539</v>
      </c>
      <c r="G137" s="164">
        <f>G134-G136</f>
        <v>865</v>
      </c>
      <c r="H137" s="164">
        <f t="shared" ref="H137:P137" si="167">H134-H136</f>
        <v>898</v>
      </c>
      <c r="I137" s="164">
        <f t="shared" si="167"/>
        <v>1345</v>
      </c>
      <c r="J137" s="164">
        <f t="shared" si="167"/>
        <v>1943</v>
      </c>
      <c r="K137" s="164">
        <f t="shared" si="167"/>
        <v>2244</v>
      </c>
      <c r="L137" s="164">
        <f t="shared" si="167"/>
        <v>2378</v>
      </c>
      <c r="M137" s="164">
        <f t="shared" si="167"/>
        <v>2494</v>
      </c>
      <c r="N137" s="164">
        <f t="shared" si="167"/>
        <v>1966</v>
      </c>
      <c r="O137" s="164">
        <f t="shared" si="167"/>
        <v>831.75</v>
      </c>
      <c r="P137" s="164">
        <f t="shared" si="167"/>
        <v>1082.104149128083</v>
      </c>
      <c r="Q137" s="164">
        <f>Q134-Q136</f>
        <v>810.61812092049513</v>
      </c>
      <c r="R137" s="164">
        <f>R134-R136</f>
        <v>607.86140829707983</v>
      </c>
      <c r="S137" s="164">
        <f>S134-S136</f>
        <v>385.96224497645017</v>
      </c>
      <c r="T137" s="164">
        <f>T134-T136</f>
        <v>223.72160800812708</v>
      </c>
      <c r="U137" s="1428">
        <f>U134-U136</f>
        <v>60.88432519754133</v>
      </c>
      <c r="V137" s="7"/>
      <c r="W137" s="7"/>
      <c r="X137" s="7"/>
      <c r="Y137" s="7"/>
      <c r="Z137" s="7"/>
      <c r="AA137" s="7"/>
      <c r="AB137" s="7"/>
    </row>
    <row r="138" spans="1:28" x14ac:dyDescent="0.2">
      <c r="A138" s="2"/>
      <c r="B138" s="7"/>
      <c r="C138" s="165"/>
      <c r="D138" s="165"/>
      <c r="E138" s="165"/>
      <c r="F138" s="165"/>
      <c r="G138" s="165"/>
      <c r="H138" s="165"/>
      <c r="I138" s="165"/>
      <c r="J138" s="165"/>
      <c r="K138" s="165"/>
      <c r="L138" s="165"/>
      <c r="V138" s="7"/>
      <c r="W138" s="7"/>
      <c r="X138" s="7"/>
      <c r="Y138" s="7"/>
      <c r="Z138" s="7"/>
      <c r="AA138" s="7"/>
      <c r="AB138" s="7"/>
    </row>
    <row r="139" spans="1:28" x14ac:dyDescent="0.2">
      <c r="A139" s="2" t="s">
        <v>167</v>
      </c>
      <c r="B139" s="7"/>
      <c r="C139" s="165">
        <f>C18</f>
        <v>427</v>
      </c>
      <c r="D139" s="165">
        <f t="shared" ref="D139:K139" si="168">D18</f>
        <v>765.40858992805761</v>
      </c>
      <c r="E139" s="165">
        <f t="shared" si="168"/>
        <v>511.75</v>
      </c>
      <c r="F139" s="165">
        <f t="shared" si="168"/>
        <v>489</v>
      </c>
      <c r="G139" s="165">
        <f t="shared" si="168"/>
        <v>320.04999999999995</v>
      </c>
      <c r="H139" s="165">
        <f t="shared" si="168"/>
        <v>322.38199999999995</v>
      </c>
      <c r="I139" s="165">
        <f t="shared" si="168"/>
        <v>473.04089219330854</v>
      </c>
      <c r="J139" s="165">
        <f t="shared" si="168"/>
        <v>703.36599999999999</v>
      </c>
      <c r="K139" s="165">
        <f t="shared" si="168"/>
        <v>817</v>
      </c>
      <c r="L139" s="165">
        <f t="shared" ref="L139:Q139" si="169">L137*L162</f>
        <v>837.44</v>
      </c>
      <c r="M139" s="165">
        <f t="shared" si="169"/>
        <v>903.52</v>
      </c>
      <c r="N139" s="165">
        <f t="shared" si="169"/>
        <v>712.13</v>
      </c>
      <c r="O139" s="165">
        <f t="shared" si="169"/>
        <v>304.8585469129801</v>
      </c>
      <c r="P139" s="165">
        <f t="shared" si="169"/>
        <v>384.46806318993333</v>
      </c>
      <c r="Q139" s="165">
        <f t="shared" si="169"/>
        <v>188.46871311401495</v>
      </c>
      <c r="R139" s="165">
        <f>R137*R162</f>
        <v>141.32777742907092</v>
      </c>
      <c r="S139" s="165">
        <f>S137*S162</f>
        <v>89.736221957024597</v>
      </c>
      <c r="T139" s="165">
        <f>T137*T162</f>
        <v>52.015273861889497</v>
      </c>
      <c r="U139" s="172">
        <f>U137*U162</f>
        <v>14.155605608428345</v>
      </c>
      <c r="V139" s="7"/>
      <c r="W139" s="7"/>
      <c r="X139" s="7"/>
      <c r="Y139" s="7"/>
      <c r="Z139" s="7"/>
      <c r="AA139" s="7"/>
      <c r="AB139" s="7"/>
    </row>
    <row r="140" spans="1:28" x14ac:dyDescent="0.2">
      <c r="A140" s="2"/>
      <c r="B140" s="7"/>
      <c r="C140" s="165"/>
      <c r="D140" s="165"/>
      <c r="E140" s="165"/>
      <c r="F140" s="165"/>
      <c r="G140" s="165"/>
      <c r="H140" s="165"/>
      <c r="I140" s="165"/>
      <c r="J140" s="165"/>
      <c r="K140" s="165"/>
      <c r="L140" s="165"/>
      <c r="V140" s="7"/>
      <c r="W140" s="7"/>
      <c r="X140" s="7"/>
      <c r="Y140" s="7"/>
      <c r="Z140" s="7"/>
      <c r="AA140" s="7"/>
      <c r="AB140" s="7"/>
    </row>
    <row r="141" spans="1:28" x14ac:dyDescent="0.2">
      <c r="A141" s="2"/>
      <c r="B141" s="7"/>
      <c r="C141" s="165"/>
      <c r="D141" s="165"/>
      <c r="E141" s="165"/>
      <c r="F141" s="165"/>
      <c r="G141" s="165"/>
      <c r="H141" s="165"/>
      <c r="I141" s="165"/>
      <c r="J141" s="165"/>
      <c r="K141" s="165"/>
      <c r="L141" s="165"/>
      <c r="V141" s="7"/>
      <c r="W141" s="7"/>
      <c r="X141" s="7"/>
      <c r="Y141" s="7"/>
      <c r="Z141" s="7"/>
      <c r="AA141" s="7"/>
      <c r="AB141" s="7"/>
    </row>
    <row r="142" spans="1:28" x14ac:dyDescent="0.2">
      <c r="A142" s="2" t="s">
        <v>168</v>
      </c>
      <c r="B142" s="7"/>
      <c r="C142" s="164">
        <f>C137*(1-C162)</f>
        <v>786.05799999999999</v>
      </c>
      <c r="D142" s="164">
        <f>D137*(1-D162)</f>
        <v>1089.866</v>
      </c>
      <c r="E142" s="164">
        <f>E137*(1-E162)</f>
        <v>1137.9359999999999</v>
      </c>
      <c r="F142" s="164">
        <f>F137*(1-F162)</f>
        <v>961.875</v>
      </c>
      <c r="G142" s="164">
        <f>G137*(1-G162)</f>
        <v>544.95000000000005</v>
      </c>
      <c r="H142" s="164">
        <f t="shared" ref="H142:P142" si="170">H137-H139</f>
        <v>575.61800000000005</v>
      </c>
      <c r="I142" s="164">
        <f>I137-I139+16</f>
        <v>887.95910780669146</v>
      </c>
      <c r="J142" s="164">
        <f t="shared" si="170"/>
        <v>1239.634</v>
      </c>
      <c r="K142" s="164">
        <f>K137-K139</f>
        <v>1427</v>
      </c>
      <c r="L142" s="164">
        <f t="shared" si="170"/>
        <v>1540.56</v>
      </c>
      <c r="M142" s="164">
        <f t="shared" si="170"/>
        <v>1590.48</v>
      </c>
      <c r="N142" s="164">
        <f t="shared" si="170"/>
        <v>1253.8699999999999</v>
      </c>
      <c r="O142" s="164">
        <f t="shared" si="170"/>
        <v>526.89145308701995</v>
      </c>
      <c r="P142" s="164">
        <f t="shared" si="170"/>
        <v>697.63608593814968</v>
      </c>
      <c r="Q142" s="164">
        <f>Q137-Q139</f>
        <v>622.14940780648021</v>
      </c>
      <c r="R142" s="164">
        <f>R137-R139</f>
        <v>466.53363086800891</v>
      </c>
      <c r="S142" s="164">
        <f>S137-S139</f>
        <v>296.22602301942555</v>
      </c>
      <c r="T142" s="164">
        <f>T137-T139</f>
        <v>171.70633414623757</v>
      </c>
      <c r="U142" s="1428">
        <f>U137-U139</f>
        <v>46.728719589112984</v>
      </c>
      <c r="V142" s="7"/>
      <c r="W142" s="7"/>
      <c r="X142" s="7"/>
      <c r="Y142" s="7"/>
      <c r="Z142" s="7"/>
      <c r="AA142" s="7"/>
      <c r="AB142" s="7"/>
    </row>
    <row r="143" spans="1:28" x14ac:dyDescent="0.2">
      <c r="A143" s="2"/>
      <c r="B143" s="7"/>
      <c r="V143" s="7"/>
      <c r="W143" s="7"/>
      <c r="X143" s="7"/>
      <c r="Y143" s="7"/>
      <c r="Z143" s="7"/>
      <c r="AA143" s="7"/>
      <c r="AB143" s="7"/>
    </row>
    <row r="144" spans="1:28" x14ac:dyDescent="0.2">
      <c r="A144" s="11" t="s">
        <v>172</v>
      </c>
      <c r="B144" s="7"/>
      <c r="C144" s="158">
        <f t="shared" ref="C144:P144" si="171">C142/C145</f>
        <v>2.2055499438832773</v>
      </c>
      <c r="D144" s="158">
        <f t="shared" si="171"/>
        <v>2.5077450529222274</v>
      </c>
      <c r="E144" s="158">
        <f t="shared" si="171"/>
        <v>2.0776629541719918</v>
      </c>
      <c r="F144" s="158">
        <f t="shared" si="171"/>
        <v>2.1292197011621474</v>
      </c>
      <c r="G144" s="158">
        <f t="shared" si="171"/>
        <v>1.2931126534970636</v>
      </c>
      <c r="H144" s="158">
        <f t="shared" si="171"/>
        <v>1.3628933349118031</v>
      </c>
      <c r="I144" s="158">
        <f t="shared" si="171"/>
        <v>2.0693523836091621</v>
      </c>
      <c r="J144" s="158">
        <f t="shared" si="171"/>
        <v>2.8801905204460967</v>
      </c>
      <c r="K144" s="158">
        <f t="shared" si="171"/>
        <v>3.4619116933527416</v>
      </c>
      <c r="L144" s="158">
        <f t="shared" si="171"/>
        <v>4.0035343035343036</v>
      </c>
      <c r="M144" s="158">
        <f t="shared" si="171"/>
        <v>4.3978432185815022</v>
      </c>
      <c r="N144" s="158">
        <f t="shared" si="171"/>
        <v>3.7653753753753749</v>
      </c>
      <c r="O144" s="158">
        <f t="shared" si="171"/>
        <v>1.6952749455824323</v>
      </c>
      <c r="P144" s="158">
        <f t="shared" si="171"/>
        <v>2.2716902830939421</v>
      </c>
      <c r="Q144" s="158">
        <f>Q142/Q145</f>
        <v>2.0230856281813843</v>
      </c>
      <c r="R144" s="158">
        <f>R142/R145</f>
        <v>1.5121420658553082</v>
      </c>
      <c r="S144" s="158">
        <f>S142/S145</f>
        <v>0.95703423962337641</v>
      </c>
      <c r="T144" s="158">
        <f>T142/T145</f>
        <v>0.55295494451730964</v>
      </c>
      <c r="U144" s="1426">
        <f>U142/U145</f>
        <v>0.149999902380589</v>
      </c>
      <c r="V144" s="7"/>
      <c r="W144" s="7"/>
      <c r="X144" s="7"/>
      <c r="Y144" s="7"/>
      <c r="Z144" s="7"/>
      <c r="AA144" s="7"/>
      <c r="AB144" s="7"/>
    </row>
    <row r="145" spans="1:28" x14ac:dyDescent="0.2">
      <c r="A145" s="2" t="s">
        <v>170</v>
      </c>
      <c r="B145" s="7"/>
      <c r="C145" s="165">
        <f>C24</f>
        <v>356.4</v>
      </c>
      <c r="D145" s="165">
        <f t="shared" ref="D145:K145" si="172">D24</f>
        <v>434.6</v>
      </c>
      <c r="E145" s="165">
        <f t="shared" si="172"/>
        <v>547.70000000000005</v>
      </c>
      <c r="F145" s="165">
        <f t="shared" si="172"/>
        <v>451.75</v>
      </c>
      <c r="G145" s="165">
        <f t="shared" si="172"/>
        <v>421.42500000000001</v>
      </c>
      <c r="H145" s="165">
        <f t="shared" si="172"/>
        <v>422.35</v>
      </c>
      <c r="I145" s="165">
        <f t="shared" si="172"/>
        <v>429.1</v>
      </c>
      <c r="J145" s="165">
        <f t="shared" si="172"/>
        <v>430.4</v>
      </c>
      <c r="K145" s="165">
        <f t="shared" si="172"/>
        <v>412.2</v>
      </c>
      <c r="L145" s="172">
        <f t="shared" ref="L145:Q145" si="173">INDEX(L146:L148,MATCH($Z$150,$AB$150:$AB$152,0))</f>
        <v>384.8</v>
      </c>
      <c r="M145" s="172">
        <f t="shared" si="173"/>
        <v>361.65</v>
      </c>
      <c r="N145" s="172">
        <f t="shared" si="173"/>
        <v>333</v>
      </c>
      <c r="O145" s="172">
        <f t="shared" si="173"/>
        <v>310.8</v>
      </c>
      <c r="P145" s="172">
        <f t="shared" si="173"/>
        <v>307.10000000000002</v>
      </c>
      <c r="Q145" s="172">
        <f t="shared" si="173"/>
        <v>307.52499999999998</v>
      </c>
      <c r="R145" s="172">
        <f>INDEX(R146:R148,MATCH($Z$150,$AB$150:$AB$152,0))</f>
        <v>308.52499999999998</v>
      </c>
      <c r="S145" s="172">
        <f>INDEX(S146:S148,MATCH($Z$150,$AB$150:$AB$152,0))</f>
        <v>309.52499999999998</v>
      </c>
      <c r="T145" s="172">
        <f>INDEX(T146:T148,MATCH($Z$150,$AB$150:$AB$152,0))</f>
        <v>310.52499999999998</v>
      </c>
      <c r="U145" s="172">
        <f>INDEX(U146:U148,MATCH($Z$150,$AB$150:$AB$152,0))</f>
        <v>311.52499999999998</v>
      </c>
      <c r="V145" s="7"/>
      <c r="W145" s="7"/>
      <c r="X145" s="7"/>
      <c r="Y145" s="7"/>
      <c r="Z145" s="7"/>
      <c r="AA145" s="7"/>
      <c r="AB145" s="7"/>
    </row>
    <row r="146" spans="1:28" hidden="1" outlineLevel="1" x14ac:dyDescent="0.2">
      <c r="A146" s="3" t="s">
        <v>419</v>
      </c>
      <c r="B146" s="7"/>
      <c r="C146" s="165"/>
      <c r="D146" s="165"/>
      <c r="E146" s="165"/>
      <c r="F146" s="165"/>
      <c r="G146" s="165"/>
      <c r="H146" s="165"/>
      <c r="I146" s="165"/>
      <c r="J146" s="165"/>
      <c r="K146" s="165"/>
      <c r="L146" s="172">
        <f t="shared" ref="L146:Q146" si="174">L63</f>
        <v>384.8</v>
      </c>
      <c r="M146" s="172">
        <f t="shared" si="174"/>
        <v>361.65</v>
      </c>
      <c r="N146" s="172">
        <f t="shared" si="174"/>
        <v>333</v>
      </c>
      <c r="O146" s="172">
        <f t="shared" si="174"/>
        <v>310.8</v>
      </c>
      <c r="P146" s="172">
        <f t="shared" si="174"/>
        <v>307.10000000000002</v>
      </c>
      <c r="Q146" s="172">
        <f t="shared" si="174"/>
        <v>307.52499999999998</v>
      </c>
      <c r="R146" s="172">
        <f>R63</f>
        <v>308.52499999999998</v>
      </c>
      <c r="S146" s="172">
        <f>S63</f>
        <v>309.52499999999998</v>
      </c>
      <c r="T146" s="172">
        <f>T63</f>
        <v>310.52499999999998</v>
      </c>
      <c r="U146" s="172">
        <f>U63</f>
        <v>311.52499999999998</v>
      </c>
      <c r="V146" s="7"/>
      <c r="W146" s="7"/>
      <c r="X146" s="7"/>
      <c r="Y146" s="7"/>
      <c r="Z146" s="7"/>
      <c r="AA146" s="7"/>
      <c r="AB146" s="7"/>
    </row>
    <row r="147" spans="1:28" hidden="1" outlineLevel="1" x14ac:dyDescent="0.2">
      <c r="A147" s="3" t="s">
        <v>551</v>
      </c>
      <c r="B147" s="7"/>
      <c r="C147" s="165"/>
      <c r="D147" s="165"/>
      <c r="E147" s="165"/>
      <c r="F147" s="165"/>
      <c r="G147" s="165"/>
      <c r="H147" s="165"/>
      <c r="I147" s="165"/>
      <c r="J147" s="165"/>
      <c r="K147" s="165"/>
      <c r="L147" s="172">
        <f t="shared" ref="L147:Q147" si="175">L24</f>
        <v>384.8</v>
      </c>
      <c r="M147" s="172">
        <f t="shared" si="175"/>
        <v>361.65</v>
      </c>
      <c r="N147" s="172">
        <f t="shared" si="175"/>
        <v>333</v>
      </c>
      <c r="O147" s="172">
        <f t="shared" si="175"/>
        <v>310.8</v>
      </c>
      <c r="P147" s="172">
        <f t="shared" si="175"/>
        <v>307.10000000000002</v>
      </c>
      <c r="Q147" s="172">
        <f t="shared" si="175"/>
        <v>308.02499999999998</v>
      </c>
      <c r="R147" s="172">
        <f>R24</f>
        <v>309.02499999999998</v>
      </c>
      <c r="S147" s="172">
        <f>S24</f>
        <v>310.02499999999998</v>
      </c>
      <c r="T147" s="172">
        <f>T24</f>
        <v>311.02499999999998</v>
      </c>
      <c r="U147" s="172">
        <f>U24</f>
        <v>312.02499999999998</v>
      </c>
      <c r="V147" s="7"/>
      <c r="W147" s="7"/>
      <c r="X147" s="7"/>
      <c r="Y147" s="7"/>
      <c r="Z147" s="7"/>
      <c r="AA147" s="7"/>
      <c r="AB147" s="7"/>
    </row>
    <row r="148" spans="1:28" hidden="1" outlineLevel="1" x14ac:dyDescent="0.2">
      <c r="A148" s="3" t="s">
        <v>420</v>
      </c>
      <c r="B148" s="7"/>
      <c r="C148" s="165"/>
      <c r="D148" s="165"/>
      <c r="E148" s="165"/>
      <c r="F148" s="165"/>
      <c r="G148" s="165"/>
      <c r="H148" s="165"/>
      <c r="I148" s="165"/>
      <c r="J148" s="165"/>
      <c r="K148" s="165"/>
      <c r="L148" s="172">
        <f t="shared" ref="L148:Q148" si="176">L104</f>
        <v>384.8</v>
      </c>
      <c r="M148" s="172">
        <f t="shared" si="176"/>
        <v>361.65</v>
      </c>
      <c r="N148" s="172">
        <f t="shared" si="176"/>
        <v>333</v>
      </c>
      <c r="O148" s="172">
        <f t="shared" si="176"/>
        <v>310.8</v>
      </c>
      <c r="P148" s="172">
        <f t="shared" si="176"/>
        <v>307.10000000000002</v>
      </c>
      <c r="Q148" s="172">
        <f t="shared" si="176"/>
        <v>309.52499999999998</v>
      </c>
      <c r="R148" s="172">
        <f>R104</f>
        <v>310.52499999999998</v>
      </c>
      <c r="S148" s="172">
        <f>S104</f>
        <v>311.52499999999998</v>
      </c>
      <c r="T148" s="172">
        <f>T104</f>
        <v>312.52499999999998</v>
      </c>
      <c r="U148" s="172">
        <f>U104</f>
        <v>313.52499999999998</v>
      </c>
      <c r="V148" s="7"/>
      <c r="W148" s="7"/>
      <c r="X148" s="7"/>
      <c r="Y148" s="7"/>
      <c r="Z148" s="7"/>
      <c r="AA148" s="7"/>
      <c r="AB148" s="7"/>
    </row>
    <row r="149" spans="1:28" ht="13.5" collapsed="1" thickBot="1" x14ac:dyDescent="0.25">
      <c r="A149" s="2"/>
      <c r="B149" s="7"/>
      <c r="L149" s="1"/>
      <c r="M149" s="1"/>
      <c r="N149" s="1"/>
      <c r="O149" s="1"/>
      <c r="P149" s="1"/>
      <c r="Q149" s="1"/>
      <c r="R149" s="1"/>
      <c r="S149" s="1"/>
      <c r="T149" s="1"/>
      <c r="V149" s="7"/>
      <c r="W149" s="7"/>
      <c r="X149" s="7"/>
      <c r="Y149" s="7"/>
      <c r="Z149" s="7"/>
      <c r="AA149" s="7"/>
      <c r="AB149" s="7"/>
    </row>
    <row r="150" spans="1:28" ht="13.5" thickBot="1" x14ac:dyDescent="0.25">
      <c r="A150" s="2" t="s">
        <v>174</v>
      </c>
      <c r="B150" s="7"/>
      <c r="C150" s="164">
        <f>C133+C134</f>
        <v>2242</v>
      </c>
      <c r="D150" s="164">
        <f t="shared" ref="D150:P150" si="177">D133+D134</f>
        <v>3096</v>
      </c>
      <c r="E150" s="164">
        <f t="shared" si="177"/>
        <v>3489</v>
      </c>
      <c r="F150" s="164">
        <f t="shared" si="177"/>
        <v>3355</v>
      </c>
      <c r="G150" s="164">
        <f t="shared" si="177"/>
        <v>2676</v>
      </c>
      <c r="H150" s="164">
        <f t="shared" si="177"/>
        <v>2664</v>
      </c>
      <c r="I150" s="164">
        <f t="shared" si="177"/>
        <v>3069</v>
      </c>
      <c r="J150" s="164">
        <f t="shared" si="177"/>
        <v>3471</v>
      </c>
      <c r="K150" s="164">
        <f t="shared" si="177"/>
        <v>3715</v>
      </c>
      <c r="L150" s="164">
        <f t="shared" si="177"/>
        <v>3786</v>
      </c>
      <c r="M150" s="164">
        <f t="shared" si="177"/>
        <v>3923</v>
      </c>
      <c r="N150" s="164">
        <f t="shared" si="177"/>
        <v>3388</v>
      </c>
      <c r="O150" s="164">
        <f t="shared" si="177"/>
        <v>2252.75</v>
      </c>
      <c r="P150" s="164">
        <f t="shared" si="177"/>
        <v>2383.104149128083</v>
      </c>
      <c r="Q150" s="164">
        <f>Q133+Q134</f>
        <v>2056.6181209204951</v>
      </c>
      <c r="R150" s="164">
        <f>R133+R134</f>
        <v>1831.8614082970798</v>
      </c>
      <c r="S150" s="164">
        <f>S133+S134</f>
        <v>1587.9622449764502</v>
      </c>
      <c r="T150" s="164">
        <f>T133+T134</f>
        <v>1403.7216080081271</v>
      </c>
      <c r="U150" s="1428">
        <f>U133+U134</f>
        <v>1218.8843251975413</v>
      </c>
      <c r="V150" s="7"/>
      <c r="W150" s="7"/>
      <c r="X150" s="7"/>
      <c r="Y150" s="173" t="s">
        <v>552</v>
      </c>
      <c r="Z150" s="174" t="s">
        <v>419</v>
      </c>
      <c r="AA150" s="7"/>
      <c r="AB150" s="175" t="s">
        <v>419</v>
      </c>
    </row>
    <row r="151" spans="1:28" x14ac:dyDescent="0.2">
      <c r="A151" s="2"/>
      <c r="B151" s="7"/>
      <c r="L151" s="1"/>
      <c r="M151" s="1"/>
      <c r="N151" s="1"/>
      <c r="O151" s="1"/>
      <c r="P151" s="1"/>
      <c r="Q151" s="1"/>
      <c r="R151" s="1"/>
      <c r="S151" s="1"/>
      <c r="T151" s="1"/>
      <c r="V151" s="7"/>
      <c r="W151" s="7"/>
      <c r="X151" s="7"/>
      <c r="Y151" s="7"/>
      <c r="Z151" s="7"/>
      <c r="AA151" s="7"/>
      <c r="AB151" s="175" t="s">
        <v>551</v>
      </c>
    </row>
    <row r="152" spans="1:28" x14ac:dyDescent="0.2">
      <c r="A152" s="4" t="s">
        <v>175</v>
      </c>
      <c r="B152" s="7"/>
      <c r="L152" s="1"/>
      <c r="M152" s="1"/>
      <c r="N152" s="1"/>
      <c r="O152" s="1"/>
      <c r="P152" s="1"/>
      <c r="Q152" s="1"/>
      <c r="R152" s="1"/>
      <c r="S152" s="1"/>
      <c r="T152" s="1"/>
      <c r="V152" s="7"/>
      <c r="W152" s="7"/>
      <c r="X152" s="7"/>
      <c r="Y152" s="7"/>
      <c r="Z152" s="7"/>
      <c r="AA152" s="7"/>
      <c r="AB152" s="176" t="s">
        <v>420</v>
      </c>
    </row>
    <row r="153" spans="1:28" x14ac:dyDescent="0.2">
      <c r="A153" s="2" t="s">
        <v>176</v>
      </c>
      <c r="B153" s="7"/>
      <c r="C153" s="6">
        <f>C131/C127</f>
        <v>0.40758113590263689</v>
      </c>
      <c r="D153" s="6">
        <f t="shared" ref="D153:J153" si="178">D131/D127</f>
        <v>0.4072353729343457</v>
      </c>
      <c r="E153" s="6">
        <f t="shared" si="178"/>
        <v>0.40604375231738971</v>
      </c>
      <c r="F153" s="6">
        <f t="shared" si="178"/>
        <v>0.40421084634971305</v>
      </c>
      <c r="G153" s="6">
        <f t="shared" si="178"/>
        <v>0.39703519202956772</v>
      </c>
      <c r="H153" s="6">
        <f t="shared" si="178"/>
        <v>0.40246913580246912</v>
      </c>
      <c r="I153" s="6">
        <f t="shared" si="178"/>
        <v>0.4071111466624005</v>
      </c>
      <c r="J153" s="6">
        <f t="shared" si="178"/>
        <v>0.4039765195985609</v>
      </c>
      <c r="K153" s="6">
        <f>K131/K127</f>
        <v>0.40265838329841797</v>
      </c>
      <c r="L153" s="177">
        <f t="shared" ref="L153:Q153" si="179">INDEX(L154:L156,MATCH($Z$150,$AB$150:$AB$152,0))</f>
        <v>0.40120296444810427</v>
      </c>
      <c r="M153" s="177">
        <f t="shared" si="179"/>
        <v>0.4</v>
      </c>
      <c r="N153" s="177">
        <f t="shared" si="179"/>
        <v>0.39081945418959341</v>
      </c>
      <c r="O153" s="177">
        <f t="shared" si="179"/>
        <v>0.38556801927275464</v>
      </c>
      <c r="P153" s="177">
        <f t="shared" si="179"/>
        <v>0.39138103828422527</v>
      </c>
      <c r="Q153" s="177">
        <f t="shared" si="179"/>
        <v>0.39238103828422527</v>
      </c>
      <c r="R153" s="177">
        <f>INDEX(R154:R156,MATCH($Z$150,$AB$150:$AB$152,0))</f>
        <v>0.39338103828422527</v>
      </c>
      <c r="S153" s="177">
        <f>INDEX(S154:S156,MATCH($Z$150,$AB$150:$AB$152,0))</f>
        <v>0.39438103828422527</v>
      </c>
      <c r="T153" s="177">
        <f>INDEX(T154:T156,MATCH($Z$150,$AB$150:$AB$152,0))</f>
        <v>0.39538103828422527</v>
      </c>
      <c r="U153" s="177">
        <f>INDEX(U154:U156,MATCH($Z$150,$AB$150:$AB$152,0))</f>
        <v>0.39638103828422527</v>
      </c>
      <c r="V153" s="7"/>
      <c r="W153" s="7"/>
      <c r="X153" s="7"/>
      <c r="Y153" s="7"/>
      <c r="Z153" s="7"/>
      <c r="AA153" s="7"/>
      <c r="AB153" s="7"/>
    </row>
    <row r="154" spans="1:28" hidden="1" outlineLevel="1" x14ac:dyDescent="0.2">
      <c r="A154" s="3" t="s">
        <v>419</v>
      </c>
      <c r="B154" s="7"/>
      <c r="C154" s="6"/>
      <c r="D154" s="6"/>
      <c r="E154" s="6"/>
      <c r="F154" s="6"/>
      <c r="G154" s="6"/>
      <c r="H154" s="6"/>
      <c r="I154" s="6"/>
      <c r="J154" s="6"/>
      <c r="K154" s="6"/>
      <c r="L154" s="177">
        <f t="shared" ref="L154:Q154" si="180">L68</f>
        <v>0.40120296444810427</v>
      </c>
      <c r="M154" s="177">
        <f t="shared" si="180"/>
        <v>0.4</v>
      </c>
      <c r="N154" s="177">
        <f t="shared" si="180"/>
        <v>0.39081945418959341</v>
      </c>
      <c r="O154" s="177">
        <f t="shared" si="180"/>
        <v>0.38556801927275464</v>
      </c>
      <c r="P154" s="177">
        <f t="shared" si="180"/>
        <v>0.39138103828422527</v>
      </c>
      <c r="Q154" s="177">
        <f t="shared" si="180"/>
        <v>0.39238103828422527</v>
      </c>
      <c r="R154" s="177">
        <f>R68</f>
        <v>0.39338103828422527</v>
      </c>
      <c r="S154" s="177">
        <f>S68</f>
        <v>0.39438103828422527</v>
      </c>
      <c r="T154" s="177">
        <f>T68</f>
        <v>0.39538103828422527</v>
      </c>
      <c r="U154" s="177">
        <f>U68</f>
        <v>0.39638103828422527</v>
      </c>
      <c r="V154" s="7"/>
      <c r="W154" s="7"/>
      <c r="X154" s="7"/>
      <c r="Y154" s="7"/>
      <c r="Z154" s="7"/>
      <c r="AA154" s="7"/>
      <c r="AB154" s="7"/>
    </row>
    <row r="155" spans="1:28" hidden="1" outlineLevel="1" x14ac:dyDescent="0.2">
      <c r="A155" s="3" t="s">
        <v>551</v>
      </c>
      <c r="B155" s="7"/>
      <c r="C155" s="6"/>
      <c r="D155" s="6"/>
      <c r="E155" s="6"/>
      <c r="F155" s="6"/>
      <c r="G155" s="6"/>
      <c r="H155" s="6"/>
      <c r="I155" s="6"/>
      <c r="J155" s="6"/>
      <c r="K155" s="6"/>
      <c r="L155" s="177">
        <f t="shared" ref="L155:Q155" si="181">L29</f>
        <v>0.40120296444810427</v>
      </c>
      <c r="M155" s="177">
        <f t="shared" si="181"/>
        <v>0.4</v>
      </c>
      <c r="N155" s="177">
        <f t="shared" si="181"/>
        <v>0.39081945418959341</v>
      </c>
      <c r="O155" s="177">
        <f t="shared" si="181"/>
        <v>0.39532998842145889</v>
      </c>
      <c r="P155" s="177">
        <f t="shared" si="181"/>
        <v>0.39138103828422527</v>
      </c>
      <c r="Q155" s="177">
        <f t="shared" si="181"/>
        <v>0.3914733653503677</v>
      </c>
      <c r="R155" s="177">
        <f>R29</f>
        <v>0.38717336535036773</v>
      </c>
      <c r="S155" s="177">
        <f>S29</f>
        <v>0.38353336535036764</v>
      </c>
      <c r="T155" s="177">
        <f>T29</f>
        <v>0.37939336535036772</v>
      </c>
      <c r="U155" s="177">
        <f>U29</f>
        <v>0.37559336535036769</v>
      </c>
      <c r="V155" s="7"/>
      <c r="W155" s="7"/>
      <c r="X155" s="7"/>
      <c r="Y155" s="7"/>
      <c r="Z155" s="7"/>
      <c r="AA155" s="7"/>
      <c r="AB155" s="7"/>
    </row>
    <row r="156" spans="1:28" hidden="1" outlineLevel="1" x14ac:dyDescent="0.2">
      <c r="A156" s="3" t="s">
        <v>420</v>
      </c>
      <c r="B156" s="7"/>
      <c r="C156" s="6"/>
      <c r="D156" s="6"/>
      <c r="E156" s="6"/>
      <c r="F156" s="6"/>
      <c r="G156" s="6"/>
      <c r="H156" s="6"/>
      <c r="I156" s="6"/>
      <c r="J156" s="6"/>
      <c r="K156" s="6"/>
      <c r="L156" s="177">
        <f t="shared" ref="L156:R156" si="182">L109</f>
        <v>0.40120296444810427</v>
      </c>
      <c r="M156" s="177">
        <f t="shared" si="182"/>
        <v>0.4</v>
      </c>
      <c r="N156" s="177">
        <f t="shared" si="182"/>
        <v>0.39081945418959341</v>
      </c>
      <c r="O156" s="177">
        <f t="shared" si="182"/>
        <v>0.38556801927275464</v>
      </c>
      <c r="P156" s="177">
        <f t="shared" si="182"/>
        <v>0.38066830428510157</v>
      </c>
      <c r="Q156" s="177">
        <f t="shared" si="182"/>
        <v>0.38647336535036769</v>
      </c>
      <c r="R156" s="177">
        <f t="shared" si="182"/>
        <v>0.37997336535036774</v>
      </c>
      <c r="S156" s="177">
        <f>S109</f>
        <v>0.37553336535036763</v>
      </c>
      <c r="T156" s="177">
        <f>T109</f>
        <v>0.37139336535036771</v>
      </c>
      <c r="U156" s="177">
        <f>U109</f>
        <v>0.36759336535036768</v>
      </c>
      <c r="V156" s="7"/>
      <c r="W156" s="7"/>
      <c r="X156" s="7"/>
      <c r="Y156" s="7"/>
      <c r="Z156" s="7"/>
      <c r="AA156" s="7"/>
      <c r="AB156" s="7"/>
    </row>
    <row r="157" spans="1:28" collapsed="1" x14ac:dyDescent="0.2">
      <c r="A157" s="2" t="s">
        <v>177</v>
      </c>
      <c r="B157" s="7"/>
      <c r="C157" s="6">
        <f t="shared" ref="C157:J157" si="183">C132/C127</f>
        <v>0.31256338742393508</v>
      </c>
      <c r="D157" s="6">
        <f t="shared" si="183"/>
        <v>0.311746315319339</v>
      </c>
      <c r="E157" s="6">
        <f t="shared" si="183"/>
        <v>0.32176492398961809</v>
      </c>
      <c r="F157" s="6">
        <f t="shared" si="183"/>
        <v>0.32508645916467144</v>
      </c>
      <c r="G157" s="6">
        <f t="shared" si="183"/>
        <v>0.33978788365739998</v>
      </c>
      <c r="H157" s="6">
        <f t="shared" si="183"/>
        <v>0.34161958568738232</v>
      </c>
      <c r="I157" s="6">
        <f t="shared" si="183"/>
        <v>0.33036035675718911</v>
      </c>
      <c r="J157" s="6">
        <f t="shared" si="183"/>
        <v>0.31361484567316794</v>
      </c>
      <c r="K157" s="6">
        <f>K132/K127</f>
        <v>0.30636422740735392</v>
      </c>
      <c r="L157" s="177">
        <f t="shared" ref="L157:Q157" si="184">INDEX(L158:L160,MATCH($Z$150,$AB$150:$AB$152,0))</f>
        <v>0.30217321255952168</v>
      </c>
      <c r="M157" s="177">
        <f t="shared" si="184"/>
        <v>0.29727806440135207</v>
      </c>
      <c r="N157" s="177">
        <f t="shared" si="184"/>
        <v>0.3048857047896894</v>
      </c>
      <c r="O157" s="177">
        <f t="shared" si="184"/>
        <v>0.34059512158397953</v>
      </c>
      <c r="P157" s="177">
        <f t="shared" si="184"/>
        <v>0.33710162357185808</v>
      </c>
      <c r="Q157" s="177">
        <f t="shared" si="184"/>
        <v>0.35005578766783269</v>
      </c>
      <c r="R157" s="177">
        <f>INDEX(R158:R160,MATCH($Z$150,$AB$150:$AB$152,0))</f>
        <v>0.35901831712593302</v>
      </c>
      <c r="S157" s="177">
        <f>INDEX(S158:S160,MATCH($Z$150,$AB$150:$AB$152,0))</f>
        <v>0.36904174792156402</v>
      </c>
      <c r="T157" s="177">
        <f>INDEX(T158:T160,MATCH($Z$150,$AB$150:$AB$152,0))</f>
        <v>0.37690377027673588</v>
      </c>
      <c r="U157" s="177">
        <f>INDEX(U158:U160,MATCH($Z$150,$AB$150:$AB$152,0))</f>
        <v>0.38501767772557088</v>
      </c>
      <c r="V157" s="7"/>
      <c r="W157" s="7"/>
      <c r="X157" s="7"/>
      <c r="Y157" s="7"/>
      <c r="Z157" s="7"/>
      <c r="AA157" s="7"/>
      <c r="AB157" s="7"/>
    </row>
    <row r="158" spans="1:28" hidden="1" outlineLevel="1" x14ac:dyDescent="0.2">
      <c r="A158" s="3" t="s">
        <v>419</v>
      </c>
      <c r="B158" s="7"/>
      <c r="C158" s="6"/>
      <c r="D158" s="6"/>
      <c r="E158" s="6"/>
      <c r="F158" s="6"/>
      <c r="G158" s="6"/>
      <c r="H158" s="6"/>
      <c r="I158" s="6"/>
      <c r="J158" s="6"/>
      <c r="K158" s="6"/>
      <c r="L158" s="177">
        <f t="shared" ref="L158:Q158" si="185">L69</f>
        <v>0.30217321255952168</v>
      </c>
      <c r="M158" s="177">
        <f t="shared" si="185"/>
        <v>0.29727806440135207</v>
      </c>
      <c r="N158" s="177">
        <f t="shared" si="185"/>
        <v>0.3048857047896894</v>
      </c>
      <c r="O158" s="177">
        <f t="shared" si="185"/>
        <v>0.34059512158397953</v>
      </c>
      <c r="P158" s="177">
        <f t="shared" si="185"/>
        <v>0.33710162357185808</v>
      </c>
      <c r="Q158" s="177">
        <f t="shared" si="185"/>
        <v>0.35005578766783269</v>
      </c>
      <c r="R158" s="177">
        <f>R69</f>
        <v>0.35901831712593302</v>
      </c>
      <c r="S158" s="177">
        <f>S69</f>
        <v>0.36904174792156402</v>
      </c>
      <c r="T158" s="177">
        <f>T69</f>
        <v>0.37690377027673588</v>
      </c>
      <c r="U158" s="177">
        <f>U69</f>
        <v>0.38501767772557088</v>
      </c>
      <c r="V158" s="7"/>
      <c r="W158" s="7"/>
      <c r="X158" s="7"/>
      <c r="Y158" s="7"/>
      <c r="Z158" s="7"/>
      <c r="AA158" s="7"/>
      <c r="AB158" s="7"/>
    </row>
    <row r="159" spans="1:28" hidden="1" outlineLevel="1" x14ac:dyDescent="0.2">
      <c r="A159" s="3" t="s">
        <v>551</v>
      </c>
      <c r="B159" s="7"/>
      <c r="C159" s="6"/>
      <c r="D159" s="6"/>
      <c r="E159" s="6"/>
      <c r="F159" s="6"/>
      <c r="G159" s="6"/>
      <c r="H159" s="6"/>
      <c r="I159" s="6"/>
      <c r="J159" s="6"/>
      <c r="K159" s="6"/>
      <c r="L159" s="177">
        <f t="shared" ref="L159:Q159" si="186">L30</f>
        <v>0.30217321255952168</v>
      </c>
      <c r="M159" s="177">
        <f t="shared" si="186"/>
        <v>0.29727806440135207</v>
      </c>
      <c r="N159" s="177">
        <f t="shared" si="186"/>
        <v>0.3048857047896894</v>
      </c>
      <c r="O159" s="177">
        <f t="shared" si="186"/>
        <v>0.3492184484754921</v>
      </c>
      <c r="P159" s="177">
        <f t="shared" si="186"/>
        <v>0.33710162357185808</v>
      </c>
      <c r="Q159" s="177">
        <f t="shared" si="186"/>
        <v>0.35165578766783268</v>
      </c>
      <c r="R159" s="177">
        <f>R30</f>
        <v>0.36101831712593302</v>
      </c>
      <c r="S159" s="177">
        <f>S30</f>
        <v>0.37104174792156402</v>
      </c>
      <c r="T159" s="177">
        <f>T30</f>
        <v>0.37890377027673589</v>
      </c>
      <c r="U159" s="177">
        <f>U30</f>
        <v>0.38701767772557089</v>
      </c>
      <c r="V159" s="7"/>
      <c r="W159" s="7"/>
      <c r="X159" s="7"/>
      <c r="Y159" s="7"/>
      <c r="Z159" s="7"/>
      <c r="AA159" s="7"/>
      <c r="AB159" s="7"/>
    </row>
    <row r="160" spans="1:28" hidden="1" outlineLevel="1" x14ac:dyDescent="0.2">
      <c r="A160" s="3" t="s">
        <v>420</v>
      </c>
      <c r="B160" s="7"/>
      <c r="C160" s="6"/>
      <c r="D160" s="6"/>
      <c r="E160" s="6"/>
      <c r="F160" s="6"/>
      <c r="G160" s="6"/>
      <c r="H160" s="6"/>
      <c r="I160" s="6"/>
      <c r="J160" s="6"/>
      <c r="K160" s="6"/>
      <c r="L160" s="177">
        <f t="shared" ref="L160:Q160" si="187">L110</f>
        <v>0.30217321255952168</v>
      </c>
      <c r="M160" s="177">
        <f t="shared" si="187"/>
        <v>0.29727806440135207</v>
      </c>
      <c r="N160" s="177">
        <f t="shared" si="187"/>
        <v>0.3048857047896894</v>
      </c>
      <c r="O160" s="177">
        <f t="shared" si="187"/>
        <v>0.34059512158397953</v>
      </c>
      <c r="P160" s="177">
        <f t="shared" si="187"/>
        <v>0.32787460521698442</v>
      </c>
      <c r="Q160" s="177">
        <f t="shared" si="187"/>
        <v>0.35765578766783268</v>
      </c>
      <c r="R160" s="177">
        <f>R110</f>
        <v>0.36601831712593302</v>
      </c>
      <c r="S160" s="177">
        <f>S110</f>
        <v>0.37604174792156403</v>
      </c>
      <c r="T160" s="177">
        <f>T110</f>
        <v>0.38390377027673589</v>
      </c>
      <c r="U160" s="177">
        <f>U110</f>
        <v>0.39201767772557089</v>
      </c>
      <c r="V160" s="7"/>
      <c r="W160" s="7"/>
      <c r="X160" s="7"/>
      <c r="Y160" s="7"/>
      <c r="Z160" s="7"/>
      <c r="AA160" s="7"/>
      <c r="AB160" s="7"/>
    </row>
    <row r="161" spans="1:28" collapsed="1" x14ac:dyDescent="0.2">
      <c r="A161" s="2" t="s">
        <v>178</v>
      </c>
      <c r="B161" s="7"/>
      <c r="C161" s="6">
        <f t="shared" ref="C161:P161" si="188">C134/C127</f>
        <v>9.5017748478701827E-2</v>
      </c>
      <c r="D161" s="6">
        <f t="shared" si="188"/>
        <v>9.5489057615006701E-2</v>
      </c>
      <c r="E161" s="6">
        <f t="shared" si="188"/>
        <v>8.4278828327771602E-2</v>
      </c>
      <c r="F161" s="6">
        <f t="shared" si="188"/>
        <v>7.9124387185041611E-2</v>
      </c>
      <c r="G161" s="6">
        <f t="shared" si="188"/>
        <v>5.7247308372167766E-2</v>
      </c>
      <c r="H161" s="6">
        <f t="shared" si="188"/>
        <v>6.0849550115086838E-2</v>
      </c>
      <c r="I161" s="6">
        <f t="shared" si="188"/>
        <v>7.6750789905211378E-2</v>
      </c>
      <c r="J161" s="6">
        <f t="shared" si="188"/>
        <v>9.0361673925392919E-2</v>
      </c>
      <c r="K161" s="6">
        <f t="shared" si="188"/>
        <v>9.6294155891064076E-2</v>
      </c>
      <c r="L161" s="177">
        <f t="shared" si="188"/>
        <v>9.9029751888582582E-2</v>
      </c>
      <c r="M161" s="177">
        <f t="shared" si="188"/>
        <v>0.10272193559864792</v>
      </c>
      <c r="N161" s="177">
        <f t="shared" si="188"/>
        <v>8.5933749399903989E-2</v>
      </c>
      <c r="O161" s="177">
        <f t="shared" si="188"/>
        <v>4.4972897688775125E-2</v>
      </c>
      <c r="P161" s="177">
        <f t="shared" si="188"/>
        <v>5.4279414712367254E-2</v>
      </c>
      <c r="Q161" s="177">
        <f>Q134/Q127</f>
        <v>4.2325250616392592E-2</v>
      </c>
      <c r="R161" s="177">
        <f>R134/R127</f>
        <v>3.4362721158292253E-2</v>
      </c>
      <c r="S161" s="177">
        <f>S134/S127</f>
        <v>2.5339290362661242E-2</v>
      </c>
      <c r="T161" s="177">
        <f>T134/T127</f>
        <v>1.8477268007489348E-2</v>
      </c>
      <c r="U161" s="177">
        <f>U134/U127</f>
        <v>1.1363360558654372E-2</v>
      </c>
      <c r="V161" s="7"/>
      <c r="W161" s="7"/>
      <c r="X161" s="7"/>
      <c r="Y161" s="7"/>
      <c r="Z161" s="7"/>
      <c r="AA161" s="7"/>
      <c r="AB161" s="7"/>
    </row>
    <row r="162" spans="1:28" x14ac:dyDescent="0.2">
      <c r="A162" s="2" t="s">
        <v>180</v>
      </c>
      <c r="B162" s="7"/>
      <c r="C162" s="6">
        <v>0.38300000000000001</v>
      </c>
      <c r="D162" s="6">
        <v>0.374</v>
      </c>
      <c r="E162" s="6">
        <v>0.372</v>
      </c>
      <c r="F162" s="6">
        <v>0.375</v>
      </c>
      <c r="G162" s="6">
        <v>0.37</v>
      </c>
      <c r="H162" s="6">
        <f>H139/H137</f>
        <v>0.35899999999999993</v>
      </c>
      <c r="I162" s="6">
        <f>I139/I137</f>
        <v>0.3517032655712331</v>
      </c>
      <c r="J162" s="6">
        <f>J139/J137</f>
        <v>0.36199999999999999</v>
      </c>
      <c r="K162" s="6">
        <f>K139/K137</f>
        <v>0.3640819964349376</v>
      </c>
      <c r="L162" s="177">
        <f t="shared" ref="L162:Q162" si="189">INDEX(L163:L165,MATCH($Z$150,$AB$150:$AB$152,0))</f>
        <v>0.35216148023549204</v>
      </c>
      <c r="M162" s="177">
        <f t="shared" si="189"/>
        <v>0.3622774659182037</v>
      </c>
      <c r="N162" s="177">
        <f t="shared" si="189"/>
        <v>0.36222278738555441</v>
      </c>
      <c r="O162" s="177">
        <f t="shared" si="189"/>
        <v>0.36652665694376929</v>
      </c>
      <c r="P162" s="177">
        <f t="shared" si="189"/>
        <v>0.35529672767609533</v>
      </c>
      <c r="Q162" s="177">
        <f t="shared" si="189"/>
        <v>0.23249999999999979</v>
      </c>
      <c r="R162" s="177">
        <f>INDEX(R163:R165,MATCH($Z$150,$AB$150:$AB$152,0))</f>
        <v>0.23249999999999979</v>
      </c>
      <c r="S162" s="177">
        <f>INDEX(S163:S165,MATCH($Z$150,$AB$150:$AB$152,0))</f>
        <v>0.23249999999999982</v>
      </c>
      <c r="T162" s="177">
        <f>INDEX(T163:T165,MATCH($Z$150,$AB$150:$AB$152,0))</f>
        <v>0.23249999999999979</v>
      </c>
      <c r="U162" s="177">
        <f>INDEX(U163:U165,MATCH($Z$150,$AB$150:$AB$152,0))</f>
        <v>0.23249999999999979</v>
      </c>
      <c r="V162" s="7"/>
      <c r="W162" s="7"/>
      <c r="X162" s="7"/>
      <c r="Y162" s="7"/>
      <c r="Z162" s="7"/>
      <c r="AA162" s="7"/>
      <c r="AB162" s="7"/>
    </row>
    <row r="163" spans="1:28" hidden="1" outlineLevel="1" x14ac:dyDescent="0.2">
      <c r="A163" s="3" t="s">
        <v>419</v>
      </c>
      <c r="B163" s="7"/>
      <c r="C163" s="6"/>
      <c r="D163" s="6"/>
      <c r="E163" s="6"/>
      <c r="F163" s="6"/>
      <c r="G163" s="6"/>
      <c r="H163" s="6"/>
      <c r="I163" s="6"/>
      <c r="J163" s="6"/>
      <c r="K163" s="6"/>
      <c r="L163" s="177">
        <f t="shared" ref="L163:Q163" si="190">L71</f>
        <v>0.35216148023549204</v>
      </c>
      <c r="M163" s="177">
        <f t="shared" si="190"/>
        <v>0.3622774659182037</v>
      </c>
      <c r="N163" s="177">
        <f t="shared" si="190"/>
        <v>0.36222278738555441</v>
      </c>
      <c r="O163" s="177">
        <f t="shared" si="190"/>
        <v>0.36652665694376929</v>
      </c>
      <c r="P163" s="177">
        <f t="shared" si="190"/>
        <v>0.35529672767609533</v>
      </c>
      <c r="Q163" s="177">
        <f t="shared" si="190"/>
        <v>0.23249999999999979</v>
      </c>
      <c r="R163" s="177">
        <f>R71</f>
        <v>0.23249999999999979</v>
      </c>
      <c r="S163" s="177">
        <f>S71</f>
        <v>0.23249999999999982</v>
      </c>
      <c r="T163" s="177">
        <f>T71</f>
        <v>0.23249999999999979</v>
      </c>
      <c r="U163" s="177">
        <f>U71</f>
        <v>0.23249999999999979</v>
      </c>
      <c r="V163" s="7"/>
      <c r="W163" s="7"/>
      <c r="X163" s="7"/>
      <c r="Y163" s="7"/>
      <c r="Z163" s="7"/>
      <c r="AA163" s="7"/>
      <c r="AB163" s="7"/>
    </row>
    <row r="164" spans="1:28" hidden="1" outlineLevel="1" x14ac:dyDescent="0.2">
      <c r="A164" s="3" t="s">
        <v>551</v>
      </c>
      <c r="B164" s="7"/>
      <c r="C164" s="6"/>
      <c r="D164" s="6"/>
      <c r="E164" s="6"/>
      <c r="F164" s="6"/>
      <c r="G164" s="6"/>
      <c r="H164" s="6"/>
      <c r="I164" s="6"/>
      <c r="J164" s="6"/>
      <c r="K164" s="6"/>
      <c r="L164" s="177">
        <f t="shared" ref="L164:Q164" si="191">L32</f>
        <v>0.35216148023549204</v>
      </c>
      <c r="M164" s="177">
        <f t="shared" si="191"/>
        <v>0.3622774659182037</v>
      </c>
      <c r="N164" s="177">
        <f t="shared" si="191"/>
        <v>0.36222278738555441</v>
      </c>
      <c r="O164" s="177">
        <f t="shared" si="191"/>
        <v>0.36652665694376929</v>
      </c>
      <c r="P164" s="177">
        <f t="shared" si="191"/>
        <v>0.35529672767609533</v>
      </c>
      <c r="Q164" s="177">
        <f t="shared" si="191"/>
        <v>0.23249999999999979</v>
      </c>
      <c r="R164" s="177">
        <f>R32</f>
        <v>0.23249999999999979</v>
      </c>
      <c r="S164" s="177">
        <f>S32</f>
        <v>0.23249999999999982</v>
      </c>
      <c r="T164" s="177">
        <f>T32</f>
        <v>0.23249999999999979</v>
      </c>
      <c r="U164" s="177">
        <f>U32</f>
        <v>0.23249999999999979</v>
      </c>
      <c r="V164" s="7"/>
      <c r="W164" s="7"/>
      <c r="X164" s="7"/>
      <c r="Y164" s="7"/>
      <c r="Z164" s="7"/>
      <c r="AA164" s="7"/>
      <c r="AB164" s="7"/>
    </row>
    <row r="165" spans="1:28" hidden="1" outlineLevel="1" x14ac:dyDescent="0.2">
      <c r="A165" s="3" t="s">
        <v>420</v>
      </c>
      <c r="B165" s="7"/>
      <c r="C165" s="6"/>
      <c r="D165" s="6"/>
      <c r="E165" s="6"/>
      <c r="F165" s="6"/>
      <c r="G165" s="6"/>
      <c r="H165" s="6"/>
      <c r="I165" s="6"/>
      <c r="J165" s="6"/>
      <c r="K165" s="6"/>
      <c r="L165" s="177">
        <f t="shared" ref="L165:Q165" si="192">L112</f>
        <v>0.35216148023549204</v>
      </c>
      <c r="M165" s="177">
        <f t="shared" si="192"/>
        <v>0.3622774659182037</v>
      </c>
      <c r="N165" s="177">
        <f t="shared" si="192"/>
        <v>0.36222278738555441</v>
      </c>
      <c r="O165" s="177">
        <f t="shared" si="192"/>
        <v>0.36652665694376929</v>
      </c>
      <c r="P165" s="177">
        <f t="shared" si="192"/>
        <v>0.35529672767609533</v>
      </c>
      <c r="Q165" s="177">
        <f t="shared" si="192"/>
        <v>0.23249999999999979</v>
      </c>
      <c r="R165" s="177">
        <f>R112</f>
        <v>0.23249999999999979</v>
      </c>
      <c r="S165" s="177">
        <f>S112</f>
        <v>0.23249999999999982</v>
      </c>
      <c r="T165" s="177">
        <f>T112</f>
        <v>0.23249999999999979</v>
      </c>
      <c r="U165" s="177">
        <f>U112</f>
        <v>0.23249999999999979</v>
      </c>
      <c r="V165" s="7"/>
      <c r="W165" s="7"/>
      <c r="X165" s="7"/>
      <c r="Y165" s="7"/>
      <c r="Z165" s="7"/>
      <c r="AA165" s="7"/>
      <c r="AB165" s="7"/>
    </row>
    <row r="166" spans="1:28" collapsed="1" x14ac:dyDescent="0.2">
      <c r="A166" s="2"/>
      <c r="B166" s="7"/>
      <c r="L166" s="1"/>
      <c r="M166" s="1"/>
      <c r="N166" s="1"/>
      <c r="O166" s="1"/>
      <c r="P166" s="1"/>
      <c r="Q166" s="1"/>
      <c r="R166" s="1"/>
      <c r="S166" s="1"/>
      <c r="T166" s="1"/>
      <c r="V166" s="7"/>
      <c r="W166" s="7"/>
      <c r="X166" s="7"/>
      <c r="Y166" s="7"/>
      <c r="Z166" s="7"/>
      <c r="AA166" s="7"/>
      <c r="AB166" s="7"/>
    </row>
    <row r="167" spans="1:28" x14ac:dyDescent="0.2">
      <c r="A167" s="4" t="s">
        <v>183</v>
      </c>
      <c r="B167" s="7"/>
      <c r="L167" s="1"/>
      <c r="M167" s="1"/>
      <c r="N167" s="1"/>
      <c r="O167" s="1"/>
      <c r="P167" s="1"/>
      <c r="Q167" s="1"/>
      <c r="R167" s="1"/>
      <c r="S167" s="1"/>
      <c r="T167" s="1"/>
      <c r="V167" s="7"/>
      <c r="W167" s="7"/>
      <c r="X167" s="7"/>
      <c r="Y167" s="7"/>
      <c r="Z167" s="7"/>
      <c r="AA167" s="7"/>
      <c r="AB167" s="7"/>
    </row>
    <row r="168" spans="1:28" x14ac:dyDescent="0.2">
      <c r="A168" s="2" t="s">
        <v>89</v>
      </c>
      <c r="B168" s="7"/>
      <c r="C168" s="178" t="s">
        <v>86</v>
      </c>
      <c r="D168" s="9">
        <f>((D127/C127)-1)</f>
        <v>0.41924442190669375</v>
      </c>
      <c r="E168" s="9">
        <f t="shared" ref="E168:K168" si="193">((E127/D127)-1)</f>
        <v>0.20455560518088434</v>
      </c>
      <c r="F168" s="9">
        <f t="shared" si="193"/>
        <v>-2.4360400444938812E-2</v>
      </c>
      <c r="G168" s="9">
        <f t="shared" si="193"/>
        <v>-5.4003724394785846E-2</v>
      </c>
      <c r="H168" s="9">
        <f t="shared" si="193"/>
        <v>-4.0053029085650005E-2</v>
      </c>
      <c r="I168" s="9">
        <f t="shared" si="193"/>
        <v>4.6369533375183014E-2</v>
      </c>
      <c r="J168" s="9">
        <f t="shared" si="193"/>
        <v>5.60732712074552E-2</v>
      </c>
      <c r="K168" s="9">
        <f t="shared" si="193"/>
        <v>4.8513539102442715E-2</v>
      </c>
      <c r="L168" s="179">
        <f t="shared" ref="L168:Q168" si="194">L169+L178</f>
        <v>8.8492378819620132E-3</v>
      </c>
      <c r="M168" s="179">
        <f t="shared" si="194"/>
        <v>6.229637320539938E-3</v>
      </c>
      <c r="N168" s="179">
        <f t="shared" si="194"/>
        <v>-3.6505959793631026E-2</v>
      </c>
      <c r="O168" s="179">
        <f t="shared" si="194"/>
        <v>-1.8944569592673322E-2</v>
      </c>
      <c r="P168" s="179">
        <f t="shared" si="194"/>
        <v>-3.4593088910637615E-2</v>
      </c>
      <c r="Q168" s="179">
        <f t="shared" si="194"/>
        <v>-1.8330072601645424E-2</v>
      </c>
      <c r="R168" s="179">
        <f>R169+R178</f>
        <v>-1.6511650746092298E-2</v>
      </c>
      <c r="S168" s="179">
        <f>S169+S178</f>
        <v>-1.6684552497106552E-2</v>
      </c>
      <c r="T168" s="179">
        <f>T169+T178</f>
        <v>-1.5923590413742261E-2</v>
      </c>
      <c r="U168" s="179">
        <f>U169+U178</f>
        <v>-1.6107716966339291E-2</v>
      </c>
      <c r="V168" s="7"/>
      <c r="W168" s="7"/>
      <c r="X168" s="7"/>
      <c r="Y168" s="7"/>
      <c r="Z168" s="7"/>
      <c r="AA168" s="7"/>
      <c r="AB168" s="7"/>
    </row>
    <row r="169" spans="1:28" x14ac:dyDescent="0.2">
      <c r="A169" s="2" t="s">
        <v>184</v>
      </c>
      <c r="B169" s="7"/>
      <c r="C169" s="6">
        <f t="shared" ref="C169:K169" si="195">C36</f>
        <v>-0.01</v>
      </c>
      <c r="D169" s="6">
        <f t="shared" si="195"/>
        <v>0.06</v>
      </c>
      <c r="E169" s="6">
        <f t="shared" si="195"/>
        <v>0.04</v>
      </c>
      <c r="F169" s="6">
        <f t="shared" si="195"/>
        <v>0.01</v>
      </c>
      <c r="G169" s="6">
        <f t="shared" si="195"/>
        <v>0.02</v>
      </c>
      <c r="H169" s="6">
        <f t="shared" si="195"/>
        <v>0.06</v>
      </c>
      <c r="I169" s="6">
        <f t="shared" si="195"/>
        <v>4.5999999999999999E-2</v>
      </c>
      <c r="J169" s="6">
        <f t="shared" si="195"/>
        <v>5.2999999999999999E-2</v>
      </c>
      <c r="K169" s="6">
        <f t="shared" si="195"/>
        <v>3.7000000000000005E-2</v>
      </c>
      <c r="L169" s="177">
        <f t="shared" ref="L169:Q169" si="196">INDEX(L170:L172,MATCH($Z$150,$AB$150:$AB$152,0))</f>
        <v>1.9428806702230499E-2</v>
      </c>
      <c r="M169" s="177">
        <f t="shared" si="196"/>
        <v>6.9999999999999993E-3</v>
      </c>
      <c r="N169" s="177">
        <f t="shared" si="196"/>
        <v>-3.052572103844307E-2</v>
      </c>
      <c r="O169" s="177">
        <f t="shared" si="196"/>
        <v>-3.5000000000000003E-2</v>
      </c>
      <c r="P169" s="177">
        <f t="shared" si="196"/>
        <v>-3.3000000000000002E-2</v>
      </c>
      <c r="Q169" s="177">
        <f t="shared" si="196"/>
        <v>0</v>
      </c>
      <c r="R169" s="177">
        <f>INDEX(R170:R172,MATCH($Z$150,$AB$150:$AB$152,0))</f>
        <v>-0.01</v>
      </c>
      <c r="S169" s="177">
        <f>INDEX(S170:S172,MATCH($Z$150,$AB$150:$AB$152,0))</f>
        <v>-0.01</v>
      </c>
      <c r="T169" s="177">
        <f>INDEX(T170:T172,MATCH($Z$150,$AB$150:$AB$152,0))</f>
        <v>-0.01</v>
      </c>
      <c r="U169" s="177">
        <f>INDEX(U170:U172,MATCH($Z$150,$AB$150:$AB$152,0))</f>
        <v>-0.01</v>
      </c>
      <c r="V169" s="7"/>
      <c r="W169" s="7"/>
      <c r="X169" s="7"/>
      <c r="Y169" s="7"/>
      <c r="Z169" s="7"/>
      <c r="AA169" s="7"/>
      <c r="AB169" s="7"/>
    </row>
    <row r="170" spans="1:28" hidden="1" outlineLevel="1" x14ac:dyDescent="0.2">
      <c r="A170" s="3" t="s">
        <v>419</v>
      </c>
      <c r="B170" s="7"/>
      <c r="C170" s="13"/>
      <c r="D170" s="13"/>
      <c r="E170" s="13"/>
      <c r="F170" s="13"/>
      <c r="G170" s="13"/>
      <c r="H170" s="6"/>
      <c r="I170" s="6"/>
      <c r="J170" s="6"/>
      <c r="K170" s="6"/>
      <c r="L170" s="177">
        <f t="shared" ref="L170:Q170" si="197">L75</f>
        <v>1.9428806702230499E-2</v>
      </c>
      <c r="M170" s="177">
        <f t="shared" si="197"/>
        <v>6.9999999999999993E-3</v>
      </c>
      <c r="N170" s="177">
        <f t="shared" si="197"/>
        <v>-3.052572103844307E-2</v>
      </c>
      <c r="O170" s="177">
        <f t="shared" si="197"/>
        <v>-3.5000000000000003E-2</v>
      </c>
      <c r="P170" s="177">
        <f t="shared" si="197"/>
        <v>-3.3000000000000002E-2</v>
      </c>
      <c r="Q170" s="177">
        <f t="shared" si="197"/>
        <v>0</v>
      </c>
      <c r="R170" s="177">
        <f>R75</f>
        <v>-0.01</v>
      </c>
      <c r="S170" s="177">
        <f>S75</f>
        <v>-0.01</v>
      </c>
      <c r="T170" s="177">
        <f>T75</f>
        <v>-0.01</v>
      </c>
      <c r="U170" s="177">
        <f>U75</f>
        <v>-0.01</v>
      </c>
      <c r="V170" s="7"/>
      <c r="W170" s="7"/>
      <c r="X170" s="7"/>
      <c r="Y170" s="7"/>
      <c r="Z170" s="7"/>
      <c r="AA170" s="7"/>
      <c r="AB170" s="7"/>
    </row>
    <row r="171" spans="1:28" hidden="1" outlineLevel="1" x14ac:dyDescent="0.2">
      <c r="A171" s="3" t="s">
        <v>551</v>
      </c>
      <c r="B171" s="7"/>
      <c r="C171" s="13"/>
      <c r="D171" s="13"/>
      <c r="E171" s="13"/>
      <c r="F171" s="13"/>
      <c r="G171" s="13"/>
      <c r="H171" s="6"/>
      <c r="I171" s="6"/>
      <c r="J171" s="6"/>
      <c r="K171" s="6"/>
      <c r="L171" s="177">
        <f t="shared" ref="L171:Q171" si="198">L36</f>
        <v>1.9428806702230499E-2</v>
      </c>
      <c r="M171" s="177">
        <f t="shared" si="198"/>
        <v>6.9999999999999993E-3</v>
      </c>
      <c r="N171" s="177">
        <f t="shared" si="198"/>
        <v>-3.052572103844307E-2</v>
      </c>
      <c r="O171" s="177">
        <f t="shared" si="198"/>
        <v>-3.5000000000000003E-2</v>
      </c>
      <c r="P171" s="177">
        <f t="shared" si="198"/>
        <v>-3.3000000000000002E-2</v>
      </c>
      <c r="Q171" s="177">
        <f t="shared" si="198"/>
        <v>3.3402492304908001E-3</v>
      </c>
      <c r="R171" s="177">
        <f>R36</f>
        <v>-0.02</v>
      </c>
      <c r="S171" s="177">
        <f>S36</f>
        <v>-0.02</v>
      </c>
      <c r="T171" s="177">
        <f>T36</f>
        <v>-0.02</v>
      </c>
      <c r="U171" s="177">
        <f>U36</f>
        <v>-0.02</v>
      </c>
      <c r="V171" s="7"/>
      <c r="W171" s="7"/>
      <c r="X171" s="7"/>
      <c r="Y171" s="7"/>
      <c r="Z171" s="7"/>
      <c r="AA171" s="7"/>
      <c r="AB171" s="7"/>
    </row>
    <row r="172" spans="1:28" hidden="1" outlineLevel="1" x14ac:dyDescent="0.2">
      <c r="A172" s="3" t="s">
        <v>420</v>
      </c>
      <c r="B172" s="7"/>
      <c r="C172" s="13"/>
      <c r="D172" s="13"/>
      <c r="E172" s="13"/>
      <c r="F172" s="13"/>
      <c r="G172" s="13"/>
      <c r="H172" s="6"/>
      <c r="I172" s="6"/>
      <c r="J172" s="6"/>
      <c r="K172" s="6"/>
      <c r="L172" s="177">
        <f t="shared" ref="L172:Q172" si="199">L116</f>
        <v>1.9428806702230499E-2</v>
      </c>
      <c r="M172" s="177">
        <f t="shared" si="199"/>
        <v>6.9999999999999993E-3</v>
      </c>
      <c r="N172" s="177">
        <f t="shared" si="199"/>
        <v>-3.052572103844307E-2</v>
      </c>
      <c r="O172" s="177">
        <f t="shared" si="199"/>
        <v>-3.5000000000000003E-2</v>
      </c>
      <c r="P172" s="177">
        <f t="shared" si="199"/>
        <v>-3.3000000000000002E-2</v>
      </c>
      <c r="Q172" s="177">
        <f t="shared" si="199"/>
        <v>-6.6597507695092002E-3</v>
      </c>
      <c r="R172" s="177">
        <f>R116</f>
        <v>-0.03</v>
      </c>
      <c r="S172" s="177">
        <f>S116</f>
        <v>-0.03</v>
      </c>
      <c r="T172" s="177">
        <f>T116</f>
        <v>-0.03</v>
      </c>
      <c r="U172" s="177">
        <f>U116</f>
        <v>-0.03</v>
      </c>
      <c r="V172" s="7"/>
      <c r="W172" s="7"/>
      <c r="X172" s="7"/>
      <c r="Y172" s="7"/>
      <c r="Z172" s="7"/>
      <c r="AA172" s="7"/>
      <c r="AB172" s="7"/>
    </row>
    <row r="173" spans="1:28" collapsed="1" x14ac:dyDescent="0.2">
      <c r="A173" s="2" t="s">
        <v>164</v>
      </c>
      <c r="B173" s="7"/>
      <c r="C173" s="178" t="s">
        <v>86</v>
      </c>
      <c r="D173" s="9">
        <f t="shared" ref="D173:U173" si="200">((D132/C132)-1)</f>
        <v>0.41553437436625429</v>
      </c>
      <c r="E173" s="9">
        <f t="shared" si="200"/>
        <v>0.24326647564469916</v>
      </c>
      <c r="F173" s="9">
        <f t="shared" si="200"/>
        <v>-1.4289006683567695E-2</v>
      </c>
      <c r="G173" s="9">
        <f t="shared" si="200"/>
        <v>-1.1222819733458067E-2</v>
      </c>
      <c r="H173" s="9">
        <f t="shared" si="200"/>
        <v>-3.4878221801844411E-2</v>
      </c>
      <c r="I173" s="9">
        <f t="shared" si="200"/>
        <v>1.1882886193801401E-2</v>
      </c>
      <c r="J173" s="9">
        <f t="shared" si="200"/>
        <v>2.5423728813558366E-3</v>
      </c>
      <c r="K173" s="9">
        <f t="shared" si="200"/>
        <v>2.4272430865837524E-2</v>
      </c>
      <c r="L173" s="179">
        <f t="shared" si="200"/>
        <v>-4.9516623437868557E-3</v>
      </c>
      <c r="M173" s="179">
        <f t="shared" si="200"/>
        <v>-1.0071090047393372E-2</v>
      </c>
      <c r="N173" s="179">
        <f t="shared" si="200"/>
        <v>-1.1849192100538586E-2</v>
      </c>
      <c r="O173" s="179">
        <f t="shared" si="200"/>
        <v>9.5960513565891414E-2</v>
      </c>
      <c r="P173" s="179">
        <f t="shared" si="200"/>
        <v>-4.4495306855199201E-2</v>
      </c>
      <c r="Q173" s="179">
        <f t="shared" si="200"/>
        <v>1.9393606070851499E-2</v>
      </c>
      <c r="R173" s="179">
        <f t="shared" si="200"/>
        <v>8.6687451005569294E-3</v>
      </c>
      <c r="S173" s="179">
        <f t="shared" si="200"/>
        <v>1.0768627098916461E-2</v>
      </c>
      <c r="T173" s="179">
        <f t="shared" si="200"/>
        <v>5.0410586400251312E-3</v>
      </c>
      <c r="U173" s="179">
        <f t="shared" si="200"/>
        <v>5.0733153122621832E-3</v>
      </c>
      <c r="V173" s="7"/>
      <c r="W173" s="7"/>
      <c r="X173" s="7"/>
      <c r="Y173" s="7"/>
      <c r="Z173" s="7"/>
      <c r="AA173" s="7"/>
      <c r="AB173" s="7"/>
    </row>
    <row r="174" spans="1:28" x14ac:dyDescent="0.2">
      <c r="A174" s="2" t="s">
        <v>165</v>
      </c>
      <c r="B174" s="7"/>
      <c r="C174" s="178" t="s">
        <v>86</v>
      </c>
      <c r="D174" s="9">
        <f t="shared" ref="D174:U174" si="201">((D134/C134)-1)</f>
        <v>0.42628418945963986</v>
      </c>
      <c r="E174" s="9">
        <f t="shared" si="201"/>
        <v>6.3143124415341534E-2</v>
      </c>
      <c r="F174" s="9">
        <f t="shared" si="201"/>
        <v>-8.4029916410030769E-2</v>
      </c>
      <c r="G174" s="9">
        <f t="shared" si="201"/>
        <v>-0.31556195965417866</v>
      </c>
      <c r="H174" s="9">
        <f t="shared" si="201"/>
        <v>2.0350877192982564E-2</v>
      </c>
      <c r="I174" s="9">
        <f t="shared" si="201"/>
        <v>0.31980742778541948</v>
      </c>
      <c r="J174" s="9">
        <f t="shared" si="201"/>
        <v>0.24335591453882222</v>
      </c>
      <c r="K174" s="9">
        <f t="shared" si="201"/>
        <v>0.11735121542330251</v>
      </c>
      <c r="L174" s="179">
        <f t="shared" si="201"/>
        <v>3.7509377344336015E-2</v>
      </c>
      <c r="M174" s="179">
        <f t="shared" si="201"/>
        <v>4.374548083875629E-2</v>
      </c>
      <c r="N174" s="179">
        <f t="shared" si="201"/>
        <v>-0.19397298233460336</v>
      </c>
      <c r="O174" s="179">
        <f t="shared" si="201"/>
        <v>-0.48657069187795443</v>
      </c>
      <c r="P174" s="179">
        <f t="shared" si="201"/>
        <v>0.16518447300948558</v>
      </c>
      <c r="Q174" s="179">
        <f t="shared" si="201"/>
        <v>-0.23452701323537894</v>
      </c>
      <c r="R174" s="179">
        <f t="shared" si="201"/>
        <v>-0.20153252690363932</v>
      </c>
      <c r="S174" s="179">
        <f t="shared" si="201"/>
        <v>-0.27489689982385868</v>
      </c>
      <c r="T174" s="179">
        <f t="shared" si="201"/>
        <v>-0.28241701722764889</v>
      </c>
      <c r="U174" s="179">
        <f t="shared" si="201"/>
        <v>-0.39491472665453509</v>
      </c>
      <c r="V174" s="7"/>
      <c r="W174" s="7"/>
      <c r="X174" s="7"/>
      <c r="Y174" s="7"/>
      <c r="Z174" s="7"/>
      <c r="AA174" s="7"/>
      <c r="AB174" s="7"/>
    </row>
    <row r="175" spans="1:28" x14ac:dyDescent="0.2">
      <c r="A175" s="2" t="s">
        <v>522</v>
      </c>
      <c r="B175" s="7"/>
      <c r="C175" s="178" t="s">
        <v>86</v>
      </c>
      <c r="D175" s="9">
        <f>((D144/C144)-1)</f>
        <v>0.13701576329161691</v>
      </c>
      <c r="E175" s="9">
        <f>((E144/D144)-1)</f>
        <v>-0.1715015241477873</v>
      </c>
      <c r="F175" s="9">
        <f>((F144/E144)-1)</f>
        <v>2.4814778973956564E-2</v>
      </c>
      <c r="G175" s="9">
        <f>((G144/F144)-1)</f>
        <v>-0.39268237430300357</v>
      </c>
      <c r="H175" s="9">
        <f t="shared" ref="H175:U175" si="202">((H144/G144)-1)</f>
        <v>5.3963342811646164E-2</v>
      </c>
      <c r="I175" s="9">
        <f t="shared" si="202"/>
        <v>0.51835241291504008</v>
      </c>
      <c r="J175" s="9">
        <f t="shared" si="202"/>
        <v>0.39183183263487975</v>
      </c>
      <c r="K175" s="9">
        <f t="shared" si="202"/>
        <v>0.20197315725368936</v>
      </c>
      <c r="L175" s="179">
        <f t="shared" si="202"/>
        <v>0.15645188501530471</v>
      </c>
      <c r="M175" s="179">
        <f t="shared" si="202"/>
        <v>9.8490205191723801E-2</v>
      </c>
      <c r="N175" s="179">
        <f t="shared" si="202"/>
        <v>-0.14381318563923839</v>
      </c>
      <c r="O175" s="179">
        <f t="shared" si="202"/>
        <v>-0.54977265834659894</v>
      </c>
      <c r="P175" s="179">
        <f t="shared" si="202"/>
        <v>0.34001289231197562</v>
      </c>
      <c r="Q175" s="179">
        <f t="shared" si="202"/>
        <v>-0.10943598111181296</v>
      </c>
      <c r="R175" s="179">
        <f t="shared" si="202"/>
        <v>-0.25255656765521062</v>
      </c>
      <c r="S175" s="179">
        <f t="shared" si="202"/>
        <v>-0.36710031336767812</v>
      </c>
      <c r="T175" s="179">
        <f t="shared" si="202"/>
        <v>-0.42222031185120912</v>
      </c>
      <c r="U175" s="179">
        <f t="shared" si="202"/>
        <v>-0.7287303353232002</v>
      </c>
      <c r="V175" s="7"/>
      <c r="W175" s="7"/>
      <c r="X175" s="7"/>
      <c r="Y175" s="7"/>
      <c r="Z175" s="7"/>
      <c r="AA175" s="7"/>
      <c r="AB175" s="7"/>
    </row>
    <row r="176" spans="1:28" x14ac:dyDescent="0.2">
      <c r="A176" s="2" t="s">
        <v>174</v>
      </c>
      <c r="B176" s="7"/>
      <c r="C176" s="178" t="s">
        <v>86</v>
      </c>
      <c r="D176" s="9">
        <f>((D150/C150)-1)</f>
        <v>0.38090990187332729</v>
      </c>
      <c r="E176" s="9">
        <f>((E150/D150)-1)</f>
        <v>0.12693798449612403</v>
      </c>
      <c r="F176" s="9">
        <f>((F150/E150)-1)</f>
        <v>-3.840642017770135E-2</v>
      </c>
      <c r="G176" s="9">
        <f>((G150/F150)-1)</f>
        <v>-0.20238450074515646</v>
      </c>
      <c r="H176" s="9">
        <f t="shared" ref="H176:U176" si="203">((H150/G150)-1)</f>
        <v>-4.484304932735439E-3</v>
      </c>
      <c r="I176" s="9">
        <f t="shared" si="203"/>
        <v>0.15202702702702697</v>
      </c>
      <c r="J176" s="9">
        <f t="shared" si="203"/>
        <v>0.13098729227761496</v>
      </c>
      <c r="K176" s="9">
        <f t="shared" si="203"/>
        <v>7.0296744454047877E-2</v>
      </c>
      <c r="L176" s="179">
        <f t="shared" si="203"/>
        <v>1.9111709286675715E-2</v>
      </c>
      <c r="M176" s="179">
        <f t="shared" si="203"/>
        <v>3.6185948230322174E-2</v>
      </c>
      <c r="N176" s="179">
        <f t="shared" si="203"/>
        <v>-0.13637522304358907</v>
      </c>
      <c r="O176" s="179">
        <f t="shared" si="203"/>
        <v>-0.33507969303423846</v>
      </c>
      <c r="P176" s="179">
        <f t="shared" si="203"/>
        <v>5.7864454168497614E-2</v>
      </c>
      <c r="Q176" s="179">
        <f t="shared" si="203"/>
        <v>-0.13700031881822738</v>
      </c>
      <c r="R176" s="179">
        <f t="shared" si="203"/>
        <v>-0.10928461163359748</v>
      </c>
      <c r="S176" s="179">
        <f t="shared" si="203"/>
        <v>-0.13314280338890994</v>
      </c>
      <c r="T176" s="179">
        <f t="shared" si="203"/>
        <v>-0.11602331072490668</v>
      </c>
      <c r="U176" s="179">
        <f t="shared" si="203"/>
        <v>-0.13167659581223434</v>
      </c>
      <c r="V176" s="7"/>
      <c r="W176" s="7"/>
      <c r="X176" s="7"/>
      <c r="Y176" s="7"/>
      <c r="Z176" s="7"/>
      <c r="AA176" s="7"/>
      <c r="AB176" s="7"/>
    </row>
    <row r="177" spans="1:28" x14ac:dyDescent="0.2">
      <c r="A177" s="2" t="s">
        <v>546</v>
      </c>
      <c r="B177" s="7"/>
      <c r="C177" s="178" t="s">
        <v>86</v>
      </c>
      <c r="D177" s="6">
        <f>D35-D36</f>
        <v>0.35924442190669376</v>
      </c>
      <c r="E177" s="6">
        <f t="shared" ref="E177:P177" si="204">E35-E36</f>
        <v>0.16455560518088433</v>
      </c>
      <c r="F177" s="6">
        <f t="shared" si="204"/>
        <v>-3.4360400444938814E-2</v>
      </c>
      <c r="G177" s="6">
        <f t="shared" si="204"/>
        <v>-7.400372439478585E-2</v>
      </c>
      <c r="H177" s="6">
        <f t="shared" si="204"/>
        <v>-0.10005302908565</v>
      </c>
      <c r="I177" s="6">
        <f t="shared" si="204"/>
        <v>3.6953337518301488E-4</v>
      </c>
      <c r="J177" s="6">
        <f t="shared" si="204"/>
        <v>3.0732712074552013E-3</v>
      </c>
      <c r="K177" s="6">
        <f>K35-K36</f>
        <v>1.151353910244271E-2</v>
      </c>
      <c r="L177" s="177">
        <f t="shared" si="204"/>
        <v>-1.0579568820268486E-2</v>
      </c>
      <c r="M177" s="177">
        <f t="shared" si="204"/>
        <v>-7.7036267946006126E-4</v>
      </c>
      <c r="N177" s="177">
        <f t="shared" si="204"/>
        <v>-5.9802387551879561E-3</v>
      </c>
      <c r="O177" s="177">
        <f t="shared" si="204"/>
        <v>1.6055430407326682E-2</v>
      </c>
      <c r="P177" s="177">
        <f t="shared" si="204"/>
        <v>-1.5930889106376134E-3</v>
      </c>
      <c r="Q177" s="177">
        <f>Q35-Q36</f>
        <v>-2.0330072601645422E-2</v>
      </c>
      <c r="R177" s="177">
        <f>R35-R36</f>
        <v>-8.5116507460922981E-3</v>
      </c>
      <c r="S177" s="177">
        <f>S35-S36</f>
        <v>-8.684552497106552E-3</v>
      </c>
      <c r="T177" s="177">
        <f>T35-T36</f>
        <v>-7.9235904137422604E-3</v>
      </c>
      <c r="U177" s="177">
        <f>U35-U36</f>
        <v>-8.1077169663392908E-3</v>
      </c>
      <c r="V177" s="7"/>
      <c r="W177" s="7"/>
      <c r="X177" s="7"/>
      <c r="Y177" s="7"/>
      <c r="Z177" s="7"/>
      <c r="AA177" s="7"/>
      <c r="AB177" s="7"/>
    </row>
    <row r="178" spans="1:28" x14ac:dyDescent="0.2">
      <c r="A178" s="2" t="s">
        <v>549</v>
      </c>
      <c r="B178" s="7"/>
      <c r="C178" s="178" t="s">
        <v>86</v>
      </c>
      <c r="D178" s="6">
        <f t="shared" ref="D178:K178" si="205">D177</f>
        <v>0.35924442190669376</v>
      </c>
      <c r="E178" s="6">
        <f t="shared" si="205"/>
        <v>0.16455560518088433</v>
      </c>
      <c r="F178" s="6">
        <f t="shared" si="205"/>
        <v>-3.4360400444938814E-2</v>
      </c>
      <c r="G178" s="6">
        <f t="shared" si="205"/>
        <v>-7.400372439478585E-2</v>
      </c>
      <c r="H178" s="6">
        <f t="shared" si="205"/>
        <v>-0.10005302908565</v>
      </c>
      <c r="I178" s="6">
        <f t="shared" si="205"/>
        <v>3.6953337518301488E-4</v>
      </c>
      <c r="J178" s="6">
        <f t="shared" si="205"/>
        <v>3.0732712074552013E-3</v>
      </c>
      <c r="K178" s="6">
        <f t="shared" si="205"/>
        <v>1.151353910244271E-2</v>
      </c>
      <c r="L178" s="177">
        <f t="shared" ref="L178:Q178" si="206">INDEX(L179:L181,MATCH($Z$150,$AB$150:$AB$152,0))</f>
        <v>-1.0579568820268486E-2</v>
      </c>
      <c r="M178" s="177">
        <f t="shared" si="206"/>
        <v>-7.7036267946006126E-4</v>
      </c>
      <c r="N178" s="177">
        <f t="shared" si="206"/>
        <v>-5.9802387551879561E-3</v>
      </c>
      <c r="O178" s="177">
        <f t="shared" si="206"/>
        <v>1.6055430407326682E-2</v>
      </c>
      <c r="P178" s="177">
        <f t="shared" si="206"/>
        <v>-1.5930889106376134E-3</v>
      </c>
      <c r="Q178" s="177">
        <f t="shared" si="206"/>
        <v>-1.8330072601645424E-2</v>
      </c>
      <c r="R178" s="177">
        <f>INDEX(R179:R181,MATCH($Z$150,$AB$150:$AB$152,0))</f>
        <v>-6.5116507460922981E-3</v>
      </c>
      <c r="S178" s="177">
        <f>INDEX(S179:S181,MATCH($Z$150,$AB$150:$AB$152,0))</f>
        <v>-6.684552497106552E-3</v>
      </c>
      <c r="T178" s="177">
        <f>INDEX(T179:T181,MATCH($Z$150,$AB$150:$AB$152,0))</f>
        <v>-5.9235904137422603E-3</v>
      </c>
      <c r="U178" s="177">
        <f>INDEX(U179:U181,MATCH($Z$150,$AB$150:$AB$152,0))</f>
        <v>-6.1077169663392907E-3</v>
      </c>
      <c r="V178" s="7"/>
      <c r="W178" s="7"/>
      <c r="X178" s="7"/>
      <c r="Y178" s="7"/>
      <c r="Z178" s="7"/>
      <c r="AA178" s="7"/>
      <c r="AB178" s="7"/>
    </row>
    <row r="179" spans="1:28" hidden="1" outlineLevel="1" x14ac:dyDescent="0.2">
      <c r="A179" s="3" t="s">
        <v>419</v>
      </c>
      <c r="B179" s="7"/>
      <c r="C179" s="178"/>
      <c r="D179" s="178"/>
      <c r="E179" s="178"/>
      <c r="F179" s="178"/>
      <c r="G179" s="178"/>
      <c r="H179" s="6"/>
      <c r="I179" s="6"/>
      <c r="J179" s="6"/>
      <c r="K179" s="6"/>
      <c r="L179" s="177">
        <f t="shared" ref="L179:Q179" si="207">L81</f>
        <v>-1.0579568820268486E-2</v>
      </c>
      <c r="M179" s="177">
        <f t="shared" si="207"/>
        <v>-7.7036267946006126E-4</v>
      </c>
      <c r="N179" s="177">
        <f t="shared" si="207"/>
        <v>-5.9802387551879561E-3</v>
      </c>
      <c r="O179" s="177">
        <f t="shared" si="207"/>
        <v>1.6055430407326682E-2</v>
      </c>
      <c r="P179" s="177">
        <f t="shared" si="207"/>
        <v>-1.5930889106376134E-3</v>
      </c>
      <c r="Q179" s="177">
        <f t="shared" si="207"/>
        <v>-1.8330072601645424E-2</v>
      </c>
      <c r="R179" s="177">
        <f>R81</f>
        <v>-6.5116507460922981E-3</v>
      </c>
      <c r="S179" s="177">
        <f>S81</f>
        <v>-6.684552497106552E-3</v>
      </c>
      <c r="T179" s="177">
        <f>T81</f>
        <v>-5.9235904137422603E-3</v>
      </c>
      <c r="U179" s="177">
        <f>U81</f>
        <v>-6.1077169663392907E-3</v>
      </c>
      <c r="V179" s="7"/>
      <c r="W179" s="7"/>
      <c r="X179" s="7"/>
      <c r="Y179" s="7"/>
      <c r="Z179" s="7"/>
      <c r="AA179" s="7"/>
      <c r="AB179" s="7"/>
    </row>
    <row r="180" spans="1:28" hidden="1" outlineLevel="1" x14ac:dyDescent="0.2">
      <c r="A180" s="3" t="s">
        <v>551</v>
      </c>
      <c r="B180" s="7"/>
      <c r="C180" s="178"/>
      <c r="D180" s="178"/>
      <c r="E180" s="178"/>
      <c r="F180" s="178"/>
      <c r="G180" s="178"/>
      <c r="H180" s="6"/>
      <c r="I180" s="6"/>
      <c r="J180" s="6"/>
      <c r="K180" s="6"/>
      <c r="L180" s="177">
        <f>L121</f>
        <v>-1.0579568820268486E-2</v>
      </c>
      <c r="M180" s="177">
        <f t="shared" ref="M180:P181" si="208">M121</f>
        <v>-7.7036267946006126E-4</v>
      </c>
      <c r="N180" s="177">
        <f t="shared" si="208"/>
        <v>-5.9802387551879561E-3</v>
      </c>
      <c r="O180" s="177">
        <f t="shared" si="208"/>
        <v>1.6055430407326682E-2</v>
      </c>
      <c r="P180" s="177">
        <f t="shared" si="208"/>
        <v>-1.5930889106376134E-3</v>
      </c>
      <c r="Q180" s="177">
        <f t="shared" ref="Q180:T181" si="209">Q121</f>
        <v>-2.0330072601645422E-2</v>
      </c>
      <c r="R180" s="177">
        <f t="shared" si="209"/>
        <v>-8.5116507460922981E-3</v>
      </c>
      <c r="S180" s="177">
        <f t="shared" si="209"/>
        <v>-8.684552497106552E-3</v>
      </c>
      <c r="T180" s="177">
        <f t="shared" si="209"/>
        <v>-7.9235904137422604E-3</v>
      </c>
      <c r="U180" s="177">
        <f t="shared" ref="U180" si="210">U121</f>
        <v>-8.1077169663392908E-3</v>
      </c>
      <c r="V180" s="7"/>
      <c r="W180" s="7"/>
      <c r="X180" s="7"/>
      <c r="Y180" s="7"/>
      <c r="Z180" s="7"/>
      <c r="AA180" s="7"/>
      <c r="AB180" s="7"/>
    </row>
    <row r="181" spans="1:28" hidden="1" outlineLevel="1" x14ac:dyDescent="0.2">
      <c r="A181" s="3" t="s">
        <v>420</v>
      </c>
      <c r="B181" s="7"/>
      <c r="C181" s="178"/>
      <c r="D181" s="178"/>
      <c r="E181" s="178"/>
      <c r="F181" s="178"/>
      <c r="G181" s="178"/>
      <c r="H181" s="6"/>
      <c r="I181" s="6"/>
      <c r="J181" s="6"/>
      <c r="K181" s="6"/>
      <c r="L181" s="177">
        <f>L122</f>
        <v>-1.0579568820268486E-2</v>
      </c>
      <c r="M181" s="177">
        <f t="shared" si="208"/>
        <v>-7.7036267946006126E-4</v>
      </c>
      <c r="N181" s="177">
        <f t="shared" si="208"/>
        <v>-5.9802387551879561E-3</v>
      </c>
      <c r="O181" s="177">
        <f t="shared" si="208"/>
        <v>1.6055430407326682E-2</v>
      </c>
      <c r="P181" s="177">
        <f t="shared" si="208"/>
        <v>-1.5930889106376134E-3</v>
      </c>
      <c r="Q181" s="177">
        <f t="shared" si="209"/>
        <v>-2.233007260164542E-2</v>
      </c>
      <c r="R181" s="177">
        <f t="shared" si="209"/>
        <v>-1.0511650746092298E-2</v>
      </c>
      <c r="S181" s="177">
        <f t="shared" si="209"/>
        <v>-1.0684552497106552E-2</v>
      </c>
      <c r="T181" s="177">
        <f t="shared" si="209"/>
        <v>-9.9235904137422604E-3</v>
      </c>
      <c r="U181" s="177">
        <f t="shared" ref="U181" si="211">U122</f>
        <v>-1.0107716966339291E-2</v>
      </c>
      <c r="V181" s="7"/>
      <c r="W181" s="7"/>
      <c r="X181" s="7"/>
      <c r="Y181" s="7"/>
      <c r="Z181" s="7"/>
      <c r="AA181" s="7"/>
      <c r="AB181" s="7"/>
    </row>
    <row r="182" spans="1:28" collapsed="1" x14ac:dyDescent="0.2"/>
  </sheetData>
  <phoneticPr fontId="10" type="noConversion"/>
  <printOptions horizontalCentered="1" verticalCentered="1"/>
  <pageMargins left="0.75" right="0.75" top="0.5" bottom="0.5" header="0.5" footer="0.5"/>
  <pageSetup scale="53" orientation="landscape"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GP89"/>
  <sheetViews>
    <sheetView showGridLines="0" zoomScale="85" zoomScaleNormal="85" workbookViewId="0">
      <pane xSplit="1" topLeftCell="EB1" activePane="topRight" state="frozen"/>
      <selection activeCell="K33" sqref="K33"/>
      <selection pane="topRight"/>
    </sheetView>
  </sheetViews>
  <sheetFormatPr defaultRowHeight="12.75" outlineLevelRow="1" outlineLevelCol="2" x14ac:dyDescent="0.2"/>
  <cols>
    <col min="1" max="1" width="20" style="185" customWidth="1"/>
    <col min="2" max="2" width="1" style="185" hidden="1" customWidth="1" outlineLevel="1"/>
    <col min="3" max="6" width="7.28515625" style="185" hidden="1" customWidth="1" outlineLevel="1"/>
    <col min="7" max="7" width="1" style="185" hidden="1" customWidth="1" outlineLevel="1"/>
    <col min="8" max="11" width="7.28515625" style="185" hidden="1" customWidth="1" outlineLevel="1"/>
    <col min="12" max="12" width="1" style="185" hidden="1" customWidth="1" outlineLevel="1"/>
    <col min="13" max="16" width="7.28515625" style="185" hidden="1" customWidth="1" outlineLevel="1"/>
    <col min="17" max="17" width="1" style="185" hidden="1" customWidth="1" outlineLevel="1"/>
    <col min="18" max="21" width="7.28515625" style="185" hidden="1" customWidth="1" outlineLevel="1"/>
    <col min="22" max="22" width="1" style="185" hidden="1" customWidth="1" outlineLevel="1"/>
    <col min="23" max="26" width="7.28515625" style="185" hidden="1" customWidth="1" outlineLevel="1"/>
    <col min="27" max="27" width="1" style="185" hidden="1" customWidth="1" outlineLevel="1"/>
    <col min="28" max="31" width="7.28515625" style="185" hidden="1" customWidth="1" outlineLevel="1"/>
    <col min="32" max="32" width="1" style="185" hidden="1" customWidth="1" outlineLevel="1"/>
    <col min="33" max="36" width="7.28515625" style="185" hidden="1" customWidth="1" outlineLevel="1"/>
    <col min="37" max="37" width="1" style="185" hidden="1" customWidth="1" outlineLevel="1"/>
    <col min="38" max="41" width="7.28515625" style="185" hidden="1" customWidth="1" outlineLevel="1"/>
    <col min="42" max="42" width="1" style="185" hidden="1" customWidth="1" outlineLevel="1"/>
    <col min="43" max="46" width="7.28515625" style="185" hidden="1" customWidth="1" outlineLevel="1"/>
    <col min="47" max="47" width="1" style="185" hidden="1" customWidth="1" outlineLevel="1"/>
    <col min="48" max="51" width="7.28515625" style="185" hidden="1" customWidth="1" outlineLevel="1"/>
    <col min="52" max="52" width="1" style="185" hidden="1" customWidth="1" outlineLevel="1"/>
    <col min="53" max="56" width="7.28515625" style="185" hidden="1" customWidth="1" outlineLevel="1"/>
    <col min="57" max="57" width="1" style="185" hidden="1" customWidth="1" outlineLevel="1"/>
    <col min="58" max="61" width="7.28515625" style="185" hidden="1" customWidth="1" outlineLevel="1"/>
    <col min="62" max="62" width="1" style="185" hidden="1" customWidth="1" outlineLevel="1"/>
    <col min="63" max="66" width="7.28515625" style="185" hidden="1" customWidth="1" outlineLevel="1"/>
    <col min="67" max="67" width="1" style="185" hidden="1" customWidth="1" outlineLevel="1"/>
    <col min="68" max="71" width="7.28515625" style="185" hidden="1" customWidth="1" outlineLevel="1"/>
    <col min="72" max="72" width="1" style="185" hidden="1" customWidth="1" outlineLevel="1"/>
    <col min="73" max="76" width="7.28515625" style="185" hidden="1" customWidth="1" outlineLevel="1"/>
    <col min="77" max="77" width="1" style="185" hidden="1" customWidth="1" outlineLevel="1"/>
    <col min="78" max="81" width="7.28515625" style="185" hidden="1" customWidth="1" outlineLevel="1"/>
    <col min="82" max="82" width="1" style="185" hidden="1" customWidth="1" outlineLevel="1"/>
    <col min="83" max="86" width="7.28515625" style="185" hidden="1" customWidth="1" outlineLevel="1"/>
    <col min="87" max="87" width="1" style="185" hidden="1" customWidth="1" outlineLevel="1"/>
    <col min="88" max="91" width="7.28515625" style="185" hidden="1" customWidth="1" outlineLevel="1"/>
    <col min="92" max="92" width="1" style="185" hidden="1" customWidth="1" outlineLevel="1"/>
    <col min="93" max="93" width="8.140625" style="185" hidden="1" customWidth="1" outlineLevel="1"/>
    <col min="94" max="94" width="7.28515625" style="185" hidden="1" customWidth="1" outlineLevel="1"/>
    <col min="95" max="95" width="8.7109375" style="185" hidden="1" customWidth="1" outlineLevel="1"/>
    <col min="96" max="96" width="8.140625" style="185" hidden="1" customWidth="1" outlineLevel="1"/>
    <col min="97" max="97" width="1" style="185" hidden="1" customWidth="1" outlineLevel="1"/>
    <col min="98" max="100" width="8.140625" style="185" hidden="1" customWidth="1" outlineLevel="1"/>
    <col min="101" max="101" width="7.28515625" style="185" hidden="1" customWidth="1" outlineLevel="1"/>
    <col min="102" max="102" width="1" style="185" hidden="1" customWidth="1" outlineLevel="1"/>
    <col min="103" max="103" width="8.42578125" style="185" hidden="1" customWidth="1" outlineLevel="1" collapsed="1"/>
    <col min="104" max="106" width="7.28515625" style="185" hidden="1" customWidth="1" outlineLevel="1"/>
    <col min="107" max="107" width="1" style="185" hidden="1" customWidth="1" outlineLevel="1"/>
    <col min="108" max="111" width="7.28515625" style="185" hidden="1" customWidth="1" outlineLevel="1"/>
    <col min="112" max="112" width="1" style="185" hidden="1" customWidth="1" outlineLevel="1"/>
    <col min="113" max="113" width="8.140625" style="185" hidden="1" customWidth="1" outlineLevel="1" collapsed="1"/>
    <col min="114" max="114" width="7.7109375" style="185" hidden="1" customWidth="1" outlineLevel="1"/>
    <col min="115" max="116" width="8.140625" style="185" hidden="1" customWidth="1" outlineLevel="1"/>
    <col min="117" max="117" width="1" style="185" hidden="1" customWidth="1" outlineLevel="1"/>
    <col min="118" max="118" width="8.140625" style="185" hidden="1" customWidth="1" outlineLevel="1"/>
    <col min="119" max="119" width="8.5703125" style="185" hidden="1" customWidth="1" outlineLevel="1"/>
    <col min="120" max="120" width="7.7109375" style="185" hidden="1" customWidth="1" outlineLevel="1"/>
    <col min="121" max="121" width="8.140625" style="185" hidden="1" customWidth="1" outlineLevel="1"/>
    <col min="122" max="122" width="1" style="185" hidden="1" customWidth="1" outlineLevel="1"/>
    <col min="123" max="123" width="7.85546875" style="185" hidden="1" customWidth="1" outlineLevel="1"/>
    <col min="124" max="125" width="7.7109375" style="185" hidden="1" customWidth="1" outlineLevel="1"/>
    <col min="126" max="126" width="8.140625" style="185" hidden="1" customWidth="1" outlineLevel="1"/>
    <col min="127" max="127" width="1" style="185" hidden="1" customWidth="1" outlineLevel="2"/>
    <col min="128" max="131" width="9.140625" hidden="1" customWidth="1" outlineLevel="1"/>
    <col min="132" max="132" width="1.5703125" style="185" customWidth="1" collapsed="1"/>
    <col min="133" max="133" width="7.7109375" style="185" customWidth="1"/>
    <col min="134" max="134" width="8.7109375" style="185" bestFit="1" customWidth="1"/>
    <col min="135" max="135" width="7.7109375" style="185" customWidth="1"/>
    <col min="136" max="136" width="8.140625" style="185" customWidth="1"/>
    <col min="137" max="137" width="1.5703125" style="185" customWidth="1"/>
    <col min="138" max="138" width="7.42578125" style="185" customWidth="1"/>
    <col min="139" max="139" width="8.7109375" style="185" customWidth="1"/>
    <col min="140" max="140" width="8.7109375" style="185" bestFit="1" customWidth="1"/>
    <col min="141" max="141" width="8.7109375" style="185" customWidth="1"/>
    <col min="142" max="142" width="1.5703125" style="185" customWidth="1"/>
    <col min="143" max="143" width="8.7109375" style="12" customWidth="1"/>
    <col min="144" max="144" width="9.42578125" style="12" customWidth="1"/>
    <col min="145" max="145" width="8.7109375" style="12" bestFit="1" customWidth="1"/>
    <col min="146" max="146" width="8.7109375" style="12" customWidth="1"/>
    <col min="147" max="147" width="1.42578125" style="185" customWidth="1"/>
    <col min="148" max="154" width="5.42578125" style="185" hidden="1" customWidth="1" outlineLevel="1"/>
    <col min="155" max="155" width="9" style="185" hidden="1" customWidth="1" outlineLevel="1"/>
    <col min="156" max="156" width="5.42578125" style="185" hidden="1" customWidth="1" outlineLevel="1"/>
    <col min="157" max="160" width="9" style="185" hidden="1" customWidth="1" outlineLevel="1"/>
    <col min="161" max="161" width="9" style="185" hidden="1" customWidth="1" outlineLevel="1" collapsed="1"/>
    <col min="162" max="163" width="9" style="185" hidden="1" customWidth="1" outlineLevel="1"/>
    <col min="164" max="165" width="9" style="185" hidden="1" customWidth="1" outlineLevel="1" collapsed="1"/>
    <col min="166" max="171" width="9" style="185" hidden="1" customWidth="1" outlineLevel="1"/>
    <col min="172" max="172" width="8.85546875" style="185" customWidth="1" collapsed="1"/>
    <col min="173" max="173" width="8.7109375" style="185" customWidth="1"/>
    <col min="174" max="174" width="9" style="185" customWidth="1"/>
    <col min="175" max="175" width="9.7109375" style="185" customWidth="1"/>
    <col min="176" max="176" width="9.5703125" style="185" bestFit="1" customWidth="1"/>
    <col min="177" max="179" width="8.7109375" style="261" customWidth="1"/>
    <col min="180" max="180" width="10.140625" style="185" hidden="1" customWidth="1" outlineLevel="1"/>
    <col min="181" max="181" width="10.140625" style="12" hidden="1" customWidth="1" outlineLevel="1"/>
    <col min="182" max="182" width="8.140625" style="185" customWidth="1" collapsed="1"/>
    <col min="183" max="183" width="11.28515625" style="185" customWidth="1"/>
    <col min="184" max="184" width="28.42578125" hidden="1" customWidth="1" outlineLevel="1"/>
    <col min="185" max="189" width="9.140625" hidden="1" customWidth="1" outlineLevel="1"/>
    <col min="190" max="190" width="9.140625" style="185" collapsed="1"/>
    <col min="191" max="192" width="9.140625" style="185"/>
    <col min="193" max="193" width="20.28515625" style="185" bestFit="1" customWidth="1"/>
    <col min="194" max="194" width="16.7109375" style="185" customWidth="1"/>
    <col min="195" max="195" width="9.140625" style="185"/>
    <col min="196" max="196" width="11.42578125" style="185" bestFit="1" customWidth="1"/>
    <col min="197" max="16384" width="9.140625" style="185"/>
  </cols>
  <sheetData>
    <row r="1" spans="1:198" x14ac:dyDescent="0.2">
      <c r="A1" s="281" t="s">
        <v>285</v>
      </c>
      <c r="DX1" s="185"/>
      <c r="DY1" s="185"/>
      <c r="DZ1" s="185"/>
      <c r="EA1" s="185"/>
    </row>
    <row r="2" spans="1:198" x14ac:dyDescent="0.2">
      <c r="A2" s="283" t="s">
        <v>669</v>
      </c>
      <c r="B2" s="284"/>
      <c r="C2" s="284"/>
      <c r="D2" s="284"/>
      <c r="E2" s="284"/>
      <c r="F2" s="284"/>
      <c r="G2" s="284"/>
      <c r="H2" s="284"/>
      <c r="I2" s="284"/>
      <c r="J2" s="284"/>
      <c r="K2" s="284"/>
      <c r="L2" s="284"/>
      <c r="M2" s="284"/>
      <c r="N2" s="284"/>
      <c r="O2" s="284"/>
      <c r="P2" s="284"/>
      <c r="Q2" s="284"/>
      <c r="R2" s="284"/>
      <c r="S2" s="284"/>
      <c r="T2" s="284"/>
      <c r="U2" s="284"/>
      <c r="V2" s="284"/>
      <c r="W2" s="284"/>
      <c r="X2" s="284"/>
      <c r="Y2" s="284"/>
      <c r="Z2" s="284"/>
      <c r="AA2" s="284"/>
      <c r="AB2" s="284"/>
      <c r="AC2" s="284"/>
      <c r="AD2" s="284"/>
      <c r="AE2" s="284"/>
      <c r="AF2" s="284"/>
      <c r="AG2" s="284"/>
      <c r="AH2" s="284"/>
      <c r="AI2" s="284"/>
      <c r="AJ2" s="284"/>
      <c r="AK2" s="284"/>
      <c r="AL2" s="284"/>
      <c r="AM2" s="284"/>
      <c r="AN2" s="284"/>
      <c r="AO2" s="284"/>
      <c r="AP2" s="284"/>
      <c r="AQ2" s="284"/>
      <c r="AR2" s="284"/>
      <c r="AS2" s="284"/>
      <c r="AT2" s="284"/>
      <c r="AU2" s="284"/>
      <c r="AV2" s="284"/>
      <c r="AW2" s="284"/>
      <c r="AX2" s="284"/>
      <c r="AY2" s="284"/>
      <c r="AZ2" s="284"/>
      <c r="BA2" s="284"/>
      <c r="BB2" s="284"/>
      <c r="BC2" s="284"/>
      <c r="BD2" s="284"/>
      <c r="BE2" s="284"/>
      <c r="BF2" s="284"/>
      <c r="BG2" s="284"/>
      <c r="BH2" s="284"/>
      <c r="BI2" s="284"/>
      <c r="BJ2" s="284"/>
      <c r="BK2" s="284"/>
      <c r="BL2" s="284"/>
      <c r="BM2" s="284"/>
      <c r="BN2" s="284"/>
      <c r="BO2" s="284"/>
      <c r="BP2" s="284"/>
      <c r="BQ2" s="284"/>
      <c r="BR2" s="284"/>
      <c r="BS2" s="284"/>
      <c r="BT2" s="284"/>
      <c r="BU2" s="284"/>
      <c r="BV2" s="284"/>
      <c r="BW2" s="284"/>
      <c r="BX2" s="284"/>
      <c r="BY2" s="284"/>
      <c r="BZ2" s="284"/>
      <c r="CA2" s="284"/>
      <c r="CB2" s="284"/>
      <c r="CC2" s="284"/>
      <c r="CD2" s="284"/>
      <c r="CE2" s="284"/>
      <c r="CF2" s="284"/>
      <c r="CG2" s="284"/>
      <c r="CH2" s="284"/>
      <c r="CI2" s="284"/>
      <c r="CJ2" s="284"/>
      <c r="CK2" s="284"/>
      <c r="CL2" s="284"/>
      <c r="CM2" s="284"/>
      <c r="CN2" s="284"/>
      <c r="CO2" s="284"/>
      <c r="CP2" s="284"/>
      <c r="CQ2" s="284"/>
      <c r="CR2" s="284"/>
      <c r="CS2" s="284"/>
      <c r="CT2" s="284"/>
      <c r="CU2" s="284"/>
      <c r="CV2" s="284"/>
      <c r="CW2" s="284"/>
      <c r="CX2" s="284"/>
      <c r="CY2" s="284"/>
      <c r="CZ2" s="284"/>
      <c r="DA2" s="284"/>
      <c r="DB2" s="284"/>
      <c r="DC2" s="284"/>
      <c r="DD2" s="284"/>
      <c r="DE2" s="284"/>
      <c r="DF2" s="284"/>
      <c r="DG2" s="284"/>
      <c r="DH2" s="284"/>
      <c r="DI2" s="284"/>
      <c r="DJ2" s="284"/>
      <c r="DK2" s="284"/>
      <c r="DL2" s="284"/>
      <c r="DM2" s="284"/>
      <c r="DN2" s="284"/>
      <c r="DO2" s="284"/>
      <c r="DP2" s="284"/>
      <c r="DQ2" s="284"/>
      <c r="DR2" s="284"/>
      <c r="DS2" s="284"/>
      <c r="DT2" s="284"/>
      <c r="DU2" s="284"/>
      <c r="DV2" s="284"/>
      <c r="DW2" s="284"/>
      <c r="DX2" s="284"/>
      <c r="DY2" s="284"/>
      <c r="DZ2" s="284"/>
      <c r="EA2" s="284"/>
      <c r="EB2" s="284"/>
      <c r="EC2" s="284"/>
      <c r="ED2" s="284"/>
      <c r="EE2" s="284"/>
      <c r="EF2" s="284"/>
      <c r="EG2" s="284"/>
      <c r="EH2" s="284"/>
      <c r="EI2" s="284"/>
      <c r="EJ2" s="284"/>
      <c r="EK2" s="284"/>
      <c r="EL2" s="261"/>
      <c r="EM2" s="1325"/>
      <c r="EN2" s="1325"/>
      <c r="EO2" s="1325"/>
      <c r="EP2" s="1325"/>
      <c r="ER2" s="284"/>
      <c r="ES2" s="284"/>
      <c r="ET2" s="284"/>
      <c r="EU2" s="284"/>
      <c r="EV2" s="284"/>
      <c r="EW2" s="284"/>
      <c r="EX2" s="284"/>
      <c r="EY2" s="284"/>
      <c r="EZ2" s="284"/>
      <c r="FA2" s="284"/>
      <c r="FB2" s="284"/>
      <c r="FC2" s="284"/>
      <c r="FD2" s="284"/>
      <c r="FE2" s="284"/>
      <c r="FF2" s="284"/>
      <c r="FG2" s="284"/>
      <c r="FH2" s="284"/>
      <c r="FI2" s="284"/>
      <c r="FJ2" s="284"/>
      <c r="FK2" s="284"/>
      <c r="FL2" s="284"/>
      <c r="FM2" s="284"/>
      <c r="FN2" s="284"/>
      <c r="FO2" s="284"/>
      <c r="FP2" s="284"/>
      <c r="FQ2" s="284"/>
      <c r="FR2" s="284"/>
      <c r="FS2" s="284"/>
      <c r="FT2" s="284"/>
      <c r="FU2" s="284"/>
      <c r="FV2" s="284"/>
      <c r="FW2" s="284"/>
      <c r="FX2" s="284"/>
      <c r="FY2" s="1325"/>
      <c r="FZ2" s="261"/>
      <c r="GA2" s="261"/>
    </row>
    <row r="3" spans="1:198" x14ac:dyDescent="0.2">
      <c r="A3" s="285" t="s">
        <v>88</v>
      </c>
      <c r="CU3" s="282"/>
      <c r="CZ3" s="282"/>
      <c r="DE3" s="282"/>
      <c r="DJ3" s="282"/>
      <c r="DO3" s="282"/>
      <c r="DT3" s="282"/>
      <c r="DX3" s="185"/>
      <c r="DY3" s="185"/>
      <c r="DZ3" s="185"/>
      <c r="EA3" s="185"/>
      <c r="ED3" s="282"/>
      <c r="EE3" s="286"/>
      <c r="EI3" s="282"/>
      <c r="FS3" s="287"/>
      <c r="FT3" s="288"/>
      <c r="FU3" s="372"/>
      <c r="FV3" s="372"/>
      <c r="FW3" s="372"/>
      <c r="FX3" s="287"/>
      <c r="FY3" s="1352"/>
      <c r="GA3" s="282"/>
    </row>
    <row r="4" spans="1:198" x14ac:dyDescent="0.2">
      <c r="CU4" s="282"/>
      <c r="CZ4" s="282"/>
      <c r="DE4" s="282"/>
      <c r="DJ4" s="282"/>
      <c r="DO4" s="282"/>
      <c r="DT4" s="282"/>
      <c r="DU4" s="288"/>
      <c r="DV4" s="289"/>
      <c r="DX4" s="288"/>
      <c r="DY4" s="288"/>
      <c r="DZ4" s="288"/>
      <c r="EA4" s="288"/>
      <c r="ED4" s="282"/>
      <c r="EE4" s="282"/>
      <c r="EF4" s="538"/>
      <c r="EH4" s="288"/>
      <c r="EI4" s="282"/>
      <c r="EJ4" s="539"/>
      <c r="EK4" s="538"/>
      <c r="EL4" s="538"/>
      <c r="EM4" s="1395"/>
      <c r="EN4" s="1395"/>
      <c r="EO4" s="1395"/>
      <c r="EP4" s="1395"/>
      <c r="FP4" s="290"/>
      <c r="FQ4" s="290"/>
      <c r="FR4" s="542"/>
      <c r="FS4" s="292"/>
      <c r="FT4" s="293"/>
      <c r="FU4" s="372"/>
      <c r="FV4" s="372"/>
      <c r="FW4" s="372"/>
      <c r="FX4" s="290"/>
      <c r="FY4" s="1107"/>
      <c r="FZ4" s="290"/>
      <c r="GA4" s="290"/>
    </row>
    <row r="5" spans="1:198" x14ac:dyDescent="0.2">
      <c r="A5" s="284"/>
      <c r="B5" s="284"/>
      <c r="C5" s="284"/>
      <c r="D5" s="284"/>
      <c r="E5" s="284"/>
      <c r="F5" s="284"/>
      <c r="G5" s="284"/>
      <c r="H5" s="284"/>
      <c r="I5" s="284"/>
      <c r="J5" s="284"/>
      <c r="K5" s="284"/>
      <c r="L5" s="284"/>
      <c r="M5" s="284"/>
      <c r="N5" s="284"/>
      <c r="O5" s="284"/>
      <c r="P5" s="284"/>
      <c r="Q5" s="284"/>
      <c r="R5" s="284"/>
      <c r="S5" s="284"/>
      <c r="T5" s="284"/>
      <c r="U5" s="284"/>
      <c r="V5" s="284"/>
      <c r="W5" s="284"/>
      <c r="X5" s="284"/>
      <c r="Y5" s="284"/>
      <c r="Z5" s="284"/>
      <c r="AA5" s="284"/>
      <c r="AB5" s="284"/>
      <c r="AC5" s="284"/>
      <c r="AD5" s="284"/>
      <c r="AE5" s="284"/>
      <c r="AF5" s="284"/>
      <c r="AG5" s="284"/>
      <c r="AH5" s="284"/>
      <c r="AI5" s="284"/>
      <c r="AJ5" s="284"/>
      <c r="AK5" s="284"/>
      <c r="AL5" s="284"/>
      <c r="AM5" s="284"/>
      <c r="AN5" s="284"/>
      <c r="AO5" s="284"/>
      <c r="AP5" s="284"/>
      <c r="AQ5" s="284"/>
      <c r="AR5" s="284"/>
      <c r="AS5" s="284"/>
      <c r="AT5" s="284"/>
      <c r="AU5" s="284"/>
      <c r="AV5" s="284"/>
      <c r="AW5" s="284"/>
      <c r="AX5" s="284"/>
      <c r="AY5" s="284"/>
      <c r="AZ5" s="284"/>
      <c r="BA5" s="284"/>
      <c r="BB5" s="284"/>
      <c r="BC5" s="284"/>
      <c r="BD5" s="284"/>
      <c r="BE5" s="284"/>
      <c r="BF5" s="284"/>
      <c r="BG5" s="284"/>
      <c r="BH5" s="284"/>
      <c r="BI5" s="284"/>
      <c r="BJ5" s="284"/>
      <c r="BK5" s="284"/>
      <c r="BL5" s="284"/>
      <c r="BM5" s="284"/>
      <c r="BN5" s="284"/>
      <c r="BO5" s="284"/>
      <c r="BP5" s="284"/>
      <c r="BQ5" s="284"/>
      <c r="BR5" s="284"/>
      <c r="BS5" s="284"/>
      <c r="BT5" s="284"/>
      <c r="BU5" s="284"/>
      <c r="BV5" s="284"/>
      <c r="BW5" s="284"/>
      <c r="BX5" s="284"/>
      <c r="BY5" s="284"/>
      <c r="BZ5" s="284"/>
      <c r="CA5" s="284"/>
      <c r="CB5" s="284"/>
      <c r="CC5" s="284"/>
      <c r="CD5" s="284"/>
      <c r="CE5" s="284"/>
      <c r="CF5" s="284"/>
      <c r="CG5" s="284"/>
      <c r="CH5" s="284"/>
      <c r="CI5" s="284"/>
      <c r="CJ5" s="284"/>
      <c r="CK5" s="284"/>
      <c r="CL5" s="284"/>
      <c r="CM5" s="284"/>
      <c r="CN5" s="284"/>
      <c r="CO5" s="284"/>
      <c r="CP5" s="284"/>
      <c r="CQ5" s="284"/>
      <c r="CR5" s="284"/>
      <c r="CS5" s="284"/>
      <c r="CT5" s="541" t="s">
        <v>185</v>
      </c>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94"/>
      <c r="EC5" s="520"/>
      <c r="ED5" s="520"/>
      <c r="EE5" s="520"/>
      <c r="EF5" s="372"/>
      <c r="EG5" s="520"/>
      <c r="EH5" s="545"/>
      <c r="EJ5" s="520"/>
      <c r="EK5" s="372"/>
      <c r="EL5" s="372"/>
      <c r="EM5" s="1396"/>
      <c r="EN5" s="1396"/>
      <c r="EO5" s="1396"/>
      <c r="EP5" s="1396"/>
      <c r="FO5" s="290"/>
      <c r="FP5" s="290"/>
      <c r="FQ5" s="290"/>
      <c r="FR5" s="290"/>
      <c r="FS5" s="282"/>
      <c r="FT5" s="290"/>
      <c r="FU5" s="527"/>
      <c r="FV5" s="527"/>
      <c r="FW5" s="527"/>
      <c r="FX5" s="282"/>
      <c r="FY5" s="1160"/>
      <c r="FZ5" s="290"/>
      <c r="GA5" s="282"/>
    </row>
    <row r="6" spans="1:198" outlineLevel="1" x14ac:dyDescent="0.2">
      <c r="C6" s="295">
        <f>C7</f>
        <v>1990</v>
      </c>
      <c r="D6" s="295">
        <f>C6</f>
        <v>1990</v>
      </c>
      <c r="E6" s="295">
        <f>D6</f>
        <v>1990</v>
      </c>
      <c r="F6" s="295">
        <f>E6</f>
        <v>1990</v>
      </c>
      <c r="H6" s="295">
        <f>H7</f>
        <v>1991</v>
      </c>
      <c r="I6" s="295">
        <f>H6</f>
        <v>1991</v>
      </c>
      <c r="J6" s="295">
        <f>I6</f>
        <v>1991</v>
      </c>
      <c r="K6" s="295">
        <f>J6</f>
        <v>1991</v>
      </c>
      <c r="M6" s="295">
        <f>M7</f>
        <v>1992</v>
      </c>
      <c r="N6" s="295">
        <f>M6</f>
        <v>1992</v>
      </c>
      <c r="O6" s="295">
        <f>N6</f>
        <v>1992</v>
      </c>
      <c r="P6" s="295">
        <f>O6</f>
        <v>1992</v>
      </c>
      <c r="R6" s="295">
        <f>R7</f>
        <v>1993</v>
      </c>
      <c r="S6" s="295">
        <f>R6</f>
        <v>1993</v>
      </c>
      <c r="T6" s="295">
        <f>S6</f>
        <v>1993</v>
      </c>
      <c r="U6" s="295">
        <f>T6</f>
        <v>1993</v>
      </c>
      <c r="W6" s="295">
        <f>W7</f>
        <v>1994</v>
      </c>
      <c r="X6" s="295">
        <f>W6</f>
        <v>1994</v>
      </c>
      <c r="Y6" s="295">
        <f>X6</f>
        <v>1994</v>
      </c>
      <c r="Z6" s="295">
        <f>Y6</f>
        <v>1994</v>
      </c>
      <c r="AB6" s="295">
        <f>AB7</f>
        <v>1995</v>
      </c>
      <c r="AC6" s="295">
        <f>AB6</f>
        <v>1995</v>
      </c>
      <c r="AD6" s="295">
        <f>AC6</f>
        <v>1995</v>
      </c>
      <c r="AE6" s="295">
        <f>AD6</f>
        <v>1995</v>
      </c>
      <c r="AG6" s="295">
        <f>AG7</f>
        <v>1996</v>
      </c>
      <c r="AH6" s="295">
        <f>AG6</f>
        <v>1996</v>
      </c>
      <c r="AI6" s="295">
        <f>AH6</f>
        <v>1996</v>
      </c>
      <c r="AJ6" s="295">
        <f>AI6</f>
        <v>1996</v>
      </c>
      <c r="AL6" s="295">
        <f>AL7</f>
        <v>1997</v>
      </c>
      <c r="AM6" s="295">
        <f>AL6</f>
        <v>1997</v>
      </c>
      <c r="AN6" s="295">
        <f>AM6</f>
        <v>1997</v>
      </c>
      <c r="AO6" s="295">
        <f>AN6</f>
        <v>1997</v>
      </c>
      <c r="AQ6" s="295">
        <f>AQ7</f>
        <v>1998</v>
      </c>
      <c r="AR6" s="295">
        <f>AQ6</f>
        <v>1998</v>
      </c>
      <c r="AS6" s="295">
        <f>AR6</f>
        <v>1998</v>
      </c>
      <c r="AT6" s="295">
        <f>AS6</f>
        <v>1998</v>
      </c>
      <c r="AV6" s="295">
        <f>AV7</f>
        <v>1999</v>
      </c>
      <c r="AW6" s="295">
        <f>AV6</f>
        <v>1999</v>
      </c>
      <c r="AX6" s="295">
        <f>AW6</f>
        <v>1999</v>
      </c>
      <c r="AY6" s="295">
        <f>AX6</f>
        <v>1999</v>
      </c>
      <c r="BA6" s="295">
        <f>BA7</f>
        <v>2000</v>
      </c>
      <c r="BB6" s="295">
        <f>BA6</f>
        <v>2000</v>
      </c>
      <c r="BC6" s="295">
        <f>BB6</f>
        <v>2000</v>
      </c>
      <c r="BD6" s="295">
        <f>BC6</f>
        <v>2000</v>
      </c>
      <c r="BF6" s="295">
        <f>BF7</f>
        <v>2001</v>
      </c>
      <c r="BG6" s="295">
        <f>BF6</f>
        <v>2001</v>
      </c>
      <c r="BH6" s="295">
        <f>BG6</f>
        <v>2001</v>
      </c>
      <c r="BI6" s="295">
        <f>BH6</f>
        <v>2001</v>
      </c>
      <c r="BK6" s="295">
        <f>BK7</f>
        <v>2002</v>
      </c>
      <c r="BL6" s="295">
        <f>BK6</f>
        <v>2002</v>
      </c>
      <c r="BM6" s="295">
        <f>BL6</f>
        <v>2002</v>
      </c>
      <c r="BN6" s="295">
        <f>BM6</f>
        <v>2002</v>
      </c>
      <c r="BP6" s="295">
        <f>BP7</f>
        <v>2003</v>
      </c>
      <c r="BQ6" s="295">
        <f>BP6</f>
        <v>2003</v>
      </c>
      <c r="BR6" s="295">
        <f>BQ6</f>
        <v>2003</v>
      </c>
      <c r="BS6" s="295">
        <f>BR6</f>
        <v>2003</v>
      </c>
      <c r="BU6" s="295">
        <f>BU7</f>
        <v>2004</v>
      </c>
      <c r="BV6" s="295">
        <f>BU6</f>
        <v>2004</v>
      </c>
      <c r="BW6" s="295">
        <f>BV6</f>
        <v>2004</v>
      </c>
      <c r="BX6" s="295">
        <f>BW6</f>
        <v>2004</v>
      </c>
      <c r="BZ6" s="295">
        <f>BZ7</f>
        <v>2005</v>
      </c>
      <c r="CA6" s="295">
        <f>BZ6</f>
        <v>2005</v>
      </c>
      <c r="CB6" s="295">
        <f>CA6</f>
        <v>2005</v>
      </c>
      <c r="CC6" s="295">
        <f>CB6</f>
        <v>2005</v>
      </c>
      <c r="CE6" s="295">
        <f>CE7</f>
        <v>2006</v>
      </c>
      <c r="CF6" s="295">
        <f>CE6</f>
        <v>2006</v>
      </c>
      <c r="CG6" s="295">
        <f>CF6</f>
        <v>2006</v>
      </c>
      <c r="CH6" s="295">
        <f>CG6</f>
        <v>2006</v>
      </c>
      <c r="CJ6" s="295">
        <f>CJ7</f>
        <v>2007</v>
      </c>
      <c r="CK6" s="295">
        <f>CJ6</f>
        <v>2007</v>
      </c>
      <c r="CL6" s="295">
        <f>CK6</f>
        <v>2007</v>
      </c>
      <c r="CM6" s="295">
        <f>CL6</f>
        <v>2007</v>
      </c>
      <c r="CO6" s="295">
        <f>CO7</f>
        <v>2008</v>
      </c>
      <c r="CP6" s="295">
        <f>CO6</f>
        <v>2008</v>
      </c>
      <c r="CQ6" s="295">
        <f>CP6</f>
        <v>2008</v>
      </c>
      <c r="CR6" s="295">
        <f>CQ6</f>
        <v>2008</v>
      </c>
      <c r="CT6" s="295">
        <f>CT7</f>
        <v>2009</v>
      </c>
      <c r="CU6" s="295">
        <f>CT6</f>
        <v>2009</v>
      </c>
      <c r="CV6" s="295">
        <f>CU6</f>
        <v>2009</v>
      </c>
      <c r="CW6" s="295">
        <f>CV6</f>
        <v>2009</v>
      </c>
      <c r="CY6" s="295">
        <f>CY7</f>
        <v>2010</v>
      </c>
      <c r="CZ6" s="295">
        <f>CY6</f>
        <v>2010</v>
      </c>
      <c r="DA6" s="295">
        <f>CZ6</f>
        <v>2010</v>
      </c>
      <c r="DB6" s="295">
        <f>DA6</f>
        <v>2010</v>
      </c>
      <c r="DD6" s="295">
        <f>DD7</f>
        <v>2011</v>
      </c>
      <c r="DE6" s="295">
        <f>DD6</f>
        <v>2011</v>
      </c>
      <c r="DF6" s="295">
        <f>DE6</f>
        <v>2011</v>
      </c>
      <c r="DG6" s="295">
        <f>DF6</f>
        <v>2011</v>
      </c>
      <c r="DI6" s="296">
        <f>DI7</f>
        <v>2012</v>
      </c>
      <c r="DJ6" s="296">
        <f>DI6</f>
        <v>2012</v>
      </c>
      <c r="DK6" s="296">
        <f>DJ6</f>
        <v>2012</v>
      </c>
      <c r="DL6" s="296">
        <f>DK6</f>
        <v>2012</v>
      </c>
      <c r="DN6" s="296">
        <f>DN7</f>
        <v>2013</v>
      </c>
      <c r="DO6" s="296">
        <f>DN6</f>
        <v>2013</v>
      </c>
      <c r="DP6" s="296">
        <f>DO6</f>
        <v>2013</v>
      </c>
      <c r="DQ6" s="296">
        <f>DP6</f>
        <v>2013</v>
      </c>
      <c r="DS6" s="296">
        <f>DS7</f>
        <v>2014</v>
      </c>
      <c r="DT6" s="296">
        <f>DS6</f>
        <v>2014</v>
      </c>
      <c r="DU6" s="296">
        <f>DT6</f>
        <v>2014</v>
      </c>
      <c r="DV6" s="296">
        <f>DU6</f>
        <v>2014</v>
      </c>
      <c r="DX6" s="296">
        <f>DX7</f>
        <v>2015</v>
      </c>
      <c r="DY6" s="296">
        <f>DX6</f>
        <v>2015</v>
      </c>
      <c r="DZ6" s="296">
        <f>DY6</f>
        <v>2015</v>
      </c>
      <c r="EA6" s="296">
        <f>DZ6</f>
        <v>2015</v>
      </c>
      <c r="EC6" s="597">
        <f>EC7</f>
        <v>2016</v>
      </c>
      <c r="ED6" s="597">
        <f>EC6</f>
        <v>2016</v>
      </c>
      <c r="EE6" s="597">
        <f>ED6</f>
        <v>2016</v>
      </c>
      <c r="EF6" s="597">
        <f>EE6</f>
        <v>2016</v>
      </c>
      <c r="EG6" s="298"/>
      <c r="EH6" s="597">
        <f>EH7</f>
        <v>2017</v>
      </c>
      <c r="EI6" s="597">
        <f>EH6</f>
        <v>2017</v>
      </c>
      <c r="EJ6" s="597">
        <f>EI6</f>
        <v>2017</v>
      </c>
      <c r="EK6" s="597">
        <f>EJ6</f>
        <v>2017</v>
      </c>
      <c r="EL6" s="1089"/>
      <c r="EM6" s="597">
        <f>EM7</f>
        <v>2018</v>
      </c>
      <c r="EN6" s="597">
        <f>EM6</f>
        <v>2018</v>
      </c>
      <c r="EO6" s="597">
        <f>EN6</f>
        <v>2018</v>
      </c>
      <c r="EP6" s="597">
        <f>EO6</f>
        <v>2018</v>
      </c>
      <c r="ER6" s="295"/>
      <c r="ES6" s="295"/>
      <c r="ET6" s="295"/>
      <c r="EU6" s="295"/>
      <c r="EV6" s="295"/>
      <c r="EY6" s="295"/>
      <c r="EZ6" s="295"/>
      <c r="FA6" s="295"/>
      <c r="FB6" s="295"/>
      <c r="FD6" s="295"/>
      <c r="FE6" s="295"/>
      <c r="FF6" s="295"/>
      <c r="FG6" s="295"/>
      <c r="FI6" s="295"/>
      <c r="FJ6" s="295"/>
      <c r="FK6" s="295"/>
      <c r="FL6" s="295"/>
      <c r="FM6" s="295"/>
      <c r="FN6" s="295"/>
      <c r="FO6" s="295"/>
      <c r="FP6" s="295"/>
      <c r="FQ6" s="295"/>
      <c r="FR6" s="295"/>
      <c r="FS6" s="295"/>
      <c r="FT6" s="295"/>
      <c r="FU6" s="528"/>
      <c r="FV6" s="528"/>
      <c r="FW6" s="528"/>
      <c r="FX6" s="295"/>
      <c r="FY6" s="1353"/>
      <c r="FZ6" s="295"/>
      <c r="GA6" s="295"/>
    </row>
    <row r="7" spans="1:198" x14ac:dyDescent="0.2">
      <c r="A7" s="297"/>
      <c r="B7" s="298"/>
      <c r="C7" s="299">
        <f>H7-1</f>
        <v>1990</v>
      </c>
      <c r="D7" s="300"/>
      <c r="E7" s="300"/>
      <c r="F7" s="300"/>
      <c r="G7" s="298"/>
      <c r="H7" s="299">
        <f>M7-1</f>
        <v>1991</v>
      </c>
      <c r="I7" s="300"/>
      <c r="J7" s="300"/>
      <c r="K7" s="300"/>
      <c r="L7" s="298"/>
      <c r="M7" s="299">
        <f>R7-1</f>
        <v>1992</v>
      </c>
      <c r="N7" s="300"/>
      <c r="O7" s="300"/>
      <c r="P7" s="300"/>
      <c r="Q7" s="298"/>
      <c r="R7" s="299">
        <f>W7-1</f>
        <v>1993</v>
      </c>
      <c r="S7" s="300"/>
      <c r="T7" s="300"/>
      <c r="U7" s="300"/>
      <c r="V7" s="298"/>
      <c r="W7" s="299">
        <f>AB7-1</f>
        <v>1994</v>
      </c>
      <c r="X7" s="300"/>
      <c r="Y7" s="300"/>
      <c r="Z7" s="300"/>
      <c r="AA7" s="298"/>
      <c r="AB7" s="299">
        <f>AG7-1</f>
        <v>1995</v>
      </c>
      <c r="AC7" s="300"/>
      <c r="AD7" s="300"/>
      <c r="AE7" s="300"/>
      <c r="AF7" s="298"/>
      <c r="AG7" s="299">
        <f>AL7-1</f>
        <v>1996</v>
      </c>
      <c r="AH7" s="300"/>
      <c r="AI7" s="300"/>
      <c r="AJ7" s="300"/>
      <c r="AK7" s="298"/>
      <c r="AL7" s="299">
        <f>AQ7-1</f>
        <v>1997</v>
      </c>
      <c r="AM7" s="300"/>
      <c r="AN7" s="300"/>
      <c r="AO7" s="300"/>
      <c r="AP7" s="298"/>
      <c r="AQ7" s="299">
        <f>AV7-1</f>
        <v>1998</v>
      </c>
      <c r="AR7" s="300"/>
      <c r="AS7" s="300"/>
      <c r="AT7" s="300"/>
      <c r="AU7" s="298"/>
      <c r="AV7" s="299">
        <f>BA7-1</f>
        <v>1999</v>
      </c>
      <c r="AW7" s="300"/>
      <c r="AX7" s="300"/>
      <c r="AY7" s="300"/>
      <c r="AZ7" s="298"/>
      <c r="BA7" s="299">
        <v>2000</v>
      </c>
      <c r="BB7" s="300"/>
      <c r="BC7" s="300"/>
      <c r="BD7" s="300"/>
      <c r="BE7" s="298"/>
      <c r="BF7" s="299">
        <f>BK7-1</f>
        <v>2001</v>
      </c>
      <c r="BG7" s="300"/>
      <c r="BH7" s="300"/>
      <c r="BI7" s="300"/>
      <c r="BJ7" s="298"/>
      <c r="BK7" s="299">
        <f>BP7-1</f>
        <v>2002</v>
      </c>
      <c r="BL7" s="300"/>
      <c r="BM7" s="300"/>
      <c r="BN7" s="300"/>
      <c r="BO7" s="298"/>
      <c r="BP7" s="299">
        <f>BU7-1</f>
        <v>2003</v>
      </c>
      <c r="BQ7" s="300"/>
      <c r="BR7" s="300"/>
      <c r="BS7" s="300"/>
      <c r="BT7" s="298"/>
      <c r="BU7" s="299">
        <v>2004</v>
      </c>
      <c r="BV7" s="300"/>
      <c r="BW7" s="300"/>
      <c r="BX7" s="300"/>
      <c r="BY7" s="298"/>
      <c r="BZ7" s="299">
        <v>2005</v>
      </c>
      <c r="CA7" s="300"/>
      <c r="CB7" s="300"/>
      <c r="CC7" s="300"/>
      <c r="CD7" s="298"/>
      <c r="CE7" s="299">
        <f>BZ7+1</f>
        <v>2006</v>
      </c>
      <c r="CF7" s="300"/>
      <c r="CG7" s="300"/>
      <c r="CH7" s="300"/>
      <c r="CI7" s="298"/>
      <c r="CJ7" s="299">
        <f>CE7+1</f>
        <v>2007</v>
      </c>
      <c r="CK7" s="300"/>
      <c r="CL7" s="300"/>
      <c r="CM7" s="300"/>
      <c r="CN7" s="298"/>
      <c r="CO7" s="299">
        <f>CJ7+1</f>
        <v>2008</v>
      </c>
      <c r="CP7" s="300"/>
      <c r="CQ7" s="300"/>
      <c r="CR7" s="300"/>
      <c r="CS7" s="298"/>
      <c r="CT7" s="299">
        <f>CO7+1</f>
        <v>2009</v>
      </c>
      <c r="CU7" s="300"/>
      <c r="CV7" s="300"/>
      <c r="CW7" s="300"/>
      <c r="CX7" s="298"/>
      <c r="CY7" s="299">
        <f>CT7+1</f>
        <v>2010</v>
      </c>
      <c r="CZ7" s="300"/>
      <c r="DA7" s="300"/>
      <c r="DB7" s="300"/>
      <c r="DC7" s="298"/>
      <c r="DD7" s="299">
        <f>CY7+1</f>
        <v>2011</v>
      </c>
      <c r="DE7" s="300"/>
      <c r="DF7" s="300"/>
      <c r="DG7" s="300"/>
      <c r="DH7" s="298"/>
      <c r="DI7" s="299">
        <f>DD7+1</f>
        <v>2012</v>
      </c>
      <c r="DJ7" s="300"/>
      <c r="DK7" s="300"/>
      <c r="DL7" s="300"/>
      <c r="DM7" s="298"/>
      <c r="DN7" s="301">
        <f>DI7+1</f>
        <v>2013</v>
      </c>
      <c r="DO7" s="300"/>
      <c r="DP7" s="300"/>
      <c r="DQ7" s="300"/>
      <c r="DR7" s="298"/>
      <c r="DS7" s="302">
        <f>DN7+1</f>
        <v>2014</v>
      </c>
      <c r="DT7" s="303"/>
      <c r="DU7" s="303"/>
      <c r="DV7" s="303"/>
      <c r="DW7" s="298"/>
      <c r="DX7" s="302">
        <f>DS7+1</f>
        <v>2015</v>
      </c>
      <c r="DY7" s="303"/>
      <c r="DZ7" s="303"/>
      <c r="EA7" s="300"/>
      <c r="EB7" s="261"/>
      <c r="EC7" s="302">
        <f>DX7+1</f>
        <v>2016</v>
      </c>
      <c r="ED7" s="302"/>
      <c r="EE7" s="303"/>
      <c r="EF7" s="590"/>
      <c r="EG7" s="261"/>
      <c r="EH7" s="302">
        <f>EC7+1</f>
        <v>2017</v>
      </c>
      <c r="EI7" s="303"/>
      <c r="EJ7" s="303"/>
      <c r="EK7" s="590"/>
      <c r="EL7" s="590"/>
      <c r="EM7" s="1397">
        <f>EH7+1</f>
        <v>2018</v>
      </c>
      <c r="EN7" s="1398"/>
      <c r="EO7" s="1398"/>
      <c r="EP7" s="1399"/>
      <c r="EQ7" s="440"/>
      <c r="ER7" s="304">
        <v>1992</v>
      </c>
      <c r="ES7" s="304">
        <f>ER7+1</f>
        <v>1993</v>
      </c>
      <c r="ET7" s="304">
        <f>ES7+1</f>
        <v>1994</v>
      </c>
      <c r="EU7" s="304">
        <f>ET7</f>
        <v>1994</v>
      </c>
      <c r="EV7" s="304">
        <f>EU7+1</f>
        <v>1995</v>
      </c>
      <c r="EW7" s="304"/>
      <c r="EX7" s="304">
        <v>1995</v>
      </c>
      <c r="EY7" s="304">
        <f>EX7+1</f>
        <v>1996</v>
      </c>
      <c r="EZ7" s="304">
        <f>EY7+1</f>
        <v>1997</v>
      </c>
      <c r="FA7" s="304">
        <f t="shared" ref="FA7:FM7" si="0">EZ7+1</f>
        <v>1998</v>
      </c>
      <c r="FB7" s="304">
        <f t="shared" si="0"/>
        <v>1999</v>
      </c>
      <c r="FC7" s="304">
        <f t="shared" si="0"/>
        <v>2000</v>
      </c>
      <c r="FD7" s="304">
        <f t="shared" si="0"/>
        <v>2001</v>
      </c>
      <c r="FE7" s="304">
        <f t="shared" si="0"/>
        <v>2002</v>
      </c>
      <c r="FF7" s="304">
        <f t="shared" si="0"/>
        <v>2003</v>
      </c>
      <c r="FG7" s="304">
        <f t="shared" si="0"/>
        <v>2004</v>
      </c>
      <c r="FH7" s="304">
        <f t="shared" si="0"/>
        <v>2005</v>
      </c>
      <c r="FI7" s="305">
        <f t="shared" si="0"/>
        <v>2006</v>
      </c>
      <c r="FJ7" s="304">
        <f t="shared" si="0"/>
        <v>2007</v>
      </c>
      <c r="FK7" s="306">
        <f t="shared" si="0"/>
        <v>2008</v>
      </c>
      <c r="FL7" s="305">
        <f t="shared" si="0"/>
        <v>2009</v>
      </c>
      <c r="FM7" s="305">
        <f t="shared" si="0"/>
        <v>2010</v>
      </c>
      <c r="FN7" s="304">
        <f t="shared" ref="FN7:FT7" si="1">FM7+1</f>
        <v>2011</v>
      </c>
      <c r="FO7" s="304">
        <f t="shared" si="1"/>
        <v>2012</v>
      </c>
      <c r="FP7" s="304">
        <f t="shared" si="1"/>
        <v>2013</v>
      </c>
      <c r="FQ7" s="304">
        <f t="shared" si="1"/>
        <v>2014</v>
      </c>
      <c r="FR7" s="304">
        <f t="shared" si="1"/>
        <v>2015</v>
      </c>
      <c r="FS7" s="304">
        <f t="shared" si="1"/>
        <v>2016</v>
      </c>
      <c r="FT7" s="304">
        <f t="shared" si="1"/>
        <v>2017</v>
      </c>
      <c r="FU7" s="307">
        <f t="shared" ref="FU7:FY7" si="2">FT7+1</f>
        <v>2018</v>
      </c>
      <c r="FV7" s="307">
        <f t="shared" si="2"/>
        <v>2019</v>
      </c>
      <c r="FW7" s="585">
        <f t="shared" si="2"/>
        <v>2020</v>
      </c>
      <c r="FX7" s="307">
        <f t="shared" si="2"/>
        <v>2021</v>
      </c>
      <c r="FY7" s="1354">
        <f t="shared" si="2"/>
        <v>2022</v>
      </c>
      <c r="FZ7" s="532"/>
      <c r="GA7" s="308"/>
    </row>
    <row r="8" spans="1:198" x14ac:dyDescent="0.2">
      <c r="A8" s="256" t="s">
        <v>161</v>
      </c>
      <c r="B8" s="261"/>
      <c r="C8" s="258" t="s">
        <v>79</v>
      </c>
      <c r="D8" s="258" t="s">
        <v>80</v>
      </c>
      <c r="E8" s="258" t="s">
        <v>81</v>
      </c>
      <c r="F8" s="258" t="s">
        <v>82</v>
      </c>
      <c r="G8" s="261"/>
      <c r="H8" s="258" t="s">
        <v>79</v>
      </c>
      <c r="I8" s="258" t="s">
        <v>80</v>
      </c>
      <c r="J8" s="258" t="s">
        <v>81</v>
      </c>
      <c r="K8" s="258" t="s">
        <v>82</v>
      </c>
      <c r="L8" s="261"/>
      <c r="M8" s="258" t="s">
        <v>79</v>
      </c>
      <c r="N8" s="258" t="s">
        <v>80</v>
      </c>
      <c r="O8" s="258" t="s">
        <v>81</v>
      </c>
      <c r="P8" s="258" t="s">
        <v>82</v>
      </c>
      <c r="Q8" s="261"/>
      <c r="R8" s="258" t="s">
        <v>79</v>
      </c>
      <c r="S8" s="258" t="s">
        <v>80</v>
      </c>
      <c r="T8" s="258" t="s">
        <v>81</v>
      </c>
      <c r="U8" s="258" t="s">
        <v>82</v>
      </c>
      <c r="V8" s="261"/>
      <c r="W8" s="258" t="s">
        <v>79</v>
      </c>
      <c r="X8" s="258" t="s">
        <v>80</v>
      </c>
      <c r="Y8" s="258" t="s">
        <v>81</v>
      </c>
      <c r="Z8" s="258" t="s">
        <v>82</v>
      </c>
      <c r="AA8" s="261"/>
      <c r="AB8" s="258" t="s">
        <v>79</v>
      </c>
      <c r="AC8" s="258" t="s">
        <v>80</v>
      </c>
      <c r="AD8" s="258" t="s">
        <v>81</v>
      </c>
      <c r="AE8" s="258" t="s">
        <v>82</v>
      </c>
      <c r="AF8" s="261"/>
      <c r="AG8" s="258" t="s">
        <v>79</v>
      </c>
      <c r="AH8" s="258" t="s">
        <v>80</v>
      </c>
      <c r="AI8" s="258" t="s">
        <v>81</v>
      </c>
      <c r="AJ8" s="258" t="s">
        <v>82</v>
      </c>
      <c r="AK8" s="261"/>
      <c r="AL8" s="258" t="s">
        <v>79</v>
      </c>
      <c r="AM8" s="258" t="s">
        <v>80</v>
      </c>
      <c r="AN8" s="258" t="s">
        <v>81</v>
      </c>
      <c r="AO8" s="258" t="s">
        <v>82</v>
      </c>
      <c r="AP8" s="261"/>
      <c r="AQ8" s="258" t="s">
        <v>79</v>
      </c>
      <c r="AR8" s="258" t="s">
        <v>80</v>
      </c>
      <c r="AS8" s="258" t="s">
        <v>81</v>
      </c>
      <c r="AT8" s="258" t="s">
        <v>82</v>
      </c>
      <c r="AU8" s="261"/>
      <c r="AV8" s="258" t="s">
        <v>79</v>
      </c>
      <c r="AW8" s="258" t="s">
        <v>80</v>
      </c>
      <c r="AX8" s="258" t="s">
        <v>81</v>
      </c>
      <c r="AY8" s="258" t="s">
        <v>82</v>
      </c>
      <c r="AZ8" s="261"/>
      <c r="BA8" s="258" t="s">
        <v>79</v>
      </c>
      <c r="BB8" s="258" t="s">
        <v>80</v>
      </c>
      <c r="BC8" s="258" t="s">
        <v>81</v>
      </c>
      <c r="BD8" s="258" t="s">
        <v>82</v>
      </c>
      <c r="BE8" s="261"/>
      <c r="BF8" s="258" t="s">
        <v>79</v>
      </c>
      <c r="BG8" s="258" t="s">
        <v>80</v>
      </c>
      <c r="BH8" s="258" t="s">
        <v>81</v>
      </c>
      <c r="BI8" s="258" t="s">
        <v>82</v>
      </c>
      <c r="BJ8" s="261"/>
      <c r="BK8" s="258" t="s">
        <v>79</v>
      </c>
      <c r="BL8" s="258" t="s">
        <v>80</v>
      </c>
      <c r="BM8" s="258" t="s">
        <v>81</v>
      </c>
      <c r="BN8" s="258" t="s">
        <v>82</v>
      </c>
      <c r="BO8" s="261"/>
      <c r="BP8" s="258" t="s">
        <v>79</v>
      </c>
      <c r="BQ8" s="258" t="s">
        <v>80</v>
      </c>
      <c r="BR8" s="258" t="s">
        <v>81</v>
      </c>
      <c r="BS8" s="258" t="s">
        <v>82</v>
      </c>
      <c r="BT8" s="261"/>
      <c r="BU8" s="258" t="s">
        <v>79</v>
      </c>
      <c r="BV8" s="258" t="s">
        <v>80</v>
      </c>
      <c r="BW8" s="258" t="s">
        <v>81</v>
      </c>
      <c r="BX8" s="258" t="s">
        <v>82</v>
      </c>
      <c r="BY8" s="261"/>
      <c r="BZ8" s="258" t="s">
        <v>79</v>
      </c>
      <c r="CA8" s="258" t="s">
        <v>80</v>
      </c>
      <c r="CB8" s="258" t="s">
        <v>81</v>
      </c>
      <c r="CC8" s="258" t="s">
        <v>82</v>
      </c>
      <c r="CD8" s="261"/>
      <c r="CE8" s="258" t="s">
        <v>79</v>
      </c>
      <c r="CF8" s="258" t="s">
        <v>80</v>
      </c>
      <c r="CG8" s="258" t="s">
        <v>81</v>
      </c>
      <c r="CH8" s="258" t="s">
        <v>82</v>
      </c>
      <c r="CI8" s="261"/>
      <c r="CJ8" s="258" t="s">
        <v>79</v>
      </c>
      <c r="CK8" s="258" t="s">
        <v>80</v>
      </c>
      <c r="CL8" s="258" t="s">
        <v>81</v>
      </c>
      <c r="CM8" s="258" t="s">
        <v>82</v>
      </c>
      <c r="CN8" s="261"/>
      <c r="CO8" s="258" t="s">
        <v>79</v>
      </c>
      <c r="CP8" s="258" t="s">
        <v>80</v>
      </c>
      <c r="CQ8" s="258" t="s">
        <v>81</v>
      </c>
      <c r="CR8" s="258" t="s">
        <v>82</v>
      </c>
      <c r="CS8" s="261"/>
      <c r="CT8" s="258" t="s">
        <v>79</v>
      </c>
      <c r="CU8" s="258" t="s">
        <v>80</v>
      </c>
      <c r="CV8" s="258" t="s">
        <v>81</v>
      </c>
      <c r="CW8" s="258" t="s">
        <v>82</v>
      </c>
      <c r="CX8" s="261"/>
      <c r="CY8" s="258" t="s">
        <v>79</v>
      </c>
      <c r="CZ8" s="258" t="s">
        <v>80</v>
      </c>
      <c r="DA8" s="258" t="s">
        <v>81</v>
      </c>
      <c r="DB8" s="258" t="s">
        <v>82</v>
      </c>
      <c r="DC8" s="261"/>
      <c r="DD8" s="258" t="s">
        <v>79</v>
      </c>
      <c r="DE8" s="258" t="s">
        <v>80</v>
      </c>
      <c r="DF8" s="258" t="s">
        <v>81</v>
      </c>
      <c r="DG8" s="258" t="s">
        <v>82</v>
      </c>
      <c r="DH8" s="261"/>
      <c r="DI8" s="258" t="s">
        <v>79</v>
      </c>
      <c r="DJ8" s="258" t="s">
        <v>80</v>
      </c>
      <c r="DK8" s="258" t="s">
        <v>81</v>
      </c>
      <c r="DL8" s="258" t="s">
        <v>82</v>
      </c>
      <c r="DM8" s="261"/>
      <c r="DN8" s="258" t="s">
        <v>79</v>
      </c>
      <c r="DO8" s="258" t="s">
        <v>80</v>
      </c>
      <c r="DP8" s="258" t="s">
        <v>81</v>
      </c>
      <c r="DQ8" s="258" t="s">
        <v>82</v>
      </c>
      <c r="DR8" s="261"/>
      <c r="DS8" s="258" t="s">
        <v>79</v>
      </c>
      <c r="DT8" s="258" t="s">
        <v>80</v>
      </c>
      <c r="DU8" s="258" t="s">
        <v>81</v>
      </c>
      <c r="DV8" s="258" t="s">
        <v>82</v>
      </c>
      <c r="DW8" s="261"/>
      <c r="DX8" s="258" t="s">
        <v>79</v>
      </c>
      <c r="DY8" s="258" t="s">
        <v>80</v>
      </c>
      <c r="DZ8" s="258" t="s">
        <v>81</v>
      </c>
      <c r="EA8" s="258" t="s">
        <v>82</v>
      </c>
      <c r="EB8" s="261"/>
      <c r="EC8" s="258" t="s">
        <v>79</v>
      </c>
      <c r="ED8" s="258" t="s">
        <v>80</v>
      </c>
      <c r="EE8" s="258" t="s">
        <v>81</v>
      </c>
      <c r="EF8" s="280" t="s">
        <v>82</v>
      </c>
      <c r="EG8" s="261"/>
      <c r="EH8" s="258" t="s">
        <v>79</v>
      </c>
      <c r="EI8" s="258" t="s">
        <v>80</v>
      </c>
      <c r="EJ8" s="258" t="s">
        <v>81</v>
      </c>
      <c r="EK8" s="280" t="s">
        <v>82</v>
      </c>
      <c r="EL8" s="257"/>
      <c r="EM8" s="1400" t="s">
        <v>79</v>
      </c>
      <c r="EN8" s="1400" t="s">
        <v>80</v>
      </c>
      <c r="EO8" s="1400" t="s">
        <v>81</v>
      </c>
      <c r="EP8" s="1401" t="s">
        <v>82</v>
      </c>
      <c r="EQ8" s="262"/>
      <c r="ER8" s="309" t="s">
        <v>82</v>
      </c>
      <c r="ES8" s="258" t="s">
        <v>82</v>
      </c>
      <c r="ET8" s="258" t="s">
        <v>82</v>
      </c>
      <c r="EU8" s="258" t="s">
        <v>82</v>
      </c>
      <c r="EV8" s="258" t="s">
        <v>82</v>
      </c>
      <c r="EW8" s="258"/>
      <c r="EX8" s="258" t="s">
        <v>82</v>
      </c>
      <c r="EY8" s="258" t="s">
        <v>82</v>
      </c>
      <c r="EZ8" s="258" t="s">
        <v>82</v>
      </c>
      <c r="FA8" s="258" t="s">
        <v>82</v>
      </c>
      <c r="FB8" s="258" t="s">
        <v>82</v>
      </c>
      <c r="FC8" s="258" t="s">
        <v>82</v>
      </c>
      <c r="FD8" s="258" t="s">
        <v>82</v>
      </c>
      <c r="FE8" s="258" t="s">
        <v>82</v>
      </c>
      <c r="FF8" s="258" t="s">
        <v>82</v>
      </c>
      <c r="FG8" s="258" t="s">
        <v>82</v>
      </c>
      <c r="FH8" s="258" t="s">
        <v>82</v>
      </c>
      <c r="FI8" s="309" t="s">
        <v>82</v>
      </c>
      <c r="FJ8" s="258" t="s">
        <v>82</v>
      </c>
      <c r="FK8" s="259" t="s">
        <v>82</v>
      </c>
      <c r="FL8" s="309" t="s">
        <v>82</v>
      </c>
      <c r="FM8" s="309" t="s">
        <v>82</v>
      </c>
      <c r="FN8" s="258" t="s">
        <v>82</v>
      </c>
      <c r="FO8" s="258" t="s">
        <v>82</v>
      </c>
      <c r="FP8" s="258" t="s">
        <v>82</v>
      </c>
      <c r="FQ8" s="258" t="s">
        <v>82</v>
      </c>
      <c r="FR8" s="258" t="s">
        <v>82</v>
      </c>
      <c r="FS8" s="258" t="s">
        <v>82</v>
      </c>
      <c r="FT8" s="258" t="s">
        <v>82</v>
      </c>
      <c r="FU8" s="258" t="s">
        <v>82</v>
      </c>
      <c r="FV8" s="258" t="s">
        <v>82</v>
      </c>
      <c r="FW8" s="259" t="s">
        <v>82</v>
      </c>
      <c r="FX8" s="258" t="s">
        <v>82</v>
      </c>
      <c r="FY8" s="1355" t="s">
        <v>82</v>
      </c>
      <c r="FZ8" s="309"/>
      <c r="GA8" s="258"/>
    </row>
    <row r="9" spans="1:198" ht="9" customHeight="1" x14ac:dyDescent="0.2">
      <c r="A9" s="260"/>
      <c r="B9" s="261"/>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1"/>
      <c r="AM9" s="261"/>
      <c r="AN9" s="261"/>
      <c r="AO9" s="261"/>
      <c r="AP9" s="261"/>
      <c r="AQ9" s="261"/>
      <c r="AR9" s="261"/>
      <c r="AS9" s="261"/>
      <c r="AT9" s="261"/>
      <c r="AU9" s="261"/>
      <c r="AV9" s="261"/>
      <c r="AW9" s="261"/>
      <c r="AX9" s="261"/>
      <c r="AY9" s="261"/>
      <c r="AZ9" s="261"/>
      <c r="BA9" s="261"/>
      <c r="BB9" s="261"/>
      <c r="BC9" s="261"/>
      <c r="BD9" s="261"/>
      <c r="BE9" s="261"/>
      <c r="BF9" s="261"/>
      <c r="BG9" s="261"/>
      <c r="BH9" s="261"/>
      <c r="BI9" s="261"/>
      <c r="BJ9" s="261"/>
      <c r="BK9" s="261"/>
      <c r="BL9" s="261"/>
      <c r="BM9" s="261"/>
      <c r="BN9" s="261"/>
      <c r="BO9" s="261"/>
      <c r="BP9" s="261"/>
      <c r="BQ9" s="261"/>
      <c r="BR9" s="261"/>
      <c r="BS9" s="261"/>
      <c r="BT9" s="261"/>
      <c r="BU9" s="261"/>
      <c r="BV9" s="261"/>
      <c r="BW9" s="261"/>
      <c r="BX9" s="261"/>
      <c r="BY9" s="261"/>
      <c r="BZ9" s="261"/>
      <c r="CA9" s="261"/>
      <c r="CB9" s="261"/>
      <c r="CC9" s="261"/>
      <c r="CD9" s="261"/>
      <c r="CE9" s="261"/>
      <c r="CF9" s="261"/>
      <c r="CG9" s="261"/>
      <c r="CH9" s="261"/>
      <c r="CI9" s="261"/>
      <c r="CJ9" s="261"/>
      <c r="CK9" s="261"/>
      <c r="CL9" s="261"/>
      <c r="CM9" s="261"/>
      <c r="CN9" s="261"/>
      <c r="CO9" s="261"/>
      <c r="CP9" s="261"/>
      <c r="CQ9" s="261"/>
      <c r="CR9" s="261"/>
      <c r="CS9" s="261"/>
      <c r="CT9" s="261"/>
      <c r="CU9" s="261"/>
      <c r="CV9" s="261"/>
      <c r="CW9" s="261"/>
      <c r="CX9" s="261"/>
      <c r="CY9" s="261"/>
      <c r="CZ9" s="261"/>
      <c r="DA9" s="261"/>
      <c r="DB9" s="261"/>
      <c r="DC9" s="261"/>
      <c r="DD9" s="261"/>
      <c r="DE9" s="261"/>
      <c r="DF9" s="261"/>
      <c r="DG9" s="261"/>
      <c r="DH9" s="261"/>
      <c r="DI9" s="261"/>
      <c r="DJ9" s="261"/>
      <c r="DK9" s="261"/>
      <c r="DL9" s="261"/>
      <c r="DM9" s="261"/>
      <c r="DN9" s="261"/>
      <c r="DO9" s="261"/>
      <c r="DP9" s="261"/>
      <c r="DQ9" s="261"/>
      <c r="DR9" s="261"/>
      <c r="DS9" s="261"/>
      <c r="DT9" s="261"/>
      <c r="DU9" s="261"/>
      <c r="DV9" s="261"/>
      <c r="DW9" s="261"/>
      <c r="DX9" s="261"/>
      <c r="DY9" s="261"/>
      <c r="DZ9" s="261"/>
      <c r="EA9" s="261"/>
      <c r="EB9" s="261"/>
      <c r="EC9" s="261"/>
      <c r="ED9" s="261"/>
      <c r="EE9" s="261"/>
      <c r="EF9" s="261"/>
      <c r="EG9" s="261"/>
      <c r="EH9" s="261"/>
      <c r="EI9" s="261"/>
      <c r="EJ9" s="261"/>
      <c r="EK9" s="261"/>
      <c r="EL9" s="261"/>
      <c r="EM9" s="1325"/>
      <c r="EN9" s="1325"/>
      <c r="EO9" s="1325"/>
      <c r="EP9" s="1325"/>
      <c r="EQ9" s="262"/>
      <c r="ER9" s="260"/>
      <c r="ES9" s="261"/>
      <c r="ET9" s="261"/>
      <c r="EU9" s="261"/>
      <c r="EV9" s="261"/>
      <c r="EW9" s="261"/>
      <c r="EX9" s="261"/>
      <c r="EY9" s="261"/>
      <c r="EZ9" s="261"/>
      <c r="FA9" s="261"/>
      <c r="FB9" s="261"/>
      <c r="FC9" s="261"/>
      <c r="FD9" s="261"/>
      <c r="FE9" s="261"/>
      <c r="FF9" s="261"/>
      <c r="FG9" s="261"/>
      <c r="FH9" s="261"/>
      <c r="FI9" s="260"/>
      <c r="FJ9" s="261"/>
      <c r="FK9" s="262"/>
      <c r="FL9" s="260"/>
      <c r="FM9" s="260"/>
      <c r="FN9" s="261"/>
      <c r="FO9" s="261"/>
      <c r="FP9" s="261"/>
      <c r="FQ9" s="261"/>
      <c r="FR9" s="261"/>
      <c r="FS9" s="261"/>
      <c r="FT9" s="261"/>
      <c r="FW9" s="262"/>
      <c r="FX9" s="261"/>
      <c r="FY9" s="1356"/>
      <c r="FZ9" s="260"/>
      <c r="GA9" s="261"/>
    </row>
    <row r="10" spans="1:198" ht="11.25" customHeight="1" x14ac:dyDescent="0.2">
      <c r="A10" s="260" t="s">
        <v>280</v>
      </c>
      <c r="B10" s="261"/>
      <c r="C10" s="263">
        <f>INDEX('qtrP&amp;L'!10:10,MATCH(C$7,'qtrP&amp;L'!$6:$6,0))</f>
        <v>1590.46</v>
      </c>
      <c r="D10" s="263">
        <f>INDEX('qtrP&amp;L'!11:11,MATCH(C$7,'qtrP&amp;L'!$6:$6,0))</f>
        <v>1525.692</v>
      </c>
      <c r="E10" s="263">
        <f>INDEX('qtrP&amp;L'!12:12,MATCH(C$7,'qtrP&amp;L'!$6:$6,0))</f>
        <v>1767.327</v>
      </c>
      <c r="F10" s="263">
        <f>INDEX('qtrP&amp;L'!13:13,MATCH(C$7,'qtrP&amp;L'!$6:$6,0))</f>
        <v>2258.5039999999999</v>
      </c>
      <c r="G10" s="310"/>
      <c r="H10" s="263">
        <f>INDEX('qtrP&amp;L'!10:10,MATCH(H$7,'qtrP&amp;L'!$6:$6,0))</f>
        <v>1593.4190000000001</v>
      </c>
      <c r="I10" s="263">
        <f>INDEX('qtrP&amp;L'!11:11,MATCH(H$7,'qtrP&amp;L'!$6:$6,0))</f>
        <v>1495.7429999999999</v>
      </c>
      <c r="J10" s="263">
        <f>INDEX('qtrP&amp;L'!12:12,MATCH(H$7,'qtrP&amp;L'!$6:$6,0))</f>
        <v>1708.9010000000001</v>
      </c>
      <c r="K10" s="263">
        <f>INDEX('qtrP&amp;L'!13:13,MATCH(H$7,'qtrP&amp;L'!$6:$6,0))</f>
        <v>2134.2600000000002</v>
      </c>
      <c r="L10" s="310"/>
      <c r="M10" s="263">
        <f>INDEX('qtrP&amp;L'!10:10,MATCH(M$7,'qtrP&amp;L'!$6:$6,0))</f>
        <v>1571.7260000000001</v>
      </c>
      <c r="N10" s="263">
        <f>INDEX('qtrP&amp;L'!11:11,MATCH(M$7,'qtrP&amp;L'!$6:$6,0))</f>
        <v>1457.212</v>
      </c>
      <c r="O10" s="263">
        <f>INDEX('qtrP&amp;L'!12:12,MATCH(M$7,'qtrP&amp;L'!$6:$6,0))</f>
        <v>1788.9649999999999</v>
      </c>
      <c r="P10" s="263">
        <f>INDEX('qtrP&amp;L'!13:13,MATCH(M$7,'qtrP&amp;L'!$6:$6,0))</f>
        <v>2262.038</v>
      </c>
      <c r="Q10" s="310"/>
      <c r="R10" s="263">
        <f>INDEX('qtrP&amp;L'!10:10,MATCH(R$7,'qtrP&amp;L'!$6:$6,0))</f>
        <v>1590.259</v>
      </c>
      <c r="S10" s="263">
        <f>INDEX('qtrP&amp;L'!11:11,MATCH(R$7,'qtrP&amp;L'!$6:$6,0))</f>
        <v>1502.288</v>
      </c>
      <c r="T10" s="263">
        <f>INDEX('qtrP&amp;L'!12:12,MATCH(R$7,'qtrP&amp;L'!$6:$6,0))</f>
        <v>1789.3150000000001</v>
      </c>
      <c r="U10" s="263">
        <f>INDEX('qtrP&amp;L'!13:13,MATCH(R$7,'qtrP&amp;L'!$6:$6,0))</f>
        <v>2347.5439999999999</v>
      </c>
      <c r="V10" s="310"/>
      <c r="W10" s="263">
        <f>INDEX('qtrP&amp;L'!10:10,MATCH(W$7,'qtrP&amp;L'!$6:$6,0))</f>
        <v>1653.6310000000001</v>
      </c>
      <c r="X10" s="263">
        <f>INDEX('qtrP&amp;L'!11:11,MATCH(W$7,'qtrP&amp;L'!$6:$6,0))</f>
        <v>1596.1</v>
      </c>
      <c r="Y10" s="263">
        <f>INDEX('qtrP&amp;L'!12:12,MATCH(W$7,'qtrP&amp;L'!$6:$6,0))</f>
        <v>1926.8109999999999</v>
      </c>
      <c r="Z10" s="263">
        <f>INDEX('qtrP&amp;L'!13:13,MATCH(W$7,'qtrP&amp;L'!$6:$6,0))</f>
        <v>2530.9349999999999</v>
      </c>
      <c r="AA10" s="310"/>
      <c r="AB10" s="263">
        <f>INDEX('qtrP&amp;L'!10:10,MATCH(AB$7,'qtrP&amp;L'!$6:$6,0))</f>
        <v>2988.0059999999999</v>
      </c>
      <c r="AC10" s="263">
        <f>INDEX('qtrP&amp;L'!11:11,MATCH(AB$7,'qtrP&amp;L'!$6:$6,0))</f>
        <v>3047</v>
      </c>
      <c r="AD10" s="263">
        <f>INDEX('qtrP&amp;L'!12:12,MATCH(AB$7,'qtrP&amp;L'!$6:$6,0))</f>
        <v>3333.5279999999998</v>
      </c>
      <c r="AE10" s="263">
        <f>INDEX('qtrP&amp;L'!13:13,MATCH(AB$7,'qtrP&amp;L'!$6:$6,0))</f>
        <v>4629.5</v>
      </c>
      <c r="AF10" s="310"/>
      <c r="AG10" s="263">
        <f>INDEX('qtrP&amp;L'!10:10,MATCH(AG$7,'qtrP&amp;L'!$6:$6,0))</f>
        <v>3300.7</v>
      </c>
      <c r="AH10" s="263">
        <f>INDEX('qtrP&amp;L'!11:11,MATCH(AG$7,'qtrP&amp;L'!$6:$6,0))</f>
        <v>3284.2</v>
      </c>
      <c r="AI10" s="263">
        <f>INDEX('qtrP&amp;L'!12:12,MATCH(AG$7,'qtrP&amp;L'!$6:$6,0))</f>
        <v>3609.1</v>
      </c>
      <c r="AJ10" s="263">
        <f>INDEX('qtrP&amp;L'!13:13,MATCH(AG$7,'qtrP&amp;L'!$6:$6,0))</f>
        <v>5035.3999999999996</v>
      </c>
      <c r="AK10" s="310"/>
      <c r="AL10" s="263">
        <f>INDEX('qtrP&amp;L'!10:10,MATCH(AL$7,'qtrP&amp;L'!$6:$6,0))</f>
        <v>3408.6</v>
      </c>
      <c r="AM10" s="263">
        <f>INDEX('qtrP&amp;L'!11:11,MATCH(AL$7,'qtrP&amp;L'!$6:$6,0))</f>
        <v>3452.8</v>
      </c>
      <c r="AN10" s="263">
        <f>INDEX('qtrP&amp;L'!12:12,MATCH(AL$7,'qtrP&amp;L'!$6:$6,0))</f>
        <v>3746.1</v>
      </c>
      <c r="AO10" s="263">
        <f>INDEX('qtrP&amp;L'!13:13,MATCH(AL$7,'qtrP&amp;L'!$6:$6,0))</f>
        <v>5060.116</v>
      </c>
      <c r="AP10" s="310"/>
      <c r="AQ10" s="263">
        <f>INDEX('qtrP&amp;L'!10:10,MATCH(AQ$7,'qtrP&amp;L'!$6:$6,0))</f>
        <v>3357</v>
      </c>
      <c r="AR10" s="263">
        <f>INDEX('qtrP&amp;L'!11:11,MATCH(AQ$7,'qtrP&amp;L'!$6:$6,0))</f>
        <v>3426</v>
      </c>
      <c r="AS10" s="263">
        <f>INDEX('qtrP&amp;L'!12:12,MATCH(AQ$7,'qtrP&amp;L'!$6:$6,0))</f>
        <v>3548</v>
      </c>
      <c r="AT10" s="263">
        <f>INDEX('qtrP&amp;L'!13:13,MATCH(AQ$7,'qtrP&amp;L'!$6:$6,0))</f>
        <v>5034</v>
      </c>
      <c r="AU10" s="310"/>
      <c r="AV10" s="263">
        <f>INDEX('qtrP&amp;L'!10:10,MATCH(AV$7,'qtrP&amp;L'!$6:$6,0))</f>
        <v>3600</v>
      </c>
      <c r="AW10" s="263">
        <f>INDEX('qtrP&amp;L'!11:11,MATCH(AV$7,'qtrP&amp;L'!$6:$6,0))</f>
        <v>4006</v>
      </c>
      <c r="AX10" s="263">
        <f>INDEX('qtrP&amp;L'!12:12,MATCH(AV$7,'qtrP&amp;L'!$6:$6,0))</f>
        <v>4137</v>
      </c>
      <c r="AY10" s="263">
        <f>INDEX('qtrP&amp;L'!13:13,MATCH(AV$7,'qtrP&amp;L'!$6:$6,0))</f>
        <v>5973</v>
      </c>
      <c r="AZ10" s="310"/>
      <c r="BA10" s="263">
        <f>INDEX('qtrP&amp;L'!10:10,MATCH(BA$7,'qtrP&amp;L'!$6:$6,0))</f>
        <v>3573</v>
      </c>
      <c r="BB10" s="263">
        <f>INDEX('qtrP&amp;L'!11:11,MATCH(BA$7,'qtrP&amp;L'!$6:$6,0))</f>
        <v>3679</v>
      </c>
      <c r="BC10" s="263">
        <f>INDEX('qtrP&amp;L'!12:12,MATCH(BA$7,'qtrP&amp;L'!$6:$6,0))</f>
        <v>3782</v>
      </c>
      <c r="BD10" s="263">
        <f>INDEX('qtrP&amp;L'!13:13,MATCH(BA$7,'qtrP&amp;L'!$6:$6,0))</f>
        <v>5604</v>
      </c>
      <c r="BE10" s="310"/>
      <c r="BF10" s="263">
        <f>INDEX('qtrP&amp;L'!10:10,MATCH(BF$7,'qtrP&amp;L'!$6:$6,0))</f>
        <v>3556</v>
      </c>
      <c r="BG10" s="263">
        <f>INDEX('qtrP&amp;L'!11:11,MATCH(BF$7,'qtrP&amp;L'!$6:$6,0))</f>
        <v>3488</v>
      </c>
      <c r="BH10" s="263">
        <f>INDEX('qtrP&amp;L'!12:12,MATCH(BF$7,'qtrP&amp;L'!$6:$6,0))</f>
        <v>3475</v>
      </c>
      <c r="BI10" s="263">
        <f>INDEX('qtrP&amp;L'!13:13,MATCH(BF$7,'qtrP&amp;L'!$6:$6,0))</f>
        <v>5132</v>
      </c>
      <c r="BJ10" s="310"/>
      <c r="BK10" s="263">
        <f>INDEX('qtrP&amp;L'!10:10,MATCH(BK$7,'qtrP&amp;L'!$6:$6,0))</f>
        <v>3453</v>
      </c>
      <c r="BL10" s="263">
        <f>INDEX('qtrP&amp;L'!11:11,MATCH(BK$7,'qtrP&amp;L'!$6:$6,0))</f>
        <v>3486</v>
      </c>
      <c r="BM10" s="263">
        <f>INDEX('qtrP&amp;L'!12:12,MATCH(BK$7,'qtrP&amp;L'!$6:$6,0))</f>
        <v>3479</v>
      </c>
      <c r="BN10" s="263">
        <f>INDEX('qtrP&amp;L'!13:13,MATCH(BK$7,'qtrP&amp;L'!$6:$6,0))</f>
        <v>5017</v>
      </c>
      <c r="BO10" s="310"/>
      <c r="BP10" s="263">
        <f>INDEX('qtrP&amp;L'!10:10,MATCH(BP$7,'qtrP&amp;L'!$6:$6,0))</f>
        <v>3291</v>
      </c>
      <c r="BQ10" s="263">
        <f>INDEX('qtrP&amp;L'!11:11,MATCH(BP$7,'qtrP&amp;L'!$6:$6,0))</f>
        <v>3434</v>
      </c>
      <c r="BR10" s="263">
        <f>INDEX('qtrP&amp;L'!12:12,MATCH(BP$7,'qtrP&amp;L'!$6:$6,0))</f>
        <v>3486</v>
      </c>
      <c r="BS10" s="263">
        <f>INDEX('qtrP&amp;L'!13:13,MATCH(BP$7,'qtrP&amp;L'!$6:$6,0))</f>
        <v>5053</v>
      </c>
      <c r="BT10" s="310"/>
      <c r="BU10" s="263">
        <f>INDEX('qtrP&amp;L'!10:10,MATCH(BU$7,'qtrP&amp;L'!$6:$6,0))</f>
        <v>3550</v>
      </c>
      <c r="BV10" s="263">
        <f>INDEX('qtrP&amp;L'!11:11,MATCH(BU$7,'qtrP&amp;L'!$6:$6,0))</f>
        <v>3581</v>
      </c>
      <c r="BW10" s="263">
        <f>INDEX('qtrP&amp;L'!12:12,MATCH(BU$7,'qtrP&amp;L'!$6:$6,0))</f>
        <v>3525</v>
      </c>
      <c r="BX10" s="263">
        <f>INDEX('qtrP&amp;L'!13:13,MATCH(BU$7,'qtrP&amp;L'!$6:$6,0))</f>
        <v>5120</v>
      </c>
      <c r="BY10" s="310"/>
      <c r="BZ10" s="263">
        <f>INDEX('qtrP&amp;L'!10:10,MATCH(BZ$7,'qtrP&amp;L'!$6:$6,0))</f>
        <v>3641</v>
      </c>
      <c r="CA10" s="263">
        <f>INDEX('qtrP&amp;L'!11:11,MATCH(BZ$7,'qtrP&amp;L'!$6:$6,0))</f>
        <v>3623</v>
      </c>
      <c r="CB10" s="263">
        <f>INDEX('qtrP&amp;L'!12:12,MATCH(BZ$7,'qtrP&amp;L'!$6:$6,0))</f>
        <v>5555</v>
      </c>
      <c r="CC10" s="263">
        <f>INDEX('qtrP&amp;L'!13:13,MATCH(BZ$7,'qtrP&amp;L'!$6:$6,0))</f>
        <v>9571</v>
      </c>
      <c r="CD10" s="310"/>
      <c r="CE10" s="263">
        <f>INDEX('qtrP&amp;L'!10:10,MATCH(CE$7,'qtrP&amp;L'!$6:$6,0))</f>
        <v>5930</v>
      </c>
      <c r="CF10" s="263">
        <f>INDEX('qtrP&amp;L'!11:11,MATCH(CE$7,'qtrP&amp;L'!$6:$6,0))</f>
        <v>5995</v>
      </c>
      <c r="CG10" s="263">
        <f>INDEX('qtrP&amp;L'!12:12,MATCH(CE$7,'qtrP&amp;L'!$6:$6,0))</f>
        <v>5886</v>
      </c>
      <c r="CH10" s="263">
        <f>INDEX('qtrP&amp;L'!13:13,MATCH(CE$7,'qtrP&amp;L'!$6:$6,0))</f>
        <v>9159</v>
      </c>
      <c r="CI10" s="310"/>
      <c r="CJ10" s="263">
        <f>INDEX('qtrP&amp;L'!10:10,MATCH(CJ$7,'qtrP&amp;L'!$6:$6,0))</f>
        <v>5921</v>
      </c>
      <c r="CK10" s="263">
        <f>INDEX('qtrP&amp;L'!11:11,MATCH(CJ$7,'qtrP&amp;L'!$6:$6,0))</f>
        <v>5892</v>
      </c>
      <c r="CL10" s="263">
        <f>INDEX('qtrP&amp;L'!12:12,MATCH(CJ$7,'qtrP&amp;L'!$6:$6,0))</f>
        <v>5906</v>
      </c>
      <c r="CM10" s="263">
        <f>INDEX('qtrP&amp;L'!13:13,MATCH(CJ$7,'qtrP&amp;L'!$6:$6,0))</f>
        <v>8594</v>
      </c>
      <c r="CN10" s="310"/>
      <c r="CO10" s="263">
        <f>INDEX('qtrP&amp;L'!10:10,MATCH(CO$7,'qtrP&amp;L'!$6:$6,0))</f>
        <v>5747</v>
      </c>
      <c r="CP10" s="263">
        <f>INDEX('qtrP&amp;L'!11:11,MATCH(CO$7,'qtrP&amp;L'!$6:$6,0))</f>
        <v>5718</v>
      </c>
      <c r="CQ10" s="263">
        <f>INDEX('qtrP&amp;L'!12:12,MATCH(CO$7,'qtrP&amp;L'!$6:$6,0))</f>
        <v>5493</v>
      </c>
      <c r="CR10" s="263">
        <f>INDEX('qtrP&amp;L'!13:13,MATCH(CO$7,'qtrP&amp;L'!$6:$6,0))</f>
        <v>7934</v>
      </c>
      <c r="CS10" s="310"/>
      <c r="CT10" s="263">
        <f>INDEX('qtrP&amp;L'!10:10,MATCH(CT$7,'qtrP&amp;L'!$6:$6,0))</f>
        <v>5288</v>
      </c>
      <c r="CU10" s="263">
        <f>INDEX('qtrP&amp;L'!11:11,MATCH(CT$7,'qtrP&amp;L'!$6:$6,0))</f>
        <v>5285</v>
      </c>
      <c r="CV10" s="263">
        <f>INDEX('qtrP&amp;L'!12:12,MATCH(CT$7,'qtrP&amp;L'!$6:$6,0))</f>
        <v>5385</v>
      </c>
      <c r="CW10" s="263">
        <f>INDEX('qtrP&amp;L'!13:13,MATCH(CT$7,'qtrP&amp;L'!$6:$6,0))</f>
        <v>7937</v>
      </c>
      <c r="CX10" s="310"/>
      <c r="CY10" s="263">
        <f>INDEX('qtrP&amp;L'!10:10,MATCH(CY$7,'qtrP&amp;L'!$6:$6,0))</f>
        <v>5574</v>
      </c>
      <c r="CZ10" s="263">
        <f>INDEX('qtrP&amp;L'!11:11,MATCH(CY$7,'qtrP&amp;L'!$6:$6,0))</f>
        <v>5537</v>
      </c>
      <c r="DA10" s="263">
        <f>INDEX('qtrP&amp;L'!12:12,MATCH(CY$7,'qtrP&amp;L'!$6:$6,0))</f>
        <v>5623</v>
      </c>
      <c r="DB10" s="263">
        <f>INDEX('qtrP&amp;L'!13:13,MATCH(CY$7,'qtrP&amp;L'!$6:$6,0))</f>
        <v>8269</v>
      </c>
      <c r="DC10" s="310"/>
      <c r="DD10" s="263">
        <f>INDEX('qtrP&amp;L'!10:10,MATCH(DD$7,'qtrP&amp;L'!$6:$6,0))</f>
        <v>5889</v>
      </c>
      <c r="DE10" s="263">
        <f>INDEX('qtrP&amp;L'!11:11,MATCH(DD$7,'qtrP&amp;L'!$6:$6,0))</f>
        <v>5939</v>
      </c>
      <c r="DF10" s="263">
        <f>INDEX('qtrP&amp;L'!12:12,MATCH(DD$7,'qtrP&amp;L'!$6:$6,0))</f>
        <v>5853</v>
      </c>
      <c r="DG10" s="263">
        <f>INDEX('qtrP&amp;L'!13:13,MATCH(DD$7,'qtrP&amp;L'!$6:$6,0))</f>
        <v>8724</v>
      </c>
      <c r="DH10" s="310"/>
      <c r="DI10" s="263">
        <f>INDEX('qtrP&amp;L'!10:10,MATCH(DI$7,'qtrP&amp;L'!$6:$6,0))</f>
        <v>6143</v>
      </c>
      <c r="DJ10" s="263">
        <f>INDEX('qtrP&amp;L'!11:11,MATCH(DI$7,'qtrP&amp;L'!$6:$6,0))</f>
        <v>6118</v>
      </c>
      <c r="DK10" s="263">
        <f>INDEX('qtrP&amp;L'!12:12,MATCH(DI$7,'qtrP&amp;L'!$6:$6,0))</f>
        <v>6075</v>
      </c>
      <c r="DL10" s="263">
        <f>INDEX('qtrP&amp;L'!13:13,MATCH(DI$7,'qtrP&amp;L'!$6:$6,0))</f>
        <v>9350</v>
      </c>
      <c r="DM10" s="310"/>
      <c r="DN10" s="263">
        <f>INDEX('qtrP&amp;L'!10:10,MATCH(DN$7,'qtrP&amp;L'!$6:$6,0))</f>
        <v>6387</v>
      </c>
      <c r="DO10" s="263">
        <f>INDEX('qtrP&amp;L'!11:11,MATCH(DN$7,'qtrP&amp;L'!$6:$6,0))</f>
        <v>6066</v>
      </c>
      <c r="DP10" s="263">
        <f>INDEX('qtrP&amp;L'!12:12,MATCH(DN$7,'qtrP&amp;L'!$6:$6,0))</f>
        <v>6276</v>
      </c>
      <c r="DQ10" s="263">
        <f>INDEX('qtrP&amp;L'!13:13,MATCH(DN$7,'qtrP&amp;L'!$6:$6,0))</f>
        <v>9202</v>
      </c>
      <c r="DR10" s="310"/>
      <c r="DS10" s="263">
        <f>INDEX('qtrP&amp;L'!10:10,MATCH(DS$7,'qtrP&amp;L'!$6:$6,0))</f>
        <v>6279</v>
      </c>
      <c r="DT10" s="263">
        <f>INDEX('qtrP&amp;L'!11:11,MATCH(DS$7,'qtrP&amp;L'!$6:$6,0))</f>
        <v>6267</v>
      </c>
      <c r="DU10" s="263">
        <f>INDEX('qtrP&amp;L'!12:12,MATCH(DS$7,'qtrP&amp;L'!$6:$6,0))</f>
        <v>6195</v>
      </c>
      <c r="DV10" s="263">
        <f>INDEX('qtrP&amp;L'!13:13,MATCH(DS$7,'qtrP&amp;L'!$6:$6,0))</f>
        <v>9364</v>
      </c>
      <c r="DW10" s="310"/>
      <c r="DX10" s="263">
        <f>INDEX('qtrP&amp;L'!10:10,MATCH(DX$7,'qtrP&amp;L'!$6:$6,0))</f>
        <v>6232</v>
      </c>
      <c r="DY10" s="263">
        <f>INDEX('qtrP&amp;L'!11:11,MATCH(DX$7,'qtrP&amp;L'!$6:$6,0))</f>
        <v>6104</v>
      </c>
      <c r="DZ10" s="263">
        <f>INDEX('qtrP&amp;L'!12:12,MATCH(DX$7,'qtrP&amp;L'!$6:$6,0))</f>
        <v>5874</v>
      </c>
      <c r="EA10" s="263">
        <f>INDEX('qtrP&amp;L'!13:13,MATCH(DX$7,'qtrP&amp;L'!$6:$6,0))</f>
        <v>8869</v>
      </c>
      <c r="EB10" s="261"/>
      <c r="EC10" s="263">
        <f>INDEX('qtrP&amp;L'!10:10,MATCH(EC$7,'qtrP&amp;L'!$6:$6,0))</f>
        <v>5774</v>
      </c>
      <c r="ED10" s="263">
        <f>INDEX('qtrP&amp;L'!11:11,MATCH(EC$7,'qtrP&amp;L'!$6:$6,0))</f>
        <v>5968</v>
      </c>
      <c r="EE10" s="263">
        <f>INDEX('qtrP&amp;L'!12:12,MATCH(EC$7,'qtrP&amp;L'!$6:$6,0))</f>
        <v>5635</v>
      </c>
      <c r="EF10" s="263">
        <f>INDEX('qtrP&amp;L'!13:13,MATCH(EC$7,'qtrP&amp;L'!$6:$6,0))</f>
        <v>8533</v>
      </c>
      <c r="EG10" s="261"/>
      <c r="EH10" s="263">
        <f>INDEX('qtrP&amp;L'!10:10,MATCH(EH$7,'qtrP&amp;L'!$6:$6,0))</f>
        <v>5352</v>
      </c>
      <c r="EI10" s="263">
        <f>INDEX('qtrP&amp;L'!11:11,MATCH(EH$7,'qtrP&amp;L'!$6:$6,0))</f>
        <v>5635</v>
      </c>
      <c r="EJ10" s="263">
        <f>INDEX('qtrP&amp;L'!12:12,MATCH(EH$7,'qtrP&amp;L'!$6:$6,0))</f>
        <v>5287</v>
      </c>
      <c r="EK10" s="263">
        <f>INDEX('qtrP&amp;L'!13:13,MATCH(EH$7,'qtrP&amp;L'!$6:$6,0))</f>
        <v>8671</v>
      </c>
      <c r="EL10" s="263"/>
      <c r="EM10" s="1402">
        <f>INDEX('qtrP&amp;L'!10:10,MATCH(EM$7,'qtrP&amp;L'!$6:$6,0))</f>
        <v>5314.5360000000001</v>
      </c>
      <c r="EN10" s="1402">
        <f>INDEX('qtrP&amp;L'!11:11,MATCH(EM$7,'qtrP&amp;L'!$6:$6,0))</f>
        <v>5471.585</v>
      </c>
      <c r="EO10" s="1402">
        <f>INDEX('qtrP&amp;L'!12:12,MATCH(EM$7,'qtrP&amp;L'!$6:$6,0))</f>
        <v>5297.5739999999996</v>
      </c>
      <c r="EP10" s="1402">
        <f>INDEX('qtrP&amp;L'!13:13,MATCH(EM$7,'qtrP&amp;L'!$6:$6,0))</f>
        <v>8471.5669999999991</v>
      </c>
      <c r="EQ10" s="262"/>
      <c r="ER10" s="311">
        <f>'yrP&amp;L'!F7</f>
        <v>7079.9410000000007</v>
      </c>
      <c r="ES10" s="263">
        <f>'yrP&amp;L'!G7</f>
        <v>7229.4059999999999</v>
      </c>
      <c r="ET10" s="263">
        <f>'yrP&amp;L'!H7</f>
        <v>7707.476999999999</v>
      </c>
      <c r="EU10" s="263">
        <f>'yrP&amp;L'!I7</f>
        <v>13701.5</v>
      </c>
      <c r="EV10" s="263">
        <f>'yrP&amp;L'!J7</f>
        <v>13998.034</v>
      </c>
      <c r="EW10" s="263"/>
      <c r="EX10" s="263">
        <f>'yrP&amp;L'!L7</f>
        <v>14614</v>
      </c>
      <c r="EY10" s="263">
        <f>'yrP&amp;L'!M7</f>
        <v>14833</v>
      </c>
      <c r="EZ10" s="263">
        <f>'yrP&amp;L'!N7</f>
        <v>15220</v>
      </c>
      <c r="FA10" s="263">
        <f>'yrP&amp;L'!O7</f>
        <v>15365</v>
      </c>
      <c r="FB10" s="263">
        <f>'yrP&amp;L'!P7</f>
        <v>16029</v>
      </c>
      <c r="FC10" s="263">
        <f>'yrP&amp;L'!Q7</f>
        <v>16638</v>
      </c>
      <c r="FD10" s="263">
        <f>'yrP&amp;L'!R7</f>
        <v>15785</v>
      </c>
      <c r="FE10" s="263">
        <f>'yrP&amp;L'!S7</f>
        <v>15571</v>
      </c>
      <c r="FF10" s="263">
        <f>'yrP&amp;L'!T7</f>
        <v>15412</v>
      </c>
      <c r="FG10" s="263">
        <f>'yrP&amp;L'!U7</f>
        <v>15776</v>
      </c>
      <c r="FH10" s="263">
        <f>'yrP&amp;L'!V7</f>
        <v>22390</v>
      </c>
      <c r="FI10" s="311">
        <f>'yrP&amp;L'!W7</f>
        <v>26970</v>
      </c>
      <c r="FJ10" s="263">
        <f>'yrP&amp;L'!X7</f>
        <v>26313</v>
      </c>
      <c r="FK10" s="264">
        <f>'yrP&amp;L'!Y7</f>
        <v>24892</v>
      </c>
      <c r="FL10" s="311">
        <f>'yrP&amp;L'!Z7</f>
        <v>23895</v>
      </c>
      <c r="FM10" s="311">
        <f>'yrP&amp;L'!AA7</f>
        <v>25003</v>
      </c>
      <c r="FN10" s="263">
        <f>'yrP&amp;L'!AB7</f>
        <v>26405</v>
      </c>
      <c r="FO10" s="263">
        <f>'yrP&amp;L'!AC7</f>
        <v>27686</v>
      </c>
      <c r="FP10" s="263">
        <f>'yrP&amp;L'!AD7</f>
        <v>27931</v>
      </c>
      <c r="FQ10" s="263">
        <f>'yrP&amp;L'!AE7</f>
        <v>28105</v>
      </c>
      <c r="FR10" s="263">
        <f>'yrP&amp;L'!AF7</f>
        <v>27079</v>
      </c>
      <c r="FS10" s="263">
        <f>'yrP&amp;L'!AG7</f>
        <v>25910</v>
      </c>
      <c r="FT10" s="1402">
        <f>'yrP&amp;L'!AH7</f>
        <v>24945</v>
      </c>
      <c r="FU10" s="263">
        <f>'yrP&amp;L'!AI7</f>
        <v>24555.261999999999</v>
      </c>
      <c r="FV10" s="263">
        <f>'yrP&amp;L'!AJ7</f>
        <v>23831.44730298777</v>
      </c>
      <c r="FW10" s="264">
        <f>'yrP&amp;L'!AK7</f>
        <v>23123.892412542602</v>
      </c>
      <c r="FX10" s="263">
        <f>'yrP&amp;L'!AL7</f>
        <v>22454.593200827767</v>
      </c>
      <c r="FY10" s="1357">
        <f>'yrP&amp;L'!AM7</f>
        <v>21799.585572460201</v>
      </c>
      <c r="FZ10" s="311"/>
      <c r="GA10" s="263"/>
    </row>
    <row r="11" spans="1:198" ht="14.25" customHeight="1" x14ac:dyDescent="0.2">
      <c r="A11" s="1492" t="s">
        <v>681</v>
      </c>
      <c r="B11" s="261"/>
      <c r="C11" s="261"/>
      <c r="D11" s="261"/>
      <c r="E11" s="261"/>
      <c r="F11" s="261"/>
      <c r="G11" s="261"/>
      <c r="H11" s="261"/>
      <c r="I11" s="261"/>
      <c r="J11" s="261"/>
      <c r="K11" s="261"/>
      <c r="L11" s="261"/>
      <c r="M11" s="261"/>
      <c r="N11" s="261"/>
      <c r="O11" s="261"/>
      <c r="P11" s="261"/>
      <c r="Q11" s="261"/>
      <c r="R11" s="261"/>
      <c r="S11" s="261"/>
      <c r="T11" s="261"/>
      <c r="U11" s="261"/>
      <c r="V11" s="261"/>
      <c r="W11" s="261"/>
      <c r="X11" s="261"/>
      <c r="Y11" s="261"/>
      <c r="Z11" s="261"/>
      <c r="AA11" s="261"/>
      <c r="AB11" s="261"/>
      <c r="AC11" s="261"/>
      <c r="AD11" s="261"/>
      <c r="AE11" s="261"/>
      <c r="AF11" s="261"/>
      <c r="AG11" s="261"/>
      <c r="AH11" s="261"/>
      <c r="AI11" s="261"/>
      <c r="AJ11" s="261"/>
      <c r="AK11" s="261"/>
      <c r="AL11" s="261"/>
      <c r="AM11" s="261"/>
      <c r="AN11" s="261"/>
      <c r="AO11" s="261"/>
      <c r="AP11" s="261"/>
      <c r="AQ11" s="261"/>
      <c r="AR11" s="261"/>
      <c r="AS11" s="261"/>
      <c r="AT11" s="261"/>
      <c r="AU11" s="261"/>
      <c r="AV11" s="261"/>
      <c r="AW11" s="261"/>
      <c r="AX11" s="261"/>
      <c r="AY11" s="261"/>
      <c r="AZ11" s="261"/>
      <c r="BA11" s="261"/>
      <c r="BB11" s="261"/>
      <c r="BC11" s="261"/>
      <c r="BD11" s="261"/>
      <c r="BE11" s="261"/>
      <c r="BF11" s="261"/>
      <c r="BG11" s="261"/>
      <c r="BH11" s="261"/>
      <c r="BI11" s="261"/>
      <c r="BJ11" s="261"/>
      <c r="BK11" s="261"/>
      <c r="BL11" s="261"/>
      <c r="BM11" s="261"/>
      <c r="BN11" s="261"/>
      <c r="BO11" s="261"/>
      <c r="BP11" s="261"/>
      <c r="BQ11" s="261"/>
      <c r="BR11" s="261"/>
      <c r="BS11" s="261"/>
      <c r="BT11" s="261"/>
      <c r="BU11" s="261"/>
      <c r="BV11" s="261"/>
      <c r="BW11" s="261"/>
      <c r="BX11" s="261"/>
      <c r="BY11" s="261"/>
      <c r="BZ11" s="261"/>
      <c r="CA11" s="261"/>
      <c r="CB11" s="261"/>
      <c r="CC11" s="261"/>
      <c r="CD11" s="261"/>
      <c r="CE11" s="261"/>
      <c r="CF11" s="261"/>
      <c r="CG11" s="261"/>
      <c r="CH11" s="261"/>
      <c r="CI11" s="261"/>
      <c r="CJ11" s="261"/>
      <c r="CK11" s="261"/>
      <c r="CL11" s="261"/>
      <c r="CM11" s="261"/>
      <c r="CN11" s="261"/>
      <c r="CO11" s="261"/>
      <c r="CP11" s="261"/>
      <c r="CQ11" s="261"/>
      <c r="CR11" s="261"/>
      <c r="CS11" s="261"/>
      <c r="CT11" s="261"/>
      <c r="CU11" s="261"/>
      <c r="CV11" s="261"/>
      <c r="CW11" s="261"/>
      <c r="CX11" s="261"/>
      <c r="CY11" s="261"/>
      <c r="CZ11" s="261"/>
      <c r="DA11" s="261"/>
      <c r="DB11" s="261"/>
      <c r="DC11" s="261"/>
      <c r="DD11" s="261"/>
      <c r="DE11" s="261"/>
      <c r="DF11" s="261"/>
      <c r="DG11" s="261"/>
      <c r="DH11" s="261"/>
      <c r="DI11" s="261"/>
      <c r="DJ11" s="261"/>
      <c r="DK11" s="261"/>
      <c r="DL11" s="261"/>
      <c r="DM11" s="261"/>
      <c r="DN11" s="261"/>
      <c r="DO11" s="261"/>
      <c r="DP11" s="261"/>
      <c r="DQ11" s="261"/>
      <c r="DR11" s="261"/>
      <c r="DS11" s="261"/>
      <c r="DT11" s="261"/>
      <c r="DU11" s="261"/>
      <c r="DV11" s="261"/>
      <c r="DW11" s="261"/>
      <c r="DX11" s="261"/>
      <c r="DY11" s="261"/>
      <c r="DZ11" s="261"/>
      <c r="EA11" s="261"/>
      <c r="EB11" s="261"/>
      <c r="EC11" s="263">
        <f>INDEX('qtrP&amp;L'!19:19,MATCH(EC$7,'qtrP&amp;L'!$6:$6,0))</f>
        <v>162</v>
      </c>
      <c r="ED11" s="263">
        <f>INDEX('qtrP&amp;L'!20:20,MATCH(EC$7,'qtrP&amp;L'!$6:$6,0))</f>
        <v>157.5</v>
      </c>
      <c r="EE11" s="263">
        <f>INDEX('qtrP&amp;L'!21:21,MATCH(EC$7,'qtrP&amp;L'!$6:$6,0))</f>
        <v>146.5</v>
      </c>
      <c r="EF11" s="263">
        <f>INDEX('qtrP&amp;L'!22:22,MATCH(EC$7,'qtrP&amp;L'!$6:$6,0))</f>
        <v>190</v>
      </c>
      <c r="EG11" s="261"/>
      <c r="EH11" s="263">
        <f>INDEX('qtrP&amp;L'!19:19,MATCH(EH$7,'qtrP&amp;L'!$6:$6,0))</f>
        <v>161</v>
      </c>
      <c r="EI11" s="263">
        <f>INDEX('qtrP&amp;L'!20:20,MATCH(EH$7,'qtrP&amp;L'!$6:$6,0))</f>
        <v>167</v>
      </c>
      <c r="EJ11" s="263">
        <f>INDEX('qtrP&amp;L'!21:21,MATCH(EH$7,'qtrP&amp;L'!$6:$6,0))</f>
        <v>145</v>
      </c>
      <c r="EK11" s="263">
        <f>INDEX('qtrP&amp;L'!22:22,MATCH(EH$7,'qtrP&amp;L'!$6:$6,0))</f>
        <v>229</v>
      </c>
      <c r="EL11" s="261"/>
      <c r="EM11" s="263">
        <f>INDEX('qtrP&amp;L'!19:19,MATCH(EM$7,'qtrP&amp;L'!$6:$6,0))</f>
        <v>150</v>
      </c>
      <c r="EN11" s="263">
        <f>INDEX('qtrP&amp;L'!20:20,MATCH(EM$7,'qtrP&amp;L'!$6:$6,0))</f>
        <v>156</v>
      </c>
      <c r="EO11" s="263">
        <f>INDEX('qtrP&amp;L'!21:21,MATCH(EM$7,'qtrP&amp;L'!$6:$6,0))</f>
        <v>135</v>
      </c>
      <c r="EP11" s="263">
        <f>INDEX('qtrP&amp;L'!22:22,MATCH(EM$7,'qtrP&amp;L'!$6:$6,0))</f>
        <v>215</v>
      </c>
      <c r="EQ11" s="262"/>
      <c r="ER11" s="312"/>
      <c r="ES11" s="269"/>
      <c r="ET11" s="269"/>
      <c r="EU11" s="269"/>
      <c r="EV11" s="269"/>
      <c r="EW11" s="269"/>
      <c r="EX11" s="269"/>
      <c r="EY11" s="269"/>
      <c r="EZ11" s="269"/>
      <c r="FA11" s="269"/>
      <c r="FB11" s="269"/>
      <c r="FC11" s="269"/>
      <c r="FD11" s="269"/>
      <c r="FE11" s="269"/>
      <c r="FF11" s="269"/>
      <c r="FG11" s="269"/>
      <c r="FH11" s="269"/>
      <c r="FI11" s="312"/>
      <c r="FJ11" s="269"/>
      <c r="FK11" s="266"/>
      <c r="FL11" s="312"/>
      <c r="FM11" s="312"/>
      <c r="FN11" s="269"/>
      <c r="FO11" s="269"/>
      <c r="FP11" s="269">
        <v>0</v>
      </c>
      <c r="FQ11" s="269">
        <v>0</v>
      </c>
      <c r="FR11" s="265">
        <v>0</v>
      </c>
      <c r="FS11" s="1493">
        <f>'yrP&amp;L'!AG11</f>
        <v>656</v>
      </c>
      <c r="FT11" s="1503">
        <f>'yrP&amp;L'!AH11</f>
        <v>702</v>
      </c>
      <c r="FU11" s="1493">
        <f>'yrP&amp;L'!AI11</f>
        <v>656</v>
      </c>
      <c r="FV11" s="1493">
        <f>'yrP&amp;L'!AJ11</f>
        <v>661</v>
      </c>
      <c r="FW11" s="1493">
        <f>'yrP&amp;L'!AK11</f>
        <v>666</v>
      </c>
      <c r="FX11" s="1494">
        <f>'yrP&amp;L'!AL11</f>
        <v>671</v>
      </c>
      <c r="FY11" s="1493">
        <f>'yrP&amp;L'!AM11</f>
        <v>676</v>
      </c>
      <c r="FZ11" s="312"/>
      <c r="GA11" s="269"/>
    </row>
    <row r="12" spans="1:198" ht="14.25" customHeight="1" x14ac:dyDescent="0.2">
      <c r="A12" s="1492" t="s">
        <v>418</v>
      </c>
      <c r="B12" s="261"/>
      <c r="C12" s="261">
        <f t="shared" ref="C12" si="3">C10+C11</f>
        <v>1590.46</v>
      </c>
      <c r="D12" s="261">
        <f t="shared" ref="D12" si="4">D10+D11</f>
        <v>1525.692</v>
      </c>
      <c r="E12" s="261">
        <f t="shared" ref="E12" si="5">E10+E11</f>
        <v>1767.327</v>
      </c>
      <c r="F12" s="261">
        <f t="shared" ref="F12" si="6">F10+F11</f>
        <v>2258.5039999999999</v>
      </c>
      <c r="G12" s="261"/>
      <c r="H12" s="261">
        <f t="shared" ref="H12" si="7">H10+H11</f>
        <v>1593.4190000000001</v>
      </c>
      <c r="I12" s="261">
        <f t="shared" ref="I12" si="8">I10+I11</f>
        <v>1495.7429999999999</v>
      </c>
      <c r="J12" s="261">
        <f t="shared" ref="J12" si="9">J10+J11</f>
        <v>1708.9010000000001</v>
      </c>
      <c r="K12" s="261">
        <f t="shared" ref="K12" si="10">K10+K11</f>
        <v>2134.2600000000002</v>
      </c>
      <c r="L12" s="261"/>
      <c r="M12" s="261">
        <f t="shared" ref="M12" si="11">M10+M11</f>
        <v>1571.7260000000001</v>
      </c>
      <c r="N12" s="261">
        <f t="shared" ref="N12" si="12">N10+N11</f>
        <v>1457.212</v>
      </c>
      <c r="O12" s="261">
        <f t="shared" ref="O12" si="13">O10+O11</f>
        <v>1788.9649999999999</v>
      </c>
      <c r="P12" s="261">
        <f t="shared" ref="P12" si="14">P10+P11</f>
        <v>2262.038</v>
      </c>
      <c r="Q12" s="261"/>
      <c r="R12" s="261">
        <f t="shared" ref="R12" si="15">R10+R11</f>
        <v>1590.259</v>
      </c>
      <c r="S12" s="261">
        <f t="shared" ref="S12" si="16">S10+S11</f>
        <v>1502.288</v>
      </c>
      <c r="T12" s="261">
        <f t="shared" ref="T12" si="17">T10+T11</f>
        <v>1789.3150000000001</v>
      </c>
      <c r="U12" s="261">
        <f t="shared" ref="U12" si="18">U10+U11</f>
        <v>2347.5439999999999</v>
      </c>
      <c r="V12" s="261"/>
      <c r="W12" s="261">
        <f t="shared" ref="W12" si="19">W10+W11</f>
        <v>1653.6310000000001</v>
      </c>
      <c r="X12" s="261">
        <f t="shared" ref="X12" si="20">X10+X11</f>
        <v>1596.1</v>
      </c>
      <c r="Y12" s="261">
        <f t="shared" ref="Y12" si="21">Y10+Y11</f>
        <v>1926.8109999999999</v>
      </c>
      <c r="Z12" s="261">
        <f t="shared" ref="Z12" si="22">Z10+Z11</f>
        <v>2530.9349999999999</v>
      </c>
      <c r="AA12" s="261"/>
      <c r="AB12" s="261">
        <f t="shared" ref="AB12" si="23">AB10+AB11</f>
        <v>2988.0059999999999</v>
      </c>
      <c r="AC12" s="261">
        <f t="shared" ref="AC12" si="24">AC10+AC11</f>
        <v>3047</v>
      </c>
      <c r="AD12" s="261">
        <f t="shared" ref="AD12" si="25">AD10+AD11</f>
        <v>3333.5279999999998</v>
      </c>
      <c r="AE12" s="261">
        <f t="shared" ref="AE12" si="26">AE10+AE11</f>
        <v>4629.5</v>
      </c>
      <c r="AF12" s="261"/>
      <c r="AG12" s="261">
        <f t="shared" ref="AG12" si="27">AG10+AG11</f>
        <v>3300.7</v>
      </c>
      <c r="AH12" s="261">
        <f t="shared" ref="AH12" si="28">AH10+AH11</f>
        <v>3284.2</v>
      </c>
      <c r="AI12" s="261">
        <f t="shared" ref="AI12" si="29">AI10+AI11</f>
        <v>3609.1</v>
      </c>
      <c r="AJ12" s="261">
        <f t="shared" ref="AJ12" si="30">AJ10+AJ11</f>
        <v>5035.3999999999996</v>
      </c>
      <c r="AK12" s="261"/>
      <c r="AL12" s="261">
        <f t="shared" ref="AL12" si="31">AL10+AL11</f>
        <v>3408.6</v>
      </c>
      <c r="AM12" s="261">
        <f t="shared" ref="AM12" si="32">AM10+AM11</f>
        <v>3452.8</v>
      </c>
      <c r="AN12" s="261">
        <f t="shared" ref="AN12" si="33">AN10+AN11</f>
        <v>3746.1</v>
      </c>
      <c r="AO12" s="261">
        <f t="shared" ref="AO12" si="34">AO10+AO11</f>
        <v>5060.116</v>
      </c>
      <c r="AP12" s="261"/>
      <c r="AQ12" s="261">
        <f t="shared" ref="AQ12" si="35">AQ10+AQ11</f>
        <v>3357</v>
      </c>
      <c r="AR12" s="261">
        <f t="shared" ref="AR12" si="36">AR10+AR11</f>
        <v>3426</v>
      </c>
      <c r="AS12" s="261">
        <f t="shared" ref="AS12" si="37">AS10+AS11</f>
        <v>3548</v>
      </c>
      <c r="AT12" s="261">
        <f t="shared" ref="AT12" si="38">AT10+AT11</f>
        <v>5034</v>
      </c>
      <c r="AU12" s="261"/>
      <c r="AV12" s="261">
        <f t="shared" ref="AV12" si="39">AV10+AV11</f>
        <v>3600</v>
      </c>
      <c r="AW12" s="261">
        <f t="shared" ref="AW12" si="40">AW10+AW11</f>
        <v>4006</v>
      </c>
      <c r="AX12" s="261">
        <f t="shared" ref="AX12" si="41">AX10+AX11</f>
        <v>4137</v>
      </c>
      <c r="AY12" s="261">
        <f t="shared" ref="AY12" si="42">AY10+AY11</f>
        <v>5973</v>
      </c>
      <c r="AZ12" s="261"/>
      <c r="BA12" s="261">
        <f t="shared" ref="BA12" si="43">BA10+BA11</f>
        <v>3573</v>
      </c>
      <c r="BB12" s="261">
        <f t="shared" ref="BB12" si="44">BB10+BB11</f>
        <v>3679</v>
      </c>
      <c r="BC12" s="261">
        <f t="shared" ref="BC12" si="45">BC10+BC11</f>
        <v>3782</v>
      </c>
      <c r="BD12" s="261">
        <f t="shared" ref="BD12" si="46">BD10+BD11</f>
        <v>5604</v>
      </c>
      <c r="BE12" s="261"/>
      <c r="BF12" s="261">
        <f t="shared" ref="BF12" si="47">BF10+BF11</f>
        <v>3556</v>
      </c>
      <c r="BG12" s="261">
        <f t="shared" ref="BG12" si="48">BG10+BG11</f>
        <v>3488</v>
      </c>
      <c r="BH12" s="261">
        <f t="shared" ref="BH12" si="49">BH10+BH11</f>
        <v>3475</v>
      </c>
      <c r="BI12" s="261">
        <f t="shared" ref="BI12" si="50">BI10+BI11</f>
        <v>5132</v>
      </c>
      <c r="BJ12" s="261"/>
      <c r="BK12" s="261">
        <f t="shared" ref="BK12" si="51">BK10+BK11</f>
        <v>3453</v>
      </c>
      <c r="BL12" s="261">
        <f t="shared" ref="BL12" si="52">BL10+BL11</f>
        <v>3486</v>
      </c>
      <c r="BM12" s="261">
        <f t="shared" ref="BM12" si="53">BM10+BM11</f>
        <v>3479</v>
      </c>
      <c r="BN12" s="261">
        <f t="shared" ref="BN12" si="54">BN10+BN11</f>
        <v>5017</v>
      </c>
      <c r="BO12" s="261"/>
      <c r="BP12" s="261">
        <f t="shared" ref="BP12" si="55">BP10+BP11</f>
        <v>3291</v>
      </c>
      <c r="BQ12" s="261">
        <f t="shared" ref="BQ12" si="56">BQ10+BQ11</f>
        <v>3434</v>
      </c>
      <c r="BR12" s="261">
        <f t="shared" ref="BR12" si="57">BR10+BR11</f>
        <v>3486</v>
      </c>
      <c r="BS12" s="261">
        <f t="shared" ref="BS12" si="58">BS10+BS11</f>
        <v>5053</v>
      </c>
      <c r="BT12" s="261"/>
      <c r="BU12" s="261">
        <f t="shared" ref="BU12" si="59">BU10+BU11</f>
        <v>3550</v>
      </c>
      <c r="BV12" s="261">
        <f t="shared" ref="BV12" si="60">BV10+BV11</f>
        <v>3581</v>
      </c>
      <c r="BW12" s="261">
        <f t="shared" ref="BW12" si="61">BW10+BW11</f>
        <v>3525</v>
      </c>
      <c r="BX12" s="261">
        <f t="shared" ref="BX12" si="62">BX10+BX11</f>
        <v>5120</v>
      </c>
      <c r="BY12" s="261"/>
      <c r="BZ12" s="261">
        <f t="shared" ref="BZ12" si="63">BZ10+BZ11</f>
        <v>3641</v>
      </c>
      <c r="CA12" s="261">
        <f t="shared" ref="CA12" si="64">CA10+CA11</f>
        <v>3623</v>
      </c>
      <c r="CB12" s="261">
        <f t="shared" ref="CB12" si="65">CB10+CB11</f>
        <v>5555</v>
      </c>
      <c r="CC12" s="261">
        <f t="shared" ref="CC12" si="66">CC10+CC11</f>
        <v>9571</v>
      </c>
      <c r="CD12" s="261"/>
      <c r="CE12" s="261">
        <f t="shared" ref="CE12" si="67">CE10+CE11</f>
        <v>5930</v>
      </c>
      <c r="CF12" s="261">
        <f t="shared" ref="CF12" si="68">CF10+CF11</f>
        <v>5995</v>
      </c>
      <c r="CG12" s="261">
        <f t="shared" ref="CG12" si="69">CG10+CG11</f>
        <v>5886</v>
      </c>
      <c r="CH12" s="261">
        <f t="shared" ref="CH12" si="70">CH10+CH11</f>
        <v>9159</v>
      </c>
      <c r="CI12" s="261"/>
      <c r="CJ12" s="261">
        <f t="shared" ref="CJ12" si="71">CJ10+CJ11</f>
        <v>5921</v>
      </c>
      <c r="CK12" s="261">
        <f t="shared" ref="CK12" si="72">CK10+CK11</f>
        <v>5892</v>
      </c>
      <c r="CL12" s="261">
        <f t="shared" ref="CL12" si="73">CL10+CL11</f>
        <v>5906</v>
      </c>
      <c r="CM12" s="261">
        <f t="shared" ref="CM12" si="74">CM10+CM11</f>
        <v>8594</v>
      </c>
      <c r="CN12" s="261"/>
      <c r="CO12" s="261">
        <f t="shared" ref="CO12" si="75">CO10+CO11</f>
        <v>5747</v>
      </c>
      <c r="CP12" s="261">
        <f t="shared" ref="CP12" si="76">CP10+CP11</f>
        <v>5718</v>
      </c>
      <c r="CQ12" s="261">
        <f t="shared" ref="CQ12" si="77">CQ10+CQ11</f>
        <v>5493</v>
      </c>
      <c r="CR12" s="261">
        <f t="shared" ref="CR12" si="78">CR10+CR11</f>
        <v>7934</v>
      </c>
      <c r="CS12" s="261"/>
      <c r="CT12" s="261">
        <f t="shared" ref="CT12" si="79">CT10+CT11</f>
        <v>5288</v>
      </c>
      <c r="CU12" s="261">
        <f t="shared" ref="CU12" si="80">CU10+CU11</f>
        <v>5285</v>
      </c>
      <c r="CV12" s="261">
        <f t="shared" ref="CV12" si="81">CV10+CV11</f>
        <v>5385</v>
      </c>
      <c r="CW12" s="261">
        <f t="shared" ref="CW12" si="82">CW10+CW11</f>
        <v>7937</v>
      </c>
      <c r="CX12" s="261"/>
      <c r="CY12" s="261">
        <f t="shared" ref="CY12" si="83">CY10+CY11</f>
        <v>5574</v>
      </c>
      <c r="CZ12" s="261">
        <f t="shared" ref="CZ12" si="84">CZ10+CZ11</f>
        <v>5537</v>
      </c>
      <c r="DA12" s="261">
        <f t="shared" ref="DA12" si="85">DA10+DA11</f>
        <v>5623</v>
      </c>
      <c r="DB12" s="261">
        <f t="shared" ref="DB12" si="86">DB10+DB11</f>
        <v>8269</v>
      </c>
      <c r="DC12" s="261"/>
      <c r="DD12" s="261">
        <f t="shared" ref="DD12" si="87">DD10+DD11</f>
        <v>5889</v>
      </c>
      <c r="DE12" s="261">
        <f t="shared" ref="DE12" si="88">DE10+DE11</f>
        <v>5939</v>
      </c>
      <c r="DF12" s="261">
        <f t="shared" ref="DF12" si="89">DF10+DF11</f>
        <v>5853</v>
      </c>
      <c r="DG12" s="261">
        <f t="shared" ref="DG12" si="90">DG10+DG11</f>
        <v>8724</v>
      </c>
      <c r="DH12" s="261"/>
      <c r="DI12" s="261">
        <f t="shared" ref="DI12" si="91">DI10+DI11</f>
        <v>6143</v>
      </c>
      <c r="DJ12" s="261">
        <f t="shared" ref="DJ12" si="92">DJ10+DJ11</f>
        <v>6118</v>
      </c>
      <c r="DK12" s="261">
        <f t="shared" ref="DK12" si="93">DK10+DK11</f>
        <v>6075</v>
      </c>
      <c r="DL12" s="261">
        <f t="shared" ref="DL12" si="94">DL10+DL11</f>
        <v>9350</v>
      </c>
      <c r="DM12" s="261"/>
      <c r="DN12" s="261">
        <f t="shared" ref="DN12" si="95">DN10+DN11</f>
        <v>6387</v>
      </c>
      <c r="DO12" s="261">
        <f t="shared" ref="DO12" si="96">DO10+DO11</f>
        <v>6066</v>
      </c>
      <c r="DP12" s="261">
        <f t="shared" ref="DP12" si="97">DP10+DP11</f>
        <v>6276</v>
      </c>
      <c r="DQ12" s="261">
        <f t="shared" ref="DQ12" si="98">DQ10+DQ11</f>
        <v>9202</v>
      </c>
      <c r="DR12" s="261"/>
      <c r="DS12" s="261">
        <f t="shared" ref="DS12" si="99">DS10+DS11</f>
        <v>6279</v>
      </c>
      <c r="DT12" s="261">
        <f t="shared" ref="DT12" si="100">DT10+DT11</f>
        <v>6267</v>
      </c>
      <c r="DU12" s="261">
        <f t="shared" ref="DU12" si="101">DU10+DU11</f>
        <v>6195</v>
      </c>
      <c r="DV12" s="261">
        <f t="shared" ref="DV12" si="102">DV10+DV11</f>
        <v>9364</v>
      </c>
      <c r="DW12" s="261"/>
      <c r="DX12" s="261">
        <f t="shared" ref="DX12:EA12" si="103">DX10+DX11</f>
        <v>6232</v>
      </c>
      <c r="DY12" s="261">
        <f t="shared" si="103"/>
        <v>6104</v>
      </c>
      <c r="DZ12" s="261">
        <f t="shared" si="103"/>
        <v>5874</v>
      </c>
      <c r="EA12" s="261">
        <f t="shared" si="103"/>
        <v>8869</v>
      </c>
      <c r="EB12" s="261"/>
      <c r="EC12" s="263">
        <f>EC10+EC11</f>
        <v>5936</v>
      </c>
      <c r="ED12" s="263">
        <f>ED10+ED11</f>
        <v>6125.5</v>
      </c>
      <c r="EE12" s="263">
        <f>EE10+EE11</f>
        <v>5781.5</v>
      </c>
      <c r="EF12" s="263">
        <f>EF10+EF11</f>
        <v>8723</v>
      </c>
      <c r="EG12" s="261"/>
      <c r="EH12" s="263">
        <f>EH10+EH11</f>
        <v>5513</v>
      </c>
      <c r="EI12" s="263">
        <f>EI10+EI11</f>
        <v>5802</v>
      </c>
      <c r="EJ12" s="263">
        <f>EJ10+EJ11</f>
        <v>5432</v>
      </c>
      <c r="EK12" s="263">
        <f>EK10+EK11</f>
        <v>8900</v>
      </c>
      <c r="EL12" s="261"/>
      <c r="EM12" s="263">
        <f>EM10+EM11</f>
        <v>5464.5360000000001</v>
      </c>
      <c r="EN12" s="263">
        <f>EN10+EN11</f>
        <v>5627.585</v>
      </c>
      <c r="EO12" s="263">
        <f>EO10+EO11</f>
        <v>5432.5739999999996</v>
      </c>
      <c r="EP12" s="263">
        <f>EP10+EP11</f>
        <v>8686.5669999999991</v>
      </c>
      <c r="EQ12" s="262"/>
      <c r="ER12" s="312">
        <f t="shared" ref="ER12:FR12" si="104">ER10+ER11</f>
        <v>7079.9410000000007</v>
      </c>
      <c r="ES12" s="269">
        <f t="shared" si="104"/>
        <v>7229.4059999999999</v>
      </c>
      <c r="ET12" s="269">
        <f t="shared" si="104"/>
        <v>7707.476999999999</v>
      </c>
      <c r="EU12" s="269">
        <f t="shared" si="104"/>
        <v>13701.5</v>
      </c>
      <c r="EV12" s="269">
        <f t="shared" si="104"/>
        <v>13998.034</v>
      </c>
      <c r="EW12" s="269">
        <f t="shared" si="104"/>
        <v>0</v>
      </c>
      <c r="EX12" s="269">
        <f t="shared" si="104"/>
        <v>14614</v>
      </c>
      <c r="EY12" s="269">
        <f t="shared" si="104"/>
        <v>14833</v>
      </c>
      <c r="EZ12" s="269">
        <f t="shared" si="104"/>
        <v>15220</v>
      </c>
      <c r="FA12" s="269">
        <f t="shared" si="104"/>
        <v>15365</v>
      </c>
      <c r="FB12" s="269">
        <f t="shared" si="104"/>
        <v>16029</v>
      </c>
      <c r="FC12" s="269">
        <f t="shared" si="104"/>
        <v>16638</v>
      </c>
      <c r="FD12" s="269">
        <f t="shared" si="104"/>
        <v>15785</v>
      </c>
      <c r="FE12" s="269">
        <f t="shared" si="104"/>
        <v>15571</v>
      </c>
      <c r="FF12" s="269">
        <f t="shared" si="104"/>
        <v>15412</v>
      </c>
      <c r="FG12" s="269">
        <f t="shared" si="104"/>
        <v>15776</v>
      </c>
      <c r="FH12" s="269">
        <f t="shared" si="104"/>
        <v>22390</v>
      </c>
      <c r="FI12" s="312">
        <f t="shared" si="104"/>
        <v>26970</v>
      </c>
      <c r="FJ12" s="269">
        <f t="shared" si="104"/>
        <v>26313</v>
      </c>
      <c r="FK12" s="266">
        <f t="shared" si="104"/>
        <v>24892</v>
      </c>
      <c r="FL12" s="312">
        <f t="shared" si="104"/>
        <v>23895</v>
      </c>
      <c r="FM12" s="312">
        <f t="shared" si="104"/>
        <v>25003</v>
      </c>
      <c r="FN12" s="269">
        <f t="shared" si="104"/>
        <v>26405</v>
      </c>
      <c r="FO12" s="269">
        <f t="shared" si="104"/>
        <v>27686</v>
      </c>
      <c r="FP12" s="263">
        <f t="shared" si="104"/>
        <v>27931</v>
      </c>
      <c r="FQ12" s="263">
        <f t="shared" si="104"/>
        <v>28105</v>
      </c>
      <c r="FR12" s="263">
        <f t="shared" si="104"/>
        <v>27079</v>
      </c>
      <c r="FS12" s="263">
        <f t="shared" ref="FS12:FY12" si="105">FS10+FS11</f>
        <v>26566</v>
      </c>
      <c r="FT12" s="1402">
        <f t="shared" si="105"/>
        <v>25647</v>
      </c>
      <c r="FU12" s="263">
        <f t="shared" si="105"/>
        <v>25211.261999999999</v>
      </c>
      <c r="FV12" s="263">
        <f t="shared" si="105"/>
        <v>24492.44730298777</v>
      </c>
      <c r="FW12" s="264">
        <f t="shared" si="105"/>
        <v>23789.892412542602</v>
      </c>
      <c r="FX12" s="263">
        <f t="shared" si="105"/>
        <v>23125.593200827767</v>
      </c>
      <c r="FY12" s="263">
        <f t="shared" si="105"/>
        <v>22475.585572460201</v>
      </c>
      <c r="FZ12" s="312"/>
      <c r="GA12" s="269"/>
    </row>
    <row r="13" spans="1:198" x14ac:dyDescent="0.2">
      <c r="A13" s="260" t="s">
        <v>162</v>
      </c>
      <c r="B13" s="261"/>
      <c r="C13" s="267">
        <f>INDEX('qtrP&amp;L'!$29:$29,MATCH(C$7,'qtrP&amp;L'!$6:$6,0))</f>
        <v>955.19299999999998</v>
      </c>
      <c r="D13" s="267">
        <f>INDEX('qtrP&amp;L'!$30:$30,MATCH(C$7,'qtrP&amp;L'!$6:$6,0))</f>
        <v>949.21100000000001</v>
      </c>
      <c r="E13" s="267">
        <f>INDEX('qtrP&amp;L'!$31:$31,MATCH(C$7,'qtrP&amp;L'!$6:$6,0))</f>
        <v>1068.867</v>
      </c>
      <c r="F13" s="267">
        <f>INDEX('qtrP&amp;L'!$32:$32,MATCH(C$7,'qtrP&amp;L'!$6:$6,0))</f>
        <v>1421.7049999999999</v>
      </c>
      <c r="G13" s="267"/>
      <c r="H13" s="267">
        <f>INDEX('qtrP&amp;L'!$29:$29,MATCH(H$7,'qtrP&amp;L'!$6:$6,0))</f>
        <v>954.02099999999996</v>
      </c>
      <c r="I13" s="267">
        <f>INDEX('qtrP&amp;L'!$30:$30,MATCH(H$7,'qtrP&amp;L'!$6:$6,0))</f>
        <v>897.43100000000004</v>
      </c>
      <c r="J13" s="267">
        <f>INDEX('qtrP&amp;L'!$31:$31,MATCH(H$7,'qtrP&amp;L'!$6:$6,0))</f>
        <v>1031.549</v>
      </c>
      <c r="K13" s="267">
        <f>INDEX('qtrP&amp;L'!$32:$32,MATCH(H$7,'qtrP&amp;L'!$6:$6,0))</f>
        <v>1319.222</v>
      </c>
      <c r="L13" s="267"/>
      <c r="M13" s="267">
        <f>INDEX('qtrP&amp;L'!$29:$29,MATCH(M$7,'qtrP&amp;L'!$6:$6,0))</f>
        <v>924.86599999999999</v>
      </c>
      <c r="N13" s="267">
        <f>INDEX('qtrP&amp;L'!$30:$30,MATCH(M$7,'qtrP&amp;L'!$6:$6,0))</f>
        <v>867.78200000000004</v>
      </c>
      <c r="O13" s="267">
        <f>INDEX('qtrP&amp;L'!$31:$31,MATCH(M$7,'qtrP&amp;L'!$6:$6,0))</f>
        <v>1063.415</v>
      </c>
      <c r="P13" s="267">
        <f>INDEX('qtrP&amp;L'!$32:$32,MATCH(M$7,'qtrP&amp;L'!$6:$6,0))</f>
        <v>1364.76</v>
      </c>
      <c r="Q13" s="267"/>
      <c r="R13" s="267">
        <f>INDEX('qtrP&amp;L'!$29:$29,MATCH(R$7,'qtrP&amp;L'!$6:$6,0))</f>
        <v>947.86799999999994</v>
      </c>
      <c r="S13" s="267">
        <f>INDEX('qtrP&amp;L'!$30:$30,MATCH(R$7,'qtrP&amp;L'!$6:$6,0))</f>
        <v>900.06400000000008</v>
      </c>
      <c r="T13" s="267">
        <f>INDEX('qtrP&amp;L'!$31:$31,MATCH(R$7,'qtrP&amp;L'!$6:$6,0))</f>
        <v>1077.3520000000001</v>
      </c>
      <c r="U13" s="267">
        <f>INDEX('qtrP&amp;L'!$32:$32,MATCH(R$7,'qtrP&amp;L'!$6:$6,0))</f>
        <v>1445.933</v>
      </c>
      <c r="V13" s="267"/>
      <c r="W13" s="267">
        <f>INDEX('qtrP&amp;L'!$29:$29,MATCH(W$7,'qtrP&amp;L'!$6:$6,0))</f>
        <v>1002.9349999999999</v>
      </c>
      <c r="X13" s="267">
        <f>INDEX('qtrP&amp;L'!$30:$30,MATCH(W$7,'qtrP&amp;L'!$6:$6,0))</f>
        <v>974.73500000000001</v>
      </c>
      <c r="Y13" s="267">
        <f>INDEX('qtrP&amp;L'!$31:$31,MATCH(W$7,'qtrP&amp;L'!$6:$6,0))</f>
        <v>1182.5509999999999</v>
      </c>
      <c r="Z13" s="267">
        <f>INDEX('qtrP&amp;L'!$32:$32,MATCH(W$7,'qtrP&amp;L'!$6:$6,0))</f>
        <v>1578.105</v>
      </c>
      <c r="AA13" s="267"/>
      <c r="AB13" s="267">
        <f>INDEX('qtrP&amp;L'!$29:$29,MATCH(AB$7,'qtrP&amp;L'!$6:$6,0))</f>
        <v>1822.16</v>
      </c>
      <c r="AC13" s="267">
        <f>INDEX('qtrP&amp;L'!$30:$30,MATCH(AB$7,'qtrP&amp;L'!$6:$6,0))</f>
        <v>1862.915</v>
      </c>
      <c r="AD13" s="267">
        <f>INDEX('qtrP&amp;L'!$31:$31,MATCH(AB$7,'qtrP&amp;L'!$6:$6,0))</f>
        <v>2039.616</v>
      </c>
      <c r="AE13" s="267">
        <f>INDEX('qtrP&amp;L'!$32:$32,MATCH(AB$7,'qtrP&amp;L'!$6:$6,0))</f>
        <v>2854.1590000000001</v>
      </c>
      <c r="AF13" s="267"/>
      <c r="AG13" s="267">
        <f>INDEX('qtrP&amp;L'!$29:$29,MATCH(AG$7,'qtrP&amp;L'!$6:$6,0))</f>
        <v>2014.6479999999999</v>
      </c>
      <c r="AH13" s="267">
        <f>INDEX('qtrP&amp;L'!$30:$30,MATCH(AG$7,'qtrP&amp;L'!$6:$6,0))</f>
        <v>1995.5730000000001</v>
      </c>
      <c r="AI13" s="267">
        <f>INDEX('qtrP&amp;L'!$31:$31,MATCH(AG$7,'qtrP&amp;L'!$6:$6,0))</f>
        <v>2189.9029999999998</v>
      </c>
      <c r="AJ13" s="267">
        <f>INDEX('qtrP&amp;L'!$32:$32,MATCH(AG$7,'qtrP&amp;L'!$6:$6,0))</f>
        <v>3088.5619999999999</v>
      </c>
      <c r="AK13" s="267"/>
      <c r="AL13" s="267">
        <f>INDEX('qtrP&amp;L'!$29:$29,MATCH(AL$7,'qtrP&amp;L'!$6:$6,0))</f>
        <v>2086.8649999999998</v>
      </c>
      <c r="AM13" s="267">
        <f>INDEX('qtrP&amp;L'!$30:$30,MATCH(AL$7,'qtrP&amp;L'!$6:$6,0))</f>
        <v>2098.6709999999998</v>
      </c>
      <c r="AN13" s="267">
        <f>INDEX('qtrP&amp;L'!$31:$31,MATCH(AL$7,'qtrP&amp;L'!$6:$6,0))</f>
        <v>2286.9189999999999</v>
      </c>
      <c r="AO13" s="267">
        <f>INDEX('qtrP&amp;L'!$32:$32,MATCH(AL$7,'qtrP&amp;L'!$6:$6,0))</f>
        <v>3108.3119999999999</v>
      </c>
      <c r="AP13" s="267"/>
      <c r="AQ13" s="267">
        <f>INDEX('qtrP&amp;L'!$29:$29,MATCH(AQ$7,'qtrP&amp;L'!$6:$6,0))</f>
        <v>2022</v>
      </c>
      <c r="AR13" s="267">
        <f>INDEX('qtrP&amp;L'!$30:$30,MATCH(AQ$7,'qtrP&amp;L'!$6:$6,0))</f>
        <v>2017</v>
      </c>
      <c r="AS13" s="267">
        <f>INDEX('qtrP&amp;L'!$31:$31,MATCH(AQ$7,'qtrP&amp;L'!$6:$6,0))</f>
        <v>2145</v>
      </c>
      <c r="AT13" s="267">
        <f>INDEX('qtrP&amp;L'!$32:$32,MATCH(AQ$7,'qtrP&amp;L'!$6:$6,0))</f>
        <v>3034</v>
      </c>
      <c r="AU13" s="267"/>
      <c r="AV13" s="267">
        <f>INDEX('qtrP&amp;L'!$29:$29,MATCH(AV$7,'qtrP&amp;L'!$6:$6,0))</f>
        <v>2174</v>
      </c>
      <c r="AW13" s="267">
        <f>INDEX('qtrP&amp;L'!$30:$30,MATCH(AV$7,'qtrP&amp;L'!$6:$6,0))</f>
        <v>2319</v>
      </c>
      <c r="AX13" s="267">
        <f>INDEX('qtrP&amp;L'!$31:$31,MATCH(AV$7,'qtrP&amp;L'!$6:$6,0))</f>
        <v>2454</v>
      </c>
      <c r="AY13" s="267">
        <f>INDEX('qtrP&amp;L'!$32:$32,MATCH(AV$7,'qtrP&amp;L'!$6:$6,0))</f>
        <v>3496</v>
      </c>
      <c r="AZ13" s="267"/>
      <c r="BA13" s="267">
        <f>INDEX('qtrP&amp;L'!$29:$29,MATCH(BA$7,'qtrP&amp;L'!$6:$6,0))</f>
        <v>2152</v>
      </c>
      <c r="BB13" s="267">
        <f>INDEX('qtrP&amp;L'!$30:$30,MATCH(BA$7,'qtrP&amp;L'!$6:$6,0))</f>
        <v>2173</v>
      </c>
      <c r="BC13" s="267">
        <f>INDEX('qtrP&amp;L'!$31:$31,MATCH(BA$7,'qtrP&amp;L'!$6:$6,0))</f>
        <v>2295</v>
      </c>
      <c r="BD13" s="267">
        <f>INDEX('qtrP&amp;L'!$32:$32,MATCH(BA$7,'qtrP&amp;L'!$6:$6,0))</f>
        <v>3335</v>
      </c>
      <c r="BE13" s="267"/>
      <c r="BF13" s="267">
        <f>INDEX('qtrP&amp;L'!$29:$29,MATCH(BF$7,'qtrP&amp;L'!$6:$6,0))</f>
        <v>2158</v>
      </c>
      <c r="BG13" s="267">
        <f>INDEX('qtrP&amp;L'!$30:$30,MATCH(BF$7,'qtrP&amp;L'!$6:$6,0))</f>
        <v>2128</v>
      </c>
      <c r="BH13" s="267">
        <f>INDEX('qtrP&amp;L'!$31:$31,MATCH(BF$7,'qtrP&amp;L'!$6:$6,0))</f>
        <v>2134</v>
      </c>
      <c r="BI13" s="267">
        <f>INDEX('qtrP&amp;L'!$32:$32,MATCH(BF$7,'qtrP&amp;L'!$6:$6,0))</f>
        <v>3111</v>
      </c>
      <c r="BJ13" s="267"/>
      <c r="BK13" s="267">
        <f>INDEX('qtrP&amp;L'!$29:$29,MATCH(BK$7,'qtrP&amp;L'!$6:$6,0))</f>
        <v>2078</v>
      </c>
      <c r="BL13" s="267">
        <f>INDEX('qtrP&amp;L'!$30:$30,MATCH(BK$7,'qtrP&amp;L'!$6:$6,0))</f>
        <v>2051</v>
      </c>
      <c r="BM13" s="267">
        <f>INDEX('qtrP&amp;L'!$31:$31,MATCH(BK$7,'qtrP&amp;L'!$6:$6,0))</f>
        <v>2112</v>
      </c>
      <c r="BN13" s="267">
        <f>INDEX('qtrP&amp;L'!$32:$32,MATCH(BK$7,'qtrP&amp;L'!$6:$6,0))</f>
        <v>3014</v>
      </c>
      <c r="BO13" s="267"/>
      <c r="BP13" s="267">
        <f>INDEX('qtrP&amp;L'!$29:$29,MATCH(BP$7,'qtrP&amp;L'!$6:$6,0))</f>
        <v>2002</v>
      </c>
      <c r="BQ13" s="267">
        <f>INDEX('qtrP&amp;L'!$30:$30,MATCH(BP$7,'qtrP&amp;L'!$6:$6,0))</f>
        <v>2025</v>
      </c>
      <c r="BR13" s="267">
        <f>INDEX('qtrP&amp;L'!$31:$31,MATCH(BP$7,'qtrP&amp;L'!$6:$6,0))</f>
        <v>2091</v>
      </c>
      <c r="BS13" s="267">
        <f>INDEX('qtrP&amp;L'!$32:$32,MATCH(BP$7,'qtrP&amp;L'!$6:$6,0))</f>
        <v>2981</v>
      </c>
      <c r="BT13" s="267"/>
      <c r="BU13" s="267">
        <f>INDEX('qtrP&amp;L'!$29:$29,MATCH(BU$7,'qtrP&amp;L'!$6:$6,0))</f>
        <v>2119</v>
      </c>
      <c r="BV13" s="267">
        <f>INDEX('qtrP&amp;L'!$30:$30,MATCH(BU$7,'qtrP&amp;L'!$6:$6,0))</f>
        <v>2098</v>
      </c>
      <c r="BW13" s="267">
        <f>INDEX('qtrP&amp;L'!$31:$31,MATCH(BU$7,'qtrP&amp;L'!$6:$6,0))</f>
        <v>2107</v>
      </c>
      <c r="BX13" s="267">
        <f>INDEX('qtrP&amp;L'!$32:$32,MATCH(BU$7,'qtrP&amp;L'!$6:$6,0))</f>
        <v>3022</v>
      </c>
      <c r="BY13" s="267"/>
      <c r="BZ13" s="267">
        <f>INDEX('qtrP&amp;L'!$29:$29,MATCH(BZ$7,'qtrP&amp;L'!$6:$6,0))</f>
        <v>2176</v>
      </c>
      <c r="CA13" s="267">
        <f>INDEX('qtrP&amp;L'!$30:$30,MATCH(BZ$7,'qtrP&amp;L'!$6:$6,0))</f>
        <v>2126</v>
      </c>
      <c r="CB13" s="267">
        <f>INDEX('qtrP&amp;L'!$31:$31,MATCH(BZ$7,'qtrP&amp;L'!$6:$6,0))</f>
        <v>3312</v>
      </c>
      <c r="CC13" s="267">
        <f>INDEX('qtrP&amp;L'!$32:$32,MATCH(BZ$7,'qtrP&amp;L'!$6:$6,0))</f>
        <v>5658</v>
      </c>
      <c r="CD13" s="267"/>
      <c r="CE13" s="267">
        <f>INDEX('qtrP&amp;L'!$29:$29,MATCH(CE$7,'qtrP&amp;L'!$6:$6,0))</f>
        <v>3627</v>
      </c>
      <c r="CF13" s="267">
        <f>INDEX('qtrP&amp;L'!$30:$30,MATCH(CE$7,'qtrP&amp;L'!$6:$6,0))</f>
        <v>3470</v>
      </c>
      <c r="CG13" s="267">
        <f>INDEX('qtrP&amp;L'!$31:$31,MATCH(CE$7,'qtrP&amp;L'!$6:$6,0))</f>
        <v>3513</v>
      </c>
      <c r="CH13" s="267">
        <f>INDEX('qtrP&amp;L'!$32:$32,MATCH(CE$7,'qtrP&amp;L'!$6:$6,0))</f>
        <v>5409</v>
      </c>
      <c r="CI13" s="267"/>
      <c r="CJ13" s="267">
        <f>INDEX('qtrP&amp;L'!$29:$29,MATCH(CJ$7,'qtrP&amp;L'!$6:$6,0))</f>
        <v>3564</v>
      </c>
      <c r="CK13" s="267">
        <f>INDEX('qtrP&amp;L'!$30:$30,MATCH(CJ$7,'qtrP&amp;L'!$6:$6,0))</f>
        <v>3507</v>
      </c>
      <c r="CL13" s="267">
        <f>INDEX('qtrP&amp;L'!$31:$31,MATCH(CJ$7,'qtrP&amp;L'!$6:$6,0))</f>
        <v>3585</v>
      </c>
      <c r="CM13" s="267">
        <f>INDEX('qtrP&amp;L'!$32:$32,MATCH(CJ$7,'qtrP&amp;L'!$6:$6,0))</f>
        <v>5021</v>
      </c>
      <c r="CN13" s="267"/>
      <c r="CO13" s="267">
        <f>INDEX('qtrP&amp;L'!$29:$29,MATCH(CO$7,'qtrP&amp;L'!$6:$6,0))</f>
        <v>3527</v>
      </c>
      <c r="CP13" s="267">
        <f>INDEX('qtrP&amp;L'!$30:$30,MATCH(CO$7,'qtrP&amp;L'!$6:$6,0))</f>
        <v>3346</v>
      </c>
      <c r="CQ13" s="267">
        <f>INDEX('qtrP&amp;L'!$31:$31,MATCH(CO$7,'qtrP&amp;L'!$6:$6,0))</f>
        <v>3324</v>
      </c>
      <c r="CR13" s="267">
        <f>INDEX('qtrP&amp;L'!$32:$32,MATCH(CO$7,'qtrP&amp;L'!$6:$6,0))</f>
        <v>4812</v>
      </c>
      <c r="CS13" s="267"/>
      <c r="CT13" s="267">
        <f>INDEX('qtrP&amp;L'!$29:$29,MATCH(CT$7,'qtrP&amp;L'!$6:$6,0))</f>
        <v>3279</v>
      </c>
      <c r="CU13" s="267">
        <f>INDEX('qtrP&amp;L'!$30:$30,MATCH(CT$7,'qtrP&amp;L'!$6:$6,0))</f>
        <v>3117</v>
      </c>
      <c r="CV13" s="267">
        <f>INDEX('qtrP&amp;L'!$31:$31,MATCH(CT$7,'qtrP&amp;L'!$6:$6,0))</f>
        <v>3241</v>
      </c>
      <c r="CW13" s="267">
        <f>INDEX('qtrP&amp;L'!$32:$32,MATCH(CT$7,'qtrP&amp;L'!$6:$6,0))</f>
        <v>4641</v>
      </c>
      <c r="CX13" s="267"/>
      <c r="CY13" s="267">
        <f>INDEX('qtrP&amp;L'!$29:$29,MATCH(CY$7,'qtrP&amp;L'!$6:$6,0))</f>
        <v>3378</v>
      </c>
      <c r="CZ13" s="267">
        <f>INDEX('qtrP&amp;L'!$30:$30,MATCH(CY$7,'qtrP&amp;L'!$6:$6,0))</f>
        <v>3214</v>
      </c>
      <c r="DA13" s="267">
        <f>INDEX('qtrP&amp;L'!$31:$31,MATCH(CY$7,'qtrP&amp;L'!$6:$6,0))</f>
        <v>3377</v>
      </c>
      <c r="DB13" s="267">
        <f>INDEX('qtrP&amp;L'!$32:$32,MATCH(CY$7,'qtrP&amp;L'!$6:$6,0))</f>
        <v>4855</v>
      </c>
      <c r="DC13" s="267"/>
      <c r="DD13" s="267">
        <f>INDEX('qtrP&amp;L'!$29:$29,MATCH(DD$7,'qtrP&amp;L'!$6:$6,0))</f>
        <v>3586</v>
      </c>
      <c r="DE13" s="267">
        <f>INDEX('qtrP&amp;L'!$30:$30,MATCH(DD$7,'qtrP&amp;L'!$6:$6,0))</f>
        <v>3457</v>
      </c>
      <c r="DF13" s="267">
        <f>INDEX('qtrP&amp;L'!$31:$31,MATCH(DD$7,'qtrP&amp;L'!$6:$6,0))</f>
        <v>3544</v>
      </c>
      <c r="DG13" s="267">
        <f>INDEX('qtrP&amp;L'!$32:$32,MATCH(DD$7,'qtrP&amp;L'!$6:$6,0))</f>
        <v>5151</v>
      </c>
      <c r="DH13" s="267"/>
      <c r="DI13" s="267">
        <f>INDEX('qtrP&amp;L'!$29:$29,MATCH(DI$7,'qtrP&amp;L'!$6:$6,0))</f>
        <v>3757</v>
      </c>
      <c r="DJ13" s="267">
        <f>INDEX('qtrP&amp;L'!$30:$30,MATCH(DI$7,'qtrP&amp;L'!$6:$6,0))</f>
        <v>3555</v>
      </c>
      <c r="DK13" s="267">
        <f>INDEX('qtrP&amp;L'!$31:$31,MATCH(DI$7,'qtrP&amp;L'!$6:$6,0))</f>
        <v>3672</v>
      </c>
      <c r="DL13" s="267">
        <f>INDEX('qtrP&amp;L'!$32:$32,MATCH(DI$7,'qtrP&amp;L'!$6:$6,0))</f>
        <v>5554</v>
      </c>
      <c r="DM13" s="267"/>
      <c r="DN13" s="267">
        <f>INDEX('qtrP&amp;L'!$29:$29,MATCH(DN$7,'qtrP&amp;L'!$6:$6,0))</f>
        <v>3911</v>
      </c>
      <c r="DO13" s="267">
        <f>INDEX('qtrP&amp;L'!$30:$30,MATCH(DN$7,'qtrP&amp;L'!$6:$6,0))</f>
        <v>3533</v>
      </c>
      <c r="DP13" s="267">
        <f>INDEX('qtrP&amp;L'!$31:$31,MATCH(DN$7,'qtrP&amp;L'!$6:$6,0))</f>
        <v>3817</v>
      </c>
      <c r="DQ13" s="267">
        <f>INDEX('qtrP&amp;L'!$32:$32,MATCH(DN$7,'qtrP&amp;L'!$6:$6,0))</f>
        <v>5464</v>
      </c>
      <c r="DR13" s="267"/>
      <c r="DS13" s="267">
        <f>INDEX('qtrP&amp;L'!$29:$29,MATCH(DS$7,'qtrP&amp;L'!$6:$6,0))</f>
        <v>3836</v>
      </c>
      <c r="DT13" s="267">
        <f>INDEX('qtrP&amp;L'!$30:$30,MATCH(DS$7,'qtrP&amp;L'!$6:$6,0))</f>
        <v>3672</v>
      </c>
      <c r="DU13" s="267">
        <f>INDEX('qtrP&amp;L'!$31:$31,MATCH(DS$7,'qtrP&amp;L'!$6:$6,0))</f>
        <v>3766</v>
      </c>
      <c r="DV13" s="267">
        <f>INDEX('qtrP&amp;L'!$32:$32,MATCH(DS$7,'qtrP&amp;L'!$6:$6,0))</f>
        <v>5589</v>
      </c>
      <c r="DW13" s="267"/>
      <c r="DX13" s="267">
        <f>INDEX('qtrP&amp;L'!$29:$29,MATCH(DX$7,'qtrP&amp;L'!$6:$6,0))</f>
        <v>3800</v>
      </c>
      <c r="DY13" s="267">
        <f>INDEX('qtrP&amp;L'!$30:$30,MATCH(DX$7,'qtrP&amp;L'!$6:$6,0))</f>
        <v>3610</v>
      </c>
      <c r="DZ13" s="267">
        <f>INDEX('qtrP&amp;L'!$31:$31,MATCH(DX$7,'qtrP&amp;L'!$6:$6,0))</f>
        <v>3537</v>
      </c>
      <c r="EA13" s="267">
        <f>INDEX('qtrP&amp;L'!$32:$32,MATCH(DX$7,'qtrP&amp;L'!$6:$6,0))</f>
        <v>5549</v>
      </c>
      <c r="EB13" s="261"/>
      <c r="EC13" s="267">
        <f>INDEX('qtrP&amp;L'!$29:$29,MATCH(EC$7,'qtrP&amp;L'!$6:$6,0))</f>
        <v>3504</v>
      </c>
      <c r="ED13" s="267">
        <f>INDEX('qtrP&amp;L'!$30:$30,MATCH(EC$7,'qtrP&amp;L'!$6:$6,0))</f>
        <v>3577</v>
      </c>
      <c r="EE13" s="267">
        <f>INDEX('qtrP&amp;L'!$31:$31,MATCH(EC$7,'qtrP&amp;L'!$6:$6,0))</f>
        <v>3361</v>
      </c>
      <c r="EF13" s="267">
        <f>INDEX('qtrP&amp;L'!$32:$32,MATCH(EC$7,'qtrP&amp;L'!$6:$6,0))</f>
        <v>5225</v>
      </c>
      <c r="EG13" s="261"/>
      <c r="EH13" s="267">
        <f>INDEX('qtrP&amp;L'!$29:$29,MATCH(EH$7,'qtrP&amp;L'!$6:$6,0))</f>
        <v>3304</v>
      </c>
      <c r="EI13" s="267">
        <f>INDEX('qtrP&amp;L'!$30:$30,MATCH(EH$7,'qtrP&amp;L'!$6:$6,0))</f>
        <v>3403</v>
      </c>
      <c r="EJ13" s="267">
        <f>INDEX('qtrP&amp;L'!$31:$31,MATCH(EH$7,'qtrP&amp;L'!$6:$6,0))</f>
        <v>3153</v>
      </c>
      <c r="EK13" s="267">
        <f>INDEX('qtrP&amp;L'!$32:$32,MATCH(EH$7,'qtrP&amp;L'!$6:$6,0))</f>
        <v>5322</v>
      </c>
      <c r="EL13" s="267"/>
      <c r="EM13" s="1403">
        <f>INDEX('qtrP&amp;L'!$29:$29,MATCH(EM$7,'qtrP&amp;L'!$6:$6,0))</f>
        <v>3276.9428976000004</v>
      </c>
      <c r="EN13" s="1403">
        <f>INDEX('qtrP&amp;L'!$30:$30,MATCH(EM$7,'qtrP&amp;L'!$6:$6,0))</f>
        <v>3303.1958644999995</v>
      </c>
      <c r="EO13" s="1403">
        <f>INDEX('qtrP&amp;L'!$31:$31,MATCH(EM$7,'qtrP&amp;L'!$6:$6,0))</f>
        <v>3160.0028910000001</v>
      </c>
      <c r="EP13" s="1403">
        <f>INDEX('qtrP&amp;L'!$32:$32,MATCH(EM$7,'qtrP&amp;L'!$6:$6,0))</f>
        <v>5202.3892946999995</v>
      </c>
      <c r="EQ13" s="262"/>
      <c r="ER13" s="313">
        <f>'yrP&amp;L'!F14</f>
        <v>4220.8230000000003</v>
      </c>
      <c r="ES13" s="267">
        <f>'yrP&amp;L'!G14</f>
        <v>4371.2170000000006</v>
      </c>
      <c r="ET13" s="267">
        <f>'yrP&amp;L'!H14</f>
        <v>4738.326</v>
      </c>
      <c r="EU13" s="267">
        <f>'yrP&amp;L'!I14</f>
        <v>8409.8680000000004</v>
      </c>
      <c r="EV13" s="267">
        <f>'yrP&amp;L'!J14</f>
        <v>8578.85</v>
      </c>
      <c r="EW13" s="267"/>
      <c r="EX13" s="267">
        <f>'yrP&amp;L'!L14</f>
        <v>9038</v>
      </c>
      <c r="EY13" s="267">
        <f>'yrP&amp;L'!M14</f>
        <v>9018</v>
      </c>
      <c r="EZ13" s="267">
        <f>'yrP&amp;L'!N14</f>
        <v>9200</v>
      </c>
      <c r="FA13" s="267">
        <f>'yrP&amp;L'!O14</f>
        <v>9218</v>
      </c>
      <c r="FB13" s="267">
        <f>'yrP&amp;L'!P14</f>
        <v>9576</v>
      </c>
      <c r="FC13" s="267">
        <f>'yrP&amp;L'!Q14</f>
        <v>9955</v>
      </c>
      <c r="FD13" s="267">
        <f>'yrP&amp;L'!R14</f>
        <v>9603</v>
      </c>
      <c r="FE13" s="267">
        <f>'yrP&amp;L'!S14</f>
        <v>9324</v>
      </c>
      <c r="FF13" s="267">
        <f>'yrP&amp;L'!T14</f>
        <v>9175</v>
      </c>
      <c r="FG13" s="267">
        <f>'yrP&amp;L'!U14</f>
        <v>9346</v>
      </c>
      <c r="FH13" s="267">
        <f>'yrP&amp;L'!V14</f>
        <v>13272</v>
      </c>
      <c r="FI13" s="313">
        <f>'yrP&amp;L'!W14</f>
        <v>16019</v>
      </c>
      <c r="FJ13" s="267">
        <f>'yrP&amp;L'!X14</f>
        <v>15677</v>
      </c>
      <c r="FK13" s="268">
        <f>'yrP&amp;L'!Y14</f>
        <v>15009</v>
      </c>
      <c r="FL13" s="313">
        <f>'yrP&amp;L'!Z14</f>
        <v>14278</v>
      </c>
      <c r="FM13" s="313">
        <f>'yrP&amp;L'!AA14</f>
        <v>14824</v>
      </c>
      <c r="FN13" s="267">
        <f>'yrP&amp;L'!AB14</f>
        <v>15738</v>
      </c>
      <c r="FO13" s="267">
        <f>'yrP&amp;L'!AC14</f>
        <v>16538</v>
      </c>
      <c r="FP13" s="267">
        <f>'yrP&amp;L'!AD14</f>
        <v>16725</v>
      </c>
      <c r="FQ13" s="267">
        <f>'yrP&amp;L'!AE14</f>
        <v>16863</v>
      </c>
      <c r="FR13" s="267">
        <f>'yrP&amp;L'!AF14</f>
        <v>16496</v>
      </c>
      <c r="FS13" s="267">
        <f>'yrP&amp;L'!AG14</f>
        <v>15667</v>
      </c>
      <c r="FT13" s="1403">
        <f>'yrP&amp;L'!AH14</f>
        <v>15182</v>
      </c>
      <c r="FU13" s="267">
        <f>'yrP&amp;L'!AI14</f>
        <v>14942.530947799998</v>
      </c>
      <c r="FV13" s="267">
        <f>'yrP&amp;L'!AJ14</f>
        <v>14604.545649520051</v>
      </c>
      <c r="FW13" s="268">
        <f>'yrP&amp;L'!AK14</f>
        <v>14255.108135560306</v>
      </c>
      <c r="FX13" s="267">
        <f>'yrP&amp;L'!AL14</f>
        <v>13935.469518792235</v>
      </c>
      <c r="FY13" s="1359">
        <f>'yrP&amp;L'!AM14</f>
        <v>13611.805864056552</v>
      </c>
      <c r="FZ13" s="313"/>
      <c r="GA13" s="267"/>
      <c r="GJ13" s="261"/>
      <c r="GK13" s="561"/>
      <c r="GL13" s="561"/>
      <c r="GM13" s="561"/>
      <c r="GN13" s="561"/>
      <c r="GO13" s="561"/>
      <c r="GP13" s="543"/>
    </row>
    <row r="14" spans="1:198" ht="9" customHeight="1" x14ac:dyDescent="0.2">
      <c r="A14" s="260"/>
      <c r="B14" s="261"/>
      <c r="C14" s="261"/>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c r="AB14" s="261"/>
      <c r="AC14" s="261"/>
      <c r="AD14" s="261"/>
      <c r="AE14" s="261"/>
      <c r="AF14" s="261"/>
      <c r="AG14" s="261"/>
      <c r="AH14" s="261"/>
      <c r="AI14" s="261"/>
      <c r="AJ14" s="261"/>
      <c r="AK14" s="261"/>
      <c r="AL14" s="261"/>
      <c r="AM14" s="261"/>
      <c r="AN14" s="261"/>
      <c r="AO14" s="261"/>
      <c r="AP14" s="261"/>
      <c r="AQ14" s="261"/>
      <c r="AR14" s="261"/>
      <c r="AS14" s="261"/>
      <c r="AT14" s="261"/>
      <c r="AU14" s="261"/>
      <c r="AV14" s="261"/>
      <c r="AW14" s="261"/>
      <c r="AX14" s="261"/>
      <c r="AY14" s="261"/>
      <c r="AZ14" s="261"/>
      <c r="BA14" s="261"/>
      <c r="BB14" s="261"/>
      <c r="BC14" s="261"/>
      <c r="BD14" s="261"/>
      <c r="BE14" s="261"/>
      <c r="BF14" s="261"/>
      <c r="BG14" s="261"/>
      <c r="BH14" s="261"/>
      <c r="BI14" s="261"/>
      <c r="BJ14" s="261"/>
      <c r="BK14" s="261"/>
      <c r="BL14" s="261"/>
      <c r="BM14" s="261"/>
      <c r="BN14" s="261"/>
      <c r="BO14" s="261"/>
      <c r="BP14" s="261"/>
      <c r="BQ14" s="261"/>
      <c r="BR14" s="261"/>
      <c r="BS14" s="261"/>
      <c r="BT14" s="261"/>
      <c r="BU14" s="261"/>
      <c r="BV14" s="261"/>
      <c r="BW14" s="261"/>
      <c r="BX14" s="261"/>
      <c r="BY14" s="261"/>
      <c r="BZ14" s="261"/>
      <c r="CA14" s="261"/>
      <c r="CB14" s="261"/>
      <c r="CC14" s="261"/>
      <c r="CD14" s="261"/>
      <c r="CE14" s="261"/>
      <c r="CF14" s="261"/>
      <c r="CG14" s="261"/>
      <c r="CH14" s="261"/>
      <c r="CI14" s="261"/>
      <c r="CJ14" s="261"/>
      <c r="CK14" s="261"/>
      <c r="CL14" s="261"/>
      <c r="CM14" s="261"/>
      <c r="CN14" s="261"/>
      <c r="CO14" s="261"/>
      <c r="CP14" s="261"/>
      <c r="CQ14" s="261"/>
      <c r="CR14" s="261"/>
      <c r="CS14" s="261"/>
      <c r="CT14" s="261"/>
      <c r="CU14" s="261"/>
      <c r="CV14" s="261"/>
      <c r="CW14" s="261"/>
      <c r="CX14" s="261"/>
      <c r="CY14" s="261"/>
      <c r="CZ14" s="261"/>
      <c r="DA14" s="261"/>
      <c r="DB14" s="261"/>
      <c r="DC14" s="261"/>
      <c r="DD14" s="261"/>
      <c r="DE14" s="261"/>
      <c r="DF14" s="261"/>
      <c r="DG14" s="261"/>
      <c r="DH14" s="261"/>
      <c r="DI14" s="261"/>
      <c r="DJ14" s="261"/>
      <c r="DK14" s="261"/>
      <c r="DL14" s="261"/>
      <c r="DM14" s="261"/>
      <c r="DN14" s="261"/>
      <c r="DO14" s="261"/>
      <c r="DP14" s="261"/>
      <c r="DQ14" s="261"/>
      <c r="DR14" s="261"/>
      <c r="DS14" s="261"/>
      <c r="DT14" s="261"/>
      <c r="DU14" s="261"/>
      <c r="DV14" s="261"/>
      <c r="DW14" s="261"/>
      <c r="DX14" s="261"/>
      <c r="DY14" s="261"/>
      <c r="DZ14" s="261"/>
      <c r="EA14" s="261"/>
      <c r="EB14" s="261"/>
      <c r="EC14" s="261"/>
      <c r="ED14" s="261"/>
      <c r="EE14" s="261"/>
      <c r="EF14" s="261"/>
      <c r="EG14" s="261"/>
      <c r="EH14" s="261"/>
      <c r="EI14" s="261"/>
      <c r="EJ14" s="261"/>
      <c r="EK14" s="261"/>
      <c r="EL14" s="261"/>
      <c r="EM14" s="1325"/>
      <c r="EN14" s="1325"/>
      <c r="EO14" s="1325"/>
      <c r="EP14" s="1325"/>
      <c r="EQ14" s="262"/>
      <c r="ER14" s="312"/>
      <c r="ES14" s="269"/>
      <c r="ET14" s="269"/>
      <c r="EU14" s="269"/>
      <c r="EV14" s="269"/>
      <c r="EW14" s="269"/>
      <c r="EX14" s="269"/>
      <c r="EY14" s="269"/>
      <c r="EZ14" s="269"/>
      <c r="FA14" s="269"/>
      <c r="FB14" s="269"/>
      <c r="FC14" s="269"/>
      <c r="FD14" s="269"/>
      <c r="FE14" s="269"/>
      <c r="FF14" s="269"/>
      <c r="FG14" s="269"/>
      <c r="FH14" s="269"/>
      <c r="FI14" s="312"/>
      <c r="FJ14" s="269"/>
      <c r="FK14" s="266"/>
      <c r="FL14" s="312"/>
      <c r="FM14" s="312"/>
      <c r="FN14" s="269"/>
      <c r="FO14" s="269"/>
      <c r="FP14" s="269"/>
      <c r="FQ14" s="269"/>
      <c r="FR14" s="269"/>
      <c r="FS14" s="269"/>
      <c r="FT14" s="1326"/>
      <c r="FU14" s="269"/>
      <c r="FV14" s="269"/>
      <c r="FW14" s="266"/>
      <c r="FX14" s="269"/>
      <c r="FY14" s="1360"/>
      <c r="FZ14" s="312"/>
      <c r="GA14" s="269"/>
      <c r="GJ14" s="261"/>
      <c r="GK14" s="314"/>
      <c r="GL14" s="314"/>
      <c r="GM14" s="314"/>
      <c r="GN14" s="314"/>
      <c r="GO14" s="314"/>
      <c r="GP14" s="287"/>
    </row>
    <row r="15" spans="1:198" x14ac:dyDescent="0.2">
      <c r="A15" s="1495" t="s">
        <v>685</v>
      </c>
      <c r="B15" s="314"/>
      <c r="C15" s="271">
        <f>C10-C13</f>
        <v>635.26700000000005</v>
      </c>
      <c r="D15" s="271">
        <f>D10-D13</f>
        <v>576.48099999999999</v>
      </c>
      <c r="E15" s="271">
        <f>E10-E13</f>
        <v>698.46</v>
      </c>
      <c r="F15" s="271">
        <f>F10-F13</f>
        <v>836.79899999999998</v>
      </c>
      <c r="G15" s="271"/>
      <c r="H15" s="271">
        <f>H10-H13</f>
        <v>639.39800000000014</v>
      </c>
      <c r="I15" s="271">
        <f>I10-I13</f>
        <v>598.3119999999999</v>
      </c>
      <c r="J15" s="271">
        <f>J10-J13</f>
        <v>677.35200000000009</v>
      </c>
      <c r="K15" s="271">
        <f>K10-K13</f>
        <v>815.03800000000024</v>
      </c>
      <c r="L15" s="271"/>
      <c r="M15" s="271">
        <f>M10-M13</f>
        <v>646.86000000000013</v>
      </c>
      <c r="N15" s="271">
        <f>N10-N13</f>
        <v>589.42999999999995</v>
      </c>
      <c r="O15" s="271">
        <f>O10-O13</f>
        <v>725.55</v>
      </c>
      <c r="P15" s="271">
        <f>P10-P13</f>
        <v>897.27800000000002</v>
      </c>
      <c r="Q15" s="271"/>
      <c r="R15" s="271">
        <f>R10-R13</f>
        <v>642.39100000000008</v>
      </c>
      <c r="S15" s="271">
        <f>S10-S13</f>
        <v>602.22399999999993</v>
      </c>
      <c r="T15" s="271">
        <f>T10-T13</f>
        <v>711.96299999999997</v>
      </c>
      <c r="U15" s="271">
        <f>U10-U13</f>
        <v>901.61099999999988</v>
      </c>
      <c r="V15" s="271"/>
      <c r="W15" s="271">
        <f>W10-W13</f>
        <v>650.69600000000014</v>
      </c>
      <c r="X15" s="271">
        <f>X10-X13</f>
        <v>621.3649999999999</v>
      </c>
      <c r="Y15" s="271">
        <f>Y10-Y13</f>
        <v>744.26</v>
      </c>
      <c r="Z15" s="271">
        <f>Z10-Z13</f>
        <v>952.82999999999993</v>
      </c>
      <c r="AA15" s="271"/>
      <c r="AB15" s="271">
        <f>AB10-AB13</f>
        <v>1165.8459999999998</v>
      </c>
      <c r="AC15" s="271">
        <f>AC10-AC13</f>
        <v>1184.085</v>
      </c>
      <c r="AD15" s="271">
        <f>AD10-AD13</f>
        <v>1293.9119999999998</v>
      </c>
      <c r="AE15" s="271">
        <f>AE10-AE13</f>
        <v>1775.3409999999999</v>
      </c>
      <c r="AF15" s="271"/>
      <c r="AG15" s="271">
        <f>AG10-AG13</f>
        <v>1286.0519999999999</v>
      </c>
      <c r="AH15" s="271">
        <f>AH10-AH13</f>
        <v>1288.6269999999997</v>
      </c>
      <c r="AI15" s="271">
        <f>AI10-AI13</f>
        <v>1419.1970000000001</v>
      </c>
      <c r="AJ15" s="271">
        <f>AJ10-AJ13</f>
        <v>1946.8379999999997</v>
      </c>
      <c r="AK15" s="271"/>
      <c r="AL15" s="271">
        <f>AL10-AL13</f>
        <v>1321.7350000000001</v>
      </c>
      <c r="AM15" s="271">
        <f>AM10-AM13</f>
        <v>1354.1290000000004</v>
      </c>
      <c r="AN15" s="271">
        <f>AN10-AN13</f>
        <v>1459.181</v>
      </c>
      <c r="AO15" s="271">
        <f>AO10-AO13</f>
        <v>1951.8040000000001</v>
      </c>
      <c r="AP15" s="271"/>
      <c r="AQ15" s="271">
        <f>AQ10-AQ13</f>
        <v>1335</v>
      </c>
      <c r="AR15" s="271">
        <f>AR10-AR13</f>
        <v>1409</v>
      </c>
      <c r="AS15" s="271">
        <f>AS10-AS13</f>
        <v>1403</v>
      </c>
      <c r="AT15" s="271">
        <f>AT10-AT13</f>
        <v>2000</v>
      </c>
      <c r="AU15" s="271"/>
      <c r="AV15" s="271">
        <f>AV10-AV13</f>
        <v>1426</v>
      </c>
      <c r="AW15" s="271">
        <f>AW10-AW13</f>
        <v>1687</v>
      </c>
      <c r="AX15" s="271">
        <f>AX10-AX13</f>
        <v>1683</v>
      </c>
      <c r="AY15" s="271">
        <f>AY10-AY13</f>
        <v>2477</v>
      </c>
      <c r="AZ15" s="271"/>
      <c r="BA15" s="271">
        <f>BA10-BA13</f>
        <v>1421</v>
      </c>
      <c r="BB15" s="271">
        <f>BB10-BB13</f>
        <v>1506</v>
      </c>
      <c r="BC15" s="271">
        <f>BC10-BC13</f>
        <v>1487</v>
      </c>
      <c r="BD15" s="271">
        <f>BD10-BD13</f>
        <v>2269</v>
      </c>
      <c r="BE15" s="271"/>
      <c r="BF15" s="271">
        <f>BF10-BF13</f>
        <v>1398</v>
      </c>
      <c r="BG15" s="271">
        <f>BG10-BG13</f>
        <v>1360</v>
      </c>
      <c r="BH15" s="271">
        <f>BH10-BH13</f>
        <v>1341</v>
      </c>
      <c r="BI15" s="271">
        <f>BI10-BI13</f>
        <v>2021</v>
      </c>
      <c r="BJ15" s="271"/>
      <c r="BK15" s="271">
        <f>BK10-BK13</f>
        <v>1375</v>
      </c>
      <c r="BL15" s="271">
        <f>BL10-BL13</f>
        <v>1435</v>
      </c>
      <c r="BM15" s="271">
        <f>BM10-BM13</f>
        <v>1367</v>
      </c>
      <c r="BN15" s="271">
        <f>BN10-BN13</f>
        <v>2003</v>
      </c>
      <c r="BO15" s="271"/>
      <c r="BP15" s="271">
        <f>BP10-BP13</f>
        <v>1289</v>
      </c>
      <c r="BQ15" s="271">
        <f>BQ10-BQ13</f>
        <v>1409</v>
      </c>
      <c r="BR15" s="271">
        <f>BR10-BR13</f>
        <v>1395</v>
      </c>
      <c r="BS15" s="271">
        <f>BS10-BS13</f>
        <v>2072</v>
      </c>
      <c r="BT15" s="271"/>
      <c r="BU15" s="271">
        <f>BU10-BU13</f>
        <v>1431</v>
      </c>
      <c r="BV15" s="271">
        <f>BV10-BV13</f>
        <v>1483</v>
      </c>
      <c r="BW15" s="271">
        <f>BW10-BW13</f>
        <v>1418</v>
      </c>
      <c r="BX15" s="271">
        <f>BX10-BX13</f>
        <v>2098</v>
      </c>
      <c r="BY15" s="271"/>
      <c r="BZ15" s="271">
        <f>BZ10-BZ13</f>
        <v>1465</v>
      </c>
      <c r="CA15" s="271">
        <f>CA10-CA13</f>
        <v>1497</v>
      </c>
      <c r="CB15" s="271">
        <f>CB10-CB13</f>
        <v>2243</v>
      </c>
      <c r="CC15" s="271">
        <f>CC10-CC13</f>
        <v>3913</v>
      </c>
      <c r="CD15" s="271"/>
      <c r="CE15" s="271">
        <f>CE10-CE13</f>
        <v>2303</v>
      </c>
      <c r="CF15" s="271">
        <f>CF10-CF13</f>
        <v>2525</v>
      </c>
      <c r="CG15" s="271">
        <f>CG10-CG13</f>
        <v>2373</v>
      </c>
      <c r="CH15" s="271">
        <f>CH10-CH13</f>
        <v>3750</v>
      </c>
      <c r="CI15" s="271"/>
      <c r="CJ15" s="271">
        <f>CJ10-CJ13</f>
        <v>2357</v>
      </c>
      <c r="CK15" s="271">
        <f>CK10-CK13</f>
        <v>2385</v>
      </c>
      <c r="CL15" s="271">
        <f>CL10-CL13</f>
        <v>2321</v>
      </c>
      <c r="CM15" s="271">
        <f>CM10-CM13</f>
        <v>3573</v>
      </c>
      <c r="CN15" s="271"/>
      <c r="CO15" s="271">
        <f>CO10-CO13</f>
        <v>2220</v>
      </c>
      <c r="CP15" s="271">
        <f>CP10-CP13</f>
        <v>2372</v>
      </c>
      <c r="CQ15" s="271">
        <f>CQ10-CQ13</f>
        <v>2169</v>
      </c>
      <c r="CR15" s="271">
        <f>CR10-CR13</f>
        <v>3122</v>
      </c>
      <c r="CS15" s="271"/>
      <c r="CT15" s="271">
        <f>CT10-CT13</f>
        <v>2009</v>
      </c>
      <c r="CU15" s="271">
        <f>CU10-CU13</f>
        <v>2168</v>
      </c>
      <c r="CV15" s="271">
        <f>CV10-CV13</f>
        <v>2144</v>
      </c>
      <c r="CW15" s="271">
        <f>CW10-CW13</f>
        <v>3296</v>
      </c>
      <c r="CX15" s="271"/>
      <c r="CY15" s="271">
        <f>CY10-CY13</f>
        <v>2196</v>
      </c>
      <c r="CZ15" s="271">
        <f>CZ10-CZ13</f>
        <v>2323</v>
      </c>
      <c r="DA15" s="271">
        <f>DA10-DA13</f>
        <v>2246</v>
      </c>
      <c r="DB15" s="271">
        <f>DB10-DB13</f>
        <v>3414</v>
      </c>
      <c r="DC15" s="271"/>
      <c r="DD15" s="271">
        <f>DD10-DD13</f>
        <v>2303</v>
      </c>
      <c r="DE15" s="271">
        <f>DE10-DE13</f>
        <v>2482</v>
      </c>
      <c r="DF15" s="271">
        <f>DF10-DF13</f>
        <v>2309</v>
      </c>
      <c r="DG15" s="271">
        <f>DG10-DG13</f>
        <v>3573</v>
      </c>
      <c r="DH15" s="271"/>
      <c r="DI15" s="271">
        <f>DI10-DI13</f>
        <v>2386</v>
      </c>
      <c r="DJ15" s="271">
        <f>DJ10-DJ13</f>
        <v>2563</v>
      </c>
      <c r="DK15" s="271">
        <f>DK10-DK13</f>
        <v>2403</v>
      </c>
      <c r="DL15" s="271">
        <f>DL10-DL13</f>
        <v>3796</v>
      </c>
      <c r="DM15" s="271"/>
      <c r="DN15" s="271">
        <f>DN10-DN13</f>
        <v>2476</v>
      </c>
      <c r="DO15" s="271">
        <f>DO10-DO13</f>
        <v>2533</v>
      </c>
      <c r="DP15" s="271">
        <f>DP10-DP13</f>
        <v>2459</v>
      </c>
      <c r="DQ15" s="271">
        <f>DQ10-DQ13</f>
        <v>3738</v>
      </c>
      <c r="DR15" s="271"/>
      <c r="DS15" s="271">
        <f>DS10-DS13</f>
        <v>2443</v>
      </c>
      <c r="DT15" s="271">
        <f>DT10-DT13</f>
        <v>2595</v>
      </c>
      <c r="DU15" s="271">
        <f>DU10-DU13</f>
        <v>2429</v>
      </c>
      <c r="DV15" s="271">
        <f>DV10-DV13</f>
        <v>3775</v>
      </c>
      <c r="DW15" s="271"/>
      <c r="DX15" s="271">
        <f>DX10-DX13</f>
        <v>2432</v>
      </c>
      <c r="DY15" s="271">
        <f>DY10-DY13</f>
        <v>2494</v>
      </c>
      <c r="DZ15" s="271">
        <f>DZ10-DZ13</f>
        <v>2337</v>
      </c>
      <c r="EA15" s="271">
        <f>EA10-EA13</f>
        <v>3320</v>
      </c>
      <c r="EB15" s="261"/>
      <c r="EC15" s="271">
        <f>EC10-EC13</f>
        <v>2270</v>
      </c>
      <c r="ED15" s="271">
        <f t="shared" ref="ED15:EF15" si="106">ED10-ED13</f>
        <v>2391</v>
      </c>
      <c r="EE15" s="271">
        <f t="shared" si="106"/>
        <v>2274</v>
      </c>
      <c r="EF15" s="271">
        <f t="shared" si="106"/>
        <v>3308</v>
      </c>
      <c r="EG15" s="261"/>
      <c r="EH15" s="271">
        <f t="shared" ref="EH15:EK15" si="107">EH10-EH13</f>
        <v>2048</v>
      </c>
      <c r="EI15" s="271">
        <f t="shared" si="107"/>
        <v>2232</v>
      </c>
      <c r="EJ15" s="271">
        <f t="shared" si="107"/>
        <v>2134</v>
      </c>
      <c r="EK15" s="271">
        <f t="shared" si="107"/>
        <v>3349</v>
      </c>
      <c r="EL15" s="271"/>
      <c r="EM15" s="1404">
        <f t="shared" ref="EM15:EP15" si="108">EM10-EM13</f>
        <v>2037.5931023999997</v>
      </c>
      <c r="EN15" s="1404">
        <f t="shared" si="108"/>
        <v>2168.3891355000005</v>
      </c>
      <c r="EO15" s="1404">
        <f t="shared" si="108"/>
        <v>2137.5711089999995</v>
      </c>
      <c r="EP15" s="1404">
        <f t="shared" si="108"/>
        <v>3269.1777052999996</v>
      </c>
      <c r="EQ15" s="262"/>
      <c r="ER15" s="316">
        <f>ER10-ER13</f>
        <v>2859.1180000000004</v>
      </c>
      <c r="ES15" s="272">
        <f>ES10-ES13</f>
        <v>2858.1889999999994</v>
      </c>
      <c r="ET15" s="272">
        <f>ET10-ET13</f>
        <v>2969.1509999999989</v>
      </c>
      <c r="EU15" s="272">
        <f>EU10-EU13</f>
        <v>5291.6319999999996</v>
      </c>
      <c r="EV15" s="272">
        <f>EV10-EV13</f>
        <v>5419.1839999999993</v>
      </c>
      <c r="EW15" s="272"/>
      <c r="EX15" s="272">
        <f>EX10-EX13</f>
        <v>5576</v>
      </c>
      <c r="EY15" s="272">
        <f>EY10-EY13</f>
        <v>5815</v>
      </c>
      <c r="EZ15" s="272">
        <f>EZ10-EZ13</f>
        <v>6020</v>
      </c>
      <c r="FA15" s="272">
        <f t="shared" ref="FA15:FK15" si="109">FA10-FA13</f>
        <v>6147</v>
      </c>
      <c r="FB15" s="272">
        <f t="shared" si="109"/>
        <v>6453</v>
      </c>
      <c r="FC15" s="272">
        <f t="shared" si="109"/>
        <v>6683</v>
      </c>
      <c r="FD15" s="272">
        <f t="shared" si="109"/>
        <v>6182</v>
      </c>
      <c r="FE15" s="272">
        <f t="shared" si="109"/>
        <v>6247</v>
      </c>
      <c r="FF15" s="272">
        <f t="shared" si="109"/>
        <v>6237</v>
      </c>
      <c r="FG15" s="272">
        <f t="shared" si="109"/>
        <v>6430</v>
      </c>
      <c r="FH15" s="272">
        <f t="shared" si="109"/>
        <v>9118</v>
      </c>
      <c r="FI15" s="316">
        <f t="shared" si="109"/>
        <v>10951</v>
      </c>
      <c r="FJ15" s="272">
        <f t="shared" si="109"/>
        <v>10636</v>
      </c>
      <c r="FK15" s="273">
        <f t="shared" si="109"/>
        <v>9883</v>
      </c>
      <c r="FL15" s="316">
        <f t="shared" ref="FL15:FR15" si="110">FL10-FL13</f>
        <v>9617</v>
      </c>
      <c r="FM15" s="316">
        <f t="shared" si="110"/>
        <v>10179</v>
      </c>
      <c r="FN15" s="272">
        <f t="shared" si="110"/>
        <v>10667</v>
      </c>
      <c r="FO15" s="272">
        <f t="shared" si="110"/>
        <v>11148</v>
      </c>
      <c r="FP15" s="272">
        <f>FP10-FP13</f>
        <v>11206</v>
      </c>
      <c r="FQ15" s="272">
        <f t="shared" si="110"/>
        <v>11242</v>
      </c>
      <c r="FR15" s="272">
        <f t="shared" si="110"/>
        <v>10583</v>
      </c>
      <c r="FS15" s="272">
        <f>FS10-FS13</f>
        <v>10243</v>
      </c>
      <c r="FT15" s="1504">
        <f t="shared" ref="FT15:FY15" si="111">FT10-FT13</f>
        <v>9763</v>
      </c>
      <c r="FU15" s="272">
        <f t="shared" si="111"/>
        <v>9612.7310522000007</v>
      </c>
      <c r="FV15" s="272">
        <f t="shared" si="111"/>
        <v>9226.9016534677194</v>
      </c>
      <c r="FW15" s="273">
        <f t="shared" si="111"/>
        <v>8868.7842769822964</v>
      </c>
      <c r="FX15" s="272">
        <f t="shared" si="111"/>
        <v>8519.1236820355316</v>
      </c>
      <c r="FY15" s="1361">
        <f t="shared" si="111"/>
        <v>8187.7797084036483</v>
      </c>
      <c r="FZ15" s="316"/>
      <c r="GA15" s="291"/>
      <c r="GJ15" s="261"/>
      <c r="GK15" s="372"/>
      <c r="GL15" s="372"/>
      <c r="GM15" s="372"/>
      <c r="GN15" s="372"/>
      <c r="GO15" s="372"/>
      <c r="GP15" s="282"/>
    </row>
    <row r="16" spans="1:198" x14ac:dyDescent="0.2">
      <c r="A16" s="270" t="s">
        <v>164</v>
      </c>
      <c r="B16" s="317"/>
      <c r="C16" s="274">
        <f>INDEX('qtrP&amp;L'!$39:$39,MATCH(C$7,'qtrP&amp;L'!$6:$6,0))</f>
        <v>608.81899999999996</v>
      </c>
      <c r="D16" s="274">
        <f>INDEX('qtrP&amp;L'!$40:$40,MATCH(C$7,'qtrP&amp;L'!$6:$6,0))</f>
        <v>616.54300000000001</v>
      </c>
      <c r="E16" s="274">
        <f>INDEX('qtrP&amp;L'!$41:$41,MATCH(C$7,'qtrP&amp;L'!$6:$6,0))</f>
        <v>656.14200000000005</v>
      </c>
      <c r="F16" s="274">
        <f>INDEX('qtrP&amp;L'!$42:$42,MATCH(C$7,'qtrP&amp;L'!$6:$6,0))</f>
        <v>730.33</v>
      </c>
      <c r="G16" s="274"/>
      <c r="H16" s="274">
        <f>INDEX('qtrP&amp;L'!$39:$39,MATCH(H$7,'qtrP&amp;L'!$6:$6,0))</f>
        <v>597.87800000000004</v>
      </c>
      <c r="I16" s="274">
        <f>INDEX('qtrP&amp;L'!$40:$40,MATCH(H$7,'qtrP&amp;L'!$6:$6,0))</f>
        <v>589.803</v>
      </c>
      <c r="J16" s="274">
        <f>INDEX('qtrP&amp;L'!$41:$41,MATCH(H$7,'qtrP&amp;L'!$6:$6,0))</f>
        <v>624.08500000000004</v>
      </c>
      <c r="K16" s="274">
        <f>INDEX('qtrP&amp;L'!$42:$42,MATCH(H$7,'qtrP&amp;L'!$6:$6,0))</f>
        <v>651.36199999999997</v>
      </c>
      <c r="L16" s="274"/>
      <c r="M16" s="274">
        <f>INDEX('qtrP&amp;L'!$39:$39,MATCH(M$7,'qtrP&amp;L'!$6:$6,0))</f>
        <v>562.19899999999996</v>
      </c>
      <c r="N16" s="274">
        <f>INDEX('qtrP&amp;L'!$40:$40,MATCH(M$7,'qtrP&amp;L'!$6:$6,0))</f>
        <v>557.755</v>
      </c>
      <c r="O16" s="274">
        <f>INDEX('qtrP&amp;L'!$41:$41,MATCH(M$7,'qtrP&amp;L'!$6:$6,0))</f>
        <v>614.78200000000004</v>
      </c>
      <c r="P16" s="274">
        <f>INDEX('qtrP&amp;L'!$42:$42,MATCH(M$7,'qtrP&amp;L'!$6:$6,0))</f>
        <v>685.94799999999998</v>
      </c>
      <c r="Q16" s="274"/>
      <c r="R16" s="274">
        <f>INDEX('qtrP&amp;L'!$39:$39,MATCH(R$7,'qtrP&amp;L'!$6:$6,0))</f>
        <v>555.61</v>
      </c>
      <c r="S16" s="274">
        <f>INDEX('qtrP&amp;L'!$40:$40,MATCH(R$7,'qtrP&amp;L'!$6:$6,0))</f>
        <v>540.18899999999996</v>
      </c>
      <c r="T16" s="274">
        <f>INDEX('qtrP&amp;L'!$41:$41,MATCH(R$7,'qtrP&amp;L'!$6:$6,0))</f>
        <v>604.58100000000002</v>
      </c>
      <c r="U16" s="274">
        <f>INDEX('qtrP&amp;L'!$42:$42,MATCH(R$7,'qtrP&amp;L'!$6:$6,0))</f>
        <v>647.16600000000005</v>
      </c>
      <c r="V16" s="274"/>
      <c r="W16" s="274">
        <f>INDEX('qtrP&amp;L'!$39:$39,MATCH(W$7,'qtrP&amp;L'!$6:$6,0))</f>
        <v>542.08799999999997</v>
      </c>
      <c r="X16" s="274">
        <f>INDEX('qtrP&amp;L'!$40:$40,MATCH(W$7,'qtrP&amp;L'!$6:$6,0))</f>
        <v>534.79100000000005</v>
      </c>
      <c r="Y16" s="274">
        <f>INDEX('qtrP&amp;L'!$41:$41,MATCH(W$7,'qtrP&amp;L'!$6:$6,0))</f>
        <v>611.56299999999999</v>
      </c>
      <c r="Z16" s="274">
        <f>INDEX('qtrP&amp;L'!$42:$42,MATCH(W$7,'qtrP&amp;L'!$6:$6,0))</f>
        <v>639.60500000000002</v>
      </c>
      <c r="AA16" s="274"/>
      <c r="AB16" s="274">
        <f>INDEX('qtrP&amp;L'!$39:$39,MATCH(AB$7,'qtrP&amp;L'!$6:$6,0))</f>
        <v>1069.9590000000001</v>
      </c>
      <c r="AC16" s="274">
        <f>INDEX('qtrP&amp;L'!$40:$40,MATCH(AB$7,'qtrP&amp;L'!$6:$6,0))</f>
        <v>1067.8869999999999</v>
      </c>
      <c r="AD16" s="274">
        <f>INDEX('qtrP&amp;L'!$41:$41,MATCH(AB$7,'qtrP&amp;L'!$6:$6,0))</f>
        <v>1107.3150000000001</v>
      </c>
      <c r="AE16" s="274">
        <f>INDEX('qtrP&amp;L'!$42:$42,MATCH(AB$7,'qtrP&amp;L'!$6:$6,0))</f>
        <v>1179.3720000000001</v>
      </c>
      <c r="AF16" s="274"/>
      <c r="AG16" s="274">
        <f>INDEX('qtrP&amp;L'!$39:$39,MATCH(AG$7,'qtrP&amp;L'!$6:$6,0))</f>
        <v>1153.0650000000001</v>
      </c>
      <c r="AH16" s="274">
        <f>INDEX('qtrP&amp;L'!$40:$40,MATCH(AG$7,'qtrP&amp;L'!$6:$6,0))</f>
        <v>1113.9839999999999</v>
      </c>
      <c r="AI16" s="274">
        <f>INDEX('qtrP&amp;L'!$41:$41,MATCH(AG$7,'qtrP&amp;L'!$6:$6,0))</f>
        <v>1187.6289999999999</v>
      </c>
      <c r="AJ16" s="274">
        <f>INDEX('qtrP&amp;L'!$42:$42,MATCH(AG$7,'qtrP&amp;L'!$6:$6,0))</f>
        <v>1283.8050000000001</v>
      </c>
      <c r="AK16" s="274"/>
      <c r="AL16" s="274">
        <f>INDEX('qtrP&amp;L'!$39:$39,MATCH(AL$7,'qtrP&amp;L'!$6:$6,0))</f>
        <v>1174.1659999999999</v>
      </c>
      <c r="AM16" s="274">
        <f>INDEX('qtrP&amp;L'!$40:$40,MATCH(AL$7,'qtrP&amp;L'!$6:$6,0))</f>
        <v>1142.298</v>
      </c>
      <c r="AN16" s="274">
        <f>INDEX('qtrP&amp;L'!$41:$41,MATCH(AL$7,'qtrP&amp;L'!$6:$6,0))</f>
        <v>1191.396</v>
      </c>
      <c r="AO16" s="274">
        <f>INDEX('qtrP&amp;L'!$42:$42,MATCH(AL$7,'qtrP&amp;L'!$6:$6,0))</f>
        <v>1238.9000000000001</v>
      </c>
      <c r="AP16" s="274"/>
      <c r="AQ16" s="274">
        <f>INDEX('qtrP&amp;L'!$39:$39,MATCH(AQ$7,'qtrP&amp;L'!$6:$6,0))</f>
        <v>1154</v>
      </c>
      <c r="AR16" s="274">
        <f>INDEX('qtrP&amp;L'!$40:$40,MATCH(AQ$7,'qtrP&amp;L'!$6:$6,0))</f>
        <v>1142</v>
      </c>
      <c r="AS16" s="274">
        <f>INDEX('qtrP&amp;L'!$41:$41,MATCH(AQ$7,'qtrP&amp;L'!$6:$6,0))</f>
        <v>1146</v>
      </c>
      <c r="AT16" s="274">
        <f>INDEX('qtrP&amp;L'!$42:$42,MATCH(AQ$7,'qtrP&amp;L'!$6:$6,0))</f>
        <v>1250</v>
      </c>
      <c r="AU16" s="274"/>
      <c r="AV16" s="274">
        <f>INDEX('qtrP&amp;L'!$39:$39,MATCH(AV$7,'qtrP&amp;L'!$6:$6,0))</f>
        <v>1201</v>
      </c>
      <c r="AW16" s="274">
        <f>INDEX('qtrP&amp;L'!$40:$40,MATCH(AV$7,'qtrP&amp;L'!$6:$6,0))</f>
        <v>1369</v>
      </c>
      <c r="AX16" s="274">
        <f>INDEX('qtrP&amp;L'!$41:$41,MATCH(AV$7,'qtrP&amp;L'!$6:$6,0))</f>
        <v>1381</v>
      </c>
      <c r="AY16" s="274">
        <f>INDEX('qtrP&amp;L'!$42:$42,MATCH(AV$7,'qtrP&amp;L'!$6:$6,0))</f>
        <v>1621</v>
      </c>
      <c r="AZ16" s="274"/>
      <c r="BA16" s="274">
        <f>INDEX('qtrP&amp;L'!$39:$39,MATCH(BA$7,'qtrP&amp;L'!$6:$6,0))</f>
        <v>1152</v>
      </c>
      <c r="BB16" s="274">
        <f>INDEX('qtrP&amp;L'!$40:$40,MATCH(BA$7,'qtrP&amp;L'!$6:$6,0))</f>
        <v>1104</v>
      </c>
      <c r="BC16" s="274">
        <f>INDEX('qtrP&amp;L'!$41:$41,MATCH(BA$7,'qtrP&amp;L'!$6:$6,0))</f>
        <v>1218</v>
      </c>
      <c r="BD16" s="274">
        <f>INDEX('qtrP&amp;L'!$42:$42,MATCH(BA$7,'qtrP&amp;L'!$6:$6,0))</f>
        <v>1438</v>
      </c>
      <c r="BE16" s="274"/>
      <c r="BF16" s="274">
        <f>INDEX('qtrP&amp;L'!$39:$39,MATCH(BF$7,'qtrP&amp;L'!$6:$6,0))</f>
        <v>1168</v>
      </c>
      <c r="BG16" s="274">
        <f>INDEX('qtrP&amp;L'!$40:$40,MATCH(BF$7,'qtrP&amp;L'!$6:$6,0))</f>
        <v>1106</v>
      </c>
      <c r="BH16" s="274">
        <f>INDEX('qtrP&amp;L'!$41:$41,MATCH(BF$7,'qtrP&amp;L'!$6:$6,0))</f>
        <v>1185</v>
      </c>
      <c r="BI16" s="274">
        <f>INDEX('qtrP&amp;L'!$42:$42,MATCH(BF$7,'qtrP&amp;L'!$6:$6,0))</f>
        <v>1285</v>
      </c>
      <c r="BJ16" s="274"/>
      <c r="BK16" s="274">
        <f>INDEX('qtrP&amp;L'!$39:$39,MATCH(BK$7,'qtrP&amp;L'!$6:$6,0))</f>
        <v>1154</v>
      </c>
      <c r="BL16" s="274">
        <f>INDEX('qtrP&amp;L'!$40:$40,MATCH(BK$7,'qtrP&amp;L'!$6:$6,0))</f>
        <v>1135</v>
      </c>
      <c r="BM16" s="274">
        <f>INDEX('qtrP&amp;L'!$41:$41,MATCH(BK$7,'qtrP&amp;L'!$6:$6,0))</f>
        <v>1179</v>
      </c>
      <c r="BN16" s="274">
        <f>INDEX('qtrP&amp;L'!$42:$42,MATCH(BK$7,'qtrP&amp;L'!$6:$6,0))</f>
        <v>1301</v>
      </c>
      <c r="BO16" s="274"/>
      <c r="BP16" s="274">
        <f>INDEX('qtrP&amp;L'!$39:$39,MATCH(BP$7,'qtrP&amp;L'!$6:$6,0))</f>
        <v>1135</v>
      </c>
      <c r="BQ16" s="274">
        <f>INDEX('qtrP&amp;L'!$40:$40,MATCH(BP$7,'qtrP&amp;L'!$6:$6,0))</f>
        <v>1135</v>
      </c>
      <c r="BR16" s="274">
        <f>INDEX('qtrP&amp;L'!$41:$41,MATCH(BP$7,'qtrP&amp;L'!$6:$6,0))</f>
        <v>1193</v>
      </c>
      <c r="BS16" s="274">
        <f>INDEX('qtrP&amp;L'!$42:$42,MATCH(BP$7,'qtrP&amp;L'!$6:$6,0))</f>
        <v>1302</v>
      </c>
      <c r="BT16" s="274"/>
      <c r="BU16" s="274">
        <f>INDEX('qtrP&amp;L'!$39:$39,MATCH(BU$7,'qtrP&amp;L'!$6:$6,0))</f>
        <v>1195</v>
      </c>
      <c r="BV16" s="274">
        <f>INDEX('qtrP&amp;L'!$40:$40,MATCH(BU$7,'qtrP&amp;L'!$6:$6,0))</f>
        <v>1207</v>
      </c>
      <c r="BW16" s="274">
        <f>INDEX('qtrP&amp;L'!$41:$41,MATCH(BU$7,'qtrP&amp;L'!$6:$6,0))</f>
        <v>1207</v>
      </c>
      <c r="BX16" s="274">
        <f>INDEX('qtrP&amp;L'!$42:$42,MATCH(BU$7,'qtrP&amp;L'!$6:$6,0))</f>
        <v>1322</v>
      </c>
      <c r="BY16" s="274"/>
      <c r="BZ16" s="274">
        <f>INDEX('qtrP&amp;L'!$39:$39,MATCH(BZ$7,'qtrP&amp;L'!$6:$6,0))</f>
        <v>1213</v>
      </c>
      <c r="CA16" s="274">
        <f>INDEX('qtrP&amp;L'!$40:$40,MATCH(BZ$7,'qtrP&amp;L'!$6:$6,0))</f>
        <v>1206</v>
      </c>
      <c r="CB16" s="274">
        <f>INDEX('qtrP&amp;L'!$41:$41,MATCH(BZ$7,'qtrP&amp;L'!$6:$6,0))</f>
        <v>1973</v>
      </c>
      <c r="CC16" s="274">
        <f>INDEX('qtrP&amp;L'!$42:$42,MATCH(BZ$7,'qtrP&amp;L'!$6:$6,0))</f>
        <v>2588</v>
      </c>
      <c r="CD16" s="274"/>
      <c r="CE16" s="274">
        <f>INDEX('qtrP&amp;L'!$39:$39,MATCH(CE$7,'qtrP&amp;L'!$6:$6,0))</f>
        <v>2154</v>
      </c>
      <c r="CF16" s="274">
        <f>INDEX('qtrP&amp;L'!$40:$40,MATCH(CE$7,'qtrP&amp;L'!$6:$6,0))</f>
        <v>2117</v>
      </c>
      <c r="CG16" s="274">
        <f>INDEX('qtrP&amp;L'!$41:$41,MATCH(CE$7,'qtrP&amp;L'!$6:$6,0))</f>
        <v>2094</v>
      </c>
      <c r="CH16" s="274">
        <f>INDEX('qtrP&amp;L'!$42:$42,MATCH(CE$7,'qtrP&amp;L'!$6:$6,0))</f>
        <v>2313</v>
      </c>
      <c r="CI16" s="274"/>
      <c r="CJ16" s="274">
        <f>INDEX('qtrP&amp;L'!$39:$39,MATCH(CJ$7,'qtrP&amp;L'!$6:$6,0))</f>
        <v>2113</v>
      </c>
      <c r="CK16" s="274">
        <f>INDEX('qtrP&amp;L'!$40:$40,MATCH(CJ$7,'qtrP&amp;L'!$6:$6,0))</f>
        <v>2038</v>
      </c>
      <c r="CL16" s="274">
        <f>INDEX('qtrP&amp;L'!$41:$41,MATCH(CJ$7,'qtrP&amp;L'!$6:$6,0))</f>
        <v>2121</v>
      </c>
      <c r="CM16" s="274">
        <f>INDEX('qtrP&amp;L'!$42:$42,MATCH(CJ$7,'qtrP&amp;L'!$6:$6,0))</f>
        <v>2282</v>
      </c>
      <c r="CN16" s="274"/>
      <c r="CO16" s="274">
        <f>INDEX('qtrP&amp;L'!$39:$39,MATCH(CO$7,'qtrP&amp;L'!$6:$6,0))</f>
        <v>2080</v>
      </c>
      <c r="CP16" s="274">
        <f>INDEX('qtrP&amp;L'!$40:$40,MATCH(CO$7,'qtrP&amp;L'!$6:$6,0))</f>
        <v>2037</v>
      </c>
      <c r="CQ16" s="274">
        <f>INDEX('qtrP&amp;L'!$41:$41,MATCH(CO$7,'qtrP&amp;L'!$6:$6,0))</f>
        <v>2085</v>
      </c>
      <c r="CR16" s="274">
        <f>INDEX('qtrP&amp;L'!$42:$42,MATCH(CO$7,'qtrP&amp;L'!$6:$6,0))</f>
        <v>2256</v>
      </c>
      <c r="CS16" s="274"/>
      <c r="CT16" s="274">
        <f>INDEX('qtrP&amp;L'!$39:$39,MATCH(CT$7,'qtrP&amp;L'!$6:$6,0))</f>
        <v>1985</v>
      </c>
      <c r="CU16" s="274">
        <f>INDEX('qtrP&amp;L'!$40:$40,MATCH(CT$7,'qtrP&amp;L'!$6:$6,0))</f>
        <v>1886</v>
      </c>
      <c r="CV16" s="274">
        <f>INDEX('qtrP&amp;L'!$41:$41,MATCH(CT$7,'qtrP&amp;L'!$6:$6,0))</f>
        <v>2056</v>
      </c>
      <c r="CW16" s="274">
        <f>INDEX('qtrP&amp;L'!$42:$42,MATCH(CT$7,'qtrP&amp;L'!$6:$6,0))</f>
        <v>2236</v>
      </c>
      <c r="CX16" s="274"/>
      <c r="CY16" s="274">
        <f>INDEX('qtrP&amp;L'!$39:$39,MATCH(CY$7,'qtrP&amp;L'!$6:$6,0))</f>
        <v>1993</v>
      </c>
      <c r="CZ16" s="274">
        <f>INDEX('qtrP&amp;L'!$40:$40,MATCH(CY$7,'qtrP&amp;L'!$6:$6,0))</f>
        <v>1953</v>
      </c>
      <c r="DA16" s="274">
        <f>INDEX('qtrP&amp;L'!$41:$41,MATCH(CY$7,'qtrP&amp;L'!$6:$6,0))</f>
        <v>2069</v>
      </c>
      <c r="DB16" s="274">
        <f>INDEX('qtrP&amp;L'!$42:$42,MATCH(CY$7,'qtrP&amp;L'!$6:$6,0))</f>
        <v>2245</v>
      </c>
      <c r="DC16" s="274"/>
      <c r="DD16" s="274">
        <f>INDEX('qtrP&amp;L'!$39:$39,MATCH(DD$7,'qtrP&amp;L'!$6:$6,0))</f>
        <v>1973</v>
      </c>
      <c r="DE16" s="274">
        <f>INDEX('qtrP&amp;L'!$40:$40,MATCH(DD$7,'qtrP&amp;L'!$6:$6,0))</f>
        <v>1976</v>
      </c>
      <c r="DF16" s="274">
        <f>INDEX('qtrP&amp;L'!$41:$41,MATCH(DD$7,'qtrP&amp;L'!$6:$6,0))</f>
        <v>2018</v>
      </c>
      <c r="DG16" s="274">
        <f>INDEX('qtrP&amp;L'!$42:$42,MATCH(DD$7,'qtrP&amp;L'!$6:$6,0))</f>
        <v>2314</v>
      </c>
      <c r="DH16" s="274"/>
      <c r="DI16" s="274">
        <f>INDEX('qtrP&amp;L'!$39:$39,MATCH(DI$7,'qtrP&amp;L'!$6:$6,0))</f>
        <v>1995</v>
      </c>
      <c r="DJ16" s="274">
        <f>INDEX('qtrP&amp;L'!$40:$40,MATCH(DI$7,'qtrP&amp;L'!$6:$6,0))</f>
        <v>2009</v>
      </c>
      <c r="DK16" s="274">
        <f>INDEX('qtrP&amp;L'!$41:$41,MATCH(DI$7,'qtrP&amp;L'!$6:$6,0))</f>
        <v>2078</v>
      </c>
      <c r="DL16" s="274">
        <f>INDEX('qtrP&amp;L'!$42:$42,MATCH(DI$7,'qtrP&amp;L'!$6:$6,0))</f>
        <v>2400</v>
      </c>
      <c r="DM16" s="274"/>
      <c r="DN16" s="274">
        <f>INDEX('qtrP&amp;L'!$39:$39,MATCH(DN$7,'qtrP&amp;L'!$6:$6,0))</f>
        <v>2041</v>
      </c>
      <c r="DO16" s="274">
        <f>INDEX('qtrP&amp;L'!$40:$40,MATCH(DN$7,'qtrP&amp;L'!$6:$6,0))</f>
        <v>1999</v>
      </c>
      <c r="DP16" s="274">
        <f>INDEX('qtrP&amp;L'!$41:$41,MATCH(DN$7,'qtrP&amp;L'!$6:$6,0))</f>
        <v>2099</v>
      </c>
      <c r="DQ16" s="274">
        <f>INDEX('qtrP&amp;L'!$42:$42,MATCH(DN$7,'qtrP&amp;L'!$6:$6,0))</f>
        <v>2301</v>
      </c>
      <c r="DR16" s="274"/>
      <c r="DS16" s="274">
        <f>INDEX('qtrP&amp;L'!$39:$39,MATCH(DS$7,'qtrP&amp;L'!$6:$6,0))</f>
        <v>2000</v>
      </c>
      <c r="DT16" s="274">
        <f>INDEX('qtrP&amp;L'!$40:$40,MATCH(DS$7,'qtrP&amp;L'!$6:$6,0))</f>
        <v>2024</v>
      </c>
      <c r="DU16" s="274">
        <f>INDEX('qtrP&amp;L'!$41:$41,MATCH(DS$7,'qtrP&amp;L'!$6:$6,0))</f>
        <v>2007</v>
      </c>
      <c r="DV16" s="274">
        <f>INDEX('qtrP&amp;L'!$42:$42,MATCH(DS$7,'qtrP&amp;L'!$6:$6,0))</f>
        <v>2324</v>
      </c>
      <c r="DW16" s="274"/>
      <c r="DX16" s="274">
        <f>INDEX('qtrP&amp;L'!$39:$39,MATCH(DX$7,'qtrP&amp;L'!$6:$6,0))</f>
        <v>2023</v>
      </c>
      <c r="DY16" s="274">
        <f>INDEX('qtrP&amp;L'!$40:$40,MATCH(DX$7,'qtrP&amp;L'!$6:$6,0))</f>
        <v>2058</v>
      </c>
      <c r="DZ16" s="274">
        <f>INDEX('qtrP&amp;L'!$41:$41,MATCH(DX$7,'qtrP&amp;L'!$6:$6,0))</f>
        <v>1968</v>
      </c>
      <c r="EA16" s="274">
        <f>INDEX('qtrP&amp;L'!$42:$42,MATCH(DX$7,'qtrP&amp;L'!$6:$6,0))</f>
        <v>2207</v>
      </c>
      <c r="EB16" s="261"/>
      <c r="EC16" s="274">
        <f>INDEX('qtrP&amp;L'!$39:$39,MATCH(EC$7,'qtrP&amp;L'!$6:$6,0))</f>
        <v>2142</v>
      </c>
      <c r="ED16" s="274">
        <f>INDEX('qtrP&amp;L'!$40:$40,MATCH(EC$7,'qtrP&amp;L'!$6:$6,0))</f>
        <v>2201.75</v>
      </c>
      <c r="EE16" s="274">
        <f>INDEX('qtrP&amp;L'!$41:$41,MATCH(EC$7,'qtrP&amp;L'!$6:$6,0))</f>
        <v>2269.75</v>
      </c>
      <c r="EF16" s="274">
        <f>INDEX('qtrP&amp;L'!$42:$42,MATCH(EC$7,'qtrP&amp;L'!$6:$6,0))</f>
        <v>2434.75</v>
      </c>
      <c r="EG16" s="261"/>
      <c r="EH16" s="274">
        <f>INDEX('qtrP&amp;L'!$39:$39,MATCH(EH$7,'qtrP&amp;L'!$6:$6,0))</f>
        <v>1990</v>
      </c>
      <c r="EI16" s="274">
        <f>INDEX('qtrP&amp;L'!$40:$40,MATCH(EH$7,'qtrP&amp;L'!$6:$6,0))</f>
        <v>2116</v>
      </c>
      <c r="EJ16" s="274">
        <f>INDEX('qtrP&amp;L'!$41:$41,MATCH(EH$7,'qtrP&amp;L'!$6:$6,0))</f>
        <v>2123</v>
      </c>
      <c r="EK16" s="274">
        <f>INDEX('qtrP&amp;L'!$42:$42,MATCH(EH$7,'qtrP&amp;L'!$6:$6,0))</f>
        <v>2180</v>
      </c>
      <c r="EL16" s="274"/>
      <c r="EM16" s="1405">
        <f>INDEX('qtrP&amp;L'!$39:$39,MATCH(EM$7,'qtrP&amp;L'!$6:$6,0))</f>
        <v>1979</v>
      </c>
      <c r="EN16" s="1405">
        <f>INDEX('qtrP&amp;L'!$40:$40,MATCH(EM$7,'qtrP&amp;L'!$6:$6,0))</f>
        <v>2080</v>
      </c>
      <c r="EO16" s="1405">
        <f>INDEX('qtrP&amp;L'!$41:$41,MATCH(EM$7,'qtrP&amp;L'!$6:$6,0))</f>
        <v>2108</v>
      </c>
      <c r="EP16" s="1405">
        <f>INDEX('qtrP&amp;L'!$42:$42,MATCH(EM$7,'qtrP&amp;L'!$6:$6,0))</f>
        <v>2468</v>
      </c>
      <c r="EQ16" s="262"/>
      <c r="ER16" s="318">
        <f>'yrP&amp;L'!F18</f>
        <v>2420.6839999999997</v>
      </c>
      <c r="ES16" s="275">
        <f>'yrP&amp;L'!G18</f>
        <v>2347.5460000000003</v>
      </c>
      <c r="ET16" s="275">
        <f>'yrP&amp;L'!H18</f>
        <v>2328.047</v>
      </c>
      <c r="EU16" s="275">
        <f>'yrP&amp;L'!I18</f>
        <v>4608.8310000000001</v>
      </c>
      <c r="EV16" s="275">
        <f>'yrP&amp;L'!J18</f>
        <v>4424.5330000000004</v>
      </c>
      <c r="EW16" s="275"/>
      <c r="EX16" s="275">
        <f>'yrP&amp;L'!L18</f>
        <v>4913</v>
      </c>
      <c r="EY16" s="275">
        <f>'yrP&amp;L'!M18</f>
        <v>4922</v>
      </c>
      <c r="EZ16" s="275">
        <f>'yrP&amp;L'!N18</f>
        <v>4679</v>
      </c>
      <c r="FA16" s="275">
        <f>'yrP&amp;L'!O18</f>
        <v>4692</v>
      </c>
      <c r="FB16" s="275">
        <f>'yrP&amp;L'!P18</f>
        <v>4760</v>
      </c>
      <c r="FC16" s="275">
        <f>'yrP&amp;L'!Q18</f>
        <v>4912</v>
      </c>
      <c r="FD16" s="275">
        <f>'yrP&amp;L'!R18</f>
        <v>4806</v>
      </c>
      <c r="FE16" s="275">
        <f>'yrP&amp;L'!S18</f>
        <v>4836</v>
      </c>
      <c r="FF16" s="275">
        <f>'yrP&amp;L'!T18</f>
        <v>4837</v>
      </c>
      <c r="FG16" s="275">
        <f>'yrP&amp;L'!U18</f>
        <v>4931</v>
      </c>
      <c r="FH16" s="275">
        <f>'yrP&amp;L'!V18</f>
        <v>6980</v>
      </c>
      <c r="FI16" s="318">
        <f>'yrP&amp;L'!W18</f>
        <v>8678</v>
      </c>
      <c r="FJ16" s="275">
        <f>'yrP&amp;L'!X18</f>
        <v>8554</v>
      </c>
      <c r="FK16" s="276">
        <f>'yrP&amp;L'!Y18</f>
        <v>8458</v>
      </c>
      <c r="FL16" s="318">
        <f>'yrP&amp;L'!Z18</f>
        <v>8163</v>
      </c>
      <c r="FM16" s="318">
        <f>'yrP&amp;L'!AA18</f>
        <v>8260</v>
      </c>
      <c r="FN16" s="275">
        <f>'yrP&amp;L'!AB18</f>
        <v>8281</v>
      </c>
      <c r="FO16" s="275">
        <f>'yrP&amp;L'!AC18</f>
        <v>8482</v>
      </c>
      <c r="FP16" s="275">
        <f>'yrP&amp;L'!AD18</f>
        <v>8440</v>
      </c>
      <c r="FQ16" s="275">
        <f>'yrP&amp;L'!AE18</f>
        <v>8355</v>
      </c>
      <c r="FR16" s="275">
        <f>'yrP&amp;L'!AF18</f>
        <v>8256</v>
      </c>
      <c r="FS16" s="275">
        <f>'yrP&amp;L'!AG18</f>
        <v>9048.25</v>
      </c>
      <c r="FT16" s="1260">
        <f>'yrP&amp;L'!AH18</f>
        <v>8409</v>
      </c>
      <c r="FU16" s="275">
        <f>'yrP&amp;L'!AI18</f>
        <v>8635</v>
      </c>
      <c r="FV16" s="275">
        <f>'yrP&amp;L'!AJ18</f>
        <v>8603.5889999999999</v>
      </c>
      <c r="FW16" s="276">
        <f>'yrP&amp;L'!AK18</f>
        <v>8579.9294594999992</v>
      </c>
      <c r="FX16" s="275">
        <f>'yrP&amp;L'!AL18</f>
        <v>8508.1300238240001</v>
      </c>
      <c r="FY16" s="1362">
        <f>'yrP&amp;L'!AM18</f>
        <v>8436.8249836334071</v>
      </c>
      <c r="FZ16" s="318"/>
      <c r="GJ16" s="261"/>
      <c r="GK16" s="261"/>
      <c r="GL16" s="261"/>
      <c r="GM16" s="261"/>
      <c r="GN16" s="261"/>
      <c r="GO16" s="261"/>
    </row>
    <row r="17" spans="1:197" x14ac:dyDescent="0.2">
      <c r="A17" s="277" t="s">
        <v>165</v>
      </c>
      <c r="B17" s="314"/>
      <c r="C17" s="271">
        <f>C15-SUM(C16:C16)</f>
        <v>26.448000000000093</v>
      </c>
      <c r="D17" s="271">
        <f>D15-SUM(D16:D16)</f>
        <v>-40.062000000000012</v>
      </c>
      <c r="E17" s="271">
        <f>E15-SUM(E16:E16)</f>
        <v>42.317999999999984</v>
      </c>
      <c r="F17" s="271">
        <f>F15-SUM(F16:F16)</f>
        <v>106.46899999999994</v>
      </c>
      <c r="G17" s="271"/>
      <c r="H17" s="271">
        <f>H15-SUM(H16:H16)</f>
        <v>41.520000000000095</v>
      </c>
      <c r="I17" s="271">
        <f>I15-SUM(I16:I16)</f>
        <v>8.5089999999999009</v>
      </c>
      <c r="J17" s="271">
        <f>J15-SUM(J16:J16)</f>
        <v>53.267000000000053</v>
      </c>
      <c r="K17" s="271">
        <f>K15-SUM(K16:K16)</f>
        <v>163.67600000000027</v>
      </c>
      <c r="L17" s="271"/>
      <c r="M17" s="271">
        <f>M15-SUM(M16:M16)</f>
        <v>84.661000000000172</v>
      </c>
      <c r="N17" s="271">
        <f>N15-SUM(N16:N16)</f>
        <v>31.674999999999955</v>
      </c>
      <c r="O17" s="271">
        <f>O15-SUM(O16:O16)</f>
        <v>110.76799999999992</v>
      </c>
      <c r="P17" s="271">
        <f>P15-SUM(P16:P16)</f>
        <v>211.33000000000004</v>
      </c>
      <c r="Q17" s="271"/>
      <c r="R17" s="271">
        <f>R15-SUM(R16:R16)</f>
        <v>86.781000000000063</v>
      </c>
      <c r="S17" s="271">
        <f>S15-SUM(S16:S16)</f>
        <v>62.034999999999968</v>
      </c>
      <c r="T17" s="271">
        <f>T15-SUM(T16:T16)</f>
        <v>107.38199999999995</v>
      </c>
      <c r="U17" s="271">
        <f>U15-SUM(U16:U16)</f>
        <v>254.44499999999982</v>
      </c>
      <c r="V17" s="271"/>
      <c r="W17" s="271">
        <f>W15-SUM(W16:W16)</f>
        <v>108.60800000000017</v>
      </c>
      <c r="X17" s="271">
        <f>X15-SUM(X16:X16)</f>
        <v>86.573999999999842</v>
      </c>
      <c r="Y17" s="271">
        <f>Y15-SUM(Y16:Y16)</f>
        <v>132.697</v>
      </c>
      <c r="Z17" s="271">
        <f>Z15-SUM(Z16:Z16)</f>
        <v>313.22499999999991</v>
      </c>
      <c r="AA17" s="271"/>
      <c r="AB17" s="271">
        <f>AB15-SUM(AB16:AB16)</f>
        <v>95.886999999999716</v>
      </c>
      <c r="AC17" s="271">
        <f>AC15-SUM(AC16:AC16)</f>
        <v>116.19800000000009</v>
      </c>
      <c r="AD17" s="271">
        <f>AD15-SUM(AD16:AD16)</f>
        <v>186.59699999999975</v>
      </c>
      <c r="AE17" s="271">
        <f>AE15-SUM(AE16:AE16)</f>
        <v>595.96899999999982</v>
      </c>
      <c r="AF17" s="271"/>
      <c r="AG17" s="271">
        <f>AG15-SUM(AG16:AG16)</f>
        <v>132.98699999999985</v>
      </c>
      <c r="AH17" s="271">
        <f>AH15-SUM(AH16:AH16)</f>
        <v>174.6429999999998</v>
      </c>
      <c r="AI17" s="271">
        <f>AI15-SUM(AI16:AI16)</f>
        <v>231.56800000000021</v>
      </c>
      <c r="AJ17" s="271">
        <f>AJ15-SUM(AJ16:AJ16)</f>
        <v>663.03299999999967</v>
      </c>
      <c r="AK17" s="271"/>
      <c r="AL17" s="271">
        <f>AL15-SUM(AL16:AL16)</f>
        <v>147.56900000000019</v>
      </c>
      <c r="AM17" s="271">
        <f>AM15-SUM(AM16:AM16)</f>
        <v>211.83100000000036</v>
      </c>
      <c r="AN17" s="271">
        <f>AN15-SUM(AN16:AN16)</f>
        <v>267.78500000000008</v>
      </c>
      <c r="AO17" s="271">
        <f>AO15-SUM(AO16:AO16)</f>
        <v>712.904</v>
      </c>
      <c r="AP17" s="271"/>
      <c r="AQ17" s="271">
        <f>AQ15-SUM(AQ16:AQ16)</f>
        <v>181</v>
      </c>
      <c r="AR17" s="271">
        <f>AR15-SUM(AR16:AR16)</f>
        <v>267</v>
      </c>
      <c r="AS17" s="271">
        <f>AS15-SUM(AS16:AS16)</f>
        <v>257</v>
      </c>
      <c r="AT17" s="271">
        <f>AT15-SUM(AT16:AT16)</f>
        <v>750</v>
      </c>
      <c r="AU17" s="271"/>
      <c r="AV17" s="271">
        <f>AV15-SUM(AV16:AV16)</f>
        <v>225</v>
      </c>
      <c r="AW17" s="271">
        <f>AW15-SUM(AW16:AW16)</f>
        <v>318</v>
      </c>
      <c r="AX17" s="271">
        <f>AX15-SUM(AX16:AX16)</f>
        <v>302</v>
      </c>
      <c r="AY17" s="271">
        <f>AY15-SUM(AY16:AY16)</f>
        <v>856</v>
      </c>
      <c r="AZ17" s="271"/>
      <c r="BA17" s="271">
        <f>BA15-SUM(BA16:BA16)</f>
        <v>269</v>
      </c>
      <c r="BB17" s="271">
        <f>BB15-SUM(BB16:BB16)</f>
        <v>402</v>
      </c>
      <c r="BC17" s="271">
        <f>BC15-SUM(BC16:BC16)</f>
        <v>269</v>
      </c>
      <c r="BD17" s="271">
        <f>BD15-SUM(BD16:BD16)</f>
        <v>831</v>
      </c>
      <c r="BE17" s="271"/>
      <c r="BF17" s="271">
        <f>BF15-SUM(BF16:BF16)</f>
        <v>230</v>
      </c>
      <c r="BG17" s="271">
        <f>BG15-SUM(BG16:BG16)</f>
        <v>254</v>
      </c>
      <c r="BH17" s="271">
        <f>BH15-SUM(BH16:BH16)</f>
        <v>156</v>
      </c>
      <c r="BI17" s="271">
        <f>BI15-SUM(BI16:BI16)</f>
        <v>736</v>
      </c>
      <c r="BJ17" s="271"/>
      <c r="BK17" s="271">
        <f>BK15-SUM(BK16:BK16)</f>
        <v>221</v>
      </c>
      <c r="BL17" s="271">
        <f>BL15-SUM(BL16:BL16)</f>
        <v>300</v>
      </c>
      <c r="BM17" s="271">
        <f>BM15-SUM(BM16:BM16)</f>
        <v>188</v>
      </c>
      <c r="BN17" s="271">
        <f>BN15-SUM(BN16:BN16)</f>
        <v>702</v>
      </c>
      <c r="BO17" s="271"/>
      <c r="BP17" s="271">
        <f>BP15-SUM(BP16:BP16)</f>
        <v>154</v>
      </c>
      <c r="BQ17" s="271">
        <f>BQ15-SUM(BQ16:BQ16)</f>
        <v>274</v>
      </c>
      <c r="BR17" s="271">
        <f>BR15-SUM(BR16:BR16)</f>
        <v>202</v>
      </c>
      <c r="BS17" s="271">
        <f>BS15-SUM(BS16:BS16)</f>
        <v>770</v>
      </c>
      <c r="BT17" s="271"/>
      <c r="BU17" s="271">
        <f>BU15-SUM(BU16:BU16)</f>
        <v>236</v>
      </c>
      <c r="BV17" s="271">
        <f>BV15-SUM(BV16:BV16)</f>
        <v>276</v>
      </c>
      <c r="BW17" s="271">
        <f>BW15-SUM(BW16:BW16)</f>
        <v>211</v>
      </c>
      <c r="BX17" s="271">
        <f>BX15-SUM(BX16:BX16)</f>
        <v>776</v>
      </c>
      <c r="BY17" s="271"/>
      <c r="BZ17" s="271">
        <f>BZ15-SUM(BZ16:BZ16)</f>
        <v>252</v>
      </c>
      <c r="CA17" s="271">
        <f>CA15-SUM(CA16:CA16)</f>
        <v>291</v>
      </c>
      <c r="CB17" s="271">
        <f>CB15-SUM(CB16:CB16)</f>
        <v>270</v>
      </c>
      <c r="CC17" s="271">
        <f>CC15-SUM(CC16:CC16)</f>
        <v>1325</v>
      </c>
      <c r="CD17" s="271"/>
      <c r="CE17" s="271">
        <f>CE15-SUM(CE16:CE16)</f>
        <v>149</v>
      </c>
      <c r="CF17" s="271">
        <f>CF15-SUM(CF16:CF16)</f>
        <v>408</v>
      </c>
      <c r="CG17" s="271">
        <f>CG15-SUM(CG16:CG16)</f>
        <v>279</v>
      </c>
      <c r="CH17" s="271">
        <f>CH15-SUM(CH16:CH16)</f>
        <v>1437</v>
      </c>
      <c r="CI17" s="271"/>
      <c r="CJ17" s="271">
        <f>CJ15-SUM(CJ16:CJ16)</f>
        <v>244</v>
      </c>
      <c r="CK17" s="271">
        <f>CK15-SUM(CK16:CK16)</f>
        <v>347</v>
      </c>
      <c r="CL17" s="271">
        <f>CL15-SUM(CL16:CL16)</f>
        <v>200</v>
      </c>
      <c r="CM17" s="271">
        <f>CM15-SUM(CM16:CM16)</f>
        <v>1291</v>
      </c>
      <c r="CN17" s="271"/>
      <c r="CO17" s="271">
        <f>CO15-SUM(CO16:CO16)</f>
        <v>140</v>
      </c>
      <c r="CP17" s="271">
        <f>CP15-SUM(CP16:CP16)</f>
        <v>335</v>
      </c>
      <c r="CQ17" s="271">
        <f>CQ15-SUM(CQ16:CQ16)</f>
        <v>84</v>
      </c>
      <c r="CR17" s="271">
        <f>CR15-SUM(CR16:CR16)</f>
        <v>866</v>
      </c>
      <c r="CS17" s="271"/>
      <c r="CT17" s="271">
        <f>CT15-SUM(CT16:CT16)</f>
        <v>24</v>
      </c>
      <c r="CU17" s="271">
        <f>CU15-SUM(CU16:CU16)</f>
        <v>282</v>
      </c>
      <c r="CV17" s="271">
        <f>CV15-SUM(CV16:CV16)</f>
        <v>88</v>
      </c>
      <c r="CW17" s="271">
        <f>CW15-SUM(CW16:CW16)</f>
        <v>1060</v>
      </c>
      <c r="CX17" s="271"/>
      <c r="CY17" s="271">
        <f>CY15-SUM(CY16:CY16)</f>
        <v>203</v>
      </c>
      <c r="CZ17" s="271">
        <f>CZ15-SUM(CZ16:CZ16)</f>
        <v>370</v>
      </c>
      <c r="DA17" s="271">
        <f>DA15-SUM(DA16:DA16)</f>
        <v>177</v>
      </c>
      <c r="DB17" s="271">
        <f>DB15-SUM(DB16:DB16)</f>
        <v>1169</v>
      </c>
      <c r="DC17" s="271"/>
      <c r="DD17" s="271">
        <f>DD15-SUM(DD16:DD16)</f>
        <v>330</v>
      </c>
      <c r="DE17" s="271">
        <f>DE15-SUM(DE16:DE16)</f>
        <v>506</v>
      </c>
      <c r="DF17" s="271">
        <f>DF15-SUM(DF16:DF16)</f>
        <v>291</v>
      </c>
      <c r="DG17" s="271">
        <f>DG15-SUM(DG16:DG16)</f>
        <v>1259</v>
      </c>
      <c r="DH17" s="271"/>
      <c r="DI17" s="271">
        <f>DI15-SUM(DI16:DI16)</f>
        <v>391</v>
      </c>
      <c r="DJ17" s="271">
        <f>DJ15-SUM(DJ16:DJ16)</f>
        <v>554</v>
      </c>
      <c r="DK17" s="271">
        <f>DK15-SUM(DK16:DK16)</f>
        <v>325</v>
      </c>
      <c r="DL17" s="271">
        <f>DL15-SUM(DL16:DL16)</f>
        <v>1396</v>
      </c>
      <c r="DM17" s="271"/>
      <c r="DN17" s="271">
        <f>DN15-SUM(DN16:DN16)</f>
        <v>435</v>
      </c>
      <c r="DO17" s="271">
        <f>DO15-SUM(DO16:DO16)</f>
        <v>534</v>
      </c>
      <c r="DP17" s="271">
        <f>DP15-SUM(DP16:DP16)</f>
        <v>360</v>
      </c>
      <c r="DQ17" s="271">
        <f>DQ15-SUM(DQ16:DQ16)</f>
        <v>1437</v>
      </c>
      <c r="DR17" s="271"/>
      <c r="DS17" s="271">
        <f>DS15-SUM(DS16:DS16)</f>
        <v>443</v>
      </c>
      <c r="DT17" s="271">
        <f>DT15-SUM(DT16:DT16)</f>
        <v>571</v>
      </c>
      <c r="DU17" s="271">
        <f>DU15-SUM(DU16:DU16)</f>
        <v>422</v>
      </c>
      <c r="DV17" s="271">
        <f>DV15-SUM(DV16:DV16)</f>
        <v>1451</v>
      </c>
      <c r="DW17" s="271"/>
      <c r="DX17" s="271">
        <f>DX15-SUM(DX16:DX16)</f>
        <v>409</v>
      </c>
      <c r="DY17" s="271">
        <f>DY15-SUM(DY16:DY16)</f>
        <v>436</v>
      </c>
      <c r="DZ17" s="271">
        <f>DZ15-SUM(DZ16:DZ16)</f>
        <v>369</v>
      </c>
      <c r="EA17" s="271">
        <f>EA15-SUM(EA16:EA16)</f>
        <v>1113</v>
      </c>
      <c r="EB17" s="271"/>
      <c r="EC17" s="271">
        <f t="shared" ref="EC17:EP17" si="112">EC15-SUM(EC16:EC16)+EC11</f>
        <v>290</v>
      </c>
      <c r="ED17" s="271">
        <f t="shared" si="112"/>
        <v>346.75</v>
      </c>
      <c r="EE17" s="271">
        <f t="shared" si="112"/>
        <v>150.75</v>
      </c>
      <c r="EF17" s="271">
        <f t="shared" si="112"/>
        <v>1063.25</v>
      </c>
      <c r="EG17" s="271">
        <f t="shared" si="112"/>
        <v>0</v>
      </c>
      <c r="EH17" s="271">
        <f t="shared" si="112"/>
        <v>219</v>
      </c>
      <c r="EI17" s="271">
        <f t="shared" si="112"/>
        <v>283</v>
      </c>
      <c r="EJ17" s="271">
        <f t="shared" si="112"/>
        <v>156</v>
      </c>
      <c r="EK17" s="271">
        <f t="shared" si="112"/>
        <v>1398</v>
      </c>
      <c r="EL17" s="271">
        <f t="shared" si="112"/>
        <v>0</v>
      </c>
      <c r="EM17" s="271">
        <f t="shared" si="112"/>
        <v>208.59310239999968</v>
      </c>
      <c r="EN17" s="271">
        <f t="shared" si="112"/>
        <v>244.38913550000052</v>
      </c>
      <c r="EO17" s="271">
        <f t="shared" si="112"/>
        <v>164.57110899999952</v>
      </c>
      <c r="EP17" s="271">
        <f t="shared" si="112"/>
        <v>1016.1777052999996</v>
      </c>
      <c r="EQ17" s="315"/>
      <c r="ER17" s="319">
        <f>ER15-SUM(ER16:ER16)</f>
        <v>438.43400000000065</v>
      </c>
      <c r="ES17" s="272">
        <f>ES15-SUM(ES16:ES16)</f>
        <v>510.64299999999912</v>
      </c>
      <c r="ET17" s="272">
        <f>ET15-SUM(ET16:ET16)</f>
        <v>641.1039999999989</v>
      </c>
      <c r="EU17" s="272">
        <f>EU15-SUM(EU16:EU16)</f>
        <v>682.80099999999948</v>
      </c>
      <c r="EV17" s="272">
        <f>EV15-SUM(EV16:EV16)</f>
        <v>994.65099999999893</v>
      </c>
      <c r="EW17" s="272"/>
      <c r="EX17" s="272">
        <f t="shared" ref="EX17:FR17" si="113">EX15-SUM(EX16:EX16)</f>
        <v>663</v>
      </c>
      <c r="EY17" s="272">
        <f t="shared" si="113"/>
        <v>893</v>
      </c>
      <c r="EZ17" s="272">
        <f t="shared" si="113"/>
        <v>1341</v>
      </c>
      <c r="FA17" s="272">
        <f t="shared" si="113"/>
        <v>1455</v>
      </c>
      <c r="FB17" s="272">
        <f t="shared" si="113"/>
        <v>1693</v>
      </c>
      <c r="FC17" s="272">
        <f t="shared" si="113"/>
        <v>1771</v>
      </c>
      <c r="FD17" s="272">
        <f t="shared" si="113"/>
        <v>1376</v>
      </c>
      <c r="FE17" s="272">
        <f t="shared" si="113"/>
        <v>1411</v>
      </c>
      <c r="FF17" s="272">
        <f t="shared" si="113"/>
        <v>1400</v>
      </c>
      <c r="FG17" s="272">
        <f t="shared" si="113"/>
        <v>1499</v>
      </c>
      <c r="FH17" s="272">
        <f t="shared" si="113"/>
        <v>2138</v>
      </c>
      <c r="FI17" s="316">
        <f t="shared" si="113"/>
        <v>2273</v>
      </c>
      <c r="FJ17" s="272">
        <f t="shared" si="113"/>
        <v>2082</v>
      </c>
      <c r="FK17" s="273">
        <f t="shared" si="113"/>
        <v>1425</v>
      </c>
      <c r="FL17" s="316">
        <f t="shared" si="113"/>
        <v>1454</v>
      </c>
      <c r="FM17" s="316">
        <f t="shared" si="113"/>
        <v>1919</v>
      </c>
      <c r="FN17" s="272">
        <f t="shared" si="113"/>
        <v>2386</v>
      </c>
      <c r="FO17" s="272">
        <f t="shared" si="113"/>
        <v>2666</v>
      </c>
      <c r="FP17" s="272">
        <f t="shared" si="113"/>
        <v>2766</v>
      </c>
      <c r="FQ17" s="272">
        <f t="shared" si="113"/>
        <v>2887</v>
      </c>
      <c r="FR17" s="272">
        <f t="shared" si="113"/>
        <v>2327</v>
      </c>
      <c r="FS17" s="272">
        <f>FS15-SUM(FS16:FS16)+FS11</f>
        <v>1850.75</v>
      </c>
      <c r="FT17" s="1504">
        <f t="shared" ref="FT17:FY17" si="114">FT15-SUM(FT16:FT16)+FT11</f>
        <v>2056</v>
      </c>
      <c r="FU17" s="272">
        <f t="shared" si="114"/>
        <v>1633.7310522000007</v>
      </c>
      <c r="FV17" s="272">
        <f t="shared" si="114"/>
        <v>1284.3126534677194</v>
      </c>
      <c r="FW17" s="273">
        <f t="shared" si="114"/>
        <v>954.85481748229722</v>
      </c>
      <c r="FX17" s="272">
        <f t="shared" si="114"/>
        <v>681.99365821153151</v>
      </c>
      <c r="FY17" s="1361">
        <f t="shared" si="114"/>
        <v>426.95472477024123</v>
      </c>
      <c r="FZ17" s="316"/>
      <c r="GA17" s="272"/>
      <c r="GH17" s="287"/>
      <c r="GJ17" s="261"/>
      <c r="GK17" s="580"/>
      <c r="GL17" s="581"/>
      <c r="GM17" s="581"/>
      <c r="GN17" s="581"/>
      <c r="GO17" s="261"/>
    </row>
    <row r="18" spans="1:197" x14ac:dyDescent="0.2">
      <c r="A18" s="277"/>
      <c r="B18" s="314"/>
      <c r="C18" s="271"/>
      <c r="D18" s="271"/>
      <c r="E18" s="271"/>
      <c r="F18" s="271"/>
      <c r="G18" s="271"/>
      <c r="H18" s="271"/>
      <c r="I18" s="271"/>
      <c r="J18" s="271"/>
      <c r="K18" s="271"/>
      <c r="L18" s="271"/>
      <c r="M18" s="271"/>
      <c r="N18" s="271"/>
      <c r="O18" s="271"/>
      <c r="P18" s="271"/>
      <c r="Q18" s="271"/>
      <c r="R18" s="271"/>
      <c r="S18" s="271"/>
      <c r="T18" s="271"/>
      <c r="U18" s="271"/>
      <c r="V18" s="271"/>
      <c r="W18" s="271"/>
      <c r="X18" s="271"/>
      <c r="Y18" s="271"/>
      <c r="Z18" s="271"/>
      <c r="AA18" s="271"/>
      <c r="AB18" s="271"/>
      <c r="AC18" s="271"/>
      <c r="AD18" s="271"/>
      <c r="AE18" s="271"/>
      <c r="AF18" s="271"/>
      <c r="AG18" s="271"/>
      <c r="AH18" s="271"/>
      <c r="AI18" s="271"/>
      <c r="AJ18" s="271"/>
      <c r="AK18" s="271"/>
      <c r="AL18" s="271"/>
      <c r="AM18" s="271"/>
      <c r="AN18" s="271"/>
      <c r="AO18" s="271"/>
      <c r="AP18" s="271"/>
      <c r="AQ18" s="271"/>
      <c r="AR18" s="271"/>
      <c r="AS18" s="271"/>
      <c r="AT18" s="271"/>
      <c r="AU18" s="271"/>
      <c r="AV18" s="271"/>
      <c r="AW18" s="271"/>
      <c r="AX18" s="271"/>
      <c r="AY18" s="271"/>
      <c r="AZ18" s="271"/>
      <c r="BA18" s="271"/>
      <c r="BB18" s="271"/>
      <c r="BC18" s="271"/>
      <c r="BD18" s="271"/>
      <c r="BE18" s="271"/>
      <c r="BF18" s="271"/>
      <c r="BG18" s="271"/>
      <c r="BH18" s="271"/>
      <c r="BI18" s="271"/>
      <c r="BJ18" s="271"/>
      <c r="BK18" s="271"/>
      <c r="BL18" s="271"/>
      <c r="BM18" s="271"/>
      <c r="BN18" s="271"/>
      <c r="BO18" s="271"/>
      <c r="BP18" s="271"/>
      <c r="BQ18" s="271"/>
      <c r="BR18" s="271"/>
      <c r="BS18" s="271"/>
      <c r="BT18" s="271"/>
      <c r="BU18" s="271"/>
      <c r="BV18" s="271"/>
      <c r="BW18" s="271"/>
      <c r="BX18" s="271"/>
      <c r="BY18" s="271"/>
      <c r="BZ18" s="271"/>
      <c r="CA18" s="271"/>
      <c r="CB18" s="271"/>
      <c r="CC18" s="271"/>
      <c r="CD18" s="271"/>
      <c r="CE18" s="271"/>
      <c r="CF18" s="271"/>
      <c r="CG18" s="271"/>
      <c r="CH18" s="271"/>
      <c r="CI18" s="271"/>
      <c r="CJ18" s="271"/>
      <c r="CK18" s="271"/>
      <c r="CL18" s="271"/>
      <c r="CM18" s="271"/>
      <c r="CN18" s="271"/>
      <c r="CO18" s="271"/>
      <c r="CP18" s="271"/>
      <c r="CQ18" s="271"/>
      <c r="CR18" s="271"/>
      <c r="CS18" s="271"/>
      <c r="CT18" s="271"/>
      <c r="CU18" s="271"/>
      <c r="CV18" s="271"/>
      <c r="CW18" s="271"/>
      <c r="CX18" s="271"/>
      <c r="CY18" s="271"/>
      <c r="CZ18" s="271"/>
      <c r="DA18" s="271"/>
      <c r="DB18" s="271"/>
      <c r="DC18" s="271"/>
      <c r="DD18" s="271"/>
      <c r="DE18" s="271"/>
      <c r="DF18" s="271"/>
      <c r="DG18" s="271"/>
      <c r="DH18" s="271"/>
      <c r="DI18" s="271"/>
      <c r="DJ18" s="271"/>
      <c r="DK18" s="271"/>
      <c r="DL18" s="271"/>
      <c r="DM18" s="271"/>
      <c r="DN18" s="271"/>
      <c r="DO18" s="271"/>
      <c r="DP18" s="271"/>
      <c r="DQ18" s="271"/>
      <c r="DR18" s="271"/>
      <c r="DS18" s="271"/>
      <c r="DT18" s="271"/>
      <c r="DU18" s="271"/>
      <c r="DV18" s="271"/>
      <c r="DW18" s="271"/>
      <c r="DX18" s="271"/>
      <c r="DY18" s="271"/>
      <c r="DZ18" s="271"/>
      <c r="EA18" s="271"/>
      <c r="EB18" s="271"/>
      <c r="EC18" s="271"/>
      <c r="ED18" s="271"/>
      <c r="EE18" s="271"/>
      <c r="EF18" s="271"/>
      <c r="EG18" s="271"/>
      <c r="EH18" s="271"/>
      <c r="EI18" s="271"/>
      <c r="EJ18" s="271"/>
      <c r="EK18" s="271"/>
      <c r="EL18" s="271"/>
      <c r="EM18" s="1404"/>
      <c r="EN18" s="1404"/>
      <c r="EO18" s="1404"/>
      <c r="EP18" s="1404"/>
      <c r="EQ18" s="315"/>
      <c r="ER18" s="319"/>
      <c r="ES18" s="272"/>
      <c r="ET18" s="272"/>
      <c r="EU18" s="272"/>
      <c r="EV18" s="272"/>
      <c r="EW18" s="272"/>
      <c r="EX18" s="272"/>
      <c r="EY18" s="272"/>
      <c r="EZ18" s="272"/>
      <c r="FA18" s="272"/>
      <c r="FB18" s="272"/>
      <c r="FC18" s="272"/>
      <c r="FD18" s="272"/>
      <c r="FE18" s="272"/>
      <c r="FF18" s="272"/>
      <c r="FG18" s="272"/>
      <c r="FH18" s="272"/>
      <c r="FI18" s="316"/>
      <c r="FJ18" s="272"/>
      <c r="FK18" s="273"/>
      <c r="FL18" s="316"/>
      <c r="FM18" s="316"/>
      <c r="FN18" s="272"/>
      <c r="FO18" s="272"/>
      <c r="FP18" s="272"/>
      <c r="FQ18" s="265"/>
      <c r="FR18" s="265"/>
      <c r="FS18" s="1501"/>
      <c r="FT18" s="1505"/>
      <c r="FU18" s="272"/>
      <c r="FV18" s="272"/>
      <c r="FW18" s="273"/>
      <c r="FX18" s="265"/>
      <c r="FY18" s="1358"/>
      <c r="FZ18" s="316"/>
      <c r="GA18" s="272"/>
      <c r="GJ18" s="261"/>
      <c r="GK18" s="261"/>
      <c r="GL18" s="582"/>
      <c r="GM18" s="582"/>
      <c r="GN18" s="583"/>
      <c r="GO18" s="261"/>
    </row>
    <row r="19" spans="1:197" outlineLevel="1" x14ac:dyDescent="0.2">
      <c r="A19" s="270" t="s">
        <v>239</v>
      </c>
      <c r="B19" s="314"/>
      <c r="C19" s="271">
        <f>INDEX('qtrP&amp;L'!$78:$78,MATCH(C$7,'qtrP&amp;L'!$6:$6,0))</f>
        <v>150.16</v>
      </c>
      <c r="D19" s="271">
        <f>INDEX('qtrP&amp;L'!$79:$79,MATCH(C$7,'qtrP&amp;L'!$6:$6,0))</f>
        <v>137.041</v>
      </c>
      <c r="E19" s="271">
        <f>INDEX('qtrP&amp;L'!$80:$80,MATCH(C$7,'qtrP&amp;L'!$6:$6,0))</f>
        <v>134.49700000000001</v>
      </c>
      <c r="F19" s="271">
        <f>INDEX('qtrP&amp;L'!$81:$81,MATCH(C$7,'qtrP&amp;L'!$6:$6,0))</f>
        <v>134.244</v>
      </c>
      <c r="G19" s="271"/>
      <c r="H19" s="271">
        <f>INDEX('qtrP&amp;L'!$78:$78,MATCH(H$7,'qtrP&amp;L'!$6:$6,0))</f>
        <v>115.88100000000001</v>
      </c>
      <c r="I19" s="271">
        <f>INDEX('qtrP&amp;L'!$79:$79,MATCH(H$7,'qtrP&amp;L'!$6:$6,0))</f>
        <v>110.38500000000001</v>
      </c>
      <c r="J19" s="271">
        <f>INDEX('qtrP&amp;L'!$80:$80,MATCH(H$7,'qtrP&amp;L'!$6:$6,0))</f>
        <v>109.601</v>
      </c>
      <c r="K19" s="271">
        <f>INDEX('qtrP&amp;L'!$81:$81,MATCH(H$7,'qtrP&amp;L'!$6:$6,0))</f>
        <v>101.13</v>
      </c>
      <c r="L19" s="271"/>
      <c r="M19" s="271">
        <f>INDEX('qtrP&amp;L'!$78:$78,MATCH(M$7,'qtrP&amp;L'!$6:$6,0))</f>
        <v>57.284999999999997</v>
      </c>
      <c r="N19" s="271">
        <f>INDEX('qtrP&amp;L'!$79:$79,MATCH(M$7,'qtrP&amp;L'!$6:$6,0))</f>
        <v>49.753999999999998</v>
      </c>
      <c r="O19" s="271">
        <f>INDEX('qtrP&amp;L'!$80:$80,MATCH(M$7,'qtrP&amp;L'!$6:$6,0))</f>
        <v>43.933</v>
      </c>
      <c r="P19" s="271">
        <f>INDEX('qtrP&amp;L'!$81:$81,MATCH(M$7,'qtrP&amp;L'!$6:$6,0))</f>
        <v>46.881999999999998</v>
      </c>
      <c r="Q19" s="271"/>
      <c r="R19" s="271">
        <f>INDEX('qtrP&amp;L'!$78:$78,MATCH(R$7,'qtrP&amp;L'!$6:$6,0))</f>
        <v>43.271999999999998</v>
      </c>
      <c r="S19" s="271">
        <f>INDEX('qtrP&amp;L'!$79:$79,MATCH(R$7,'qtrP&amp;L'!$6:$6,0))</f>
        <v>40.268999999999998</v>
      </c>
      <c r="T19" s="271">
        <f>INDEX('qtrP&amp;L'!$80:$80,MATCH(R$7,'qtrP&amp;L'!$6:$6,0))</f>
        <v>39.991999999999997</v>
      </c>
      <c r="U19" s="271">
        <f>INDEX('qtrP&amp;L'!$81:$81,MATCH(R$7,'qtrP&amp;L'!$6:$6,0))</f>
        <v>40.606000000000002</v>
      </c>
      <c r="V19" s="271"/>
      <c r="W19" s="271">
        <f>INDEX('qtrP&amp;L'!$78:$78,MATCH(W$7,'qtrP&amp;L'!$6:$6,0))</f>
        <v>45.338999999999999</v>
      </c>
      <c r="X19" s="271">
        <f>INDEX('qtrP&amp;L'!$79:$79,MATCH(W$7,'qtrP&amp;L'!$6:$6,0))</f>
        <v>48.698</v>
      </c>
      <c r="Y19" s="271">
        <f>INDEX('qtrP&amp;L'!$80:$80,MATCH(W$7,'qtrP&amp;L'!$6:$6,0))</f>
        <v>50.985999999999997</v>
      </c>
      <c r="Z19" s="271">
        <f>INDEX('qtrP&amp;L'!$81:$81,MATCH(W$7,'qtrP&amp;L'!$6:$6,0))</f>
        <v>54.424999999999997</v>
      </c>
      <c r="AA19" s="271"/>
      <c r="AB19" s="271">
        <f>INDEX('qtrP&amp;L'!$78:$78,MATCH(AB$7,'qtrP&amp;L'!$6:$6,0))</f>
        <v>97.552000000000007</v>
      </c>
      <c r="AC19" s="271">
        <f>INDEX('qtrP&amp;L'!$79:$79,MATCH(AB$7,'qtrP&amp;L'!$6:$6,0))</f>
        <v>103.21599999999999</v>
      </c>
      <c r="AD19" s="271">
        <f>INDEX('qtrP&amp;L'!$80:$80,MATCH(AB$7,'qtrP&amp;L'!$6:$6,0))</f>
        <v>104.617</v>
      </c>
      <c r="AE19" s="271">
        <f>INDEX('qtrP&amp;L'!$81:$81,MATCH(AB$7,'qtrP&amp;L'!$6:$6,0))</f>
        <v>107.88</v>
      </c>
      <c r="AF19" s="271"/>
      <c r="AG19" s="271">
        <f>INDEX('qtrP&amp;L'!$78:$78,MATCH(AG$7,'qtrP&amp;L'!$6:$6,0))</f>
        <v>112.28100000000001</v>
      </c>
      <c r="AH19" s="271">
        <f>INDEX('qtrP&amp;L'!$79:$79,MATCH(AG$7,'qtrP&amp;L'!$6:$6,0))</f>
        <v>115.614</v>
      </c>
      <c r="AI19" s="271">
        <f>INDEX('qtrP&amp;L'!$80:$80,MATCH(AG$7,'qtrP&amp;L'!$6:$6,0))</f>
        <v>113.361</v>
      </c>
      <c r="AJ19" s="271">
        <f>INDEX('qtrP&amp;L'!$81:$81,MATCH(AG$7,'qtrP&amp;L'!$6:$6,0))</f>
        <v>110.508</v>
      </c>
      <c r="AK19" s="271"/>
      <c r="AL19" s="271">
        <f>INDEX('qtrP&amp;L'!$78:$78,MATCH(AL$7,'qtrP&amp;L'!$6:$6,0))</f>
        <v>104.377</v>
      </c>
      <c r="AM19" s="271">
        <f>INDEX('qtrP&amp;L'!$79:$79,MATCH(AL$7,'qtrP&amp;L'!$6:$6,0))</f>
        <v>99.263000000000005</v>
      </c>
      <c r="AN19" s="271">
        <f>INDEX('qtrP&amp;L'!$80:$80,MATCH(AL$7,'qtrP&amp;L'!$6:$6,0))</f>
        <v>91.878</v>
      </c>
      <c r="AO19" s="271">
        <f>INDEX('qtrP&amp;L'!$81:$81,MATCH(AL$7,'qtrP&amp;L'!$6:$6,0))</f>
        <v>86.977000000000004</v>
      </c>
      <c r="AP19" s="271"/>
      <c r="AQ19" s="271">
        <f>INDEX('qtrP&amp;L'!$78:$78,MATCH(AQ$7,'qtrP&amp;L'!$6:$6,0))</f>
        <v>77</v>
      </c>
      <c r="AR19" s="271">
        <f>INDEX('qtrP&amp;L'!$79:$79,MATCH(AQ$7,'qtrP&amp;L'!$6:$6,0))</f>
        <v>74</v>
      </c>
      <c r="AS19" s="271">
        <f>INDEX('qtrP&amp;L'!$80:$80,MATCH(AQ$7,'qtrP&amp;L'!$6:$6,0))</f>
        <v>72</v>
      </c>
      <c r="AT19" s="271">
        <f>INDEX('qtrP&amp;L'!$81:$81,MATCH(AQ$7,'qtrP&amp;L'!$6:$6,0))</f>
        <v>69</v>
      </c>
      <c r="AU19" s="271"/>
      <c r="AV19" s="271">
        <f>INDEX('qtrP&amp;L'!$78:$78,MATCH(AV$7,'qtrP&amp;L'!$6:$6,0))</f>
        <v>75</v>
      </c>
      <c r="AW19" s="271">
        <f>INDEX('qtrP&amp;L'!$79:$79,MATCH(AV$7,'qtrP&amp;L'!$6:$6,0))</f>
        <v>85</v>
      </c>
      <c r="AX19" s="271">
        <f>INDEX('qtrP&amp;L'!$80:$80,MATCH(AV$7,'qtrP&amp;L'!$6:$6,0))</f>
        <v>91</v>
      </c>
      <c r="AY19" s="271">
        <f>INDEX('qtrP&amp;L'!$81:$81,MATCH(AV$7,'qtrP&amp;L'!$6:$6,0))</f>
        <v>104</v>
      </c>
      <c r="AZ19" s="271"/>
      <c r="BA19" s="271">
        <f>INDEX('qtrP&amp;L'!$78:$78,MATCH(BA$7,'qtrP&amp;L'!$6:$6,0))</f>
        <v>69</v>
      </c>
      <c r="BB19" s="271">
        <f>INDEX('qtrP&amp;L'!$79:$79,MATCH(BA$7,'qtrP&amp;L'!$6:$6,0))</f>
        <v>78</v>
      </c>
      <c r="BC19" s="271">
        <f>INDEX('qtrP&amp;L'!$80:$80,MATCH(BA$7,'qtrP&amp;L'!$6:$6,0))</f>
        <v>84</v>
      </c>
      <c r="BD19" s="271">
        <f>INDEX('qtrP&amp;L'!$81:$81,MATCH(BA$7,'qtrP&amp;L'!$6:$6,0))</f>
        <v>90</v>
      </c>
      <c r="BE19" s="271"/>
      <c r="BF19" s="271">
        <f>INDEX('qtrP&amp;L'!$78:$78,MATCH(BF$7,'qtrP&amp;L'!$6:$6,0))</f>
        <v>78</v>
      </c>
      <c r="BG19" s="271">
        <f>INDEX('qtrP&amp;L'!$79:$79,MATCH(BF$7,'qtrP&amp;L'!$6:$6,0))</f>
        <v>78</v>
      </c>
      <c r="BH19" s="271">
        <f>INDEX('qtrP&amp;L'!$80:$80,MATCH(BF$7,'qtrP&amp;L'!$6:$6,0))</f>
        <v>80</v>
      </c>
      <c r="BI19" s="271">
        <f>INDEX('qtrP&amp;L'!$81:$81,MATCH(BF$7,'qtrP&amp;L'!$6:$6,0))</f>
        <v>88</v>
      </c>
      <c r="BJ19" s="271"/>
      <c r="BK19" s="271">
        <f>INDEX('qtrP&amp;L'!$78:$78,MATCH(BK$7,'qtrP&amp;L'!$6:$6,0))</f>
        <v>74</v>
      </c>
      <c r="BL19" s="271">
        <f>INDEX('qtrP&amp;L'!$79:$79,MATCH(BK$7,'qtrP&amp;L'!$6:$6,0))</f>
        <v>78</v>
      </c>
      <c r="BM19" s="271">
        <f>INDEX('qtrP&amp;L'!$80:$80,MATCH(BK$7,'qtrP&amp;L'!$6:$6,0))</f>
        <v>73</v>
      </c>
      <c r="BN19" s="271">
        <f>INDEX('qtrP&amp;L'!$81:$81,MATCH(BK$7,'qtrP&amp;L'!$6:$6,0))</f>
        <v>70</v>
      </c>
      <c r="BO19" s="271"/>
      <c r="BP19" s="271">
        <f>INDEX('qtrP&amp;L'!$78:$78,MATCH(BP$7,'qtrP&amp;L'!$6:$6,0))</f>
        <v>70</v>
      </c>
      <c r="BQ19" s="271">
        <f>INDEX('qtrP&amp;L'!$79:$79,MATCH(BP$7,'qtrP&amp;L'!$6:$6,0))</f>
        <v>65</v>
      </c>
      <c r="BR19" s="271">
        <f>INDEX('qtrP&amp;L'!$80:$80,MATCH(BP$7,'qtrP&amp;L'!$6:$6,0))</f>
        <v>61</v>
      </c>
      <c r="BS19" s="271">
        <f>INDEX('qtrP&amp;L'!$81:$81,MATCH(BP$7,'qtrP&amp;L'!$6:$6,0))</f>
        <v>61</v>
      </c>
      <c r="BT19" s="271"/>
      <c r="BU19" s="271">
        <f>INDEX('qtrP&amp;L'!$78:$78,MATCH(BU$7,'qtrP&amp;L'!$6:$6,0))</f>
        <v>60</v>
      </c>
      <c r="BV19" s="271">
        <f>INDEX('qtrP&amp;L'!$79:$79,MATCH(BU$7,'qtrP&amp;L'!$6:$6,0))</f>
        <v>60</v>
      </c>
      <c r="BW19" s="271">
        <f>INDEX('qtrP&amp;L'!$80:$80,MATCH(BU$7,'qtrP&amp;L'!$6:$6,0))</f>
        <v>55</v>
      </c>
      <c r="BX19" s="271">
        <f>INDEX('qtrP&amp;L'!$81:$81,MATCH(BU$7,'qtrP&amp;L'!$6:$6,0))</f>
        <v>50</v>
      </c>
      <c r="BY19" s="271"/>
      <c r="BZ19" s="271">
        <f>INDEX('qtrP&amp;L'!$78:$78,MATCH(BZ$7,'qtrP&amp;L'!$6:$6,0))</f>
        <v>54</v>
      </c>
      <c r="CA19" s="271">
        <f>INDEX('qtrP&amp;L'!$79:$79,MATCH(BZ$7,'qtrP&amp;L'!$6:$6,0))</f>
        <v>54</v>
      </c>
      <c r="CB19" s="271">
        <f>INDEX('qtrP&amp;L'!$80:$80,MATCH(BZ$7,'qtrP&amp;L'!$6:$6,0))</f>
        <v>145</v>
      </c>
      <c r="CC19" s="271">
        <f>INDEX('qtrP&amp;L'!$81:$81,MATCH(BZ$7,'qtrP&amp;L'!$6:$6,0))</f>
        <v>144</v>
      </c>
      <c r="CD19" s="271"/>
      <c r="CE19" s="271">
        <f>INDEX('qtrP&amp;L'!$78:$78,MATCH(CE$7,'qtrP&amp;L'!$6:$6,0))</f>
        <v>138</v>
      </c>
      <c r="CF19" s="271">
        <f>INDEX('qtrP&amp;L'!$79:$79,MATCH(CE$7,'qtrP&amp;L'!$6:$6,0))</f>
        <v>116</v>
      </c>
      <c r="CG19" s="271">
        <f>INDEX('qtrP&amp;L'!$80:$80,MATCH(CE$7,'qtrP&amp;L'!$6:$6,0))</f>
        <v>104</v>
      </c>
      <c r="CH19" s="271">
        <f>INDEX('qtrP&amp;L'!$81:$81,MATCH(CE$7,'qtrP&amp;L'!$6:$6,0))</f>
        <v>103</v>
      </c>
      <c r="CI19" s="271"/>
      <c r="CJ19" s="271">
        <f>INDEX('qtrP&amp;L'!$78:$78,MATCH(CJ$7,'qtrP&amp;L'!$6:$6,0))</f>
        <v>125</v>
      </c>
      <c r="CK19" s="271">
        <f>INDEX('qtrP&amp;L'!$79:$79,MATCH(CJ$7,'qtrP&amp;L'!$6:$6,0))</f>
        <v>137</v>
      </c>
      <c r="CL19" s="271">
        <f>INDEX('qtrP&amp;L'!$80:$80,MATCH(CJ$7,'qtrP&amp;L'!$6:$6,0))</f>
        <v>145</v>
      </c>
      <c r="CM19" s="271">
        <f>INDEX('qtrP&amp;L'!$81:$81,MATCH(CJ$7,'qtrP&amp;L'!$6:$6,0))</f>
        <v>136</v>
      </c>
      <c r="CN19" s="271"/>
      <c r="CO19" s="271">
        <f>INDEX('qtrP&amp;L'!$78:$78,MATCH(CO$7,'qtrP&amp;L'!$6:$6,0))</f>
        <v>136</v>
      </c>
      <c r="CP19" s="271">
        <f>INDEX('qtrP&amp;L'!$79:$79,MATCH(CO$7,'qtrP&amp;L'!$6:$6,0))</f>
        <v>138</v>
      </c>
      <c r="CQ19" s="271">
        <f>INDEX('qtrP&amp;L'!$80:$80,MATCH(CO$7,'qtrP&amp;L'!$6:$6,0))</f>
        <v>143</v>
      </c>
      <c r="CR19" s="271">
        <f>INDEX('qtrP&amp;L'!$81:$81,MATCH(CO$7,'qtrP&amp;L'!$6:$6,0))</f>
        <v>143</v>
      </c>
      <c r="CS19" s="271"/>
      <c r="CT19" s="271">
        <f>INDEX('qtrP&amp;L'!$78:$78,MATCH(CT$7,'qtrP&amp;L'!$6:$6,0))</f>
        <v>141</v>
      </c>
      <c r="CU19" s="271">
        <f>INDEX('qtrP&amp;L'!$79:$79,MATCH(CT$7,'qtrP&amp;L'!$6:$6,0))</f>
        <v>139</v>
      </c>
      <c r="CV19" s="271">
        <f>INDEX('qtrP&amp;L'!$80:$80,MATCH(CT$7,'qtrP&amp;L'!$6:$6,0))</f>
        <v>137</v>
      </c>
      <c r="CW19" s="271">
        <f>INDEX('qtrP&amp;L'!$81:$81,MATCH(CT$7,'qtrP&amp;L'!$6:$6,0))</f>
        <v>139</v>
      </c>
      <c r="CX19" s="271"/>
      <c r="CY19" s="271">
        <f>INDEX('qtrP&amp;L'!$78:$78,MATCH(CY$7,'qtrP&amp;L'!$6:$6,0))</f>
        <v>162</v>
      </c>
      <c r="CZ19" s="271">
        <f>INDEX('qtrP&amp;L'!$79:$79,MATCH(CY$7,'qtrP&amp;L'!$6:$6,0))</f>
        <v>130</v>
      </c>
      <c r="DA19" s="271">
        <f>INDEX('qtrP&amp;L'!$80:$80,MATCH(CY$7,'qtrP&amp;L'!$6:$6,0))</f>
        <v>164</v>
      </c>
      <c r="DB19" s="271">
        <f>INDEX('qtrP&amp;L'!$81:$81,MATCH(CY$7,'qtrP&amp;L'!$6:$6,0))</f>
        <v>118</v>
      </c>
      <c r="DC19" s="271"/>
      <c r="DD19" s="271">
        <f>INDEX('qtrP&amp;L'!$78:$78,MATCH(DD$7,'qtrP&amp;L'!$6:$6,0))</f>
        <v>116</v>
      </c>
      <c r="DE19" s="271">
        <f>INDEX('qtrP&amp;L'!$79:$79,MATCH(DD$7,'qtrP&amp;L'!$6:$6,0))</f>
        <v>111</v>
      </c>
      <c r="DF19" s="271">
        <f>INDEX('qtrP&amp;L'!$80:$80,MATCH(DD$7,'qtrP&amp;L'!$6:$6,0))</f>
        <v>108</v>
      </c>
      <c r="DG19" s="271">
        <f>INDEX('qtrP&amp;L'!$81:$81,MATCH(DD$7,'qtrP&amp;L'!$6:$6,0))</f>
        <v>108</v>
      </c>
      <c r="DH19" s="271"/>
      <c r="DI19" s="271">
        <f>INDEX('qtrP&amp;L'!$78:$78,MATCH(DI$7,'qtrP&amp;L'!$6:$6,0))</f>
        <v>112</v>
      </c>
      <c r="DJ19" s="271">
        <f>INDEX('qtrP&amp;L'!$79:$79,MATCH(DI$7,'qtrP&amp;L'!$6:$6,0))</f>
        <v>105</v>
      </c>
      <c r="DK19" s="271">
        <f>INDEX('qtrP&amp;L'!$80:$80,MATCH(DI$7,'qtrP&amp;L'!$6:$6,0))</f>
        <v>103</v>
      </c>
      <c r="DL19" s="271">
        <f>INDEX('qtrP&amp;L'!$81:$81,MATCH(DI$7,'qtrP&amp;L'!$6:$6,0))</f>
        <v>106</v>
      </c>
      <c r="DM19" s="271"/>
      <c r="DN19" s="271">
        <f>INDEX('qtrP&amp;L'!$78:$78,MATCH(DN$7,'qtrP&amp;L'!$6:$6,0))</f>
        <v>97</v>
      </c>
      <c r="DO19" s="271">
        <f>INDEX('qtrP&amp;L'!$79:$79,MATCH(DN$7,'qtrP&amp;L'!$6:$6,0))</f>
        <v>96</v>
      </c>
      <c r="DP19" s="271">
        <f>INDEX('qtrP&amp;L'!$80:$80,MATCH(DN$7,'qtrP&amp;L'!$6:$6,0))</f>
        <v>96</v>
      </c>
      <c r="DQ19" s="271">
        <f>INDEX('qtrP&amp;L'!$81:$81,MATCH(DN$7,'qtrP&amp;L'!$6:$6,0))</f>
        <v>99</v>
      </c>
      <c r="DR19" s="271"/>
      <c r="DS19" s="271">
        <f>INDEX('qtrP&amp;L'!$78:$78,MATCH(DS$7,'qtrP&amp;L'!$6:$6,0))</f>
        <v>100</v>
      </c>
      <c r="DT19" s="271">
        <f>INDEX('qtrP&amp;L'!$79:$79,MATCH(DS$7,'qtrP&amp;L'!$6:$6,0))</f>
        <v>100</v>
      </c>
      <c r="DU19" s="271">
        <f>INDEX('qtrP&amp;L'!$80:$80,MATCH(DS$7,'qtrP&amp;L'!$6:$6,0))</f>
        <v>96</v>
      </c>
      <c r="DV19" s="271">
        <f>INDEX('qtrP&amp;L'!$81:$81,MATCH(DS$7,'qtrP&amp;L'!$6:$6,0))</f>
        <v>97</v>
      </c>
      <c r="DW19" s="271"/>
      <c r="DX19" s="271">
        <f>INDEX('qtrP&amp;L'!$78:$78,MATCH(DX$7,'qtrP&amp;L'!$6:$6,0))</f>
        <v>95</v>
      </c>
      <c r="DY19" s="271">
        <f>INDEX('qtrP&amp;L'!$79:$79,MATCH(DX$7,'qtrP&amp;L'!$6:$6,0))</f>
        <v>93</v>
      </c>
      <c r="DZ19" s="271">
        <f>INDEX('qtrP&amp;L'!$80:$80,MATCH(DX$7,'qtrP&amp;L'!$6:$6,0))</f>
        <v>80</v>
      </c>
      <c r="EA19" s="271">
        <f>INDEX('qtrP&amp;L'!$81:$81,MATCH(DX$7,'qtrP&amp;L'!$6:$6,0))</f>
        <v>93</v>
      </c>
      <c r="EB19" s="261"/>
      <c r="EC19" s="271">
        <f>INDEX('qtrP&amp;L'!$78:$78,MATCH(EC$7,'qtrP&amp;L'!$6:$6,0))</f>
        <v>98</v>
      </c>
      <c r="ED19" s="271">
        <f>INDEX('qtrP&amp;L'!$79:$79,MATCH(EC$7,'qtrP&amp;L'!$6:$6,0))</f>
        <v>97</v>
      </c>
      <c r="EE19" s="271">
        <f>INDEX('qtrP&amp;L'!$80:$80,MATCH(EC$7,'qtrP&amp;L'!$6:$6,0))</f>
        <v>81</v>
      </c>
      <c r="EF19" s="271">
        <f>INDEX('qtrP&amp;L'!$81:$81,MATCH(EC$7,'qtrP&amp;L'!$6:$6,0))</f>
        <v>87</v>
      </c>
      <c r="EG19" s="261"/>
      <c r="EH19" s="271">
        <f>INDEX('qtrP&amp;L'!$78:$78,MATCH(EH$7,'qtrP&amp;L'!$6:$6,0))</f>
        <v>84</v>
      </c>
      <c r="EI19" s="271">
        <f>INDEX('qtrP&amp;L'!$79:$79,MATCH(EH$7,'qtrP&amp;L'!$6:$6,0))</f>
        <v>79</v>
      </c>
      <c r="EJ19" s="271">
        <f>INDEX('qtrP&amp;L'!$80:$80,MATCH(EH$7,'qtrP&amp;L'!$6:$6,0))</f>
        <v>74</v>
      </c>
      <c r="EK19" s="271">
        <f>INDEX('qtrP&amp;L'!$81:$81,MATCH(EH$7,'qtrP&amp;L'!$6:$6,0))</f>
        <v>73</v>
      </c>
      <c r="EL19" s="271"/>
      <c r="EM19" s="1404">
        <f>INDEX('qtrP&amp;L'!$78:$78,MATCH(EM$7,'qtrP&amp;L'!$6:$6,0))</f>
        <v>69</v>
      </c>
      <c r="EN19" s="1404">
        <f>INDEX('qtrP&amp;L'!$79:$79,MATCH(EM$7,'qtrP&amp;L'!$6:$6,0))</f>
        <v>64</v>
      </c>
      <c r="EO19" s="1404">
        <f>INDEX('qtrP&amp;L'!$80:$80,MATCH(EM$7,'qtrP&amp;L'!$6:$6,0))</f>
        <v>63</v>
      </c>
      <c r="EP19" s="1404">
        <f>INDEX('qtrP&amp;L'!$81:$81,MATCH(EM$7,'qtrP&amp;L'!$6:$6,0))</f>
        <v>59</v>
      </c>
      <c r="EQ19" s="262"/>
      <c r="ER19" s="316">
        <f>'yrP&amp;L'!F25</f>
        <v>197.85400000000001</v>
      </c>
      <c r="ES19" s="272">
        <f>'yrP&amp;L'!G25</f>
        <v>164.13899999999998</v>
      </c>
      <c r="ET19" s="272">
        <f>'yrP&amp;L'!H25</f>
        <v>199.44799999999998</v>
      </c>
      <c r="EU19" s="272">
        <f>'yrP&amp;L'!I25</f>
        <v>448</v>
      </c>
      <c r="EV19" s="272">
        <f>'yrP&amp;L'!J25</f>
        <v>413.26499999999999</v>
      </c>
      <c r="EW19" s="272"/>
      <c r="EX19" s="272">
        <f>'yrP&amp;L'!L25</f>
        <v>461</v>
      </c>
      <c r="EY19" s="272">
        <f>'yrP&amp;L'!M25</f>
        <v>451.76400000000001</v>
      </c>
      <c r="EZ19" s="272">
        <f>'yrP&amp;L'!N25</f>
        <v>383</v>
      </c>
      <c r="FA19" s="272">
        <f>'yrP&amp;L'!O25</f>
        <v>292</v>
      </c>
      <c r="FB19" s="272">
        <f>'yrP&amp;L'!P25</f>
        <v>307</v>
      </c>
      <c r="FC19" s="272">
        <f>'yrP&amp;L'!Q25</f>
        <v>321</v>
      </c>
      <c r="FD19" s="272">
        <f>'yrP&amp;L'!R25</f>
        <v>324</v>
      </c>
      <c r="FE19" s="272">
        <f>'yrP&amp;L'!S25</f>
        <v>295</v>
      </c>
      <c r="FF19" s="272">
        <f>'yrP&amp;L'!T25</f>
        <v>257</v>
      </c>
      <c r="FG19" s="272">
        <f>'yrP&amp;L'!U25</f>
        <v>225</v>
      </c>
      <c r="FH19" s="272">
        <f>'yrP&amp;L'!V25</f>
        <v>397</v>
      </c>
      <c r="FI19" s="316">
        <f>'yrP&amp;L'!W25</f>
        <v>461</v>
      </c>
      <c r="FJ19" s="272">
        <f>'yrP&amp;L'!X25</f>
        <v>543</v>
      </c>
      <c r="FK19" s="273">
        <f>'yrP&amp;L'!Y25</f>
        <v>560</v>
      </c>
      <c r="FL19" s="316">
        <f>'yrP&amp;L'!Z25</f>
        <v>556</v>
      </c>
      <c r="FM19" s="316">
        <f>'yrP&amp;L'!AA25</f>
        <v>574</v>
      </c>
      <c r="FN19" s="272">
        <f>'yrP&amp;L'!AB25</f>
        <v>443</v>
      </c>
      <c r="FO19" s="272">
        <f>'yrP&amp;L'!AC25</f>
        <v>422</v>
      </c>
      <c r="FP19" s="272">
        <f>'yrP&amp;L'!AD25</f>
        <v>388</v>
      </c>
      <c r="FQ19" s="272">
        <f>'yrP&amp;L'!AE25</f>
        <v>393</v>
      </c>
      <c r="FR19" s="272">
        <f>'yrP&amp;L'!AF25</f>
        <v>361</v>
      </c>
      <c r="FS19" s="272">
        <f>'yrP&amp;L'!AG25</f>
        <v>363</v>
      </c>
      <c r="FT19" s="1504">
        <f>'yrP&amp;L'!AH25</f>
        <v>310</v>
      </c>
      <c r="FU19" s="272">
        <f>'yrP&amp;L'!AI25</f>
        <v>255</v>
      </c>
      <c r="FV19" s="272">
        <f>'yrP&amp;L'!AJ25</f>
        <v>243</v>
      </c>
      <c r="FW19" s="273">
        <f>'yrP&amp;L'!AK25</f>
        <v>231</v>
      </c>
      <c r="FX19" s="272">
        <f>'yrP&amp;L'!AL25</f>
        <v>219</v>
      </c>
      <c r="FY19" s="272">
        <f>'yrP&amp;L'!AM25</f>
        <v>207</v>
      </c>
      <c r="FZ19" s="316"/>
      <c r="GA19" s="272"/>
      <c r="GJ19" s="261"/>
      <c r="GK19" s="261"/>
      <c r="GL19" s="431"/>
      <c r="GM19" s="431"/>
      <c r="GN19" s="431"/>
      <c r="GO19" s="261"/>
    </row>
    <row r="20" spans="1:197" outlineLevel="1" x14ac:dyDescent="0.2">
      <c r="A20" s="1495" t="s">
        <v>683</v>
      </c>
      <c r="B20" s="314"/>
      <c r="C20" s="271"/>
      <c r="D20" s="271"/>
      <c r="E20" s="271"/>
      <c r="F20" s="271"/>
      <c r="G20" s="271"/>
      <c r="H20" s="271"/>
      <c r="I20" s="271"/>
      <c r="J20" s="271"/>
      <c r="K20" s="271"/>
      <c r="L20" s="271"/>
      <c r="M20" s="271"/>
      <c r="N20" s="271"/>
      <c r="O20" s="271"/>
      <c r="P20" s="271"/>
      <c r="Q20" s="271"/>
      <c r="R20" s="271"/>
      <c r="S20" s="271"/>
      <c r="T20" s="271"/>
      <c r="U20" s="271"/>
      <c r="V20" s="271"/>
      <c r="W20" s="271"/>
      <c r="X20" s="271"/>
      <c r="Y20" s="271"/>
      <c r="Z20" s="271"/>
      <c r="AA20" s="271"/>
      <c r="AB20" s="271"/>
      <c r="AC20" s="271"/>
      <c r="AD20" s="271"/>
      <c r="AE20" s="271"/>
      <c r="AF20" s="271"/>
      <c r="AG20" s="271"/>
      <c r="AH20" s="271"/>
      <c r="AI20" s="271"/>
      <c r="AJ20" s="271"/>
      <c r="AK20" s="271"/>
      <c r="AL20" s="271"/>
      <c r="AM20" s="271"/>
      <c r="AN20" s="271"/>
      <c r="AO20" s="271"/>
      <c r="AP20" s="271"/>
      <c r="AQ20" s="271"/>
      <c r="AR20" s="271"/>
      <c r="AS20" s="271"/>
      <c r="AT20" s="271"/>
      <c r="AU20" s="271"/>
      <c r="AV20" s="271"/>
      <c r="AW20" s="271"/>
      <c r="AX20" s="271"/>
      <c r="AY20" s="271"/>
      <c r="AZ20" s="271"/>
      <c r="BA20" s="271"/>
      <c r="BB20" s="271"/>
      <c r="BC20" s="271"/>
      <c r="BD20" s="271"/>
      <c r="BE20" s="271"/>
      <c r="BF20" s="271"/>
      <c r="BG20" s="271"/>
      <c r="BH20" s="271"/>
      <c r="BI20" s="271"/>
      <c r="BJ20" s="271"/>
      <c r="BK20" s="271"/>
      <c r="BL20" s="271"/>
      <c r="BM20" s="271"/>
      <c r="BN20" s="271"/>
      <c r="BO20" s="271"/>
      <c r="BP20" s="271"/>
      <c r="BQ20" s="271"/>
      <c r="BR20" s="271"/>
      <c r="BS20" s="271"/>
      <c r="BT20" s="271"/>
      <c r="BU20" s="271"/>
      <c r="BV20" s="271"/>
      <c r="BW20" s="271"/>
      <c r="BX20" s="271"/>
      <c r="BY20" s="271"/>
      <c r="BZ20" s="271"/>
      <c r="CA20" s="271"/>
      <c r="CB20" s="271"/>
      <c r="CC20" s="271"/>
      <c r="CD20" s="271"/>
      <c r="CE20" s="271"/>
      <c r="CF20" s="271"/>
      <c r="CG20" s="271"/>
      <c r="CH20" s="271"/>
      <c r="CI20" s="271"/>
      <c r="CJ20" s="271"/>
      <c r="CK20" s="271"/>
      <c r="CL20" s="271"/>
      <c r="CM20" s="271"/>
      <c r="CN20" s="271"/>
      <c r="CO20" s="271"/>
      <c r="CP20" s="271"/>
      <c r="CQ20" s="271"/>
      <c r="CR20" s="271"/>
      <c r="CS20" s="271"/>
      <c r="CT20" s="271"/>
      <c r="CU20" s="271"/>
      <c r="CV20" s="271"/>
      <c r="CW20" s="271"/>
      <c r="CX20" s="271"/>
      <c r="CY20" s="271"/>
      <c r="CZ20" s="271"/>
      <c r="DA20" s="271"/>
      <c r="DB20" s="271"/>
      <c r="DC20" s="271"/>
      <c r="DD20" s="271"/>
      <c r="DE20" s="271"/>
      <c r="DF20" s="271"/>
      <c r="DG20" s="271"/>
      <c r="DH20" s="271"/>
      <c r="DI20" s="271"/>
      <c r="DJ20" s="271"/>
      <c r="DK20" s="271"/>
      <c r="DL20" s="271"/>
      <c r="DM20" s="271"/>
      <c r="DN20" s="271"/>
      <c r="DO20" s="271"/>
      <c r="DP20" s="271"/>
      <c r="DQ20" s="271"/>
      <c r="DR20" s="271"/>
      <c r="DS20" s="271"/>
      <c r="DT20" s="271"/>
      <c r="DU20" s="271"/>
      <c r="DV20" s="271"/>
      <c r="DW20" s="271"/>
      <c r="DX20" s="271"/>
      <c r="DY20" s="271"/>
      <c r="DZ20" s="271"/>
      <c r="EA20" s="271"/>
      <c r="EB20" s="261"/>
      <c r="EC20" s="271">
        <f>'qtrP&amp;L'!DH59</f>
        <v>11</v>
      </c>
      <c r="ED20" s="271">
        <f>'qtrP&amp;L'!DH60</f>
        <v>15</v>
      </c>
      <c r="EE20" s="271">
        <f>'qtrP&amp;L'!DH61</f>
        <v>14</v>
      </c>
      <c r="EF20" s="271">
        <f>'qtrP&amp;L'!DH62</f>
        <v>15</v>
      </c>
      <c r="EG20" s="261"/>
      <c r="EH20" s="271">
        <f>'qtrP&amp;L'!DL59</f>
        <v>13</v>
      </c>
      <c r="EI20" s="271">
        <f>'qtrP&amp;L'!DL60</f>
        <v>14</v>
      </c>
      <c r="EJ20" s="271">
        <f>'qtrP&amp;L'!DL61</f>
        <v>16</v>
      </c>
      <c r="EK20" s="271">
        <f>'qtrP&amp;L'!DL62</f>
        <v>14</v>
      </c>
      <c r="EL20" s="271"/>
      <c r="EM20" s="1404">
        <f>'qtrP&amp;L'!DP59</f>
        <v>11</v>
      </c>
      <c r="EN20" s="1404">
        <f>'qtrP&amp;L'!DP60</f>
        <v>11</v>
      </c>
      <c r="EO20" s="1404">
        <f>'qtrP&amp;L'!DP61</f>
        <v>12</v>
      </c>
      <c r="EP20" s="1404">
        <f>'qtrP&amp;L'!DP62</f>
        <v>11</v>
      </c>
      <c r="EQ20" s="262"/>
      <c r="ER20" s="316"/>
      <c r="ES20" s="272"/>
      <c r="ET20" s="272"/>
      <c r="EU20" s="272"/>
      <c r="EV20" s="272"/>
      <c r="EW20" s="272"/>
      <c r="EX20" s="272"/>
      <c r="EY20" s="272"/>
      <c r="EZ20" s="272"/>
      <c r="FA20" s="272"/>
      <c r="FB20" s="272"/>
      <c r="FC20" s="272"/>
      <c r="FD20" s="272"/>
      <c r="FE20" s="272"/>
      <c r="FF20" s="272"/>
      <c r="FG20" s="272"/>
      <c r="FH20" s="272"/>
      <c r="FI20" s="316"/>
      <c r="FJ20" s="272"/>
      <c r="FK20" s="273"/>
      <c r="FL20" s="316"/>
      <c r="FM20" s="316"/>
      <c r="FN20" s="272"/>
      <c r="FO20" s="272"/>
      <c r="FP20" s="272"/>
      <c r="FQ20" s="272"/>
      <c r="FR20" s="272"/>
      <c r="FS20" s="272">
        <f>'yrP&amp;L'!AG28</f>
        <v>55</v>
      </c>
      <c r="FT20" s="1504">
        <f>'yrP&amp;L'!AH28</f>
        <v>57</v>
      </c>
      <c r="FU20" s="272">
        <f>'yrP&amp;L'!AI28</f>
        <v>45</v>
      </c>
      <c r="FV20" s="272">
        <f>'yrP&amp;L'!AJ28</f>
        <v>45</v>
      </c>
      <c r="FW20" s="273">
        <f>'yrP&amp;L'!AK28</f>
        <v>45</v>
      </c>
      <c r="FX20" s="272">
        <f>'yrP&amp;L'!AL28</f>
        <v>45</v>
      </c>
      <c r="FY20" s="272">
        <f>'yrP&amp;L'!AM28</f>
        <v>45</v>
      </c>
      <c r="FZ20" s="316"/>
      <c r="GA20" s="272"/>
      <c r="GJ20" s="261"/>
      <c r="GK20" s="261"/>
      <c r="GL20" s="431"/>
      <c r="GM20" s="431"/>
      <c r="GN20" s="431"/>
      <c r="GO20" s="261"/>
    </row>
    <row r="21" spans="1:197" outlineLevel="1" x14ac:dyDescent="0.2">
      <c r="A21" s="1495" t="s">
        <v>686</v>
      </c>
      <c r="B21" s="314"/>
      <c r="C21" s="271"/>
      <c r="D21" s="271"/>
      <c r="E21" s="271"/>
      <c r="F21" s="271"/>
      <c r="G21" s="271"/>
      <c r="H21" s="271"/>
      <c r="I21" s="271"/>
      <c r="J21" s="271"/>
      <c r="K21" s="271"/>
      <c r="L21" s="271"/>
      <c r="M21" s="271"/>
      <c r="N21" s="271"/>
      <c r="O21" s="271"/>
      <c r="P21" s="271"/>
      <c r="Q21" s="271"/>
      <c r="R21" s="271"/>
      <c r="S21" s="271"/>
      <c r="T21" s="271"/>
      <c r="U21" s="271"/>
      <c r="V21" s="271"/>
      <c r="W21" s="271"/>
      <c r="X21" s="271"/>
      <c r="Y21" s="271"/>
      <c r="Z21" s="271"/>
      <c r="AA21" s="271"/>
      <c r="AB21" s="271"/>
      <c r="AC21" s="271"/>
      <c r="AD21" s="271"/>
      <c r="AE21" s="271"/>
      <c r="AF21" s="271"/>
      <c r="AG21" s="271"/>
      <c r="AH21" s="271"/>
      <c r="AI21" s="271"/>
      <c r="AJ21" s="271"/>
      <c r="AK21" s="271"/>
      <c r="AL21" s="271"/>
      <c r="AM21" s="271"/>
      <c r="AN21" s="271"/>
      <c r="AO21" s="271"/>
      <c r="AP21" s="271"/>
      <c r="AQ21" s="271"/>
      <c r="AR21" s="271"/>
      <c r="AS21" s="271"/>
      <c r="AT21" s="271"/>
      <c r="AU21" s="271"/>
      <c r="AV21" s="271"/>
      <c r="AW21" s="271"/>
      <c r="AX21" s="271"/>
      <c r="AY21" s="271"/>
      <c r="AZ21" s="271"/>
      <c r="BA21" s="271"/>
      <c r="BB21" s="271"/>
      <c r="BC21" s="271"/>
      <c r="BD21" s="271"/>
      <c r="BE21" s="271"/>
      <c r="BF21" s="271"/>
      <c r="BG21" s="271"/>
      <c r="BH21" s="271"/>
      <c r="BI21" s="271"/>
      <c r="BJ21" s="271"/>
      <c r="BK21" s="271"/>
      <c r="BL21" s="271"/>
      <c r="BM21" s="271"/>
      <c r="BN21" s="271"/>
      <c r="BO21" s="271"/>
      <c r="BP21" s="271"/>
      <c r="BQ21" s="271"/>
      <c r="BR21" s="271"/>
      <c r="BS21" s="271"/>
      <c r="BT21" s="271"/>
      <c r="BU21" s="271"/>
      <c r="BV21" s="271"/>
      <c r="BW21" s="271"/>
      <c r="BX21" s="271"/>
      <c r="BY21" s="271"/>
      <c r="BZ21" s="271"/>
      <c r="CA21" s="271"/>
      <c r="CB21" s="271"/>
      <c r="CC21" s="271"/>
      <c r="CD21" s="271"/>
      <c r="CE21" s="271"/>
      <c r="CF21" s="271"/>
      <c r="CG21" s="271"/>
      <c r="CH21" s="271"/>
      <c r="CI21" s="271"/>
      <c r="CJ21" s="271"/>
      <c r="CK21" s="271"/>
      <c r="CL21" s="271"/>
      <c r="CM21" s="271"/>
      <c r="CN21" s="271"/>
      <c r="CO21" s="271"/>
      <c r="CP21" s="271"/>
      <c r="CQ21" s="271"/>
      <c r="CR21" s="271"/>
      <c r="CS21" s="271"/>
      <c r="CT21" s="271"/>
      <c r="CU21" s="271"/>
      <c r="CV21" s="271"/>
      <c r="CW21" s="271"/>
      <c r="CX21" s="271"/>
      <c r="CY21" s="271"/>
      <c r="CZ21" s="271"/>
      <c r="DA21" s="271"/>
      <c r="DB21" s="271"/>
      <c r="DC21" s="271"/>
      <c r="DD21" s="271"/>
      <c r="DE21" s="271"/>
      <c r="DF21" s="271"/>
      <c r="DG21" s="271"/>
      <c r="DH21" s="271"/>
      <c r="DI21" s="271"/>
      <c r="DJ21" s="271"/>
      <c r="DK21" s="271"/>
      <c r="DL21" s="271"/>
      <c r="DM21" s="271"/>
      <c r="DN21" s="271"/>
      <c r="DO21" s="271"/>
      <c r="DP21" s="271"/>
      <c r="DQ21" s="271"/>
      <c r="DR21" s="271"/>
      <c r="DS21" s="271"/>
      <c r="DT21" s="271"/>
      <c r="DU21" s="271"/>
      <c r="DV21" s="271"/>
      <c r="DW21" s="271"/>
      <c r="DX21" s="271"/>
      <c r="DY21" s="271"/>
      <c r="DZ21" s="271"/>
      <c r="EA21" s="271"/>
      <c r="EB21" s="261"/>
      <c r="EC21" s="271"/>
      <c r="ED21" s="271"/>
      <c r="EE21" s="271"/>
      <c r="EF21" s="271"/>
      <c r="EG21" s="261"/>
      <c r="EH21" s="271"/>
      <c r="EI21" s="271"/>
      <c r="EJ21" s="271"/>
      <c r="EK21" s="271"/>
      <c r="EL21" s="271"/>
      <c r="EM21" s="1404"/>
      <c r="EN21" s="1404"/>
      <c r="EO21" s="1404"/>
      <c r="EP21" s="1404"/>
      <c r="EQ21" s="262"/>
      <c r="ER21" s="316"/>
      <c r="ES21" s="272"/>
      <c r="ET21" s="272"/>
      <c r="EU21" s="272"/>
      <c r="EV21" s="272"/>
      <c r="EW21" s="272"/>
      <c r="EX21" s="272"/>
      <c r="EY21" s="272"/>
      <c r="EZ21" s="272"/>
      <c r="FA21" s="272"/>
      <c r="FB21" s="272"/>
      <c r="FC21" s="272"/>
      <c r="FD21" s="272"/>
      <c r="FE21" s="272"/>
      <c r="FF21" s="272"/>
      <c r="FG21" s="272"/>
      <c r="FH21" s="272"/>
      <c r="FI21" s="316"/>
      <c r="FJ21" s="272"/>
      <c r="FK21" s="273"/>
      <c r="FL21" s="316"/>
      <c r="FM21" s="316"/>
      <c r="FN21" s="272"/>
      <c r="FO21" s="272"/>
      <c r="FP21" s="272"/>
      <c r="FQ21" s="272"/>
      <c r="FR21" s="272"/>
      <c r="FS21" s="272">
        <f>'yrP&amp;L'!AG30</f>
        <v>98</v>
      </c>
      <c r="FT21" s="1504">
        <f>'yrP&amp;L'!AH30</f>
        <v>105</v>
      </c>
      <c r="FU21" s="272">
        <f>'yrP&amp;L'!AI30</f>
        <v>0</v>
      </c>
      <c r="FV21" s="272">
        <f>'yrP&amp;L'!AJ30</f>
        <v>0</v>
      </c>
      <c r="FW21" s="272">
        <f>'yrP&amp;L'!AK30</f>
        <v>0</v>
      </c>
      <c r="FX21" s="272">
        <f>'yrP&amp;L'!AL30</f>
        <v>0</v>
      </c>
      <c r="FY21" s="272">
        <f>'yrP&amp;L'!AM30</f>
        <v>0</v>
      </c>
      <c r="FZ21" s="316"/>
      <c r="GA21" s="272"/>
      <c r="GJ21" s="261"/>
      <c r="GK21" s="261"/>
      <c r="GL21" s="431"/>
      <c r="GM21" s="431"/>
      <c r="GN21" s="431"/>
      <c r="GO21" s="261"/>
    </row>
    <row r="22" spans="1:197" outlineLevel="1" x14ac:dyDescent="0.2">
      <c r="A22" s="270" t="s">
        <v>408</v>
      </c>
      <c r="B22" s="314"/>
      <c r="C22" s="271">
        <f>INDEX('qtrP&amp;L'!$88:$88,MATCH(C$6,'qtrP&amp;L'!$6:$6,0))</f>
        <v>0</v>
      </c>
      <c r="D22" s="271">
        <f>INDEX('qtrP&amp;L'!$89:$89,MATCH(C$6,'qtrP&amp;L'!$6:$6,0))</f>
        <v>0</v>
      </c>
      <c r="E22" s="271">
        <f>INDEX('qtrP&amp;L'!$90:$90,MATCH(C$6,'qtrP&amp;L'!$6:$6,0))</f>
        <v>0</v>
      </c>
      <c r="F22" s="271">
        <f>INDEX('qtrP&amp;L'!$91:$91,MATCH(C$6,'qtrP&amp;L'!$6:$6,0))</f>
        <v>0</v>
      </c>
      <c r="G22" s="271"/>
      <c r="H22" s="271">
        <f>INDEX('qtrP&amp;L'!$88:$88,MATCH(H$6,'qtrP&amp;L'!$6:$6,0))</f>
        <v>0</v>
      </c>
      <c r="I22" s="271">
        <f>INDEX('qtrP&amp;L'!$89:$89,MATCH(H$6,'qtrP&amp;L'!$6:$6,0))</f>
        <v>0</v>
      </c>
      <c r="J22" s="271">
        <f>INDEX('qtrP&amp;L'!$90:$90,MATCH(H$6,'qtrP&amp;L'!$6:$6,0))</f>
        <v>0</v>
      </c>
      <c r="K22" s="271">
        <f>INDEX('qtrP&amp;L'!$91:$91,MATCH(H$6,'qtrP&amp;L'!$6:$6,0))</f>
        <v>10.055999999999999</v>
      </c>
      <c r="L22" s="271"/>
      <c r="M22" s="271">
        <f>INDEX('qtrP&amp;L'!$88:$88,MATCH(M$6,'qtrP&amp;L'!$6:$6,0))</f>
        <v>4.4000000000000004</v>
      </c>
      <c r="N22" s="271">
        <f>INDEX('qtrP&amp;L'!$89:$89,MATCH(M$6,'qtrP&amp;L'!$6:$6,0))</f>
        <v>4.4000000000000004</v>
      </c>
      <c r="O22" s="271">
        <f>INDEX('qtrP&amp;L'!$90:$90,MATCH(M$6,'qtrP&amp;L'!$6:$6,0))</f>
        <v>11.3</v>
      </c>
      <c r="P22" s="271">
        <f>INDEX('qtrP&amp;L'!$91:$91,MATCH(M$6,'qtrP&amp;L'!$6:$6,0))</f>
        <v>-11.526999999999999</v>
      </c>
      <c r="Q22" s="271"/>
      <c r="R22" s="271">
        <f>INDEX('qtrP&amp;L'!$88:$88,MATCH(R$6,'qtrP&amp;L'!$6:$6,0))</f>
        <v>3.85</v>
      </c>
      <c r="S22" s="271">
        <f>INDEX('qtrP&amp;L'!$89:$89,MATCH(R$6,'qtrP&amp;L'!$6:$6,0))</f>
        <v>3.6749999999999998</v>
      </c>
      <c r="T22" s="271">
        <f>INDEX('qtrP&amp;L'!$90:$90,MATCH(R$6,'qtrP&amp;L'!$6:$6,0))</f>
        <v>4.375</v>
      </c>
      <c r="U22" s="271">
        <f>INDEX('qtrP&amp;L'!$91:$91,MATCH(R$6,'qtrP&amp;L'!$6:$6,0))</f>
        <v>-9.1760000000000002</v>
      </c>
      <c r="V22" s="271"/>
      <c r="W22" s="271">
        <f>INDEX('qtrP&amp;L'!$88:$88,MATCH(W$6,'qtrP&amp;L'!$6:$6,0))</f>
        <v>5.2009999999999996</v>
      </c>
      <c r="X22" s="271">
        <f>INDEX('qtrP&amp;L'!$89:$89,MATCH(W$6,'qtrP&amp;L'!$6:$6,0))</f>
        <v>0.60399999999999998</v>
      </c>
      <c r="Y22" s="271">
        <f>INDEX('qtrP&amp;L'!$90:$90,MATCH(W$6,'qtrP&amp;L'!$6:$6,0))</f>
        <v>3.375</v>
      </c>
      <c r="Z22" s="271">
        <f>INDEX('qtrP&amp;L'!$91:$91,MATCH(W$6,'qtrP&amp;L'!$6:$6,0))</f>
        <v>-20.451000000000001</v>
      </c>
      <c r="AA22" s="271"/>
      <c r="AB22" s="271">
        <f>INDEX('qtrP&amp;L'!$88:$88,MATCH(AB$6,'qtrP&amp;L'!$6:$6,0))</f>
        <v>1.7609999999999999</v>
      </c>
      <c r="AC22" s="271">
        <f>INDEX('qtrP&amp;L'!$89:$89,MATCH(AB$6,'qtrP&amp;L'!$6:$6,0))</f>
        <v>0</v>
      </c>
      <c r="AD22" s="271">
        <f>INDEX('qtrP&amp;L'!$90:$90,MATCH(AB$6,'qtrP&amp;L'!$6:$6,0))</f>
        <v>0</v>
      </c>
      <c r="AE22" s="271">
        <f>INDEX('qtrP&amp;L'!$91:$91,MATCH(AB$6,'qtrP&amp;L'!$6:$6,0))</f>
        <v>-2</v>
      </c>
      <c r="AF22" s="271"/>
      <c r="AG22" s="271">
        <f>INDEX('qtrP&amp;L'!$88:$88,MATCH(AG$6,'qtrP&amp;L'!$6:$6,0))</f>
        <v>0</v>
      </c>
      <c r="AH22" s="271">
        <f>INDEX('qtrP&amp;L'!$89:$89,MATCH(AG$6,'qtrP&amp;L'!$6:$6,0))</f>
        <v>0</v>
      </c>
      <c r="AI22" s="271">
        <f>INDEX('qtrP&amp;L'!$90:$90,MATCH(AG$6,'qtrP&amp;L'!$6:$6,0))</f>
        <v>0</v>
      </c>
      <c r="AJ22" s="271">
        <f>INDEX('qtrP&amp;L'!$91:$91,MATCH(AG$6,'qtrP&amp;L'!$6:$6,0))</f>
        <v>0</v>
      </c>
      <c r="AK22" s="271"/>
      <c r="AL22" s="271">
        <f>INDEX('qtrP&amp;L'!$88:$88,MATCH(AL$6,'qtrP&amp;L'!$6:$6,0))</f>
        <v>0</v>
      </c>
      <c r="AM22" s="271">
        <f>INDEX('qtrP&amp;L'!$89:$89,MATCH(AL$6,'qtrP&amp;L'!$6:$6,0))</f>
        <v>0</v>
      </c>
      <c r="AN22" s="271">
        <f>INDEX('qtrP&amp;L'!$90:$90,MATCH(AL$6,'qtrP&amp;L'!$6:$6,0))</f>
        <v>0</v>
      </c>
      <c r="AO22" s="271">
        <f>INDEX('qtrP&amp;L'!$91:$91,MATCH(AL$6,'qtrP&amp;L'!$6:$6,0))</f>
        <v>0</v>
      </c>
      <c r="AP22" s="271"/>
      <c r="AQ22" s="271">
        <f>INDEX('qtrP&amp;L'!$88:$88,MATCH(AQ$6,'qtrP&amp;L'!$6:$6,0))</f>
        <v>0</v>
      </c>
      <c r="AR22" s="271">
        <f>INDEX('qtrP&amp;L'!$89:$89,MATCH(AQ$6,'qtrP&amp;L'!$6:$6,0))</f>
        <v>0</v>
      </c>
      <c r="AS22" s="271">
        <f>INDEX('qtrP&amp;L'!$90:$90,MATCH(AQ$6,'qtrP&amp;L'!$6:$6,0))</f>
        <v>0</v>
      </c>
      <c r="AT22" s="271">
        <f>INDEX('qtrP&amp;L'!$91:$91,MATCH(AQ$6,'qtrP&amp;L'!$6:$6,0))</f>
        <v>0</v>
      </c>
      <c r="AU22" s="271"/>
      <c r="AV22" s="271">
        <f>INDEX('qtrP&amp;L'!$88:$88,MATCH(AV$6,'qtrP&amp;L'!$6:$6,0))</f>
        <v>0</v>
      </c>
      <c r="AW22" s="271">
        <f>INDEX('qtrP&amp;L'!$89:$89,MATCH(AV$6,'qtrP&amp;L'!$6:$6,0))</f>
        <v>0</v>
      </c>
      <c r="AX22" s="271">
        <f>INDEX('qtrP&amp;L'!$90:$90,MATCH(AV$6,'qtrP&amp;L'!$6:$6,0))</f>
        <v>0</v>
      </c>
      <c r="AY22" s="271">
        <f>INDEX('qtrP&amp;L'!$91:$91,MATCH(AV$6,'qtrP&amp;L'!$6:$6,0))</f>
        <v>0</v>
      </c>
      <c r="AZ22" s="271"/>
      <c r="BA22" s="271">
        <f>INDEX('qtrP&amp;L'!$88:$88,MATCH(BA$6,'qtrP&amp;L'!$6:$6,0))</f>
        <v>0</v>
      </c>
      <c r="BB22" s="271">
        <f>INDEX('qtrP&amp;L'!$89:$89,MATCH(BA$6,'qtrP&amp;L'!$6:$6,0))</f>
        <v>0</v>
      </c>
      <c r="BC22" s="271">
        <f>INDEX('qtrP&amp;L'!$90:$90,MATCH(BA$6,'qtrP&amp;L'!$6:$6,0))</f>
        <v>0</v>
      </c>
      <c r="BD22" s="271">
        <f>INDEX('qtrP&amp;L'!$91:$91,MATCH(BA$6,'qtrP&amp;L'!$6:$6,0))</f>
        <v>0</v>
      </c>
      <c r="BE22" s="271"/>
      <c r="BF22" s="271">
        <f>INDEX('qtrP&amp;L'!$88:$88,MATCH(BF$6,'qtrP&amp;L'!$6:$6,0))</f>
        <v>0</v>
      </c>
      <c r="BG22" s="271">
        <f>INDEX('qtrP&amp;L'!$89:$89,MATCH(BF$6,'qtrP&amp;L'!$6:$6,0))</f>
        <v>0</v>
      </c>
      <c r="BH22" s="271">
        <f>INDEX('qtrP&amp;L'!$90:$90,MATCH(BF$6,'qtrP&amp;L'!$6:$6,0))</f>
        <v>0</v>
      </c>
      <c r="BI22" s="271">
        <f>INDEX('qtrP&amp;L'!$91:$91,MATCH(BF$6,'qtrP&amp;L'!$6:$6,0))</f>
        <v>0</v>
      </c>
      <c r="BJ22" s="271"/>
      <c r="BK22" s="271">
        <f>INDEX('qtrP&amp;L'!$88:$88,MATCH(BK$6,'qtrP&amp;L'!$6:$6,0))</f>
        <v>0</v>
      </c>
      <c r="BL22" s="271">
        <f>INDEX('qtrP&amp;L'!$89:$89,MATCH(BK$6,'qtrP&amp;L'!$6:$6,0))</f>
        <v>0</v>
      </c>
      <c r="BM22" s="271">
        <f>INDEX('qtrP&amp;L'!$90:$90,MATCH(BK$6,'qtrP&amp;L'!$6:$6,0))</f>
        <v>0</v>
      </c>
      <c r="BN22" s="271">
        <f>INDEX('qtrP&amp;L'!$91:$91,MATCH(BK$6,'qtrP&amp;L'!$6:$6,0))</f>
        <v>0</v>
      </c>
      <c r="BO22" s="271"/>
      <c r="BP22" s="271">
        <f>INDEX('qtrP&amp;L'!$88:$88,MATCH(BP$6,'qtrP&amp;L'!$6:$6,0))</f>
        <v>0</v>
      </c>
      <c r="BQ22" s="271">
        <f>INDEX('qtrP&amp;L'!$89:$89,MATCH(BP$6,'qtrP&amp;L'!$6:$6,0))</f>
        <v>0</v>
      </c>
      <c r="BR22" s="271">
        <f>INDEX('qtrP&amp;L'!$90:$90,MATCH(BP$6,'qtrP&amp;L'!$6:$6,0))</f>
        <v>0</v>
      </c>
      <c r="BS22" s="271">
        <f>INDEX('qtrP&amp;L'!$91:$91,MATCH(BP$6,'qtrP&amp;L'!$6:$6,0))</f>
        <v>0</v>
      </c>
      <c r="BT22" s="271"/>
      <c r="BU22" s="271">
        <f>INDEX('qtrP&amp;L'!$88:$88,MATCH(BU$6,'qtrP&amp;L'!$6:$6,0))</f>
        <v>0</v>
      </c>
      <c r="BV22" s="271">
        <f>INDEX('qtrP&amp;L'!$89:$89,MATCH(BU$6,'qtrP&amp;L'!$6:$6,0))</f>
        <v>0</v>
      </c>
      <c r="BW22" s="271">
        <f>INDEX('qtrP&amp;L'!$90:$90,MATCH(BU$6,'qtrP&amp;L'!$6:$6,0))</f>
        <v>0</v>
      </c>
      <c r="BX22" s="271">
        <f>INDEX('qtrP&amp;L'!$91:$91,MATCH(BU$6,'qtrP&amp;L'!$6:$6,0))</f>
        <v>0</v>
      </c>
      <c r="BY22" s="271"/>
      <c r="BZ22" s="271">
        <f>INDEX('qtrP&amp;L'!$88:$88,MATCH(BZ$6,'qtrP&amp;L'!$6:$6,0))</f>
        <v>0</v>
      </c>
      <c r="CA22" s="271">
        <f>INDEX('qtrP&amp;L'!$89:$89,MATCH(BZ$6,'qtrP&amp;L'!$6:$6,0))</f>
        <v>0</v>
      </c>
      <c r="CB22" s="271">
        <f>INDEX('qtrP&amp;L'!$90:$90,MATCH(BZ$6,'qtrP&amp;L'!$6:$6,0))</f>
        <v>0</v>
      </c>
      <c r="CC22" s="271">
        <f>INDEX('qtrP&amp;L'!$91:$91,MATCH(BZ$6,'qtrP&amp;L'!$6:$6,0))</f>
        <v>0</v>
      </c>
      <c r="CD22" s="271"/>
      <c r="CE22" s="271">
        <f>INDEX('qtrP&amp;L'!$88:$88,MATCH(CE$6,'qtrP&amp;L'!$6:$6,0))</f>
        <v>0</v>
      </c>
      <c r="CF22" s="271">
        <f>INDEX('qtrP&amp;L'!$89:$89,MATCH(CE$6,'qtrP&amp;L'!$6:$6,0))</f>
        <v>0</v>
      </c>
      <c r="CG22" s="271">
        <f>INDEX('qtrP&amp;L'!$90:$90,MATCH(CE$6,'qtrP&amp;L'!$6:$6,0))</f>
        <v>0</v>
      </c>
      <c r="CH22" s="271">
        <f>INDEX('qtrP&amp;L'!$91:$91,MATCH(CE$6,'qtrP&amp;L'!$6:$6,0))</f>
        <v>0</v>
      </c>
      <c r="CI22" s="271"/>
      <c r="CJ22" s="271">
        <f>INDEX('qtrP&amp;L'!$88:$88,MATCH(CJ$6,'qtrP&amp;L'!$6:$6,0))</f>
        <v>0</v>
      </c>
      <c r="CK22" s="271">
        <f>INDEX('qtrP&amp;L'!$89:$89,MATCH(CJ$6,'qtrP&amp;L'!$6:$6,0))</f>
        <v>0</v>
      </c>
      <c r="CL22" s="271">
        <f>INDEX('qtrP&amp;L'!$90:$90,MATCH(CJ$6,'qtrP&amp;L'!$6:$6,0))</f>
        <v>0</v>
      </c>
      <c r="CM22" s="271">
        <f>INDEX('qtrP&amp;L'!$91:$91,MATCH(CJ$6,'qtrP&amp;L'!$6:$6,0))</f>
        <v>0</v>
      </c>
      <c r="CN22" s="271"/>
      <c r="CO22" s="271">
        <f>INDEX('qtrP&amp;L'!$88:$88,MATCH(CO$6,'qtrP&amp;L'!$6:$6,0))</f>
        <v>0</v>
      </c>
      <c r="CP22" s="271">
        <f>INDEX('qtrP&amp;L'!$89:$89,MATCH(CO$6,'qtrP&amp;L'!$6:$6,0))</f>
        <v>0</v>
      </c>
      <c r="CQ22" s="271">
        <f>INDEX('qtrP&amp;L'!$90:$90,MATCH(CO$6,'qtrP&amp;L'!$6:$6,0))</f>
        <v>0</v>
      </c>
      <c r="CR22" s="271">
        <f>INDEX('qtrP&amp;L'!$91:$91,MATCH(CO$6,'qtrP&amp;L'!$6:$6,0))</f>
        <v>0</v>
      </c>
      <c r="CS22" s="271"/>
      <c r="CT22" s="271">
        <f>INDEX('qtrP&amp;L'!$88:$88,MATCH(CT$6,'qtrP&amp;L'!$6:$6,0))</f>
        <v>0</v>
      </c>
      <c r="CU22" s="271">
        <f>INDEX('qtrP&amp;L'!$89:$89,MATCH(CT$6,'qtrP&amp;L'!$6:$6,0))</f>
        <v>0</v>
      </c>
      <c r="CV22" s="271">
        <f>INDEX('qtrP&amp;L'!$90:$90,MATCH(CT$6,'qtrP&amp;L'!$6:$6,0))</f>
        <v>0</v>
      </c>
      <c r="CW22" s="271">
        <f>INDEX('qtrP&amp;L'!$91:$91,MATCH(CT$6,'qtrP&amp;L'!$6:$6,0))</f>
        <v>0</v>
      </c>
      <c r="CX22" s="271"/>
      <c r="CY22" s="271">
        <f>INDEX('qtrP&amp;L'!$88:$88,MATCH(CY$6,'qtrP&amp;L'!$6:$6,0))</f>
        <v>0</v>
      </c>
      <c r="CZ22" s="271">
        <f>INDEX('qtrP&amp;L'!$89:$89,MATCH(CY$6,'qtrP&amp;L'!$6:$6,0))</f>
        <v>0</v>
      </c>
      <c r="DA22" s="271">
        <f>INDEX('qtrP&amp;L'!$90:$90,MATCH(CY$6,'qtrP&amp;L'!$6:$6,0))</f>
        <v>0</v>
      </c>
      <c r="DB22" s="271">
        <f>INDEX('qtrP&amp;L'!$91:$91,MATCH(CY$6,'qtrP&amp;L'!$6:$6,0))</f>
        <v>0</v>
      </c>
      <c r="DC22" s="271"/>
      <c r="DD22" s="271">
        <f>INDEX('qtrP&amp;L'!$88:$88,MATCH(DD$6,'qtrP&amp;L'!$6:$6,0))</f>
        <v>0</v>
      </c>
      <c r="DE22" s="271">
        <f>INDEX('qtrP&amp;L'!$89:$89,MATCH(DD$6,'qtrP&amp;L'!$6:$6,0))</f>
        <v>0</v>
      </c>
      <c r="DF22" s="271">
        <f>INDEX('qtrP&amp;L'!$90:$90,MATCH(DD$6,'qtrP&amp;L'!$6:$6,0))</f>
        <v>0</v>
      </c>
      <c r="DG22" s="271">
        <f>INDEX('qtrP&amp;L'!$91:$91,MATCH(DD$6,'qtrP&amp;L'!$6:$6,0))</f>
        <v>0</v>
      </c>
      <c r="DH22" s="271"/>
      <c r="DI22" s="271">
        <f>INDEX('qtrP&amp;L'!$88:$88,MATCH(DI$6,'qtrP&amp;L'!$6:$6,0))</f>
        <v>0</v>
      </c>
      <c r="DJ22" s="271">
        <f>INDEX('qtrP&amp;L'!$89:$89,MATCH(DI$6,'qtrP&amp;L'!$6:$6,0))</f>
        <v>0</v>
      </c>
      <c r="DK22" s="271">
        <f>INDEX('qtrP&amp;L'!$90:$90,MATCH(DI$6,'qtrP&amp;L'!$6:$6,0))</f>
        <v>0</v>
      </c>
      <c r="DL22" s="271">
        <f>INDEX('qtrP&amp;L'!$91:$91,MATCH(DI$6,'qtrP&amp;L'!$6:$6,0))</f>
        <v>0</v>
      </c>
      <c r="DM22" s="271"/>
      <c r="DN22" s="271">
        <f>INDEX('qtrP&amp;L'!$88:$88,MATCH(DN$6,'qtrP&amp;L'!$6:$6,0))</f>
        <v>0</v>
      </c>
      <c r="DO22" s="271">
        <f>INDEX('qtrP&amp;L'!$89:$89,MATCH(DN$6,'qtrP&amp;L'!$6:$6,0))</f>
        <v>0</v>
      </c>
      <c r="DP22" s="271">
        <f>INDEX('qtrP&amp;L'!$90:$90,MATCH(DN$6,'qtrP&amp;L'!$6:$6,0))</f>
        <v>0</v>
      </c>
      <c r="DQ22" s="271">
        <f>INDEX('qtrP&amp;L'!$91:$91,MATCH(DN$6,'qtrP&amp;L'!$6:$6,0))</f>
        <v>0</v>
      </c>
      <c r="DR22" s="271"/>
      <c r="DS22" s="271">
        <f>INDEX('qtrP&amp;L'!$88:$88,MATCH(DS$6,'qtrP&amp;L'!$6:$6,0))</f>
        <v>0</v>
      </c>
      <c r="DT22" s="271">
        <f>INDEX('qtrP&amp;L'!$89:$89,MATCH(DS$6,'qtrP&amp;L'!$6:$6,0))</f>
        <v>0</v>
      </c>
      <c r="DU22" s="271">
        <f>INDEX('qtrP&amp;L'!$90:$90,MATCH(DS$6,'qtrP&amp;L'!$6:$6,0))</f>
        <v>0</v>
      </c>
      <c r="DV22" s="271">
        <f>INDEX('qtrP&amp;L'!$91:$91,MATCH(DS$6,'qtrP&amp;L'!$6:$6,0))</f>
        <v>0</v>
      </c>
      <c r="DW22" s="271"/>
      <c r="DX22" s="271">
        <f>INDEX('qtrP&amp;L'!$88:$88,MATCH(DX$6,'qtrP&amp;L'!$6:$6,0))</f>
        <v>0</v>
      </c>
      <c r="DY22" s="271">
        <f>INDEX('qtrP&amp;L'!$89:$89,MATCH(DX$6,'qtrP&amp;L'!$6:$6,0))</f>
        <v>0</v>
      </c>
      <c r="DZ22" s="271">
        <f>INDEX('qtrP&amp;L'!$90:$90,MATCH(DX$6,'qtrP&amp;L'!$6:$6,0))</f>
        <v>0</v>
      </c>
      <c r="EA22" s="271">
        <f>INDEX('qtrP&amp;L'!$91:$91,MATCH(DX$6,'qtrP&amp;L'!$6:$6,0))</f>
        <v>0</v>
      </c>
      <c r="EB22" s="261"/>
      <c r="EC22" s="271">
        <f>INDEX('qtrP&amp;L'!$88:$88,MATCH(EC$6,'qtrP&amp;L'!$6:$6,0))</f>
        <v>0</v>
      </c>
      <c r="ED22" s="271">
        <f>INDEX('qtrP&amp;L'!$89:$89,MATCH(EC$6,'qtrP&amp;L'!$6:$6,0))</f>
        <v>0</v>
      </c>
      <c r="EE22" s="271">
        <f>INDEX('qtrP&amp;L'!$90:$90,MATCH(EC$6,'qtrP&amp;L'!$6:$6,0))</f>
        <v>0</v>
      </c>
      <c r="EF22" s="271">
        <f>INDEX('qtrP&amp;L'!$91:$91,MATCH(EC$6,'qtrP&amp;L'!$6:$6,0))</f>
        <v>0</v>
      </c>
      <c r="EG22" s="261"/>
      <c r="EH22" s="271">
        <f>INDEX('qtrP&amp;L'!$88:$88,MATCH(EH$6,'qtrP&amp;L'!$6:$6,0))</f>
        <v>0</v>
      </c>
      <c r="EI22" s="271">
        <f>INDEX('qtrP&amp;L'!$88:$88,MATCH(EI$6,'qtrP&amp;L'!$6:$6,0))</f>
        <v>0</v>
      </c>
      <c r="EJ22" s="271">
        <f>INDEX('qtrP&amp;L'!$88:$88,MATCH(EJ$6,'qtrP&amp;L'!$6:$6,0))</f>
        <v>0</v>
      </c>
      <c r="EK22" s="271">
        <f>INDEX('qtrP&amp;L'!$88:$88,MATCH(EK$6,'qtrP&amp;L'!$6:$6,0))</f>
        <v>0</v>
      </c>
      <c r="EL22" s="271"/>
      <c r="EM22" s="1404">
        <f>INDEX('qtrP&amp;L'!$88:$88,MATCH(EM$6,'qtrP&amp;L'!$6:$6,0))</f>
        <v>0</v>
      </c>
      <c r="EN22" s="1404">
        <f>INDEX('qtrP&amp;L'!$88:$88,MATCH(EN$6,'qtrP&amp;L'!$6:$6,0))</f>
        <v>0</v>
      </c>
      <c r="EO22" s="1404">
        <f>INDEX('qtrP&amp;L'!$88:$88,MATCH(EO$6,'qtrP&amp;L'!$6:$6,0))</f>
        <v>0</v>
      </c>
      <c r="EP22" s="1404">
        <f>INDEX('qtrP&amp;L'!$88:$88,MATCH(EP$6,'qtrP&amp;L'!$6:$6,0))</f>
        <v>0</v>
      </c>
      <c r="EQ22" s="262"/>
      <c r="ER22" s="316">
        <f>'yrP&amp;L'!F32</f>
        <v>8.5730000000000022</v>
      </c>
      <c r="ES22" s="272">
        <f>'yrP&amp;L'!G32</f>
        <v>2.7240000000000002</v>
      </c>
      <c r="ET22" s="272">
        <f>'yrP&amp;L'!H32</f>
        <v>-11.271000000000001</v>
      </c>
      <c r="EU22" s="272">
        <f>'yrP&amp;L'!I32</f>
        <v>-2.0990000000000002</v>
      </c>
      <c r="EV22" s="272">
        <f>'yrP&amp;L'!J32</f>
        <v>-0.2390000000000001</v>
      </c>
      <c r="EW22" s="272"/>
      <c r="EX22" s="272">
        <f>'yrP&amp;L'!L32</f>
        <v>0</v>
      </c>
      <c r="EY22" s="272">
        <f>'yrP&amp;L'!M32</f>
        <v>0</v>
      </c>
      <c r="EZ22" s="272">
        <f>'yrP&amp;L'!N32</f>
        <v>0</v>
      </c>
      <c r="FA22" s="272">
        <f>'yrP&amp;L'!O32</f>
        <v>0</v>
      </c>
      <c r="FB22" s="272">
        <f>'yrP&amp;L'!P32</f>
        <v>0</v>
      </c>
      <c r="FC22" s="272">
        <f>'yrP&amp;L'!Q32</f>
        <v>0</v>
      </c>
      <c r="FD22" s="272">
        <f>'yrP&amp;L'!R32</f>
        <v>0</v>
      </c>
      <c r="FE22" s="272">
        <f>'yrP&amp;L'!S32</f>
        <v>0</v>
      </c>
      <c r="FF22" s="272">
        <f>'yrP&amp;L'!T32</f>
        <v>0</v>
      </c>
      <c r="FG22" s="272">
        <f>'yrP&amp;L'!U32</f>
        <v>0</v>
      </c>
      <c r="FH22" s="272">
        <f>'yrP&amp;L'!V32</f>
        <v>0</v>
      </c>
      <c r="FI22" s="316">
        <f>'yrP&amp;L'!W32</f>
        <v>0</v>
      </c>
      <c r="FJ22" s="272">
        <f>'yrP&amp;L'!X32</f>
        <v>0</v>
      </c>
      <c r="FK22" s="273">
        <f>'yrP&amp;L'!Y32</f>
        <v>0</v>
      </c>
      <c r="FL22" s="316">
        <f>'yrP&amp;L'!Z32</f>
        <v>0</v>
      </c>
      <c r="FM22" s="316">
        <f>'yrP&amp;L'!AA32</f>
        <v>0</v>
      </c>
      <c r="FN22" s="272">
        <f>'yrP&amp;L'!AB32</f>
        <v>0</v>
      </c>
      <c r="FO22" s="272">
        <f>'yrP&amp;L'!AC32</f>
        <v>0</v>
      </c>
      <c r="FP22" s="272">
        <f>'yrP&amp;L'!AD32</f>
        <v>0</v>
      </c>
      <c r="FQ22" s="272">
        <f>'yrP&amp;L'!AE32</f>
        <v>0</v>
      </c>
      <c r="FR22" s="272">
        <f>'yrP&amp;L'!AF32</f>
        <v>0</v>
      </c>
      <c r="FS22" s="272">
        <f>'yrP&amp;L'!AG32</f>
        <v>0</v>
      </c>
      <c r="FT22" s="1504">
        <f>'yrP&amp;L'!AH32</f>
        <v>0</v>
      </c>
      <c r="FU22" s="272">
        <f>'yrP&amp;L'!AI32</f>
        <v>0</v>
      </c>
      <c r="FV22" s="272">
        <f>'yrP&amp;L'!AJ32</f>
        <v>0</v>
      </c>
      <c r="FW22" s="273">
        <f>'yrP&amp;L'!AK32</f>
        <v>0</v>
      </c>
      <c r="FX22" s="272">
        <f>'yrP&amp;L'!AL32</f>
        <v>0</v>
      </c>
      <c r="FY22" s="1361">
        <f>'yrP&amp;L'!AN32</f>
        <v>0</v>
      </c>
      <c r="FZ22" s="316"/>
      <c r="GA22" s="272"/>
      <c r="GJ22" s="261"/>
      <c r="GK22" s="261"/>
      <c r="GL22" s="431"/>
      <c r="GM22" s="431"/>
      <c r="GN22" s="431"/>
      <c r="GO22" s="261"/>
    </row>
    <row r="23" spans="1:197" outlineLevel="1" x14ac:dyDescent="0.2">
      <c r="A23" s="270" t="s">
        <v>260</v>
      </c>
      <c r="B23" s="314"/>
      <c r="C23" s="271">
        <f>INDEX('qtrP&amp;L'!$98:$98,MATCH(C$7,'qtrP&amp;L'!$6:$6,0))</f>
        <v>19.689</v>
      </c>
      <c r="D23" s="271">
        <f>INDEX('qtrP&amp;L'!$99:$99,MATCH(C$7,'qtrP&amp;L'!$6:$6,0))</f>
        <v>9.3439999999999994</v>
      </c>
      <c r="E23" s="271">
        <f>INDEX('qtrP&amp;L'!$100:$100,MATCH(C$7,'qtrP&amp;L'!$6:$6,0))</f>
        <v>29.286000000000001</v>
      </c>
      <c r="F23" s="271">
        <f>INDEX('qtrP&amp;L'!$101:$101,MATCH(C$7,'qtrP&amp;L'!$6:$6,0))</f>
        <v>68.712999999999994</v>
      </c>
      <c r="G23" s="271"/>
      <c r="H23" s="271">
        <f>INDEX('qtrP&amp;L'!$98:$98,MATCH(H$7,'qtrP&amp;L'!$6:$6,0))</f>
        <v>10.657</v>
      </c>
      <c r="I23" s="271">
        <f>INDEX('qtrP&amp;L'!$99:$99,MATCH(H$7,'qtrP&amp;L'!$6:$6,0))</f>
        <v>108.504</v>
      </c>
      <c r="J23" s="271">
        <f>INDEX('qtrP&amp;L'!$100:$100,MATCH(H$7,'qtrP&amp;L'!$6:$6,0))</f>
        <v>23.658000000000001</v>
      </c>
      <c r="K23" s="271">
        <f>INDEX('qtrP&amp;L'!$101:$101,MATCH(H$7,'qtrP&amp;L'!$6:$6,0))</f>
        <v>1537.117</v>
      </c>
      <c r="L23" s="271"/>
      <c r="M23" s="271">
        <f>INDEX('qtrP&amp;L'!$98:$98,MATCH(M$7,'qtrP&amp;L'!$6:$6,0))</f>
        <v>0</v>
      </c>
      <c r="N23" s="271">
        <f>INDEX('qtrP&amp;L'!$99:$99,MATCH(M$7,'qtrP&amp;L'!$6:$6,0))</f>
        <v>0</v>
      </c>
      <c r="O23" s="271">
        <f>INDEX('qtrP&amp;L'!$100:$100,MATCH(M$7,'qtrP&amp;L'!$6:$6,0))</f>
        <v>0</v>
      </c>
      <c r="P23" s="271">
        <f>INDEX('qtrP&amp;L'!$101:$101,MATCH(M$7,'qtrP&amp;L'!$6:$6,0))</f>
        <v>0</v>
      </c>
      <c r="Q23" s="271"/>
      <c r="R23" s="271">
        <f>INDEX('qtrP&amp;L'!$98:$98,MATCH(R$7,'qtrP&amp;L'!$6:$6,0))</f>
        <v>0</v>
      </c>
      <c r="S23" s="271">
        <f>INDEX('qtrP&amp;L'!$99:$99,MATCH(R$7,'qtrP&amp;L'!$6:$6,0))</f>
        <v>0</v>
      </c>
      <c r="T23" s="271">
        <f>INDEX('qtrP&amp;L'!$100:$100,MATCH(R$7,'qtrP&amp;L'!$6:$6,0))</f>
        <v>0</v>
      </c>
      <c r="U23" s="271">
        <f>INDEX('qtrP&amp;L'!$101:$101,MATCH(R$7,'qtrP&amp;L'!$6:$6,0))</f>
        <v>-24</v>
      </c>
      <c r="V23" s="271"/>
      <c r="W23" s="271">
        <f>INDEX('qtrP&amp;L'!$98:$98,MATCH(W$7,'qtrP&amp;L'!$6:$6,0))</f>
        <v>0</v>
      </c>
      <c r="X23" s="271">
        <f>INDEX('qtrP&amp;L'!$99:$99,MATCH(W$7,'qtrP&amp;L'!$6:$6,0))</f>
        <v>27.004999999999999</v>
      </c>
      <c r="Y23" s="271">
        <f>INDEX('qtrP&amp;L'!$100:$100,MATCH(W$7,'qtrP&amp;L'!$6:$6,0))</f>
        <v>0</v>
      </c>
      <c r="Z23" s="271">
        <f>INDEX('qtrP&amp;L'!$101:$101,MATCH(W$7,'qtrP&amp;L'!$6:$6,0))</f>
        <v>-1.8</v>
      </c>
      <c r="AA23" s="271"/>
      <c r="AB23" s="271">
        <f>INDEX('qtrP&amp;L'!$98:$98,MATCH(AB$7,'qtrP&amp;L'!$6:$6,0))</f>
        <v>83.322000000000003</v>
      </c>
      <c r="AC23" s="271">
        <f>INDEX('qtrP&amp;L'!$99:$99,MATCH(AB$7,'qtrP&amp;L'!$6:$6,0))</f>
        <v>114.604</v>
      </c>
      <c r="AD23" s="271">
        <f>INDEX('qtrP&amp;L'!$100:$100,MATCH(AB$7,'qtrP&amp;L'!$6:$6,0))</f>
        <v>39</v>
      </c>
      <c r="AE23" s="271">
        <f>INDEX('qtrP&amp;L'!$101:$101,MATCH(AB$7,'qtrP&amp;L'!$6:$6,0))</f>
        <v>40</v>
      </c>
      <c r="AF23" s="271"/>
      <c r="AG23" s="271">
        <f>INDEX('qtrP&amp;L'!$98:$98,MATCH(AG$7,'qtrP&amp;L'!$6:$6,0))</f>
        <v>77.7</v>
      </c>
      <c r="AH23" s="271">
        <f>INDEX('qtrP&amp;L'!$99:$99,MATCH(AG$7,'qtrP&amp;L'!$6:$6,0))</f>
        <v>98.917000000000002</v>
      </c>
      <c r="AI23" s="271">
        <f>INDEX('qtrP&amp;L'!$100:$100,MATCH(AG$7,'qtrP&amp;L'!$6:$6,0))</f>
        <v>44.304000000000002</v>
      </c>
      <c r="AJ23" s="271">
        <f>INDEX('qtrP&amp;L'!$101:$101,MATCH(AG$7,'qtrP&amp;L'!$6:$6,0))</f>
        <v>87.721999999999994</v>
      </c>
      <c r="AK23" s="271"/>
      <c r="AL23" s="271">
        <f>INDEX('qtrP&amp;L'!$98:$98,MATCH(AL$7,'qtrP&amp;L'!$6:$6,0))</f>
        <v>0</v>
      </c>
      <c r="AM23" s="271">
        <f>INDEX('qtrP&amp;L'!$99:$99,MATCH(AL$7,'qtrP&amp;L'!$6:$6,0))</f>
        <v>0</v>
      </c>
      <c r="AN23" s="271">
        <f>INDEX('qtrP&amp;L'!$100:$100,MATCH(AL$7,'qtrP&amp;L'!$6:$6,0))</f>
        <v>0</v>
      </c>
      <c r="AO23" s="271">
        <f>INDEX('qtrP&amp;L'!$101:$101,MATCH(AL$7,'qtrP&amp;L'!$6:$6,0))</f>
        <v>0</v>
      </c>
      <c r="AP23" s="271"/>
      <c r="AQ23" s="271">
        <f>INDEX('qtrP&amp;L'!$98:$98,MATCH(AQ$7,'qtrP&amp;L'!$6:$6,0))</f>
        <v>0</v>
      </c>
      <c r="AR23" s="271">
        <f>INDEX('qtrP&amp;L'!$99:$99,MATCH(AQ$7,'qtrP&amp;L'!$6:$6,0))</f>
        <v>0</v>
      </c>
      <c r="AS23" s="271">
        <f>INDEX('qtrP&amp;L'!$100:$100,MATCH(AQ$7,'qtrP&amp;L'!$6:$6,0))</f>
        <v>0</v>
      </c>
      <c r="AT23" s="271">
        <f>INDEX('qtrP&amp;L'!$101:$101,MATCH(AQ$7,'qtrP&amp;L'!$6:$6,0))</f>
        <v>0</v>
      </c>
      <c r="AU23" s="271"/>
      <c r="AV23" s="271">
        <f>INDEX('qtrP&amp;L'!$98:$98,MATCH(AV$7,'qtrP&amp;L'!$6:$6,0))</f>
        <v>0</v>
      </c>
      <c r="AW23" s="271">
        <f>INDEX('qtrP&amp;L'!$99:$99,MATCH(AV$7,'qtrP&amp;L'!$6:$6,0))</f>
        <v>0</v>
      </c>
      <c r="AX23" s="271">
        <f>INDEX('qtrP&amp;L'!$100:$100,MATCH(AV$7,'qtrP&amp;L'!$6:$6,0))</f>
        <v>0</v>
      </c>
      <c r="AY23" s="271">
        <f>INDEX('qtrP&amp;L'!$101:$101,MATCH(AV$7,'qtrP&amp;L'!$6:$6,0))</f>
        <v>0</v>
      </c>
      <c r="AZ23" s="271"/>
      <c r="BA23" s="271">
        <f>INDEX('qtrP&amp;L'!$98:$98,MATCH(BA$7,'qtrP&amp;L'!$6:$6,0))</f>
        <v>0</v>
      </c>
      <c r="BB23" s="271">
        <f>INDEX('qtrP&amp;L'!$99:$99,MATCH(BA$7,'qtrP&amp;L'!$6:$6,0))</f>
        <v>0</v>
      </c>
      <c r="BC23" s="271">
        <f>INDEX('qtrP&amp;L'!$100:$100,MATCH(BA$7,'qtrP&amp;L'!$6:$6,0))</f>
        <v>0</v>
      </c>
      <c r="BD23" s="271">
        <f>INDEX('qtrP&amp;L'!$101:$101,MATCH(BA$7,'qtrP&amp;L'!$6:$6,0))</f>
        <v>80</v>
      </c>
      <c r="BE23" s="271"/>
      <c r="BF23" s="271">
        <f>INDEX('qtrP&amp;L'!$98:$98,MATCH(BF$7,'qtrP&amp;L'!$6:$6,0))</f>
        <v>52</v>
      </c>
      <c r="BG23" s="271">
        <f>INDEX('qtrP&amp;L'!$99:$99,MATCH(BF$7,'qtrP&amp;L'!$6:$6,0))</f>
        <v>41</v>
      </c>
      <c r="BH23" s="271">
        <f>INDEX('qtrP&amp;L'!$100:$100,MATCH(BF$7,'qtrP&amp;L'!$6:$6,0))</f>
        <v>30</v>
      </c>
      <c r="BI23" s="271">
        <f>INDEX('qtrP&amp;L'!$101:$101,MATCH(BF$7,'qtrP&amp;L'!$6:$6,0))</f>
        <v>149</v>
      </c>
      <c r="BJ23" s="271"/>
      <c r="BK23" s="271">
        <f>INDEX('qtrP&amp;L'!$98:$98,MATCH(BK$7,'qtrP&amp;L'!$6:$6,0))</f>
        <v>0</v>
      </c>
      <c r="BL23" s="271">
        <f>INDEX('qtrP&amp;L'!$99:$99,MATCH(BK$7,'qtrP&amp;L'!$6:$6,0))</f>
        <v>0</v>
      </c>
      <c r="BM23" s="271">
        <f>INDEX('qtrP&amp;L'!$100:$100,MATCH(BK$7,'qtrP&amp;L'!$6:$6,0))</f>
        <v>0</v>
      </c>
      <c r="BN23" s="271">
        <f>INDEX('qtrP&amp;L'!$101:$101,MATCH(BK$7,'qtrP&amp;L'!$6:$6,0))</f>
        <v>68</v>
      </c>
      <c r="BO23" s="271"/>
      <c r="BP23" s="271">
        <f>INDEX('qtrP&amp;L'!$98:$98,MATCH(BP$7,'qtrP&amp;L'!$6:$6,0))</f>
        <v>8</v>
      </c>
      <c r="BQ23" s="271">
        <f>INDEX('qtrP&amp;L'!$99:$99,MATCH(BP$7,'qtrP&amp;L'!$6:$6,0))</f>
        <v>10</v>
      </c>
      <c r="BR23" s="271">
        <f>INDEX('qtrP&amp;L'!$100:$100,MATCH(BP$7,'qtrP&amp;L'!$6:$6,0))</f>
        <v>29</v>
      </c>
      <c r="BS23" s="271">
        <f>INDEX('qtrP&amp;L'!$101:$101,MATCH(BP$7,'qtrP&amp;L'!$6:$6,0))</f>
        <v>12</v>
      </c>
      <c r="BT23" s="271"/>
      <c r="BU23" s="271">
        <f>INDEX('qtrP&amp;L'!$98:$98,MATCH(BU$7,'qtrP&amp;L'!$6:$6,0))</f>
        <v>19</v>
      </c>
      <c r="BV23" s="271">
        <f>INDEX('qtrP&amp;L'!$99:$99,MATCH(BU$7,'qtrP&amp;L'!$6:$6,0))</f>
        <v>90</v>
      </c>
      <c r="BW23" s="271">
        <f>INDEX('qtrP&amp;L'!$100:$100,MATCH(BU$7,'qtrP&amp;L'!$6:$6,0))</f>
        <v>36</v>
      </c>
      <c r="BX23" s="271">
        <f>INDEX('qtrP&amp;L'!$101:$101,MATCH(BU$7,'qtrP&amp;L'!$6:$6,0))</f>
        <v>13</v>
      </c>
      <c r="BY23" s="271"/>
      <c r="BZ23" s="271">
        <f>INDEX('qtrP&amp;L'!$98:$98,MATCH(BZ$7,'qtrP&amp;L'!$6:$6,0))</f>
        <v>0</v>
      </c>
      <c r="CA23" s="271">
        <f>INDEX('qtrP&amp;L'!$99:$99,MATCH(BZ$7,'qtrP&amp;L'!$6:$6,0))</f>
        <v>0</v>
      </c>
      <c r="CB23" s="271">
        <f>INDEX('qtrP&amp;L'!$100:$100,MATCH(BZ$7,'qtrP&amp;L'!$6:$6,0))</f>
        <v>-417</v>
      </c>
      <c r="CC23" s="271">
        <f>INDEX('qtrP&amp;L'!$101:$101,MATCH(BZ$7,'qtrP&amp;L'!$6:$6,0))</f>
        <v>114</v>
      </c>
      <c r="CD23" s="271"/>
      <c r="CE23" s="271">
        <f>INDEX('qtrP&amp;L'!$98:$98,MATCH(CE$7,'qtrP&amp;L'!$6:$6,0))</f>
        <v>129</v>
      </c>
      <c r="CF23" s="271">
        <f>INDEX('qtrP&amp;L'!$99:$99,MATCH(CE$7,'qtrP&amp;L'!$6:$6,0))</f>
        <v>-14</v>
      </c>
      <c r="CG23" s="271">
        <f>INDEX('qtrP&amp;L'!$100:$100,MATCH(CE$7,'qtrP&amp;L'!$6:$6,0))</f>
        <v>145</v>
      </c>
      <c r="CH23" s="271">
        <f>INDEX('qtrP&amp;L'!$101:$101,MATCH(CE$7,'qtrP&amp;L'!$6:$6,0))</f>
        <v>177</v>
      </c>
      <c r="CI23" s="271"/>
      <c r="CJ23" s="271">
        <f>INDEX('qtrP&amp;L'!$98:$98,MATCH(CJ$7,'qtrP&amp;L'!$6:$6,0))</f>
        <v>36</v>
      </c>
      <c r="CK23" s="271">
        <f>INDEX('qtrP&amp;L'!$99:$99,MATCH(CJ$7,'qtrP&amp;L'!$6:$6,0))</f>
        <v>97</v>
      </c>
      <c r="CL23" s="271">
        <f>INDEX('qtrP&amp;L'!$100:$100,MATCH(CJ$7,'qtrP&amp;L'!$6:$6,0))</f>
        <v>17</v>
      </c>
      <c r="CM23" s="271">
        <f>INDEX('qtrP&amp;L'!$101:$101,MATCH(CJ$7,'qtrP&amp;L'!$6:$6,0))</f>
        <v>69</v>
      </c>
      <c r="CN23" s="271"/>
      <c r="CO23" s="271">
        <f>INDEX('qtrP&amp;L'!$98:$98,MATCH(CO$7,'qtrP&amp;L'!$6:$6,0))</f>
        <v>110</v>
      </c>
      <c r="CP23" s="271">
        <f>INDEX('qtrP&amp;L'!$99:$99,MATCH(CO$7,'qtrP&amp;L'!$6:$6,0))</f>
        <v>76</v>
      </c>
      <c r="CQ23" s="271">
        <f>INDEX('qtrP&amp;L'!$100:$100,MATCH(CO$7,'qtrP&amp;L'!$6:$6,0))</f>
        <v>16</v>
      </c>
      <c r="CR23" s="271">
        <f>INDEX('qtrP&amp;L'!$101:$101,MATCH(CO$7,'qtrP&amp;L'!$6:$6,0))</f>
        <v>219</v>
      </c>
      <c r="CS23" s="271"/>
      <c r="CT23" s="271">
        <f>INDEX('qtrP&amp;L'!$98:$98,MATCH(CT$7,'qtrP&amp;L'!$6:$6,0))</f>
        <v>138</v>
      </c>
      <c r="CU23" s="271">
        <f>INDEX('qtrP&amp;L'!$99:$99,MATCH(CT$7,'qtrP&amp;L'!$6:$6,0))</f>
        <v>34</v>
      </c>
      <c r="CV23" s="271">
        <f>INDEX('qtrP&amp;L'!$100:$100,MATCH(CT$7,'qtrP&amp;L'!$6:$6,0))</f>
        <v>33</v>
      </c>
      <c r="CW23" s="271">
        <f>INDEX('qtrP&amp;L'!$101:$101,MATCH(CT$7,'qtrP&amp;L'!$6:$6,0))</f>
        <v>186</v>
      </c>
      <c r="CX23" s="271"/>
      <c r="CY23" s="271">
        <f>INDEX('qtrP&amp;L'!$98:$98,MATCH(CY$7,'qtrP&amp;L'!$6:$6,0))</f>
        <v>0</v>
      </c>
      <c r="CZ23" s="271">
        <f>INDEX('qtrP&amp;L'!$99:$99,MATCH(CY$7,'qtrP&amp;L'!$6:$6,0))</f>
        <v>0</v>
      </c>
      <c r="DA23" s="271">
        <f>INDEX('qtrP&amp;L'!$100:$100,MATCH(CY$7,'qtrP&amp;L'!$6:$6,0))</f>
        <v>0</v>
      </c>
      <c r="DB23" s="271">
        <f>INDEX('qtrP&amp;L'!$101:$101,MATCH(CY$7,'qtrP&amp;L'!$6:$6,0))</f>
        <v>25</v>
      </c>
      <c r="DC23" s="271"/>
      <c r="DD23" s="271">
        <f>INDEX('qtrP&amp;L'!$98:$98,MATCH(DD$7,'qtrP&amp;L'!$6:$6,0))</f>
        <v>0</v>
      </c>
      <c r="DE23" s="271">
        <f>INDEX('qtrP&amp;L'!$99:$99,MATCH(DD$7,'qtrP&amp;L'!$6:$6,0))</f>
        <v>0</v>
      </c>
      <c r="DF23" s="271">
        <f>INDEX('qtrP&amp;L'!$100:$100,MATCH(DD$7,'qtrP&amp;L'!$6:$6,0))</f>
        <v>0</v>
      </c>
      <c r="DG23" s="271">
        <f>INDEX('qtrP&amp;L'!$101:$101,MATCH(DD$7,'qtrP&amp;L'!$6:$6,0))</f>
        <v>-25</v>
      </c>
      <c r="DH23" s="271"/>
      <c r="DI23" s="271">
        <f>INDEX('qtrP&amp;L'!$98:$98,MATCH(DI$7,'qtrP&amp;L'!$6:$6,0))</f>
        <v>0</v>
      </c>
      <c r="DJ23" s="271">
        <f>INDEX('qtrP&amp;L'!$99:$99,MATCH(DI$7,'qtrP&amp;L'!$6:$6,0))</f>
        <v>0</v>
      </c>
      <c r="DK23" s="271">
        <f>INDEX('qtrP&amp;L'!$100:$100,MATCH(DI$7,'qtrP&amp;L'!$6:$6,0))</f>
        <v>0</v>
      </c>
      <c r="DL23" s="271">
        <f>INDEX('qtrP&amp;L'!$101:$101,MATCH(DI$7,'qtrP&amp;L'!$6:$6,0))</f>
        <v>0</v>
      </c>
      <c r="DM23" s="271"/>
      <c r="DN23" s="271">
        <f>INDEX('qtrP&amp;L'!$98:$98,MATCH(DN$7,'qtrP&amp;L'!$6:$6,0))</f>
        <v>0</v>
      </c>
      <c r="DO23" s="271">
        <f>INDEX('qtrP&amp;L'!$99:$99,MATCH(DN$7,'qtrP&amp;L'!$6:$6,0))</f>
        <v>0</v>
      </c>
      <c r="DP23" s="271">
        <f>INDEX('qtrP&amp;L'!$100:$100,MATCH(DN$7,'qtrP&amp;L'!$6:$6,0))</f>
        <v>0</v>
      </c>
      <c r="DQ23" s="271">
        <f>INDEX('qtrP&amp;L'!$101:$101,MATCH(DN$7,'qtrP&amp;L'!$6:$6,0))</f>
        <v>0</v>
      </c>
      <c r="DR23" s="271"/>
      <c r="DS23" s="271">
        <f>INDEX('qtrP&amp;L'!$98:$98,MATCH(DS$7,'qtrP&amp;L'!$6:$6,0))</f>
        <v>0</v>
      </c>
      <c r="DT23" s="271">
        <f>INDEX('qtrP&amp;L'!$99:$99,MATCH(DS$7,'qtrP&amp;L'!$6:$6,0))</f>
        <v>0</v>
      </c>
      <c r="DU23" s="271">
        <f>INDEX('qtrP&amp;L'!$100:$100,MATCH(DS$7,'qtrP&amp;L'!$6:$6,0))</f>
        <v>0</v>
      </c>
      <c r="DV23" s="271">
        <f>INDEX('qtrP&amp;L'!$101:$101,MATCH(DS$7,'qtrP&amp;L'!$6:$6,0))</f>
        <v>0</v>
      </c>
      <c r="DW23" s="271"/>
      <c r="DX23" s="271">
        <f>INDEX('qtrP&amp;L'!$98:$98,MATCH(DX$7,'qtrP&amp;L'!$6:$6,0))</f>
        <v>0</v>
      </c>
      <c r="DY23" s="271">
        <f>INDEX('qtrP&amp;L'!$99:$99,MATCH(DX$7,'qtrP&amp;L'!$6:$6,0))</f>
        <v>0</v>
      </c>
      <c r="DZ23" s="271">
        <f>INDEX('qtrP&amp;L'!$100:$100,MATCH(DX$7,'qtrP&amp;L'!$6:$6,0))</f>
        <v>0</v>
      </c>
      <c r="EA23" s="271">
        <f>INDEX('qtrP&amp;L'!$101:$101,MATCH(DX$7,'qtrP&amp;L'!$6:$6,0))</f>
        <v>0</v>
      </c>
      <c r="EB23" s="261"/>
      <c r="EC23" s="271">
        <f>INDEX('qtrP&amp;L'!$98:$98,MATCH(EC$7,'qtrP&amp;L'!$6:$6,0))</f>
        <v>0</v>
      </c>
      <c r="ED23" s="271">
        <f>INDEX('qtrP&amp;L'!$99:$99,MATCH(EC$7,'qtrP&amp;L'!$6:$6,0))</f>
        <v>0</v>
      </c>
      <c r="EE23" s="271">
        <f>INDEX('qtrP&amp;L'!$100:$100,MATCH(EC$7,'qtrP&amp;L'!$6:$6,0))</f>
        <v>0</v>
      </c>
      <c r="EF23" s="271">
        <f>INDEX('qtrP&amp;L'!$101:$101,MATCH(EC$7,'qtrP&amp;L'!$6:$6,0))</f>
        <v>0</v>
      </c>
      <c r="EG23" s="261"/>
      <c r="EH23" s="271">
        <f>INDEX('qtrP&amp;L'!$98:$98,MATCH(EH$7,'qtrP&amp;L'!$6:$6,0))</f>
        <v>0</v>
      </c>
      <c r="EI23" s="271">
        <f>INDEX('qtrP&amp;L'!$99:$99,MATCH(EH$7,'qtrP&amp;L'!$6:$6,0))</f>
        <v>0</v>
      </c>
      <c r="EJ23" s="271">
        <f>INDEX('qtrP&amp;L'!$100:$100,MATCH(EH$7,'qtrP&amp;L'!$6:$6,0))</f>
        <v>0</v>
      </c>
      <c r="EK23" s="271">
        <f>INDEX('qtrP&amp;L'!$101:$101,MATCH(EH$7,'qtrP&amp;L'!$6:$6,0))</f>
        <v>0</v>
      </c>
      <c r="EL23" s="271"/>
      <c r="EM23" s="1404">
        <f>INDEX('qtrP&amp;L'!$98:$98,MATCH(EM$7,'qtrP&amp;L'!$6:$6,0))</f>
        <v>0</v>
      </c>
      <c r="EN23" s="1404">
        <f>INDEX('qtrP&amp;L'!$99:$99,MATCH(EM$7,'qtrP&amp;L'!$6:$6,0))</f>
        <v>0</v>
      </c>
      <c r="EO23" s="1404">
        <f>INDEX('qtrP&amp;L'!$100:$100,MATCH(EM$7,'qtrP&amp;L'!$6:$6,0))</f>
        <v>0</v>
      </c>
      <c r="EP23" s="1404">
        <f>INDEX('qtrP&amp;L'!$101:$101,MATCH(EM$7,'qtrP&amp;L'!$6:$6,0))</f>
        <v>0</v>
      </c>
      <c r="EQ23" s="262"/>
      <c r="ER23" s="316">
        <f>'yrP&amp;L'!F34</f>
        <v>20</v>
      </c>
      <c r="ES23" s="272">
        <f>'yrP&amp;L'!G34</f>
        <v>-6</v>
      </c>
      <c r="ET23" s="272">
        <f>'yrP&amp;L'!H34</f>
        <v>25.204999999999998</v>
      </c>
      <c r="EU23" s="272">
        <f>'yrP&amp;L'!I34</f>
        <v>144.60499999999999</v>
      </c>
      <c r="EV23" s="272">
        <f>'yrP&amp;L'!J34</f>
        <v>276.92599999999999</v>
      </c>
      <c r="EW23" s="272"/>
      <c r="EX23" s="272">
        <f>'yrP&amp;L'!L34</f>
        <v>0</v>
      </c>
      <c r="EY23" s="272">
        <f>'yrP&amp;L'!M34</f>
        <v>0</v>
      </c>
      <c r="EZ23" s="272">
        <f>'yrP&amp;L'!N34</f>
        <v>0</v>
      </c>
      <c r="FA23" s="272">
        <f>'yrP&amp;L'!O34</f>
        <v>0</v>
      </c>
      <c r="FB23" s="272">
        <f>'yrP&amp;L'!P34</f>
        <v>0</v>
      </c>
      <c r="FC23" s="272">
        <f>'yrP&amp;L'!Q34</f>
        <v>80</v>
      </c>
      <c r="FD23" s="272">
        <f>'yrP&amp;L'!R34</f>
        <v>272</v>
      </c>
      <c r="FE23" s="272">
        <f>'yrP&amp;L'!S34</f>
        <v>68</v>
      </c>
      <c r="FF23" s="272">
        <f>'yrP&amp;L'!T34</f>
        <v>59</v>
      </c>
      <c r="FG23" s="272">
        <f>'yrP&amp;L'!U34</f>
        <v>158</v>
      </c>
      <c r="FH23" s="272">
        <f>'yrP&amp;L'!V34</f>
        <v>-303</v>
      </c>
      <c r="FI23" s="316">
        <f>'yrP&amp;L'!W34</f>
        <v>437</v>
      </c>
      <c r="FJ23" s="272">
        <f>'yrP&amp;L'!X34</f>
        <v>219</v>
      </c>
      <c r="FK23" s="320">
        <v>0</v>
      </c>
      <c r="FL23" s="321">
        <v>0</v>
      </c>
      <c r="FM23" s="316">
        <f>'yrP&amp;L'!AA34</f>
        <v>25</v>
      </c>
      <c r="FN23" s="272">
        <f>'yrP&amp;L'!AB34</f>
        <v>-25</v>
      </c>
      <c r="FO23" s="272">
        <f>'yrP&amp;L'!AC34</f>
        <v>0</v>
      </c>
      <c r="FP23" s="272">
        <f>'yrP&amp;L'!AD34</f>
        <v>0</v>
      </c>
      <c r="FQ23" s="272">
        <f>'yrP&amp;L'!AE34</f>
        <v>0</v>
      </c>
      <c r="FR23" s="272">
        <f>'yrP&amp;L'!AF34</f>
        <v>0</v>
      </c>
      <c r="FS23" s="272">
        <f>'yrP&amp;L'!AG34</f>
        <v>0</v>
      </c>
      <c r="FT23" s="1504">
        <f>'yrP&amp;L'!AH34</f>
        <v>0</v>
      </c>
      <c r="FU23" s="272">
        <f>'yrP&amp;L'!AI34</f>
        <v>0</v>
      </c>
      <c r="FV23" s="272">
        <f>'yrP&amp;L'!AJ34</f>
        <v>0</v>
      </c>
      <c r="FW23" s="273">
        <f>'yrP&amp;L'!AK34</f>
        <v>0</v>
      </c>
      <c r="FX23" s="272">
        <f>'yrP&amp;L'!AL34</f>
        <v>0</v>
      </c>
      <c r="FY23" s="1361">
        <f>'yrP&amp;L'!AN34</f>
        <v>0</v>
      </c>
      <c r="FZ23" s="316"/>
      <c r="GA23" s="272"/>
      <c r="GJ23" s="261"/>
      <c r="GK23" s="261"/>
      <c r="GL23" s="431"/>
      <c r="GM23" s="431"/>
      <c r="GN23" s="431"/>
      <c r="GO23" s="261"/>
    </row>
    <row r="24" spans="1:197" x14ac:dyDescent="0.2">
      <c r="A24" s="277" t="s">
        <v>166</v>
      </c>
      <c r="B24" s="314"/>
      <c r="C24" s="271">
        <f>C17-C19-C23-C22</f>
        <v>-143.4009999999999</v>
      </c>
      <c r="D24" s="271">
        <f>D17-D19-D23-D22</f>
        <v>-186.447</v>
      </c>
      <c r="E24" s="271">
        <f>E17-E19-E23-E22</f>
        <v>-121.46500000000003</v>
      </c>
      <c r="F24" s="271">
        <f>F17-F19-F23-F22</f>
        <v>-96.488000000000056</v>
      </c>
      <c r="G24" s="271"/>
      <c r="H24" s="271">
        <f>H17-H19-H23-H22</f>
        <v>-85.017999999999915</v>
      </c>
      <c r="I24" s="271">
        <f>I17-I19-I23-I22</f>
        <v>-210.38000000000011</v>
      </c>
      <c r="J24" s="271">
        <f>J17-J19-J23-J22</f>
        <v>-79.991999999999948</v>
      </c>
      <c r="K24" s="271">
        <f>K17-K19-K23-K22</f>
        <v>-1484.6269999999997</v>
      </c>
      <c r="L24" s="271"/>
      <c r="M24" s="271">
        <f>M17-M19-M23-M22</f>
        <v>22.976000000000177</v>
      </c>
      <c r="N24" s="271">
        <f>N17-N19-N23-N22</f>
        <v>-22.479000000000042</v>
      </c>
      <c r="O24" s="271">
        <f>O17-O19-O23-O22</f>
        <v>55.534999999999926</v>
      </c>
      <c r="P24" s="271">
        <f>P17-P19-P23-P22</f>
        <v>175.97500000000002</v>
      </c>
      <c r="Q24" s="271"/>
      <c r="R24" s="271">
        <f>R17-R19-R23-R22</f>
        <v>39.659000000000063</v>
      </c>
      <c r="S24" s="271">
        <f>S17-S19-S23-S22</f>
        <v>18.090999999999969</v>
      </c>
      <c r="T24" s="271">
        <f>T17-T19-T23-T22</f>
        <v>63.014999999999958</v>
      </c>
      <c r="U24" s="271">
        <f>U17-U19-U23-U22</f>
        <v>247.01499999999982</v>
      </c>
      <c r="V24" s="271"/>
      <c r="W24" s="271">
        <f>W17-W19-W23-W22</f>
        <v>58.068000000000175</v>
      </c>
      <c r="X24" s="271">
        <f>X17-X19-X23-X22</f>
        <v>10.266999999999843</v>
      </c>
      <c r="Y24" s="271">
        <f>Y17-Y19-Y23-Y22</f>
        <v>78.336000000000013</v>
      </c>
      <c r="Z24" s="271">
        <f>Z17-Z19-Z23-Z22</f>
        <v>281.05099999999993</v>
      </c>
      <c r="AA24" s="271"/>
      <c r="AB24" s="271">
        <f>AB17-AB19-AB23-AB22</f>
        <v>-86.748000000000289</v>
      </c>
      <c r="AC24" s="271">
        <f>AC17-AC19-AC23-AC22</f>
        <v>-101.6219999999999</v>
      </c>
      <c r="AD24" s="271">
        <f>AD17-AD19-AD23-AD22</f>
        <v>42.979999999999748</v>
      </c>
      <c r="AE24" s="271">
        <f>AE17-AE19-AE23-AE22</f>
        <v>450.08899999999983</v>
      </c>
      <c r="AF24" s="271"/>
      <c r="AG24" s="271">
        <f>AG17-AG19-AG23-AG22</f>
        <v>-56.994000000000156</v>
      </c>
      <c r="AH24" s="271">
        <f>AH17-AH19-AH23-AH22</f>
        <v>-39.888000000000204</v>
      </c>
      <c r="AI24" s="271">
        <f>AI17-AI19-AI23-AI22</f>
        <v>73.903000000000205</v>
      </c>
      <c r="AJ24" s="271">
        <f>AJ17-AJ19-AJ23-AJ22</f>
        <v>464.80299999999966</v>
      </c>
      <c r="AK24" s="271"/>
      <c r="AL24" s="271">
        <f>AL17-AL19-AL23-AL22</f>
        <v>43.192000000000192</v>
      </c>
      <c r="AM24" s="271">
        <f>AM17-AM19-AM23-AM22</f>
        <v>112.56800000000035</v>
      </c>
      <c r="AN24" s="271">
        <f>AN17-AN19-AN23-AN22</f>
        <v>175.9070000000001</v>
      </c>
      <c r="AO24" s="271">
        <f>AO17-AO19-AO23-AO22</f>
        <v>625.92700000000002</v>
      </c>
      <c r="AP24" s="271"/>
      <c r="AQ24" s="271">
        <f>AQ17-AQ19-AQ23-AQ22</f>
        <v>104</v>
      </c>
      <c r="AR24" s="271">
        <f>AR17-AR19-AR23-AR22</f>
        <v>193</v>
      </c>
      <c r="AS24" s="271">
        <f>AS17-AS19-AS23-AS22</f>
        <v>185</v>
      </c>
      <c r="AT24" s="271">
        <f>AT17-AT19-AT23-AT22</f>
        <v>681</v>
      </c>
      <c r="AU24" s="271"/>
      <c r="AV24" s="271">
        <f>AV17-AV19-AV23-AV22</f>
        <v>150</v>
      </c>
      <c r="AW24" s="271">
        <f>AW17-AW19-AW23-AW22</f>
        <v>233</v>
      </c>
      <c r="AX24" s="271">
        <f>AX17-AX19-AX23-AX22</f>
        <v>211</v>
      </c>
      <c r="AY24" s="271">
        <f>AY17-AY19-AY23-AY22</f>
        <v>752</v>
      </c>
      <c r="AZ24" s="271"/>
      <c r="BA24" s="271">
        <f>BA17-BA19-BA23-BA22</f>
        <v>200</v>
      </c>
      <c r="BB24" s="271">
        <f>BB17-BB19-BB23-BB22</f>
        <v>324</v>
      </c>
      <c r="BC24" s="271">
        <f>BC17-BC19-BC23</f>
        <v>185</v>
      </c>
      <c r="BD24" s="271">
        <f>BD17-BD19-BD23-BD22</f>
        <v>661</v>
      </c>
      <c r="BE24" s="271"/>
      <c r="BF24" s="271">
        <f>BF17-BF19-BF23-BF22</f>
        <v>100</v>
      </c>
      <c r="BG24" s="271">
        <f>BG17-BG19-BG23-BG22</f>
        <v>135</v>
      </c>
      <c r="BH24" s="271">
        <f>BH17-BH19-BH23</f>
        <v>46</v>
      </c>
      <c r="BI24" s="271">
        <f>BI17-BI19-BI23-BI22</f>
        <v>499</v>
      </c>
      <c r="BJ24" s="271"/>
      <c r="BK24" s="271">
        <f>BK17-BK19-BK23-BK22</f>
        <v>147</v>
      </c>
      <c r="BL24" s="271">
        <f>BL17-BL19-BL23-BL22</f>
        <v>222</v>
      </c>
      <c r="BM24" s="271">
        <f>BM17-BM19-BM23</f>
        <v>115</v>
      </c>
      <c r="BN24" s="271">
        <f>BN17-BN19-BN23-BN22</f>
        <v>564</v>
      </c>
      <c r="BO24" s="271"/>
      <c r="BP24" s="271">
        <f>BP17-BP19-BP23-BP22</f>
        <v>76</v>
      </c>
      <c r="BQ24" s="271">
        <f>BQ17-BQ19-BQ23-BQ22</f>
        <v>199</v>
      </c>
      <c r="BR24" s="271">
        <f>BR17-BR19-BR23</f>
        <v>112</v>
      </c>
      <c r="BS24" s="271">
        <f>BS17-BS19-BS23-BS22</f>
        <v>697</v>
      </c>
      <c r="BT24" s="271"/>
      <c r="BU24" s="271">
        <f>BU17-BU19-BU23-BU22</f>
        <v>157</v>
      </c>
      <c r="BV24" s="271">
        <f>BV17-BV19-BV23-BV22</f>
        <v>126</v>
      </c>
      <c r="BW24" s="271">
        <f>BW17-BW19-BW23</f>
        <v>120</v>
      </c>
      <c r="BX24" s="271">
        <f>BX17-BX19-BX23-BX22</f>
        <v>713</v>
      </c>
      <c r="BY24" s="271"/>
      <c r="BZ24" s="271">
        <f>BZ17-BZ19-BZ23-BZ22</f>
        <v>198</v>
      </c>
      <c r="CA24" s="271">
        <f>CA17-CA19-CA23-CA22</f>
        <v>237</v>
      </c>
      <c r="CB24" s="271">
        <f>CB17-CB19-CB23</f>
        <v>542</v>
      </c>
      <c r="CC24" s="271">
        <f>CC17-CC19-CC23-CC22</f>
        <v>1067</v>
      </c>
      <c r="CD24" s="271"/>
      <c r="CE24" s="271">
        <f>CE17-CE19-CE23-CE22</f>
        <v>-118</v>
      </c>
      <c r="CF24" s="271">
        <f>CF17-CF19-CF23-CF22</f>
        <v>306</v>
      </c>
      <c r="CG24" s="271">
        <f>CG17-CG19-CG23</f>
        <v>30</v>
      </c>
      <c r="CH24" s="271">
        <f>CH17-CH19-CH23</f>
        <v>1157</v>
      </c>
      <c r="CI24" s="271"/>
      <c r="CJ24" s="271">
        <f>CJ17-CJ19-CJ23</f>
        <v>83</v>
      </c>
      <c r="CK24" s="271">
        <f>CK17-CK19-CK23</f>
        <v>113</v>
      </c>
      <c r="CL24" s="271">
        <f>CL17-CL19-CL23</f>
        <v>38</v>
      </c>
      <c r="CM24" s="271">
        <f>CM17-CM19-CM23</f>
        <v>1086</v>
      </c>
      <c r="CN24" s="271"/>
      <c r="CO24" s="271">
        <f>CO17-CO19-CO23</f>
        <v>-106</v>
      </c>
      <c r="CP24" s="271">
        <f>CP17-CP19-CP23</f>
        <v>121</v>
      </c>
      <c r="CQ24" s="271">
        <f>CQ17-CQ19-CQ23</f>
        <v>-75</v>
      </c>
      <c r="CR24" s="271">
        <f>CR17-CR19-CR23</f>
        <v>504</v>
      </c>
      <c r="CS24" s="271"/>
      <c r="CT24" s="271">
        <f>CT17-CT19-CT23</f>
        <v>-255</v>
      </c>
      <c r="CU24" s="271">
        <f>CU17-CU19-CU23</f>
        <v>109</v>
      </c>
      <c r="CV24" s="271">
        <f>CV17-CV19-CV23</f>
        <v>-82</v>
      </c>
      <c r="CW24" s="271">
        <f>CW17-CW19-CW23</f>
        <v>735</v>
      </c>
      <c r="CX24" s="271"/>
      <c r="CY24" s="271">
        <f>CY17-CY19-CY23</f>
        <v>41</v>
      </c>
      <c r="CZ24" s="271">
        <f>CZ17-CZ19-CZ23</f>
        <v>240</v>
      </c>
      <c r="DA24" s="271">
        <f>DA17-DA19-DA23</f>
        <v>13</v>
      </c>
      <c r="DB24" s="271">
        <f>DB17-DB19-DB23</f>
        <v>1026</v>
      </c>
      <c r="DC24" s="271"/>
      <c r="DD24" s="271">
        <f>DD17-DD19-DD23</f>
        <v>214</v>
      </c>
      <c r="DE24" s="271">
        <f>DE17-DE19-DE23</f>
        <v>395</v>
      </c>
      <c r="DF24" s="271">
        <f>DF17-DF19-DF23</f>
        <v>183</v>
      </c>
      <c r="DG24" s="271">
        <f>DG17-DG19-DG23</f>
        <v>1176</v>
      </c>
      <c r="DH24" s="271"/>
      <c r="DI24" s="271">
        <f>DI17-DI19-DI23</f>
        <v>279</v>
      </c>
      <c r="DJ24" s="271">
        <f>DJ17-DJ19-DJ23</f>
        <v>449</v>
      </c>
      <c r="DK24" s="271">
        <f>DK17-DK19-DK23</f>
        <v>222</v>
      </c>
      <c r="DL24" s="271">
        <f>DL17-DL19-DL23</f>
        <v>1290</v>
      </c>
      <c r="DM24" s="271"/>
      <c r="DN24" s="271">
        <f>DN17-DN19-DN23</f>
        <v>338</v>
      </c>
      <c r="DO24" s="271">
        <f>DO17-DO19-DO23</f>
        <v>438</v>
      </c>
      <c r="DP24" s="271">
        <f>DP17-DP19-DP23</f>
        <v>264</v>
      </c>
      <c r="DQ24" s="271">
        <f>DQ17-DQ19-DQ23</f>
        <v>1338</v>
      </c>
      <c r="DR24" s="271"/>
      <c r="DS24" s="271">
        <f>DS17-DS19-DS23</f>
        <v>343</v>
      </c>
      <c r="DT24" s="271">
        <f>DT17-DT19-DT23</f>
        <v>471</v>
      </c>
      <c r="DU24" s="271">
        <f>DU17-DU19-DU23</f>
        <v>326</v>
      </c>
      <c r="DV24" s="271">
        <f>DV17-DV19-DV23</f>
        <v>1354</v>
      </c>
      <c r="DW24" s="271"/>
      <c r="DX24" s="271">
        <f>DX17-DX19-DX23</f>
        <v>314</v>
      </c>
      <c r="DY24" s="271">
        <f>DY17-DY19-DY23</f>
        <v>343</v>
      </c>
      <c r="DZ24" s="271">
        <f>DZ17-DZ19-DZ23</f>
        <v>289</v>
      </c>
      <c r="EA24" s="271">
        <f>EA17-EA19-EA23</f>
        <v>1020</v>
      </c>
      <c r="EB24" s="261"/>
      <c r="EC24" s="271">
        <f>EC17-EC19-EC23+EC20</f>
        <v>203</v>
      </c>
      <c r="ED24" s="271">
        <f>ED17-ED19-ED23+ED20</f>
        <v>264.75</v>
      </c>
      <c r="EE24" s="271">
        <f t="shared" ref="EE24:EF24" si="115">EE17-EE19-EE23+EE20</f>
        <v>83.75</v>
      </c>
      <c r="EF24" s="271">
        <f t="shared" si="115"/>
        <v>991.25</v>
      </c>
      <c r="EG24" s="261"/>
      <c r="EH24" s="271">
        <f t="shared" ref="EH24:EK24" si="116">EH17-EH19-EH23+EH20</f>
        <v>148</v>
      </c>
      <c r="EI24" s="271">
        <f t="shared" si="116"/>
        <v>218</v>
      </c>
      <c r="EJ24" s="271">
        <f t="shared" si="116"/>
        <v>98</v>
      </c>
      <c r="EK24" s="271">
        <f t="shared" si="116"/>
        <v>1339</v>
      </c>
      <c r="EL24" s="271"/>
      <c r="EM24" s="271">
        <f t="shared" ref="EM24:EP24" si="117">EM17-EM19-EM23+EM20</f>
        <v>150.59310239999968</v>
      </c>
      <c r="EN24" s="271">
        <f t="shared" si="117"/>
        <v>191.38913550000052</v>
      </c>
      <c r="EO24" s="271">
        <f t="shared" si="117"/>
        <v>113.57110899999952</v>
      </c>
      <c r="EP24" s="271">
        <f t="shared" si="117"/>
        <v>968.17770529999962</v>
      </c>
      <c r="EQ24" s="262"/>
      <c r="ER24" s="316">
        <f>ER17-ER19-ER23-ER22</f>
        <v>212.00700000000063</v>
      </c>
      <c r="ES24" s="272">
        <f>ES17-ES19-ES23-ES22</f>
        <v>349.77999999999912</v>
      </c>
      <c r="ET24" s="272">
        <f>ET17-ET19-ET23-ET22</f>
        <v>427.72199999999896</v>
      </c>
      <c r="EU24" s="272">
        <f>EU17-EU19-EU23-EU22</f>
        <v>92.29499999999949</v>
      </c>
      <c r="EV24" s="272">
        <f>EV17-EV19-EV23-EV22</f>
        <v>304.69899999999893</v>
      </c>
      <c r="EW24" s="272"/>
      <c r="EX24" s="272">
        <f t="shared" ref="EX24:FR24" si="118">EX17-EX19-EX23-EX22</f>
        <v>202</v>
      </c>
      <c r="EY24" s="272">
        <f t="shared" si="118"/>
        <v>441.23599999999999</v>
      </c>
      <c r="EZ24" s="272">
        <f t="shared" si="118"/>
        <v>958</v>
      </c>
      <c r="FA24" s="272">
        <f t="shared" si="118"/>
        <v>1163</v>
      </c>
      <c r="FB24" s="272">
        <f t="shared" si="118"/>
        <v>1386</v>
      </c>
      <c r="FC24" s="272">
        <f t="shared" si="118"/>
        <v>1370</v>
      </c>
      <c r="FD24" s="272">
        <f t="shared" si="118"/>
        <v>780</v>
      </c>
      <c r="FE24" s="272">
        <f t="shared" si="118"/>
        <v>1048</v>
      </c>
      <c r="FF24" s="272">
        <f t="shared" si="118"/>
        <v>1084</v>
      </c>
      <c r="FG24" s="272">
        <f t="shared" si="118"/>
        <v>1116</v>
      </c>
      <c r="FH24" s="272">
        <f t="shared" si="118"/>
        <v>2044</v>
      </c>
      <c r="FI24" s="316">
        <f t="shared" si="118"/>
        <v>1375</v>
      </c>
      <c r="FJ24" s="272">
        <f t="shared" si="118"/>
        <v>1320</v>
      </c>
      <c r="FK24" s="273">
        <f t="shared" si="118"/>
        <v>865</v>
      </c>
      <c r="FL24" s="316">
        <f t="shared" si="118"/>
        <v>898</v>
      </c>
      <c r="FM24" s="316">
        <f t="shared" si="118"/>
        <v>1320</v>
      </c>
      <c r="FN24" s="272">
        <f t="shared" si="118"/>
        <v>1968</v>
      </c>
      <c r="FO24" s="272">
        <f t="shared" si="118"/>
        <v>2244</v>
      </c>
      <c r="FP24" s="272">
        <f t="shared" si="118"/>
        <v>2378</v>
      </c>
      <c r="FQ24" s="272">
        <f t="shared" si="118"/>
        <v>2494</v>
      </c>
      <c r="FR24" s="272">
        <f t="shared" si="118"/>
        <v>1966</v>
      </c>
      <c r="FS24" s="272">
        <f t="shared" ref="FS24:FY24" si="119">FS17-FS19-FS23+FS20</f>
        <v>1542.75</v>
      </c>
      <c r="FT24" s="1504">
        <f t="shared" si="119"/>
        <v>1803</v>
      </c>
      <c r="FU24" s="272">
        <f t="shared" si="119"/>
        <v>1423.7310522000007</v>
      </c>
      <c r="FV24" s="272">
        <f t="shared" si="119"/>
        <v>1086.3126534677194</v>
      </c>
      <c r="FW24" s="273">
        <f t="shared" si="119"/>
        <v>768.85481748229722</v>
      </c>
      <c r="FX24" s="272">
        <f t="shared" si="119"/>
        <v>507.99365821153151</v>
      </c>
      <c r="FY24" s="1361">
        <f t="shared" si="119"/>
        <v>264.95472477024123</v>
      </c>
      <c r="FZ24" s="316"/>
      <c r="GA24" s="272"/>
      <c r="GJ24" s="261"/>
      <c r="GK24" s="261"/>
      <c r="GL24" s="431"/>
      <c r="GM24" s="431"/>
      <c r="GN24" s="583"/>
      <c r="GO24" s="261"/>
    </row>
    <row r="25" spans="1:197" x14ac:dyDescent="0.2">
      <c r="A25" s="260"/>
      <c r="B25" s="261"/>
      <c r="C25" s="261"/>
      <c r="D25" s="261"/>
      <c r="E25" s="261"/>
      <c r="F25" s="261"/>
      <c r="G25" s="261"/>
      <c r="H25" s="261"/>
      <c r="I25" s="261"/>
      <c r="J25" s="261"/>
      <c r="K25" s="261"/>
      <c r="L25" s="261"/>
      <c r="M25" s="261"/>
      <c r="N25" s="261"/>
      <c r="O25" s="261"/>
      <c r="P25" s="261"/>
      <c r="Q25" s="261"/>
      <c r="R25" s="261"/>
      <c r="S25" s="261"/>
      <c r="T25" s="261"/>
      <c r="U25" s="261"/>
      <c r="V25" s="261"/>
      <c r="W25" s="261"/>
      <c r="X25" s="261"/>
      <c r="Y25" s="261"/>
      <c r="Z25" s="261"/>
      <c r="AA25" s="261"/>
      <c r="AB25" s="261"/>
      <c r="AC25" s="261"/>
      <c r="AD25" s="261"/>
      <c r="AE25" s="261"/>
      <c r="AF25" s="261"/>
      <c r="AG25" s="261"/>
      <c r="AH25" s="261"/>
      <c r="AI25" s="261"/>
      <c r="AJ25" s="261"/>
      <c r="AK25" s="261"/>
      <c r="AL25" s="261"/>
      <c r="AM25" s="261"/>
      <c r="AN25" s="261"/>
      <c r="AO25" s="261"/>
      <c r="AP25" s="261"/>
      <c r="AQ25" s="261"/>
      <c r="AR25" s="261"/>
      <c r="AS25" s="261"/>
      <c r="AT25" s="261"/>
      <c r="AU25" s="261"/>
      <c r="AV25" s="261"/>
      <c r="AW25" s="261"/>
      <c r="AX25" s="261"/>
      <c r="AY25" s="261"/>
      <c r="AZ25" s="261"/>
      <c r="BA25" s="261"/>
      <c r="BB25" s="261"/>
      <c r="BC25" s="261"/>
      <c r="BD25" s="261"/>
      <c r="BE25" s="261"/>
      <c r="BF25" s="261"/>
      <c r="BG25" s="261"/>
      <c r="BH25" s="261"/>
      <c r="BI25" s="261"/>
      <c r="BJ25" s="261"/>
      <c r="BK25" s="261"/>
      <c r="BL25" s="261"/>
      <c r="BM25" s="261"/>
      <c r="BN25" s="261"/>
      <c r="BO25" s="261"/>
      <c r="BP25" s="261"/>
      <c r="BQ25" s="261"/>
      <c r="BR25" s="261"/>
      <c r="BS25" s="261"/>
      <c r="BT25" s="261"/>
      <c r="BU25" s="261"/>
      <c r="BV25" s="261"/>
      <c r="BW25" s="261"/>
      <c r="BX25" s="261"/>
      <c r="BY25" s="261"/>
      <c r="BZ25" s="261"/>
      <c r="CA25" s="261"/>
      <c r="CB25" s="261"/>
      <c r="CC25" s="261"/>
      <c r="CD25" s="261"/>
      <c r="CE25" s="261"/>
      <c r="CF25" s="261"/>
      <c r="CG25" s="261"/>
      <c r="CH25" s="261"/>
      <c r="CI25" s="261"/>
      <c r="CJ25" s="261"/>
      <c r="CK25" s="261"/>
      <c r="CL25" s="261"/>
      <c r="CM25" s="261"/>
      <c r="CN25" s="261"/>
      <c r="CO25" s="261"/>
      <c r="CP25" s="261"/>
      <c r="CQ25" s="261"/>
      <c r="CR25" s="261"/>
      <c r="CS25" s="261"/>
      <c r="CT25" s="261"/>
      <c r="CU25" s="261"/>
      <c r="CV25" s="261"/>
      <c r="CW25" s="261"/>
      <c r="CX25" s="261"/>
      <c r="CY25" s="261"/>
      <c r="CZ25" s="261"/>
      <c r="DA25" s="261"/>
      <c r="DB25" s="261"/>
      <c r="DC25" s="261"/>
      <c r="DD25" s="261"/>
      <c r="DE25" s="261"/>
      <c r="DF25" s="261"/>
      <c r="DG25" s="261"/>
      <c r="DH25" s="261"/>
      <c r="DI25" s="261"/>
      <c r="DJ25" s="261"/>
      <c r="DK25" s="261"/>
      <c r="DL25" s="261"/>
      <c r="DM25" s="261"/>
      <c r="DN25" s="261"/>
      <c r="DO25" s="261"/>
      <c r="DP25" s="261"/>
      <c r="DQ25" s="261"/>
      <c r="DR25" s="261"/>
      <c r="DS25" s="261"/>
      <c r="DT25" s="261"/>
      <c r="DU25" s="261"/>
      <c r="DV25" s="261"/>
      <c r="DW25" s="261"/>
      <c r="DX25" s="261"/>
      <c r="DY25" s="261"/>
      <c r="DZ25" s="261"/>
      <c r="EA25" s="261"/>
      <c r="EB25" s="261"/>
      <c r="EC25" s="261"/>
      <c r="ED25" s="261"/>
      <c r="EE25" s="261"/>
      <c r="EF25" s="261"/>
      <c r="EG25" s="261"/>
      <c r="EH25" s="261"/>
      <c r="EI25" s="261"/>
      <c r="EJ25" s="261"/>
      <c r="EK25" s="261"/>
      <c r="EL25" s="261"/>
      <c r="EM25" s="1325"/>
      <c r="EN25" s="1325"/>
      <c r="EO25" s="1325"/>
      <c r="EP25" s="1325"/>
      <c r="EQ25" s="262"/>
      <c r="ER25" s="260"/>
      <c r="ES25" s="261"/>
      <c r="ET25" s="261"/>
      <c r="EU25" s="261"/>
      <c r="EV25" s="261"/>
      <c r="EW25" s="261"/>
      <c r="EX25" s="261"/>
      <c r="EY25" s="261"/>
      <c r="EZ25" s="261"/>
      <c r="FA25" s="261"/>
      <c r="FB25" s="261"/>
      <c r="FC25" s="261"/>
      <c r="FD25" s="261"/>
      <c r="FE25" s="261"/>
      <c r="FF25" s="261"/>
      <c r="FG25" s="261"/>
      <c r="FH25" s="261"/>
      <c r="FI25" s="260"/>
      <c r="FJ25" s="261"/>
      <c r="FK25" s="262"/>
      <c r="FL25" s="260"/>
      <c r="FM25" s="260"/>
      <c r="FN25" s="261"/>
      <c r="FO25" s="261"/>
      <c r="FP25" s="261"/>
      <c r="FQ25" s="261"/>
      <c r="FR25" s="261"/>
      <c r="FS25" s="314"/>
      <c r="FT25" s="1325"/>
      <c r="FW25" s="262"/>
      <c r="FX25" s="261"/>
      <c r="FY25" s="1356"/>
      <c r="FZ25" s="260"/>
      <c r="GA25" s="261"/>
      <c r="GJ25" s="261"/>
      <c r="GK25" s="261"/>
      <c r="GL25" s="582"/>
      <c r="GM25" s="582"/>
      <c r="GN25" s="583"/>
      <c r="GO25" s="261"/>
    </row>
    <row r="26" spans="1:197" x14ac:dyDescent="0.2">
      <c r="A26" s="270" t="s">
        <v>167</v>
      </c>
      <c r="B26" s="314"/>
      <c r="C26" s="271">
        <f>INDEX('qtrP&amp;L'!$118:$118,MATCH(C$7,'qtrP&amp;L'!$6:$6,0))</f>
        <v>-43.960999999999999</v>
      </c>
      <c r="D26" s="271">
        <f>INDEX('qtrP&amp;L'!$119:$119,MATCH(C$7,'qtrP&amp;L'!$6:$6,0))</f>
        <v>-60.075000000000003</v>
      </c>
      <c r="E26" s="271">
        <f>INDEX('qtrP&amp;L'!$120:$120,MATCH(C$7,'qtrP&amp;L'!$6:$6,0))</f>
        <v>-34.662999999999997</v>
      </c>
      <c r="F26" s="271">
        <f>INDEX('qtrP&amp;L'!$121:$121,MATCH(C$7,'qtrP&amp;L'!$6:$6,0))</f>
        <v>-137.65600000000001</v>
      </c>
      <c r="G26" s="271"/>
      <c r="H26" s="271">
        <f>INDEX('qtrP&amp;L'!$118:$118,MATCH(H$7,'qtrP&amp;L'!$6:$6,0))</f>
        <v>-20.856999999999999</v>
      </c>
      <c r="I26" s="271">
        <f>INDEX('qtrP&amp;L'!$119:$119,MATCH(H$7,'qtrP&amp;L'!$6:$6,0))</f>
        <v>-66.552000000000007</v>
      </c>
      <c r="J26" s="271">
        <f>INDEX('qtrP&amp;L'!$120:$120,MATCH(H$7,'qtrP&amp;L'!$6:$6,0))</f>
        <v>-18.997</v>
      </c>
      <c r="K26" s="271">
        <f>INDEX('qtrP&amp;L'!$121:$121,MATCH(H$7,'qtrP&amp;L'!$6:$6,0))</f>
        <v>-507.58300000000003</v>
      </c>
      <c r="L26" s="271"/>
      <c r="M26" s="271">
        <f>INDEX('qtrP&amp;L'!$118:$118,MATCH(M$7,'qtrP&amp;L'!$6:$6,0))</f>
        <v>11.164</v>
      </c>
      <c r="N26" s="271">
        <f>INDEX('qtrP&amp;L'!$119:$119,MATCH(M$7,'qtrP&amp;L'!$6:$6,0))</f>
        <v>-6.69</v>
      </c>
      <c r="O26" s="271">
        <f>INDEX('qtrP&amp;L'!$120:$120,MATCH(M$7,'qtrP&amp;L'!$6:$6,0))</f>
        <v>23.952999999999999</v>
      </c>
      <c r="P26" s="271">
        <f>INDEX('qtrP&amp;L'!$121:$121,MATCH(M$7,'qtrP&amp;L'!$6:$6,0))</f>
        <v>70.872</v>
      </c>
      <c r="Q26" s="271"/>
      <c r="R26" s="271">
        <f>INDEX('qtrP&amp;L'!$118:$118,MATCH(R$7,'qtrP&amp;L'!$6:$6,0))</f>
        <v>17.959</v>
      </c>
      <c r="S26" s="271">
        <f>INDEX('qtrP&amp;L'!$119:$119,MATCH(R$7,'qtrP&amp;L'!$6:$6,0))</f>
        <v>9.2379999999999995</v>
      </c>
      <c r="T26" s="271">
        <f>INDEX('qtrP&amp;L'!$120:$120,MATCH(R$7,'qtrP&amp;L'!$6:$6,0))</f>
        <v>28.490999999999996</v>
      </c>
      <c r="U26" s="271">
        <f>INDEX('qtrP&amp;L'!$121:$121,MATCH(R$7,'qtrP&amp;L'!$6:$6,0))</f>
        <v>101.057</v>
      </c>
      <c r="V26" s="271"/>
      <c r="W26" s="271">
        <f>INDEX('qtrP&amp;L'!$118:$118,MATCH(W$7,'qtrP&amp;L'!$6:$6,0))</f>
        <v>25.846</v>
      </c>
      <c r="X26" s="271">
        <f>INDEX('qtrP&amp;L'!$119:$119,MATCH(W$7,'qtrP&amp;L'!$6:$6,0))</f>
        <v>6.4950000000000001</v>
      </c>
      <c r="Y26" s="271">
        <f>INDEX('qtrP&amp;L'!$120:$120,MATCH(W$7,'qtrP&amp;L'!$6:$6,0))</f>
        <v>33.993000000000002</v>
      </c>
      <c r="Z26" s="271">
        <f>INDEX('qtrP&amp;L'!$121:$121,MATCH(W$7,'qtrP&amp;L'!$6:$6,0))</f>
        <v>114.535</v>
      </c>
      <c r="AA26" s="271"/>
      <c r="AB26" s="271">
        <f>INDEX('qtrP&amp;L'!$118:$118,MATCH(AB$7,'qtrP&amp;L'!$6:$6,0))</f>
        <v>-29.748999999999999</v>
      </c>
      <c r="AC26" s="271">
        <f>INDEX('qtrP&amp;L'!$119:$119,MATCH(AB$7,'qtrP&amp;L'!$6:$6,0))</f>
        <v>-34.447000000000003</v>
      </c>
      <c r="AD26" s="271">
        <f>INDEX('qtrP&amp;L'!$120:$120,MATCH(AB$7,'qtrP&amp;L'!$6:$6,0))</f>
        <v>21.084</v>
      </c>
      <c r="AE26" s="271">
        <f>INDEX('qtrP&amp;L'!$121:$121,MATCH(AB$7,'qtrP&amp;L'!$6:$6,0))</f>
        <v>198.82</v>
      </c>
      <c r="AF26" s="271"/>
      <c r="AG26" s="271">
        <f>INDEX('qtrP&amp;L'!$118:$118,MATCH(AG$7,'qtrP&amp;L'!$6:$6,0))</f>
        <v>-19.071000000000002</v>
      </c>
      <c r="AH26" s="271">
        <f>INDEX('qtrP&amp;L'!$119:$119,MATCH(AG$7,'qtrP&amp;L'!$6:$6,0))</f>
        <v>-12.667</v>
      </c>
      <c r="AI26" s="271">
        <f>INDEX('qtrP&amp;L'!$120:$120,MATCH(AG$7,'qtrP&amp;L'!$6:$6,0))</f>
        <v>32.15</v>
      </c>
      <c r="AJ26" s="271">
        <f>INDEX('qtrP&amp;L'!$121:$121,MATCH(AG$7,'qtrP&amp;L'!$6:$6,0))</f>
        <v>175.15899999999999</v>
      </c>
      <c r="AK26" s="271"/>
      <c r="AL26" s="271">
        <f>INDEX('qtrP&amp;L'!$118:$118,MATCH(AL$7,'qtrP&amp;L'!$6:$6,0))</f>
        <v>19.623999999999999</v>
      </c>
      <c r="AM26" s="271">
        <f>INDEX('qtrP&amp;L'!$119:$119,MATCH(AL$7,'qtrP&amp;L'!$6:$6,0))</f>
        <v>46.226999999999997</v>
      </c>
      <c r="AN26" s="271">
        <f>INDEX('qtrP&amp;L'!$120:$120,MATCH(AL$7,'qtrP&amp;L'!$6:$6,0))</f>
        <v>70.968999999999994</v>
      </c>
      <c r="AO26" s="271">
        <f>INDEX('qtrP&amp;L'!$121:$121,MATCH(AL$7,'qtrP&amp;L'!$6:$6,0))</f>
        <v>246.84700000000001</v>
      </c>
      <c r="AP26" s="271"/>
      <c r="AQ26" s="271">
        <f>INDEX('qtrP&amp;L'!$118:$118,MATCH(AQ$7,'qtrP&amp;L'!$6:$6,0))</f>
        <v>43.765999999999998</v>
      </c>
      <c r="AR26" s="271">
        <f>INDEX('qtrP&amp;L'!$119:$119,MATCH(AQ$7,'qtrP&amp;L'!$6:$6,0))</f>
        <v>86</v>
      </c>
      <c r="AS26" s="271">
        <f>INDEX('qtrP&amp;L'!$120:$120,MATCH(AQ$7,'qtrP&amp;L'!$6:$6,0))</f>
        <v>75</v>
      </c>
      <c r="AT26" s="271">
        <f>INDEX('qtrP&amp;L'!$121:$121,MATCH(AQ$7,'qtrP&amp;L'!$6:$6,0))</f>
        <v>273</v>
      </c>
      <c r="AU26" s="271"/>
      <c r="AV26" s="271">
        <f>INDEX('qtrP&amp;L'!$118:$118,MATCH(AV$7,'qtrP&amp;L'!$6:$6,0))</f>
        <v>63</v>
      </c>
      <c r="AW26" s="271">
        <f>INDEX('qtrP&amp;L'!$119:$119,MATCH(AV$7,'qtrP&amp;L'!$6:$6,0))</f>
        <v>96</v>
      </c>
      <c r="AX26" s="271">
        <f>INDEX('qtrP&amp;L'!$120:$120,MATCH(AV$7,'qtrP&amp;L'!$6:$6,0))</f>
        <v>88</v>
      </c>
      <c r="AY26" s="271">
        <f>INDEX('qtrP&amp;L'!$121:$121,MATCH(AV$7,'qtrP&amp;L'!$6:$6,0))</f>
        <v>304</v>
      </c>
      <c r="AZ26" s="271"/>
      <c r="BA26" s="271">
        <f>INDEX('qtrP&amp;L'!$118:$118,MATCH(BA$7,'qtrP&amp;L'!$6:$6,0))</f>
        <v>82</v>
      </c>
      <c r="BB26" s="271">
        <f>INDEX('qtrP&amp;L'!$119:$119,MATCH(BA$7,'qtrP&amp;L'!$6:$6,0))</f>
        <v>130</v>
      </c>
      <c r="BC26" s="271">
        <f>INDEX('qtrP&amp;L'!$120:$120,MATCH(BA$7,'qtrP&amp;L'!$6:$6,0))</f>
        <v>76</v>
      </c>
      <c r="BD26" s="271">
        <f>INDEX('qtrP&amp;L'!$121:$121,MATCH(BA$7,'qtrP&amp;L'!$6:$6,0))</f>
        <v>261</v>
      </c>
      <c r="BE26" s="271"/>
      <c r="BF26" s="271">
        <f>INDEX('qtrP&amp;L'!$118:$118,MATCH(BF$7,'qtrP&amp;L'!$6:$6,0))</f>
        <v>42</v>
      </c>
      <c r="BG26" s="271">
        <f>INDEX('qtrP&amp;L'!$119:$119,MATCH(BF$7,'qtrP&amp;L'!$6:$6,0))</f>
        <v>55</v>
      </c>
      <c r="BH26" s="271">
        <f>INDEX('qtrP&amp;L'!$120:$120,MATCH(BF$7,'qtrP&amp;L'!$6:$6,0))</f>
        <v>20</v>
      </c>
      <c r="BI26" s="271">
        <f>INDEX('qtrP&amp;L'!$121:$121,MATCH(BF$7,'qtrP&amp;L'!$6:$6,0))</f>
        <v>189</v>
      </c>
      <c r="BJ26" s="271"/>
      <c r="BK26" s="271">
        <f>INDEX('qtrP&amp;L'!$118:$118,MATCH(BK$7,'qtrP&amp;L'!$6:$6,0))</f>
        <v>58</v>
      </c>
      <c r="BL26" s="271">
        <f>INDEX('qtrP&amp;L'!$119:$119,MATCH(BK$7,'qtrP&amp;L'!$6:$6,0))</f>
        <v>89</v>
      </c>
      <c r="BM26" s="271">
        <f>INDEX('qtrP&amp;L'!$120:$120,MATCH(BK$7,'qtrP&amp;L'!$6:$6,0))</f>
        <v>40</v>
      </c>
      <c r="BN26" s="271">
        <f>INDEX('qtrP&amp;L'!$121:$121,MATCH(BK$7,'qtrP&amp;L'!$6:$6,0))</f>
        <v>223</v>
      </c>
      <c r="BO26" s="271"/>
      <c r="BP26" s="271">
        <f>INDEX('qtrP&amp;L'!$118:$118,MATCH(BP$7,'qtrP&amp;L'!$6:$6,0))</f>
        <v>30</v>
      </c>
      <c r="BQ26" s="271">
        <f>INDEX('qtrP&amp;L'!$119:$119,MATCH(BP$7,'qtrP&amp;L'!$6:$6,0))</f>
        <v>79</v>
      </c>
      <c r="BR26" s="271">
        <f>INDEX('qtrP&amp;L'!$120:$120,MATCH(BP$7,'qtrP&amp;L'!$6:$6,0))</f>
        <v>45</v>
      </c>
      <c r="BS26" s="271">
        <f>INDEX('qtrP&amp;L'!$121:$121,MATCH(BP$7,'qtrP&amp;L'!$6:$6,0))</f>
        <v>275</v>
      </c>
      <c r="BT26" s="271"/>
      <c r="BU26" s="271">
        <f>INDEX('qtrP&amp;L'!$118:$118,MATCH(BU$7,'qtrP&amp;L'!$6:$6,0))</f>
        <v>60</v>
      </c>
      <c r="BV26" s="271">
        <f>INDEX('qtrP&amp;L'!$119:$119,MATCH(BU$7,'qtrP&amp;L'!$6:$6,0))</f>
        <v>48</v>
      </c>
      <c r="BW26" s="271">
        <f>INDEX('qtrP&amp;L'!$120:$120,MATCH(BU$7,'qtrP&amp;L'!$6:$6,0))</f>
        <v>46</v>
      </c>
      <c r="BX26" s="271">
        <f>INDEX('qtrP&amp;L'!$121:$121,MATCH(BU$7,'qtrP&amp;L'!$6:$6,0))</f>
        <v>273</v>
      </c>
      <c r="BY26" s="271"/>
      <c r="BZ26" s="271">
        <f>INDEX('qtrP&amp;L'!$118:$118,MATCH(BZ$7,'qtrP&amp;L'!$6:$6,0))</f>
        <v>74.646000000000001</v>
      </c>
      <c r="CA26" s="271">
        <f>INDEX('qtrP&amp;L'!$119:$119,MATCH(BZ$7,'qtrP&amp;L'!$6:$6,0))</f>
        <v>89</v>
      </c>
      <c r="CB26" s="271">
        <f>INDEX('qtrP&amp;L'!$120:$120,MATCH(BZ$7,'qtrP&amp;L'!$6:$6,0))</f>
        <v>202.76258992805757</v>
      </c>
      <c r="CC26" s="271">
        <f>INDEX('qtrP&amp;L'!$121:$121,MATCH(BZ$7,'qtrP&amp;L'!$6:$6,0))</f>
        <v>399</v>
      </c>
      <c r="CD26" s="271"/>
      <c r="CE26" s="271">
        <f>INDEX('qtrP&amp;L'!$118:$118,MATCH(CE$7,'qtrP&amp;L'!$6:$6,0))</f>
        <v>-44</v>
      </c>
      <c r="CF26" s="271">
        <f>INDEX('qtrP&amp;L'!$119:$119,MATCH(CE$7,'qtrP&amp;L'!$6:$6,0))</f>
        <v>114.75</v>
      </c>
      <c r="CG26" s="271">
        <f>INDEX('qtrP&amp;L'!$120:$120,MATCH(CE$7,'qtrP&amp;L'!$6:$6,0))</f>
        <v>10</v>
      </c>
      <c r="CH26" s="271">
        <f>INDEX('qtrP&amp;L'!$121:$121,MATCH(CE$7,'qtrP&amp;L'!$6:$6,0))</f>
        <v>431</v>
      </c>
      <c r="CI26" s="271"/>
      <c r="CJ26" s="271">
        <f>INDEX('qtrP&amp;L'!$118:$118,MATCH(CJ$7,'qtrP&amp;L'!$6:$6,0))</f>
        <v>31</v>
      </c>
      <c r="CK26" s="271">
        <f>INDEX('qtrP&amp;L'!$119:$119,MATCH(CJ$7,'qtrP&amp;L'!$6:$6,0))</f>
        <v>39</v>
      </c>
      <c r="CL26" s="271">
        <f>INDEX('qtrP&amp;L'!$120:$120,MATCH(CJ$7,'qtrP&amp;L'!$6:$6,0))</f>
        <v>5</v>
      </c>
      <c r="CM26" s="271">
        <f>INDEX('qtrP&amp;L'!$121:$121,MATCH(CJ$7,'qtrP&amp;L'!$6:$6,0))</f>
        <v>414</v>
      </c>
      <c r="CN26" s="271"/>
      <c r="CO26" s="271">
        <f>INDEX('qtrP&amp;L'!$118:$118,MATCH(CO$7,'qtrP&amp;L'!$6:$6,0))</f>
        <v>-47</v>
      </c>
      <c r="CP26" s="271">
        <f>INDEX('qtrP&amp;L'!$119:$119,MATCH(CO$7,'qtrP&amp;L'!$6:$6,0))</f>
        <v>48</v>
      </c>
      <c r="CQ26" s="271">
        <f>INDEX('qtrP&amp;L'!$120:$120,MATCH(CO$7,'qtrP&amp;L'!$6:$6,0))</f>
        <v>-31</v>
      </c>
      <c r="CR26" s="271">
        <f>INDEX('qtrP&amp;L'!$121:$121,MATCH(CO$7,'qtrP&amp;L'!$6:$6,0))</f>
        <v>-105</v>
      </c>
      <c r="CS26" s="271"/>
      <c r="CT26" s="271">
        <f>INDEX('qtrP&amp;L'!$118:$118,MATCH(CT$7,'qtrP&amp;L'!$6:$6,0))</f>
        <v>-167</v>
      </c>
      <c r="CU26" s="271">
        <f>INDEX('qtrP&amp;L'!$119:$119,MATCH(CT$7,'qtrP&amp;L'!$6:$6,0))</f>
        <v>102</v>
      </c>
      <c r="CV26" s="271">
        <f>INDEX('qtrP&amp;L'!$120:$120,MATCH(CT$7,'qtrP&amp;L'!$6:$6,0))</f>
        <v>-47</v>
      </c>
      <c r="CW26" s="271">
        <f>INDEX('qtrP&amp;L'!$121:$121,MATCH(CT$7,'qtrP&amp;L'!$6:$6,0))</f>
        <v>290</v>
      </c>
      <c r="CX26" s="271"/>
      <c r="CY26" s="271">
        <f>INDEX('qtrP&amp;L'!$118:$118,MATCH(CY$7,'qtrP&amp;L'!$6:$6,0))</f>
        <v>18</v>
      </c>
      <c r="CZ26" s="271">
        <f>INDEX('qtrP&amp;L'!$119:$119,MATCH(CY$7,'qtrP&amp;L'!$6:$6,0))</f>
        <v>93</v>
      </c>
      <c r="DA26" s="271">
        <f>INDEX('qtrP&amp;L'!$120:$120,MATCH(CY$7,'qtrP&amp;L'!$6:$6,0))</f>
        <v>3</v>
      </c>
      <c r="DB26" s="271">
        <f>INDEX('qtrP&amp;L'!$121:$121,MATCH(CY$7,'qtrP&amp;L'!$6:$6,0))</f>
        <v>359</v>
      </c>
      <c r="DC26" s="271"/>
      <c r="DD26" s="271">
        <f>INDEX('qtrP&amp;L'!$118:$118,MATCH(DD$7,'qtrP&amp;L'!$6:$6,0))</f>
        <v>83</v>
      </c>
      <c r="DE26" s="271">
        <f>INDEX('qtrP&amp;L'!$119:$119,MATCH(DD$7,'qtrP&amp;L'!$6:$6,0))</f>
        <v>154</v>
      </c>
      <c r="DF26" s="271">
        <f>INDEX('qtrP&amp;L'!$120:$120,MATCH(DD$7,'qtrP&amp;L'!$6:$6,0))</f>
        <v>44</v>
      </c>
      <c r="DG26" s="271">
        <f>INDEX('qtrP&amp;L'!$121:$121,MATCH(DD$7,'qtrP&amp;L'!$6:$6,0))</f>
        <v>431</v>
      </c>
      <c r="DH26" s="271"/>
      <c r="DI26" s="271">
        <f>INDEX('qtrP&amp;L'!$118:$118,MATCH(DI$7,'qtrP&amp;L'!$6:$6,0))</f>
        <v>98</v>
      </c>
      <c r="DJ26" s="271">
        <f>INDEX('qtrP&amp;L'!$119:$119,MATCH(DI$7,'qtrP&amp;L'!$6:$6,0))</f>
        <v>170</v>
      </c>
      <c r="DK26" s="271">
        <f>INDEX('qtrP&amp;L'!$120:$120,MATCH(DI$7,'qtrP&amp;L'!$6:$6,0))</f>
        <v>77</v>
      </c>
      <c r="DL26" s="271">
        <f>INDEX('qtrP&amp;L'!$121:$121,MATCH(DI$7,'qtrP&amp;L'!$6:$6,0))</f>
        <v>472</v>
      </c>
      <c r="DM26" s="271"/>
      <c r="DN26" s="271">
        <f>INDEX('qtrP&amp;L'!$118:$118,MATCH(DN$7,'qtrP&amp;L'!$6:$6,0))</f>
        <v>121</v>
      </c>
      <c r="DO26" s="271">
        <f>INDEX('qtrP&amp;L'!$119:$119,MATCH(DN$7,'qtrP&amp;L'!$6:$6,0))</f>
        <v>157</v>
      </c>
      <c r="DP26" s="271">
        <f>INDEX('qtrP&amp;L'!$120:$120,MATCH(DN$7,'qtrP&amp;L'!$6:$6,0))</f>
        <v>87</v>
      </c>
      <c r="DQ26" s="271">
        <f>INDEX('qtrP&amp;L'!$121:$121,MATCH(DN$7,'qtrP&amp;L'!$6:$6,0))</f>
        <v>472.44</v>
      </c>
      <c r="DR26" s="271"/>
      <c r="DS26" s="271">
        <f>INDEX('qtrP&amp;L'!$118:$118,MATCH(DS$7,'qtrP&amp;L'!$6:$6,0))</f>
        <v>119</v>
      </c>
      <c r="DT26" s="271">
        <f>INDEX('qtrP&amp;L'!$119:$119,MATCH(DS$7,'qtrP&amp;L'!$6:$6,0))</f>
        <v>179</v>
      </c>
      <c r="DU26" s="271">
        <f>INDEX('qtrP&amp;L'!$120:$120,MATCH(DS$7,'qtrP&amp;L'!$6:$6,0))</f>
        <v>109</v>
      </c>
      <c r="DV26" s="271">
        <f>INDEX('qtrP&amp;L'!$121:$121,MATCH(DS$7,'qtrP&amp;L'!$6:$6,0))</f>
        <v>496.52</v>
      </c>
      <c r="DW26" s="271"/>
      <c r="DX26" s="271">
        <f>INDEX('qtrP&amp;L'!$118:$118,MATCH(DX$7,'qtrP&amp;L'!$6:$6,0))</f>
        <v>121</v>
      </c>
      <c r="DY26" s="271">
        <f>INDEX('qtrP&amp;L'!$119:$119,MATCH(DX$7,'qtrP&amp;L'!$6:$6,0))</f>
        <v>126</v>
      </c>
      <c r="DZ26" s="271">
        <f>INDEX('qtrP&amp;L'!$120:$120,MATCH(DX$7,'qtrP&amp;L'!$6:$6,0))</f>
        <v>103.18</v>
      </c>
      <c r="EA26" s="271">
        <f>INDEX('qtrP&amp;L'!$121:$121,MATCH(DX$7,'qtrP&amp;L'!$6:$6,0))</f>
        <v>361.95</v>
      </c>
      <c r="EB26" s="261"/>
      <c r="EC26" s="271">
        <f>INDEX('qtrP&amp;L'!$118:$118,MATCH(EC$7,'qtrP&amp;L'!$6:$6,0))</f>
        <v>72</v>
      </c>
      <c r="ED26" s="271">
        <f>INDEX('qtrP&amp;L'!$119:$119,MATCH(EC$7,'qtrP&amp;L'!$6:$6,0))</f>
        <v>99.199999999999989</v>
      </c>
      <c r="EE26" s="271">
        <f>INDEX('qtrP&amp;L'!$120:$120,MATCH(EC$7,'qtrP&amp;L'!$6:$6,0))</f>
        <v>35.543999999999997</v>
      </c>
      <c r="EF26" s="271">
        <f>INDEX('qtrP&amp;L'!$121:$121,MATCH(EC$7,'qtrP&amp;L'!$6:$6,0))</f>
        <v>358.71500000000003</v>
      </c>
      <c r="EG26" s="261"/>
      <c r="EH26" s="271">
        <f>INDEX('qtrP&amp;L'!$118:$118,MATCH(EH$7,'qtrP&amp;L'!$6:$6,0))</f>
        <v>66.52</v>
      </c>
      <c r="EI26" s="271">
        <f>INDEX('qtrP&amp;L'!$119:$119,MATCH(EH$7,'qtrP&amp;L'!$6:$6,0))</f>
        <v>78.394999999999996</v>
      </c>
      <c r="EJ26" s="271">
        <f>INDEX('qtrP&amp;L'!$120:$120,MATCH(EH$7,'qtrP&amp;L'!$6:$6,0))</f>
        <v>34.65</v>
      </c>
      <c r="EK26" s="271">
        <f>INDEX('qtrP&amp;L'!$121:$121,MATCH(EH$7,'qtrP&amp;L'!$6:$6,0))</f>
        <v>461.03499999999997</v>
      </c>
      <c r="EL26" s="271"/>
      <c r="EM26" s="1404">
        <f>INDEX('qtrP&amp;L'!$118:$118,MATCH(EM$7,'qtrP&amp;L'!$6:$6,0))</f>
        <v>35.012896307999924</v>
      </c>
      <c r="EN26" s="1404">
        <f>INDEX('qtrP&amp;L'!$119:$119,MATCH(EM$7,'qtrP&amp;L'!$6:$6,0))</f>
        <v>44.497974003750123</v>
      </c>
      <c r="EO26" s="1404">
        <f>INDEX('qtrP&amp;L'!$120:$120,MATCH(EM$7,'qtrP&amp;L'!$6:$6,0))</f>
        <v>26.40528284249989</v>
      </c>
      <c r="EP26" s="1404">
        <f>INDEX('qtrP&amp;L'!$121:$121,MATCH(EM$7,'qtrP&amp;L'!$6:$6,0))</f>
        <v>225.10131648224993</v>
      </c>
      <c r="EQ26" s="262"/>
      <c r="ER26" s="316">
        <f>'yrP&amp;L'!F39</f>
        <v>99.299000000000007</v>
      </c>
      <c r="ES26" s="272">
        <f>'yrP&amp;L'!G39</f>
        <v>156.745</v>
      </c>
      <c r="ET26" s="272">
        <f>'yrP&amp;L'!H39</f>
        <v>180.869</v>
      </c>
      <c r="EU26" s="272">
        <f>'yrP&amp;L'!I39</f>
        <v>55.495050000000049</v>
      </c>
      <c r="EV26" s="272">
        <f>'yrP&amp;L'!J39</f>
        <v>155.708</v>
      </c>
      <c r="EW26" s="272"/>
      <c r="EX26" s="272">
        <f>'yrP&amp;L'!L39</f>
        <v>127</v>
      </c>
      <c r="EY26" s="272">
        <f>'yrP&amp;L'!M39</f>
        <v>175</v>
      </c>
      <c r="EZ26" s="272">
        <f>'yrP&amp;L'!N39</f>
        <v>383</v>
      </c>
      <c r="FA26" s="272">
        <f>'yrP&amp;L'!O39</f>
        <v>477.76599999999996</v>
      </c>
      <c r="FB26" s="272">
        <f>'yrP&amp;L'!P39</f>
        <v>561</v>
      </c>
      <c r="FC26" s="272">
        <f>'yrP&amp;L'!Q39</f>
        <v>549</v>
      </c>
      <c r="FD26" s="272">
        <f>'yrP&amp;L'!R39</f>
        <v>306</v>
      </c>
      <c r="FE26" s="272">
        <f>'yrP&amp;L'!S39</f>
        <v>410</v>
      </c>
      <c r="FF26" s="272">
        <f>'yrP&amp;L'!T39</f>
        <v>429</v>
      </c>
      <c r="FG26" s="272">
        <f>'yrP&amp;L'!U39</f>
        <v>427</v>
      </c>
      <c r="FH26" s="272">
        <f>'yrP&amp;L'!V39</f>
        <v>765.40858992805761</v>
      </c>
      <c r="FI26" s="316">
        <f>'yrP&amp;L'!W39</f>
        <v>511.75</v>
      </c>
      <c r="FJ26" s="272">
        <f>'yrP&amp;L'!X39</f>
        <v>489</v>
      </c>
      <c r="FK26" s="273">
        <f>FK24*FK50</f>
        <v>320.00000000000006</v>
      </c>
      <c r="FL26" s="316">
        <f>FL24*FL50</f>
        <v>322</v>
      </c>
      <c r="FM26" s="316">
        <f>'yrP&amp;L'!AA39</f>
        <v>473.04089219330854</v>
      </c>
      <c r="FN26" s="272">
        <f>'yrP&amp;L'!AB39</f>
        <v>712</v>
      </c>
      <c r="FO26" s="272">
        <f>'yrP&amp;L'!AC39</f>
        <v>817</v>
      </c>
      <c r="FP26" s="272">
        <f>'yrP&amp;L'!AD39</f>
        <v>837.44</v>
      </c>
      <c r="FQ26" s="272">
        <f>'yrP&amp;L'!AE39</f>
        <v>903.52</v>
      </c>
      <c r="FR26" s="272">
        <f>'yrP&amp;L'!AF39</f>
        <v>712.13</v>
      </c>
      <c r="FS26" s="272">
        <f>'yrP&amp;L'!AG39</f>
        <v>565.45900000000006</v>
      </c>
      <c r="FT26" s="1504">
        <f>'yrP&amp;L'!AH39</f>
        <v>640.59999999999991</v>
      </c>
      <c r="FU26" s="272">
        <f>'yrP&amp;L'!AI39</f>
        <v>331.01746963649987</v>
      </c>
      <c r="FV26" s="272">
        <f>'yrP&amp;L'!AJ39</f>
        <v>252.56769193124455</v>
      </c>
      <c r="FW26" s="273">
        <f>'yrP&amp;L'!AK39</f>
        <v>178.75874506463396</v>
      </c>
      <c r="FX26" s="272">
        <f>'yrP&amp;L'!AL39</f>
        <v>118.10852553418097</v>
      </c>
      <c r="FY26" s="1361">
        <f>'yrP&amp;L'!AM39</f>
        <v>61.601973509081027</v>
      </c>
      <c r="FZ26" s="316"/>
      <c r="GA26" s="272"/>
      <c r="GJ26" s="261"/>
      <c r="GK26" s="261"/>
      <c r="GL26" s="261"/>
      <c r="GM26" s="261"/>
      <c r="GN26" s="261"/>
      <c r="GO26" s="261"/>
    </row>
    <row r="27" spans="1:197" ht="18.75" customHeight="1" x14ac:dyDescent="0.2">
      <c r="A27" s="260"/>
      <c r="B27" s="261"/>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261"/>
      <c r="BG27" s="261"/>
      <c r="BH27" s="261"/>
      <c r="BI27" s="261"/>
      <c r="BJ27" s="261"/>
      <c r="BK27" s="261"/>
      <c r="BL27" s="261"/>
      <c r="BM27" s="261"/>
      <c r="BN27" s="261"/>
      <c r="BO27" s="261"/>
      <c r="BP27" s="261"/>
      <c r="BQ27" s="261"/>
      <c r="BR27" s="261"/>
      <c r="BS27" s="261"/>
      <c r="BT27" s="261"/>
      <c r="BU27" s="261"/>
      <c r="BV27" s="261"/>
      <c r="BW27" s="261"/>
      <c r="BX27" s="261"/>
      <c r="BY27" s="261"/>
      <c r="BZ27" s="261"/>
      <c r="CA27" s="261"/>
      <c r="CB27" s="261"/>
      <c r="CC27" s="261"/>
      <c r="CD27" s="261"/>
      <c r="CE27" s="261"/>
      <c r="CF27" s="261"/>
      <c r="CG27" s="261"/>
      <c r="CH27" s="261"/>
      <c r="CI27" s="261"/>
      <c r="CJ27" s="261"/>
      <c r="CK27" s="261"/>
      <c r="CL27" s="261"/>
      <c r="CM27" s="261"/>
      <c r="CN27" s="261"/>
      <c r="CO27" s="261"/>
      <c r="CP27" s="261"/>
      <c r="CQ27" s="261"/>
      <c r="CR27" s="261"/>
      <c r="CS27" s="261"/>
      <c r="CT27" s="261"/>
      <c r="CU27" s="261"/>
      <c r="CV27" s="261"/>
      <c r="CW27" s="261"/>
      <c r="CX27" s="261"/>
      <c r="CY27" s="261"/>
      <c r="CZ27" s="261"/>
      <c r="DA27" s="261"/>
      <c r="DB27" s="261"/>
      <c r="DC27" s="261"/>
      <c r="DD27" s="261"/>
      <c r="DE27" s="261"/>
      <c r="DF27" s="261"/>
      <c r="DG27" s="261"/>
      <c r="DH27" s="261"/>
      <c r="DI27" s="261"/>
      <c r="DJ27" s="261"/>
      <c r="DK27" s="261"/>
      <c r="DL27" s="261"/>
      <c r="DM27" s="261"/>
      <c r="DN27" s="261"/>
      <c r="DO27" s="261"/>
      <c r="DP27" s="261"/>
      <c r="DQ27" s="261"/>
      <c r="DR27" s="261"/>
      <c r="DS27" s="261"/>
      <c r="DT27" s="261"/>
      <c r="DU27" s="261"/>
      <c r="DV27" s="261"/>
      <c r="DW27" s="261"/>
      <c r="DX27" s="261"/>
      <c r="DY27" s="261"/>
      <c r="DZ27" s="261"/>
      <c r="EA27" s="261"/>
      <c r="EB27" s="261"/>
      <c r="EC27" s="261"/>
      <c r="ED27" s="261"/>
      <c r="EE27" s="261"/>
      <c r="EF27" s="261"/>
      <c r="EG27" s="261"/>
      <c r="EH27" s="261"/>
      <c r="EI27" s="261"/>
      <c r="EJ27" s="261"/>
      <c r="EK27" s="261"/>
      <c r="EL27" s="261"/>
      <c r="EM27" s="1325"/>
      <c r="EN27" s="1325"/>
      <c r="EO27" s="1325"/>
      <c r="EP27" s="1325"/>
      <c r="EQ27" s="262"/>
      <c r="ER27" s="312"/>
      <c r="ES27" s="269"/>
      <c r="ET27" s="269"/>
      <c r="EU27" s="269"/>
      <c r="EV27" s="269"/>
      <c r="EW27" s="269"/>
      <c r="EX27" s="269"/>
      <c r="EY27" s="269"/>
      <c r="EZ27" s="269"/>
      <c r="FA27" s="269"/>
      <c r="FB27" s="269"/>
      <c r="FC27" s="269"/>
      <c r="FD27" s="269"/>
      <c r="FE27" s="269"/>
      <c r="FF27" s="269"/>
      <c r="FG27" s="269"/>
      <c r="FH27" s="269"/>
      <c r="FI27" s="312"/>
      <c r="FJ27" s="269"/>
      <c r="FK27" s="266"/>
      <c r="FL27" s="312"/>
      <c r="FM27" s="312"/>
      <c r="FN27" s="269"/>
      <c r="FO27" s="269"/>
      <c r="FP27" s="269"/>
      <c r="FQ27" s="269"/>
      <c r="FR27" s="269"/>
      <c r="FS27" s="269"/>
      <c r="FT27" s="269"/>
      <c r="FU27" s="272"/>
      <c r="FV27" s="272"/>
      <c r="FW27" s="273"/>
      <c r="FX27" s="269"/>
      <c r="FY27" s="1360"/>
      <c r="FZ27" s="316"/>
      <c r="GA27" s="272"/>
      <c r="GJ27" s="261"/>
      <c r="GK27" s="326"/>
      <c r="GL27" s="584"/>
      <c r="GM27" s="584"/>
      <c r="GN27" s="261"/>
      <c r="GO27" s="261"/>
    </row>
    <row r="28" spans="1:197" x14ac:dyDescent="0.2">
      <c r="A28" s="260" t="s">
        <v>168</v>
      </c>
      <c r="B28" s="261"/>
      <c r="C28" s="263">
        <f>C24-C26</f>
        <v>-99.439999999999898</v>
      </c>
      <c r="D28" s="263">
        <f>D24-D26</f>
        <v>-126.372</v>
      </c>
      <c r="E28" s="263">
        <f>E24-E26</f>
        <v>-86.802000000000035</v>
      </c>
      <c r="F28" s="263">
        <f>F24-F26</f>
        <v>41.16799999999995</v>
      </c>
      <c r="G28" s="322"/>
      <c r="H28" s="263">
        <f>H24-H26</f>
        <v>-64.160999999999916</v>
      </c>
      <c r="I28" s="263">
        <f>I24-I26</f>
        <v>-143.82800000000009</v>
      </c>
      <c r="J28" s="263">
        <f>J24-J26</f>
        <v>-60.994999999999948</v>
      </c>
      <c r="K28" s="263">
        <f>K24-K26</f>
        <v>-977.04399999999964</v>
      </c>
      <c r="L28" s="322"/>
      <c r="M28" s="263">
        <f>M24-M26</f>
        <v>11.812000000000177</v>
      </c>
      <c r="N28" s="263">
        <f>N24-N26</f>
        <v>-15.789000000000041</v>
      </c>
      <c r="O28" s="263">
        <f>O24-O26</f>
        <v>31.581999999999926</v>
      </c>
      <c r="P28" s="263">
        <f>P24-P26</f>
        <v>105.10300000000002</v>
      </c>
      <c r="Q28" s="322"/>
      <c r="R28" s="263">
        <f>R24-R26</f>
        <v>21.700000000000063</v>
      </c>
      <c r="S28" s="263">
        <f>S24-S26</f>
        <v>8.8529999999999696</v>
      </c>
      <c r="T28" s="263">
        <f>T24-T26</f>
        <v>34.523999999999958</v>
      </c>
      <c r="U28" s="263">
        <f>U24-U26</f>
        <v>145.9579999999998</v>
      </c>
      <c r="V28" s="322"/>
      <c r="W28" s="263">
        <f>W24-W26</f>
        <v>32.222000000000179</v>
      </c>
      <c r="X28" s="263">
        <f>X24-X26</f>
        <v>3.771999999999843</v>
      </c>
      <c r="Y28" s="263">
        <f>Y24-Y26</f>
        <v>44.343000000000011</v>
      </c>
      <c r="Z28" s="263">
        <f>Z24-Z26</f>
        <v>166.51599999999993</v>
      </c>
      <c r="AA28" s="322"/>
      <c r="AB28" s="263">
        <f>AB24-AB26</f>
        <v>-56.999000000000294</v>
      </c>
      <c r="AC28" s="263">
        <f>AC24-AC26</f>
        <v>-67.174999999999898</v>
      </c>
      <c r="AD28" s="263">
        <f>AD24-AD26</f>
        <v>21.895999999999749</v>
      </c>
      <c r="AE28" s="263">
        <f>AE24-AE26</f>
        <v>251.26899999999983</v>
      </c>
      <c r="AF28" s="322"/>
      <c r="AG28" s="263">
        <f>AG24-AG26</f>
        <v>-37.923000000000158</v>
      </c>
      <c r="AH28" s="263">
        <f>AH24-AH26</f>
        <v>-27.221000000000203</v>
      </c>
      <c r="AI28" s="263">
        <f>AI24-AI26</f>
        <v>41.753000000000206</v>
      </c>
      <c r="AJ28" s="263">
        <f>AJ24-AJ26</f>
        <v>289.64399999999966</v>
      </c>
      <c r="AK28" s="322"/>
      <c r="AL28" s="263">
        <f>AL24-AL26</f>
        <v>23.568000000000193</v>
      </c>
      <c r="AM28" s="263">
        <f>AM24-AM26</f>
        <v>66.341000000000349</v>
      </c>
      <c r="AN28" s="263">
        <f>AN24-AN26</f>
        <v>104.9380000000001</v>
      </c>
      <c r="AO28" s="263">
        <f>AO24-AO26</f>
        <v>379.08000000000004</v>
      </c>
      <c r="AP28" s="322"/>
      <c r="AQ28" s="263">
        <f>AQ24-AQ26</f>
        <v>60.234000000000002</v>
      </c>
      <c r="AR28" s="263">
        <f>AR24-AR26</f>
        <v>107</v>
      </c>
      <c r="AS28" s="263">
        <f>AS24-AS26</f>
        <v>110</v>
      </c>
      <c r="AT28" s="263">
        <f>AT24-AT26</f>
        <v>408</v>
      </c>
      <c r="AU28" s="322"/>
      <c r="AV28" s="263">
        <f>AV24-AV26</f>
        <v>87</v>
      </c>
      <c r="AW28" s="263">
        <f>AW24-AW26</f>
        <v>137</v>
      </c>
      <c r="AX28" s="263">
        <f>AX24-AX26</f>
        <v>123</v>
      </c>
      <c r="AY28" s="263">
        <f>AY24-AY26</f>
        <v>448</v>
      </c>
      <c r="AZ28" s="322"/>
      <c r="BA28" s="263">
        <f>BA24-BA26</f>
        <v>118</v>
      </c>
      <c r="BB28" s="263">
        <f>BB24-BB26</f>
        <v>194</v>
      </c>
      <c r="BC28" s="263">
        <f>BC24-BC26</f>
        <v>109</v>
      </c>
      <c r="BD28" s="263">
        <f>BD24-BD26</f>
        <v>400</v>
      </c>
      <c r="BE28" s="322"/>
      <c r="BF28" s="263">
        <f>BF24-BF26</f>
        <v>58</v>
      </c>
      <c r="BG28" s="263">
        <f>BG24-BG26</f>
        <v>80</v>
      </c>
      <c r="BH28" s="263">
        <f>BH24-BH26</f>
        <v>26</v>
      </c>
      <c r="BI28" s="263">
        <f>BI24-BI26</f>
        <v>310</v>
      </c>
      <c r="BJ28" s="322"/>
      <c r="BK28" s="263">
        <f>BK24-BK26</f>
        <v>89</v>
      </c>
      <c r="BL28" s="263">
        <f>BL24-BL26</f>
        <v>133</v>
      </c>
      <c r="BM28" s="263">
        <f>BM24-BM26</f>
        <v>75</v>
      </c>
      <c r="BN28" s="263">
        <f>BN24-BN26</f>
        <v>341</v>
      </c>
      <c r="BO28" s="322"/>
      <c r="BP28" s="263">
        <f>BP24-BP26</f>
        <v>46</v>
      </c>
      <c r="BQ28" s="263">
        <f>BQ24-BQ26</f>
        <v>120</v>
      </c>
      <c r="BR28" s="263">
        <f>BR24-BR26</f>
        <v>67</v>
      </c>
      <c r="BS28" s="263">
        <f>BS24-BS26</f>
        <v>422</v>
      </c>
      <c r="BT28" s="322"/>
      <c r="BU28" s="263">
        <f>BU24-BU26</f>
        <v>97</v>
      </c>
      <c r="BV28" s="263">
        <f>BV24-BV26</f>
        <v>78</v>
      </c>
      <c r="BW28" s="263">
        <f>BW24-BW26</f>
        <v>74</v>
      </c>
      <c r="BX28" s="263">
        <f>BX24-BX26</f>
        <v>440</v>
      </c>
      <c r="BY28" s="322"/>
      <c r="BZ28" s="263">
        <f>BZ24-BZ26</f>
        <v>123.354</v>
      </c>
      <c r="CA28" s="263">
        <f>CA24-CA26</f>
        <v>148</v>
      </c>
      <c r="CB28" s="263">
        <f>CB24-CB26</f>
        <v>339.23741007194246</v>
      </c>
      <c r="CC28" s="263">
        <f>CC24-CC26</f>
        <v>668</v>
      </c>
      <c r="CD28" s="322"/>
      <c r="CE28" s="263">
        <f>CE24-CE26</f>
        <v>-74</v>
      </c>
      <c r="CF28" s="263">
        <f>CF24-CF26</f>
        <v>191.25</v>
      </c>
      <c r="CG28" s="263">
        <f>CG24-CG26</f>
        <v>20</v>
      </c>
      <c r="CH28" s="263">
        <f>CH24-CH26</f>
        <v>726</v>
      </c>
      <c r="CI28" s="322"/>
      <c r="CJ28" s="263">
        <f>CJ24-CJ26</f>
        <v>52</v>
      </c>
      <c r="CK28" s="263">
        <f>CK24-CK26</f>
        <v>74</v>
      </c>
      <c r="CL28" s="263">
        <f>CL24-CL26</f>
        <v>33</v>
      </c>
      <c r="CM28" s="263">
        <f>CM24-CM26</f>
        <v>672</v>
      </c>
      <c r="CN28" s="322"/>
      <c r="CO28" s="263">
        <f>CO24-CO26</f>
        <v>-59</v>
      </c>
      <c r="CP28" s="263">
        <f>CP24-CP26</f>
        <v>73</v>
      </c>
      <c r="CQ28" s="263">
        <f>CQ24-CQ26</f>
        <v>-44</v>
      </c>
      <c r="CR28" s="263">
        <f>CR24-CR26</f>
        <v>609</v>
      </c>
      <c r="CS28" s="322"/>
      <c r="CT28" s="263">
        <f>CT24-CT26</f>
        <v>-88</v>
      </c>
      <c r="CU28" s="263">
        <f>CU24-CU26</f>
        <v>7</v>
      </c>
      <c r="CV28" s="263">
        <f>CV24-CV26</f>
        <v>-35</v>
      </c>
      <c r="CW28" s="263">
        <f>CW24-CW26</f>
        <v>445</v>
      </c>
      <c r="CX28" s="322"/>
      <c r="CY28" s="263">
        <f>CY24-CY26</f>
        <v>23</v>
      </c>
      <c r="CZ28" s="263">
        <f>CZ24-CZ26</f>
        <v>147</v>
      </c>
      <c r="DA28" s="263">
        <f>DA24-DA26</f>
        <v>10</v>
      </c>
      <c r="DB28" s="263">
        <f>DB24-DB26</f>
        <v>667</v>
      </c>
      <c r="DC28" s="322"/>
      <c r="DD28" s="263">
        <f>DD24-DD26</f>
        <v>131</v>
      </c>
      <c r="DE28" s="263">
        <f>DE24-DE26</f>
        <v>241</v>
      </c>
      <c r="DF28" s="263">
        <f>DF24-DF26</f>
        <v>139</v>
      </c>
      <c r="DG28" s="263">
        <f>DG24-DG26</f>
        <v>745</v>
      </c>
      <c r="DH28" s="322"/>
      <c r="DI28" s="263">
        <f>DI24-DI26</f>
        <v>181</v>
      </c>
      <c r="DJ28" s="263">
        <f>DJ24-DJ26</f>
        <v>279</v>
      </c>
      <c r="DK28" s="263">
        <f>DK24-DK26</f>
        <v>145</v>
      </c>
      <c r="DL28" s="263">
        <f>DL24-DL26</f>
        <v>818</v>
      </c>
      <c r="DM28" s="322"/>
      <c r="DN28" s="263">
        <f>DN24-DN26</f>
        <v>217</v>
      </c>
      <c r="DO28" s="263">
        <f>DO24-DO26</f>
        <v>281</v>
      </c>
      <c r="DP28" s="263">
        <f>DP24-DP26</f>
        <v>177</v>
      </c>
      <c r="DQ28" s="263">
        <f>DQ24-DQ26</f>
        <v>865.56</v>
      </c>
      <c r="DR28" s="322"/>
      <c r="DS28" s="263">
        <f>DS24-DS26</f>
        <v>224</v>
      </c>
      <c r="DT28" s="263">
        <f>DT24-DT26</f>
        <v>292</v>
      </c>
      <c r="DU28" s="263">
        <f>DU24-DU26</f>
        <v>217</v>
      </c>
      <c r="DV28" s="263">
        <f>DV24-DV26</f>
        <v>857.48</v>
      </c>
      <c r="DW28" s="322"/>
      <c r="DX28" s="263">
        <f>DX24-DX26</f>
        <v>193</v>
      </c>
      <c r="DY28" s="263">
        <f>DY24-DY26</f>
        <v>217</v>
      </c>
      <c r="DZ28" s="263">
        <f>DZ24-DZ26</f>
        <v>185.82</v>
      </c>
      <c r="EA28" s="263">
        <f>EA24-EA26</f>
        <v>658.05</v>
      </c>
      <c r="EB28" s="261"/>
      <c r="EC28" s="263">
        <f>'qtrP&amp;L'!DH128</f>
        <v>131</v>
      </c>
      <c r="ED28" s="263">
        <f>'qtrP&amp;L'!DH129</f>
        <v>165.55</v>
      </c>
      <c r="EE28" s="263">
        <f>'qtrP&amp;L'!DH130</f>
        <v>48.206000000000003</v>
      </c>
      <c r="EF28" s="263">
        <f>'qtrP&amp;L'!DH131</f>
        <v>632.53499999999997</v>
      </c>
      <c r="EG28" s="261"/>
      <c r="EH28" s="263">
        <f>'qtrP&amp;L'!DL128</f>
        <v>81.48</v>
      </c>
      <c r="EI28" s="263">
        <f>'qtrP&amp;L'!DL129</f>
        <v>139.60500000000002</v>
      </c>
      <c r="EJ28" s="263">
        <f>'qtrP&amp;L'!DL130</f>
        <v>63.35</v>
      </c>
      <c r="EK28" s="263">
        <f>'qtrP&amp;L'!DL131</f>
        <v>877.96500000000003</v>
      </c>
      <c r="EL28" s="263"/>
      <c r="EM28" s="1402">
        <f>'qtrP&amp;L'!DP128</f>
        <v>115.58020609199976</v>
      </c>
      <c r="EN28" s="1402">
        <f>'qtrP&amp;L'!DP129</f>
        <v>146.89116149625039</v>
      </c>
      <c r="EO28" s="1402">
        <f>'qtrP&amp;L'!DP130</f>
        <v>87.165826157499637</v>
      </c>
      <c r="EP28" s="1402">
        <f>'qtrP&amp;L'!DP131</f>
        <v>743.07638881774972</v>
      </c>
      <c r="EQ28" s="262"/>
      <c r="ER28" s="311">
        <f>'yrP&amp;L'!F42</f>
        <v>112.70800000000062</v>
      </c>
      <c r="ES28" s="263">
        <f>'yrP&amp;L'!G42</f>
        <v>193.03499999999912</v>
      </c>
      <c r="ET28" s="263">
        <f>'yrP&amp;L'!H42</f>
        <v>246.85299999999896</v>
      </c>
      <c r="EU28" s="263">
        <f>'yrP&amp;L'!I42</f>
        <v>36.799949999999441</v>
      </c>
      <c r="EV28" s="263">
        <f>'yrP&amp;L'!J42</f>
        <v>148.99099999999893</v>
      </c>
      <c r="EW28" s="263"/>
      <c r="EX28" s="263">
        <f>'yrP&amp;L'!L42</f>
        <v>75</v>
      </c>
      <c r="EY28" s="263">
        <f>'yrP&amp;L'!M42</f>
        <v>266.23599999999999</v>
      </c>
      <c r="EZ28" s="263">
        <f>'yrP&amp;L'!N42</f>
        <v>575</v>
      </c>
      <c r="FA28" s="263">
        <f>'yrP&amp;L'!O42</f>
        <v>685.23400000000004</v>
      </c>
      <c r="FB28" s="263">
        <f>'yrP&amp;L'!P42</f>
        <v>825</v>
      </c>
      <c r="FC28" s="263">
        <f>'yrP&amp;L'!Q42</f>
        <v>821</v>
      </c>
      <c r="FD28" s="263">
        <f>'yrP&amp;L'!R42</f>
        <v>474</v>
      </c>
      <c r="FE28" s="263">
        <f>'yrP&amp;L'!S42</f>
        <v>679.39694656488552</v>
      </c>
      <c r="FF28" s="263">
        <f>'yrP&amp;L'!T42</f>
        <v>690.65036900369</v>
      </c>
      <c r="FG28" s="263">
        <f>'yrP&amp;L'!U42</f>
        <v>786.54659498207877</v>
      </c>
      <c r="FH28" s="263">
        <f>'yrP&amp;L'!V42</f>
        <v>1089.0546208098101</v>
      </c>
      <c r="FI28" s="311">
        <f>'yrP&amp;L'!W42</f>
        <v>1137.6065454545455</v>
      </c>
      <c r="FJ28" s="263">
        <f>'yrP&amp;L'!X42</f>
        <v>961.875</v>
      </c>
      <c r="FK28" s="264">
        <f>'yrP&amp;L'!Y42</f>
        <v>544.95000000000005</v>
      </c>
      <c r="FL28" s="311">
        <f>'yrP&amp;L'!Z42</f>
        <v>575.61800000000005</v>
      </c>
      <c r="FM28" s="311">
        <f>'yrP&amp;L'!AA42</f>
        <v>887.95910780669146</v>
      </c>
      <c r="FN28" s="263">
        <f>'yrP&amp;L'!AB42</f>
        <v>1240.0447154471544</v>
      </c>
      <c r="FO28" s="263">
        <f>'yrP&amp;L'!AC42</f>
        <v>1427.0000000000002</v>
      </c>
      <c r="FP28" s="263">
        <f>'yrP&amp;L'!AD42</f>
        <v>1540.56</v>
      </c>
      <c r="FQ28" s="263">
        <f>'yrP&amp;L'!AE42</f>
        <v>1590.4799999999998</v>
      </c>
      <c r="FR28" s="263">
        <f>'yrP&amp;L'!AF42</f>
        <v>1253.8700000000001</v>
      </c>
      <c r="FS28" s="263">
        <f>'yrP&amp;L'!AG42</f>
        <v>977.29099999999994</v>
      </c>
      <c r="FT28" s="263">
        <f>'yrP&amp;L'!AH42</f>
        <v>1162.4000000000001</v>
      </c>
      <c r="FU28" s="272">
        <f>'yrP&amp;L'!AI42</f>
        <v>1092.7135825635007</v>
      </c>
      <c r="FV28" s="272">
        <f>'yrP&amp;L'!AJ42</f>
        <v>833.74496153647488</v>
      </c>
      <c r="FW28" s="273">
        <f>'yrP&amp;L'!AK42</f>
        <v>590.09607241766321</v>
      </c>
      <c r="FX28" s="263">
        <f>'yrP&amp;L'!AL42</f>
        <v>389.88513267735055</v>
      </c>
      <c r="FY28" s="1357">
        <f>'yrP&amp;L'!AM42</f>
        <v>203.35275126116019</v>
      </c>
      <c r="FZ28" s="316"/>
      <c r="GA28" s="272"/>
      <c r="GJ28" s="261"/>
      <c r="GK28" s="261"/>
      <c r="GL28" s="261"/>
      <c r="GM28" s="261"/>
      <c r="GN28" s="261"/>
      <c r="GO28" s="261"/>
    </row>
    <row r="29" spans="1:197" ht="9" customHeight="1" x14ac:dyDescent="0.2">
      <c r="A29" s="260"/>
      <c r="B29" s="261"/>
      <c r="C29" s="261"/>
      <c r="D29" s="261"/>
      <c r="E29" s="261"/>
      <c r="F29" s="261"/>
      <c r="G29" s="261"/>
      <c r="H29" s="261"/>
      <c r="I29" s="261"/>
      <c r="J29" s="261"/>
      <c r="K29" s="261"/>
      <c r="L29" s="261"/>
      <c r="M29" s="261"/>
      <c r="N29" s="261"/>
      <c r="O29" s="261"/>
      <c r="P29" s="261"/>
      <c r="Q29" s="261"/>
      <c r="R29" s="261"/>
      <c r="S29" s="261"/>
      <c r="T29" s="261"/>
      <c r="U29" s="261"/>
      <c r="V29" s="261"/>
      <c r="W29" s="261"/>
      <c r="X29" s="261"/>
      <c r="Y29" s="261"/>
      <c r="Z29" s="261"/>
      <c r="AA29" s="261"/>
      <c r="AB29" s="261"/>
      <c r="AC29" s="261"/>
      <c r="AD29" s="261"/>
      <c r="AE29" s="261"/>
      <c r="AF29" s="261"/>
      <c r="AG29" s="261"/>
      <c r="AH29" s="261"/>
      <c r="AI29" s="261"/>
      <c r="AJ29" s="261"/>
      <c r="AK29" s="261"/>
      <c r="AL29" s="261"/>
      <c r="AM29" s="261"/>
      <c r="AN29" s="261"/>
      <c r="AO29" s="261"/>
      <c r="AP29" s="261"/>
      <c r="AQ29" s="261"/>
      <c r="AR29" s="261"/>
      <c r="AS29" s="261"/>
      <c r="AT29" s="261"/>
      <c r="AU29" s="261"/>
      <c r="AV29" s="261"/>
      <c r="AW29" s="261"/>
      <c r="AX29" s="261"/>
      <c r="AY29" s="261"/>
      <c r="AZ29" s="261"/>
      <c r="BA29" s="261"/>
      <c r="BB29" s="261"/>
      <c r="BC29" s="261"/>
      <c r="BD29" s="261"/>
      <c r="BE29" s="261"/>
      <c r="BF29" s="261"/>
      <c r="BG29" s="261"/>
      <c r="BH29" s="261"/>
      <c r="BI29" s="261"/>
      <c r="BJ29" s="261"/>
      <c r="BK29" s="261"/>
      <c r="BL29" s="261"/>
      <c r="BM29" s="261"/>
      <c r="BN29" s="261"/>
      <c r="BO29" s="261"/>
      <c r="BP29" s="261"/>
      <c r="BQ29" s="261"/>
      <c r="BR29" s="261"/>
      <c r="BS29" s="261"/>
      <c r="BT29" s="261"/>
      <c r="BU29" s="261"/>
      <c r="BV29" s="261"/>
      <c r="BW29" s="261"/>
      <c r="BX29" s="261"/>
      <c r="BY29" s="261"/>
      <c r="BZ29" s="261"/>
      <c r="CA29" s="261"/>
      <c r="CB29" s="261"/>
      <c r="CC29" s="261"/>
      <c r="CD29" s="261"/>
      <c r="CE29" s="261"/>
      <c r="CF29" s="261"/>
      <c r="CG29" s="261"/>
      <c r="CH29" s="261"/>
      <c r="CI29" s="261"/>
      <c r="CJ29" s="261"/>
      <c r="CK29" s="261"/>
      <c r="CL29" s="261"/>
      <c r="CM29" s="261"/>
      <c r="CN29" s="261"/>
      <c r="CO29" s="261"/>
      <c r="CP29" s="261"/>
      <c r="CQ29" s="261"/>
      <c r="CR29" s="261"/>
      <c r="CS29" s="261"/>
      <c r="CT29" s="261"/>
      <c r="CU29" s="261"/>
      <c r="CV29" s="261"/>
      <c r="CW29" s="261"/>
      <c r="CX29" s="261"/>
      <c r="CY29" s="261"/>
      <c r="CZ29" s="261"/>
      <c r="DA29" s="261"/>
      <c r="DB29" s="261"/>
      <c r="DC29" s="261"/>
      <c r="DD29" s="261"/>
      <c r="DE29" s="261"/>
      <c r="DF29" s="261"/>
      <c r="DG29" s="261"/>
      <c r="DH29" s="261"/>
      <c r="DI29" s="261"/>
      <c r="DJ29" s="261"/>
      <c r="DK29" s="261"/>
      <c r="DL29" s="261"/>
      <c r="DM29" s="261"/>
      <c r="DN29" s="261"/>
      <c r="DO29" s="261"/>
      <c r="DP29" s="261"/>
      <c r="DQ29" s="261"/>
      <c r="DR29" s="261"/>
      <c r="DS29" s="261"/>
      <c r="DT29" s="261"/>
      <c r="DU29" s="261"/>
      <c r="DV29" s="261"/>
      <c r="DW29" s="261"/>
      <c r="DX29" s="261"/>
      <c r="DY29" s="261"/>
      <c r="DZ29" s="261"/>
      <c r="EA29" s="261"/>
      <c r="EB29" s="261"/>
      <c r="EC29" s="261"/>
      <c r="ED29" s="261"/>
      <c r="EE29" s="261"/>
      <c r="EF29" s="261"/>
      <c r="EG29" s="261"/>
      <c r="EH29" s="261"/>
      <c r="EI29" s="261"/>
      <c r="EJ29" s="261"/>
      <c r="EK29" s="261"/>
      <c r="EL29" s="261"/>
      <c r="EM29" s="1325"/>
      <c r="EN29" s="1325"/>
      <c r="EO29" s="1325"/>
      <c r="EP29" s="1325"/>
      <c r="EQ29" s="262"/>
      <c r="ER29" s="260"/>
      <c r="ES29" s="269"/>
      <c r="ET29" s="269"/>
      <c r="EU29" s="269"/>
      <c r="EV29" s="269"/>
      <c r="EW29" s="269"/>
      <c r="EX29" s="269"/>
      <c r="EY29" s="269"/>
      <c r="EZ29" s="269"/>
      <c r="FA29" s="269"/>
      <c r="FB29" s="269"/>
      <c r="FC29" s="269"/>
      <c r="FD29" s="269"/>
      <c r="FE29" s="269"/>
      <c r="FF29" s="269"/>
      <c r="FG29" s="269"/>
      <c r="FH29" s="269"/>
      <c r="FI29" s="312"/>
      <c r="FJ29" s="269"/>
      <c r="FK29" s="266"/>
      <c r="FL29" s="312"/>
      <c r="FM29" s="312"/>
      <c r="FN29" s="269"/>
      <c r="FO29" s="269"/>
      <c r="FP29" s="269"/>
      <c r="FQ29" s="269"/>
      <c r="FR29" s="269"/>
      <c r="FS29" s="269"/>
      <c r="FT29" s="269"/>
      <c r="FU29" s="269"/>
      <c r="FV29" s="269"/>
      <c r="FW29" s="266"/>
      <c r="FX29" s="269"/>
      <c r="FY29" s="1360"/>
      <c r="FZ29" s="312"/>
      <c r="GA29" s="269"/>
      <c r="GJ29" s="261"/>
      <c r="GK29" s="261"/>
      <c r="GL29" s="261"/>
      <c r="GM29" s="261"/>
      <c r="GN29" s="261"/>
      <c r="GO29" s="261"/>
    </row>
    <row r="30" spans="1:197" outlineLevel="1" x14ac:dyDescent="0.2">
      <c r="A30" s="270" t="s">
        <v>169</v>
      </c>
      <c r="B30" s="314"/>
      <c r="C30" s="274">
        <f>INDEX('qtrP&amp;L'!$138:$138,MATCH(C$7,'qtrP&amp;L'!$6:$6,0))</f>
        <v>0</v>
      </c>
      <c r="D30" s="274">
        <f>INDEX('qtrP&amp;L'!$139:$139,MATCH(C$7,'qtrP&amp;L'!$6:$6,0))</f>
        <v>0</v>
      </c>
      <c r="E30" s="274">
        <f>INDEX('qtrP&amp;L'!$140:$140,MATCH(C$7,'qtrP&amp;L'!$6:$6,0))</f>
        <v>0</v>
      </c>
      <c r="F30" s="274">
        <f>INDEX('qtrP&amp;L'!$141:$141,MATCH(C$7,'qtrP&amp;L'!$6:$6,0))</f>
        <v>0</v>
      </c>
      <c r="G30" s="274"/>
      <c r="H30" s="274">
        <f>INDEX('qtrP&amp;L'!$138:$138,MATCH(H$7,'qtrP&amp;L'!$6:$6,0))</f>
        <v>0</v>
      </c>
      <c r="I30" s="274">
        <f>INDEX('qtrP&amp;L'!$139:$139,MATCH(H$7,'qtrP&amp;L'!$6:$6,0))</f>
        <v>0</v>
      </c>
      <c r="J30" s="274">
        <f>INDEX('qtrP&amp;L'!$140:$140,MATCH(H$7,'qtrP&amp;L'!$6:$6,0))</f>
        <v>0</v>
      </c>
      <c r="K30" s="274">
        <f>INDEX('qtrP&amp;L'!$141:$141,MATCH(H$7,'qtrP&amp;L'!$6:$6,0))</f>
        <v>2165.5149999999999</v>
      </c>
      <c r="L30" s="274"/>
      <c r="M30" s="274">
        <f>INDEX('qtrP&amp;L'!$138:$138,MATCH(M$7,'qtrP&amp;L'!$6:$6,0))</f>
        <v>0</v>
      </c>
      <c r="N30" s="274">
        <f>INDEX('qtrP&amp;L'!$139:$139,MATCH(M$7,'qtrP&amp;L'!$6:$6,0))</f>
        <v>-13.574</v>
      </c>
      <c r="O30" s="274">
        <f>INDEX('qtrP&amp;L'!$140:$140,MATCH(M$7,'qtrP&amp;L'!$6:$6,0))</f>
        <v>0</v>
      </c>
      <c r="P30" s="274">
        <f>INDEX('qtrP&amp;L'!$141:$141,MATCH(M$7,'qtrP&amp;L'!$6:$6,0))</f>
        <v>-6.125</v>
      </c>
      <c r="Q30" s="274"/>
      <c r="R30" s="274">
        <f>INDEX('qtrP&amp;L'!$138:$138,MATCH(R$7,'qtrP&amp;L'!$6:$6,0))</f>
        <v>-3.5449999999999999</v>
      </c>
      <c r="S30" s="274">
        <f>INDEX('qtrP&amp;L'!$139:$139,MATCH(R$7,'qtrP&amp;L'!$6:$6,0))</f>
        <v>0</v>
      </c>
      <c r="T30" s="274">
        <f>INDEX('qtrP&amp;L'!$140:$140,MATCH(R$7,'qtrP&amp;L'!$6:$6,0))</f>
        <v>-14.242000000000001</v>
      </c>
      <c r="U30" s="274">
        <f>INDEX('qtrP&amp;L'!$141:$141,MATCH(R$7,'qtrP&amp;L'!$6:$6,0))</f>
        <v>0</v>
      </c>
      <c r="V30" s="274"/>
      <c r="W30" s="274">
        <f>INDEX('qtrP&amp;L'!$138:$138,MATCH(W$7,'qtrP&amp;L'!$6:$6,0))</f>
        <v>0</v>
      </c>
      <c r="X30" s="274">
        <f>INDEX('qtrP&amp;L'!$139:$139,MATCH(W$7,'qtrP&amp;L'!$6:$6,0))</f>
        <v>0</v>
      </c>
      <c r="Y30" s="274">
        <f>INDEX('qtrP&amp;L'!$140:$140,MATCH(W$7,'qtrP&amp;L'!$6:$6,0))</f>
        <v>0</v>
      </c>
      <c r="Z30" s="323">
        <v>0</v>
      </c>
      <c r="AA30" s="274"/>
      <c r="AB30" s="274">
        <f>INDEX('qtrP&amp;L'!$138:$138,MATCH(AB$7,'qtrP&amp;L'!$6:$6,0))</f>
        <v>0</v>
      </c>
      <c r="AC30" s="274">
        <f>INDEX('qtrP&amp;L'!$139:$139,MATCH(AB$7,'qtrP&amp;L'!$6:$6,0))</f>
        <v>0</v>
      </c>
      <c r="AD30" s="274">
        <f>INDEX('qtrP&amp;L'!$140:$140,MATCH(AB$7,'qtrP&amp;L'!$6:$6,0))</f>
        <v>0</v>
      </c>
      <c r="AE30" s="274">
        <f>INDEX('qtrP&amp;L'!$141:$141,MATCH(AB$7,'qtrP&amp;L'!$6:$6,0))</f>
        <v>0</v>
      </c>
      <c r="AF30" s="274"/>
      <c r="AG30" s="274">
        <f>INDEX('qtrP&amp;L'!$138:$138,MATCH(AG$7,'qtrP&amp;L'!$6:$6,0))</f>
        <v>0</v>
      </c>
      <c r="AH30" s="274">
        <f>INDEX('qtrP&amp;L'!$139:$139,MATCH(AG$7,'qtrP&amp;L'!$6:$6,0))</f>
        <v>0</v>
      </c>
      <c r="AI30" s="274">
        <f>INDEX('qtrP&amp;L'!$140:$140,MATCH(AG$7,'qtrP&amp;L'!$6:$6,0))</f>
        <v>0</v>
      </c>
      <c r="AJ30" s="274">
        <f>INDEX('qtrP&amp;L'!$141:$141,MATCH(AG$7,'qtrP&amp;L'!$6:$6,0))</f>
        <v>0</v>
      </c>
      <c r="AK30" s="274"/>
      <c r="AL30" s="274">
        <f>INDEX('qtrP&amp;L'!$138:$138,MATCH(AL$7,'qtrP&amp;L'!$6:$6,0))</f>
        <v>0</v>
      </c>
      <c r="AM30" s="274">
        <f>INDEX('qtrP&amp;L'!$139:$139,MATCH(AL$7,'qtrP&amp;L'!$6:$6,0))</f>
        <v>-38.673000000000002</v>
      </c>
      <c r="AN30" s="274">
        <f>INDEX('qtrP&amp;L'!$140:$140,MATCH(AL$7,'qtrP&amp;L'!$6:$6,0))</f>
        <v>0</v>
      </c>
      <c r="AO30" s="274">
        <f>INDEX('qtrP&amp;L'!$141:$141,MATCH(AL$7,'qtrP&amp;L'!$6:$6,0))</f>
        <v>0</v>
      </c>
      <c r="AP30" s="274"/>
      <c r="AQ30" s="274">
        <f>INDEX('qtrP&amp;L'!$138:$138,MATCH(AQ$7,'qtrP&amp;L'!$6:$6,0))</f>
        <v>0</v>
      </c>
      <c r="AR30" s="274">
        <f>INDEX('qtrP&amp;L'!$139:$139,MATCH(AQ$7,'qtrP&amp;L'!$6:$6,0))</f>
        <v>0</v>
      </c>
      <c r="AS30" s="274">
        <f>INDEX('qtrP&amp;L'!$140:$140,MATCH(AQ$7,'qtrP&amp;L'!$6:$6,0))</f>
        <v>23</v>
      </c>
      <c r="AT30" s="274">
        <f>INDEX('qtrP&amp;L'!$141:$141,MATCH(AQ$7,'qtrP&amp;L'!$6:$6,0))</f>
        <v>0</v>
      </c>
      <c r="AU30" s="274"/>
      <c r="AV30" s="274">
        <f>INDEX('qtrP&amp;L'!$138:$138,MATCH(AV$7,'qtrP&amp;L'!$6:$6,0))</f>
        <v>0</v>
      </c>
      <c r="AW30" s="274">
        <f>INDEX('qtrP&amp;L'!$139:$139,MATCH(AV$7,'qtrP&amp;L'!$6:$6,0))</f>
        <v>0</v>
      </c>
      <c r="AX30" s="274">
        <f>INDEX('qtrP&amp;L'!$140:$140,MATCH(AV$7,'qtrP&amp;L'!$6:$6,0))</f>
        <v>0</v>
      </c>
      <c r="AY30" s="274">
        <f>INDEX('qtrP&amp;L'!$141:$141,MATCH(AV$7,'qtrP&amp;L'!$6:$6,0))</f>
        <v>0</v>
      </c>
      <c r="AZ30" s="274"/>
      <c r="BA30" s="274">
        <f>INDEX('qtrP&amp;L'!$138:$138,MATCH(BA$7,'qtrP&amp;L'!$6:$6,0))</f>
        <v>29</v>
      </c>
      <c r="BB30" s="274">
        <f>INDEX('qtrP&amp;L'!$139:$139,MATCH(BA$7,'qtrP&amp;L'!$6:$6,0))</f>
        <v>131</v>
      </c>
      <c r="BC30" s="274">
        <f>INDEX('qtrP&amp;L'!$140:$140,MATCH(BA$7,'qtrP&amp;L'!$6:$6,0))</f>
        <v>777</v>
      </c>
      <c r="BD30" s="274">
        <f>INDEX('qtrP&amp;L'!$141:$141,MATCH(BA$7,'qtrP&amp;L'!$6:$6,0))</f>
        <v>68</v>
      </c>
      <c r="BE30" s="274"/>
      <c r="BF30" s="274">
        <f>INDEX('qtrP&amp;L'!$138:$138,MATCH(BF$7,'qtrP&amp;L'!$6:$6,0))</f>
        <v>0</v>
      </c>
      <c r="BG30" s="274">
        <f>INDEX('qtrP&amp;L'!$139:$139,MATCH(BF$7,'qtrP&amp;L'!$6:$6,0))</f>
        <v>-30</v>
      </c>
      <c r="BH30" s="274">
        <f>INDEX('qtrP&amp;L'!$140:$140,MATCH(BF$7,'qtrP&amp;L'!$6:$6,0))</f>
        <v>23</v>
      </c>
      <c r="BI30" s="274">
        <f>INDEX('qtrP&amp;L'!$141:$141,MATCH(BF$7,'qtrP&amp;L'!$6:$6,0))</f>
        <v>757</v>
      </c>
      <c r="BJ30" s="274"/>
      <c r="BK30" s="274">
        <f>INDEX('qtrP&amp;L'!$138:$138,MATCH(BK$7,'qtrP&amp;L'!$6:$6,0))</f>
        <v>0</v>
      </c>
      <c r="BL30" s="274">
        <f>INDEX('qtrP&amp;L'!$139:$139,MATCH(BK$7,'qtrP&amp;L'!$6:$6,0))</f>
        <v>-149</v>
      </c>
      <c r="BM30" s="274">
        <f>INDEX('qtrP&amp;L'!$140:$140,MATCH(BK$7,'qtrP&amp;L'!$6:$6,0))</f>
        <v>-31</v>
      </c>
      <c r="BN30" s="274">
        <f>INDEX('qtrP&amp;L'!$141:$141,MATCH(BK$7,'qtrP&amp;L'!$6:$6,0))</f>
        <v>0</v>
      </c>
      <c r="BO30" s="274"/>
      <c r="BP30" s="274">
        <f>INDEX('qtrP&amp;L'!$138:$138,MATCH(BP$7,'qtrP&amp;L'!$6:$6,0))</f>
        <v>0</v>
      </c>
      <c r="BQ30" s="274">
        <f>INDEX('qtrP&amp;L'!$139:$139,MATCH(BP$7,'qtrP&amp;L'!$6:$6,0))</f>
        <v>0</v>
      </c>
      <c r="BR30" s="274">
        <f>-INDEX('qtrP&amp;L'!$140:$140,MATCH(BP$7,'qtrP&amp;L'!$6:$6,0))</f>
        <v>0</v>
      </c>
      <c r="BS30" s="274">
        <f>INDEX('qtrP&amp;L'!$141:$141,MATCH(BP$7,'qtrP&amp;L'!$6:$6,0))</f>
        <v>-38</v>
      </c>
      <c r="BT30" s="274"/>
      <c r="BU30" s="274">
        <f>INDEX('qtrP&amp;L'!$138:$138,MATCH(BU$7,'qtrP&amp;L'!$6:$6,0))</f>
        <v>0</v>
      </c>
      <c r="BV30" s="274">
        <f>INDEX('qtrP&amp;L'!$139:$139,MATCH(BU$7,'qtrP&amp;L'!$6:$6,0))</f>
        <v>0</v>
      </c>
      <c r="BW30" s="274">
        <f>INDEX('qtrP&amp;L'!$140:$140,MATCH(BU$7,'qtrP&amp;L'!$6:$6,0))</f>
        <v>0</v>
      </c>
      <c r="BX30" s="274">
        <f>INDEX('qtrP&amp;L'!$141:$141,MATCH(BU$7,'qtrP&amp;L'!$6:$6,0))</f>
        <v>0</v>
      </c>
      <c r="BY30" s="274"/>
      <c r="BZ30" s="274">
        <f>INDEX('qtrP&amp;L'!$138:$138,MATCH(BZ$7,'qtrP&amp;L'!$6:$6,0))</f>
        <v>0</v>
      </c>
      <c r="CA30" s="274">
        <f>INDEX('qtrP&amp;L'!$139:$139,MATCH(BZ$7,'qtrP&amp;L'!$6:$6,0))</f>
        <v>0</v>
      </c>
      <c r="CB30" s="274">
        <f>INDEX('qtrP&amp;L'!$140:$140,MATCH(BZ$7,'qtrP&amp;L'!$6:$6,0))</f>
        <v>-97</v>
      </c>
      <c r="CC30" s="274">
        <f>INDEX('qtrP&amp;L'!$141:$141,MATCH(BZ$7,'qtrP&amp;L'!$6:$6,0))</f>
        <v>-31</v>
      </c>
      <c r="CD30" s="274"/>
      <c r="CE30" s="274">
        <f>INDEX('qtrP&amp;L'!$138:$138,MATCH(CE$7,'qtrP&amp;L'!$6:$6,0))</f>
        <v>-22</v>
      </c>
      <c r="CF30" s="274">
        <f>INDEX('qtrP&amp;L'!$139:$139,MATCH(CE$7,'qtrP&amp;L'!$6:$6,0))</f>
        <v>-125.625</v>
      </c>
      <c r="CG30" s="274">
        <f>INDEX('qtrP&amp;L'!$140:$140,MATCH(CE$7,'qtrP&amp;L'!$6:$6,0))</f>
        <v>23</v>
      </c>
      <c r="CH30" s="274">
        <f>INDEX('qtrP&amp;L'!$141:$141,MATCH(CE$7,'qtrP&amp;L'!$6:$6,0))</f>
        <v>-7</v>
      </c>
      <c r="CI30" s="274"/>
      <c r="CJ30" s="274">
        <f>INDEX('qtrP&amp;L'!$138:$138,MATCH(CJ$7,'qtrP&amp;L'!$6:$6,0))</f>
        <v>16</v>
      </c>
      <c r="CK30" s="274">
        <f>INDEX('qtrP&amp;L'!$139:$139,MATCH(CJ$7,'qtrP&amp;L'!$6:$6,0))</f>
        <v>0</v>
      </c>
      <c r="CL30" s="274">
        <f>INDEX('qtrP&amp;L'!$140:$140,MATCH(CJ$7,'qtrP&amp;L'!$6:$6,0))</f>
        <v>0</v>
      </c>
      <c r="CM30" s="274">
        <f>INDEX('qtrP&amp;L'!$141:$141,MATCH(CJ$7,'qtrP&amp;L'!$6:$6,0))</f>
        <v>-78</v>
      </c>
      <c r="CN30" s="274"/>
      <c r="CO30" s="274">
        <f>INDEX('qtrP&amp;L'!$138:$138,MATCH(CO$7,'qtrP&amp;L'!$6:$6,0))</f>
        <v>0</v>
      </c>
      <c r="CP30" s="274">
        <f>INDEX('qtrP&amp;L'!$139:$139,MATCH(CO$7,'qtrP&amp;L'!$6:$6,0))</f>
        <v>0</v>
      </c>
      <c r="CQ30" s="274">
        <f>INDEX('qtrP&amp;L'!$140:$140,MATCH(CO$7,'qtrP&amp;L'!$6:$6,0))</f>
        <v>0</v>
      </c>
      <c r="CR30" s="274">
        <f>INDEX('qtrP&amp;L'!$141:$141,MATCH(CO$7,'qtrP&amp;L'!$6:$6,0))</f>
        <v>5382</v>
      </c>
      <c r="CS30" s="274"/>
      <c r="CT30" s="274">
        <f>INDEX('qtrP&amp;L'!$138:$138,MATCH(CT$7,'qtrP&amp;L'!$6:$6,0))</f>
        <v>0</v>
      </c>
      <c r="CU30" s="274">
        <f>INDEX('qtrP&amp;L'!$139:$139,MATCH(CT$7,'qtrP&amp;L'!$6:$6,0))</f>
        <v>0</v>
      </c>
      <c r="CV30" s="274">
        <f>INDEX('qtrP&amp;L'!$140:$140,MATCH(CT$7,'qtrP&amp;L'!$6:$6,0))</f>
        <v>0</v>
      </c>
      <c r="CW30" s="274">
        <f>INDEX('qtrP&amp;L'!$141:$141,MATCH(CT$7,'qtrP&amp;L'!$6:$6,0))</f>
        <v>0</v>
      </c>
      <c r="CX30" s="274"/>
      <c r="CY30" s="323">
        <v>0</v>
      </c>
      <c r="CZ30" s="274">
        <f>INDEX('qtrP&amp;L'!$139:$139,MATCH(CY$7,'qtrP&amp;L'!$6:$6,0))</f>
        <v>0</v>
      </c>
      <c r="DA30" s="323">
        <v>0</v>
      </c>
      <c r="DB30" s="274">
        <f>INDEX('qtrP&amp;L'!$141:$141,MATCH(CY$7,'qtrP&amp;L'!$6:$6,0))</f>
        <v>0</v>
      </c>
      <c r="DC30" s="274"/>
      <c r="DD30" s="274">
        <f>INDEX('qtrP&amp;L'!$138:$138,MATCH(DD$7,'qtrP&amp;L'!$6:$6,0))</f>
        <v>0</v>
      </c>
      <c r="DE30" s="274">
        <f>INDEX('qtrP&amp;L'!$139:$139,MATCH(DD$7,'qtrP&amp;L'!$6:$6,0))</f>
        <v>0</v>
      </c>
      <c r="DF30" s="274">
        <f>INDEX('qtrP&amp;L'!$140:$140,MATCH(DD$7,'qtrP&amp;L'!$6:$6,0))</f>
        <v>0</v>
      </c>
      <c r="DG30" s="274">
        <f>INDEX('qtrP&amp;L'!$141:$141,MATCH(DD$7,'qtrP&amp;L'!$6:$6,0))</f>
        <v>0</v>
      </c>
      <c r="DH30" s="271"/>
      <c r="DI30" s="271">
        <f>INDEX('qtrP&amp;L'!$138:$138,MATCH(DI$7,'qtrP&amp;L'!$6:$6,0))</f>
        <v>0</v>
      </c>
      <c r="DJ30" s="271">
        <f>INDEX('qtrP&amp;L'!$139:$139,MATCH(DI$7,'qtrP&amp;L'!$6:$6,0))</f>
        <v>0</v>
      </c>
      <c r="DK30" s="271">
        <f>INDEX('qtrP&amp;L'!$140:$140,MATCH(DI$7,'qtrP&amp;L'!$6:$6,0))</f>
        <v>0</v>
      </c>
      <c r="DL30" s="271">
        <f>INDEX('qtrP&amp;L'!$141:$141,MATCH(DI$7,'qtrP&amp;L'!$6:$6,0))</f>
        <v>88</v>
      </c>
      <c r="DM30" s="271"/>
      <c r="DN30" s="271">
        <f>INDEX('qtrP&amp;L'!$138:$138,MATCH(DN$7,'qtrP&amp;L'!$6:$6,0))</f>
        <v>0</v>
      </c>
      <c r="DO30" s="271">
        <f>INDEX('qtrP&amp;L'!$139:$139,MATCH(DN$7,'qtrP&amp;L'!$6:$6,0))</f>
        <v>0</v>
      </c>
      <c r="DP30" s="271">
        <f>INDEX('qtrP&amp;L'!$140:$140,MATCH(DN$7,'qtrP&amp;L'!$6:$6,0))</f>
        <v>0</v>
      </c>
      <c r="DQ30" s="271">
        <f>INDEX('qtrP&amp;L'!$141:$141,MATCH(DN$7,'qtrP&amp;L'!$6:$6,0))</f>
        <v>56.927713004484303</v>
      </c>
      <c r="DR30" s="271"/>
      <c r="DS30" s="271">
        <f>INDEX('qtrP&amp;L'!$138:$138,MATCH(DS$7,'qtrP&amp;L'!$6:$6,0))</f>
        <v>0</v>
      </c>
      <c r="DT30" s="271">
        <f>INDEX('qtrP&amp;L'!$139:$139,MATCH(DS$7,'qtrP&amp;L'!$6:$6,0))</f>
        <v>0</v>
      </c>
      <c r="DU30" s="271">
        <f>INDEX('qtrP&amp;L'!$140:$140,MATCH(DS$7,'qtrP&amp;L'!$6:$6,0))</f>
        <v>0</v>
      </c>
      <c r="DV30" s="271">
        <f>INDEX('qtrP&amp;L'!$141:$141,MATCH(DS$7,'qtrP&amp;L'!$6:$6,0))</f>
        <v>64.48</v>
      </c>
      <c r="DW30" s="271"/>
      <c r="DX30" s="271">
        <f>INDEX('qtrP&amp;L'!$138:$138,MATCH(DX$7,'qtrP&amp;L'!$6:$6,0))</f>
        <v>0</v>
      </c>
      <c r="DY30" s="271">
        <f>INDEX('qtrP&amp;L'!$139:$139,MATCH(DX$7,'qtrP&amp;L'!$6:$6,0))</f>
        <v>0</v>
      </c>
      <c r="DZ30" s="271">
        <f>INDEX('qtrP&amp;L'!$140:$140,MATCH(DX$7,'qtrP&amp;L'!$6:$6,0))</f>
        <v>72.150000000000006</v>
      </c>
      <c r="EA30" s="271">
        <f>INDEX('qtrP&amp;L'!$141:$141,MATCH(DX$7,'qtrP&amp;L'!$6:$6,0))</f>
        <v>112.17399999999999</v>
      </c>
      <c r="EB30" s="261"/>
      <c r="EC30" s="271">
        <f>INDEX('qtrP&amp;L'!$138:$138,MATCH(EC$7,'qtrP&amp;L'!$6:$6,0))</f>
        <v>-4</v>
      </c>
      <c r="ED30" s="271">
        <f>INDEX('qtrP&amp;L'!$139:$139,MATCH(EC$7,'qtrP&amp;L'!$6:$6,0))</f>
        <v>154.87</v>
      </c>
      <c r="EE30" s="271">
        <f>INDEX('qtrP&amp;L'!$140:$140,MATCH(EC$7,'qtrP&amp;L'!$6:$6,0))</f>
        <v>-26.18</v>
      </c>
      <c r="EF30" s="271">
        <f>INDEX('qtrP&amp;L'!$141:$141,MATCH(EC$7,'qtrP&amp;L'!$6:$6,0))</f>
        <v>127.86999999999998</v>
      </c>
      <c r="EG30" s="261"/>
      <c r="EH30" s="271">
        <f>INDEX('qtrP&amp;L'!$138:$138,MATCH(EH$7,'qtrP&amp;L'!$6:$6,0))</f>
        <v>2.9504000000000001</v>
      </c>
      <c r="EI30" s="271">
        <f>INDEX('qtrP&amp;L'!$139:$139,MATCH(EH$7,'qtrP&amp;L'!$6:$6,0))</f>
        <v>-21.895200000000003</v>
      </c>
      <c r="EJ30" s="271">
        <f>INDEX('qtrP&amp;L'!$140:$140,MATCH(EH$7,'qtrP&amp;L'!$6:$6,0))</f>
        <v>11.8505</v>
      </c>
      <c r="EK30" s="271">
        <f>INDEX('qtrP&amp;L'!$141:$141,MATCH(EH$7,'qtrP&amp;L'!$6:$6,0))</f>
        <v>-490.53699999999998</v>
      </c>
      <c r="EL30" s="271"/>
      <c r="EM30" s="1404">
        <f>INDEX('qtrP&amp;L'!$138:$138,MATCH(EM$7,'qtrP&amp;L'!$6:$6,0))</f>
        <v>0</v>
      </c>
      <c r="EN30" s="1404">
        <f>INDEX('qtrP&amp;L'!$139:$139,MATCH(EM$7,'qtrP&amp;L'!$6:$6,0))</f>
        <v>0</v>
      </c>
      <c r="EO30" s="1404">
        <f>INDEX('qtrP&amp;L'!$140:$140,MATCH(EM$7,'qtrP&amp;L'!$6:$6,0))</f>
        <v>0</v>
      </c>
      <c r="EP30" s="1404">
        <f>INDEX('qtrP&amp;L'!$141:$141,MATCH(EM$7,'qtrP&amp;L'!$6:$6,0))</f>
        <v>0</v>
      </c>
      <c r="EQ30" s="262"/>
      <c r="ER30" s="316">
        <f>'yrP&amp;L'!F45</f>
        <v>19.698999999999998</v>
      </c>
      <c r="ES30" s="272">
        <f>'yrP&amp;L'!G45</f>
        <v>31.558385067159691</v>
      </c>
      <c r="ET30" s="272">
        <f>'yrP&amp;L'!H45</f>
        <v>16.149000000000001</v>
      </c>
      <c r="EU30" s="272">
        <f>'yrP&amp;L'!I45</f>
        <v>104.35804999999999</v>
      </c>
      <c r="EV30" s="272">
        <f>'yrP&amp;L'!J45</f>
        <v>168.92486</v>
      </c>
      <c r="EW30" s="272"/>
      <c r="EX30" s="272">
        <f>'yrP&amp;L'!L45</f>
        <v>0</v>
      </c>
      <c r="EY30" s="272">
        <f>'yrP&amp;L'!M45</f>
        <v>-10.637</v>
      </c>
      <c r="EZ30" s="272">
        <f>'yrP&amp;L'!N45</f>
        <v>39</v>
      </c>
      <c r="FA30" s="272">
        <f>'yrP&amp;L'!O45</f>
        <v>16</v>
      </c>
      <c r="FB30" s="272">
        <f>'yrP&amp;L'!P45</f>
        <v>30</v>
      </c>
      <c r="FC30" s="272">
        <f>'yrP&amp;L'!Q45</f>
        <v>1005</v>
      </c>
      <c r="FD30" s="272">
        <f>'yrP&amp;L'!R45</f>
        <v>750</v>
      </c>
      <c r="FE30" s="272">
        <f>'yrP&amp;L'!S45</f>
        <v>-180</v>
      </c>
      <c r="FF30" s="272">
        <f>'yrP&amp;L'!T45</f>
        <v>-38</v>
      </c>
      <c r="FG30" s="272">
        <f>'yrP&amp;L'!U45</f>
        <v>0</v>
      </c>
      <c r="FH30" s="272">
        <f>'yrP&amp;L'!V45</f>
        <v>-128</v>
      </c>
      <c r="FI30" s="316">
        <f>'yrP&amp;L'!W45</f>
        <v>-131.625</v>
      </c>
      <c r="FJ30" s="272">
        <f>'yrP&amp;L'!X45</f>
        <v>-62</v>
      </c>
      <c r="FK30" s="273">
        <f>FK28-FK32</f>
        <v>5347.95</v>
      </c>
      <c r="FL30" s="316">
        <f>FL28-FL32</f>
        <v>246.61800000000005</v>
      </c>
      <c r="FM30" s="316">
        <f>'yrP&amp;L'!AA45</f>
        <v>0</v>
      </c>
      <c r="FN30" s="272">
        <f>'yrP&amp;L'!AB45</f>
        <v>0</v>
      </c>
      <c r="FO30" s="272">
        <f>'yrP&amp;L'!AC45</f>
        <v>92</v>
      </c>
      <c r="FP30" s="272">
        <f>'yrP&amp;L'!AD45</f>
        <v>56.927713004484303</v>
      </c>
      <c r="FQ30" s="272">
        <f>'yrP&amp;L'!AE45</f>
        <v>64.48</v>
      </c>
      <c r="FR30" s="272">
        <f>'yrP&amp;L'!AF45</f>
        <v>184.32400000000001</v>
      </c>
      <c r="FS30" s="272">
        <f>'yrP&amp;L'!AG45</f>
        <v>252.55999999999997</v>
      </c>
      <c r="FT30" s="272">
        <f>'yrP&amp;L'!AH45</f>
        <v>-497.63129999999995</v>
      </c>
      <c r="FU30" s="272">
        <f>'yrP&amp;L'!AI45</f>
        <v>0</v>
      </c>
      <c r="FV30" s="272">
        <f>'yrP&amp;L'!AJ45</f>
        <v>0</v>
      </c>
      <c r="FW30" s="273">
        <f>'yrP&amp;L'!AK45</f>
        <v>0</v>
      </c>
      <c r="FX30" s="272">
        <f>'yrP&amp;L'!AL45</f>
        <v>0</v>
      </c>
      <c r="FY30" s="1361">
        <f>'yrP&amp;L'!AM45</f>
        <v>0</v>
      </c>
      <c r="FZ30" s="316"/>
      <c r="GA30" s="272"/>
      <c r="GJ30" s="261"/>
      <c r="GK30" s="261"/>
      <c r="GL30" s="261"/>
      <c r="GM30" s="261"/>
      <c r="GN30" s="261"/>
      <c r="GO30" s="261"/>
    </row>
    <row r="31" spans="1:197" ht="9" customHeight="1" x14ac:dyDescent="0.2">
      <c r="A31" s="260"/>
      <c r="B31" s="261"/>
      <c r="C31" s="261"/>
      <c r="D31" s="261"/>
      <c r="E31" s="261"/>
      <c r="F31" s="261"/>
      <c r="G31" s="261"/>
      <c r="H31" s="261"/>
      <c r="I31" s="261"/>
      <c r="J31" s="261"/>
      <c r="K31" s="261"/>
      <c r="L31" s="261"/>
      <c r="M31" s="261"/>
      <c r="N31" s="261"/>
      <c r="O31" s="261"/>
      <c r="P31" s="261"/>
      <c r="Q31" s="261"/>
      <c r="R31" s="261"/>
      <c r="S31" s="261"/>
      <c r="T31" s="261"/>
      <c r="U31" s="261"/>
      <c r="V31" s="261"/>
      <c r="W31" s="261"/>
      <c r="X31" s="261"/>
      <c r="Y31" s="261"/>
      <c r="Z31" s="261"/>
      <c r="AA31" s="261"/>
      <c r="AB31" s="261"/>
      <c r="AC31" s="261"/>
      <c r="AD31" s="261"/>
      <c r="AE31" s="261"/>
      <c r="AF31" s="261"/>
      <c r="AG31" s="261"/>
      <c r="AH31" s="261"/>
      <c r="AI31" s="261"/>
      <c r="AJ31" s="261"/>
      <c r="AK31" s="261"/>
      <c r="AL31" s="261"/>
      <c r="AM31" s="261"/>
      <c r="AN31" s="261"/>
      <c r="AO31" s="261"/>
      <c r="AP31" s="261"/>
      <c r="AQ31" s="261"/>
      <c r="AR31" s="261"/>
      <c r="AS31" s="261"/>
      <c r="AT31" s="261"/>
      <c r="AU31" s="261"/>
      <c r="AV31" s="261"/>
      <c r="AW31" s="261"/>
      <c r="AX31" s="261"/>
      <c r="AY31" s="261"/>
      <c r="AZ31" s="261"/>
      <c r="BA31" s="261"/>
      <c r="BB31" s="261"/>
      <c r="BC31" s="261"/>
      <c r="BD31" s="261"/>
      <c r="BE31" s="261"/>
      <c r="BF31" s="261"/>
      <c r="BG31" s="261"/>
      <c r="BH31" s="261"/>
      <c r="BI31" s="261"/>
      <c r="BJ31" s="261"/>
      <c r="BK31" s="261"/>
      <c r="BL31" s="261"/>
      <c r="BM31" s="261"/>
      <c r="BN31" s="261"/>
      <c r="BO31" s="261"/>
      <c r="BP31" s="261"/>
      <c r="BQ31" s="261"/>
      <c r="BR31" s="261"/>
      <c r="BS31" s="261"/>
      <c r="BT31" s="261"/>
      <c r="BU31" s="261"/>
      <c r="BV31" s="261"/>
      <c r="BW31" s="261"/>
      <c r="BX31" s="261"/>
      <c r="BY31" s="261"/>
      <c r="BZ31" s="261"/>
      <c r="CA31" s="261"/>
      <c r="CB31" s="261"/>
      <c r="CC31" s="261"/>
      <c r="CD31" s="261"/>
      <c r="CE31" s="261"/>
      <c r="CF31" s="261"/>
      <c r="CG31" s="261"/>
      <c r="CH31" s="261"/>
      <c r="CI31" s="261"/>
      <c r="CJ31" s="261"/>
      <c r="CK31" s="261"/>
      <c r="CL31" s="261"/>
      <c r="CM31" s="261"/>
      <c r="CN31" s="261"/>
      <c r="CO31" s="261"/>
      <c r="CP31" s="261"/>
      <c r="CQ31" s="261"/>
      <c r="CR31" s="261"/>
      <c r="CS31" s="261"/>
      <c r="CT31" s="261"/>
      <c r="CU31" s="261"/>
      <c r="CV31" s="261"/>
      <c r="CW31" s="261"/>
      <c r="CX31" s="261"/>
      <c r="CY31" s="261"/>
      <c r="CZ31" s="261"/>
      <c r="DA31" s="261"/>
      <c r="DB31" s="261"/>
      <c r="DC31" s="261"/>
      <c r="DD31" s="261"/>
      <c r="DE31" s="261"/>
      <c r="DF31" s="261"/>
      <c r="DG31" s="261"/>
      <c r="DH31" s="261"/>
      <c r="DI31" s="261"/>
      <c r="DJ31" s="261"/>
      <c r="DK31" s="261"/>
      <c r="DL31" s="261"/>
      <c r="DM31" s="261"/>
      <c r="DN31" s="261"/>
      <c r="DO31" s="261"/>
      <c r="DP31" s="261"/>
      <c r="DQ31" s="261"/>
      <c r="DR31" s="261"/>
      <c r="DS31" s="261"/>
      <c r="DT31" s="261"/>
      <c r="DU31" s="261"/>
      <c r="DV31" s="261"/>
      <c r="DW31" s="261"/>
      <c r="DX31" s="261"/>
      <c r="DY31" s="261"/>
      <c r="DZ31" s="261"/>
      <c r="EA31" s="261"/>
      <c r="EB31" s="261"/>
      <c r="EC31" s="261"/>
      <c r="ED31" s="261"/>
      <c r="EE31" s="261"/>
      <c r="EF31" s="261"/>
      <c r="EG31" s="261"/>
      <c r="EH31" s="261"/>
      <c r="EI31" s="261"/>
      <c r="EJ31" s="261"/>
      <c r="EK31" s="261"/>
      <c r="EL31" s="261"/>
      <c r="EM31" s="1325"/>
      <c r="EN31" s="1325"/>
      <c r="EO31" s="1325"/>
      <c r="EP31" s="1325"/>
      <c r="EQ31" s="262"/>
      <c r="ER31" s="260"/>
      <c r="ES31" s="261"/>
      <c r="ET31" s="261"/>
      <c r="EU31" s="261"/>
      <c r="EV31" s="261"/>
      <c r="EW31" s="261"/>
      <c r="EX31" s="261"/>
      <c r="EY31" s="261"/>
      <c r="EZ31" s="261"/>
      <c r="FA31" s="261"/>
      <c r="FB31" s="261"/>
      <c r="FC31" s="261"/>
      <c r="FD31" s="261"/>
      <c r="FE31" s="261"/>
      <c r="FF31" s="261"/>
      <c r="FG31" s="261"/>
      <c r="FH31" s="261"/>
      <c r="FI31" s="260"/>
      <c r="FJ31" s="261"/>
      <c r="FK31" s="262"/>
      <c r="FL31" s="260"/>
      <c r="FM31" s="260"/>
      <c r="FN31" s="261"/>
      <c r="FO31" s="261"/>
      <c r="FP31" s="261"/>
      <c r="FQ31" s="261"/>
      <c r="FR31" s="261"/>
      <c r="FS31" s="261"/>
      <c r="FT31" s="261"/>
      <c r="FW31" s="262"/>
      <c r="FX31" s="261"/>
      <c r="FY31" s="1356"/>
      <c r="FZ31" s="260"/>
      <c r="GA31" s="261"/>
      <c r="GJ31" s="261"/>
      <c r="GK31" s="261"/>
      <c r="GL31" s="261"/>
      <c r="GM31" s="261"/>
      <c r="GN31" s="261"/>
      <c r="GO31" s="261"/>
    </row>
    <row r="32" spans="1:197" x14ac:dyDescent="0.2">
      <c r="A32" s="260" t="s">
        <v>8</v>
      </c>
      <c r="B32" s="261"/>
      <c r="C32" s="263">
        <f>-C30+C28</f>
        <v>-99.439999999999898</v>
      </c>
      <c r="D32" s="263">
        <f>-D30+D28</f>
        <v>-126.372</v>
      </c>
      <c r="E32" s="263">
        <f>-E30+E28</f>
        <v>-86.802000000000035</v>
      </c>
      <c r="F32" s="263">
        <f>-F30+F28</f>
        <v>41.16799999999995</v>
      </c>
      <c r="G32" s="261"/>
      <c r="H32" s="263">
        <f>-H30+H28</f>
        <v>-64.160999999999916</v>
      </c>
      <c r="I32" s="263">
        <f>-I30+I28</f>
        <v>-143.82800000000009</v>
      </c>
      <c r="J32" s="263">
        <f>-J30+J28</f>
        <v>-60.994999999999948</v>
      </c>
      <c r="K32" s="263">
        <f>-K30+K28</f>
        <v>-3142.5589999999993</v>
      </c>
      <c r="L32" s="261"/>
      <c r="M32" s="263">
        <f>-M30+M28</f>
        <v>11.812000000000177</v>
      </c>
      <c r="N32" s="263">
        <f>-N30+N28</f>
        <v>-2.2150000000000407</v>
      </c>
      <c r="O32" s="263">
        <f>-O30+O28</f>
        <v>31.581999999999926</v>
      </c>
      <c r="P32" s="263">
        <f>-P30+P28</f>
        <v>111.22800000000002</v>
      </c>
      <c r="Q32" s="261"/>
      <c r="R32" s="263">
        <f>-R30+R28</f>
        <v>25.245000000000061</v>
      </c>
      <c r="S32" s="263">
        <f>-S30+S28</f>
        <v>8.8529999999999696</v>
      </c>
      <c r="T32" s="263">
        <f>-T30+T28</f>
        <v>48.765999999999963</v>
      </c>
      <c r="U32" s="263">
        <f>-U30+U28</f>
        <v>145.9579999999998</v>
      </c>
      <c r="V32" s="261"/>
      <c r="W32" s="263">
        <f>-W30+W28</f>
        <v>32.222000000000179</v>
      </c>
      <c r="X32" s="263">
        <f>-X30+X28</f>
        <v>3.771999999999843</v>
      </c>
      <c r="Y32" s="263">
        <f>-Y30+Y28</f>
        <v>44.343000000000011</v>
      </c>
      <c r="Z32" s="263">
        <f>-Z30+Z28</f>
        <v>166.51599999999993</v>
      </c>
      <c r="AA32" s="261"/>
      <c r="AB32" s="263">
        <f>-AB30+AB28</f>
        <v>-56.999000000000294</v>
      </c>
      <c r="AC32" s="263">
        <f>-AC30+AC28</f>
        <v>-67.174999999999898</v>
      </c>
      <c r="AD32" s="263">
        <f>-AD30+AD28</f>
        <v>21.895999999999749</v>
      </c>
      <c r="AE32" s="263">
        <f>-AE30+AE28</f>
        <v>251.26899999999983</v>
      </c>
      <c r="AF32" s="261"/>
      <c r="AG32" s="263">
        <f>-AG30+AG28</f>
        <v>-37.923000000000158</v>
      </c>
      <c r="AH32" s="263">
        <f>-AH30+AH28</f>
        <v>-27.221000000000203</v>
      </c>
      <c r="AI32" s="263">
        <f>-AI30+AI28</f>
        <v>41.753000000000206</v>
      </c>
      <c r="AJ32" s="263">
        <f>-AJ30+AJ28</f>
        <v>289.64399999999966</v>
      </c>
      <c r="AK32" s="261"/>
      <c r="AL32" s="263">
        <f>-AL30+AL28</f>
        <v>23.568000000000193</v>
      </c>
      <c r="AM32" s="263">
        <f>-AM30+AM28</f>
        <v>105.01400000000035</v>
      </c>
      <c r="AN32" s="263">
        <f>-AN30+AN28</f>
        <v>104.9380000000001</v>
      </c>
      <c r="AO32" s="263">
        <f>-AO30+AO28</f>
        <v>379.08000000000004</v>
      </c>
      <c r="AP32" s="261"/>
      <c r="AQ32" s="263">
        <f>-AQ30+AQ28</f>
        <v>60.234000000000002</v>
      </c>
      <c r="AR32" s="263">
        <f>-AR30+AR28</f>
        <v>107</v>
      </c>
      <c r="AS32" s="263">
        <f>-AS30+AS28</f>
        <v>87</v>
      </c>
      <c r="AT32" s="263">
        <f>-AT30+AT28</f>
        <v>408</v>
      </c>
      <c r="AU32" s="261"/>
      <c r="AV32" s="263">
        <f>-AV30+AV28</f>
        <v>87</v>
      </c>
      <c r="AW32" s="263">
        <f>-AW30+AW28</f>
        <v>137</v>
      </c>
      <c r="AX32" s="263">
        <f>-AX30+AX28</f>
        <v>123</v>
      </c>
      <c r="AY32" s="263">
        <f>-AY30+AY28</f>
        <v>448</v>
      </c>
      <c r="AZ32" s="261"/>
      <c r="BA32" s="263">
        <f>-BA30+BA28</f>
        <v>89</v>
      </c>
      <c r="BB32" s="263">
        <f>-BB30+BB28</f>
        <v>63</v>
      </c>
      <c r="BC32" s="263">
        <f>-BC30+BC28</f>
        <v>-668</v>
      </c>
      <c r="BD32" s="263">
        <f>-BD30+BD28</f>
        <v>332</v>
      </c>
      <c r="BE32" s="261"/>
      <c r="BF32" s="263">
        <f>-BF30+BF28</f>
        <v>58</v>
      </c>
      <c r="BG32" s="263">
        <f>-BG30+BG28</f>
        <v>110</v>
      </c>
      <c r="BH32" s="263">
        <f>-BH30+BH28</f>
        <v>3</v>
      </c>
      <c r="BI32" s="263">
        <f>-BI30+BI28</f>
        <v>-447</v>
      </c>
      <c r="BJ32" s="261"/>
      <c r="BK32" s="263">
        <f>-BK30+BK28</f>
        <v>89</v>
      </c>
      <c r="BL32" s="263">
        <f>-BL30+BL28</f>
        <v>282</v>
      </c>
      <c r="BM32" s="263">
        <f>-BM30+BM28</f>
        <v>106</v>
      </c>
      <c r="BN32" s="263">
        <f>-BN30+BN28</f>
        <v>341</v>
      </c>
      <c r="BO32" s="261"/>
      <c r="BP32" s="263">
        <f>-BP30+BP28</f>
        <v>46</v>
      </c>
      <c r="BQ32" s="263">
        <f>-BQ30+BQ28</f>
        <v>120</v>
      </c>
      <c r="BR32" s="263">
        <f>-BR30+BR28</f>
        <v>67</v>
      </c>
      <c r="BS32" s="263">
        <f>-BS30+BS28</f>
        <v>460</v>
      </c>
      <c r="BT32" s="261"/>
      <c r="BU32" s="263">
        <f>-BU30+BU28</f>
        <v>97</v>
      </c>
      <c r="BV32" s="263">
        <f>-BV30+BV28</f>
        <v>78</v>
      </c>
      <c r="BW32" s="263">
        <f>-BW30+BW28</f>
        <v>74</v>
      </c>
      <c r="BX32" s="263">
        <f>-BX30+BX28</f>
        <v>440</v>
      </c>
      <c r="BY32" s="261"/>
      <c r="BZ32" s="263">
        <f>-BZ30+BZ28</f>
        <v>123.354</v>
      </c>
      <c r="CA32" s="263">
        <f>-CA30+CA28</f>
        <v>148</v>
      </c>
      <c r="CB32" s="263">
        <f>-CB30+CB28</f>
        <v>436.23741007194246</v>
      </c>
      <c r="CC32" s="263">
        <f>-CC30+CC28</f>
        <v>699</v>
      </c>
      <c r="CD32" s="261"/>
      <c r="CE32" s="263">
        <f>-CE30+CE28</f>
        <v>-52</v>
      </c>
      <c r="CF32" s="263">
        <f>-CF30+CF28</f>
        <v>316.875</v>
      </c>
      <c r="CG32" s="263">
        <f>-CG30+CG28</f>
        <v>-3</v>
      </c>
      <c r="CH32" s="263">
        <f>-CH30+CH28</f>
        <v>733</v>
      </c>
      <c r="CI32" s="261"/>
      <c r="CJ32" s="263">
        <f>-CJ30+CJ28</f>
        <v>36</v>
      </c>
      <c r="CK32" s="263">
        <f>-CK30+CK28</f>
        <v>74</v>
      </c>
      <c r="CL32" s="263">
        <f>-CL30+CL28</f>
        <v>33</v>
      </c>
      <c r="CM32" s="263">
        <f>-CM30+CM28</f>
        <v>750</v>
      </c>
      <c r="CN32" s="261"/>
      <c r="CO32" s="263">
        <f>-CO30+CO28</f>
        <v>-59</v>
      </c>
      <c r="CP32" s="263">
        <f>-CP30+CP28</f>
        <v>73</v>
      </c>
      <c r="CQ32" s="263">
        <f>-CQ30+CQ28</f>
        <v>-44</v>
      </c>
      <c r="CR32" s="263">
        <f>-CR30+CR28</f>
        <v>-4773</v>
      </c>
      <c r="CS32" s="261"/>
      <c r="CT32" s="263">
        <f>-CT30+CT28</f>
        <v>-88</v>
      </c>
      <c r="CU32" s="263">
        <f>-CU30+CU28</f>
        <v>7</v>
      </c>
      <c r="CV32" s="263">
        <f>-CV30+CV28</f>
        <v>-35</v>
      </c>
      <c r="CW32" s="263">
        <f>-CW30+CW28</f>
        <v>445</v>
      </c>
      <c r="CX32" s="261"/>
      <c r="CY32" s="263">
        <f>-CY30+CY28</f>
        <v>23</v>
      </c>
      <c r="CZ32" s="263">
        <f>-CZ30+CZ28</f>
        <v>147</v>
      </c>
      <c r="DA32" s="263">
        <f>-DA30+DA28</f>
        <v>10</v>
      </c>
      <c r="DB32" s="263">
        <f>-DB30+DB28</f>
        <v>667</v>
      </c>
      <c r="DC32" s="261"/>
      <c r="DD32" s="263">
        <f>-DD30+DD28</f>
        <v>131</v>
      </c>
      <c r="DE32" s="263">
        <f>-DE30+DE28</f>
        <v>241</v>
      </c>
      <c r="DF32" s="263">
        <f>-DF30+DF28</f>
        <v>139</v>
      </c>
      <c r="DG32" s="263">
        <f>-DG30+DG28</f>
        <v>745</v>
      </c>
      <c r="DH32" s="261"/>
      <c r="DI32" s="263">
        <f>-DI30+DI28</f>
        <v>181</v>
      </c>
      <c r="DJ32" s="263">
        <f>-DJ30+DJ28</f>
        <v>279</v>
      </c>
      <c r="DK32" s="263">
        <f>-DK30+DK28</f>
        <v>145</v>
      </c>
      <c r="DL32" s="263">
        <f>-DL30+DL28</f>
        <v>730</v>
      </c>
      <c r="DM32" s="261"/>
      <c r="DN32" s="263">
        <f>-DN30+DN28</f>
        <v>217</v>
      </c>
      <c r="DO32" s="263">
        <f>-DO30+DO28</f>
        <v>281</v>
      </c>
      <c r="DP32" s="263">
        <f>-DP30+DP28</f>
        <v>177</v>
      </c>
      <c r="DQ32" s="263">
        <f>-DQ30+DQ28</f>
        <v>808.63228699551564</v>
      </c>
      <c r="DR32" s="261"/>
      <c r="DS32" s="263">
        <f>-DS30+DS28</f>
        <v>224</v>
      </c>
      <c r="DT32" s="263">
        <f>-DT30+DT28</f>
        <v>292</v>
      </c>
      <c r="DU32" s="263">
        <f>-DU30+DU28</f>
        <v>217</v>
      </c>
      <c r="DV32" s="263">
        <f>-DV30+DV28</f>
        <v>793</v>
      </c>
      <c r="DW32" s="261"/>
      <c r="DX32" s="263">
        <f>-DX30+DX28</f>
        <v>193</v>
      </c>
      <c r="DY32" s="263">
        <f>-DY30+DY28</f>
        <v>217</v>
      </c>
      <c r="DZ32" s="263">
        <f>-DZ30+DZ28</f>
        <v>113.66999999999999</v>
      </c>
      <c r="EA32" s="263">
        <f>-EA30+EA28</f>
        <v>545.87599999999998</v>
      </c>
      <c r="EB32" s="261"/>
      <c r="EC32" s="263">
        <f>-EC30+EC28</f>
        <v>135</v>
      </c>
      <c r="ED32" s="263">
        <f>-ED30+ED28</f>
        <v>10.680000000000007</v>
      </c>
      <c r="EE32" s="263">
        <f>-EE30+EE28</f>
        <v>74.385999999999996</v>
      </c>
      <c r="EF32" s="263">
        <f>-EF30+EF28</f>
        <v>504.66499999999996</v>
      </c>
      <c r="EG32" s="261"/>
      <c r="EH32" s="263">
        <f>-EH30+EH28</f>
        <v>78.529600000000002</v>
      </c>
      <c r="EI32" s="263">
        <f>-EI30+EI28</f>
        <v>161.50020000000001</v>
      </c>
      <c r="EJ32" s="263">
        <f>-EJ30+EJ28</f>
        <v>51.499499999999998</v>
      </c>
      <c r="EK32" s="263">
        <f>-EK30+EK28</f>
        <v>1368.502</v>
      </c>
      <c r="EL32" s="263"/>
      <c r="EM32" s="1402">
        <f>-EM30+EM28</f>
        <v>115.58020609199976</v>
      </c>
      <c r="EN32" s="1402">
        <f>-EN30+EN28</f>
        <v>146.89116149625039</v>
      </c>
      <c r="EO32" s="1402">
        <f>-EO30+EO28</f>
        <v>87.165826157499637</v>
      </c>
      <c r="EP32" s="1402">
        <f>-EP30+EP28</f>
        <v>743.07638881774972</v>
      </c>
      <c r="EQ32" s="262"/>
      <c r="ER32" s="311">
        <f>'yrP&amp;L'!F47</f>
        <v>93.009000000000626</v>
      </c>
      <c r="ES32" s="263">
        <f>'yrP&amp;L'!G47</f>
        <v>161.47661493283942</v>
      </c>
      <c r="ET32" s="263">
        <f>'yrP&amp;L'!H47</f>
        <v>230.70399999999896</v>
      </c>
      <c r="EU32" s="263">
        <f>'yrP&amp;L'!I47</f>
        <v>-67.55810000000055</v>
      </c>
      <c r="EV32" s="263">
        <f>'yrP&amp;L'!J47</f>
        <v>-19.933860000001062</v>
      </c>
      <c r="EW32" s="263"/>
      <c r="EX32" s="263">
        <f>'yrP&amp;L'!L47</f>
        <v>75</v>
      </c>
      <c r="EY32" s="263">
        <f>'yrP&amp;L'!M47</f>
        <v>276.87299999999999</v>
      </c>
      <c r="EZ32" s="263">
        <f>'yrP&amp;L'!N47</f>
        <v>536</v>
      </c>
      <c r="FA32" s="263">
        <f>'yrP&amp;L'!O47</f>
        <v>669.23400000000004</v>
      </c>
      <c r="FB32" s="263">
        <f>'yrP&amp;L'!P47</f>
        <v>795</v>
      </c>
      <c r="FC32" s="263">
        <f>'yrP&amp;L'!Q47</f>
        <v>-184</v>
      </c>
      <c r="FD32" s="263">
        <f>'yrP&amp;L'!R47</f>
        <v>-276</v>
      </c>
      <c r="FE32" s="263">
        <f>'yrP&amp;L'!S47</f>
        <v>818</v>
      </c>
      <c r="FF32" s="263">
        <f>'yrP&amp;L'!T47</f>
        <v>693</v>
      </c>
      <c r="FG32" s="263">
        <f>'yrP&amp;L'!U47</f>
        <v>689</v>
      </c>
      <c r="FH32" s="263">
        <f>'yrP&amp;L'!V47</f>
        <v>1406.5914100719424</v>
      </c>
      <c r="FI32" s="311">
        <f>'yrP&amp;L'!W47</f>
        <v>994.875</v>
      </c>
      <c r="FJ32" s="263">
        <f>'yrP&amp;L'!X47</f>
        <v>893</v>
      </c>
      <c r="FK32" s="324">
        <f>'yrP&amp;L'!Y47</f>
        <v>-4803</v>
      </c>
      <c r="FL32" s="325">
        <f>'yrP&amp;L'!Z47</f>
        <v>329</v>
      </c>
      <c r="FM32" s="311">
        <f>'yrP&amp;L'!AA47</f>
        <v>846.95910780669146</v>
      </c>
      <c r="FN32" s="263">
        <f>'yrP&amp;L'!AB47</f>
        <v>1256</v>
      </c>
      <c r="FO32" s="263">
        <f>'yrP&amp;L'!AC47</f>
        <v>1335</v>
      </c>
      <c r="FP32" s="263">
        <f>'yrP&amp;L'!AD47</f>
        <v>1485.6322869955156</v>
      </c>
      <c r="FQ32" s="263">
        <f>'yrP&amp;L'!AE47</f>
        <v>1526</v>
      </c>
      <c r="FR32" s="263">
        <f>'yrP&amp;L'!AF47</f>
        <v>1069.5459999999998</v>
      </c>
      <c r="FS32" s="263">
        <f>'yrP&amp;L'!AG47</f>
        <v>626.73099999999999</v>
      </c>
      <c r="FT32" s="263">
        <f>'yrP&amp;L'!AH47</f>
        <v>1555.0313000000001</v>
      </c>
      <c r="FU32" s="263">
        <f>'yrP&amp;L'!AI47</f>
        <v>1092.7135825635009</v>
      </c>
      <c r="FV32" s="263">
        <f>'yrP&amp;L'!AJ47</f>
        <v>833.74496153647488</v>
      </c>
      <c r="FW32" s="264">
        <f>'yrP&amp;L'!AK47</f>
        <v>590.09607241766321</v>
      </c>
      <c r="FX32" s="263">
        <f>'yrP&amp;L'!AL47</f>
        <v>389.88513267735055</v>
      </c>
      <c r="FY32" s="1357">
        <f>'yrP&amp;L'!AM47</f>
        <v>203.35275126116019</v>
      </c>
      <c r="FZ32" s="311"/>
      <c r="GA32" s="263"/>
      <c r="GJ32" s="261"/>
      <c r="GK32" s="261"/>
      <c r="GL32" s="261"/>
      <c r="GM32" s="261"/>
      <c r="GN32" s="261"/>
      <c r="GO32" s="261"/>
    </row>
    <row r="33" spans="1:197" x14ac:dyDescent="0.2">
      <c r="A33" s="260"/>
      <c r="B33" s="261"/>
      <c r="C33" s="263"/>
      <c r="D33" s="263"/>
      <c r="E33" s="263"/>
      <c r="F33" s="263"/>
      <c r="G33" s="261"/>
      <c r="H33" s="263"/>
      <c r="I33" s="263"/>
      <c r="J33" s="263"/>
      <c r="K33" s="263"/>
      <c r="L33" s="261"/>
      <c r="M33" s="263"/>
      <c r="N33" s="263"/>
      <c r="O33" s="263"/>
      <c r="P33" s="263"/>
      <c r="Q33" s="261"/>
      <c r="R33" s="263"/>
      <c r="S33" s="263"/>
      <c r="T33" s="263"/>
      <c r="U33" s="263"/>
      <c r="V33" s="261"/>
      <c r="W33" s="263"/>
      <c r="X33" s="263"/>
      <c r="Y33" s="263"/>
      <c r="Z33" s="263"/>
      <c r="AA33" s="261"/>
      <c r="AB33" s="263"/>
      <c r="AC33" s="263"/>
      <c r="AD33" s="263"/>
      <c r="AE33" s="263"/>
      <c r="AF33" s="261"/>
      <c r="AG33" s="263"/>
      <c r="AH33" s="263"/>
      <c r="AI33" s="263"/>
      <c r="AJ33" s="263"/>
      <c r="AK33" s="261"/>
      <c r="AL33" s="263"/>
      <c r="AM33" s="263"/>
      <c r="AN33" s="263"/>
      <c r="AO33" s="263"/>
      <c r="AP33" s="261"/>
      <c r="AQ33" s="263"/>
      <c r="AR33" s="263"/>
      <c r="AS33" s="263"/>
      <c r="AT33" s="263"/>
      <c r="AU33" s="261"/>
      <c r="AV33" s="263"/>
      <c r="AW33" s="263"/>
      <c r="AX33" s="263"/>
      <c r="AY33" s="263"/>
      <c r="AZ33" s="261"/>
      <c r="BA33" s="263"/>
      <c r="BB33" s="263"/>
      <c r="BC33" s="263"/>
      <c r="BD33" s="263"/>
      <c r="BE33" s="261"/>
      <c r="BF33" s="263"/>
      <c r="BG33" s="263"/>
      <c r="BH33" s="263"/>
      <c r="BI33" s="263"/>
      <c r="BJ33" s="261"/>
      <c r="BK33" s="263"/>
      <c r="BL33" s="263"/>
      <c r="BM33" s="263"/>
      <c r="BN33" s="263"/>
      <c r="BO33" s="261"/>
      <c r="BP33" s="263"/>
      <c r="BQ33" s="263"/>
      <c r="BR33" s="263"/>
      <c r="BS33" s="263"/>
      <c r="BT33" s="261"/>
      <c r="BU33" s="263"/>
      <c r="BV33" s="263"/>
      <c r="BW33" s="263"/>
      <c r="BX33" s="263"/>
      <c r="BY33" s="261"/>
      <c r="BZ33" s="263"/>
      <c r="CA33" s="263"/>
      <c r="CB33" s="263"/>
      <c r="CC33" s="263"/>
      <c r="CD33" s="261"/>
      <c r="CE33" s="263"/>
      <c r="CF33" s="263"/>
      <c r="CG33" s="263"/>
      <c r="CH33" s="263"/>
      <c r="CI33" s="261"/>
      <c r="CJ33" s="263"/>
      <c r="CK33" s="263"/>
      <c r="CL33" s="263"/>
      <c r="CM33" s="263"/>
      <c r="CN33" s="261"/>
      <c r="CO33" s="263"/>
      <c r="CP33" s="263"/>
      <c r="CQ33" s="263"/>
      <c r="CR33" s="263"/>
      <c r="CS33" s="261"/>
      <c r="CT33" s="263"/>
      <c r="CU33" s="263"/>
      <c r="CV33" s="263"/>
      <c r="CW33" s="263"/>
      <c r="CX33" s="261"/>
      <c r="CY33" s="263"/>
      <c r="CZ33" s="263"/>
      <c r="DA33" s="263"/>
      <c r="DB33" s="263"/>
      <c r="DC33" s="261"/>
      <c r="DD33" s="263"/>
      <c r="DE33" s="263"/>
      <c r="DF33" s="263"/>
      <c r="DG33" s="263"/>
      <c r="DH33" s="261"/>
      <c r="DI33" s="263"/>
      <c r="DJ33" s="263"/>
      <c r="DK33" s="263"/>
      <c r="DL33" s="263"/>
      <c r="DM33" s="261"/>
      <c r="DN33" s="263"/>
      <c r="DO33" s="263"/>
      <c r="DP33" s="263"/>
      <c r="DQ33" s="263"/>
      <c r="DR33" s="261"/>
      <c r="DS33" s="263"/>
      <c r="DT33" s="263"/>
      <c r="DU33" s="263"/>
      <c r="DV33" s="263"/>
      <c r="DW33" s="261"/>
      <c r="DX33" s="263"/>
      <c r="DY33" s="263"/>
      <c r="DZ33" s="263"/>
      <c r="EA33" s="263"/>
      <c r="EB33" s="261"/>
      <c r="EC33" s="263"/>
      <c r="ED33" s="263"/>
      <c r="EE33" s="263"/>
      <c r="EF33" s="263"/>
      <c r="EG33" s="261"/>
      <c r="EH33" s="263"/>
      <c r="EI33" s="263"/>
      <c r="EJ33" s="263"/>
      <c r="EK33" s="263"/>
      <c r="EL33" s="263"/>
      <c r="EM33" s="1402"/>
      <c r="EN33" s="1402"/>
      <c r="EO33" s="1402"/>
      <c r="EP33" s="1402"/>
      <c r="EQ33" s="262"/>
      <c r="ER33" s="311"/>
      <c r="ES33" s="263"/>
      <c r="ET33" s="263"/>
      <c r="EU33" s="263"/>
      <c r="EV33" s="263"/>
      <c r="EW33" s="263"/>
      <c r="EX33" s="263"/>
      <c r="EY33" s="263"/>
      <c r="EZ33" s="263"/>
      <c r="FA33" s="263"/>
      <c r="FB33" s="263"/>
      <c r="FC33" s="263"/>
      <c r="FD33" s="263"/>
      <c r="FE33" s="263"/>
      <c r="FF33" s="263"/>
      <c r="FG33" s="263"/>
      <c r="FH33" s="263"/>
      <c r="FI33" s="311"/>
      <c r="FJ33" s="263"/>
      <c r="FK33" s="324"/>
      <c r="FL33" s="325"/>
      <c r="FM33" s="311"/>
      <c r="FN33" s="263"/>
      <c r="FO33" s="263"/>
      <c r="FP33" s="263"/>
      <c r="FQ33" s="263"/>
      <c r="FR33" s="263"/>
      <c r="FS33" s="263"/>
      <c r="FT33" s="263"/>
      <c r="FU33" s="263"/>
      <c r="FV33" s="263"/>
      <c r="FW33" s="264"/>
      <c r="FX33" s="1351"/>
      <c r="FY33" s="1363"/>
      <c r="FZ33" s="311"/>
      <c r="GA33" s="263"/>
    </row>
    <row r="34" spans="1:197" s="326" customFormat="1" x14ac:dyDescent="0.2">
      <c r="A34" s="805" t="s">
        <v>659</v>
      </c>
      <c r="B34" s="806"/>
      <c r="C34" s="807">
        <f>INDEX('qtrP&amp;L'!$158:$158,MATCH(C$7,'qtrP&amp;L'!$6:$6,0))</f>
        <v>-1.2429999999999988</v>
      </c>
      <c r="D34" s="807">
        <f>INDEX('qtrP&amp;L'!$159:$159,MATCH(C$7,'qtrP&amp;L'!$6:$6,0))</f>
        <v>-1.57965</v>
      </c>
      <c r="E34" s="807">
        <f>INDEX('qtrP&amp;L'!$160:$160,MATCH(C$7,'qtrP&amp;L'!$6:$6,0))</f>
        <v>-1.0850250000000004</v>
      </c>
      <c r="F34" s="807">
        <f>INDEX('qtrP&amp;L'!$161:$161,MATCH(C$7,'qtrP&amp;L'!$6:$6,0))</f>
        <v>0.51459999999999939</v>
      </c>
      <c r="G34" s="806"/>
      <c r="H34" s="807">
        <f>INDEX('qtrP&amp;L'!$158:$158,MATCH(H$7,'qtrP&amp;L'!$6:$6,0))</f>
        <v>-0.80231336751281623</v>
      </c>
      <c r="I34" s="807">
        <f>INDEX('qtrP&amp;L'!$159:$159,MATCH(H$7,'qtrP&amp;L'!$6:$6,0))</f>
        <v>-1.7985244466675014</v>
      </c>
      <c r="J34" s="807">
        <f>INDEX('qtrP&amp;L'!$160:$160,MATCH(H$7,'qtrP&amp;L'!$6:$6,0))</f>
        <v>-0.76272352132049459</v>
      </c>
      <c r="K34" s="807">
        <f>INDEX('qtrP&amp;L'!$161:$161,MATCH(H$7,'qtrP&amp;L'!$6:$6,0))</f>
        <v>-39.296723771414278</v>
      </c>
      <c r="L34" s="806"/>
      <c r="M34" s="807">
        <f>INDEX('qtrP&amp;L'!$158:$158,MATCH(M$7,'qtrP&amp;L'!$6:$6,0))</f>
        <v>0.14770538952107254</v>
      </c>
      <c r="N34" s="807">
        <f>INDEX('qtrP&amp;L'!$159:$159,MATCH(M$7,'qtrP&amp;L'!$6:$6,0))</f>
        <v>-1.9535728775290969E-2</v>
      </c>
      <c r="O34" s="807">
        <f>INDEX('qtrP&amp;L'!$160:$160,MATCH(M$7,'qtrP&amp;L'!$6:$6,0))</f>
        <v>0.25065079365079301</v>
      </c>
      <c r="P34" s="807">
        <f>INDEX('qtrP&amp;L'!$161:$161,MATCH(M$7,'qtrP&amp;L'!$6:$6,0))</f>
        <v>0.88256577903323086</v>
      </c>
      <c r="Q34" s="806"/>
      <c r="R34" s="807">
        <f>INDEX('qtrP&amp;L'!$158:$158,MATCH(R$7,'qtrP&amp;L'!$6:$6,0))</f>
        <v>0.20002535476867789</v>
      </c>
      <c r="S34" s="807">
        <f>INDEX('qtrP&amp;L'!$159:$159,MATCH(R$7,'qtrP&amp;L'!$6:$6,0))</f>
        <v>7.0090017338431732E-2</v>
      </c>
      <c r="T34" s="807">
        <f>INDEX('qtrP&amp;L'!$160:$160,MATCH(R$7,'qtrP&amp;L'!$6:$6,0))</f>
        <v>0.38607880548804113</v>
      </c>
      <c r="U34" s="807">
        <f>INDEX('qtrP&amp;L'!$161:$161,MATCH(R$7,'qtrP&amp;L'!$6:$6,0))</f>
        <v>1.1552976934888934</v>
      </c>
      <c r="V34" s="806"/>
      <c r="W34" s="807">
        <f>INDEX('qtrP&amp;L'!$158:$158,MATCH(W$7,'qtrP&amp;L'!$6:$6,0))</f>
        <v>0.25479187753036581</v>
      </c>
      <c r="X34" s="807">
        <f>INDEX('qtrP&amp;L'!$159:$159,MATCH(W$7,'qtrP&amp;L'!$6:$6,0))</f>
        <v>2.9799807233483279E-2</v>
      </c>
      <c r="Y34" s="807">
        <f>INDEX('qtrP&amp;L'!$160:$160,MATCH(W$7,'qtrP&amp;L'!$6:$6,0))</f>
        <v>0.3502606635071091</v>
      </c>
      <c r="Z34" s="807">
        <f>INDEX('qtrP&amp;L'!$161:$161,MATCH(W$7,'qtrP&amp;L'!$6:$6,0))</f>
        <v>1.3138393561622215</v>
      </c>
      <c r="AA34" s="806"/>
      <c r="AB34" s="807">
        <f>INDEX('qtrP&amp;L'!$158:$158,MATCH(AB$7,'qtrP&amp;L'!$6:$6,0))</f>
        <v>-0.3120121303686203</v>
      </c>
      <c r="AC34" s="807">
        <f>INDEX('qtrP&amp;L'!$159:$159,MATCH(AB$7,'qtrP&amp;L'!$6:$6,0))</f>
        <v>-0.36741781983263083</v>
      </c>
      <c r="AD34" s="807">
        <f>INDEX('qtrP&amp;L'!$160:$160,MATCH(AB$7,'qtrP&amp;L'!$6:$6,0))</f>
        <v>0.11965027322404234</v>
      </c>
      <c r="AE34" s="807">
        <f>INDEX('qtrP&amp;L'!$161:$161,MATCH(AB$7,'qtrP&amp;L'!$6:$6,0))</f>
        <v>1.3712712428644704</v>
      </c>
      <c r="AF34" s="806"/>
      <c r="AG34" s="807">
        <f>INDEX('qtrP&amp;L'!$158:$158,MATCH(AG$7,'qtrP&amp;L'!$6:$6,0))</f>
        <v>-0.1834599196942584</v>
      </c>
      <c r="AH34" s="807">
        <f>INDEX('qtrP&amp;L'!$159:$159,MATCH(AG$7,'qtrP&amp;L'!$6:$6,0))</f>
        <v>-0.13108257128135586</v>
      </c>
      <c r="AI34" s="807">
        <f>INDEX('qtrP&amp;L'!$160:$160,MATCH(AG$7,'qtrP&amp;L'!$6:$6,0))</f>
        <v>0.19625289657863043</v>
      </c>
      <c r="AJ34" s="807">
        <f>INDEX('qtrP&amp;L'!$161:$161,MATCH(AG$7,'qtrP&amp;L'!$6:$6,0))</f>
        <v>1.2976881720430096</v>
      </c>
      <c r="AK34" s="806"/>
      <c r="AL34" s="807">
        <f>INDEX('qtrP&amp;L'!$158:$158,MATCH(AL$7,'qtrP&amp;L'!$6:$6,0))</f>
        <v>0.11033707865168631</v>
      </c>
      <c r="AM34" s="807">
        <f>INDEX('qtrP&amp;L'!$159:$159,MATCH(AL$7,'qtrP&amp;L'!$6:$6,0))</f>
        <v>0.29354424778761218</v>
      </c>
      <c r="AN34" s="807">
        <f>INDEX('qtrP&amp;L'!$160:$160,MATCH(AL$7,'qtrP&amp;L'!$6:$6,0))</f>
        <v>0.46371188687582898</v>
      </c>
      <c r="AO34" s="807">
        <f>INDEX('qtrP&amp;L'!$161:$161,MATCH(AL$7,'qtrP&amp;L'!$6:$6,0))</f>
        <v>1.6504702194357368</v>
      </c>
      <c r="AP34" s="806"/>
      <c r="AQ34" s="807">
        <f>INDEX('qtrP&amp;L'!$158:$158,MATCH(AQ$7,'qtrP&amp;L'!$6:$6,0))</f>
        <v>0.26007772020725389</v>
      </c>
      <c r="AR34" s="807">
        <f>INDEX('qtrP&amp;L'!$159:$159,MATCH(AQ$7,'qtrP&amp;L'!$6:$6,0))</f>
        <v>0.4604130808950086</v>
      </c>
      <c r="AS34" s="807">
        <f>INDEX('qtrP&amp;L'!$160:$160,MATCH(AQ$7,'qtrP&amp;L'!$6:$6,0))</f>
        <v>0.48076923076923073</v>
      </c>
      <c r="AT34" s="807">
        <f>INDEX('qtrP&amp;L'!$161:$161,MATCH(AQ$7,'qtrP&amp;L'!$6:$6,0))</f>
        <v>1.8793182865039153</v>
      </c>
      <c r="AU34" s="808"/>
      <c r="AV34" s="807">
        <f>INDEX('qtrP&amp;L'!$158:$158,MATCH(AV$7,'qtrP&amp;L'!$6:$6,0))</f>
        <v>0.2010166358595194</v>
      </c>
      <c r="AW34" s="807">
        <f>INDEX('qtrP&amp;L'!$159:$159,MATCH(AV$7,'qtrP&amp;L'!$6:$6,0))</f>
        <v>0.30869761153672826</v>
      </c>
      <c r="AX34" s="807">
        <f>INDEX('qtrP&amp;L'!$160:$160,MATCH(AV$7,'qtrP&amp;L'!$6:$6,0))</f>
        <v>0.27967257844474763</v>
      </c>
      <c r="AY34" s="807">
        <f>INDEX('qtrP&amp;L'!$161:$161,MATCH(AV$7,'qtrP&amp;L'!$6:$6,0))</f>
        <v>1.0186448385629832</v>
      </c>
      <c r="AZ34" s="808"/>
      <c r="BA34" s="807">
        <f>INDEX('qtrP&amp;L'!$158:$158,MATCH(BA$7,'qtrP&amp;L'!$6:$6,0))</f>
        <v>0.27276930189551546</v>
      </c>
      <c r="BB34" s="807">
        <f>INDEX('qtrP&amp;L'!$159:$159,MATCH(BA$7,'qtrP&amp;L'!$6:$6,0))</f>
        <v>0.46522781774580335</v>
      </c>
      <c r="BC34" s="807">
        <f>INDEX('qtrP&amp;L'!$160:$160,MATCH(BA$7,'qtrP&amp;L'!$6:$6,0))</f>
        <v>0.27100944803580307</v>
      </c>
      <c r="BD34" s="807">
        <f>INDEX('qtrP&amp;L'!$161:$161,MATCH(BA$7,'qtrP&amp;L'!$6:$6,0))</f>
        <v>1.1121316908003744</v>
      </c>
      <c r="BE34" s="806"/>
      <c r="BF34" s="807">
        <f>INDEX('qtrP&amp;L'!$158:$158,MATCH(BF$7,'qtrP&amp;L'!$6:$6,0))</f>
        <v>0.21597256246937779</v>
      </c>
      <c r="BG34" s="807">
        <f>INDEX('qtrP&amp;L'!$159:$159,MATCH(BF$7,'qtrP&amp;L'!$6:$6,0))</f>
        <v>0.26126326727529131</v>
      </c>
      <c r="BH34" s="807">
        <f>INDEX('qtrP&amp;L'!$160:$160,MATCH(BF$7,'qtrP&amp;L'!$6:$6,0))</f>
        <v>0.11037133026498057</v>
      </c>
      <c r="BI34" s="807">
        <f>INDEX('qtrP&amp;L'!$161:$161,MATCH(BF$7,'qtrP&amp;L'!$6:$6,0))</f>
        <v>1.0059098707159446</v>
      </c>
      <c r="BJ34" s="806"/>
      <c r="BK34" s="807">
        <f>INDEX('qtrP&amp;L'!$158:$158,MATCH(BK$7,'qtrP&amp;L'!$6:$6,0))</f>
        <v>0.21813725490196079</v>
      </c>
      <c r="BL34" s="807">
        <f>INDEX('qtrP&amp;L'!$159:$159,MATCH(BK$7,'qtrP&amp;L'!$6:$6,0))</f>
        <v>0.32678132678132676</v>
      </c>
      <c r="BM34" s="807">
        <f>INDEX('qtrP&amp;L'!$160:$160,MATCH(BK$7,'qtrP&amp;L'!$6:$6,0))</f>
        <v>0.19142419601837671</v>
      </c>
      <c r="BN34" s="807">
        <f>INDEX('qtrP&amp;L'!$161:$161,MATCH(BK$7,'qtrP&amp;L'!$6:$6,0))</f>
        <v>0.99768531377886427</v>
      </c>
      <c r="BO34" s="806"/>
      <c r="BP34" s="807">
        <f>INDEX('qtrP&amp;L'!$158:$158,MATCH(BP$7,'qtrP&amp;L'!$6:$6,0))</f>
        <v>0.13414803499513958</v>
      </c>
      <c r="BQ34" s="807">
        <f>INDEX('qtrP&amp;L'!$159:$159,MATCH(BP$7,'qtrP&amp;L'!$6:$6,0))</f>
        <v>0.3366189923978869</v>
      </c>
      <c r="BR34" s="807">
        <f>INDEX('qtrP&amp;L'!$160:$160,MATCH(BP$7,'qtrP&amp;L'!$6:$6,0))</f>
        <v>0.22710881606277405</v>
      </c>
      <c r="BS34" s="807">
        <f>INDEX('qtrP&amp;L'!$161:$161,MATCH(BP$7,'qtrP&amp;L'!$6:$6,0))</f>
        <v>1.1671164307843058</v>
      </c>
      <c r="BT34" s="806"/>
      <c r="BU34" s="807">
        <f>INDEX('qtrP&amp;L'!$158:$158,MATCH(BU$7,'qtrP&amp;L'!$6:$6,0))</f>
        <v>0.29516518323340046</v>
      </c>
      <c r="BV34" s="807">
        <f>INDEX('qtrP&amp;L'!$159:$159,MATCH(BU$7,'qtrP&amp;L'!$6:$6,0))</f>
        <v>0.36734693877551022</v>
      </c>
      <c r="BW34" s="807">
        <f>INDEX('qtrP&amp;L'!$160:$160,MATCH(BU$7,'qtrP&amp;L'!$6:$6,0))</f>
        <v>0.27580275229357798</v>
      </c>
      <c r="BX34" s="807">
        <f>INDEX('qtrP&amp;L'!$161:$161,MATCH(BU$7,'qtrP&amp;L'!$6:$6,0))</f>
        <v>1.2993690266609828</v>
      </c>
      <c r="BY34" s="806"/>
      <c r="BZ34" s="807">
        <f>INDEX('qtrP&amp;L'!$158:$158,MATCH(BZ$7,'qtrP&amp;L'!$6:$6,0))</f>
        <v>0.35692708333333328</v>
      </c>
      <c r="CA34" s="807">
        <f>INDEX('qtrP&amp;L'!$159:$159,MATCH(BZ$7,'qtrP&amp;L'!$6:$6,0))</f>
        <v>0.42117245304496292</v>
      </c>
      <c r="CB34" s="807">
        <f>INDEX('qtrP&amp;L'!$160:$160,MATCH(BZ$7,'qtrP&amp;L'!$6:$6,0))</f>
        <v>0.1606847608789124</v>
      </c>
      <c r="CC34" s="807">
        <f>INDEX('qtrP&amp;L'!$161:$161,MATCH(BZ$7,'qtrP&amp;L'!$6:$6,0))</f>
        <v>1.3341216109951204</v>
      </c>
      <c r="CD34" s="808"/>
      <c r="CE34" s="807">
        <f>INDEX('qtrP&amp;L'!$158:$158,MATCH(CE$7,'qtrP&amp;L'!$6:$6,0))</f>
        <v>1.2362553915314987E-2</v>
      </c>
      <c r="CF34" s="807">
        <f>INDEX('qtrP&amp;L'!$159:$159,MATCH(CE$7,'qtrP&amp;L'!$6:$6,0))</f>
        <v>0.32635908440629469</v>
      </c>
      <c r="CG34" s="807">
        <f>INDEX('qtrP&amp;L'!$160:$160,MATCH(CE$7,'qtrP&amp;L'!$6:$6,0))</f>
        <v>0.20415978662787176</v>
      </c>
      <c r="CH34" s="807">
        <f>INDEX('qtrP&amp;L'!$161:$161,MATCH(CE$7,'qtrP&amp;L'!$6:$6,0))</f>
        <v>1.5983670475799727</v>
      </c>
      <c r="CI34" s="808"/>
      <c r="CJ34" s="807">
        <f>INDEX('qtrP&amp;L'!$158:$158,MATCH(CJ$7,'qtrP&amp;L'!$6:$6,0))</f>
        <v>0.16</v>
      </c>
      <c r="CK34" s="807">
        <f>INDEX('qtrP&amp;L'!$159:$159,MATCH(CJ$7,'qtrP&amp;L'!$6:$6,0))</f>
        <v>0.34</v>
      </c>
      <c r="CL34" s="807">
        <f>INDEX('qtrP&amp;L'!$160:$160,MATCH(CJ$7,'qtrP&amp;L'!$6:$6,0))</f>
        <v>0.08</v>
      </c>
      <c r="CM34" s="807">
        <f>INDEX('qtrP&amp;L'!$161:$161,MATCH(CJ$7,'qtrP&amp;L'!$6:$6,0))</f>
        <v>1.6706280193236716</v>
      </c>
      <c r="CN34" s="808"/>
      <c r="CO34" s="807">
        <f>INDEX('qtrP&amp;L'!$158:$158,MATCH(CO$7,'qtrP&amp;L'!$6:$6,0))</f>
        <v>0.01</v>
      </c>
      <c r="CP34" s="807">
        <f>INDEX('qtrP&amp;L'!$159:$159,MATCH(CO$7,'qtrP&amp;L'!$6:$6,0))</f>
        <v>0.28999999999999998</v>
      </c>
      <c r="CQ34" s="807">
        <f>INDEX('qtrP&amp;L'!$160:$160,MATCH(CO$7,'qtrP&amp;L'!$6:$6,0))</f>
        <v>-0.08</v>
      </c>
      <c r="CR34" s="807">
        <f>INDEX('qtrP&amp;L'!$161:$161,MATCH(CO$7,'qtrP&amp;L'!$6:$6,0))</f>
        <v>1.06</v>
      </c>
      <c r="CS34" s="808"/>
      <c r="CT34" s="807">
        <f>INDEX('qtrP&amp;L'!$158:$158,MATCH(CT$7,'qtrP&amp;L'!$6:$6,0))</f>
        <v>-0.16</v>
      </c>
      <c r="CU34" s="807">
        <f>INDEX('qtrP&amp;L'!$159:$159,MATCH(CT$7,'qtrP&amp;L'!$6:$6,0))</f>
        <v>0.2</v>
      </c>
      <c r="CV34" s="807">
        <f>INDEX('qtrP&amp;L'!$160:$160,MATCH(CT$7,'qtrP&amp;L'!$6:$6,0))</f>
        <v>-0.03</v>
      </c>
      <c r="CW34" s="807">
        <f>INDEX('qtrP&amp;L'!$161:$161,MATCH(CT$7,'qtrP&amp;L'!$6:$6,0))</f>
        <v>1.35</v>
      </c>
      <c r="CX34" s="808"/>
      <c r="CY34" s="807">
        <f>INDEX('qtrP&amp;L'!$158:$158,MATCH(CY$7,'qtrP&amp;L'!$6:$6,0))</f>
        <v>9.3852651337400284E-2</v>
      </c>
      <c r="CZ34" s="807">
        <f>INDEX('qtrP&amp;L'!$159:$159,MATCH(CY$7,'qtrP&amp;L'!$6:$6,0))</f>
        <v>0.34466588511137164</v>
      </c>
      <c r="DA34" s="807">
        <f>INDEX('qtrP&amp;L'!$160:$160,MATCH(CY$7,'qtrP&amp;L'!$6:$6,0))</f>
        <v>8.0449017773620193E-2</v>
      </c>
      <c r="DB34" s="807">
        <f>INDEX('qtrP&amp;L'!$161:$161,MATCH(CY$7,'qtrP&amp;L'!$6:$6,0))</f>
        <v>1.5926630224875842</v>
      </c>
      <c r="DC34" s="807"/>
      <c r="DD34" s="807">
        <f>DD32/DD36</f>
        <v>0.30465116279069765</v>
      </c>
      <c r="DE34" s="807">
        <f>DE32/DE36</f>
        <v>0.55453290381960418</v>
      </c>
      <c r="DF34" s="807">
        <f>DF32/DF36</f>
        <v>0.32190829087540529</v>
      </c>
      <c r="DG34" s="807">
        <f>((DG17-DG19)*(1-((DG26-8.5))/(DG17-DG19)))/DG36</f>
        <v>1.7048911771589044</v>
      </c>
      <c r="DH34" s="807"/>
      <c r="DI34" s="807">
        <f>DI32/DI36</f>
        <v>0.42718904885532216</v>
      </c>
      <c r="DJ34" s="807">
        <f>DJ28/DJ36</f>
        <v>0.66890433948693351</v>
      </c>
      <c r="DK34" s="807">
        <f>DK28/DK36</f>
        <v>0.35547928413826918</v>
      </c>
      <c r="DL34" s="807">
        <f>DL28/DL36</f>
        <v>2.0480721081622435</v>
      </c>
      <c r="DM34" s="807"/>
      <c r="DN34" s="807">
        <f>DN32/DN36</f>
        <v>0.55006337135614702</v>
      </c>
      <c r="DO34" s="807">
        <f>DO28/DO36</f>
        <v>0.72180837400462361</v>
      </c>
      <c r="DP34" s="807">
        <f>DP28/DP36</f>
        <v>0.4655444502893214</v>
      </c>
      <c r="DQ34" s="807">
        <f>DQ28/DQ36</f>
        <v>2.3075446547587308</v>
      </c>
      <c r="DR34" s="807"/>
      <c r="DS34" s="807">
        <f>DS32/DS36</f>
        <v>0.6011808910359635</v>
      </c>
      <c r="DT34" s="807">
        <f>DT28/DT36</f>
        <v>0.79912424740010957</v>
      </c>
      <c r="DU34" s="807">
        <f>DU28/DU36</f>
        <v>0.60665362035225046</v>
      </c>
      <c r="DV34" s="807">
        <f>DV28/DV36</f>
        <v>2.4436591621544603</v>
      </c>
      <c r="DW34" s="807"/>
      <c r="DX34" s="807">
        <f>DX32/DX36</f>
        <v>0.55699855699855705</v>
      </c>
      <c r="DY34" s="807">
        <f>DY28/DY36</f>
        <v>0.63636363636363635</v>
      </c>
      <c r="DZ34" s="807">
        <f>DZ28/DZ36</f>
        <v>0.56360327570518653</v>
      </c>
      <c r="EA34" s="807">
        <f>EA28/EA36</f>
        <v>2.090374841168996</v>
      </c>
      <c r="EB34" s="806"/>
      <c r="EC34" s="807">
        <f>EC28/EC36</f>
        <v>0.41786283891547049</v>
      </c>
      <c r="ED34" s="807">
        <f>ED28/ED36</f>
        <v>0.53180212014134276</v>
      </c>
      <c r="EE34" s="807">
        <f>EE28/EE36</f>
        <v>0.15520283322601416</v>
      </c>
      <c r="EF34" s="807">
        <f>EF28/EF36</f>
        <v>2.0550194931773875</v>
      </c>
      <c r="EG34" s="806"/>
      <c r="EH34" s="807">
        <f>EH28/EH36</f>
        <v>0.26549364613880744</v>
      </c>
      <c r="EI34" s="807">
        <f>EI28/EI36</f>
        <v>0.45548123980424149</v>
      </c>
      <c r="EJ34" s="807">
        <f>EJ28/EJ36</f>
        <v>0.20668841761827081</v>
      </c>
      <c r="EK34" s="807">
        <f>EK28/EK36</f>
        <v>2.8560995445673392</v>
      </c>
      <c r="EL34" s="807"/>
      <c r="EM34" s="807">
        <f>EM28/EM36</f>
        <v>0.37568732680643513</v>
      </c>
      <c r="EN34" s="807">
        <f>EN28/EN36</f>
        <v>0.47707424974423646</v>
      </c>
      <c r="EO34" s="807">
        <f>EO28/EO36</f>
        <v>0.2828681686110649</v>
      </c>
      <c r="EP34" s="807">
        <f>EP28/EP36</f>
        <v>2.4094565136762314</v>
      </c>
      <c r="EQ34" s="954"/>
      <c r="ER34" s="809">
        <f>'yrP&amp;L'!F50</f>
        <v>1.0121957790749945</v>
      </c>
      <c r="ES34" s="807">
        <f>'yrP&amp;L'!G50</f>
        <v>1.5284695113743367</v>
      </c>
      <c r="ET34" s="807">
        <f>'yrP&amp;L'!H50</f>
        <v>1.9499735372413873</v>
      </c>
      <c r="EU34" s="807">
        <f>'yrP&amp;L'!I50</f>
        <v>0.20197557628978838</v>
      </c>
      <c r="EV34" s="807">
        <f>'yrP&amp;L'!J50</f>
        <v>0.81437207573570625</v>
      </c>
      <c r="EW34" s="807"/>
      <c r="EX34" s="807">
        <f>'yrP&amp;L'!L50</f>
        <v>0.19396284189183596</v>
      </c>
      <c r="EY34" s="807">
        <f>'yrP&amp;L'!M50</f>
        <v>0.59855215827338126</v>
      </c>
      <c r="EZ34" s="807">
        <f>'yrP&amp;L'!N50</f>
        <v>1.2657726276118944</v>
      </c>
      <c r="FA34" s="807">
        <f>'yrP&amp;L'!O50</f>
        <v>1.5166755201416557</v>
      </c>
      <c r="FB34" s="807">
        <f>'yrP&amp;L'!P50</f>
        <v>1.8784153005464481</v>
      </c>
      <c r="FC34" s="807">
        <f>'yrP&amp;L'!Q50</f>
        <v>2.100160980880764</v>
      </c>
      <c r="FD34" s="807">
        <f>'yrP&amp;L'!R50</f>
        <v>1.6014336365037769</v>
      </c>
      <c r="FE34" s="807">
        <f>'yrP&amp;L'!S50</f>
        <v>1.7093897259149216</v>
      </c>
      <c r="FF34" s="807">
        <f>'yrP&amp;L'!T50</f>
        <v>1.8506172802885585</v>
      </c>
      <c r="FG34" s="807">
        <f>'yrP&amp;L'!U50</f>
        <v>2.2069208613414109</v>
      </c>
      <c r="FH34" s="807">
        <f>'yrP&amp;L'!V50</f>
        <v>2.5058780966631615</v>
      </c>
      <c r="FI34" s="809">
        <f>'yrP&amp;L'!W50</f>
        <v>2.0770614304446693</v>
      </c>
      <c r="FJ34" s="807">
        <f>'yrP&amp;L'!X50</f>
        <v>2.1292197011621474</v>
      </c>
      <c r="FK34" s="810">
        <f>'yrP&amp;L'!Y50</f>
        <v>1.2931126534970636</v>
      </c>
      <c r="FL34" s="809">
        <f>'yrP&amp;L'!Z50</f>
        <v>1.3628933349118031</v>
      </c>
      <c r="FM34" s="809">
        <f>'yrP&amp;L'!AA50</f>
        <v>2.0693523836091621</v>
      </c>
      <c r="FN34" s="807">
        <f>'yrP&amp;L'!AB50</f>
        <v>2.8811447849608607</v>
      </c>
      <c r="FO34" s="807">
        <f>'yrP&amp;L'!AC50</f>
        <v>3.4619116933527421</v>
      </c>
      <c r="FP34" s="807">
        <f>'yrP&amp;L'!AD50</f>
        <v>4.0035343035343036</v>
      </c>
      <c r="FQ34" s="807">
        <f>'yrP&amp;L'!AE50</f>
        <v>4.3978432185815013</v>
      </c>
      <c r="FR34" s="807">
        <f>'yrP&amp;L'!AF50</f>
        <v>3.7653753753753758</v>
      </c>
      <c r="FS34" s="807">
        <f>'yrP&amp;L'!AG50</f>
        <v>3.1444369369369367</v>
      </c>
      <c r="FT34" s="807">
        <f>'yrP&amp;L'!AH50</f>
        <v>3.7850862911103875</v>
      </c>
      <c r="FU34" s="807">
        <f>'yrP&amp;L'!AI50</f>
        <v>3.547483426876068</v>
      </c>
      <c r="FV34" s="807">
        <f>'yrP&amp;L'!AJ50</f>
        <v>2.6979854754032035</v>
      </c>
      <c r="FW34" s="810">
        <f>'yrP&amp;L'!AK50</f>
        <v>1.903382218910292</v>
      </c>
      <c r="FX34" s="807">
        <f>'yrP&amp;L'!AL50</f>
        <v>1.2535491766814584</v>
      </c>
      <c r="FY34" s="810">
        <f>'yrP&amp;L'!AM50</f>
        <v>0.65171941755038931</v>
      </c>
      <c r="FZ34" s="533"/>
      <c r="GA34" s="291"/>
      <c r="GB34"/>
      <c r="GC34"/>
      <c r="GD34"/>
      <c r="GE34"/>
      <c r="GF34"/>
      <c r="GG34"/>
      <c r="GH34" s="327"/>
    </row>
    <row r="35" spans="1:197" s="329" customFormat="1" hidden="1" x14ac:dyDescent="0.2">
      <c r="A35" s="328" t="s">
        <v>568</v>
      </c>
      <c r="C35" s="330">
        <f>INDEX('qtrP&amp;L'!$168:$168,MATCH(C$7,'qtrP&amp;L'!$6:$6,0))</f>
        <v>-1.0723357298763596</v>
      </c>
      <c r="D35" s="330">
        <f>INDEX('qtrP&amp;L'!$169:$169,MATCH(C$7,'qtrP&amp;L'!$6:$6,0))</f>
        <v>-1.5004840729537081</v>
      </c>
      <c r="E35" s="330">
        <f>INDEX('qtrP&amp;L'!$170:$170,MATCH(C$7,'qtrP&amp;L'!$6:$6,0))</f>
        <v>-0.8234184289713089</v>
      </c>
      <c r="F35" s="330">
        <f>INDEX('qtrP&amp;L'!$171:$171,MATCH(C$7,'qtrP&amp;L'!$6:$6,0))</f>
        <v>0.14813256570765293</v>
      </c>
      <c r="H35" s="330">
        <f>INDEX('qtrP&amp;L'!$168:$168,MATCH(H$7,'qtrP&amp;L'!$6:$6,0))</f>
        <v>-0.70174344634807362</v>
      </c>
      <c r="I35" s="330">
        <f>INDEX('qtrP&amp;L'!$169:$169,MATCH(H$7,'qtrP&amp;L'!$6:$6,0))</f>
        <v>-0.8709310605984335</v>
      </c>
      <c r="J35" s="330">
        <f>INDEX('qtrP&amp;L'!$170:$170,MATCH(H$7,'qtrP&amp;L'!$6:$6,0))</f>
        <v>-0.53714455008086726</v>
      </c>
      <c r="K35" s="330">
        <f>INDEX('qtrP&amp;L'!$171:$171,MATCH(H$7,'qtrP&amp;L'!$6:$6,0))</f>
        <v>0.43196269723387642</v>
      </c>
      <c r="M35" s="330">
        <f>INDEX('qtrP&amp;L'!$168:$168,MATCH(M$7,'qtrP&amp;L'!$6:$6,0))</f>
        <v>0.14770538952107254</v>
      </c>
      <c r="N35" s="330">
        <f>INDEX('qtrP&amp;L'!$169:$169,MATCH(M$7,'qtrP&amp;L'!$6:$6,0))</f>
        <v>-0.13925490818648498</v>
      </c>
      <c r="O35" s="330">
        <f>INDEX('qtrP&amp;L'!$170:$170,MATCH(M$7,'qtrP&amp;L'!$6:$6,0))</f>
        <v>0.25065079365079301</v>
      </c>
      <c r="P35" s="330">
        <f>INDEX('qtrP&amp;L'!$171:$171,MATCH(M$7,'qtrP&amp;L'!$6:$6,0))</f>
        <v>0.83396546799124016</v>
      </c>
      <c r="R35" s="330">
        <f>INDEX('qtrP&amp;L'!$168:$168,MATCH(R$7,'qtrP&amp;L'!$6:$6,0))</f>
        <v>0.17193702509329817</v>
      </c>
      <c r="S35" s="330">
        <f>INDEX('qtrP&amp;L'!$169:$169,MATCH(R$7,'qtrP&amp;L'!$6:$6,0))</f>
        <v>7.0090017338431732E-2</v>
      </c>
      <c r="T35" s="330">
        <f>INDEX('qtrP&amp;L'!$170:$170,MATCH(R$7,'qtrP&amp;L'!$6:$6,0))</f>
        <v>0.27332536358670234</v>
      </c>
      <c r="U35" s="330">
        <f>INDEX('qtrP&amp;L'!$171:$171,MATCH(R$7,'qtrP&amp;L'!$6:$6,0))</f>
        <v>1.0430274343427932</v>
      </c>
      <c r="W35" s="330">
        <f>INDEX('qtrP&amp;L'!$168:$168,MATCH(W$7,'qtrP&amp;L'!$6:$6,0))</f>
        <v>0.25479187753036581</v>
      </c>
      <c r="X35" s="330">
        <f>INDEX('qtrP&amp;L'!$169:$169,MATCH(W$7,'qtrP&amp;L'!$6:$6,0))</f>
        <v>0.15588771350471523</v>
      </c>
      <c r="Y35" s="330">
        <f>INDEX('qtrP&amp;L'!$170:$170,MATCH(W$7,'qtrP&amp;L'!$6:$6,0))</f>
        <v>0.3502606635071091</v>
      </c>
      <c r="Z35" s="330">
        <f>INDEX('qtrP&amp;L'!$171:$171,MATCH(W$7,'qtrP&amp;L'!$6:$6,0))</f>
        <v>1.3054457945400026</v>
      </c>
      <c r="AB35" s="330">
        <f>INDEX('qtrP&amp;L'!$168:$168,MATCH(AB$7,'qtrP&amp;L'!$6:$6,0))</f>
        <v>-3.3788660075980637E-2</v>
      </c>
      <c r="AC35" s="330">
        <f>INDEX('qtrP&amp;L'!$169:$169,MATCH(AB$7,'qtrP&amp;L'!$6:$6,0))</f>
        <v>1.4950719247388833E-2</v>
      </c>
      <c r="AD35" s="330">
        <f>INDEX('qtrP&amp;L'!$170:$170,MATCH(AB$7,'qtrP&amp;L'!$6:$6,0))</f>
        <v>0.24965027322404235</v>
      </c>
      <c r="AE35" s="330">
        <f>INDEX('qtrP&amp;L'!$171:$171,MATCH(AB$7,'qtrP&amp;L'!$6:$6,0))</f>
        <v>1.504431395234612</v>
      </c>
      <c r="AG35" s="330">
        <f>INDEX('qtrP&amp;L'!$168:$168,MATCH(AG$7,'qtrP&amp;L'!$6:$6,0))</f>
        <v>3.8314546949832329E-2</v>
      </c>
      <c r="AH35" s="330">
        <f>INDEX('qtrP&amp;L'!$169:$169,MATCH(AG$7,'qtrP&amp;L'!$6:$6,0))</f>
        <v>0.1570996518397586</v>
      </c>
      <c r="AI35" s="330">
        <f>INDEX('qtrP&amp;L'!$170:$170,MATCH(AG$7,'qtrP&amp;L'!$6:$6,0))</f>
        <v>0.32246579334527414</v>
      </c>
      <c r="AJ35" s="330">
        <f>INDEX('qtrP&amp;L'!$171:$171,MATCH(AG$7,'qtrP&amp;L'!$6:$6,0))</f>
        <v>1.65</v>
      </c>
      <c r="AL35" s="330">
        <f>INDEX('qtrP&amp;L'!$168:$168,MATCH(AL$7,'qtrP&amp;L'!$6:$6,0))</f>
        <v>0.11970037453183612</v>
      </c>
      <c r="AM35" s="330">
        <f>INDEX('qtrP&amp;L'!$169:$169,MATCH(AL$7,'qtrP&amp;L'!$6:$6,0))</f>
        <v>0.30531415929203692</v>
      </c>
      <c r="AN35" s="330">
        <f>INDEX('qtrP&amp;L'!$170:$170,MATCH(AL$7,'qtrP&amp;L'!$6:$6,0))</f>
        <v>0.47546619531595269</v>
      </c>
      <c r="AO35" s="330">
        <f>INDEX('qtrP&amp;L'!$171:$171,MATCH(AL$7,'qtrP&amp;L'!$6:$6,0))</f>
        <v>1.6620515499825848</v>
      </c>
      <c r="AQ35" s="330">
        <f>INDEX('qtrP&amp;L'!$168:$168,MATCH(AQ$7,'qtrP&amp;L'!$6:$6,0))</f>
        <v>0.26007772020725389</v>
      </c>
      <c r="AR35" s="330">
        <f>INDEX('qtrP&amp;L'!$169:$169,MATCH(AQ$7,'qtrP&amp;L'!$6:$6,0))</f>
        <v>0.4604130808950086</v>
      </c>
      <c r="AS35" s="330">
        <f>INDEX('qtrP&amp;L'!$170:$170,MATCH(AQ$7,'qtrP&amp;L'!$6:$6,0))</f>
        <v>0.38024475524475521</v>
      </c>
      <c r="AT35" s="330">
        <f>INDEX('qtrP&amp;L'!$171:$171,MATCH(AQ$7,'qtrP&amp;L'!$6:$6,0))</f>
        <v>1.8793182865039153</v>
      </c>
      <c r="AV35" s="330">
        <f>INDEX('qtrP&amp;L'!$168:$168,MATCH(AV$7,'qtrP&amp;L'!$6:$6,0))</f>
        <v>0.2010166358595194</v>
      </c>
      <c r="AW35" s="330">
        <f>INDEX('qtrP&amp;L'!$169:$169,MATCH(AV$7,'qtrP&amp;L'!$6:$6,0))</f>
        <v>0.30869761153672826</v>
      </c>
      <c r="AX35" s="330">
        <f>INDEX('qtrP&amp;L'!$170:$170,MATCH(AV$7,'qtrP&amp;L'!$6:$6,0))</f>
        <v>0.27967257844474763</v>
      </c>
      <c r="AY35" s="330">
        <f>INDEX('qtrP&amp;L'!$171:$171,MATCH(AV$7,'qtrP&amp;L'!$6:$6,0))</f>
        <v>1.0186448385629832</v>
      </c>
      <c r="BA35" s="330">
        <f>INDEX('qtrP&amp;L'!$168:$168,MATCH(BA$7,'qtrP&amp;L'!$6:$6,0))</f>
        <v>0.20573277854831251</v>
      </c>
      <c r="BB35" s="330">
        <f>INDEX('qtrP&amp;L'!$169:$169,MATCH(BA$7,'qtrP&amp;L'!$6:$6,0))</f>
        <v>0.15107913669064749</v>
      </c>
      <c r="BC35" s="330">
        <f>INDEX('qtrP&amp;L'!$170:$170,MATCH(BA$7,'qtrP&amp;L'!$6:$6,0))</f>
        <v>-1.6608652411735456</v>
      </c>
      <c r="BD35" s="330">
        <f>INDEX('qtrP&amp;L'!$171:$171,MATCH(BA$7,'qtrP&amp;L'!$6:$6,0))</f>
        <v>0.82341269841269848</v>
      </c>
      <c r="BF35" s="330">
        <f>INDEX('qtrP&amp;L'!$168:$168,MATCH(BF$7,'qtrP&amp;L'!$6:$6,0))</f>
        <v>0.14208721215090642</v>
      </c>
      <c r="BG35" s="330">
        <f>INDEX('qtrP&amp;L'!$169:$169,MATCH(BF$7,'qtrP&amp;L'!$6:$6,0))</f>
        <v>0.27555110220440882</v>
      </c>
      <c r="BH35" s="330">
        <f>INDEX('qtrP&amp;L'!$170:$170,MATCH(BF$7,'qtrP&amp;L'!$6:$6,0))</f>
        <v>7.7081192189105861E-3</v>
      </c>
      <c r="BI35" s="330">
        <f>INDEX('qtrP&amp;L'!$171:$171,MATCH(BF$7,'qtrP&amp;L'!$6:$6,0))</f>
        <v>-1.1169415292353824</v>
      </c>
      <c r="BK35" s="330">
        <f>INDEX('qtrP&amp;L'!$168:$168,MATCH(BK$7,'qtrP&amp;L'!$6:$6,0))</f>
        <v>0.21813725490196079</v>
      </c>
      <c r="BL35" s="330">
        <f>INDEX('qtrP&amp;L'!$169:$169,MATCH(BK$7,'qtrP&amp;L'!$6:$6,0))</f>
        <v>0.69287469287469283</v>
      </c>
      <c r="BM35" s="330">
        <f>INDEX('qtrP&amp;L'!$170:$170,MATCH(BK$7,'qtrP&amp;L'!$6:$6,0))</f>
        <v>0.27054619703930577</v>
      </c>
      <c r="BN35" s="330">
        <f>INDEX('qtrP&amp;L'!$171:$171,MATCH(BK$7,'qtrP&amp;L'!$6:$6,0))</f>
        <v>0.89033942558746737</v>
      </c>
      <c r="BP35" s="330">
        <f>INDEX('qtrP&amp;L'!$168:$168,MATCH(BP$7,'qtrP&amp;L'!$6:$6,0))</f>
        <v>0.12137203166226913</v>
      </c>
      <c r="BQ35" s="330">
        <f>INDEX('qtrP&amp;L'!$169:$169,MATCH(BP$7,'qtrP&amp;L'!$6:$6,0))</f>
        <v>0.32051282051282054</v>
      </c>
      <c r="BR35" s="330">
        <f>INDEX('qtrP&amp;L'!$170:$170,MATCH(BP$7,'qtrP&amp;L'!$6:$6,0))</f>
        <v>0.18039849219170706</v>
      </c>
      <c r="BS35" s="330">
        <f>INDEX('qtrP&amp;L'!$171:$171,MATCH(BP$7,'qtrP&amp;L'!$6:$6,0))</f>
        <v>1.2506797172376292</v>
      </c>
      <c r="BU35" s="330">
        <f>INDEX('qtrP&amp;L'!$168:$168,MATCH(BU$7,'qtrP&amp;L'!$6:$6,0))</f>
        <v>0.26330076004343106</v>
      </c>
      <c r="BV35" s="330">
        <f>INDEX('qtrP&amp;L'!$169:$169,MATCH(BU$7,'qtrP&amp;L'!$6:$6,0))</f>
        <v>0.21428571428571427</v>
      </c>
      <c r="BW35" s="330">
        <f>INDEX('qtrP&amp;L'!$170:$170,MATCH(BU$7,'qtrP&amp;L'!$6:$6,0))</f>
        <v>0.2121559633027523</v>
      </c>
      <c r="BX35" s="330">
        <f>INDEX('qtrP&amp;L'!$171:$171,MATCH(BU$7,'qtrP&amp;L'!$6:$6,0))</f>
        <v>1.2761020881670533</v>
      </c>
      <c r="BZ35" s="330">
        <f>INDEX('qtrP&amp;L'!$168:$168,MATCH(BZ$7,'qtrP&amp;L'!$6:$6,0))</f>
        <v>0.35692708333333328</v>
      </c>
      <c r="CA35" s="330">
        <f>INDEX('qtrP&amp;L'!$169:$169,MATCH(BZ$7,'qtrP&amp;L'!$6:$6,0))</f>
        <v>0.42117245304496304</v>
      </c>
      <c r="CB35" s="330">
        <f>INDEX('qtrP&amp;L'!$170:$170,MATCH(BZ$7,'qtrP&amp;L'!$6:$6,0))</f>
        <v>0.89594867544042411</v>
      </c>
      <c r="CC35" s="330">
        <f>INDEX('qtrP&amp;L'!$171:$171,MATCH(BZ$7,'qtrP&amp;L'!$6:$6,0))</f>
        <v>1.261277517141826</v>
      </c>
      <c r="CE35" s="330">
        <f>INDEX('qtrP&amp;L'!$168:$168,MATCH(CE$7,'qtrP&amp;L'!$6:$6,0))</f>
        <v>-9.3189964157706098E-2</v>
      </c>
      <c r="CF35" s="330">
        <f>INDEX('qtrP&amp;L'!$169:$169,MATCH(CE$7,'qtrP&amp;L'!$6:$6,0))</f>
        <v>0.56665772532188841</v>
      </c>
      <c r="CG35" s="330">
        <f>INDEX('qtrP&amp;L'!$170:$170,MATCH(CE$7,'qtrP&amp;L'!$6:$6,0))</f>
        <v>-5.4555373704309879E-3</v>
      </c>
      <c r="CH35" s="330">
        <f>INDEX('qtrP&amp;L'!$171:$171,MATCH(CE$7,'qtrP&amp;L'!$6:$6,0))</f>
        <v>1.3996562917700972</v>
      </c>
      <c r="CI35" s="331"/>
      <c r="CJ35" s="330">
        <f>INDEX('qtrP&amp;L'!$168:$168,MATCH(CJ$7,'qtrP&amp;L'!$6:$6,0))</f>
        <v>7.5566750629722929E-2</v>
      </c>
      <c r="CK35" s="330">
        <f>INDEX('qtrP&amp;L'!$169:$169,MATCH(CJ$7,'qtrP&amp;L'!$6:$6,0))</f>
        <v>0.16164263870685888</v>
      </c>
      <c r="CL35" s="330">
        <f>INDEX('qtrP&amp;L'!$170:$170,MATCH(CJ$7,'qtrP&amp;L'!$6:$6,0))</f>
        <v>7.532526820360648E-2</v>
      </c>
      <c r="CM35" s="330">
        <f>INDEX('qtrP&amp;L'!$171:$171,MATCH(CJ$7,'qtrP&amp;L'!$6:$6,0))</f>
        <v>1.8500621118012424</v>
      </c>
      <c r="CN35" s="331"/>
      <c r="CO35" s="330">
        <f>INDEX('qtrP&amp;L'!$168:$168,MATCH(CO$7,'qtrP&amp;L'!$6:$6,0))</f>
        <v>-0.14017581373247803</v>
      </c>
      <c r="CP35" s="330">
        <f>INDEX('qtrP&amp;L'!$169:$169,MATCH(CO$7,'qtrP&amp;L'!$6:$6,0))</f>
        <v>0.17294479981047145</v>
      </c>
      <c r="CQ35" s="330">
        <f>INDEX('qtrP&amp;L'!$170:$170,MATCH(CO$7,'qtrP&amp;L'!$6:$6,0))</f>
        <v>-0.10443864229765012</v>
      </c>
      <c r="CR35" s="330">
        <f>INDEX('qtrP&amp;L'!$171:$171,MATCH(CO$7,'qtrP&amp;L'!$6:$6,0))</f>
        <v>-11.326530612244898</v>
      </c>
      <c r="CS35" s="331"/>
      <c r="CT35" s="330">
        <f>INDEX('qtrP&amp;L'!$168:$168,MATCH(CT$7,'qtrP&amp;L'!$6:$6,0))</f>
        <v>-0.20882771713336498</v>
      </c>
      <c r="CU35" s="330">
        <f>INDEX('qtrP&amp;L'!$169:$169,MATCH(CT$7,'qtrP&amp;L'!$6:$6,0))</f>
        <v>1.658374792703151E-2</v>
      </c>
      <c r="CV35" s="330">
        <f>INDEX('qtrP&amp;L'!$170:$170,MATCH(CT$7,'qtrP&amp;L'!$6:$6,0))</f>
        <v>-8.2977714556661919E-2</v>
      </c>
      <c r="CW35" s="330">
        <f>INDEX('qtrP&amp;L'!$171:$171,MATCH(CT$7,'qtrP&amp;L'!$6:$6,0))</f>
        <v>1.0492808299929262</v>
      </c>
      <c r="CX35" s="331"/>
      <c r="CY35" s="330">
        <f>INDEX('qtrP&amp;L'!$168:$168,MATCH(CY$7,'qtrP&amp;L'!$6:$6,0))</f>
        <v>5.3965274519005166E-2</v>
      </c>
      <c r="CZ35" s="330">
        <f>INDEX('qtrP&amp;L'!$169:$169,MATCH(CY$7,'qtrP&amp;L'!$6:$6,0))</f>
        <v>0.34466588511137164</v>
      </c>
      <c r="DA35" s="330">
        <f>INDEX('qtrP&amp;L'!$170:$170,MATCH(CY$7,'qtrP&amp;L'!$6:$6,0))</f>
        <v>2.3386342376052385E-2</v>
      </c>
      <c r="DB35" s="330">
        <f>INDEX('qtrP&amp;L'!$171:$171,MATCH(CY$7,'qtrP&amp;L'!$6:$6,0))</f>
        <v>1.5547785547785549</v>
      </c>
      <c r="DC35" s="331"/>
      <c r="DD35" s="330">
        <f>INDEX('qtrP&amp;L'!$168:$168,MATCH(DD$7,'qtrP&amp;L'!$6:$6,0))</f>
        <v>0.30465116279069765</v>
      </c>
      <c r="DE35" s="330">
        <f>INDEX('qtrP&amp;L'!$169:$169,MATCH(DD$7,'qtrP&amp;L'!$6:$6,0))</f>
        <v>0.55453290381960418</v>
      </c>
      <c r="DF35" s="330">
        <f>INDEX('qtrP&amp;L'!$170:$170,MATCH(DD$7,'qtrP&amp;L'!$6:$6,0))</f>
        <v>0.32190829087540529</v>
      </c>
      <c r="DG35" s="330">
        <f>INDEX('qtrP&amp;L'!$171:$171,MATCH(DD$7,'qtrP&amp;L'!$6:$6,0))</f>
        <v>1.7435057336765738</v>
      </c>
      <c r="DH35" s="331"/>
      <c r="DI35" s="330">
        <f>INDEX('qtrP&amp;L'!$168:$168,MATCH(DI$7,'qtrP&amp;L'!$6:$6,0))</f>
        <v>0.42718904885532216</v>
      </c>
      <c r="DJ35" s="330">
        <f>INDEX('qtrP&amp;L'!$169:$169,MATCH(DI$7,'qtrP&amp;L'!$6:$6,0))</f>
        <v>0.66890433948693351</v>
      </c>
      <c r="DK35" s="330">
        <f>INDEX('qtrP&amp;L'!$170:$170,MATCH(DI$7,'qtrP&amp;L'!$6:$6,0))</f>
        <v>0.35547928413826918</v>
      </c>
      <c r="DL35" s="330">
        <f>INDEX('qtrP&amp;L'!$171:$171,MATCH(DI$7,'qtrP&amp;L'!$6:$6,0))</f>
        <v>1.8277416124186281</v>
      </c>
      <c r="DM35" s="331"/>
      <c r="DN35" s="330">
        <f>INDEX('qtrP&amp;L'!$168:$168,MATCH(DN$7,'qtrP&amp;L'!$6:$6,0))</f>
        <v>0.55006337135614702</v>
      </c>
      <c r="DO35" s="330">
        <f>INDEX('qtrP&amp;L'!$169:$169,MATCH(DN$7,'qtrP&amp;L'!$6:$6,0))</f>
        <v>0.72180837400462361</v>
      </c>
      <c r="DP35" s="330">
        <f>INDEX('qtrP&amp;L'!$170:$170,MATCH(DN$7,'qtrP&amp;L'!$6:$6,0))</f>
        <v>0.4655444502893214</v>
      </c>
      <c r="DQ35" s="330">
        <f>INDEX('qtrP&amp;L'!$171:$171,MATCH(DN$7,'qtrP&amp;L'!$6:$6,0))</f>
        <v>2.1557778912170504</v>
      </c>
      <c r="DR35" s="331"/>
      <c r="DS35" s="330">
        <f>INDEX('qtrP&amp;L'!$168:$168,MATCH(DS$7,'qtrP&amp;L'!$6:$6,0))</f>
        <v>0.6011808910359635</v>
      </c>
      <c r="DT35" s="330">
        <f>INDEX('qtrP&amp;L'!$169:$169,MATCH(DS$7,'qtrP&amp;L'!$6:$6,0))</f>
        <v>0.79912424740010957</v>
      </c>
      <c r="DU35" s="330">
        <f>INDEX('qtrP&amp;L'!$170:$170,MATCH(DS$7,'qtrP&amp;L'!$6:$6,0))</f>
        <v>0.60665362035225046</v>
      </c>
      <c r="DV35" s="330">
        <f>INDEX('qtrP&amp;L'!$171:$171,MATCH(DS$7,'qtrP&amp;L'!$6:$6,0))</f>
        <v>2.2599031062980908</v>
      </c>
      <c r="DW35" s="331"/>
      <c r="DX35" s="330">
        <f>INDEX('qtrP&amp;L'!$168:$168,MATCH(DX$7,'qtrP&amp;L'!$6:$6,0))</f>
        <v>0.55699855699855705</v>
      </c>
      <c r="DY35" s="330">
        <f>INDEX('qtrP&amp;L'!$169:$169,MATCH(DX$7,'qtrP&amp;L'!$6:$6,0))</f>
        <v>0.63636363636363635</v>
      </c>
      <c r="DZ35" s="330">
        <f>INDEX('qtrP&amp;L'!$170:$170,MATCH(DX$7,'qtrP&amp;L'!$6:$6,0))</f>
        <v>0.34476797088262051</v>
      </c>
      <c r="EA35" s="330">
        <f>INDEX('qtrP&amp;L'!$171:$171,MATCH(DX$7,'qtrP&amp;L'!$6:$6,0))</f>
        <v>1.7340406607369758</v>
      </c>
      <c r="EB35" s="326"/>
      <c r="EC35" s="330">
        <f>INDEX('qtrP&amp;L'!$168:$168,MATCH(EC$7,'qtrP&amp;L'!$6:$6,0))</f>
        <v>0.38915470494417864</v>
      </c>
      <c r="ED35" s="330">
        <f>INDEX('qtrP&amp;L'!$169:$169,MATCH(EC$7,'qtrP&amp;L'!$6:$6,0))</f>
        <v>1.5033729521362052E-2</v>
      </c>
      <c r="EE35" s="330">
        <f>INDEX('qtrP&amp;L'!$170:$170,MATCH(EC$7,'qtrP&amp;L'!$6:$6,0))</f>
        <v>3.9877656149388263E-2</v>
      </c>
      <c r="EF35" s="291">
        <f>INDEX('qtrP&amp;L'!$171:$171,MATCH(EC$7,'qtrP&amp;L'!$6:$6,0))</f>
        <v>1.5843567251461987</v>
      </c>
      <c r="EG35" s="326"/>
      <c r="EH35" s="330">
        <f>INDEX('qtrP&amp;L'!$168:$168,MATCH(EH$7,'qtrP&amp;L'!$6:$6,0))</f>
        <v>0.25588009123493</v>
      </c>
      <c r="EI35" s="330">
        <f>INDEX('qtrP&amp;L'!$169:$169,MATCH(EH$7,'qtrP&amp;L'!$6:$6,0))</f>
        <v>0.36052267536704735</v>
      </c>
      <c r="EJ35" s="330">
        <f>INDEX('qtrP&amp;L'!$170:$170,MATCH(EH$7,'qtrP&amp;L'!$6:$6,0))</f>
        <v>9.6246329526916793E-2</v>
      </c>
      <c r="EK35" s="291">
        <f>INDEX('qtrP&amp;L'!$171:$171,MATCH(EH$7,'qtrP&amp;L'!$6:$6,0))</f>
        <v>4.3477618737800912</v>
      </c>
      <c r="EL35" s="291"/>
      <c r="EM35" s="1406">
        <f>INDEX('qtrP&amp;L'!$168:$168,MATCH(EM$7,'qtrP&amp;L'!$6:$6,0))</f>
        <v>0.37568732680643513</v>
      </c>
      <c r="EN35" s="1406">
        <f>INDEX('qtrP&amp;L'!$169:$169,MATCH(EM$7,'qtrP&amp;L'!$6:$6,0))</f>
        <v>0.47707424974423646</v>
      </c>
      <c r="EO35" s="1406">
        <f>INDEX('qtrP&amp;L'!$170:$170,MATCH(EM$7,'qtrP&amp;L'!$6:$6,0))</f>
        <v>0.2828681686110649</v>
      </c>
      <c r="EP35" s="1407">
        <f>INDEX('qtrP&amp;L'!$171:$171,MATCH(EM$7,'qtrP&amp;L'!$6:$6,0))</f>
        <v>2.4094565136762314</v>
      </c>
      <c r="EQ35" s="591"/>
      <c r="ER35" s="333">
        <f>'yrP&amp;L'!F53</f>
        <v>0.83528513695555129</v>
      </c>
      <c r="ES35" s="330">
        <f>'yrP&amp;L'!G53</f>
        <v>1.27858721332805</v>
      </c>
      <c r="ET35" s="330">
        <f>'yrP&amp;L'!H53</f>
        <v>1.8224072421065853</v>
      </c>
      <c r="EU35" s="330">
        <f>'yrP&amp;L'!I53</f>
        <v>-0.3707908891328241</v>
      </c>
      <c r="EV35" s="330">
        <f>'yrP&amp;L'!J53</f>
        <v>-0.10895677554769044</v>
      </c>
      <c r="EW35" s="330"/>
      <c r="EX35" s="330">
        <f>'yrP&amp;L'!L53</f>
        <v>0.19396284189183596</v>
      </c>
      <c r="EY35" s="330">
        <f>'yrP&amp;L'!M53</f>
        <v>0.62246627697841728</v>
      </c>
      <c r="EZ35" s="330">
        <f>'yrP&amp;L'!N53</f>
        <v>1.1999202233043051</v>
      </c>
      <c r="FA35" s="330">
        <f>'yrP&amp;L'!O53</f>
        <v>1.481261620185923</v>
      </c>
      <c r="FB35" s="330">
        <f>'yrP&amp;L'!P53</f>
        <v>1.8101092896174864</v>
      </c>
      <c r="FC35" s="330">
        <f>'yrP&amp;L'!Q53</f>
        <v>-0.44471299093655592</v>
      </c>
      <c r="FD35" s="330">
        <f>'yrP&amp;L'!R53</f>
        <v>-0.69138276553106215</v>
      </c>
      <c r="FE35" s="330">
        <f>'yrP&amp;L'!S53</f>
        <v>2.0581205183041891</v>
      </c>
      <c r="FF35" s="330">
        <f>'yrP&amp;L'!T53</f>
        <v>1.8569131832797428</v>
      </c>
      <c r="FG35" s="330">
        <f>'yrP&amp;L'!U53</f>
        <v>1.9332210998877666</v>
      </c>
      <c r="FH35" s="330">
        <f>'yrP&amp;L'!V53</f>
        <v>3.236519581389651</v>
      </c>
      <c r="FI35" s="333">
        <f>'yrP&amp;L'!W53</f>
        <v>1.8164597407339782</v>
      </c>
      <c r="FJ35" s="330">
        <f>'yrP&amp;L'!X53</f>
        <v>1.9267570558937466</v>
      </c>
      <c r="FK35" s="332">
        <f>'yrP&amp;L'!Y53</f>
        <v>-11.397045737675743</v>
      </c>
      <c r="FL35" s="333">
        <f>'yrP&amp;L'!Z53</f>
        <v>0.7789747839469634</v>
      </c>
      <c r="FM35" s="333">
        <f>'yrP&amp;L'!AA53</f>
        <v>1.9738035604910078</v>
      </c>
      <c r="FN35" s="330">
        <f>'yrP&amp;L'!AB53</f>
        <v>2.9182156133828996</v>
      </c>
      <c r="FO35" s="330">
        <f>'yrP&amp;L'!AC53</f>
        <v>3.2387190684133915</v>
      </c>
      <c r="FP35" s="330">
        <f>'yrP&amp;L'!AD53</f>
        <v>3.8555932614228579</v>
      </c>
      <c r="FQ35" s="330">
        <f>'yrP&amp;L'!AE53</f>
        <v>4.2195492879856209</v>
      </c>
      <c r="FR35" s="330">
        <f>'yrP&amp;L'!AF53</f>
        <v>3.21184984984985</v>
      </c>
      <c r="FS35" s="330">
        <f>'yrP&amp;L'!AG53</f>
        <v>2.331824324324324</v>
      </c>
      <c r="FT35" s="330">
        <f>'yrP&amp;L'!AH53</f>
        <v>5.4055073266037121</v>
      </c>
      <c r="FU35" s="330">
        <f>'yrP&amp;L'!AI53</f>
        <v>3.547483426876068</v>
      </c>
      <c r="FV35" s="330">
        <f>'yrP&amp;L'!AJ53</f>
        <v>2.6979854754032035</v>
      </c>
      <c r="FW35" s="1394">
        <f>'yrP&amp;L'!AK53</f>
        <v>1.903382218910292</v>
      </c>
      <c r="FX35" s="330">
        <f>'yrP&amp;L'!AL53</f>
        <v>1.2535491766814584</v>
      </c>
      <c r="FY35" s="1364">
        <f>'yrP&amp;L'!AN53</f>
        <v>0</v>
      </c>
      <c r="FZ35" s="533"/>
      <c r="GA35" s="291"/>
      <c r="GB35"/>
      <c r="GC35"/>
      <c r="GD35"/>
      <c r="GE35"/>
      <c r="GF35"/>
      <c r="GG35"/>
      <c r="GH35" s="326"/>
      <c r="GI35" s="326"/>
      <c r="GJ35" s="326"/>
      <c r="GK35" s="326"/>
      <c r="GL35" s="326"/>
      <c r="GM35" s="326"/>
      <c r="GN35" s="326"/>
      <c r="GO35" s="326"/>
    </row>
    <row r="36" spans="1:197" s="340" customFormat="1" x14ac:dyDescent="0.2">
      <c r="A36" s="334" t="s">
        <v>170</v>
      </c>
      <c r="B36" s="335"/>
      <c r="C36" s="336">
        <f>INDEX('qtrP&amp;L'!$178:$178,MATCH(C$7,'qtrP&amp;L'!$6:$6,0))</f>
        <v>80</v>
      </c>
      <c r="D36" s="336">
        <f>INDEX('qtrP&amp;L'!$179:$179,MATCH(C$7,'qtrP&amp;L'!$6:$6,0))</f>
        <v>80</v>
      </c>
      <c r="E36" s="336">
        <f>INDEX('qtrP&amp;L'!$180:$180,MATCH(C$7,'qtrP&amp;L'!$6:$6,0))</f>
        <v>80</v>
      </c>
      <c r="F36" s="336">
        <f>INDEX('qtrP&amp;L'!$181:$181,MATCH(C$7,'qtrP&amp;L'!$6:$6,0))</f>
        <v>80</v>
      </c>
      <c r="G36" s="336"/>
      <c r="H36" s="336">
        <f>INDEX('qtrP&amp;L'!$178:$178,MATCH(H$7,'qtrP&amp;L'!$6:$6,0))</f>
        <v>79.97</v>
      </c>
      <c r="I36" s="336">
        <f>INDEX('qtrP&amp;L'!$179:$179,MATCH(H$7,'qtrP&amp;L'!$6:$6,0))</f>
        <v>79.97</v>
      </c>
      <c r="J36" s="336">
        <f>INDEX('qtrP&amp;L'!$180:$180,MATCH(H$7,'qtrP&amp;L'!$6:$6,0))</f>
        <v>79.97</v>
      </c>
      <c r="K36" s="336">
        <f>INDEX('qtrP&amp;L'!$181:$181,MATCH(H$7,'qtrP&amp;L'!$6:$6,0))</f>
        <v>79.97</v>
      </c>
      <c r="L36" s="336"/>
      <c r="M36" s="336">
        <f>INDEX('qtrP&amp;L'!$178:$178,MATCH(M$7,'qtrP&amp;L'!$6:$6,0))</f>
        <v>79.97</v>
      </c>
      <c r="N36" s="336">
        <f>INDEX('qtrP&amp;L'!$179:$179,MATCH(M$7,'qtrP&amp;L'!$6:$6,0))</f>
        <v>113.38200000000001</v>
      </c>
      <c r="O36" s="336">
        <f>INDEX('qtrP&amp;L'!$180:$180,MATCH(M$7,'qtrP&amp;L'!$6:$6,0))</f>
        <v>126</v>
      </c>
      <c r="P36" s="336">
        <f>INDEX('qtrP&amp;L'!$181:$181,MATCH(M$7,'qtrP&amp;L'!$6:$6,0))</f>
        <v>126.02800000000001</v>
      </c>
      <c r="Q36" s="336"/>
      <c r="R36" s="336">
        <f>INDEX('qtrP&amp;L'!$178:$178,MATCH(R$7,'qtrP&amp;L'!$6:$6,0))</f>
        <v>126.209</v>
      </c>
      <c r="S36" s="336">
        <f>INDEX('qtrP&amp;L'!$179:$179,MATCH(R$7,'qtrP&amp;L'!$6:$6,0))</f>
        <v>126.309</v>
      </c>
      <c r="T36" s="336">
        <f>INDEX('qtrP&amp;L'!$180:$180,MATCH(R$7,'qtrP&amp;L'!$6:$6,0))</f>
        <v>126.31100000000001</v>
      </c>
      <c r="U36" s="336">
        <f>INDEX('qtrP&amp;L'!$181:$181,MATCH(R$7,'qtrP&amp;L'!$6:$6,0))</f>
        <v>126.33799999999999</v>
      </c>
      <c r="V36" s="336"/>
      <c r="W36" s="336">
        <f>INDEX('qtrP&amp;L'!$178:$178,MATCH(W$7,'qtrP&amp;L'!$6:$6,0))</f>
        <v>126.464</v>
      </c>
      <c r="X36" s="336">
        <f>INDEX('qtrP&amp;L'!$179:$179,MATCH(W$7,'qtrP&amp;L'!$6:$6,0))</f>
        <v>126.578</v>
      </c>
      <c r="Y36" s="336">
        <f>INDEX('qtrP&amp;L'!$180:$180,MATCH(W$7,'qtrP&amp;L'!$6:$6,0))</f>
        <v>126.6</v>
      </c>
      <c r="Z36" s="336">
        <f>INDEX('qtrP&amp;L'!$181:$181,MATCH(W$7,'qtrP&amp;L'!$6:$6,0))</f>
        <v>126.74</v>
      </c>
      <c r="AA36" s="336"/>
      <c r="AB36" s="336">
        <f>INDEX('qtrP&amp;L'!$178:$178,MATCH(AB$7,'qtrP&amp;L'!$6:$6,0))</f>
        <v>182.68199999999999</v>
      </c>
      <c r="AC36" s="336">
        <f>INDEX('qtrP&amp;L'!$179:$179,MATCH(AB$7,'qtrP&amp;L'!$6:$6,0))</f>
        <v>182.83</v>
      </c>
      <c r="AD36" s="336">
        <f>INDEX('qtrP&amp;L'!$180:$180,MATCH(AB$7,'qtrP&amp;L'!$6:$6,0))</f>
        <v>183</v>
      </c>
      <c r="AE36" s="336">
        <f>INDEX('qtrP&amp;L'!$181:$181,MATCH(AB$7,'qtrP&amp;L'!$6:$6,0))</f>
        <v>183.238</v>
      </c>
      <c r="AF36" s="336"/>
      <c r="AG36" s="336">
        <f>INDEX('qtrP&amp;L'!$178:$178,MATCH(AG$7,'qtrP&amp;L'!$6:$6,0))</f>
        <v>206.71</v>
      </c>
      <c r="AH36" s="336">
        <f>INDEX('qtrP&amp;L'!$179:$179,MATCH(AG$7,'qtrP&amp;L'!$6:$6,0))</f>
        <v>207.66300000000001</v>
      </c>
      <c r="AI36" s="336">
        <f>INDEX('qtrP&amp;L'!$180:$180,MATCH(AG$7,'qtrP&amp;L'!$6:$6,0))</f>
        <v>212.751</v>
      </c>
      <c r="AJ36" s="336">
        <f>INDEX('qtrP&amp;L'!$181:$181,MATCH(AG$7,'qtrP&amp;L'!$6:$6,0))</f>
        <v>223.2</v>
      </c>
      <c r="AK36" s="336"/>
      <c r="AL36" s="336">
        <f>INDEX('qtrP&amp;L'!$178:$178,MATCH(AL$7,'qtrP&amp;L'!$6:$6,0))</f>
        <v>213.6</v>
      </c>
      <c r="AM36" s="336">
        <f>INDEX('qtrP&amp;L'!$179:$179,MATCH(AL$7,'qtrP&amp;L'!$6:$6,0))</f>
        <v>226</v>
      </c>
      <c r="AN36" s="336">
        <f>INDEX('qtrP&amp;L'!$180:$180,MATCH(AL$7,'qtrP&amp;L'!$6:$6,0))</f>
        <v>226.3</v>
      </c>
      <c r="AO36" s="336">
        <f>INDEX('qtrP&amp;L'!$181:$181,MATCH(AL$7,'qtrP&amp;L'!$6:$6,0))</f>
        <v>229.68</v>
      </c>
      <c r="AP36" s="336"/>
      <c r="AQ36" s="336">
        <f>INDEX('qtrP&amp;L'!$178:$178,MATCH(AQ$7,'qtrP&amp;L'!$6:$6,0))</f>
        <v>231.6</v>
      </c>
      <c r="AR36" s="336">
        <f>INDEX('qtrP&amp;L'!$179:$179,MATCH(AQ$7,'qtrP&amp;L'!$6:$6,0))</f>
        <v>232.4</v>
      </c>
      <c r="AS36" s="336">
        <f>INDEX('qtrP&amp;L'!$180:$180,MATCH(AQ$7,'qtrP&amp;L'!$6:$6,0))</f>
        <v>228.8</v>
      </c>
      <c r="AT36" s="336">
        <f>INDEX('qtrP&amp;L'!$181:$181,MATCH(AQ$7,'qtrP&amp;L'!$6:$6,0))</f>
        <v>217.1</v>
      </c>
      <c r="AU36" s="336"/>
      <c r="AV36" s="336">
        <f>INDEX('qtrP&amp;L'!$178:$178,MATCH(AV$7,'qtrP&amp;L'!$6:$6,0))</f>
        <v>432.8</v>
      </c>
      <c r="AW36" s="336">
        <f>INDEX('qtrP&amp;L'!$179:$179,MATCH(AV$7,'qtrP&amp;L'!$6:$6,0))</f>
        <v>443.8</v>
      </c>
      <c r="AX36" s="336">
        <f>INDEX('qtrP&amp;L'!$180:$180,MATCH(AV$7,'qtrP&amp;L'!$6:$6,0))</f>
        <v>439.8</v>
      </c>
      <c r="AY36" s="336">
        <f>INDEX('qtrP&amp;L'!$181:$181,MATCH(AV$7,'qtrP&amp;L'!$6:$6,0))</f>
        <v>439.8</v>
      </c>
      <c r="AZ36" s="336"/>
      <c r="BA36" s="336">
        <f>INDEX('qtrP&amp;L'!$178:$178,MATCH(BA$7,'qtrP&amp;L'!$6:$6,0))</f>
        <v>432.6</v>
      </c>
      <c r="BB36" s="336">
        <f>INDEX('qtrP&amp;L'!$179:$179,MATCH(BA$7,'qtrP&amp;L'!$6:$6,0))</f>
        <v>417</v>
      </c>
      <c r="BC36" s="336">
        <f>INDEX('qtrP&amp;L'!$180:$180,MATCH(BA$7,'qtrP&amp;L'!$6:$6,0))</f>
        <v>402.2</v>
      </c>
      <c r="BD36" s="336">
        <f>INDEX('qtrP&amp;L'!$181:$181,MATCH(BA$7,'qtrP&amp;L'!$6:$6,0))</f>
        <v>403.2</v>
      </c>
      <c r="BE36" s="336"/>
      <c r="BF36" s="336">
        <f>INDEX('qtrP&amp;L'!$178:$178,MATCH(BF$7,'qtrP&amp;L'!$6:$6,0))</f>
        <v>408.2</v>
      </c>
      <c r="BG36" s="336">
        <f>INDEX('qtrP&amp;L'!$179:$179,MATCH(BF$7,'qtrP&amp;L'!$6:$6,0))</f>
        <v>399.2</v>
      </c>
      <c r="BH36" s="336">
        <f>INDEX('qtrP&amp;L'!$180:$180,MATCH(BF$7,'qtrP&amp;L'!$6:$6,0))</f>
        <v>389.2</v>
      </c>
      <c r="BI36" s="336">
        <f>INDEX('qtrP&amp;L'!$181:$181,MATCH(BF$7,'qtrP&amp;L'!$6:$6,0))</f>
        <v>400.2</v>
      </c>
      <c r="BJ36" s="336"/>
      <c r="BK36" s="336">
        <f>INDEX('qtrP&amp;L'!$178:$178,MATCH(BK$7,'qtrP&amp;L'!$6:$6,0))</f>
        <v>408</v>
      </c>
      <c r="BL36" s="336">
        <f>INDEX('qtrP&amp;L'!$179:$179,MATCH(BK$7,'qtrP&amp;L'!$6:$6,0))</f>
        <v>407</v>
      </c>
      <c r="BM36" s="336">
        <f>INDEX('qtrP&amp;L'!$180:$180,MATCH(BK$7,'qtrP&amp;L'!$6:$6,0))</f>
        <v>391.8</v>
      </c>
      <c r="BN36" s="336">
        <f>INDEX('qtrP&amp;L'!$181:$181,MATCH(BK$7,'qtrP&amp;L'!$6:$6,0))</f>
        <v>383</v>
      </c>
      <c r="BO36" s="336"/>
      <c r="BP36" s="336">
        <f>INDEX('qtrP&amp;L'!$178:$178,MATCH(BP$7,'qtrP&amp;L'!$6:$6,0))</f>
        <v>379</v>
      </c>
      <c r="BQ36" s="336">
        <f>INDEX('qtrP&amp;L'!$179:$179,MATCH(BP$7,'qtrP&amp;L'!$6:$6,0))</f>
        <v>374.4</v>
      </c>
      <c r="BR36" s="336">
        <f>INDEX('qtrP&amp;L'!$180:$180,MATCH(BP$7,'qtrP&amp;L'!$6:$6,0))</f>
        <v>371.4</v>
      </c>
      <c r="BS36" s="336">
        <f>INDEX('qtrP&amp;L'!$181:$181,MATCH(BP$7,'qtrP&amp;L'!$6:$6,0))</f>
        <v>367.8</v>
      </c>
      <c r="BT36" s="336"/>
      <c r="BU36" s="336">
        <f>INDEX('qtrP&amp;L'!$178:$178,MATCH(BU$7,'qtrP&amp;L'!$6:$6,0))</f>
        <v>368.4</v>
      </c>
      <c r="BV36" s="336">
        <f>INDEX('qtrP&amp;L'!$179:$179,MATCH(BU$7,'qtrP&amp;L'!$6:$6,0))</f>
        <v>364</v>
      </c>
      <c r="BW36" s="336">
        <f>INDEX('qtrP&amp;L'!$180:$180,MATCH(BU$7,'qtrP&amp;L'!$6:$6,0))</f>
        <v>348.8</v>
      </c>
      <c r="BX36" s="336">
        <f>INDEX('qtrP&amp;L'!$181:$181,MATCH(BU$7,'qtrP&amp;L'!$6:$6,0))</f>
        <v>344.8</v>
      </c>
      <c r="BY36" s="336"/>
      <c r="BZ36" s="336">
        <f>INDEX('qtrP&amp;L'!$178:$178,MATCH(BZ$7,'qtrP&amp;L'!$6:$6,0))</f>
        <v>345.6</v>
      </c>
      <c r="CA36" s="336">
        <f>INDEX('qtrP&amp;L'!$179:$179,MATCH(BZ$7,'qtrP&amp;L'!$6:$6,0))</f>
        <v>351.4</v>
      </c>
      <c r="CB36" s="336">
        <f>INDEX('qtrP&amp;L'!$180:$180,MATCH(BZ$7,'qtrP&amp;L'!$6:$6,0))</f>
        <v>486.9</v>
      </c>
      <c r="CC36" s="336">
        <f>INDEX('qtrP&amp;L'!$181:$181,MATCH(BZ$7,'qtrP&amp;L'!$6:$6,0))</f>
        <v>554.20000000000005</v>
      </c>
      <c r="CD36" s="336"/>
      <c r="CE36" s="336">
        <f>INDEX('qtrP&amp;L'!$178:$178,MATCH(CE$7,'qtrP&amp;L'!$6:$6,0))</f>
        <v>558</v>
      </c>
      <c r="CF36" s="336">
        <f>INDEX('qtrP&amp;L'!$179:$179,MATCH(CE$7,'qtrP&amp;L'!$6:$6,0))</f>
        <v>559.20000000000005</v>
      </c>
      <c r="CG36" s="336">
        <f>INDEX('qtrP&amp;L'!$180:$180,MATCH(CE$7,'qtrP&amp;L'!$6:$6,0))</f>
        <v>549.9</v>
      </c>
      <c r="CH36" s="336">
        <f>INDEX('qtrP&amp;L'!$181:$181,MATCH(CE$7,'qtrP&amp;L'!$6:$6,0))</f>
        <v>523.70000000000005</v>
      </c>
      <c r="CI36" s="336"/>
      <c r="CJ36" s="336">
        <f>INDEX('qtrP&amp;L'!$178:$178,MATCH(CJ$7,'qtrP&amp;L'!$6:$6,0))</f>
        <v>476.4</v>
      </c>
      <c r="CK36" s="336">
        <f>INDEX('qtrP&amp;L'!$179:$179,MATCH(CJ$7,'qtrP&amp;L'!$6:$6,0))</f>
        <v>457.8</v>
      </c>
      <c r="CL36" s="336">
        <f>INDEX('qtrP&amp;L'!$180:$180,MATCH(CJ$7,'qtrP&amp;L'!$6:$6,0))</f>
        <v>438.1</v>
      </c>
      <c r="CM36" s="336">
        <f>INDEX('qtrP&amp;L'!$181:$181,MATCH(CJ$7,'qtrP&amp;L'!$6:$6,0))</f>
        <v>434.7</v>
      </c>
      <c r="CN36" s="336"/>
      <c r="CO36" s="336">
        <f>INDEX('qtrP&amp;L'!$178:$178,MATCH(CO$7,'qtrP&amp;L'!$6:$6,0))</f>
        <v>420.9</v>
      </c>
      <c r="CP36" s="336">
        <f>INDEX('qtrP&amp;L'!$179:$179,MATCH(CO$7,'qtrP&amp;L'!$6:$6,0))</f>
        <v>422.1</v>
      </c>
      <c r="CQ36" s="336">
        <f>INDEX('qtrP&amp;L'!$180:$180,MATCH(CO$7,'qtrP&amp;L'!$6:$6,0))</f>
        <v>421.3</v>
      </c>
      <c r="CR36" s="336">
        <f>INDEX('qtrP&amp;L'!$181:$181,MATCH(CO$7,'qtrP&amp;L'!$6:$6,0))</f>
        <v>421.4</v>
      </c>
      <c r="CS36" s="336"/>
      <c r="CT36" s="336">
        <f>INDEX('qtrP&amp;L'!$178:$178,MATCH(CT$7,'qtrP&amp;L'!$6:$6,0))</f>
        <v>421.4</v>
      </c>
      <c r="CU36" s="336">
        <f>INDEX('qtrP&amp;L'!$179:$179,MATCH(CT$7,'qtrP&amp;L'!$6:$6,0))</f>
        <v>422.1</v>
      </c>
      <c r="CV36" s="336">
        <f>INDEX('qtrP&amp;L'!$180:$180,MATCH(CT$7,'qtrP&amp;L'!$6:$6,0))</f>
        <v>421.8</v>
      </c>
      <c r="CW36" s="336">
        <f>INDEX('qtrP&amp;L'!$181:$181,MATCH(CT$7,'qtrP&amp;L'!$6:$6,0))</f>
        <v>424.1</v>
      </c>
      <c r="CX36" s="336"/>
      <c r="CY36" s="337">
        <f>INDEX('qtrP&amp;L'!$178:$178,MATCH(CY$7,'qtrP&amp;L'!$6:$6,0))</f>
        <v>426.2</v>
      </c>
      <c r="CZ36" s="337">
        <f>INDEX('qtrP&amp;L'!$179:$179,MATCH(CY$7,'qtrP&amp;L'!$6:$6,0))</f>
        <v>426.5</v>
      </c>
      <c r="DA36" s="337">
        <f>INDEX('qtrP&amp;L'!$180:$180,MATCH(CY$7,'qtrP&amp;L'!$6:$6,0))</f>
        <v>427.6</v>
      </c>
      <c r="DB36" s="337">
        <f>INDEX('qtrP&amp;L'!$181:$181,MATCH(CY$7,'qtrP&amp;L'!$6:$6,0))</f>
        <v>429</v>
      </c>
      <c r="DC36" s="337"/>
      <c r="DD36" s="337">
        <f>INDEX('qtrP&amp;L'!$178:$178,MATCH(DD$7,'qtrP&amp;L'!$6:$6,0))</f>
        <v>430</v>
      </c>
      <c r="DE36" s="337">
        <f>INDEX('qtrP&amp;L'!$179:$179,MATCH(DD$7,'qtrP&amp;L'!$6:$6,0))</f>
        <v>434.6</v>
      </c>
      <c r="DF36" s="337">
        <f>INDEX('qtrP&amp;L'!$180:$180,MATCH(DD$7,'qtrP&amp;L'!$6:$6,0))</f>
        <v>431.8</v>
      </c>
      <c r="DG36" s="337">
        <f>INDEX('qtrP&amp;L'!$181:$181,MATCH(DD$7,'qtrP&amp;L'!$6:$6,0))</f>
        <v>427.3</v>
      </c>
      <c r="DH36" s="337"/>
      <c r="DI36" s="337">
        <f>INDEX('qtrP&amp;L'!$178:$178,MATCH(DI$7,'qtrP&amp;L'!$6:$6,0))</f>
        <v>423.7</v>
      </c>
      <c r="DJ36" s="337">
        <f>INDEX('qtrP&amp;L'!$179:$179,MATCH(DI$7,'qtrP&amp;L'!$6:$6,0))</f>
        <v>417.1</v>
      </c>
      <c r="DK36" s="337">
        <f>INDEX('qtrP&amp;L'!$180:$180,MATCH(DI$7,'qtrP&amp;L'!$6:$6,0))</f>
        <v>407.9</v>
      </c>
      <c r="DL36" s="337">
        <f>INDEX('qtrP&amp;L'!$181:$181,MATCH(DI$7,'qtrP&amp;L'!$6:$6,0))</f>
        <v>399.4</v>
      </c>
      <c r="DM36" s="337"/>
      <c r="DN36" s="337">
        <f>INDEX('qtrP&amp;L'!$178:$178,MATCH(DN$7,'qtrP&amp;L'!$6:$6,0))</f>
        <v>394.5</v>
      </c>
      <c r="DO36" s="337">
        <f>INDEX('qtrP&amp;L'!$179:$179,MATCH(DN$7,'qtrP&amp;L'!$6:$6,0))</f>
        <v>389.3</v>
      </c>
      <c r="DP36" s="337">
        <f>INDEX('qtrP&amp;L'!$180:$180,MATCH(DN$7,'qtrP&amp;L'!$6:$6,0))</f>
        <v>380.2</v>
      </c>
      <c r="DQ36" s="337">
        <f>INDEX('qtrP&amp;L'!$181:$181,MATCH(DN$7,'qtrP&amp;L'!$6:$6,0))</f>
        <v>375.1</v>
      </c>
      <c r="DR36" s="337"/>
      <c r="DS36" s="337">
        <f>INDEX('qtrP&amp;L'!$178:$178,MATCH(DS$7,'qtrP&amp;L'!$6:$6,0))</f>
        <v>372.6</v>
      </c>
      <c r="DT36" s="337">
        <f>INDEX('qtrP&amp;L'!$179:$179,MATCH(DS$7,'qtrP&amp;L'!$6:$6,0))</f>
        <v>365.4</v>
      </c>
      <c r="DU36" s="337">
        <f>INDEX('qtrP&amp;L'!$180:$180,MATCH(DS$7,'qtrP&amp;L'!$6:$6,0))</f>
        <v>357.7</v>
      </c>
      <c r="DV36" s="337">
        <f>INDEX('qtrP&amp;L'!$181:$181,MATCH(DS$7,'qtrP&amp;L'!$6:$6,0))</f>
        <v>350.9</v>
      </c>
      <c r="DW36" s="337"/>
      <c r="DX36" s="337">
        <f>INDEX('qtrP&amp;L'!$178:$178,MATCH(DX$7,'qtrP&amp;L'!$6:$6,0))</f>
        <v>346.5</v>
      </c>
      <c r="DY36" s="337">
        <f>INDEX('qtrP&amp;L'!$179:$179,MATCH(DX$7,'qtrP&amp;L'!$6:$6,0))</f>
        <v>341</v>
      </c>
      <c r="DZ36" s="337">
        <f>INDEX('qtrP&amp;L'!$180:$180,MATCH(DX$7,'qtrP&amp;L'!$6:$6,0))</f>
        <v>329.7</v>
      </c>
      <c r="EA36" s="337">
        <f>INDEX('qtrP&amp;L'!$181:$181,MATCH(DX$7,'qtrP&amp;L'!$6:$6,0))</f>
        <v>314.8</v>
      </c>
      <c r="EB36" s="335"/>
      <c r="EC36" s="337">
        <f>INDEX('qtrP&amp;L'!$178:$178,MATCH(EC$7,'qtrP&amp;L'!$6:$6,0))</f>
        <v>313.5</v>
      </c>
      <c r="ED36" s="337">
        <f>INDEX('qtrP&amp;L'!$179:$179,MATCH(EC$7,'qtrP&amp;L'!$6:$6,0))</f>
        <v>311.3</v>
      </c>
      <c r="EE36" s="337">
        <f>INDEX('qtrP&amp;L'!$180:$180,MATCH(EC$7,'qtrP&amp;L'!$6:$6,0))</f>
        <v>310.60000000000002</v>
      </c>
      <c r="EF36" s="337">
        <f>INDEX('qtrP&amp;L'!$181:$181,MATCH(EC$7,'qtrP&amp;L'!$6:$6,0))</f>
        <v>307.8</v>
      </c>
      <c r="EG36" s="335"/>
      <c r="EH36" s="337">
        <f>INDEX('qtrP&amp;L'!$178:$178,MATCH(EH$7,'qtrP&amp;L'!$6:$6,0))</f>
        <v>306.89999999999998</v>
      </c>
      <c r="EI36" s="337">
        <f>INDEX('qtrP&amp;L'!$179:$179,MATCH(EH$7,'qtrP&amp;L'!$6:$6,0))</f>
        <v>306.5</v>
      </c>
      <c r="EJ36" s="337">
        <f>INDEX('qtrP&amp;L'!$180:$180,MATCH(EH$7,'qtrP&amp;L'!$6:$6,0))</f>
        <v>306.5</v>
      </c>
      <c r="EK36" s="337">
        <f>INDEX('qtrP&amp;L'!$181:$181,MATCH(EH$7,'qtrP&amp;L'!$6:$6,0))</f>
        <v>307.39999999999998</v>
      </c>
      <c r="EL36" s="337"/>
      <c r="EM36" s="1408">
        <f>INDEX('qtrP&amp;L'!$178:$178,MATCH(EM$7,'qtrP&amp;L'!$6:$6,0))</f>
        <v>307.64999999999998</v>
      </c>
      <c r="EN36" s="1408">
        <f>INDEX('qtrP&amp;L'!$179:$179,MATCH(EM$7,'qtrP&amp;L'!$6:$6,0))</f>
        <v>307.89999999999998</v>
      </c>
      <c r="EO36" s="1408">
        <f>INDEX('qtrP&amp;L'!$180:$180,MATCH(EM$7,'qtrP&amp;L'!$6:$6,0))</f>
        <v>308.14999999999998</v>
      </c>
      <c r="EP36" s="1408">
        <f>INDEX('qtrP&amp;L'!$181:$181,MATCH(EM$7,'qtrP&amp;L'!$6:$6,0))</f>
        <v>308.39999999999998</v>
      </c>
      <c r="EQ36" s="592"/>
      <c r="ER36" s="339">
        <f>'yrP&amp;L'!F56</f>
        <v>111.35</v>
      </c>
      <c r="ES36" s="337">
        <f>'yrP&amp;L'!G56</f>
        <v>126.29300000000001</v>
      </c>
      <c r="ET36" s="337">
        <f>'yrP&amp;L'!H56</f>
        <v>126.593</v>
      </c>
      <c r="EU36" s="337">
        <f>'yrP&amp;L'!I56</f>
        <v>182.2</v>
      </c>
      <c r="EV36" s="337">
        <f>'yrP&amp;L'!J56</f>
        <v>182.952</v>
      </c>
      <c r="EW36" s="337"/>
      <c r="EX36" s="337">
        <f>'yrP&amp;L'!L56</f>
        <v>386.67200000000003</v>
      </c>
      <c r="EY36" s="337">
        <f>'yrP&amp;L'!M56</f>
        <v>444.8</v>
      </c>
      <c r="EZ36" s="337">
        <f>'yrP&amp;L'!N56</f>
        <v>454.26799999999997</v>
      </c>
      <c r="FA36" s="337">
        <f>'yrP&amp;L'!O56</f>
        <v>451.8</v>
      </c>
      <c r="FB36" s="337">
        <f>'yrP&amp;L'!P56</f>
        <v>439.2</v>
      </c>
      <c r="FC36" s="337">
        <f>'yrP&amp;L'!Q56</f>
        <v>413.75</v>
      </c>
      <c r="FD36" s="337">
        <f>'yrP&amp;L'!R56</f>
        <v>399.2</v>
      </c>
      <c r="FE36" s="337">
        <f>'yrP&amp;L'!S56</f>
        <v>397.45</v>
      </c>
      <c r="FF36" s="337">
        <f>'yrP&amp;L'!T56</f>
        <v>373.2</v>
      </c>
      <c r="FG36" s="337">
        <f>'yrP&amp;L'!U56</f>
        <v>356.4</v>
      </c>
      <c r="FH36" s="337">
        <f>'yrP&amp;L'!V56</f>
        <v>434.6</v>
      </c>
      <c r="FI36" s="339">
        <f>'yrP&amp;L'!W56</f>
        <v>547.70000000000005</v>
      </c>
      <c r="FJ36" s="337">
        <f>'yrP&amp;L'!X56</f>
        <v>451.75</v>
      </c>
      <c r="FK36" s="338">
        <f>'yrP&amp;L'!Y56</f>
        <v>421.42500000000001</v>
      </c>
      <c r="FL36" s="339">
        <f>'yrP&amp;L'!Z56</f>
        <v>422.35</v>
      </c>
      <c r="FM36" s="339">
        <f>'yrP&amp;L'!AA56</f>
        <v>429.1</v>
      </c>
      <c r="FN36" s="337">
        <f>'yrP&amp;L'!AB56</f>
        <v>430.4</v>
      </c>
      <c r="FO36" s="337">
        <f>'yrP&amp;L'!AC56</f>
        <v>412.2</v>
      </c>
      <c r="FP36" s="337">
        <f>'yrP&amp;L'!AD56</f>
        <v>384.8</v>
      </c>
      <c r="FQ36" s="337">
        <f>'yrP&amp;L'!AE56</f>
        <v>361.65</v>
      </c>
      <c r="FR36" s="337">
        <f>'yrP&amp;L'!AF56</f>
        <v>333</v>
      </c>
      <c r="FS36" s="337">
        <f>'yrP&amp;L'!AG56</f>
        <v>310.8</v>
      </c>
      <c r="FT36" s="337">
        <f>'yrP&amp;L'!AH56</f>
        <v>307.10000000000002</v>
      </c>
      <c r="FU36" s="337">
        <f>FT36+FU37-FT37</f>
        <v>308.10000000000002</v>
      </c>
      <c r="FV36" s="337">
        <f>FU36+FV37-FU37</f>
        <v>309.10000000000002</v>
      </c>
      <c r="FW36" s="551">
        <f>FV36+FW37-FV37</f>
        <v>309.10000000000002</v>
      </c>
      <c r="FX36" s="529">
        <f>FW36+FX37-FW37</f>
        <v>309.10000000000002</v>
      </c>
      <c r="FY36" s="1365">
        <f>FX36+FY37-FX37</f>
        <v>309.10000000000002</v>
      </c>
      <c r="FZ36" s="337"/>
      <c r="GA36" s="372"/>
      <c r="GB36"/>
      <c r="GC36"/>
      <c r="GD36"/>
      <c r="GE36"/>
      <c r="GF36"/>
      <c r="GG36"/>
    </row>
    <row r="37" spans="1:197" ht="12.75" customHeight="1" outlineLevel="1" x14ac:dyDescent="0.2">
      <c r="A37" s="260" t="s">
        <v>173</v>
      </c>
      <c r="B37" s="261"/>
      <c r="C37" s="267">
        <f>INDEX('qtrP&amp;L'!$198:$198,MATCH(C$7,'qtrP&amp;L'!$6:$6,0))</f>
        <v>0</v>
      </c>
      <c r="D37" s="267">
        <f>INDEX('qtrP&amp;L'!$199:$199,MATCH(C$7,'qtrP&amp;L'!$6:$6,0))</f>
        <v>0</v>
      </c>
      <c r="E37" s="267">
        <f>INDEX('qtrP&amp;L'!$200:$200,MATCH(C$7,'qtrP&amp;L'!$6:$6,0))</f>
        <v>0</v>
      </c>
      <c r="F37" s="267">
        <f>INDEX('qtrP&amp;L'!$201:$201,MATCH(C$7,'qtrP&amp;L'!$6:$6,0))</f>
        <v>0</v>
      </c>
      <c r="G37" s="267"/>
      <c r="H37" s="267">
        <f>INDEX('qtrP&amp;L'!$198:$198,MATCH(H$7,'qtrP&amp;L'!$6:$6,0))</f>
        <v>0</v>
      </c>
      <c r="I37" s="267">
        <f>INDEX('qtrP&amp;L'!$199:$199,MATCH(H$7,'qtrP&amp;L'!$6:$6,0))</f>
        <v>0</v>
      </c>
      <c r="J37" s="267">
        <f>INDEX('qtrP&amp;L'!$200:$200,MATCH(H$7,'qtrP&amp;L'!$6:$6,0))</f>
        <v>0</v>
      </c>
      <c r="K37" s="267">
        <f>INDEX('qtrP&amp;L'!$201:$201,MATCH(H$7,'qtrP&amp;L'!$6:$6,0))</f>
        <v>0</v>
      </c>
      <c r="L37" s="267"/>
      <c r="M37" s="267">
        <f>INDEX('qtrP&amp;L'!$198:$198,MATCH(M$7,'qtrP&amp;L'!$6:$6,0))</f>
        <v>0</v>
      </c>
      <c r="N37" s="267">
        <f>INDEX('qtrP&amp;L'!$199:$199,MATCH(M$7,'qtrP&amp;L'!$6:$6,0))</f>
        <v>0</v>
      </c>
      <c r="O37" s="267">
        <f>INDEX('qtrP&amp;L'!$200:$200,MATCH(M$7,'qtrP&amp;L'!$6:$6,0))</f>
        <v>0</v>
      </c>
      <c r="P37" s="267">
        <f>INDEX('qtrP&amp;L'!$201:$201,MATCH(M$7,'qtrP&amp;L'!$6:$6,0))</f>
        <v>0</v>
      </c>
      <c r="Q37" s="267"/>
      <c r="R37" s="267">
        <f>INDEX('qtrP&amp;L'!$198:$198,MATCH(R$7,'qtrP&amp;L'!$6:$6,0))</f>
        <v>0</v>
      </c>
      <c r="S37" s="267">
        <f>INDEX('qtrP&amp;L'!$199:$199,MATCH(R$7,'qtrP&amp;L'!$6:$6,0))</f>
        <v>0</v>
      </c>
      <c r="T37" s="267">
        <f>INDEX('qtrP&amp;L'!$200:$200,MATCH(R$7,'qtrP&amp;L'!$6:$6,0))</f>
        <v>0</v>
      </c>
      <c r="U37" s="267">
        <f>INDEX('qtrP&amp;L'!$201:$201,MATCH(R$7,'qtrP&amp;L'!$6:$6,0))</f>
        <v>0</v>
      </c>
      <c r="V37" s="267"/>
      <c r="W37" s="267">
        <f>INDEX('qtrP&amp;L'!$198:$198,MATCH(W$7,'qtrP&amp;L'!$6:$6,0))</f>
        <v>0</v>
      </c>
      <c r="X37" s="267">
        <f>INDEX('qtrP&amp;L'!$199:$199,MATCH(W$7,'qtrP&amp;L'!$6:$6,0))</f>
        <v>0</v>
      </c>
      <c r="Y37" s="267">
        <f>INDEX('qtrP&amp;L'!$200:$200,MATCH(W$7,'qtrP&amp;L'!$6:$6,0))</f>
        <v>0</v>
      </c>
      <c r="Z37" s="267">
        <f>INDEX('qtrP&amp;L'!$201:$201,MATCH(W$7,'qtrP&amp;L'!$6:$6,0))</f>
        <v>0</v>
      </c>
      <c r="AA37" s="267"/>
      <c r="AB37" s="267">
        <f>INDEX('qtrP&amp;L'!$198:$198,MATCH(AB$7,'qtrP&amp;L'!$6:$6,0))</f>
        <v>0</v>
      </c>
      <c r="AC37" s="267">
        <f>INDEX('qtrP&amp;L'!$199:$199,MATCH(AB$7,'qtrP&amp;L'!$6:$6,0))</f>
        <v>0</v>
      </c>
      <c r="AD37" s="267">
        <f>INDEX('qtrP&amp;L'!$200:$200,MATCH(AB$7,'qtrP&amp;L'!$6:$6,0))</f>
        <v>0</v>
      </c>
      <c r="AE37" s="267">
        <f>INDEX('qtrP&amp;L'!$201:$201,MATCH(AB$7,'qtrP&amp;L'!$6:$6,0))</f>
        <v>0</v>
      </c>
      <c r="AF37" s="267"/>
      <c r="AG37" s="267">
        <f>INDEX('qtrP&amp;L'!$198:$198,MATCH(AG$7,'qtrP&amp;L'!$6:$6,0))</f>
        <v>0</v>
      </c>
      <c r="AH37" s="267">
        <f>INDEX('qtrP&amp;L'!$199:$199,MATCH(AG$7,'qtrP&amp;L'!$6:$6,0))</f>
        <v>0</v>
      </c>
      <c r="AI37" s="267">
        <f>INDEX('qtrP&amp;L'!$200:$200,MATCH(AG$7,'qtrP&amp;L'!$6:$6,0))</f>
        <v>0</v>
      </c>
      <c r="AJ37" s="267">
        <f>INDEX('qtrP&amp;L'!$201:$201,MATCH(AG$7,'qtrP&amp;L'!$6:$6,0))</f>
        <v>0</v>
      </c>
      <c r="AK37" s="267"/>
      <c r="AL37" s="267">
        <f>INDEX('qtrP&amp;L'!$198:$198,MATCH(AL$7,'qtrP&amp;L'!$6:$6,0))</f>
        <v>0</v>
      </c>
      <c r="AM37" s="267">
        <f>INDEX('qtrP&amp;L'!$199:$199,MATCH(AL$7,'qtrP&amp;L'!$6:$6,0))</f>
        <v>0</v>
      </c>
      <c r="AN37" s="267">
        <f>INDEX('qtrP&amp;L'!$200:$200,MATCH(AL$7,'qtrP&amp;L'!$6:$6,0))</f>
        <v>0</v>
      </c>
      <c r="AO37" s="267">
        <f>INDEX('qtrP&amp;L'!$201:$201,MATCH(AL$7,'qtrP&amp;L'!$6:$6,0))</f>
        <v>0</v>
      </c>
      <c r="AP37" s="267"/>
      <c r="AQ37" s="267">
        <f>INDEX('qtrP&amp;L'!$198:$198,MATCH(AQ$7,'qtrP&amp;L'!$6:$6,0))</f>
        <v>0</v>
      </c>
      <c r="AR37" s="267">
        <f>INDEX('qtrP&amp;L'!$199:$199,MATCH(AQ$7,'qtrP&amp;L'!$6:$6,0))</f>
        <v>0</v>
      </c>
      <c r="AS37" s="267">
        <f>INDEX('qtrP&amp;L'!$200:$200,MATCH(AQ$7,'qtrP&amp;L'!$6:$6,0))</f>
        <v>0</v>
      </c>
      <c r="AT37" s="267">
        <f>INDEX('qtrP&amp;L'!$201:$201,MATCH(AQ$7,'qtrP&amp;L'!$6:$6,0))</f>
        <v>0</v>
      </c>
      <c r="AU37" s="267"/>
      <c r="AV37" s="267">
        <f>INDEX('qtrP&amp;L'!$198:$198,MATCH(AV$7,'qtrP&amp;L'!$6:$6,0))</f>
        <v>0</v>
      </c>
      <c r="AW37" s="267">
        <f>INDEX('qtrP&amp;L'!$199:$199,MATCH(AV$7,'qtrP&amp;L'!$6:$6,0))</f>
        <v>0</v>
      </c>
      <c r="AX37" s="267">
        <f>INDEX('qtrP&amp;L'!$200:$200,MATCH(AV$7,'qtrP&amp;L'!$6:$6,0))</f>
        <v>0</v>
      </c>
      <c r="AY37" s="267">
        <f>INDEX('qtrP&amp;L'!$201:$201,MATCH(AV$7,'qtrP&amp;L'!$6:$6,0))</f>
        <v>0</v>
      </c>
      <c r="AZ37" s="267"/>
      <c r="BA37" s="267">
        <f>INDEX('qtrP&amp;L'!$198:$198,MATCH(BA$7,'qtrP&amp;L'!$6:$6,0))</f>
        <v>415.872772</v>
      </c>
      <c r="BB37" s="267">
        <f>INDEX('qtrP&amp;L'!$199:$199,MATCH(BA$7,'qtrP&amp;L'!$6:$6,0))</f>
        <v>403.836004</v>
      </c>
      <c r="BC37" s="267">
        <f>INDEX('qtrP&amp;L'!$200:$200,MATCH(BA$7,'qtrP&amp;L'!$6:$6,0))</f>
        <v>397.47889600000002</v>
      </c>
      <c r="BD37" s="267">
        <f>INDEX('qtrP&amp;L'!$201:$201,MATCH(BA$7,'qtrP&amp;L'!$6:$6,0))</f>
        <v>395.34445399999998</v>
      </c>
      <c r="BE37" s="267"/>
      <c r="BF37" s="267">
        <f>INDEX('qtrP&amp;L'!$198:$198,MATCH(BF$7,'qtrP&amp;L'!$6:$6,0))</f>
        <v>389.8</v>
      </c>
      <c r="BG37" s="267">
        <f>INDEX('qtrP&amp;L'!$199:$199,MATCH(BF$7,'qtrP&amp;L'!$6:$6,0))</f>
        <v>385.4</v>
      </c>
      <c r="BH37" s="267">
        <f>INDEX('qtrP&amp;L'!$200:$200,MATCH(BF$7,'qtrP&amp;L'!$6:$6,0))</f>
        <v>383.4</v>
      </c>
      <c r="BI37" s="267">
        <f>INDEX('qtrP&amp;L'!$201:$201,MATCH(BF$7,'qtrP&amp;L'!$6:$6,0))</f>
        <v>402.252748</v>
      </c>
      <c r="BJ37" s="267"/>
      <c r="BK37" s="267">
        <f>INDEX('qtrP&amp;L'!$198:$198,MATCH(BK$7,'qtrP&amp;L'!$6:$6,0))</f>
        <v>403</v>
      </c>
      <c r="BL37" s="267">
        <f>INDEX('qtrP&amp;L'!$199:$199,MATCH(BK$7,'qtrP&amp;L'!$6:$6,0))</f>
        <v>392.4</v>
      </c>
      <c r="BM37" s="267">
        <f>INDEX('qtrP&amp;L'!$200:$200,MATCH(BK$7,'qtrP&amp;L'!$6:$6,0))</f>
        <v>380.4</v>
      </c>
      <c r="BN37" s="267">
        <f>INDEX('qtrP&amp;L'!$201:$201,MATCH(BK$7,'qtrP&amp;L'!$6:$6,0))</f>
        <v>374.65489600000001</v>
      </c>
      <c r="BO37" s="267"/>
      <c r="BP37" s="267">
        <f>INDEX('qtrP&amp;L'!$198:$198,MATCH(BP$7,'qtrP&amp;L'!$6:$6,0))</f>
        <v>370.72</v>
      </c>
      <c r="BQ37" s="267">
        <f>INDEX('qtrP&amp;L'!$199:$199,MATCH(BP$7,'qtrP&amp;L'!$6:$6,0))</f>
        <v>365.62</v>
      </c>
      <c r="BR37" s="267">
        <f>INDEX('qtrP&amp;L'!$200:$200,MATCH(BP$7,'qtrP&amp;L'!$6:$6,0))</f>
        <v>361.58</v>
      </c>
      <c r="BS37" s="267">
        <f>INDEX('qtrP&amp;L'!$201:$201,MATCH(BP$7,'qtrP&amp;L'!$6:$6,0))</f>
        <v>357</v>
      </c>
      <c r="BT37" s="267"/>
      <c r="BU37" s="267">
        <f>INDEX('qtrP&amp;L'!$198:$198,MATCH(BU$7,'qtrP&amp;L'!$6:$6,0))</f>
        <v>359.61200000000002</v>
      </c>
      <c r="BV37" s="267">
        <f>INDEX('qtrP&amp;L'!$199:$199,MATCH(BU$7,'qtrP&amp;L'!$6:$6,0))</f>
        <v>345.39600000000002</v>
      </c>
      <c r="BW37" s="267">
        <f>INDEX('qtrP&amp;L'!$200:$200,MATCH(BU$7,'qtrP&amp;L'!$6:$6,0))</f>
        <v>338.4</v>
      </c>
      <c r="BX37" s="267">
        <f>INDEX('qtrP&amp;L'!$201:$201,MATCH(BU$7,'qtrP&amp;L'!$6:$6,0))</f>
        <v>335.19655599999999</v>
      </c>
      <c r="BY37" s="267"/>
      <c r="BZ37" s="267">
        <f>INDEX('qtrP&amp;L'!$198:$198,MATCH(BZ$7,'qtrP&amp;L'!$6:$6,0))</f>
        <v>340.8</v>
      </c>
      <c r="CA37" s="267">
        <f>INDEX('qtrP&amp;L'!$199:$199,MATCH(BZ$7,'qtrP&amp;L'!$6:$6,0))</f>
        <v>340.85399999999998</v>
      </c>
      <c r="CB37" s="267">
        <f>INDEX('qtrP&amp;L'!$200:$200,MATCH(BZ$7,'qtrP&amp;L'!$6:$6,0))</f>
        <v>544.43164000000002</v>
      </c>
      <c r="CC37" s="267">
        <f>INDEX('qtrP&amp;L'!$201:$201,MATCH(BZ$7,'qtrP&amp;L'!$6:$6,0))</f>
        <v>546.79999999999995</v>
      </c>
      <c r="CD37" s="267"/>
      <c r="CE37" s="267">
        <f>INDEX('qtrP&amp;L'!$198:$198,MATCH(CE$7,'qtrP&amp;L'!$6:$6,0))</f>
        <v>553.20000000000005</v>
      </c>
      <c r="CF37" s="267">
        <f>INDEX('qtrP&amp;L'!$199:$199,MATCH(CE$7,'qtrP&amp;L'!$6:$6,0))</f>
        <v>545</v>
      </c>
      <c r="CG37" s="267">
        <f>INDEX('qtrP&amp;L'!$200:$200,MATCH(CE$7,'qtrP&amp;L'!$6:$6,0))</f>
        <v>530</v>
      </c>
      <c r="CH37" s="267">
        <f>INDEX('qtrP&amp;L'!$201:$201,MATCH(CE$7,'qtrP&amp;L'!$6:$6,0))</f>
        <v>496.9</v>
      </c>
      <c r="CI37" s="267"/>
      <c r="CJ37" s="267">
        <f>INDEX('qtrP&amp;L'!$198:$198,MATCH(CJ$7,'qtrP&amp;L'!$6:$6,0))</f>
        <v>459.62333699999999</v>
      </c>
      <c r="CK37" s="267">
        <f>INDEX('qtrP&amp;L'!$199:$199,MATCH(CJ$7,'qtrP&amp;L'!$6:$6,0))</f>
        <v>435.6</v>
      </c>
      <c r="CL37" s="267">
        <f>INDEX('qtrP&amp;L'!$200:$200,MATCH(CJ$7,'qtrP&amp;L'!$6:$6,0))</f>
        <v>432.98764799999998</v>
      </c>
      <c r="CM37" s="267">
        <f>INDEX('qtrP&amp;L'!$201:$201,MATCH(CJ$7,'qtrP&amp;L'!$6:$6,0))</f>
        <v>419.7</v>
      </c>
      <c r="CN37" s="267"/>
      <c r="CO37" s="267">
        <f>INDEX('qtrP&amp;L'!$198:$198,MATCH(CO$7,'qtrP&amp;L'!$6:$6,0))</f>
        <v>420.477236</v>
      </c>
      <c r="CP37" s="267">
        <f>INDEX('qtrP&amp;L'!$199:$199,MATCH(CO$7,'qtrP&amp;L'!$6:$6,0))</f>
        <v>420.54819300000003</v>
      </c>
      <c r="CQ37" s="267">
        <f>INDEX('qtrP&amp;L'!$200:$200,MATCH(CO$7,'qtrP&amp;L'!$6:$6,0))</f>
        <v>420.56348700000001</v>
      </c>
      <c r="CR37" s="267">
        <f>INDEX('qtrP&amp;L'!$201:$201,MATCH(CO$7,'qtrP&amp;L'!$6:$6,0))</f>
        <v>420.57529799999998</v>
      </c>
      <c r="CS37" s="267"/>
      <c r="CT37" s="267">
        <f>INDEX('qtrP&amp;L'!$198:$198,MATCH(CT$7,'qtrP&amp;L'!$6:$6,0))</f>
        <v>420.6</v>
      </c>
      <c r="CU37" s="267">
        <f>INDEX('qtrP&amp;L'!$199:$199,MATCH(CT$7,'qtrP&amp;L'!$6:$6,0))</f>
        <v>420.5</v>
      </c>
      <c r="CV37" s="267">
        <f>INDEX('qtrP&amp;L'!$200:$200,MATCH(CT$7,'qtrP&amp;L'!$6:$6,0))</f>
        <v>421</v>
      </c>
      <c r="CW37" s="267">
        <f>INDEX('qtrP&amp;L'!$201:$201,MATCH(CT$7,'qtrP&amp;L'!$6:$6,0))</f>
        <v>421.53</v>
      </c>
      <c r="CX37" s="267"/>
      <c r="CY37" s="269">
        <f>INDEX('qtrP&amp;L'!$198:$198,MATCH(CY$7,'qtrP&amp;L'!$6:$6,0))</f>
        <v>422.1</v>
      </c>
      <c r="CZ37" s="269">
        <f>INDEX('qtrP&amp;L'!$199:$199,MATCH(CY$7,'qtrP&amp;L'!$6:$6,0))</f>
        <v>422.7</v>
      </c>
      <c r="DA37" s="269">
        <f>INDEX('qtrP&amp;L'!$200:$200,MATCH(CY$7,'qtrP&amp;L'!$6:$6,0))</f>
        <v>423</v>
      </c>
      <c r="DB37" s="269">
        <f>INDEX('qtrP&amp;L'!$201:$201,MATCH(CY$7,'qtrP&amp;L'!$6:$6,0))</f>
        <v>423.3</v>
      </c>
      <c r="DC37" s="269"/>
      <c r="DD37" s="269">
        <f>INDEX('qtrP&amp;L'!$198:$198,MATCH(DD$7,'qtrP&amp;L'!$6:$6,0))</f>
        <v>425.2</v>
      </c>
      <c r="DE37" s="269">
        <f>INDEX('qtrP&amp;L'!$199:$199,MATCH(DD$7,'qtrP&amp;L'!$6:$6,0))</f>
        <v>427.5</v>
      </c>
      <c r="DF37" s="269">
        <f>INDEX('qtrP&amp;L'!$200:$200,MATCH(DD$7,'qtrP&amp;L'!$6:$6,0))</f>
        <v>420.6</v>
      </c>
      <c r="DG37" s="269">
        <f>INDEX('qtrP&amp;L'!$201:$201,MATCH(DD$7,'qtrP&amp;L'!$6:$6,0))</f>
        <v>414.2</v>
      </c>
      <c r="DH37" s="269"/>
      <c r="DI37" s="269">
        <f>INDEX('qtrP&amp;L'!$198:$198,MATCH(DI$7,'qtrP&amp;L'!$6:$6,0))</f>
        <v>414.6</v>
      </c>
      <c r="DJ37" s="269">
        <f>INDEX('qtrP&amp;L'!$199:$199,MATCH(DI$7,'qtrP&amp;L'!$6:$6,0))</f>
        <v>404.3</v>
      </c>
      <c r="DK37" s="269">
        <f>INDEX('qtrP&amp;L'!$200:$200,MATCH(DI$7,'qtrP&amp;L'!$6:$6,0))</f>
        <v>395.5</v>
      </c>
      <c r="DL37" s="269">
        <f>INDEX('qtrP&amp;L'!$201:$201,MATCH(DI$7,'qtrP&amp;L'!$6:$6,0))</f>
        <v>387.7</v>
      </c>
      <c r="DM37" s="269"/>
      <c r="DN37" s="269">
        <f>INDEX('qtrP&amp;L'!$198:$198,MATCH(DN$7,'qtrP&amp;L'!$6:$6,0))</f>
        <v>383.7</v>
      </c>
      <c r="DO37" s="269">
        <f>INDEX('qtrP&amp;L'!$199:$199,MATCH(DN$7,'qtrP&amp;L'!$6:$6,0))</f>
        <v>377.9</v>
      </c>
      <c r="DP37" s="269">
        <f>INDEX('qtrP&amp;L'!$200:$200,MATCH(DN$7,'qtrP&amp;L'!$6:$6,0))</f>
        <v>368.1</v>
      </c>
      <c r="DQ37" s="269">
        <f>INDEX('qtrP&amp;L'!$201:$201,MATCH(DN$7,'qtrP&amp;L'!$6:$6,0))</f>
        <v>364.9</v>
      </c>
      <c r="DR37" s="269"/>
      <c r="DS37" s="269">
        <f>INDEX('qtrP&amp;L'!$198:$198,MATCH(DS$7,'qtrP&amp;L'!$6:$6,0))</f>
        <v>361.8</v>
      </c>
      <c r="DT37" s="269">
        <f>INDEX('qtrP&amp;L'!$199:$199,MATCH(DS$7,'qtrP&amp;L'!$6:$6,0))</f>
        <v>353.5</v>
      </c>
      <c r="DU37" s="269">
        <f>INDEX('qtrP&amp;L'!$200:$200,MATCH(DS$7,'qtrP&amp;L'!$6:$6,0))</f>
        <v>346</v>
      </c>
      <c r="DV37" s="269">
        <f>INDEX('qtrP&amp;L'!$201:$201,MATCH(DS$7,'qtrP&amp;L'!$6:$6,0))</f>
        <v>340.26073500967118</v>
      </c>
      <c r="DW37" s="269"/>
      <c r="DX37" s="269">
        <f>INDEX('qtrP&amp;L'!$198:$198,MATCH(DX$7,'qtrP&amp;L'!$6:$6,0))</f>
        <v>337.6</v>
      </c>
      <c r="DY37" s="269">
        <f>INDEX('qtrP&amp;L'!$199:$199,MATCH(DX$7,'qtrP&amp;L'!$6:$6,0))</f>
        <v>331</v>
      </c>
      <c r="DZ37" s="269">
        <f>INDEX('qtrP&amp;L'!$200:$200,MATCH(DX$7,'qtrP&amp;L'!$6:$6,0))</f>
        <v>314.39999999999998</v>
      </c>
      <c r="EA37" s="269">
        <f>INDEX('qtrP&amp;L'!$201:$201,MATCH(DX$7,'qtrP&amp;L'!$6:$6,0))</f>
        <v>310.3</v>
      </c>
      <c r="EB37" s="261"/>
      <c r="EC37" s="269">
        <f>INDEX('qtrP&amp;L'!$198:$198,MATCH(EC$7,'qtrP&amp;L'!$6:$6,0))</f>
        <v>308.39999999999998</v>
      </c>
      <c r="ED37" s="269">
        <f>INDEX('qtrP&amp;L'!$199:$199,MATCH(EC$7,'qtrP&amp;L'!$6:$6,0))</f>
        <v>308.5</v>
      </c>
      <c r="EE37" s="269">
        <f>INDEX('qtrP&amp;L'!$200:$200,MATCH(EC$7,'qtrP&amp;L'!$6:$6,0))</f>
        <v>305.5</v>
      </c>
      <c r="EF37" s="269">
        <f>INDEX('qtrP&amp;L'!$201:$201,MATCH(EC$7,'qtrP&amp;L'!$6:$6,0))</f>
        <v>304.10000000000002</v>
      </c>
      <c r="EG37" s="261"/>
      <c r="EH37" s="269">
        <f>INDEX('qtrP&amp;L'!$198:$198,MATCH(EH$7,'qtrP&amp;L'!$6:$6,0))</f>
        <v>304.50671399999999</v>
      </c>
      <c r="EI37" s="269">
        <f>INDEX('qtrP&amp;L'!$199:$199,MATCH(EH$7,'qtrP&amp;L'!$6:$6,0))</f>
        <v>304.558965</v>
      </c>
      <c r="EJ37" s="269">
        <f>INDEX('qtrP&amp;L'!$200:$200,MATCH(EH$7,'qtrP&amp;L'!$6:$6,0))</f>
        <v>304.56637699999999</v>
      </c>
      <c r="EK37" s="269">
        <f>INDEX('qtrP&amp;L'!$201:$201,MATCH(EH$7,'qtrP&amp;L'!$6:$6,0))</f>
        <v>304.56637699999999</v>
      </c>
      <c r="EL37" s="269"/>
      <c r="EM37" s="1326">
        <f>INDEX('qtrP&amp;L'!$198:$198,MATCH(EM$7,'qtrP&amp;L'!$6:$6,0))</f>
        <v>304.81637699999999</v>
      </c>
      <c r="EN37" s="1326">
        <f>INDEX('qtrP&amp;L'!$199:$199,MATCH(EM$7,'qtrP&amp;L'!$6:$6,0))</f>
        <v>305.06637699999999</v>
      </c>
      <c r="EO37" s="1326">
        <f>INDEX('qtrP&amp;L'!$200:$200,MATCH(EM$7,'qtrP&amp;L'!$6:$6,0))</f>
        <v>305.31637699999999</v>
      </c>
      <c r="EP37" s="1326">
        <f>INDEX('qtrP&amp;L'!$201:$201,MATCH(EM$7,'qtrP&amp;L'!$6:$6,0))</f>
        <v>305.56637699999999</v>
      </c>
      <c r="EQ37" s="262"/>
      <c r="ER37" s="341"/>
      <c r="ES37" s="342"/>
      <c r="ET37" s="342"/>
      <c r="EU37" s="342"/>
      <c r="EV37" s="342"/>
      <c r="EW37" s="269"/>
      <c r="EX37" s="342"/>
      <c r="EY37" s="342"/>
      <c r="EZ37" s="342"/>
      <c r="FA37" s="342"/>
      <c r="FB37" s="342"/>
      <c r="FC37" s="342">
        <f>INDEX('qtrP&amp;L'!202:202,MATCH(FC7,'qtrP&amp;L'!6:6,0))</f>
        <v>395.34445399999998</v>
      </c>
      <c r="FD37" s="342">
        <f>INDEX('qtrP&amp;L'!202:202,MATCH(FD7,'qtrP&amp;L'!6:6,0))</f>
        <v>402.252748</v>
      </c>
      <c r="FE37" s="342">
        <f>INDEX('qtrP&amp;L'!202:202,MATCH(FE7,'qtrP&amp;L'!6:6,0))</f>
        <v>374.65489600000001</v>
      </c>
      <c r="FF37" s="342">
        <f>INDEX('qtrP&amp;L'!202:202,MATCH(FF7,'qtrP&amp;L'!6:6,0))</f>
        <v>357</v>
      </c>
      <c r="FG37" s="342">
        <f>INDEX('qtrP&amp;L'!202:202,MATCH(FG7,'qtrP&amp;L'!6:6,0))</f>
        <v>335.19655599999999</v>
      </c>
      <c r="FH37" s="342">
        <f>INDEX('qtrP&amp;L'!202:202,MATCH(FH7,'qtrP&amp;L'!6:6,0))</f>
        <v>546.79999999999995</v>
      </c>
      <c r="FI37" s="341">
        <f>INDEX('qtrP&amp;L'!202:202,MATCH(FI7,'qtrP&amp;L'!6:6,0))</f>
        <v>496.9</v>
      </c>
      <c r="FJ37" s="342">
        <f>INDEX('qtrP&amp;L'!202:202,MATCH(FJ7,'qtrP&amp;L'!6:6,0))</f>
        <v>419.7</v>
      </c>
      <c r="FK37" s="343">
        <f>INDEX('qtrP&amp;L'!202:202,MATCH(FK7,'qtrP&amp;L'!6:6,0))</f>
        <v>420.57529799999998</v>
      </c>
      <c r="FL37" s="341">
        <f>INDEX('qtrP&amp;L'!202:202,MATCH(FL7,'qtrP&amp;L'!6:6,0))</f>
        <v>421.53</v>
      </c>
      <c r="FM37" s="341">
        <f>INDEX('qtrP&amp;L'!202:202,MATCH(FM7,'qtrP&amp;L'!6:6,0))</f>
        <v>423.3</v>
      </c>
      <c r="FN37" s="342">
        <f>INDEX('qtrP&amp;L'!202:202,MATCH(FN7,'qtrP&amp;L'!6:6,0))</f>
        <v>414.2</v>
      </c>
      <c r="FO37" s="342">
        <f>INDEX('qtrP&amp;L'!202:202,MATCH(FO7,'qtrP&amp;L'!6:6,0))</f>
        <v>387.7</v>
      </c>
      <c r="FP37" s="342">
        <f>INDEX('qtrP&amp;L'!202:202,MATCH(FP7,'qtrP&amp;L'!6:6,0))</f>
        <v>364.9</v>
      </c>
      <c r="FQ37" s="342">
        <f>INDEX('qtrP&amp;L'!202:202,MATCH(FQ7,'qtrP&amp;L'!6:6,0))</f>
        <v>340.26073500967118</v>
      </c>
      <c r="FR37" s="342">
        <f>INDEX('qtrP&amp;L'!202:202,MATCH(FR7,'qtrP&amp;L'!6:6,0))</f>
        <v>310.3</v>
      </c>
      <c r="FS37" s="342">
        <f>INDEX('qtrP&amp;L'!202:202,MATCH(FS7,'qtrP&amp;L'!6:6,0))</f>
        <v>304.10000000000002</v>
      </c>
      <c r="FT37" s="342">
        <f>'qtrP&amp;L'!DH201+flow!AF41/21</f>
        <v>304.05238095238099</v>
      </c>
      <c r="FU37" s="344">
        <f>FT37+flow!AG41/21+1</f>
        <v>305.05238095238099</v>
      </c>
      <c r="FV37" s="344">
        <f>FU37+flow!AH41/21+1</f>
        <v>306.05238095238099</v>
      </c>
      <c r="FW37" s="1349">
        <f>FV37+flow!AI41/21</f>
        <v>306.05238095238099</v>
      </c>
      <c r="FX37" s="342">
        <f>FW37+flow!AJ41/36</f>
        <v>306.05238095238099</v>
      </c>
      <c r="FY37" s="1366">
        <f>FX37+flow!AK41/36</f>
        <v>306.05238095238099</v>
      </c>
      <c r="FZ37" s="344"/>
      <c r="GA37" s="344"/>
      <c r="GH37" s="290"/>
    </row>
    <row r="38" spans="1:197" ht="12.75" customHeight="1" outlineLevel="1" x14ac:dyDescent="0.2">
      <c r="A38" s="260" t="s">
        <v>171</v>
      </c>
      <c r="B38" s="261"/>
      <c r="C38" s="267">
        <f>INDEX('qtrP&amp;L'!$188:$188,MATCH(C$7,'qtrP&amp;L'!$6:$6,0))</f>
        <v>80</v>
      </c>
      <c r="D38" s="267">
        <f>INDEX('qtrP&amp;L'!$189:$189,MATCH(C$7,'qtrP&amp;L'!$6:$6,0))</f>
        <v>80</v>
      </c>
      <c r="E38" s="267">
        <f>INDEX('qtrP&amp;L'!$190:$190,MATCH(C$7,'qtrP&amp;L'!$6:$6,0))</f>
        <v>80</v>
      </c>
      <c r="F38" s="267">
        <f>INDEX('qtrP&amp;L'!$191:$191,MATCH(C$7,'qtrP&amp;L'!$6:$6,0))</f>
        <v>80</v>
      </c>
      <c r="G38" s="267"/>
      <c r="H38" s="267">
        <f>INDEX('qtrP&amp;L'!$188:$188,MATCH(H$7,'qtrP&amp;L'!$6:$6,0))</f>
        <v>79.97</v>
      </c>
      <c r="I38" s="267">
        <f>INDEX('qtrP&amp;L'!$189:$189,MATCH(H$7,'qtrP&amp;L'!$6:$6,0))</f>
        <v>79.97</v>
      </c>
      <c r="J38" s="267">
        <f>INDEX('qtrP&amp;L'!$190:$190,MATCH(H$7,'qtrP&amp;L'!$6:$6,0))</f>
        <v>79.97</v>
      </c>
      <c r="K38" s="267">
        <f>INDEX('qtrP&amp;L'!$191:$191,MATCH(H$7,'qtrP&amp;L'!$6:$6,0))</f>
        <v>79.97</v>
      </c>
      <c r="L38" s="267"/>
      <c r="M38" s="267">
        <f>INDEX('qtrP&amp;L'!$188:$188,MATCH(M$7,'qtrP&amp;L'!$6:$6,0))</f>
        <v>79.97</v>
      </c>
      <c r="N38" s="267">
        <f>INDEX('qtrP&amp;L'!$189:$189,MATCH(M$7,'qtrP&amp;L'!$6:$6,0))</f>
        <v>113.38200000000001</v>
      </c>
      <c r="O38" s="267">
        <f>INDEX('qtrP&amp;L'!$190:$190,MATCH(M$7,'qtrP&amp;L'!$6:$6,0))</f>
        <v>126</v>
      </c>
      <c r="P38" s="267">
        <f>INDEX('qtrP&amp;L'!$191:$191,MATCH(M$7,'qtrP&amp;L'!$6:$6,0))</f>
        <v>126.02800000000001</v>
      </c>
      <c r="Q38" s="267"/>
      <c r="R38" s="267">
        <f>INDEX('qtrP&amp;L'!$188:$188,MATCH(R$7,'qtrP&amp;L'!$6:$6,0))</f>
        <v>126.209</v>
      </c>
      <c r="S38" s="267">
        <f>INDEX('qtrP&amp;L'!$189:$189,MATCH(R$7,'qtrP&amp;L'!$6:$6,0))</f>
        <v>126.309</v>
      </c>
      <c r="T38" s="267">
        <f>INDEX('qtrP&amp;L'!$190:$190,MATCH(R$7,'qtrP&amp;L'!$6:$6,0))</f>
        <v>126.31100000000001</v>
      </c>
      <c r="U38" s="267">
        <f>INDEX('qtrP&amp;L'!$191:$191,MATCH(R$7,'qtrP&amp;L'!$6:$6,0))</f>
        <v>126.33799999999999</v>
      </c>
      <c r="V38" s="267"/>
      <c r="W38" s="267">
        <f>INDEX('qtrP&amp;L'!$188:$188,MATCH(W$7,'qtrP&amp;L'!$6:$6,0))</f>
        <v>126.464</v>
      </c>
      <c r="X38" s="267">
        <f>INDEX('qtrP&amp;L'!$189:$189,MATCH(W$7,'qtrP&amp;L'!$6:$6,0))</f>
        <v>126.578</v>
      </c>
      <c r="Y38" s="267">
        <f>INDEX('qtrP&amp;L'!$190:$190,MATCH(W$7,'qtrP&amp;L'!$6:$6,0))</f>
        <v>126.6</v>
      </c>
      <c r="Z38" s="267">
        <f>INDEX('qtrP&amp;L'!$191:$191,MATCH(W$7,'qtrP&amp;L'!$6:$6,0))</f>
        <v>126.74</v>
      </c>
      <c r="AA38" s="267"/>
      <c r="AB38" s="267">
        <f>INDEX('qtrP&amp;L'!$188:$188,MATCH(AB$7,'qtrP&amp;L'!$6:$6,0))</f>
        <v>182.68199999999999</v>
      </c>
      <c r="AC38" s="267">
        <f>INDEX('qtrP&amp;L'!$189:$189,MATCH(AB$7,'qtrP&amp;L'!$6:$6,0))</f>
        <v>182.83</v>
      </c>
      <c r="AD38" s="267">
        <f>INDEX('qtrP&amp;L'!$190:$190,MATCH(AB$7,'qtrP&amp;L'!$6:$6,0))</f>
        <v>183</v>
      </c>
      <c r="AE38" s="267">
        <f>INDEX('qtrP&amp;L'!$191:$191,MATCH(AB$7,'qtrP&amp;L'!$6:$6,0))</f>
        <v>183.238</v>
      </c>
      <c r="AF38" s="267"/>
      <c r="AG38" s="267">
        <f>INDEX('qtrP&amp;L'!$188:$188,MATCH(AG$7,'qtrP&amp;L'!$6:$6,0))</f>
        <v>206.71</v>
      </c>
      <c r="AH38" s="267">
        <f>INDEX('qtrP&amp;L'!$189:$189,MATCH(AG$7,'qtrP&amp;L'!$6:$6,0))</f>
        <v>207.66300000000001</v>
      </c>
      <c r="AI38" s="267">
        <f>INDEX('qtrP&amp;L'!$190:$190,MATCH(AG$7,'qtrP&amp;L'!$6:$6,0))</f>
        <v>207.82</v>
      </c>
      <c r="AJ38" s="267">
        <f>INDEX('qtrP&amp;L'!$191:$191,MATCH(AG$7,'qtrP&amp;L'!$6:$6,0))</f>
        <v>208.26</v>
      </c>
      <c r="AK38" s="267"/>
      <c r="AL38" s="267">
        <f>INDEX('qtrP&amp;L'!$188:$188,MATCH(AL$7,'qtrP&amp;L'!$6:$6,0))</f>
        <v>208.5</v>
      </c>
      <c r="AM38" s="267">
        <f>INDEX('qtrP&amp;L'!$189:$189,MATCH(AL$7,'qtrP&amp;L'!$6:$6,0))</f>
        <v>209.4</v>
      </c>
      <c r="AN38" s="267">
        <f>INDEX('qtrP&amp;L'!$190:$190,MATCH(AL$7,'qtrP&amp;L'!$6:$6,0))</f>
        <v>209.3</v>
      </c>
      <c r="AO38" s="267">
        <f>INDEX('qtrP&amp;L'!$191:$191,MATCH(AL$7,'qtrP&amp;L'!$6:$6,0))</f>
        <v>210.13800000000001</v>
      </c>
      <c r="AP38" s="267"/>
      <c r="AQ38" s="267">
        <f>INDEX('qtrP&amp;L'!$188:$188,MATCH(AQ$7,'qtrP&amp;L'!$6:$6,0))</f>
        <v>210.7</v>
      </c>
      <c r="AR38" s="267">
        <f>INDEX('qtrP&amp;L'!$189:$189,MATCH(AQ$7,'qtrP&amp;L'!$6:$6,0))</f>
        <v>210.5</v>
      </c>
      <c r="AS38" s="267">
        <f>INDEX('qtrP&amp;L'!$190:$190,MATCH(AQ$7,'qtrP&amp;L'!$6:$6,0))</f>
        <v>209.5</v>
      </c>
      <c r="AT38" s="267">
        <f>INDEX('qtrP&amp;L'!$191:$191,MATCH(AQ$7,'qtrP&amp;L'!$6:$6,0))</f>
        <v>209.5</v>
      </c>
      <c r="AU38" s="267"/>
      <c r="AV38" s="267">
        <f>INDEX('qtrP&amp;L'!$188:$188,MATCH(AV$7,'qtrP&amp;L'!$6:$6,0))</f>
        <v>418</v>
      </c>
      <c r="AW38" s="267">
        <f>INDEX('qtrP&amp;L'!$189:$189,MATCH(AV$7,'qtrP&amp;L'!$6:$6,0))</f>
        <v>419.8</v>
      </c>
      <c r="AX38" s="267">
        <f>INDEX('qtrP&amp;L'!$190:$190,MATCH(AV$7,'qtrP&amp;L'!$6:$6,0))</f>
        <v>420.8</v>
      </c>
      <c r="AY38" s="267">
        <f>INDEX('qtrP&amp;L'!$191:$191,MATCH(AV$7,'qtrP&amp;L'!$6:$6,0))</f>
        <v>424.6</v>
      </c>
      <c r="AZ38" s="267"/>
      <c r="BA38" s="267">
        <f>INDEX('qtrP&amp;L'!$188:$188,MATCH(BA$7,'qtrP&amp;L'!$6:$6,0))</f>
        <v>425.6</v>
      </c>
      <c r="BB38" s="267">
        <f>INDEX('qtrP&amp;L'!$189:$189,MATCH(BA$7,'qtrP&amp;L'!$6:$6,0))</f>
        <v>413.2</v>
      </c>
      <c r="BC38" s="267">
        <f>INDEX('qtrP&amp;L'!$190:$190,MATCH(BA$7,'qtrP&amp;L'!$6:$6,0))</f>
        <v>402.2</v>
      </c>
      <c r="BD38" s="267">
        <f>INDEX('qtrP&amp;L'!$191:$191,MATCH(BA$7,'qtrP&amp;L'!$6:$6,0))</f>
        <v>397.4</v>
      </c>
      <c r="BE38" s="267"/>
      <c r="BF38" s="267">
        <f>INDEX('qtrP&amp;L'!$188:$188,MATCH(BF$7,'qtrP&amp;L'!$6:$6,0))</f>
        <v>396</v>
      </c>
      <c r="BG38" s="267">
        <f>INDEX('qtrP&amp;L'!$189:$189,MATCH(BF$7,'qtrP&amp;L'!$6:$6,0))</f>
        <v>389.2</v>
      </c>
      <c r="BH38" s="267">
        <f>INDEX('qtrP&amp;L'!$190:$190,MATCH(BF$7,'qtrP&amp;L'!$6:$6,0))</f>
        <v>385.8</v>
      </c>
      <c r="BI38" s="267">
        <f>INDEX('qtrP&amp;L'!$191:$191,MATCH(BF$7,'qtrP&amp;L'!$6:$6,0))</f>
        <v>394.4</v>
      </c>
      <c r="BJ38" s="267"/>
      <c r="BK38" s="267">
        <f>INDEX('qtrP&amp;L'!$188:$188,MATCH(BK$7,'qtrP&amp;L'!$6:$6,0))</f>
        <v>403.2</v>
      </c>
      <c r="BL38" s="267">
        <f>INDEX('qtrP&amp;L'!$189:$189,MATCH(BK$7,'qtrP&amp;L'!$6:$6,0))</f>
        <v>403</v>
      </c>
      <c r="BM38" s="267">
        <f>INDEX('qtrP&amp;L'!$190:$190,MATCH(BK$7,'qtrP&amp;L'!$6:$6,0))</f>
        <v>390</v>
      </c>
      <c r="BN38" s="267">
        <f>INDEX('qtrP&amp;L'!$191:$191,MATCH(BK$7,'qtrP&amp;L'!$6:$6,0))</f>
        <v>381.8</v>
      </c>
      <c r="BO38" s="267"/>
      <c r="BP38" s="267">
        <f>INDEX('qtrP&amp;L'!$188:$188,MATCH(BP$7,'qtrP&amp;L'!$6:$6,0))</f>
        <v>378.4</v>
      </c>
      <c r="BQ38" s="267">
        <f>INDEX('qtrP&amp;L'!$189:$189,MATCH(BP$7,'qtrP&amp;L'!$6:$6,0))</f>
        <v>371.2</v>
      </c>
      <c r="BR38" s="267">
        <f>INDEX('qtrP&amp;L'!$190:$190,MATCH(BP$7,'qtrP&amp;L'!$6:$6,0))</f>
        <v>365.2</v>
      </c>
      <c r="BS38" s="267">
        <f>INDEX('qtrP&amp;L'!$191:$191,MATCH(BP$7,'qtrP&amp;L'!$6:$6,0))</f>
        <v>360.8</v>
      </c>
      <c r="BT38" s="267"/>
      <c r="BU38" s="267">
        <f>INDEX('qtrP&amp;L'!$188:$188,MATCH(BU$7,'qtrP&amp;L'!$6:$6,0))</f>
        <v>361</v>
      </c>
      <c r="BV38" s="267">
        <f>INDEX('qtrP&amp;L'!$189:$189,MATCH(BU$7,'qtrP&amp;L'!$6:$6,0))</f>
        <v>358.2</v>
      </c>
      <c r="BW38" s="267">
        <f>INDEX('qtrP&amp;L'!$190:$190,MATCH(BU$7,'qtrP&amp;L'!$6:$6,0))</f>
        <v>344</v>
      </c>
      <c r="BX38" s="267">
        <f>INDEX('qtrP&amp;L'!$191:$191,MATCH(BU$7,'qtrP&amp;L'!$6:$6,0))</f>
        <v>337.4</v>
      </c>
      <c r="BY38" s="267"/>
      <c r="BZ38" s="267">
        <f>INDEX('qtrP&amp;L'!$188:$188,MATCH(BZ$7,'qtrP&amp;L'!$6:$6,0))</f>
        <v>337.6</v>
      </c>
      <c r="CA38" s="267">
        <f>INDEX('qtrP&amp;L'!$189:$189,MATCH(BZ$7,'qtrP&amp;L'!$6:$6,0))</f>
        <v>342.4</v>
      </c>
      <c r="CB38" s="267">
        <f>INDEX('qtrP&amp;L'!$190:$190,MATCH(BZ$7,'qtrP&amp;L'!$6:$6,0))</f>
        <v>478.5</v>
      </c>
      <c r="CC38" s="267">
        <f>INDEX('qtrP&amp;L'!$191:$191,MATCH(BZ$7,'qtrP&amp;L'!$6:$6,0))</f>
        <v>545.79999999999995</v>
      </c>
      <c r="CD38" s="267"/>
      <c r="CE38" s="267">
        <f>INDEX('qtrP&amp;L'!$188:$188,MATCH(CE$7,'qtrP&amp;L'!$6:$6,0))</f>
        <v>550.20000000000005</v>
      </c>
      <c r="CF38" s="267">
        <f>INDEX('qtrP&amp;L'!$189:$189,MATCH(CE$7,'qtrP&amp;L'!$6:$6,0))</f>
        <v>552.20000000000005</v>
      </c>
      <c r="CG38" s="267">
        <f>INDEX('qtrP&amp;L'!$190:$190,MATCH(CE$7,'qtrP&amp;L'!$6:$6,0))</f>
        <v>541.70000000000005</v>
      </c>
      <c r="CH38" s="267">
        <f>INDEX('qtrP&amp;L'!$191:$191,MATCH(CE$7,'qtrP&amp;L'!$6:$6,0))</f>
        <v>516</v>
      </c>
      <c r="CI38" s="267"/>
      <c r="CJ38" s="267">
        <f>INDEX('qtrP&amp;L'!$188:$188,MATCH(CJ$7,'qtrP&amp;L'!$6:$6,0))</f>
        <v>468.2</v>
      </c>
      <c r="CK38" s="267">
        <f>INDEX('qtrP&amp;L'!$189:$189,MATCH(CJ$7,'qtrP&amp;L'!$6:$6,0))</f>
        <v>451.9</v>
      </c>
      <c r="CL38" s="267">
        <f>INDEX('qtrP&amp;L'!$190:$190,MATCH(CJ$7,'qtrP&amp;L'!$6:$6,0))</f>
        <v>434.2</v>
      </c>
      <c r="CM38" s="267">
        <f>INDEX('qtrP&amp;L'!$191:$191,MATCH(CJ$7,'qtrP&amp;L'!$6:$6,0))</f>
        <v>432.1</v>
      </c>
      <c r="CN38" s="267"/>
      <c r="CO38" s="267">
        <f>INDEX('qtrP&amp;L'!$188:$188,MATCH(CO$7,'qtrP&amp;L'!$6:$6,0))</f>
        <v>420.9</v>
      </c>
      <c r="CP38" s="267">
        <f>INDEX('qtrP&amp;L'!$189:$189,MATCH(CO$7,'qtrP&amp;L'!$6:$6,0))</f>
        <v>421.1</v>
      </c>
      <c r="CQ38" s="267">
        <f>INDEX('qtrP&amp;L'!$190:$190,MATCH(CO$7,'qtrP&amp;L'!$6:$6,0))</f>
        <v>421.3</v>
      </c>
      <c r="CR38" s="267">
        <f>INDEX('qtrP&amp;L'!$191:$191,MATCH(CO$7,'qtrP&amp;L'!$6:$6,0))</f>
        <v>421.4</v>
      </c>
      <c r="CS38" s="267"/>
      <c r="CT38" s="267">
        <f>INDEX('qtrP&amp;L'!$188:$188,MATCH(CT$7,'qtrP&amp;L'!$6:$6,0))</f>
        <v>421.4</v>
      </c>
      <c r="CU38" s="267">
        <f>INDEX('qtrP&amp;L'!$189:$189,MATCH(CT$7,'qtrP&amp;L'!$6:$6,0))</f>
        <v>421.5</v>
      </c>
      <c r="CV38" s="267">
        <f>INDEX('qtrP&amp;L'!$190:$190,MATCH(CT$7,'qtrP&amp;L'!$6:$6,0))</f>
        <v>421.8</v>
      </c>
      <c r="CW38" s="267">
        <f>INDEX('qtrP&amp;L'!$191:$191,MATCH(CT$7,'qtrP&amp;L'!$6:$6,0))</f>
        <v>422.2</v>
      </c>
      <c r="CX38" s="267"/>
      <c r="CY38" s="345">
        <f>INDEX('qtrP&amp;L'!$188:$188,MATCH(CY$7,'qtrP&amp;L'!$6:$6,0))</f>
        <v>422.6</v>
      </c>
      <c r="CZ38" s="345">
        <f>INDEX('qtrP&amp;L'!$189:$189,MATCH(CY$7,'qtrP&amp;L'!$6:$6,0))</f>
        <v>423</v>
      </c>
      <c r="DA38" s="345">
        <f>INDEX('qtrP&amp;L'!$190:$190,MATCH(CY$7,'qtrP&amp;L'!$6:$6,0))</f>
        <v>423.5</v>
      </c>
      <c r="DB38" s="345">
        <f>INDEX('qtrP&amp;L'!$191:$191,MATCH(CY$7,'qtrP&amp;L'!$6:$6,0))</f>
        <v>423.3</v>
      </c>
      <c r="DC38" s="345"/>
      <c r="DD38" s="345">
        <f>INDEX('qtrP&amp;L'!$188:$188,MATCH(DD$7,'qtrP&amp;L'!$6:$6,0))</f>
        <v>425.1</v>
      </c>
      <c r="DE38" s="345">
        <f>INDEX('qtrP&amp;L'!$189:$189,MATCH(DD$7,'qtrP&amp;L'!$6:$6,0))</f>
        <v>427.5</v>
      </c>
      <c r="DF38" s="345">
        <f>INDEX('qtrP&amp;L'!$190:$190,MATCH(DD$7,'qtrP&amp;L'!$6:$6,0))</f>
        <v>425.3</v>
      </c>
      <c r="DG38" s="345">
        <f>INDEX('qtrP&amp;L'!$191:$191,MATCH(DD$7,'qtrP&amp;L'!$6:$6,0))</f>
        <v>420</v>
      </c>
      <c r="DH38" s="345"/>
      <c r="DI38" s="345">
        <f>INDEX('qtrP&amp;L'!$188:$188,MATCH(DI$7,'qtrP&amp;L'!$6:$6,0))</f>
        <v>417.1</v>
      </c>
      <c r="DJ38" s="345">
        <f>INDEX('qtrP&amp;L'!$189:$189,MATCH(DI$7,'qtrP&amp;L'!$6:$6,0))</f>
        <v>411.2</v>
      </c>
      <c r="DK38" s="345">
        <f>INDEX('qtrP&amp;L'!$190:$190,MATCH(DI$7,'qtrP&amp;L'!$6:$6,0))</f>
        <v>401.3</v>
      </c>
      <c r="DL38" s="345">
        <f>INDEX('qtrP&amp;L'!$191:$191,MATCH(DI$7,'qtrP&amp;L'!$6:$6,0))</f>
        <v>392.2</v>
      </c>
      <c r="DM38" s="345"/>
      <c r="DN38" s="345">
        <f>INDEX('qtrP&amp;L'!$188:$188,MATCH(DN$7,'qtrP&amp;L'!$6:$6,0))</f>
        <v>388.2</v>
      </c>
      <c r="DO38" s="345">
        <f>INDEX('qtrP&amp;L'!$189:$189,MATCH(DN$7,'qtrP&amp;L'!$6:$6,0))</f>
        <v>382.5</v>
      </c>
      <c r="DP38" s="345">
        <f>INDEX('qtrP&amp;L'!$190:$190,MATCH(DN$7,'qtrP&amp;L'!$6:$6,0))</f>
        <v>374.8</v>
      </c>
      <c r="DQ38" s="345">
        <f>INDEX('qtrP&amp;L'!$191:$191,MATCH(DN$7,'qtrP&amp;L'!$6:$6,0))</f>
        <v>367.7</v>
      </c>
      <c r="DR38" s="345"/>
      <c r="DS38" s="345">
        <f>INDEX('qtrP&amp;L'!$188:$188,MATCH(DS$7,'qtrP&amp;L'!$6:$6,0))</f>
        <v>365.9</v>
      </c>
      <c r="DT38" s="345">
        <f>INDEX('qtrP&amp;L'!$189:$189,MATCH(DS$7,'qtrP&amp;L'!$6:$6,0))</f>
        <v>359.2</v>
      </c>
      <c r="DU38" s="345">
        <f>INDEX('qtrP&amp;L'!$190:$190,MATCH(DS$7,'qtrP&amp;L'!$6:$6,0))</f>
        <v>351.6</v>
      </c>
      <c r="DV38" s="345">
        <f>INDEX('qtrP&amp;L'!$191:$191,MATCH(DS$7,'qtrP&amp;L'!$6:$6,0))</f>
        <v>344.3</v>
      </c>
      <c r="DW38" s="345"/>
      <c r="DX38" s="345">
        <f>INDEX('qtrP&amp;L'!$188:$188,MATCH(DX$7,'qtrP&amp;L'!$6:$6,0))</f>
        <v>340.7</v>
      </c>
      <c r="DY38" s="345">
        <f>INDEX('qtrP&amp;L'!$189:$189,MATCH(DX$7,'qtrP&amp;L'!$6:$6,0))</f>
        <v>335.7</v>
      </c>
      <c r="DZ38" s="345">
        <f>INDEX('qtrP&amp;L'!$190:$190,MATCH(DX$7,'qtrP&amp;L'!$6:$6,0))</f>
        <v>325.3</v>
      </c>
      <c r="EA38" s="345">
        <f>INDEX('qtrP&amp;L'!$191:$191,MATCH(DX$7,'qtrP&amp;L'!$6:$6,0))</f>
        <v>312.2</v>
      </c>
      <c r="EB38" s="261"/>
      <c r="EC38" s="345">
        <f>INDEX('qtrP&amp;L'!$188:$188,MATCH(EC$7,'qtrP&amp;L'!$6:$6,0))</f>
        <v>310.60000000000002</v>
      </c>
      <c r="ED38" s="345">
        <f>INDEX('qtrP&amp;L'!$189:$189,MATCH(EC$7,'qtrP&amp;L'!$6:$6,0))</f>
        <v>309.39999999999998</v>
      </c>
      <c r="EE38" s="345">
        <f>INDEX('qtrP&amp;L'!$190:$190,MATCH(EC$7,'qtrP&amp;L'!$6:$6,0))</f>
        <v>308.39999999999998</v>
      </c>
      <c r="EF38" s="345">
        <f>INDEX('qtrP&amp;L'!$191:$191,MATCH(EC$7,'qtrP&amp;L'!$6:$6,0))</f>
        <v>305.5</v>
      </c>
      <c r="EG38" s="261"/>
      <c r="EH38" s="345">
        <f>INDEX('qtrP&amp;L'!$188:$188,MATCH(EH$7,'qtrP&amp;L'!$6:$6,0))</f>
        <v>305</v>
      </c>
      <c r="EI38" s="345">
        <f>INDEX('qtrP&amp;L'!$189:$189,MATCH(EH$7,'qtrP&amp;L'!$6:$6,0))</f>
        <v>305.5</v>
      </c>
      <c r="EJ38" s="345">
        <f>INDEX('qtrP&amp;L'!$190:$190,MATCH(EH$7,'qtrP&amp;L'!$6:$6,0))</f>
        <v>305.5</v>
      </c>
      <c r="EK38" s="345">
        <f>INDEX('qtrP&amp;L'!$191:$191,MATCH(EH$7,'qtrP&amp;L'!$6:$6,0))</f>
        <v>305.60000000000002</v>
      </c>
      <c r="EL38" s="345"/>
      <c r="EM38" s="1409">
        <f>INDEX('qtrP&amp;L'!$188:$188,MATCH(EM$7,'qtrP&amp;L'!$6:$6,0))</f>
        <v>305.85000000000002</v>
      </c>
      <c r="EN38" s="1409">
        <f>INDEX('qtrP&amp;L'!$189:$189,MATCH(EM$7,'qtrP&amp;L'!$6:$6,0))</f>
        <v>306.10000000000002</v>
      </c>
      <c r="EO38" s="1409">
        <f>INDEX('qtrP&amp;L'!$190:$190,MATCH(EM$7,'qtrP&amp;L'!$6:$6,0))</f>
        <v>306.35000000000002</v>
      </c>
      <c r="EP38" s="1409">
        <f>INDEX('qtrP&amp;L'!$191:$191,MATCH(EM$7,'qtrP&amp;L'!$6:$6,0))</f>
        <v>306.60000000000002</v>
      </c>
      <c r="EQ38" s="262"/>
      <c r="ER38" s="346">
        <f>INDEX('qtrP&amp;L'!192:192,MATCH(ER7,'qtrP&amp;L'!6:6,0))</f>
        <v>111.35</v>
      </c>
      <c r="ES38" s="347">
        <f>INDEX('qtrP&amp;L'!192:192,MATCH(ES7,'qtrP&amp;L'!6:6,0))</f>
        <v>126.29300000000001</v>
      </c>
      <c r="ET38" s="347">
        <f>INDEX('qtrP&amp;L'!192:192,MATCH(ET7,'qtrP&amp;L'!6:6,0))</f>
        <v>126.593</v>
      </c>
      <c r="EU38" s="347">
        <f>INDEX('qtrP&amp;L'!192:192,MATCH(EU7,'qtrP&amp;L'!6:6,0))</f>
        <v>126.593</v>
      </c>
      <c r="EV38" s="347">
        <f>INDEX('qtrP&amp;L'!192:192,MATCH(EV7,'qtrP&amp;L'!6:6,0))</f>
        <v>182.952</v>
      </c>
      <c r="EW38" s="345"/>
      <c r="EX38" s="347">
        <f>INDEX('qtrP&amp;L'!192:192,MATCH(EX7,'qtrP&amp;L'!6:6,0))</f>
        <v>182.952</v>
      </c>
      <c r="EY38" s="347">
        <f>INDEX('qtrP&amp;L'!192:192,MATCH(EY7,'qtrP&amp;L'!6:6,0))</f>
        <v>207.8</v>
      </c>
      <c r="EZ38" s="347">
        <f>INDEX('qtrP&amp;L'!192:192,MATCH(EZ7,'qtrP&amp;L'!6:6,0))</f>
        <v>209.477</v>
      </c>
      <c r="FA38" s="347">
        <f>INDEX('qtrP&amp;L'!192:192,MATCH(FA7,'qtrP&amp;L'!6:6,0))</f>
        <v>209.5</v>
      </c>
      <c r="FB38" s="347">
        <f>INDEX('qtrP&amp;L'!192:192,MATCH(FB7,'qtrP&amp;L'!6:6,0))</f>
        <v>420.8</v>
      </c>
      <c r="FC38" s="347">
        <f>INDEX('qtrP&amp;L'!192:192,MATCH(FC7,'qtrP&amp;L'!6:6,0))</f>
        <v>409.6</v>
      </c>
      <c r="FD38" s="347">
        <f>INDEX('qtrP&amp;L'!192:192,MATCH(FD7,'qtrP&amp;L'!6:6,0))</f>
        <v>391.35</v>
      </c>
      <c r="FE38" s="347">
        <f>INDEX('qtrP&amp;L'!192:192,MATCH(FE7,'qtrP&amp;L'!6:6,0))</f>
        <v>394.5</v>
      </c>
      <c r="FF38" s="347">
        <f>INDEX('qtrP&amp;L'!192:192,MATCH(FF7,'qtrP&amp;L'!6:6,0))</f>
        <v>368.8</v>
      </c>
      <c r="FG38" s="347">
        <f>INDEX('qtrP&amp;L'!192:192,MATCH(FG7,'qtrP&amp;L'!6:6,0))</f>
        <v>350.2</v>
      </c>
      <c r="FH38" s="347">
        <f>INDEX('qtrP&amp;L'!192:192,MATCH(FH7,'qtrP&amp;L'!6:6,0))</f>
        <v>426</v>
      </c>
      <c r="FI38" s="346">
        <f>INDEX('qtrP&amp;L'!192:192,MATCH(FI7,'qtrP&amp;L'!6:6,0))</f>
        <v>540</v>
      </c>
      <c r="FJ38" s="347">
        <f>INDEX('qtrP&amp;L'!192:192,MATCH(FJ7,'qtrP&amp;L'!6:6,0))</f>
        <v>446.6</v>
      </c>
      <c r="FK38" s="348">
        <f>INDEX('qtrP&amp;L'!192:192,MATCH(FK7,'qtrP&amp;L'!6:6,0))</f>
        <v>421.17500000000001</v>
      </c>
      <c r="FL38" s="346">
        <f>INDEX('qtrP&amp;L'!192:192,MATCH(FL7,'qtrP&amp;L'!6:6,0))</f>
        <v>421.72500000000002</v>
      </c>
      <c r="FM38" s="346">
        <f>INDEX('qtrP&amp;L'!192:192,MATCH(FM7,'qtrP&amp;L'!6:6,0))</f>
        <v>424.3</v>
      </c>
      <c r="FN38" s="347">
        <f>INDEX('qtrP&amp;L'!192:192,MATCH(FN7,'qtrP&amp;L'!6:6,0))</f>
        <v>424.5</v>
      </c>
      <c r="FO38" s="347">
        <f>INDEX('qtrP&amp;L'!192:192,MATCH(FO7,'qtrP&amp;L'!6:6,0))</f>
        <v>405.5</v>
      </c>
      <c r="FP38" s="347">
        <f>INDEX('qtrP&amp;L'!192:192,MATCH(FP7,'qtrP&amp;L'!6:6,0))</f>
        <v>378.3</v>
      </c>
      <c r="FQ38" s="347">
        <f>INDEX('qtrP&amp;L'!192:192,MATCH(FQ7,'qtrP&amp;L'!6:6,0))</f>
        <v>355.24999999999994</v>
      </c>
      <c r="FR38" s="347">
        <f>INDEX('qtrP&amp;L'!192:192,MATCH(FR7,'qtrP&amp;L'!6:6,0))</f>
        <v>328.4</v>
      </c>
      <c r="FS38" s="347">
        <f>INDEX('qtrP&amp;L'!192:192,MATCH(FS7,'qtrP&amp;L'!6:6,0))</f>
        <v>308.5</v>
      </c>
      <c r="FT38" s="347">
        <f t="shared" ref="FT38:FY38" si="120">FS38+(FT36-FS36)</f>
        <v>304.8</v>
      </c>
      <c r="FU38" s="344">
        <f t="shared" si="120"/>
        <v>305.8</v>
      </c>
      <c r="FV38" s="344">
        <f t="shared" si="120"/>
        <v>306.8</v>
      </c>
      <c r="FW38" s="1349">
        <f t="shared" si="120"/>
        <v>306.8</v>
      </c>
      <c r="FX38" s="347">
        <f t="shared" si="120"/>
        <v>306.8</v>
      </c>
      <c r="FY38" s="1367">
        <f t="shared" si="120"/>
        <v>306.8</v>
      </c>
      <c r="FZ38" s="344"/>
      <c r="GA38" s="344"/>
    </row>
    <row r="39" spans="1:197" ht="12.75" customHeight="1" outlineLevel="1" x14ac:dyDescent="0.2">
      <c r="A39" s="260"/>
      <c r="B39" s="261"/>
      <c r="C39" s="267"/>
      <c r="D39" s="267"/>
      <c r="E39" s="267"/>
      <c r="F39" s="267"/>
      <c r="G39" s="267"/>
      <c r="H39" s="267"/>
      <c r="I39" s="267"/>
      <c r="J39" s="267"/>
      <c r="K39" s="267"/>
      <c r="L39" s="267"/>
      <c r="M39" s="267"/>
      <c r="N39" s="267"/>
      <c r="O39" s="267"/>
      <c r="P39" s="267"/>
      <c r="Q39" s="267"/>
      <c r="R39" s="267"/>
      <c r="S39" s="267"/>
      <c r="T39" s="267"/>
      <c r="U39" s="267"/>
      <c r="V39" s="267"/>
      <c r="W39" s="267"/>
      <c r="X39" s="267"/>
      <c r="Y39" s="267"/>
      <c r="Z39" s="267"/>
      <c r="AA39" s="267"/>
      <c r="AB39" s="267"/>
      <c r="AC39" s="267"/>
      <c r="AD39" s="267"/>
      <c r="AE39" s="267"/>
      <c r="AF39" s="267"/>
      <c r="AG39" s="267"/>
      <c r="AH39" s="267"/>
      <c r="AI39" s="267"/>
      <c r="AJ39" s="267"/>
      <c r="AK39" s="267"/>
      <c r="AL39" s="267"/>
      <c r="AM39" s="267"/>
      <c r="AN39" s="267"/>
      <c r="AO39" s="267"/>
      <c r="AP39" s="267"/>
      <c r="AQ39" s="267"/>
      <c r="AR39" s="267"/>
      <c r="AS39" s="267"/>
      <c r="AT39" s="267"/>
      <c r="AU39" s="267"/>
      <c r="AV39" s="267"/>
      <c r="AW39" s="267"/>
      <c r="AX39" s="267"/>
      <c r="AY39" s="267"/>
      <c r="AZ39" s="267"/>
      <c r="BA39" s="267"/>
      <c r="BB39" s="267"/>
      <c r="BC39" s="267"/>
      <c r="BD39" s="267"/>
      <c r="BE39" s="267"/>
      <c r="BF39" s="267"/>
      <c r="BG39" s="267"/>
      <c r="BH39" s="267"/>
      <c r="BI39" s="267"/>
      <c r="BJ39" s="267"/>
      <c r="BK39" s="267"/>
      <c r="BL39" s="267"/>
      <c r="BM39" s="267"/>
      <c r="BN39" s="267"/>
      <c r="BO39" s="267"/>
      <c r="BP39" s="267"/>
      <c r="BQ39" s="267"/>
      <c r="BR39" s="267"/>
      <c r="BS39" s="267"/>
      <c r="BT39" s="267"/>
      <c r="BU39" s="267"/>
      <c r="BV39" s="267"/>
      <c r="BW39" s="267"/>
      <c r="BX39" s="267"/>
      <c r="BY39" s="267"/>
      <c r="BZ39" s="267"/>
      <c r="CA39" s="267"/>
      <c r="CB39" s="267"/>
      <c r="CC39" s="267"/>
      <c r="CD39" s="267"/>
      <c r="CE39" s="267"/>
      <c r="CF39" s="267"/>
      <c r="CG39" s="267"/>
      <c r="CH39" s="267"/>
      <c r="CI39" s="267"/>
      <c r="CJ39" s="267"/>
      <c r="CK39" s="267"/>
      <c r="CL39" s="267"/>
      <c r="CM39" s="267"/>
      <c r="CN39" s="267"/>
      <c r="CO39" s="267"/>
      <c r="CP39" s="267"/>
      <c r="CQ39" s="267"/>
      <c r="CR39" s="267"/>
      <c r="CS39" s="267"/>
      <c r="CT39" s="267"/>
      <c r="CU39" s="267"/>
      <c r="CV39" s="267"/>
      <c r="CW39" s="267"/>
      <c r="CX39" s="267"/>
      <c r="CY39" s="345"/>
      <c r="CZ39" s="345"/>
      <c r="DA39" s="345"/>
      <c r="DB39" s="345"/>
      <c r="DC39" s="345"/>
      <c r="DD39" s="345"/>
      <c r="DE39" s="345"/>
      <c r="DF39" s="345"/>
      <c r="DG39" s="345"/>
      <c r="DH39" s="345"/>
      <c r="DI39" s="345"/>
      <c r="DJ39" s="345"/>
      <c r="DK39" s="345"/>
      <c r="DL39" s="345"/>
      <c r="DM39" s="345"/>
      <c r="DN39" s="345"/>
      <c r="DO39" s="345"/>
      <c r="DP39" s="345"/>
      <c r="DQ39" s="345"/>
      <c r="DR39" s="345"/>
      <c r="DS39" s="345"/>
      <c r="DT39" s="345"/>
      <c r="DU39" s="345"/>
      <c r="DV39" s="345"/>
      <c r="DW39" s="345"/>
      <c r="DX39" s="345"/>
      <c r="DY39" s="345"/>
      <c r="DZ39" s="345"/>
      <c r="EA39" s="345"/>
      <c r="EB39" s="261"/>
      <c r="EC39" s="345"/>
      <c r="ED39" s="345"/>
      <c r="EE39" s="345"/>
      <c r="EF39" s="345"/>
      <c r="EG39" s="261"/>
      <c r="EH39" s="345"/>
      <c r="EI39" s="345"/>
      <c r="EJ39" s="345"/>
      <c r="EK39" s="345"/>
      <c r="EL39" s="345"/>
      <c r="EM39" s="1409"/>
      <c r="EN39" s="1409"/>
      <c r="EO39" s="1409"/>
      <c r="EP39" s="1409"/>
      <c r="EQ39" s="262"/>
      <c r="ER39" s="346"/>
      <c r="ES39" s="347"/>
      <c r="ET39" s="347"/>
      <c r="EU39" s="347"/>
      <c r="EV39" s="347"/>
      <c r="EW39" s="345"/>
      <c r="EX39" s="347"/>
      <c r="EY39" s="347"/>
      <c r="EZ39" s="347"/>
      <c r="FA39" s="347"/>
      <c r="FB39" s="347"/>
      <c r="FC39" s="347"/>
      <c r="FD39" s="347"/>
      <c r="FE39" s="347"/>
      <c r="FF39" s="347"/>
      <c r="FG39" s="347"/>
      <c r="FH39" s="347"/>
      <c r="FI39" s="346"/>
      <c r="FJ39" s="347"/>
      <c r="FK39" s="348"/>
      <c r="FL39" s="346"/>
      <c r="FM39" s="346"/>
      <c r="FN39" s="347"/>
      <c r="FO39" s="349"/>
      <c r="FP39" s="350"/>
      <c r="FQ39" s="350"/>
      <c r="FR39" s="350"/>
      <c r="FS39" s="350"/>
      <c r="FT39" s="350"/>
      <c r="FU39" s="350"/>
      <c r="FV39" s="350"/>
      <c r="FW39" s="1350"/>
      <c r="FX39" s="350"/>
      <c r="FY39" s="1368"/>
      <c r="FZ39" s="351"/>
      <c r="GA39" s="351"/>
    </row>
    <row r="40" spans="1:197" ht="9" customHeight="1" x14ac:dyDescent="0.2">
      <c r="A40" s="260"/>
      <c r="B40" s="261"/>
      <c r="C40" s="261"/>
      <c r="D40" s="261"/>
      <c r="E40" s="261"/>
      <c r="F40" s="261"/>
      <c r="G40" s="261"/>
      <c r="H40" s="261"/>
      <c r="I40" s="261"/>
      <c r="J40" s="261"/>
      <c r="K40" s="261"/>
      <c r="L40" s="261"/>
      <c r="M40" s="261"/>
      <c r="N40" s="261"/>
      <c r="O40" s="261"/>
      <c r="P40" s="261"/>
      <c r="Q40" s="261"/>
      <c r="R40" s="261"/>
      <c r="S40" s="261"/>
      <c r="T40" s="261"/>
      <c r="U40" s="261"/>
      <c r="V40" s="261"/>
      <c r="W40" s="261"/>
      <c r="X40" s="261"/>
      <c r="Y40" s="261"/>
      <c r="Z40" s="261"/>
      <c r="AA40" s="261"/>
      <c r="AB40" s="261"/>
      <c r="AC40" s="261"/>
      <c r="AD40" s="261"/>
      <c r="AE40" s="261"/>
      <c r="AF40" s="261"/>
      <c r="AG40" s="261"/>
      <c r="AH40" s="261"/>
      <c r="AI40" s="261"/>
      <c r="AJ40" s="261"/>
      <c r="AK40" s="261"/>
      <c r="AL40" s="261"/>
      <c r="AM40" s="261"/>
      <c r="AN40" s="261"/>
      <c r="AO40" s="261"/>
      <c r="AP40" s="261"/>
      <c r="AQ40" s="261"/>
      <c r="AR40" s="261"/>
      <c r="AS40" s="261"/>
      <c r="AT40" s="261"/>
      <c r="AU40" s="261"/>
      <c r="AV40" s="261"/>
      <c r="AW40" s="261"/>
      <c r="AX40" s="261"/>
      <c r="AY40" s="261"/>
      <c r="AZ40" s="261"/>
      <c r="BA40" s="261"/>
      <c r="BB40" s="261"/>
      <c r="BC40" s="261"/>
      <c r="BD40" s="261"/>
      <c r="BE40" s="261"/>
      <c r="BF40" s="261"/>
      <c r="BG40" s="261"/>
      <c r="BH40" s="261"/>
      <c r="BI40" s="261"/>
      <c r="BJ40" s="261"/>
      <c r="BK40" s="261"/>
      <c r="BL40" s="261"/>
      <c r="BM40" s="261"/>
      <c r="BN40" s="261"/>
      <c r="BO40" s="261"/>
      <c r="BP40" s="261"/>
      <c r="BQ40" s="261"/>
      <c r="BR40" s="261"/>
      <c r="BS40" s="261"/>
      <c r="BT40" s="261"/>
      <c r="BU40" s="261"/>
      <c r="BV40" s="261"/>
      <c r="BW40" s="261"/>
      <c r="BX40" s="261"/>
      <c r="BY40" s="261"/>
      <c r="BZ40" s="261"/>
      <c r="CA40" s="261"/>
      <c r="CB40" s="261"/>
      <c r="CC40" s="261"/>
      <c r="CD40" s="261"/>
      <c r="CE40" s="261"/>
      <c r="CF40" s="261"/>
      <c r="CG40" s="261"/>
      <c r="CH40" s="261"/>
      <c r="CI40" s="261"/>
      <c r="CJ40" s="261"/>
      <c r="CK40" s="261"/>
      <c r="CL40" s="261"/>
      <c r="CM40" s="261"/>
      <c r="CN40" s="261"/>
      <c r="CO40" s="261"/>
      <c r="CP40" s="261"/>
      <c r="CQ40" s="261"/>
      <c r="CR40" s="261"/>
      <c r="CS40" s="261"/>
      <c r="CT40" s="261"/>
      <c r="CU40" s="261"/>
      <c r="CV40" s="261"/>
      <c r="CW40" s="261"/>
      <c r="CX40" s="261"/>
      <c r="CY40" s="261"/>
      <c r="CZ40" s="261"/>
      <c r="DA40" s="261"/>
      <c r="DB40" s="261"/>
      <c r="DC40" s="261"/>
      <c r="DD40" s="261"/>
      <c r="DE40" s="261"/>
      <c r="DF40" s="261"/>
      <c r="DG40" s="261"/>
      <c r="DH40" s="261"/>
      <c r="DI40" s="261"/>
      <c r="DJ40" s="261"/>
      <c r="DK40" s="261"/>
      <c r="DL40" s="261"/>
      <c r="DM40" s="261"/>
      <c r="DN40" s="261"/>
      <c r="DO40" s="261"/>
      <c r="DP40" s="261"/>
      <c r="DQ40" s="261"/>
      <c r="DR40" s="261"/>
      <c r="DS40" s="261"/>
      <c r="DT40" s="261"/>
      <c r="DU40" s="261"/>
      <c r="DV40" s="261"/>
      <c r="DW40" s="261"/>
      <c r="DX40" s="261"/>
      <c r="DY40" s="352"/>
      <c r="DZ40" s="353"/>
      <c r="EA40" s="261"/>
      <c r="EB40" s="261"/>
      <c r="EC40" s="261"/>
      <c r="ED40" s="352"/>
      <c r="EE40" s="353"/>
      <c r="EF40" s="261"/>
      <c r="EG40" s="261"/>
      <c r="EH40" s="261"/>
      <c r="EI40" s="352"/>
      <c r="EJ40" s="353"/>
      <c r="EK40" s="261"/>
      <c r="EL40" s="261"/>
      <c r="EM40" s="1325"/>
      <c r="EN40" s="1410"/>
      <c r="EO40" s="1106"/>
      <c r="EP40" s="1325"/>
      <c r="EQ40" s="262"/>
      <c r="ER40" s="260"/>
      <c r="ES40" s="261"/>
      <c r="ET40" s="261"/>
      <c r="EU40" s="261"/>
      <c r="EV40" s="261"/>
      <c r="EW40" s="261"/>
      <c r="EX40" s="261"/>
      <c r="EY40" s="261"/>
      <c r="EZ40" s="261"/>
      <c r="FA40" s="261"/>
      <c r="FB40" s="261"/>
      <c r="FC40" s="261"/>
      <c r="FD40" s="261"/>
      <c r="FE40" s="261"/>
      <c r="FF40" s="261"/>
      <c r="FG40" s="261"/>
      <c r="FH40" s="261"/>
      <c r="FI40" s="260"/>
      <c r="FJ40" s="261"/>
      <c r="FK40" s="262"/>
      <c r="FL40" s="260"/>
      <c r="FM40" s="260"/>
      <c r="FN40" s="261"/>
      <c r="FO40" s="261"/>
      <c r="FP40" s="261"/>
      <c r="FQ40" s="261"/>
      <c r="FR40" s="261"/>
      <c r="FS40" s="261"/>
      <c r="FT40" s="378"/>
      <c r="FW40" s="262"/>
      <c r="FX40" s="261"/>
      <c r="FY40" s="1356"/>
      <c r="FZ40" s="261"/>
      <c r="GA40" s="261"/>
    </row>
    <row r="41" spans="1:197" x14ac:dyDescent="0.2">
      <c r="A41" s="354" t="s">
        <v>409</v>
      </c>
      <c r="B41" s="353"/>
      <c r="C41" s="353"/>
      <c r="D41" s="353"/>
      <c r="E41" s="353"/>
      <c r="F41" s="353"/>
      <c r="G41" s="353"/>
      <c r="H41" s="353"/>
      <c r="I41" s="353"/>
      <c r="J41" s="353"/>
      <c r="K41" s="353"/>
      <c r="L41" s="353"/>
      <c r="M41" s="353"/>
      <c r="N41" s="353"/>
      <c r="O41" s="353"/>
      <c r="P41" s="353"/>
      <c r="Q41" s="353"/>
      <c r="R41" s="353"/>
      <c r="S41" s="353"/>
      <c r="T41" s="353"/>
      <c r="U41" s="353"/>
      <c r="V41" s="353"/>
      <c r="W41" s="353"/>
      <c r="X41" s="353"/>
      <c r="Y41" s="353"/>
      <c r="Z41" s="353"/>
      <c r="AA41" s="353"/>
      <c r="AB41" s="353"/>
      <c r="AC41" s="353"/>
      <c r="AD41" s="353"/>
      <c r="AE41" s="353"/>
      <c r="AF41" s="353"/>
      <c r="AG41" s="353"/>
      <c r="AH41" s="353"/>
      <c r="AI41" s="353"/>
      <c r="AJ41" s="353"/>
      <c r="AK41" s="353"/>
      <c r="AL41" s="353"/>
      <c r="AM41" s="353"/>
      <c r="AN41" s="353"/>
      <c r="AO41" s="353"/>
      <c r="AP41" s="353"/>
      <c r="AQ41" s="353"/>
      <c r="AR41" s="353"/>
      <c r="AS41" s="353"/>
      <c r="AT41" s="353"/>
      <c r="AU41" s="353"/>
      <c r="AV41" s="353"/>
      <c r="AW41" s="353"/>
      <c r="AX41" s="353"/>
      <c r="AY41" s="353"/>
      <c r="AZ41" s="353"/>
      <c r="BA41" s="352">
        <v>175</v>
      </c>
      <c r="BB41" s="352">
        <v>174</v>
      </c>
      <c r="BC41" s="352">
        <v>167</v>
      </c>
      <c r="BD41" s="352">
        <v>166</v>
      </c>
      <c r="BE41" s="352"/>
      <c r="BF41" s="352">
        <v>169</v>
      </c>
      <c r="BG41" s="352">
        <v>168</v>
      </c>
      <c r="BH41" s="352">
        <v>174</v>
      </c>
      <c r="BI41" s="352">
        <v>178</v>
      </c>
      <c r="BJ41" s="352"/>
      <c r="BK41" s="352">
        <v>165</v>
      </c>
      <c r="BL41" s="352">
        <v>168</v>
      </c>
      <c r="BM41" s="352">
        <v>167</v>
      </c>
      <c r="BN41" s="352">
        <v>180</v>
      </c>
      <c r="BO41" s="352"/>
      <c r="BP41" s="352">
        <v>180</v>
      </c>
      <c r="BQ41" s="352">
        <v>173</v>
      </c>
      <c r="BR41" s="352">
        <v>176</v>
      </c>
      <c r="BS41" s="352">
        <v>181</v>
      </c>
      <c r="BT41" s="352"/>
      <c r="BU41" s="352">
        <v>167</v>
      </c>
      <c r="BV41" s="352">
        <v>178</v>
      </c>
      <c r="BW41" s="352">
        <v>178</v>
      </c>
      <c r="BX41" s="352">
        <v>204</v>
      </c>
      <c r="BY41" s="352"/>
      <c r="BZ41" s="352">
        <v>167</v>
      </c>
      <c r="CA41" s="352">
        <v>178</v>
      </c>
      <c r="CB41" s="352">
        <v>295</v>
      </c>
      <c r="CC41" s="352">
        <v>328</v>
      </c>
      <c r="CD41" s="352"/>
      <c r="CE41" s="352">
        <v>316</v>
      </c>
      <c r="CF41" s="352">
        <v>314</v>
      </c>
      <c r="CG41" s="352">
        <v>315</v>
      </c>
      <c r="CH41" s="352">
        <v>320</v>
      </c>
      <c r="CI41" s="352"/>
      <c r="CJ41" s="352">
        <v>329</v>
      </c>
      <c r="CK41" s="352">
        <v>327</v>
      </c>
      <c r="CL41" s="352">
        <v>321</v>
      </c>
      <c r="CM41" s="352">
        <v>327</v>
      </c>
      <c r="CN41" s="352"/>
      <c r="CO41" s="352">
        <v>315</v>
      </c>
      <c r="CP41" s="352">
        <v>315</v>
      </c>
      <c r="CQ41" s="352">
        <v>320</v>
      </c>
      <c r="CR41" s="352">
        <v>328</v>
      </c>
      <c r="CS41" s="352"/>
      <c r="CT41" s="352">
        <v>303</v>
      </c>
      <c r="CU41" s="352">
        <v>301</v>
      </c>
      <c r="CV41" s="352">
        <v>301</v>
      </c>
      <c r="CW41" s="352">
        <v>305</v>
      </c>
      <c r="CX41" s="352"/>
      <c r="CY41" s="352">
        <v>287</v>
      </c>
      <c r="CZ41" s="352">
        <v>288</v>
      </c>
      <c r="DA41" s="352">
        <v>290</v>
      </c>
      <c r="DB41" s="352">
        <v>285</v>
      </c>
      <c r="DC41" s="352"/>
      <c r="DD41" s="352">
        <v>268</v>
      </c>
      <c r="DE41" s="352">
        <v>268</v>
      </c>
      <c r="DF41" s="352">
        <v>282</v>
      </c>
      <c r="DG41" s="352">
        <v>267</v>
      </c>
      <c r="DH41" s="352"/>
      <c r="DI41" s="352">
        <v>256</v>
      </c>
      <c r="DJ41" s="352">
        <v>257</v>
      </c>
      <c r="DK41" s="352">
        <v>269</v>
      </c>
      <c r="DL41" s="352">
        <f>1049-SUM(DI41:DK41)</f>
        <v>267</v>
      </c>
      <c r="DM41" s="352"/>
      <c r="DN41" s="352">
        <f t="array" ref="DN41:DQ41">TRANSPOSE(sgadetail!P41:P45)</f>
        <v>251</v>
      </c>
      <c r="DO41" s="352">
        <v>253</v>
      </c>
      <c r="DP41" s="352">
        <v>257</v>
      </c>
      <c r="DQ41" s="352">
        <v>259</v>
      </c>
      <c r="DR41" s="352"/>
      <c r="DS41" s="352">
        <f t="array" ref="DS41:DV41">TRANSPOSE(sgadetail!T41:T45)</f>
        <v>253</v>
      </c>
      <c r="DT41" s="352">
        <v>254</v>
      </c>
      <c r="DU41" s="352">
        <v>263</v>
      </c>
      <c r="DV41" s="352">
        <v>266</v>
      </c>
      <c r="DW41" s="352"/>
      <c r="DX41" s="352">
        <f t="array" ref="DX41:EA41">TRANSPOSE(sgadetail!X41:X45)</f>
        <v>259</v>
      </c>
      <c r="DY41" s="352">
        <v>261</v>
      </c>
      <c r="DZ41" s="352">
        <v>271</v>
      </c>
      <c r="EA41" s="352">
        <v>270</v>
      </c>
      <c r="EB41" s="261"/>
      <c r="EC41" s="360">
        <f t="array" ref="EC41:EF41">TRANSPOSE(sgadetail!AB41:AB44)</f>
        <v>260</v>
      </c>
      <c r="ED41" s="360">
        <v>260</v>
      </c>
      <c r="EE41" s="360">
        <v>267</v>
      </c>
      <c r="EF41" s="360">
        <v>271</v>
      </c>
      <c r="EG41" s="261"/>
      <c r="EH41" s="360">
        <f t="array" ref="EH41:EK41">TRANSPOSE(sgadetail!AF41:AF44)</f>
        <v>243</v>
      </c>
      <c r="EI41" s="360">
        <v>244</v>
      </c>
      <c r="EJ41" s="360">
        <v>254</v>
      </c>
      <c r="EK41" s="360">
        <v>250</v>
      </c>
      <c r="EL41" s="360"/>
      <c r="EM41" s="1411">
        <f t="array" ref="EM41:EP41">TRANSPOSE(sgadetail!AJ41:AJ44)</f>
        <v>243</v>
      </c>
      <c r="EN41" s="1411">
        <v>244</v>
      </c>
      <c r="EO41" s="1411">
        <v>254</v>
      </c>
      <c r="EP41" s="1411">
        <v>250</v>
      </c>
      <c r="EQ41" s="262"/>
      <c r="ER41" s="356">
        <f>flow!F10</f>
        <v>212.18600000000001</v>
      </c>
      <c r="ES41" s="357">
        <f>flow!G10</f>
        <v>205.554</v>
      </c>
      <c r="ET41" s="357">
        <f>flow!H10</f>
        <v>207.91399999999999</v>
      </c>
      <c r="EU41" s="357">
        <f>flow!I10</f>
        <v>260.48500000000001</v>
      </c>
      <c r="EV41" s="357">
        <f>EX41</f>
        <v>519.81500000000005</v>
      </c>
      <c r="EW41" s="358"/>
      <c r="EX41" s="357">
        <f>flow!J10</f>
        <v>519.81500000000005</v>
      </c>
      <c r="EY41" s="357">
        <f>flow!K10</f>
        <v>560.58299999999986</v>
      </c>
      <c r="EZ41" s="357">
        <f>flow!L10</f>
        <v>610</v>
      </c>
      <c r="FA41" s="357">
        <f>flow!M10</f>
        <v>631</v>
      </c>
      <c r="FB41" s="357">
        <f>flow!N10</f>
        <v>671</v>
      </c>
      <c r="FC41" s="357">
        <f>flow!O10</f>
        <v>657</v>
      </c>
      <c r="FD41" s="357">
        <f>flow!P10</f>
        <v>689</v>
      </c>
      <c r="FE41" s="357">
        <f>flow!Q10</f>
        <v>685</v>
      </c>
      <c r="FF41" s="357">
        <f>flow!R10</f>
        <v>713</v>
      </c>
      <c r="FG41" s="357">
        <f>flow!S10</f>
        <v>743</v>
      </c>
      <c r="FH41" s="357">
        <f>flow!T10</f>
        <v>958</v>
      </c>
      <c r="FI41" s="356">
        <f>flow!U10</f>
        <v>1216</v>
      </c>
      <c r="FJ41" s="357">
        <f>flow!V10</f>
        <v>1273</v>
      </c>
      <c r="FK41" s="359">
        <f>flow!W10</f>
        <v>1251</v>
      </c>
      <c r="FL41" s="356">
        <f>flow!X10</f>
        <v>1210</v>
      </c>
      <c r="FM41" s="356">
        <f>flow!Y10</f>
        <v>1150</v>
      </c>
      <c r="FN41" s="357">
        <f>flow!Z10</f>
        <v>1085</v>
      </c>
      <c r="FO41" s="357">
        <f>flow!AA10</f>
        <v>1049</v>
      </c>
      <c r="FP41" s="357">
        <f>flow!AB10</f>
        <v>1020</v>
      </c>
      <c r="FQ41" s="357">
        <f>flow!AC10</f>
        <v>1036</v>
      </c>
      <c r="FR41" s="357">
        <f>flow!AD10</f>
        <v>1061</v>
      </c>
      <c r="FS41" s="357">
        <f>flow!AE10</f>
        <v>1058</v>
      </c>
      <c r="FT41" s="357">
        <f>flow!AF10</f>
        <v>991</v>
      </c>
      <c r="FU41" s="357">
        <f>flow!AG10</f>
        <v>991</v>
      </c>
      <c r="FV41" s="357">
        <f>flow!AH10</f>
        <v>981</v>
      </c>
      <c r="FW41" s="359">
        <f>flow!AI10</f>
        <v>971</v>
      </c>
      <c r="FX41" s="357">
        <f>flow!AJ10</f>
        <v>961</v>
      </c>
      <c r="FY41" s="1369">
        <f>flow!AK10</f>
        <v>951</v>
      </c>
      <c r="FZ41" s="357"/>
      <c r="GA41" s="357"/>
    </row>
    <row r="42" spans="1:197" x14ac:dyDescent="0.2">
      <c r="A42" s="260" t="s">
        <v>174</v>
      </c>
      <c r="B42" s="261"/>
      <c r="C42" s="360"/>
      <c r="D42" s="360"/>
      <c r="E42" s="360"/>
      <c r="F42" s="360"/>
      <c r="G42" s="360"/>
      <c r="H42" s="360"/>
      <c r="I42" s="360"/>
      <c r="J42" s="360"/>
      <c r="K42" s="360"/>
      <c r="L42" s="360"/>
      <c r="M42" s="360"/>
      <c r="N42" s="360"/>
      <c r="O42" s="360"/>
      <c r="P42" s="360"/>
      <c r="Q42" s="360"/>
      <c r="R42" s="360"/>
      <c r="S42" s="360"/>
      <c r="T42" s="360"/>
      <c r="U42" s="360"/>
      <c r="V42" s="360"/>
      <c r="W42" s="360"/>
      <c r="X42" s="360"/>
      <c r="Y42" s="360"/>
      <c r="Z42" s="360"/>
      <c r="AA42" s="360"/>
      <c r="AB42" s="360"/>
      <c r="AC42" s="360"/>
      <c r="AD42" s="360"/>
      <c r="AE42" s="360"/>
      <c r="AF42" s="360"/>
      <c r="AG42" s="360"/>
      <c r="AH42" s="360"/>
      <c r="AI42" s="360"/>
      <c r="AJ42" s="360"/>
      <c r="AK42" s="360"/>
      <c r="AL42" s="360"/>
      <c r="AM42" s="360"/>
      <c r="AN42" s="360"/>
      <c r="AO42" s="360"/>
      <c r="AP42" s="360"/>
      <c r="AQ42" s="360"/>
      <c r="AR42" s="360"/>
      <c r="AS42" s="360"/>
      <c r="AT42" s="360"/>
      <c r="AU42" s="360"/>
      <c r="AV42" s="360"/>
      <c r="AW42" s="360"/>
      <c r="AX42" s="360"/>
      <c r="AY42" s="360"/>
      <c r="AZ42" s="360"/>
      <c r="BA42" s="360">
        <f>BA41+BA17</f>
        <v>444</v>
      </c>
      <c r="BB42" s="360">
        <f>BB41+BB17</f>
        <v>576</v>
      </c>
      <c r="BC42" s="360">
        <f>BC41+BC17</f>
        <v>436</v>
      </c>
      <c r="BD42" s="360">
        <f>BD41+BD17</f>
        <v>997</v>
      </c>
      <c r="BE42" s="360"/>
      <c r="BF42" s="360">
        <f>BF41+BF17</f>
        <v>399</v>
      </c>
      <c r="BG42" s="360">
        <f>BG41+BG17</f>
        <v>422</v>
      </c>
      <c r="BH42" s="360">
        <f>BH41+BH17</f>
        <v>330</v>
      </c>
      <c r="BI42" s="360">
        <f>BI41+BI17</f>
        <v>914</v>
      </c>
      <c r="BJ42" s="360"/>
      <c r="BK42" s="360">
        <f>BK41+BK17</f>
        <v>386</v>
      </c>
      <c r="BL42" s="360">
        <f>BL41+BL17</f>
        <v>468</v>
      </c>
      <c r="BM42" s="360">
        <f>BM41+BM17</f>
        <v>355</v>
      </c>
      <c r="BN42" s="360">
        <f>BN41+BN17</f>
        <v>882</v>
      </c>
      <c r="BO42" s="360"/>
      <c r="BP42" s="360">
        <f>BP41+BP17</f>
        <v>334</v>
      </c>
      <c r="BQ42" s="360">
        <f>BQ41+BQ17</f>
        <v>447</v>
      </c>
      <c r="BR42" s="360">
        <f>BR41+BR17</f>
        <v>378</v>
      </c>
      <c r="BS42" s="360">
        <f>BS41+BS17</f>
        <v>951</v>
      </c>
      <c r="BT42" s="360"/>
      <c r="BU42" s="360">
        <f>BU41+BU17</f>
        <v>403</v>
      </c>
      <c r="BV42" s="360">
        <f>BV41+BV17</f>
        <v>454</v>
      </c>
      <c r="BW42" s="360">
        <f>BW41+BW17</f>
        <v>389</v>
      </c>
      <c r="BX42" s="360">
        <f>BX41+BX17</f>
        <v>980</v>
      </c>
      <c r="BY42" s="360"/>
      <c r="BZ42" s="360">
        <f>BZ41+BZ17</f>
        <v>419</v>
      </c>
      <c r="CA42" s="360">
        <f>CA41+CA17</f>
        <v>469</v>
      </c>
      <c r="CB42" s="360">
        <f>CB41+CB17</f>
        <v>565</v>
      </c>
      <c r="CC42" s="360">
        <f>CC41+CC17</f>
        <v>1653</v>
      </c>
      <c r="CD42" s="360"/>
      <c r="CE42" s="360">
        <f>CE41+CE17</f>
        <v>465</v>
      </c>
      <c r="CF42" s="360">
        <f>CF41+CF17</f>
        <v>722</v>
      </c>
      <c r="CG42" s="360">
        <f>CG41+CG17</f>
        <v>594</v>
      </c>
      <c r="CH42" s="360">
        <f>CH41+CH17</f>
        <v>1757</v>
      </c>
      <c r="CI42" s="360"/>
      <c r="CJ42" s="360">
        <f>CJ41+CJ17</f>
        <v>573</v>
      </c>
      <c r="CK42" s="360">
        <f>CK41+CK17</f>
        <v>674</v>
      </c>
      <c r="CL42" s="360">
        <f>CL41+CL17</f>
        <v>521</v>
      </c>
      <c r="CM42" s="360">
        <f>CM41+CM17</f>
        <v>1618</v>
      </c>
      <c r="CN42" s="360"/>
      <c r="CO42" s="360">
        <f>CO41+CO17</f>
        <v>455</v>
      </c>
      <c r="CP42" s="360">
        <f>CP41+CP17</f>
        <v>650</v>
      </c>
      <c r="CQ42" s="360">
        <f>CQ41+CQ17</f>
        <v>404</v>
      </c>
      <c r="CR42" s="360">
        <f>CR41+CR17</f>
        <v>1194</v>
      </c>
      <c r="CS42" s="360"/>
      <c r="CT42" s="360">
        <f>CT41+CT17</f>
        <v>327</v>
      </c>
      <c r="CU42" s="360">
        <f>CU41+CU17</f>
        <v>583</v>
      </c>
      <c r="CV42" s="360">
        <f>CV41+CV17</f>
        <v>389</v>
      </c>
      <c r="CW42" s="360">
        <f>CW41+CW17</f>
        <v>1365</v>
      </c>
      <c r="CX42" s="360"/>
      <c r="CY42" s="360">
        <f>CY41+CY17</f>
        <v>490</v>
      </c>
      <c r="CZ42" s="360">
        <f>CZ41+CZ17</f>
        <v>658</v>
      </c>
      <c r="DA42" s="360">
        <f>DA41+DA17</f>
        <v>467</v>
      </c>
      <c r="DB42" s="360">
        <f>DB41+DB17</f>
        <v>1454</v>
      </c>
      <c r="DC42" s="360"/>
      <c r="DD42" s="360">
        <f>DD41+DD17</f>
        <v>598</v>
      </c>
      <c r="DE42" s="360">
        <f>DE41+DE17</f>
        <v>774</v>
      </c>
      <c r="DF42" s="360">
        <f>DF41+DF17</f>
        <v>573</v>
      </c>
      <c r="DG42" s="360">
        <f>DG41+DG17</f>
        <v>1526</v>
      </c>
      <c r="DH42" s="360"/>
      <c r="DI42" s="360">
        <f>DI41+DI17</f>
        <v>647</v>
      </c>
      <c r="DJ42" s="360">
        <f>DJ41+DJ17</f>
        <v>811</v>
      </c>
      <c r="DK42" s="360">
        <f>DK41+DK17</f>
        <v>594</v>
      </c>
      <c r="DL42" s="360">
        <f>DL41+DL17</f>
        <v>1663</v>
      </c>
      <c r="DM42" s="360"/>
      <c r="DN42" s="360">
        <f>DN41+DN17</f>
        <v>686</v>
      </c>
      <c r="DO42" s="360">
        <f>DO41+DO17</f>
        <v>787</v>
      </c>
      <c r="DP42" s="360">
        <f>DP41+DP17</f>
        <v>617</v>
      </c>
      <c r="DQ42" s="360">
        <f>DQ41+DQ17</f>
        <v>1696</v>
      </c>
      <c r="DR42" s="360"/>
      <c r="DS42" s="360">
        <f>DS41+DS17</f>
        <v>696</v>
      </c>
      <c r="DT42" s="360">
        <f>DT41+DT17</f>
        <v>825</v>
      </c>
      <c r="DU42" s="360">
        <f>DU41+DU17</f>
        <v>685</v>
      </c>
      <c r="DV42" s="360">
        <f>DV41+DV17</f>
        <v>1717</v>
      </c>
      <c r="DW42" s="360"/>
      <c r="DX42" s="360">
        <f>DX41+DX17</f>
        <v>668</v>
      </c>
      <c r="DY42" s="360">
        <f>DY41+DY17</f>
        <v>697</v>
      </c>
      <c r="DZ42" s="360">
        <f>DZ41+DZ17</f>
        <v>640</v>
      </c>
      <c r="EA42" s="360">
        <f>EA41+EA17</f>
        <v>1383</v>
      </c>
      <c r="EB42" s="261"/>
      <c r="EC42" s="360">
        <f>EC41+EC17</f>
        <v>550</v>
      </c>
      <c r="ED42" s="360">
        <f>ED41+ED17</f>
        <v>606.75</v>
      </c>
      <c r="EE42" s="360">
        <f>EE41+EE17</f>
        <v>417.75</v>
      </c>
      <c r="EF42" s="360">
        <f>EF41+EF17</f>
        <v>1334.25</v>
      </c>
      <c r="EG42" s="261"/>
      <c r="EH42" s="360">
        <f>EH41+EH17</f>
        <v>462</v>
      </c>
      <c r="EI42" s="360">
        <f>EI41+EI17</f>
        <v>527</v>
      </c>
      <c r="EJ42" s="360">
        <f>EJ41+EJ17</f>
        <v>410</v>
      </c>
      <c r="EK42" s="360">
        <f>EK41+EK17</f>
        <v>1648</v>
      </c>
      <c r="EL42" s="360"/>
      <c r="EM42" s="1411">
        <f>EM41+EM17</f>
        <v>451.59310239999968</v>
      </c>
      <c r="EN42" s="1411">
        <f>EN41+EN17</f>
        <v>488.38913550000052</v>
      </c>
      <c r="EO42" s="1411">
        <f>EO41+EO17</f>
        <v>418.57110899999952</v>
      </c>
      <c r="EP42" s="1411">
        <f>EP41+EP17</f>
        <v>1266.1777052999996</v>
      </c>
      <c r="EQ42" s="262"/>
      <c r="ER42" s="362">
        <f>ER41+ER17</f>
        <v>650.62000000000069</v>
      </c>
      <c r="ES42" s="360">
        <f>ES41+ES17</f>
        <v>716.19699999999909</v>
      </c>
      <c r="ET42" s="360">
        <f>ET41+ET17</f>
        <v>849.01799999999889</v>
      </c>
      <c r="EU42" s="360">
        <f>EU41+EU17</f>
        <v>943.28599999999949</v>
      </c>
      <c r="EV42" s="360">
        <f>EV41+EV17</f>
        <v>1514.465999999999</v>
      </c>
      <c r="EW42" s="360"/>
      <c r="EX42" s="360">
        <f t="shared" ref="EX42:FL42" si="121">EX41+EX17</f>
        <v>1182.8150000000001</v>
      </c>
      <c r="EY42" s="360">
        <f t="shared" si="121"/>
        <v>1453.5829999999999</v>
      </c>
      <c r="EZ42" s="360">
        <f t="shared" si="121"/>
        <v>1951</v>
      </c>
      <c r="FA42" s="360">
        <f t="shared" si="121"/>
        <v>2086</v>
      </c>
      <c r="FB42" s="360">
        <f t="shared" si="121"/>
        <v>2364</v>
      </c>
      <c r="FC42" s="360">
        <f t="shared" si="121"/>
        <v>2428</v>
      </c>
      <c r="FD42" s="360">
        <f t="shared" si="121"/>
        <v>2065</v>
      </c>
      <c r="FE42" s="360">
        <f t="shared" si="121"/>
        <v>2096</v>
      </c>
      <c r="FF42" s="360">
        <f t="shared" si="121"/>
        <v>2113</v>
      </c>
      <c r="FG42" s="360">
        <f t="shared" si="121"/>
        <v>2242</v>
      </c>
      <c r="FH42" s="360">
        <f t="shared" si="121"/>
        <v>3096</v>
      </c>
      <c r="FI42" s="362">
        <f t="shared" si="121"/>
        <v>3489</v>
      </c>
      <c r="FJ42" s="360">
        <f t="shared" si="121"/>
        <v>3355</v>
      </c>
      <c r="FK42" s="361">
        <f t="shared" si="121"/>
        <v>2676</v>
      </c>
      <c r="FL42" s="362">
        <f t="shared" si="121"/>
        <v>2664</v>
      </c>
      <c r="FM42" s="362">
        <f t="shared" ref="FM42:FV42" si="122">FM41+FM17</f>
        <v>3069</v>
      </c>
      <c r="FN42" s="360">
        <f t="shared" si="122"/>
        <v>3471</v>
      </c>
      <c r="FO42" s="360">
        <f t="shared" si="122"/>
        <v>3715</v>
      </c>
      <c r="FP42" s="360">
        <f t="shared" si="122"/>
        <v>3786</v>
      </c>
      <c r="FQ42" s="360">
        <f t="shared" si="122"/>
        <v>3923</v>
      </c>
      <c r="FR42" s="360">
        <f t="shared" si="122"/>
        <v>3388</v>
      </c>
      <c r="FS42" s="360">
        <f t="shared" si="122"/>
        <v>2908.75</v>
      </c>
      <c r="FT42" s="360">
        <f t="shared" si="122"/>
        <v>3047</v>
      </c>
      <c r="FU42" s="360">
        <f t="shared" si="122"/>
        <v>2624.7310522000007</v>
      </c>
      <c r="FV42" s="360">
        <f t="shared" si="122"/>
        <v>2265.3126534677194</v>
      </c>
      <c r="FW42" s="361">
        <f>FW41+FW17</f>
        <v>1925.8548174822972</v>
      </c>
      <c r="FX42" s="360">
        <f>FX41+FX17</f>
        <v>1642.9936582115315</v>
      </c>
      <c r="FY42" s="1370">
        <f>FY41+FY17</f>
        <v>1377.9547247702412</v>
      </c>
      <c r="GA42" s="554"/>
      <c r="GH42" s="360"/>
    </row>
    <row r="43" spans="1:197" hidden="1" x14ac:dyDescent="0.2">
      <c r="A43" s="260" t="s">
        <v>616</v>
      </c>
      <c r="B43" s="261"/>
      <c r="C43" s="360"/>
      <c r="D43" s="360"/>
      <c r="E43" s="360"/>
      <c r="F43" s="360"/>
      <c r="G43" s="360"/>
      <c r="H43" s="360"/>
      <c r="I43" s="360"/>
      <c r="J43" s="360"/>
      <c r="K43" s="360"/>
      <c r="L43" s="360"/>
      <c r="M43" s="360"/>
      <c r="N43" s="360"/>
      <c r="O43" s="360"/>
      <c r="P43" s="360"/>
      <c r="Q43" s="360"/>
      <c r="R43" s="360"/>
      <c r="S43" s="360"/>
      <c r="T43" s="360"/>
      <c r="U43" s="360"/>
      <c r="V43" s="360"/>
      <c r="W43" s="360"/>
      <c r="X43" s="360"/>
      <c r="Y43" s="360"/>
      <c r="Z43" s="360"/>
      <c r="AA43" s="360"/>
      <c r="AB43" s="360"/>
      <c r="AC43" s="360"/>
      <c r="AD43" s="360"/>
      <c r="AE43" s="360"/>
      <c r="AF43" s="360"/>
      <c r="AG43" s="360"/>
      <c r="AH43" s="360"/>
      <c r="AI43" s="360"/>
      <c r="AJ43" s="360"/>
      <c r="AK43" s="360"/>
      <c r="AL43" s="360"/>
      <c r="AM43" s="360"/>
      <c r="AN43" s="360"/>
      <c r="AO43" s="360"/>
      <c r="AP43" s="360"/>
      <c r="AQ43" s="360"/>
      <c r="AR43" s="360"/>
      <c r="AS43" s="360"/>
      <c r="AT43" s="360"/>
      <c r="AU43" s="360"/>
      <c r="AV43" s="360"/>
      <c r="AW43" s="360"/>
      <c r="AX43" s="360"/>
      <c r="AY43" s="360"/>
      <c r="AZ43" s="360"/>
      <c r="BA43" s="360"/>
      <c r="BB43" s="360"/>
      <c r="BC43" s="360"/>
      <c r="BD43" s="360"/>
      <c r="BE43" s="360"/>
      <c r="BF43" s="360"/>
      <c r="BG43" s="360"/>
      <c r="BH43" s="360"/>
      <c r="BI43" s="360"/>
      <c r="BJ43" s="360"/>
      <c r="BK43" s="360"/>
      <c r="BL43" s="360"/>
      <c r="BM43" s="360"/>
      <c r="BN43" s="360"/>
      <c r="BO43" s="360"/>
      <c r="BP43" s="360"/>
      <c r="BQ43" s="360"/>
      <c r="BR43" s="360"/>
      <c r="BS43" s="360"/>
      <c r="BT43" s="360"/>
      <c r="BU43" s="360"/>
      <c r="BV43" s="360"/>
      <c r="BW43" s="360"/>
      <c r="BX43" s="360"/>
      <c r="BY43" s="360"/>
      <c r="BZ43" s="360"/>
      <c r="CA43" s="360"/>
      <c r="CB43" s="360"/>
      <c r="CC43" s="360"/>
      <c r="CD43" s="360"/>
      <c r="CE43" s="360"/>
      <c r="CF43" s="360"/>
      <c r="CG43" s="360"/>
      <c r="CH43" s="360"/>
      <c r="CI43" s="360"/>
      <c r="CJ43" s="360"/>
      <c r="CK43" s="360"/>
      <c r="CL43" s="360"/>
      <c r="CM43" s="360"/>
      <c r="CN43" s="360"/>
      <c r="CO43" s="360"/>
      <c r="CP43" s="360"/>
      <c r="CQ43" s="360"/>
      <c r="CR43" s="360"/>
      <c r="CS43" s="360"/>
      <c r="CT43" s="360"/>
      <c r="CU43" s="360"/>
      <c r="CV43" s="360"/>
      <c r="CW43" s="360"/>
      <c r="CX43" s="360"/>
      <c r="CY43" s="360"/>
      <c r="CZ43" s="360"/>
      <c r="DA43" s="360"/>
      <c r="DB43" s="360"/>
      <c r="DC43" s="360"/>
      <c r="DD43" s="360">
        <f>SUM(DD41:DG41)</f>
        <v>1085</v>
      </c>
      <c r="DE43" s="360"/>
      <c r="DF43" s="360"/>
      <c r="DG43" s="360"/>
      <c r="DH43" s="360"/>
      <c r="DI43" s="360"/>
      <c r="DJ43" s="360"/>
      <c r="DK43" s="360"/>
      <c r="DL43" s="360"/>
      <c r="DM43" s="360"/>
      <c r="DN43" s="360"/>
      <c r="DO43" s="360"/>
      <c r="DP43" s="360"/>
      <c r="DQ43" s="360"/>
      <c r="DR43" s="360"/>
      <c r="DS43" s="360"/>
      <c r="DT43" s="360"/>
      <c r="DU43" s="360"/>
      <c r="DV43" s="360"/>
      <c r="DW43" s="360"/>
      <c r="DX43" s="360"/>
      <c r="DY43" s="360"/>
      <c r="DZ43" s="360"/>
      <c r="EA43" s="360"/>
      <c r="EB43" s="261"/>
      <c r="EC43" s="360"/>
      <c r="ED43" s="360"/>
      <c r="EE43" s="360"/>
      <c r="EF43" s="360"/>
      <c r="EG43" s="261"/>
      <c r="EH43" s="360"/>
      <c r="EI43" s="360"/>
      <c r="EJ43" s="360"/>
      <c r="EK43" s="360"/>
      <c r="EL43" s="360"/>
      <c r="EM43" s="1411"/>
      <c r="EN43" s="1411"/>
      <c r="EO43" s="1411"/>
      <c r="EP43" s="1411"/>
      <c r="EQ43" s="262"/>
      <c r="ER43" s="362"/>
      <c r="ES43" s="360"/>
      <c r="ET43" s="360"/>
      <c r="EU43" s="360"/>
      <c r="EV43" s="360"/>
      <c r="EW43" s="360"/>
      <c r="EX43" s="360"/>
      <c r="EY43" s="360"/>
      <c r="EZ43" s="360"/>
      <c r="FA43" s="360"/>
      <c r="FB43" s="360"/>
      <c r="FC43" s="360"/>
      <c r="FD43" s="360"/>
      <c r="FE43" s="360"/>
      <c r="FF43" s="360"/>
      <c r="FG43" s="360"/>
      <c r="FH43" s="360"/>
      <c r="FI43" s="362"/>
      <c r="FJ43" s="360"/>
      <c r="FK43" s="361"/>
      <c r="FL43" s="362"/>
      <c r="FM43" s="363"/>
      <c r="FN43" s="364"/>
      <c r="FO43" s="365"/>
      <c r="FP43" s="365"/>
      <c r="FQ43" s="365"/>
      <c r="FR43" s="360"/>
      <c r="FS43" s="360">
        <f>FR42-FS42</f>
        <v>479.25</v>
      </c>
      <c r="FT43" s="360"/>
      <c r="FU43" s="360"/>
      <c r="FV43" s="360"/>
      <c r="FW43" s="361"/>
      <c r="FX43" s="360"/>
      <c r="FY43" s="1370"/>
      <c r="GH43" s="360"/>
    </row>
    <row r="44" spans="1:197" x14ac:dyDescent="0.2">
      <c r="A44" s="260"/>
      <c r="B44" s="261"/>
      <c r="C44" s="360"/>
      <c r="D44" s="360"/>
      <c r="E44" s="360"/>
      <c r="F44" s="360"/>
      <c r="G44" s="360"/>
      <c r="H44" s="360"/>
      <c r="I44" s="360"/>
      <c r="J44" s="360"/>
      <c r="K44" s="360"/>
      <c r="L44" s="360"/>
      <c r="M44" s="360"/>
      <c r="N44" s="360"/>
      <c r="O44" s="360"/>
      <c r="P44" s="360"/>
      <c r="Q44" s="360"/>
      <c r="R44" s="360"/>
      <c r="S44" s="360"/>
      <c r="T44" s="360"/>
      <c r="U44" s="360"/>
      <c r="V44" s="360"/>
      <c r="W44" s="360"/>
      <c r="X44" s="360"/>
      <c r="Y44" s="360"/>
      <c r="Z44" s="360"/>
      <c r="AA44" s="360"/>
      <c r="AB44" s="360"/>
      <c r="AC44" s="360"/>
      <c r="AD44" s="360"/>
      <c r="AE44" s="360"/>
      <c r="AF44" s="360"/>
      <c r="AG44" s="360"/>
      <c r="AH44" s="360"/>
      <c r="AI44" s="360"/>
      <c r="AJ44" s="360"/>
      <c r="AK44" s="360"/>
      <c r="AL44" s="360"/>
      <c r="AM44" s="360"/>
      <c r="AN44" s="360"/>
      <c r="AO44" s="360"/>
      <c r="AP44" s="360"/>
      <c r="AQ44" s="360"/>
      <c r="AR44" s="360"/>
      <c r="AS44" s="360"/>
      <c r="AT44" s="360"/>
      <c r="AU44" s="360"/>
      <c r="AV44" s="360"/>
      <c r="AW44" s="360"/>
      <c r="AX44" s="360"/>
      <c r="AY44" s="360"/>
      <c r="AZ44" s="360"/>
      <c r="BA44" s="360"/>
      <c r="BB44" s="360"/>
      <c r="BC44" s="360"/>
      <c r="BD44" s="360"/>
      <c r="BE44" s="360"/>
      <c r="BF44" s="360"/>
      <c r="BG44" s="360"/>
      <c r="BH44" s="360"/>
      <c r="BI44" s="360"/>
      <c r="BJ44" s="360"/>
      <c r="BK44" s="360"/>
      <c r="BL44" s="360"/>
      <c r="BM44" s="360"/>
      <c r="BN44" s="360"/>
      <c r="BO44" s="360"/>
      <c r="BP44" s="360"/>
      <c r="BQ44" s="360"/>
      <c r="BR44" s="360"/>
      <c r="BS44" s="360"/>
      <c r="BT44" s="360"/>
      <c r="BU44" s="360"/>
      <c r="BV44" s="360"/>
      <c r="BW44" s="360"/>
      <c r="BX44" s="360"/>
      <c r="BY44" s="360"/>
      <c r="BZ44" s="360"/>
      <c r="CA44" s="360"/>
      <c r="CB44" s="360"/>
      <c r="CC44" s="360"/>
      <c r="CD44" s="360"/>
      <c r="CE44" s="360"/>
      <c r="CF44" s="360"/>
      <c r="CG44" s="360"/>
      <c r="CH44" s="360"/>
      <c r="CI44" s="360"/>
      <c r="CJ44" s="360"/>
      <c r="CK44" s="360"/>
      <c r="CL44" s="360"/>
      <c r="CM44" s="360"/>
      <c r="CN44" s="360"/>
      <c r="CO44" s="360"/>
      <c r="CP44" s="360">
        <f>SUM(CO17:CP17)</f>
        <v>475</v>
      </c>
      <c r="CQ44" s="360"/>
      <c r="CR44" s="360"/>
      <c r="CS44" s="360"/>
      <c r="CT44" s="360"/>
      <c r="CU44" s="360"/>
      <c r="CV44" s="360"/>
      <c r="CW44" s="360"/>
      <c r="CX44" s="360"/>
      <c r="CY44" s="360"/>
      <c r="CZ44" s="360"/>
      <c r="DA44" s="360"/>
      <c r="DB44" s="360"/>
      <c r="DC44" s="360"/>
      <c r="DD44" s="360"/>
      <c r="DE44" s="360"/>
      <c r="DF44" s="360"/>
      <c r="DG44" s="360"/>
      <c r="DH44" s="360"/>
      <c r="DI44" s="360"/>
      <c r="DJ44" s="360"/>
      <c r="DK44" s="360"/>
      <c r="DL44" s="360"/>
      <c r="DM44" s="360"/>
      <c r="DN44" s="360"/>
      <c r="DO44" s="360"/>
      <c r="DP44" s="360"/>
      <c r="DQ44" s="360"/>
      <c r="DR44" s="360"/>
      <c r="DS44" s="360"/>
      <c r="DT44" s="360"/>
      <c r="DV44" s="360"/>
      <c r="DW44" s="360"/>
      <c r="DX44" s="360"/>
      <c r="DY44" s="360"/>
      <c r="DZ44" s="360"/>
      <c r="EA44" s="360"/>
      <c r="EB44" s="261"/>
      <c r="EC44" s="360"/>
      <c r="ED44" s="360"/>
      <c r="EE44" s="360"/>
      <c r="EF44" s="360"/>
      <c r="EG44" s="261"/>
      <c r="EH44" s="360"/>
      <c r="EI44" s="360"/>
      <c r="EJ44" s="360"/>
      <c r="EK44" s="905"/>
      <c r="EL44" s="905"/>
      <c r="EM44" s="1411"/>
      <c r="EN44" s="1411"/>
      <c r="EO44" s="1411"/>
      <c r="EP44" s="1412"/>
      <c r="EQ44" s="262"/>
      <c r="ER44" s="362"/>
      <c r="ES44" s="360"/>
      <c r="ET44" s="360"/>
      <c r="EU44" s="360"/>
      <c r="EV44" s="360"/>
      <c r="EW44" s="360"/>
      <c r="EX44" s="360"/>
      <c r="EY44" s="360"/>
      <c r="EZ44" s="360"/>
      <c r="FA44" s="360"/>
      <c r="FB44" s="360"/>
      <c r="FC44" s="360"/>
      <c r="FD44" s="360"/>
      <c r="FE44" s="360"/>
      <c r="FF44" s="360"/>
      <c r="FG44" s="360"/>
      <c r="FH44" s="360"/>
      <c r="FI44" s="362"/>
      <c r="FJ44" s="360"/>
      <c r="FK44" s="361"/>
      <c r="FL44" s="362"/>
      <c r="FM44" s="363"/>
      <c r="FN44" s="364"/>
      <c r="FO44" s="365"/>
      <c r="FP44" s="365"/>
      <c r="FQ44" s="365"/>
      <c r="FR44" s="360"/>
      <c r="FS44" s="364"/>
      <c r="FT44" s="364"/>
      <c r="FU44" s="364"/>
      <c r="FV44" s="364"/>
      <c r="FW44" s="552"/>
      <c r="FX44" s="364"/>
      <c r="FY44" s="1371"/>
      <c r="GA44" s="554"/>
      <c r="GH44" s="360"/>
    </row>
    <row r="45" spans="1:197" x14ac:dyDescent="0.2">
      <c r="A45" s="256" t="s">
        <v>175</v>
      </c>
      <c r="B45" s="261"/>
      <c r="C45" s="261"/>
      <c r="D45" s="261"/>
      <c r="E45" s="261"/>
      <c r="F45" s="261"/>
      <c r="G45" s="261"/>
      <c r="H45" s="261"/>
      <c r="I45" s="261"/>
      <c r="J45" s="261"/>
      <c r="K45" s="261"/>
      <c r="L45" s="261"/>
      <c r="M45" s="261"/>
      <c r="N45" s="261"/>
      <c r="O45" s="261"/>
      <c r="P45" s="261"/>
      <c r="Q45" s="261"/>
      <c r="R45" s="261"/>
      <c r="S45" s="261"/>
      <c r="T45" s="261"/>
      <c r="U45" s="261"/>
      <c r="V45" s="261"/>
      <c r="W45" s="261"/>
      <c r="X45" s="261"/>
      <c r="Y45" s="261"/>
      <c r="Z45" s="261"/>
      <c r="AA45" s="261"/>
      <c r="AB45" s="261"/>
      <c r="AC45" s="261"/>
      <c r="AD45" s="261"/>
      <c r="AE45" s="261"/>
      <c r="AF45" s="261"/>
      <c r="AG45" s="261"/>
      <c r="AH45" s="261"/>
      <c r="AI45" s="261"/>
      <c r="AJ45" s="261"/>
      <c r="AK45" s="261"/>
      <c r="AL45" s="261"/>
      <c r="AM45" s="261"/>
      <c r="AN45" s="261"/>
      <c r="AO45" s="261"/>
      <c r="AP45" s="261"/>
      <c r="AQ45" s="261"/>
      <c r="AR45" s="261"/>
      <c r="AS45" s="261"/>
      <c r="AT45" s="261"/>
      <c r="AU45" s="261"/>
      <c r="AV45" s="261"/>
      <c r="AW45" s="261"/>
      <c r="AX45" s="261"/>
      <c r="AY45" s="261"/>
      <c r="AZ45" s="261"/>
      <c r="BA45" s="261"/>
      <c r="BB45" s="261"/>
      <c r="BC45" s="261"/>
      <c r="BD45" s="261"/>
      <c r="BE45" s="261"/>
      <c r="BF45" s="261"/>
      <c r="BG45" s="261"/>
      <c r="BH45" s="261"/>
      <c r="BI45" s="261"/>
      <c r="BJ45" s="261"/>
      <c r="BK45" s="261"/>
      <c r="BL45" s="261"/>
      <c r="BM45" s="261"/>
      <c r="BN45" s="261"/>
      <c r="BO45" s="261"/>
      <c r="BP45" s="261"/>
      <c r="BQ45" s="261"/>
      <c r="BR45" s="261"/>
      <c r="BS45" s="261"/>
      <c r="BT45" s="261"/>
      <c r="BU45" s="261"/>
      <c r="BV45" s="261"/>
      <c r="BW45" s="261"/>
      <c r="BX45" s="261"/>
      <c r="BY45" s="261"/>
      <c r="BZ45" s="261"/>
      <c r="CA45" s="261"/>
      <c r="CB45" s="261"/>
      <c r="CC45" s="261"/>
      <c r="CD45" s="261"/>
      <c r="CE45" s="261"/>
      <c r="CF45" s="261"/>
      <c r="CG45" s="261"/>
      <c r="CH45" s="261"/>
      <c r="CI45" s="261"/>
      <c r="CJ45" s="261"/>
      <c r="CK45" s="261"/>
      <c r="CL45" s="261"/>
      <c r="CM45" s="261"/>
      <c r="CN45" s="261"/>
      <c r="CO45" s="261"/>
      <c r="CP45" s="561"/>
      <c r="CQ45" s="261"/>
      <c r="CR45" s="261"/>
      <c r="CS45" s="261"/>
      <c r="CT45" s="261"/>
      <c r="CU45" s="561"/>
      <c r="CV45" s="261"/>
      <c r="CW45" s="261"/>
      <c r="CX45" s="261"/>
      <c r="CY45" s="261"/>
      <c r="CZ45" s="561"/>
      <c r="DA45" s="261"/>
      <c r="DB45" s="261"/>
      <c r="DC45" s="261"/>
      <c r="DD45" s="261"/>
      <c r="DE45" s="561"/>
      <c r="DF45" s="261"/>
      <c r="DG45" s="261"/>
      <c r="DH45" s="261"/>
      <c r="DI45" s="353"/>
      <c r="DJ45" s="561"/>
      <c r="DK45" s="261"/>
      <c r="DL45" s="261"/>
      <c r="DM45" s="261"/>
      <c r="DN45" s="353"/>
      <c r="DO45" s="561"/>
      <c r="DP45" s="261"/>
      <c r="DQ45" s="261"/>
      <c r="DR45" s="261"/>
      <c r="DS45" s="353"/>
      <c r="DT45" s="561"/>
      <c r="DV45" s="261"/>
      <c r="DW45" s="261"/>
      <c r="DX45" s="353"/>
      <c r="DY45" s="561"/>
      <c r="DZ45" s="261"/>
      <c r="EA45" s="261"/>
      <c r="EB45" s="261"/>
      <c r="EC45" s="371"/>
      <c r="ED45" s="371"/>
      <c r="EE45" s="371"/>
      <c r="EF45" s="261"/>
      <c r="EG45" s="261"/>
      <c r="EH45" s="371"/>
      <c r="EI45" s="371"/>
      <c r="EJ45" s="371"/>
      <c r="EK45" s="261"/>
      <c r="EL45" s="261"/>
      <c r="EM45" s="1413"/>
      <c r="EN45" s="1413"/>
      <c r="EO45" s="1413"/>
      <c r="EP45" s="1325"/>
      <c r="EQ45" s="262"/>
      <c r="ER45" s="260"/>
      <c r="ES45" s="261"/>
      <c r="ET45" s="261"/>
      <c r="EU45" s="261"/>
      <c r="EV45" s="261"/>
      <c r="EW45" s="261"/>
      <c r="EX45" s="261"/>
      <c r="EY45" s="261"/>
      <c r="EZ45" s="261"/>
      <c r="FA45" s="261"/>
      <c r="FB45" s="261"/>
      <c r="FC45" s="261"/>
      <c r="FD45" s="261"/>
      <c r="FE45" s="261"/>
      <c r="FF45" s="261"/>
      <c r="FG45" s="261"/>
      <c r="FH45" s="261"/>
      <c r="FI45" s="260"/>
      <c r="FJ45" s="261"/>
      <c r="FK45" s="262"/>
      <c r="FL45" s="260"/>
      <c r="FM45" s="260"/>
      <c r="FN45" s="261"/>
      <c r="FO45" s="261"/>
      <c r="FP45" s="261"/>
      <c r="FQ45" s="261"/>
      <c r="FR45" s="261"/>
      <c r="FS45" s="261"/>
      <c r="FT45" s="261"/>
      <c r="FW45" s="262"/>
      <c r="FX45" s="261"/>
      <c r="FY45" s="1356"/>
      <c r="GH45" s="314"/>
    </row>
    <row r="46" spans="1:197" x14ac:dyDescent="0.2">
      <c r="A46" s="1492" t="s">
        <v>682</v>
      </c>
      <c r="B46" s="261"/>
      <c r="C46" s="366">
        <f>C15/C10</f>
        <v>0.3994234372445708</v>
      </c>
      <c r="D46" s="366">
        <f>D15/D10</f>
        <v>0.3778488712007404</v>
      </c>
      <c r="E46" s="366">
        <f>E15/E10</f>
        <v>0.3952069990443195</v>
      </c>
      <c r="F46" s="366">
        <f>F15/F10</f>
        <v>0.3705103023948596</v>
      </c>
      <c r="G46" s="367"/>
      <c r="H46" s="366">
        <f>H15/H10</f>
        <v>0.40127424111297788</v>
      </c>
      <c r="I46" s="366">
        <f>I15/I10</f>
        <v>0.40000989474796134</v>
      </c>
      <c r="J46" s="366">
        <f>J15/J10</f>
        <v>0.39636702184620409</v>
      </c>
      <c r="K46" s="366">
        <f>K15/K10</f>
        <v>0.38188318199282195</v>
      </c>
      <c r="L46" s="367"/>
      <c r="M46" s="366">
        <f>M15/M10</f>
        <v>0.41156028468066325</v>
      </c>
      <c r="N46" s="366">
        <f>N15/N10</f>
        <v>0.40449159079118202</v>
      </c>
      <c r="O46" s="366">
        <f>O15/O10</f>
        <v>0.40556970091645167</v>
      </c>
      <c r="P46" s="366">
        <f>P15/P10</f>
        <v>0.39666796048519082</v>
      </c>
      <c r="Q46" s="367"/>
      <c r="R46" s="366">
        <f>R15/R10</f>
        <v>0.40395369559298205</v>
      </c>
      <c r="S46" s="366">
        <f>S15/S10</f>
        <v>0.40087120445613617</v>
      </c>
      <c r="T46" s="366">
        <f>T15/T10</f>
        <v>0.39789696056870921</v>
      </c>
      <c r="U46" s="366">
        <f>U15/U10</f>
        <v>0.38406564477598715</v>
      </c>
      <c r="V46" s="367"/>
      <c r="W46" s="366">
        <f>W15/W10</f>
        <v>0.39349528401439021</v>
      </c>
      <c r="X46" s="366">
        <f>X15/X10</f>
        <v>0.38930204874381302</v>
      </c>
      <c r="Y46" s="366">
        <f>Y15/Y10</f>
        <v>0.38626518117241393</v>
      </c>
      <c r="Z46" s="366">
        <f>Z15/Z10</f>
        <v>0.37647351670430096</v>
      </c>
      <c r="AA46" s="367"/>
      <c r="AB46" s="366">
        <f>AB15/AB10</f>
        <v>0.39017525399882058</v>
      </c>
      <c r="AC46" s="366">
        <f>AC15/AC10</f>
        <v>0.38860682638660982</v>
      </c>
      <c r="AD46" s="366">
        <f>AD15/AD10</f>
        <v>0.38815093198557199</v>
      </c>
      <c r="AE46" s="366">
        <f>AE15/AE10</f>
        <v>0.38348439356301972</v>
      </c>
      <c r="AF46" s="367"/>
      <c r="AG46" s="366">
        <f>AG15/AG10</f>
        <v>0.38963007846820369</v>
      </c>
      <c r="AH46" s="366">
        <f>AH15/AH10</f>
        <v>0.39237165824249431</v>
      </c>
      <c r="AI46" s="366">
        <f>AI15/AI10</f>
        <v>0.39322739741209722</v>
      </c>
      <c r="AJ46" s="366">
        <f>AJ15/AJ10</f>
        <v>0.3866302577749533</v>
      </c>
      <c r="AK46" s="367"/>
      <c r="AL46" s="366">
        <f>AL15/AL10</f>
        <v>0.38776477146042371</v>
      </c>
      <c r="AM46" s="366">
        <f>AM15/AM10</f>
        <v>0.39218286607970354</v>
      </c>
      <c r="AN46" s="366">
        <f>AN15/AN10</f>
        <v>0.38952003416886899</v>
      </c>
      <c r="AO46" s="366">
        <f>AO15/AO10</f>
        <v>0.38572317314464727</v>
      </c>
      <c r="AP46" s="367"/>
      <c r="AQ46" s="366">
        <f>AQ15/AQ10</f>
        <v>0.39767649687220735</v>
      </c>
      <c r="AR46" s="366">
        <f>AR15/AR10</f>
        <v>0.41126678342089901</v>
      </c>
      <c r="AS46" s="366">
        <f>AS15/AS10</f>
        <v>0.39543404735062004</v>
      </c>
      <c r="AT46" s="366">
        <f>AT15/AT10</f>
        <v>0.39729837107667859</v>
      </c>
      <c r="AU46" s="367"/>
      <c r="AV46" s="366">
        <f>AV15/AV10</f>
        <v>0.39611111111111114</v>
      </c>
      <c r="AW46" s="366">
        <f>AW15/AW10</f>
        <v>0.42111832251622566</v>
      </c>
      <c r="AX46" s="366">
        <f>AX15/AX10</f>
        <v>0.40681653372008703</v>
      </c>
      <c r="AY46" s="366">
        <f>AY15/AY10</f>
        <v>0.41469948099782356</v>
      </c>
      <c r="AZ46" s="367"/>
      <c r="BA46" s="366">
        <f>BA15/BA10</f>
        <v>0.3977050097956899</v>
      </c>
      <c r="BB46" s="366">
        <f>BB15/BB10</f>
        <v>0.40935036694754007</v>
      </c>
      <c r="BC46" s="366">
        <f>BC15/BC10</f>
        <v>0.39317821258593338</v>
      </c>
      <c r="BD46" s="366">
        <f>BD15/BD10</f>
        <v>0.40488936473947179</v>
      </c>
      <c r="BE46" s="367"/>
      <c r="BF46" s="366">
        <f>BF15/BF10</f>
        <v>0.39313835770528682</v>
      </c>
      <c r="BG46" s="366">
        <f>BG15/BG10</f>
        <v>0.38990825688073394</v>
      </c>
      <c r="BH46" s="366">
        <f>BH15/BH10</f>
        <v>0.38589928057553957</v>
      </c>
      <c r="BI46" s="366">
        <f>BI15/BI10</f>
        <v>0.39380358534684334</v>
      </c>
      <c r="BJ46" s="367"/>
      <c r="BK46" s="366">
        <f>BK15/BK10</f>
        <v>0.39820445988995079</v>
      </c>
      <c r="BL46" s="366">
        <f>BL15/BL10</f>
        <v>0.41164658634538154</v>
      </c>
      <c r="BM46" s="366">
        <f>BM15/BM10</f>
        <v>0.39292900258695029</v>
      </c>
      <c r="BN46" s="366">
        <f>BN15/BN10</f>
        <v>0.39924257524416984</v>
      </c>
      <c r="BO46" s="367"/>
      <c r="BP46" s="366">
        <f>BP15/BP10</f>
        <v>0.39167426314190218</v>
      </c>
      <c r="BQ46" s="366">
        <f>BQ15/BQ10</f>
        <v>0.41030867792661618</v>
      </c>
      <c r="BR46" s="366">
        <f>BR15/BR10</f>
        <v>0.40017211703958694</v>
      </c>
      <c r="BS46" s="366">
        <f>BS15/BS10</f>
        <v>0.4100534336037997</v>
      </c>
      <c r="BT46" s="367"/>
      <c r="BU46" s="366">
        <f>BU15/BU10</f>
        <v>0.40309859154929578</v>
      </c>
      <c r="BV46" s="366">
        <f>BV15/BV10</f>
        <v>0.41413013124825465</v>
      </c>
      <c r="BW46" s="366">
        <f>BW15/BW10</f>
        <v>0.40226950354609931</v>
      </c>
      <c r="BX46" s="366">
        <f>BX15/BX10</f>
        <v>0.40976562500000002</v>
      </c>
      <c r="BY46" s="367"/>
      <c r="BZ46" s="366">
        <f>BZ15/BZ10</f>
        <v>0.4023619884647075</v>
      </c>
      <c r="CA46" s="366">
        <f>CA15/CA10</f>
        <v>0.41319348606127521</v>
      </c>
      <c r="CB46" s="366">
        <f>CB15/CB10</f>
        <v>0.40378037803780376</v>
      </c>
      <c r="CC46" s="366">
        <f>CC15/CC10</f>
        <v>0.40883920175530247</v>
      </c>
      <c r="CD46" s="367"/>
      <c r="CE46" s="366">
        <f>CE15/CE10</f>
        <v>0.38836424957841487</v>
      </c>
      <c r="CF46" s="366">
        <f>CF15/CF10</f>
        <v>0.42118432026688907</v>
      </c>
      <c r="CG46" s="366">
        <f>CG15/CG10</f>
        <v>0.40316004077471967</v>
      </c>
      <c r="CH46" s="366">
        <f>CH15/CH10</f>
        <v>0.40943334425155586</v>
      </c>
      <c r="CI46" s="367"/>
      <c r="CJ46" s="366">
        <f>CJ15/CJ10</f>
        <v>0.39807464955244048</v>
      </c>
      <c r="CK46" s="366">
        <f>CK15/CK10</f>
        <v>0.40478615071283097</v>
      </c>
      <c r="CL46" s="366">
        <f>CL15/CL10</f>
        <v>0.39299017947849646</v>
      </c>
      <c r="CM46" s="366">
        <f>CM15/CM10</f>
        <v>0.41575517803118456</v>
      </c>
      <c r="CN46" s="367"/>
      <c r="CO46" s="366">
        <f>CO15/CO10</f>
        <v>0.38628849834696366</v>
      </c>
      <c r="CP46" s="366">
        <f>CP15/CP10</f>
        <v>0.4148303602658272</v>
      </c>
      <c r="CQ46" s="366">
        <f>CQ15/CQ10</f>
        <v>0.39486619333697431</v>
      </c>
      <c r="CR46" s="366">
        <f>CR15/CR10</f>
        <v>0.39349634484497104</v>
      </c>
      <c r="CS46" s="367"/>
      <c r="CT46" s="366">
        <f>CT15/CT10</f>
        <v>0.37991679273827533</v>
      </c>
      <c r="CU46" s="366">
        <f>CU15/CU10</f>
        <v>0.41021759697256388</v>
      </c>
      <c r="CV46" s="366">
        <f>CV15/CV10</f>
        <v>0.3981429897864438</v>
      </c>
      <c r="CW46" s="366">
        <f>CW15/CW10</f>
        <v>0.41527025324429884</v>
      </c>
      <c r="CX46" s="367"/>
      <c r="CY46" s="366">
        <f>CY15/CY10</f>
        <v>0.3939720129171152</v>
      </c>
      <c r="CZ46" s="366">
        <f>CZ15/CZ10</f>
        <v>0.41954126783456747</v>
      </c>
      <c r="DA46" s="366">
        <f>DA15/DA10</f>
        <v>0.39943090876756182</v>
      </c>
      <c r="DB46" s="366">
        <f>DB15/DB10</f>
        <v>0.41286733583262791</v>
      </c>
      <c r="DC46" s="367"/>
      <c r="DD46" s="366">
        <f>DD15/DD10</f>
        <v>0.39106809305484802</v>
      </c>
      <c r="DE46" s="366">
        <f>DE15/DE10</f>
        <v>0.41791547398551943</v>
      </c>
      <c r="DF46" s="366">
        <f>DF15/DF10</f>
        <v>0.39449854775328891</v>
      </c>
      <c r="DG46" s="366">
        <f>DG15/DG10</f>
        <v>0.40955983493810177</v>
      </c>
      <c r="DH46" s="367"/>
      <c r="DI46" s="366">
        <f>DI15/DI10</f>
        <v>0.38840957187042163</v>
      </c>
      <c r="DJ46" s="366">
        <f>DJ15/DJ10</f>
        <v>0.41892775416802874</v>
      </c>
      <c r="DK46" s="366">
        <f>DK15/DK10</f>
        <v>0.39555555555555555</v>
      </c>
      <c r="DL46" s="366">
        <f>DL15/DL10</f>
        <v>0.40598930481283424</v>
      </c>
      <c r="DM46" s="367"/>
      <c r="DN46" s="366">
        <f>DN15/DN10</f>
        <v>0.38766243932988886</v>
      </c>
      <c r="DO46" s="366">
        <f>DO15/DO10</f>
        <v>0.41757335970985821</v>
      </c>
      <c r="DP46" s="366">
        <f>DP15/DP10</f>
        <v>0.39181007010834928</v>
      </c>
      <c r="DQ46" s="366">
        <f>DQ15/DQ10</f>
        <v>0.40621603999130623</v>
      </c>
      <c r="DR46" s="367"/>
      <c r="DS46" s="366">
        <f>DS15/DS10</f>
        <v>0.38907469342251949</v>
      </c>
      <c r="DT46" s="366">
        <f>DT15/DT10</f>
        <v>0.4140737194830062</v>
      </c>
      <c r="DU46" s="366">
        <f>DU15/DU10</f>
        <v>0.39209039548022601</v>
      </c>
      <c r="DV46" s="366">
        <f>DV15/DV10</f>
        <v>0.40313968389577104</v>
      </c>
      <c r="DW46" s="367"/>
      <c r="DX46" s="366">
        <f>DX15/DX10</f>
        <v>0.3902439024390244</v>
      </c>
      <c r="DY46" s="366">
        <f>DY15/DY10</f>
        <v>0.40858453473132372</v>
      </c>
      <c r="DZ46" s="366">
        <f>DZ15/DZ10</f>
        <v>0.39785495403472931</v>
      </c>
      <c r="EA46" s="366">
        <f>EA15/EA10</f>
        <v>0.37433758033600179</v>
      </c>
      <c r="EB46" s="261"/>
      <c r="EC46" s="366">
        <f>EC15/EC10</f>
        <v>0.39314166955316937</v>
      </c>
      <c r="ED46" s="366">
        <f>ED15/ED10</f>
        <v>0.40063672922252008</v>
      </c>
      <c r="EE46" s="366">
        <f>EE15/EE10</f>
        <v>0.40354924578527063</v>
      </c>
      <c r="EF46" s="366">
        <f>EF15/EF10</f>
        <v>0.38767139341380524</v>
      </c>
      <c r="EG46" s="261"/>
      <c r="EH46" s="366">
        <f>EH15/EH10</f>
        <v>0.38266068759342303</v>
      </c>
      <c r="EI46" s="366">
        <f>EI15/EI10</f>
        <v>0.39609582963620232</v>
      </c>
      <c r="EJ46" s="366">
        <f>EJ15/EJ10</f>
        <v>0.40363154908265558</v>
      </c>
      <c r="EK46" s="366">
        <f>EK15/EK10</f>
        <v>0.38622996194210585</v>
      </c>
      <c r="EL46" s="366"/>
      <c r="EM46" s="1414">
        <f>EM15/EM10</f>
        <v>0.38339999999999996</v>
      </c>
      <c r="EN46" s="1414">
        <f>EN15/EN10</f>
        <v>0.3963000000000001</v>
      </c>
      <c r="EO46" s="1414">
        <f>EO15/EO10</f>
        <v>0.40349999999999991</v>
      </c>
      <c r="EP46" s="1414">
        <f>EP15/EP10</f>
        <v>0.38590000000000002</v>
      </c>
      <c r="EQ46" s="262"/>
      <c r="ER46" s="369">
        <f>ER15/ER10</f>
        <v>0.40383359126862783</v>
      </c>
      <c r="ES46" s="366">
        <f>ES15/ES10</f>
        <v>0.39535599466954813</v>
      </c>
      <c r="ET46" s="366">
        <f t="shared" ref="ET46:FE46" si="123">ET15/ET10</f>
        <v>0.38522995268101345</v>
      </c>
      <c r="EU46" s="366">
        <f t="shared" si="123"/>
        <v>0.38620822537678351</v>
      </c>
      <c r="EV46" s="366">
        <f t="shared" si="123"/>
        <v>0.38713893679641009</v>
      </c>
      <c r="EW46" s="366"/>
      <c r="EX46" s="366">
        <f t="shared" si="123"/>
        <v>0.38155193649924729</v>
      </c>
      <c r="EY46" s="366">
        <f t="shared" si="123"/>
        <v>0.39203128160183376</v>
      </c>
      <c r="EZ46" s="366">
        <f t="shared" si="123"/>
        <v>0.39553219448094612</v>
      </c>
      <c r="FA46" s="366">
        <f t="shared" si="123"/>
        <v>0.40006508298080051</v>
      </c>
      <c r="FB46" s="366">
        <f t="shared" si="123"/>
        <v>0.40258281864121281</v>
      </c>
      <c r="FC46" s="366">
        <f t="shared" si="123"/>
        <v>0.40167087390311335</v>
      </c>
      <c r="FD46" s="366">
        <f t="shared" si="123"/>
        <v>0.3916376306620209</v>
      </c>
      <c r="FE46" s="366">
        <f t="shared" si="123"/>
        <v>0.40119452828976943</v>
      </c>
      <c r="FF46" s="366">
        <f t="shared" ref="FF46:FK46" si="124">FF15/FF10</f>
        <v>0.40468466130288089</v>
      </c>
      <c r="FG46" s="366">
        <f t="shared" si="124"/>
        <v>0.40758113590263689</v>
      </c>
      <c r="FH46" s="366">
        <f t="shared" si="124"/>
        <v>0.4072353729343457</v>
      </c>
      <c r="FI46" s="369">
        <f t="shared" si="124"/>
        <v>0.40604375231738971</v>
      </c>
      <c r="FJ46" s="366">
        <f t="shared" si="124"/>
        <v>0.40421084634971305</v>
      </c>
      <c r="FK46" s="368">
        <f t="shared" si="124"/>
        <v>0.39703519202956772</v>
      </c>
      <c r="FL46" s="369">
        <f t="shared" ref="FL46:FV46" si="125">FL15/FL10</f>
        <v>0.40246913580246912</v>
      </c>
      <c r="FM46" s="369">
        <f t="shared" si="125"/>
        <v>0.4071111466624005</v>
      </c>
      <c r="FN46" s="366">
        <f t="shared" si="125"/>
        <v>0.4039765195985609</v>
      </c>
      <c r="FO46" s="366">
        <f t="shared" si="125"/>
        <v>0.40265838329841797</v>
      </c>
      <c r="FP46" s="366">
        <f t="shared" si="125"/>
        <v>0.40120296444810427</v>
      </c>
      <c r="FQ46" s="366">
        <f t="shared" si="125"/>
        <v>0.4</v>
      </c>
      <c r="FR46" s="366">
        <f t="shared" si="125"/>
        <v>0.39081945418959341</v>
      </c>
      <c r="FS46" s="366">
        <f t="shared" si="125"/>
        <v>0.39532998842145889</v>
      </c>
      <c r="FT46" s="366">
        <f t="shared" si="125"/>
        <v>0.39138103828422527</v>
      </c>
      <c r="FU46" s="366">
        <f t="shared" si="125"/>
        <v>0.3914733653503677</v>
      </c>
      <c r="FV46" s="366">
        <f t="shared" si="125"/>
        <v>0.38717336535036773</v>
      </c>
      <c r="FW46" s="368">
        <f>FW15/FW10</f>
        <v>0.38353336535036764</v>
      </c>
      <c r="FX46" s="366">
        <f>FX15/FX10</f>
        <v>0.37939336535036772</v>
      </c>
      <c r="FY46" s="1347">
        <f>FY15/FY10</f>
        <v>0.37559336535036769</v>
      </c>
      <c r="GH46" s="314"/>
    </row>
    <row r="47" spans="1:197" x14ac:dyDescent="0.2">
      <c r="A47" s="260" t="s">
        <v>177</v>
      </c>
      <c r="B47" s="261"/>
      <c r="C47" s="366">
        <f>IF(ISERROR(C16/C10),"NA ",C16/C10)</f>
        <v>0.38279428592985676</v>
      </c>
      <c r="D47" s="366">
        <f>IF(ISERROR(D16/D10),"NA ",D16/D10)</f>
        <v>0.40410711991673287</v>
      </c>
      <c r="E47" s="366">
        <f>IF(ISERROR(E16/E10),"NA ",E16/E10)</f>
        <v>0.37126236401073487</v>
      </c>
      <c r="F47" s="366">
        <f>IF(ISERROR(F16/F10),"NA ",F16/F10)</f>
        <v>0.32336892031185249</v>
      </c>
      <c r="G47" s="367"/>
      <c r="H47" s="366">
        <f>IF(ISERROR(H16/H10),"NA ",H16/H10)</f>
        <v>0.37521706468919974</v>
      </c>
      <c r="I47" s="366">
        <f>IF(ISERROR(I16/I10),"NA ",I16/I10)</f>
        <v>0.39432108323421872</v>
      </c>
      <c r="J47" s="366">
        <f>IF(ISERROR(J16/J10),"NA ",J16/J10)</f>
        <v>0.36519669659038179</v>
      </c>
      <c r="K47" s="366">
        <f>IF(ISERROR(K16/K10),"NA ",K16/K10)</f>
        <v>0.305193369130284</v>
      </c>
      <c r="L47" s="367"/>
      <c r="M47" s="366">
        <f>IF(ISERROR(M16/M10),"NA ",M16/M10)</f>
        <v>0.35769529803540817</v>
      </c>
      <c r="N47" s="366">
        <f>IF(ISERROR(N16/N10),"NA ",N16/N10)</f>
        <v>0.38275487712151696</v>
      </c>
      <c r="O47" s="366">
        <f>IF(ISERROR(O16/O10),"NA ",O16/O10)</f>
        <v>0.34365233528884026</v>
      </c>
      <c r="P47" s="366">
        <f>IF(ISERROR(P16/P10),"NA ",P16/P10)</f>
        <v>0.30324335842280281</v>
      </c>
      <c r="Q47" s="367"/>
      <c r="R47" s="366">
        <f>IF(ISERROR(R16/R10),"NA ",R16/R10)</f>
        <v>0.34938333944344918</v>
      </c>
      <c r="S47" s="366">
        <f>IF(ISERROR(S16/S10),"NA ",S16/S10)</f>
        <v>0.35957752441609064</v>
      </c>
      <c r="T47" s="366">
        <f>IF(ISERROR(T16/T10),"NA ",T16/T10)</f>
        <v>0.33788405060036941</v>
      </c>
      <c r="U47" s="366">
        <f>IF(ISERROR(U16/U10),"NA ",U16/U10)</f>
        <v>0.2756778999669442</v>
      </c>
      <c r="V47" s="367"/>
      <c r="W47" s="366">
        <f>IF(ISERROR(W16/W10),"NA ",W16/W10)</f>
        <v>0.32781678621167598</v>
      </c>
      <c r="X47" s="366">
        <f>IF(ISERROR(X16/X10),"NA ",X16/X10)</f>
        <v>0.3350610863980954</v>
      </c>
      <c r="Y47" s="366">
        <f>IF(ISERROR(Y16/Y10),"NA ",Y16/Y10)</f>
        <v>0.31739646493610429</v>
      </c>
      <c r="Z47" s="366">
        <f>IF(ISERROR(Z16/Z10),"NA ",Z16/Z10)</f>
        <v>0.25271490575617311</v>
      </c>
      <c r="AA47" s="367"/>
      <c r="AB47" s="366">
        <f>IF(ISERROR(AB16/AB10),"NA ",AB16/AB10)</f>
        <v>0.35808462232003552</v>
      </c>
      <c r="AC47" s="366">
        <f>IF(ISERROR(AC16/AC10),"NA ",AC16/AC10)</f>
        <v>0.35047161142106986</v>
      </c>
      <c r="AD47" s="366">
        <f>IF(ISERROR(AD16/AD10),"NA ",AD16/AD10)</f>
        <v>0.33217510097410313</v>
      </c>
      <c r="AE47" s="366">
        <f>IF(ISERROR(AE16/AE10),"NA ",AE16/AE10)</f>
        <v>0.25475148504158118</v>
      </c>
      <c r="AF47" s="367"/>
      <c r="AG47" s="366">
        <f>IF(ISERROR(AG16/AG10),"NA ",AG16/AG10)</f>
        <v>0.34933953403823437</v>
      </c>
      <c r="AH47" s="366">
        <f>IF(ISERROR(AH16/AH10),"NA ",AH16/AH10)</f>
        <v>0.33919493331709394</v>
      </c>
      <c r="AI47" s="366">
        <f>IF(ISERROR(AI16/AI10),"NA ",AI16/AI10)</f>
        <v>0.32906514089385164</v>
      </c>
      <c r="AJ47" s="366">
        <f>IF(ISERROR(AJ16/AJ10),"NA ",AJ16/AJ10)</f>
        <v>0.25495591214203445</v>
      </c>
      <c r="AK47" s="367"/>
      <c r="AL47" s="366">
        <f>IF(ISERROR(AL16/AL10),"NA ",AL16/AL10)</f>
        <v>0.3444716305814704</v>
      </c>
      <c r="AM47" s="366">
        <f>IF(ISERROR(AM16/AM10),"NA ",AM16/AM10)</f>
        <v>0.33083236793327153</v>
      </c>
      <c r="AN47" s="366">
        <f>IF(ISERROR(AN16/AN10),"NA ",AN16/AN10)</f>
        <v>0.31803635781212458</v>
      </c>
      <c r="AO47" s="366">
        <f>IF(ISERROR(AO16/AO10),"NA ",AO16/AO10)</f>
        <v>0.24483628438557536</v>
      </c>
      <c r="AP47" s="367"/>
      <c r="AQ47" s="366">
        <f>IF(ISERROR(AQ16/AQ10),"NA ",AQ16/AQ10)</f>
        <v>0.34375930890676198</v>
      </c>
      <c r="AR47" s="366">
        <f>IF(ISERROR(AR16/AR10),"NA ",AR16/AR10)</f>
        <v>0.33333333333333331</v>
      </c>
      <c r="AS47" s="366">
        <f>IF(ISERROR(AS16/AS10),"NA ",AS16/AS10)</f>
        <v>0.32299887260428412</v>
      </c>
      <c r="AT47" s="366">
        <f>IF(ISERROR(AT16/AT10),"NA ",AT16/AT10)</f>
        <v>0.24831148192292413</v>
      </c>
      <c r="AU47" s="367"/>
      <c r="AV47" s="366">
        <f>IF(ISERROR(AV16/AV10),"NA ",AV16/AV10)</f>
        <v>0.33361111111111114</v>
      </c>
      <c r="AW47" s="366">
        <f>IF(ISERROR(AW16/AW10),"NA ",AW16/AW10)</f>
        <v>0.34173739390913632</v>
      </c>
      <c r="AX47" s="366">
        <f>IF(ISERROR(AX16/AX10),"NA ",AX16/AX10)</f>
        <v>0.33381677544114091</v>
      </c>
      <c r="AY47" s="366">
        <f>IF(ISERROR(AY16/AY10),"NA ",AY16/AY10)</f>
        <v>0.27138791227189019</v>
      </c>
      <c r="AZ47" s="367"/>
      <c r="BA47" s="366">
        <f>IF(ISERROR(BA16/BA10),"NA ",BA16/BA10)</f>
        <v>0.32241813602015112</v>
      </c>
      <c r="BB47" s="366">
        <f>IF(ISERROR(BB16/BB10),"NA ",BB16/BB10)</f>
        <v>0.30008154389779834</v>
      </c>
      <c r="BC47" s="366">
        <f>IF(ISERROR(BC16/BC10),"NA ",BC16/BC10)</f>
        <v>0.3220518244315177</v>
      </c>
      <c r="BD47" s="366">
        <f>IF(ISERROR(BD16/BD10),"NA ",BD16/BD10)</f>
        <v>0.25660242683797285</v>
      </c>
      <c r="BE47" s="367"/>
      <c r="BF47" s="366">
        <f>IF(ISERROR(BF16/BF10),"NA ",BF16/BF10)</f>
        <v>0.32845894263217096</v>
      </c>
      <c r="BG47" s="366">
        <f>IF(ISERROR(BG16/BG10),"NA ",BG16/BG10)</f>
        <v>0.31708715596330272</v>
      </c>
      <c r="BH47" s="366">
        <f>IF(ISERROR(BH16/BH10),"NA ",BH16/BH10)</f>
        <v>0.34100719424460429</v>
      </c>
      <c r="BI47" s="366">
        <f>IF(ISERROR(BI16/BI10),"NA ",BI16/BI10)</f>
        <v>0.25038971161340606</v>
      </c>
      <c r="BJ47" s="367"/>
      <c r="BK47" s="366">
        <f>IF(ISERROR(BK16/BK10),"NA ",BK16/BK10)</f>
        <v>0.33420214306400231</v>
      </c>
      <c r="BL47" s="366">
        <f>IF(ISERROR(BL16/BL10),"NA ",BL16/BL10)</f>
        <v>0.32558806655192196</v>
      </c>
      <c r="BM47" s="366">
        <f>IF(ISERROR(BM16/BM10),"NA ",BM16/BM10)</f>
        <v>0.3388904857717735</v>
      </c>
      <c r="BN47" s="366">
        <f>IF(ISERROR(BN16/BN10),"NA ",BN16/BN10)</f>
        <v>0.25931831771975283</v>
      </c>
      <c r="BO47" s="367"/>
      <c r="BP47" s="366">
        <f>IF(ISERROR(BP16/BP10),"NA ",BP16/BP10)</f>
        <v>0.34487997569127926</v>
      </c>
      <c r="BQ47" s="366">
        <f>IF(ISERROR(BQ16/BQ10),"NA ",BQ16/BQ10)</f>
        <v>0.33051834595224228</v>
      </c>
      <c r="BR47" s="366">
        <f>IF(ISERROR(BR16/BR10),"NA ",BR16/BR10)</f>
        <v>0.34222604704532417</v>
      </c>
      <c r="BS47" s="366">
        <f>IF(ISERROR(BS16/BS10),"NA ",BS16/BS10)</f>
        <v>0.25766871165644173</v>
      </c>
      <c r="BT47" s="367"/>
      <c r="BU47" s="366">
        <f>IF(ISERROR(BU16/BU10),"NA ",BU16/BU10)</f>
        <v>0.33661971830985915</v>
      </c>
      <c r="BV47" s="366">
        <f>IF(ISERROR(BV16/BV10),"NA ",BV16/BV10)</f>
        <v>0.33705668807595646</v>
      </c>
      <c r="BW47" s="366">
        <f>IF(ISERROR(BW16/BW10),"NA ",BW16/BW10)</f>
        <v>0.3424113475177305</v>
      </c>
      <c r="BX47" s="366">
        <f>IF(ISERROR(BX16/BX10),"NA ",BX16/BX10)</f>
        <v>0.25820312499999998</v>
      </c>
      <c r="BY47" s="367"/>
      <c r="BZ47" s="366">
        <f>IF(ISERROR(BZ16/BZ10),"NA ",BZ16/BZ10)</f>
        <v>0.33315023345234823</v>
      </c>
      <c r="CA47" s="366">
        <f>IF(ISERROR(CA16/CA10),"NA ",CA16/CA10)</f>
        <v>0.33287330941208942</v>
      </c>
      <c r="CB47" s="366">
        <f>IF(ISERROR(CB16/CB10),"NA ",CB16/CB10)</f>
        <v>0.35517551755175519</v>
      </c>
      <c r="CC47" s="366">
        <f>IF(ISERROR(CC16/CC10),"NA ",CC16/CC10)</f>
        <v>0.27040016717166443</v>
      </c>
      <c r="CD47" s="367"/>
      <c r="CE47" s="366">
        <f>IF(ISERROR(CE16/CE10),"NA ",CE16/CE10)</f>
        <v>0.36323777403035412</v>
      </c>
      <c r="CF47" s="366">
        <f>IF(ISERROR(CF16/CF10),"NA ",CF16/CF10)</f>
        <v>0.35312760633861551</v>
      </c>
      <c r="CG47" s="366">
        <f>IF(ISERROR(CG16/CG10),"NA ",CG16/CG10)</f>
        <v>0.35575942915392456</v>
      </c>
      <c r="CH47" s="366">
        <f>IF(ISERROR(CH16/CH10),"NA ",CH16/CH10)</f>
        <v>0.25253848673435964</v>
      </c>
      <c r="CI47" s="367"/>
      <c r="CJ47" s="366">
        <f>IF(ISERROR(CJ16/CJ10),"NA ",CJ16/CJ10)</f>
        <v>0.35686539435906095</v>
      </c>
      <c r="CK47" s="366">
        <f>IF(ISERROR(CK16/CK10),"NA ",CK16/CK10)</f>
        <v>0.34589273591310249</v>
      </c>
      <c r="CL47" s="366">
        <f>IF(ISERROR(CL16/CL10),"NA ",CL16/CL10)</f>
        <v>0.35912631222485608</v>
      </c>
      <c r="CM47" s="366">
        <f>IF(ISERROR(CM16/CM10),"NA ",CM16/CM10)</f>
        <v>0.2655340935536421</v>
      </c>
      <c r="CN47" s="367"/>
      <c r="CO47" s="366">
        <f>IF(ISERROR(CO16/CO10),"NA ",CO16/CO10)</f>
        <v>0.36192796241517311</v>
      </c>
      <c r="CP47" s="366">
        <f>IF(ISERROR(CP16/CP10),"NA ",CP16/CP10)</f>
        <v>0.35624344176285416</v>
      </c>
      <c r="CQ47" s="366">
        <f>IF(ISERROR(CQ16/CQ10),"NA ",CQ16/CQ10)</f>
        <v>0.37957400327689789</v>
      </c>
      <c r="CR47" s="366">
        <f>IF(ISERROR(CR16/CR10),"NA ",CR16/CR10)</f>
        <v>0.28434585328963952</v>
      </c>
      <c r="CS47" s="367"/>
      <c r="CT47" s="366">
        <f>IF(ISERROR(CT16/CT10),"NA ",CT16/CT10)</f>
        <v>0.37537821482602118</v>
      </c>
      <c r="CU47" s="366">
        <f>IF(ISERROR(CU16/CU10),"NA ",CU16/CU10)</f>
        <v>0.35685903500473037</v>
      </c>
      <c r="CV47" s="366">
        <f>IF(ISERROR(CV16/CV10),"NA ",CV16/CV10)</f>
        <v>0.38180129990714951</v>
      </c>
      <c r="CW47" s="366">
        <f>IF(ISERROR(CW16/CW10),"NA ",CW16/CW10)</f>
        <v>0.28171853345092607</v>
      </c>
      <c r="CX47" s="367"/>
      <c r="CY47" s="366">
        <f>IF(ISERROR(CY16/CY10),"NA ",CY16/CY10)</f>
        <v>0.35755292429135271</v>
      </c>
      <c r="CZ47" s="366">
        <f>IF(ISERROR(CZ16/CZ10),"NA ",CZ16/CZ10)</f>
        <v>0.3527180783817952</v>
      </c>
      <c r="DA47" s="366">
        <f>IF(ISERROR(DA16/DA10),"NA ",DA16/DA10)</f>
        <v>0.36795304997332384</v>
      </c>
      <c r="DB47" s="366">
        <f>IF(ISERROR(DB16/DB10),"NA ",DB16/DB10)</f>
        <v>0.27149594872415045</v>
      </c>
      <c r="DC47" s="367"/>
      <c r="DD47" s="366">
        <f>IF(ISERROR(DD16/DD10),"NA ",DD16/DD10)</f>
        <v>0.33503141450161317</v>
      </c>
      <c r="DE47" s="366">
        <f>IF(ISERROR(DE16/DE10),"NA ",DE16/DE10)</f>
        <v>0.33271594544536115</v>
      </c>
      <c r="DF47" s="366">
        <f>IF(ISERROR(DF16/DF10),"NA ",DF16/DF10)</f>
        <v>0.34478045446779432</v>
      </c>
      <c r="DG47" s="366">
        <f>IF(ISERROR(DG16/DG10),"NA ",DG16/DG10)</f>
        <v>0.26524530032095367</v>
      </c>
      <c r="DH47" s="367"/>
      <c r="DI47" s="366">
        <f>IF(ISERROR(DI16/DI10),"NA ",DI16/DI10)</f>
        <v>0.32475988930489991</v>
      </c>
      <c r="DJ47" s="366">
        <f>IF(ISERROR(DJ16/DJ10),"NA ",DJ16/DJ10)</f>
        <v>0.32837528604118993</v>
      </c>
      <c r="DK47" s="366">
        <f>IF(ISERROR(DK16/DK10),"NA ",DK16/DK10)</f>
        <v>0.34205761316872429</v>
      </c>
      <c r="DL47" s="366">
        <f>IF(ISERROR(DL16/DL10),"NA ",DL16/DL10)</f>
        <v>0.25668449197860965</v>
      </c>
      <c r="DM47" s="367"/>
      <c r="DN47" s="366">
        <f>IF(ISERROR(DN16/DN10),"NA ",DN16/DN10)</f>
        <v>0.31955534679818381</v>
      </c>
      <c r="DO47" s="366">
        <f>IF(ISERROR(DO16/DO10),"NA ",DO16/DO10)</f>
        <v>0.32954170787998682</v>
      </c>
      <c r="DP47" s="366">
        <f>IF(ISERROR(DP16/DP10),"NA ",DP16/DP10)</f>
        <v>0.33444869343530914</v>
      </c>
      <c r="DQ47" s="366">
        <f>IF(ISERROR(DQ16/DQ10),"NA ",DQ16/DQ10)</f>
        <v>0.25005433601391003</v>
      </c>
      <c r="DR47" s="367"/>
      <c r="DS47" s="366">
        <f>IF(ISERROR(DS16/DS10),"NA ",DS16/DS10)</f>
        <v>0.31852205765249242</v>
      </c>
      <c r="DT47" s="366">
        <f>IF(ISERROR(DT16/DT10),"NA ",DT16/DT10)</f>
        <v>0.32296154459869159</v>
      </c>
      <c r="DU47" s="366">
        <f>IF(ISERROR(DU16/DU10),"NA ",DU16/DU10)</f>
        <v>0.32397094430992734</v>
      </c>
      <c r="DV47" s="366">
        <f>IF(ISERROR(DV16/DV10),"NA ",DV16/DV10)</f>
        <v>0.24818453652285349</v>
      </c>
      <c r="DW47" s="367"/>
      <c r="DX47" s="366">
        <f>IF(ISERROR(DX16/DX10),"NA ",DX16/DX10)</f>
        <v>0.32461489088575096</v>
      </c>
      <c r="DY47" s="366">
        <f>IF(ISERROR(DY16/DY10),"NA ",DY16/DY10)</f>
        <v>0.33715596330275227</v>
      </c>
      <c r="DZ47" s="366">
        <f>IF(ISERROR(DZ16/DZ10),"NA ",DZ16/DZ10)</f>
        <v>0.33503575076608783</v>
      </c>
      <c r="EA47" s="366">
        <f>IF(ISERROR(EA16/EA10),"NA ",EA16/EA10)</f>
        <v>0.24884428909685422</v>
      </c>
      <c r="EB47" s="261"/>
      <c r="EC47" s="366">
        <f>IF(ISERROR(EC16/EC10),"NA ",EC16/EC10)</f>
        <v>0.370973328714929</v>
      </c>
      <c r="ED47" s="366">
        <f>IF(ISERROR(ED16/ED10),"NA ",ED16/ED10)</f>
        <v>0.36892593833780163</v>
      </c>
      <c r="EE47" s="366">
        <f>IF(ISERROR(EE16/EE10),"NA ",EE16/EE10)</f>
        <v>0.40279503105590064</v>
      </c>
      <c r="EF47" s="366">
        <f>IF(ISERROR(EF16/EF10),"NA ",EF16/EF10)</f>
        <v>0.28533341146138519</v>
      </c>
      <c r="EG47" s="261"/>
      <c r="EH47" s="366">
        <f>IF(ISERROR(EH16/EH10),"NA ",EH16/EH10)</f>
        <v>0.37182361733931241</v>
      </c>
      <c r="EI47" s="366">
        <f>IF(ISERROR(EI16/EI10),"NA ",EI16/EI10)</f>
        <v>0.37551020408163266</v>
      </c>
      <c r="EJ47" s="366">
        <f>IF(ISERROR(EJ16/EJ10),"NA ",EJ16/EJ10)</f>
        <v>0.40155097408738416</v>
      </c>
      <c r="EK47" s="366">
        <f>IF(ISERROR(EK16/EK10),"NA ",EK16/EK10)</f>
        <v>0.25141275516088107</v>
      </c>
      <c r="EL47" s="366"/>
      <c r="EM47" s="1414">
        <f>IF(ISERROR(EM16/EM10),"NA ",EM16/EM10)</f>
        <v>0.37237493546002887</v>
      </c>
      <c r="EN47" s="1414">
        <f>IF(ISERROR(EN16/EN10),"NA ",EN16/EN10)</f>
        <v>0.38014578956554634</v>
      </c>
      <c r="EO47" s="1414">
        <f>IF(ISERROR(EO16/EO10),"NA ",EO16/EO10)</f>
        <v>0.39791799038578796</v>
      </c>
      <c r="EP47" s="1414">
        <f>IF(ISERROR(EP16/EP10),"NA ",EP16/EP10)</f>
        <v>0.29132744862904353</v>
      </c>
      <c r="EQ47" s="262"/>
      <c r="ER47" s="369">
        <f>IF(ISERROR(ER16/ER10),"NA ",ER16/ER10)</f>
        <v>0.34190736900208624</v>
      </c>
      <c r="ES47" s="366">
        <f>IF(ISERROR(ES16/ES10),"NA ",ES16/ES10)</f>
        <v>0.32472183745109906</v>
      </c>
      <c r="ET47" s="366">
        <f t="shared" ref="ET47:FE47" si="126">IF(ISERROR(ET16/ET10),"NA ",ET16/ET10)</f>
        <v>0.30205046346554137</v>
      </c>
      <c r="EU47" s="366">
        <f t="shared" si="126"/>
        <v>0.33637419260664891</v>
      </c>
      <c r="EV47" s="366">
        <f t="shared" si="126"/>
        <v>0.31608245843666333</v>
      </c>
      <c r="EW47" s="366"/>
      <c r="EX47" s="366">
        <f t="shared" si="126"/>
        <v>0.33618448063500755</v>
      </c>
      <c r="EY47" s="366">
        <f t="shared" si="126"/>
        <v>0.33182768152093306</v>
      </c>
      <c r="EZ47" s="366">
        <f t="shared" si="126"/>
        <v>0.30742444152431014</v>
      </c>
      <c r="FA47" s="366">
        <f t="shared" si="126"/>
        <v>0.30536934591604298</v>
      </c>
      <c r="FB47" s="366">
        <f t="shared" si="126"/>
        <v>0.29696175681577142</v>
      </c>
      <c r="FC47" s="366">
        <f t="shared" si="126"/>
        <v>0.29522779180189929</v>
      </c>
      <c r="FD47" s="366">
        <f t="shared" si="126"/>
        <v>0.30446626544187522</v>
      </c>
      <c r="FE47" s="366">
        <f t="shared" si="126"/>
        <v>0.31057735534005521</v>
      </c>
      <c r="FF47" s="366">
        <f t="shared" ref="FF47:FK47" si="127">IF(ISERROR(FF16/FF10),"NA ",FF16/FF10)</f>
        <v>0.31384635349078638</v>
      </c>
      <c r="FG47" s="366">
        <f t="shared" si="127"/>
        <v>0.31256338742393508</v>
      </c>
      <c r="FH47" s="366">
        <f t="shared" si="127"/>
        <v>0.311746315319339</v>
      </c>
      <c r="FI47" s="369">
        <f t="shared" si="127"/>
        <v>0.32176492398961809</v>
      </c>
      <c r="FJ47" s="366">
        <f t="shared" si="127"/>
        <v>0.32508645916467144</v>
      </c>
      <c r="FK47" s="368">
        <f t="shared" si="127"/>
        <v>0.33978788365739998</v>
      </c>
      <c r="FL47" s="369">
        <f t="shared" ref="FL47:FR47" si="128">IF(ISERROR(FL16/FL10),"NA ",FL16/FL10)</f>
        <v>0.34161958568738232</v>
      </c>
      <c r="FM47" s="369">
        <f t="shared" si="128"/>
        <v>0.33036035675718911</v>
      </c>
      <c r="FN47" s="366">
        <f t="shared" si="128"/>
        <v>0.31361484567316794</v>
      </c>
      <c r="FO47" s="366">
        <f t="shared" si="128"/>
        <v>0.30636422740735392</v>
      </c>
      <c r="FP47" s="366">
        <f t="shared" si="128"/>
        <v>0.30217321255952168</v>
      </c>
      <c r="FQ47" s="366">
        <f t="shared" si="128"/>
        <v>0.29727806440135207</v>
      </c>
      <c r="FR47" s="366">
        <f t="shared" si="128"/>
        <v>0.3048857047896894</v>
      </c>
      <c r="FS47" s="366">
        <f t="shared" ref="FS47:FX47" si="129">IF(ISERROR(FS16/FS10),"NA ",FS16/FS10)</f>
        <v>0.3492184484754921</v>
      </c>
      <c r="FT47" s="366">
        <f t="shared" si="129"/>
        <v>0.33710162357185808</v>
      </c>
      <c r="FU47" s="366">
        <f t="shared" si="129"/>
        <v>0.35165578766783268</v>
      </c>
      <c r="FV47" s="366">
        <f t="shared" si="129"/>
        <v>0.36101831712593302</v>
      </c>
      <c r="FW47" s="368">
        <f t="shared" si="129"/>
        <v>0.37104174792156402</v>
      </c>
      <c r="FX47" s="366">
        <f t="shared" si="129"/>
        <v>0.37890377027673589</v>
      </c>
      <c r="FY47" s="1347">
        <f t="shared" ref="FY47" si="130">IF(ISERROR(FY16/FY10),"NA ",FY16/FY10)</f>
        <v>0.38701767772557089</v>
      </c>
      <c r="GH47" s="314"/>
    </row>
    <row r="48" spans="1:197" x14ac:dyDescent="0.2">
      <c r="A48" s="260" t="s">
        <v>178</v>
      </c>
      <c r="B48" s="261"/>
      <c r="C48" s="366">
        <f>C17/C10</f>
        <v>1.6629151314714041E-2</v>
      </c>
      <c r="D48" s="366">
        <f>D17/D10</f>
        <v>-2.6258248715992489E-2</v>
      </c>
      <c r="E48" s="366">
        <f>E17/E10</f>
        <v>2.3944635033584606E-2</v>
      </c>
      <c r="F48" s="366">
        <f>F17/F10</f>
        <v>4.7141382083007131E-2</v>
      </c>
      <c r="G48" s="367"/>
      <c r="H48" s="366">
        <f>H17/H10</f>
        <v>2.6057176423778111E-2</v>
      </c>
      <c r="I48" s="366">
        <f>I17/I10</f>
        <v>5.6888115137426025E-3</v>
      </c>
      <c r="J48" s="366">
        <f>J17/J10</f>
        <v>3.1170325255822338E-2</v>
      </c>
      <c r="K48" s="366">
        <f>K17/K10</f>
        <v>7.6689812862537954E-2</v>
      </c>
      <c r="L48" s="367"/>
      <c r="M48" s="366">
        <f>M17/M10</f>
        <v>5.3864986645255068E-2</v>
      </c>
      <c r="N48" s="366">
        <f>N17/N10</f>
        <v>2.1736713669665054E-2</v>
      </c>
      <c r="O48" s="366">
        <f>O17/O10</f>
        <v>6.1917365627611451E-2</v>
      </c>
      <c r="P48" s="366">
        <f>P17/P10</f>
        <v>9.3424602062388007E-2</v>
      </c>
      <c r="Q48" s="367"/>
      <c r="R48" s="366">
        <f>R17/R10</f>
        <v>5.4570356149532914E-2</v>
      </c>
      <c r="S48" s="366">
        <f>S17/S10</f>
        <v>4.1293680040045563E-2</v>
      </c>
      <c r="T48" s="366">
        <f>T17/T10</f>
        <v>6.0012909968339807E-2</v>
      </c>
      <c r="U48" s="366">
        <f>U17/U10</f>
        <v>0.10838774480904291</v>
      </c>
      <c r="V48" s="367"/>
      <c r="W48" s="366">
        <f>W17/W10</f>
        <v>6.5678497802714245E-2</v>
      </c>
      <c r="X48" s="366">
        <f>X17/X10</f>
        <v>5.424096234571759E-2</v>
      </c>
      <c r="Y48" s="366">
        <f>Y17/Y10</f>
        <v>6.8868716236309635E-2</v>
      </c>
      <c r="Z48" s="366">
        <f>Z17/Z10</f>
        <v>0.12375861094812783</v>
      </c>
      <c r="AA48" s="367"/>
      <c r="AB48" s="366">
        <f>AB17/AB10</f>
        <v>3.2090631678785023E-2</v>
      </c>
      <c r="AC48" s="366">
        <f>AC17/AC10</f>
        <v>3.8135214965539906E-2</v>
      </c>
      <c r="AD48" s="366">
        <f>AD17/AD10</f>
        <v>5.5975831011468857E-2</v>
      </c>
      <c r="AE48" s="366">
        <f>AE17/AE10</f>
        <v>0.12873290852143857</v>
      </c>
      <c r="AF48" s="367"/>
      <c r="AG48" s="366">
        <f>AG17/AG10</f>
        <v>4.0290544429969356E-2</v>
      </c>
      <c r="AH48" s="366">
        <f>AH17/AH10</f>
        <v>5.3176724925400341E-2</v>
      </c>
      <c r="AI48" s="366">
        <f>AI17/AI10</f>
        <v>6.41622565182456E-2</v>
      </c>
      <c r="AJ48" s="366">
        <f>AJ17/AJ10</f>
        <v>0.13167434563291888</v>
      </c>
      <c r="AK48" s="367"/>
      <c r="AL48" s="366">
        <f>AL17/AL10</f>
        <v>4.3293140878953293E-2</v>
      </c>
      <c r="AM48" s="366">
        <f>AM17/AM10</f>
        <v>6.1350498146431981E-2</v>
      </c>
      <c r="AN48" s="366">
        <f>AN17/AN10</f>
        <v>7.1483676356744366E-2</v>
      </c>
      <c r="AO48" s="366">
        <f>AO17/AO10</f>
        <v>0.14088688875907193</v>
      </c>
      <c r="AP48" s="367"/>
      <c r="AQ48" s="366">
        <f>AQ17/AQ10</f>
        <v>5.391718796544534E-2</v>
      </c>
      <c r="AR48" s="366">
        <f>AR17/AR10</f>
        <v>7.7933450087565678E-2</v>
      </c>
      <c r="AS48" s="366">
        <f>AS17/AS10</f>
        <v>7.243517474633597E-2</v>
      </c>
      <c r="AT48" s="366">
        <f>AT17/AT10</f>
        <v>0.14898688915375446</v>
      </c>
      <c r="AU48" s="367"/>
      <c r="AV48" s="366">
        <f>AV17/AV10</f>
        <v>6.25E-2</v>
      </c>
      <c r="AW48" s="366">
        <f>AW17/AW10</f>
        <v>7.9380928607089368E-2</v>
      </c>
      <c r="AX48" s="366">
        <f>AX17/AX10</f>
        <v>7.29997582789461E-2</v>
      </c>
      <c r="AY48" s="366">
        <f>AY17/AY10</f>
        <v>0.14331156872593337</v>
      </c>
      <c r="AZ48" s="367"/>
      <c r="BA48" s="366">
        <f>BA17/BA10</f>
        <v>7.5286873775538762E-2</v>
      </c>
      <c r="BB48" s="366">
        <f>BB17/BB10</f>
        <v>0.10926882304974178</v>
      </c>
      <c r="BC48" s="366">
        <f>BC17/BC10</f>
        <v>7.112638815441566E-2</v>
      </c>
      <c r="BD48" s="366">
        <f>BD17/BD10</f>
        <v>0.14828693790149894</v>
      </c>
      <c r="BE48" s="367"/>
      <c r="BF48" s="366">
        <f>BF17/BF10</f>
        <v>6.4679415073115865E-2</v>
      </c>
      <c r="BG48" s="366">
        <f>BG17/BG10</f>
        <v>7.2821100917431186E-2</v>
      </c>
      <c r="BH48" s="366">
        <f>BH17/BH10</f>
        <v>4.4892086330935249E-2</v>
      </c>
      <c r="BI48" s="366">
        <f>BI17/BI10</f>
        <v>0.14341387373343725</v>
      </c>
      <c r="BJ48" s="367"/>
      <c r="BK48" s="366">
        <f>BK17/BK10</f>
        <v>6.4002316825948452E-2</v>
      </c>
      <c r="BL48" s="366">
        <f>BL17/BL10</f>
        <v>8.6058519793459548E-2</v>
      </c>
      <c r="BM48" s="366">
        <f>BM17/BM10</f>
        <v>5.4038516815176775E-2</v>
      </c>
      <c r="BN48" s="366">
        <f>BN17/BN10</f>
        <v>0.13992425752441698</v>
      </c>
      <c r="BO48" s="367"/>
      <c r="BP48" s="366">
        <f>BP17/BP10</f>
        <v>4.6794287450622911E-2</v>
      </c>
      <c r="BQ48" s="366">
        <f>BQ17/BQ10</f>
        <v>7.9790331974373907E-2</v>
      </c>
      <c r="BR48" s="366">
        <f>BR17/BR10</f>
        <v>5.7946069994262765E-2</v>
      </c>
      <c r="BS48" s="366">
        <f>BS17/BS10</f>
        <v>0.152384721947358</v>
      </c>
      <c r="BT48" s="367"/>
      <c r="BU48" s="366">
        <f>BU17/BU10</f>
        <v>6.6478873239436617E-2</v>
      </c>
      <c r="BV48" s="366">
        <f>BV17/BV10</f>
        <v>7.7073443172298237E-2</v>
      </c>
      <c r="BW48" s="366">
        <f>BW17/BW10</f>
        <v>5.9858156028368796E-2</v>
      </c>
      <c r="BX48" s="366">
        <f>BX17/BX10</f>
        <v>0.15156249999999999</v>
      </c>
      <c r="BY48" s="367"/>
      <c r="BZ48" s="366">
        <f>BZ17/BZ10</f>
        <v>6.9211755012359238E-2</v>
      </c>
      <c r="CA48" s="366">
        <f>CA17/CA10</f>
        <v>8.0320176649185754E-2</v>
      </c>
      <c r="CB48" s="366">
        <f>CB17/CB10</f>
        <v>4.8604860486048604E-2</v>
      </c>
      <c r="CC48" s="366">
        <f>CC17/CC10</f>
        <v>0.13843903458363807</v>
      </c>
      <c r="CD48" s="367"/>
      <c r="CE48" s="366">
        <f>CE17/CE10</f>
        <v>2.5126475548060707E-2</v>
      </c>
      <c r="CF48" s="366">
        <f>CF17/CF10</f>
        <v>6.805671392827356E-2</v>
      </c>
      <c r="CG48" s="366">
        <f>CG17/CG10</f>
        <v>4.7400611620795105E-2</v>
      </c>
      <c r="CH48" s="366">
        <f>CH17/CH10</f>
        <v>0.1568948575171962</v>
      </c>
      <c r="CI48" s="367"/>
      <c r="CJ48" s="366">
        <f>CJ17/CJ10</f>
        <v>4.12092551933795E-2</v>
      </c>
      <c r="CK48" s="366">
        <f>CK17/CK10</f>
        <v>5.8893414799728448E-2</v>
      </c>
      <c r="CL48" s="366">
        <f>CL17/CL10</f>
        <v>3.3863867253640365E-2</v>
      </c>
      <c r="CM48" s="366">
        <f>CM17/CM10</f>
        <v>0.15022108447754248</v>
      </c>
      <c r="CN48" s="367"/>
      <c r="CO48" s="366">
        <f>CO17/CO10</f>
        <v>2.4360535931790498E-2</v>
      </c>
      <c r="CP48" s="366">
        <f>CP17/CP10</f>
        <v>5.8586918502973068E-2</v>
      </c>
      <c r="CQ48" s="366">
        <f>CQ17/CQ10</f>
        <v>1.5292190060076462E-2</v>
      </c>
      <c r="CR48" s="366">
        <f>CR17/CR10</f>
        <v>0.10915049155533149</v>
      </c>
      <c r="CS48" s="367"/>
      <c r="CT48" s="366">
        <f>CT17/CT10</f>
        <v>4.5385779122541605E-3</v>
      </c>
      <c r="CU48" s="366">
        <f>CU17/CU10</f>
        <v>5.3358561967833493E-2</v>
      </c>
      <c r="CV48" s="366">
        <f>CV17/CV10</f>
        <v>1.6341689879294335E-2</v>
      </c>
      <c r="CW48" s="366">
        <f>CW17/CW10</f>
        <v>0.1335517197933728</v>
      </c>
      <c r="CX48" s="367"/>
      <c r="CY48" s="366">
        <f>CY17/CY10</f>
        <v>3.6419088625762472E-2</v>
      </c>
      <c r="CZ48" s="366">
        <f>CZ17/CZ10</f>
        <v>6.6823189452772255E-2</v>
      </c>
      <c r="DA48" s="366">
        <f>DA17/DA10</f>
        <v>3.1477858794237951E-2</v>
      </c>
      <c r="DB48" s="366">
        <f>DB17/DB10</f>
        <v>0.14137138710847744</v>
      </c>
      <c r="DC48" s="367"/>
      <c r="DD48" s="366">
        <f>DD17/DD10</f>
        <v>5.6036678553234846E-2</v>
      </c>
      <c r="DE48" s="366">
        <f>DE17/DE10</f>
        <v>8.5199528540158276E-2</v>
      </c>
      <c r="DF48" s="366">
        <f>DF17/DF10</f>
        <v>4.9718093285494619E-2</v>
      </c>
      <c r="DG48" s="366">
        <f>DG17/DG10</f>
        <v>0.1443145346171481</v>
      </c>
      <c r="DH48" s="367"/>
      <c r="DI48" s="366">
        <f>DI17/DI10</f>
        <v>6.3649682565521726E-2</v>
      </c>
      <c r="DJ48" s="366">
        <f>DJ17/DJ10</f>
        <v>9.0552468126838842E-2</v>
      </c>
      <c r="DK48" s="366">
        <f>DK17/DK10</f>
        <v>5.3497942386831275E-2</v>
      </c>
      <c r="DL48" s="366">
        <f>DL17/DL10</f>
        <v>0.14930481283422459</v>
      </c>
      <c r="DM48" s="367"/>
      <c r="DN48" s="366">
        <f>DN17/DN10</f>
        <v>6.8107092531705021E-2</v>
      </c>
      <c r="DO48" s="366">
        <f>DO17/DO10</f>
        <v>8.803165182987141E-2</v>
      </c>
      <c r="DP48" s="366">
        <f>DP17/DP10</f>
        <v>5.736137667304015E-2</v>
      </c>
      <c r="DQ48" s="366">
        <f>DQ17/DQ10</f>
        <v>0.1561617039773962</v>
      </c>
      <c r="DR48" s="367"/>
      <c r="DS48" s="366">
        <f>DS17/DS10</f>
        <v>7.0552635770027072E-2</v>
      </c>
      <c r="DT48" s="366">
        <f>DT17/DT10</f>
        <v>9.1112174884314667E-2</v>
      </c>
      <c r="DU48" s="366">
        <f>DU17/DU10</f>
        <v>6.8119451170298634E-2</v>
      </c>
      <c r="DV48" s="366">
        <f>DV17/DV10</f>
        <v>0.15495514737291755</v>
      </c>
      <c r="DW48" s="367"/>
      <c r="DX48" s="366">
        <f>DX17/DX10</f>
        <v>6.5629011553273428E-2</v>
      </c>
      <c r="DY48" s="366">
        <f>DY17/DY10</f>
        <v>7.1428571428571425E-2</v>
      </c>
      <c r="DZ48" s="366">
        <f>DZ17/DZ10</f>
        <v>6.2819203268641474E-2</v>
      </c>
      <c r="EA48" s="366">
        <f>EA17/EA10</f>
        <v>0.1254932912391476</v>
      </c>
      <c r="EB48" s="261"/>
      <c r="EC48" s="366">
        <f>EC17/EC10</f>
        <v>5.0225147211638378E-2</v>
      </c>
      <c r="ED48" s="366">
        <f>ED17/ED10</f>
        <v>5.8101541554959786E-2</v>
      </c>
      <c r="EE48" s="366">
        <f>EE17/EE10</f>
        <v>2.6752440106477374E-2</v>
      </c>
      <c r="EF48" s="366">
        <f>EF17/EF10</f>
        <v>0.12460447673737256</v>
      </c>
      <c r="EG48" s="261"/>
      <c r="EH48" s="366">
        <f>EH17/EH10</f>
        <v>4.0919282511210762E-2</v>
      </c>
      <c r="EI48" s="366">
        <f>EI17/EI10</f>
        <v>5.0221827861579416E-2</v>
      </c>
      <c r="EJ48" s="366">
        <f>EJ17/EJ10</f>
        <v>2.9506336296576507E-2</v>
      </c>
      <c r="EK48" s="366">
        <f>EK17/EK10</f>
        <v>0.16122707876830816</v>
      </c>
      <c r="EL48" s="366"/>
      <c r="EM48" s="1414">
        <f>EM17/EM10</f>
        <v>3.9249541709755975E-2</v>
      </c>
      <c r="EN48" s="1414">
        <f>EN17/EN10</f>
        <v>4.4665144651869708E-2</v>
      </c>
      <c r="EO48" s="1414">
        <f>EO17/EO10</f>
        <v>3.1065372376110185E-2</v>
      </c>
      <c r="EP48" s="1414">
        <f>EP17/EP10</f>
        <v>0.11995156330582049</v>
      </c>
      <c r="EQ48" s="262"/>
      <c r="ER48" s="369">
        <f>ER17/ER10</f>
        <v>6.192622226654157E-2</v>
      </c>
      <c r="ES48" s="366">
        <f>ES17/ES10</f>
        <v>7.0634157218449081E-2</v>
      </c>
      <c r="ET48" s="366">
        <f t="shared" ref="ET48:FK48" si="131">ET17/ET10</f>
        <v>8.3179489215472066E-2</v>
      </c>
      <c r="EU48" s="366">
        <f t="shared" si="131"/>
        <v>4.9834032770134616E-2</v>
      </c>
      <c r="EV48" s="366">
        <f t="shared" si="131"/>
        <v>7.1056478359746725E-2</v>
      </c>
      <c r="EW48" s="366"/>
      <c r="EX48" s="366">
        <f t="shared" si="131"/>
        <v>4.5367455864239771E-2</v>
      </c>
      <c r="EY48" s="366">
        <f t="shared" si="131"/>
        <v>6.0203600080900692E-2</v>
      </c>
      <c r="EZ48" s="366">
        <f t="shared" si="131"/>
        <v>8.8107752956636004E-2</v>
      </c>
      <c r="FA48" s="366">
        <f t="shared" si="131"/>
        <v>9.4695737064757562E-2</v>
      </c>
      <c r="FB48" s="366">
        <f t="shared" si="131"/>
        <v>0.10562106182544138</v>
      </c>
      <c r="FC48" s="366">
        <f t="shared" si="131"/>
        <v>0.10644308210121409</v>
      </c>
      <c r="FD48" s="366">
        <f t="shared" si="131"/>
        <v>8.7171365220145708E-2</v>
      </c>
      <c r="FE48" s="366">
        <f t="shared" si="131"/>
        <v>9.0617172949714206E-2</v>
      </c>
      <c r="FF48" s="366">
        <f t="shared" si="131"/>
        <v>9.0838307812094468E-2</v>
      </c>
      <c r="FG48" s="366">
        <f t="shared" si="131"/>
        <v>9.5017748478701827E-2</v>
      </c>
      <c r="FH48" s="366">
        <f t="shared" si="131"/>
        <v>9.5489057615006701E-2</v>
      </c>
      <c r="FI48" s="369">
        <f t="shared" si="131"/>
        <v>8.4278828327771602E-2</v>
      </c>
      <c r="FJ48" s="366">
        <f t="shared" si="131"/>
        <v>7.9124387185041611E-2</v>
      </c>
      <c r="FK48" s="368">
        <f t="shared" si="131"/>
        <v>5.7247308372167766E-2</v>
      </c>
      <c r="FL48" s="369">
        <f t="shared" ref="FL48:FR48" si="132">FL17/FL10</f>
        <v>6.0849550115086838E-2</v>
      </c>
      <c r="FM48" s="369">
        <f t="shared" si="132"/>
        <v>7.6750789905211378E-2</v>
      </c>
      <c r="FN48" s="366">
        <f t="shared" si="132"/>
        <v>9.0361673925392919E-2</v>
      </c>
      <c r="FO48" s="366">
        <f t="shared" si="132"/>
        <v>9.6294155891064076E-2</v>
      </c>
      <c r="FP48" s="366">
        <f t="shared" si="132"/>
        <v>9.9029751888582582E-2</v>
      </c>
      <c r="FQ48" s="366">
        <f t="shared" si="132"/>
        <v>0.10272193559864792</v>
      </c>
      <c r="FR48" s="366">
        <f t="shared" si="132"/>
        <v>8.5933749399903989E-2</v>
      </c>
      <c r="FS48" s="366">
        <f t="shared" ref="FS48:FX48" si="133">FS17/FS10</f>
        <v>7.1429949826321879E-2</v>
      </c>
      <c r="FT48" s="366">
        <f t="shared" si="133"/>
        <v>8.2421326919222285E-2</v>
      </c>
      <c r="FU48" s="366">
        <f t="shared" si="133"/>
        <v>6.6532829183414979E-2</v>
      </c>
      <c r="FV48" s="366">
        <f t="shared" si="133"/>
        <v>5.3891508859669805E-2</v>
      </c>
      <c r="FW48" s="368">
        <f t="shared" si="133"/>
        <v>4.1292996890280272E-2</v>
      </c>
      <c r="FX48" s="366">
        <f t="shared" si="133"/>
        <v>3.0372122625957457E-2</v>
      </c>
      <c r="FY48" s="1347">
        <f t="shared" ref="FY48" si="134">FY17/FY10</f>
        <v>1.9585451445903661E-2</v>
      </c>
      <c r="GH48" s="549"/>
    </row>
    <row r="49" spans="1:190" x14ac:dyDescent="0.2">
      <c r="A49" s="260" t="s">
        <v>179</v>
      </c>
      <c r="B49" s="261"/>
      <c r="C49" s="366">
        <f>C24/C10</f>
        <v>-9.0163223218439878E-2</v>
      </c>
      <c r="D49" s="366">
        <f>D24/D10</f>
        <v>-0.12220487490266711</v>
      </c>
      <c r="E49" s="366">
        <f>E24/E10</f>
        <v>-6.8728084842250486E-2</v>
      </c>
      <c r="F49" s="366">
        <f>F24/F10</f>
        <v>-4.2722085061616032E-2</v>
      </c>
      <c r="G49" s="367"/>
      <c r="H49" s="366">
        <f>H24/H10</f>
        <v>-5.3355708699343932E-2</v>
      </c>
      <c r="I49" s="366">
        <f>I24/I10</f>
        <v>-0.14065250514292904</v>
      </c>
      <c r="J49" s="366">
        <f>J24/J10</f>
        <v>-4.6809031067335055E-2</v>
      </c>
      <c r="K49" s="366">
        <f>K24/K10</f>
        <v>-0.69561674772520665</v>
      </c>
      <c r="L49" s="367"/>
      <c r="M49" s="366">
        <f>M24/M10</f>
        <v>1.4618324059028211E-2</v>
      </c>
      <c r="N49" s="366">
        <f>N24/N10</f>
        <v>-1.5426032725505995E-2</v>
      </c>
      <c r="O49" s="366">
        <f>O24/O10</f>
        <v>3.1043089160492199E-2</v>
      </c>
      <c r="P49" s="366">
        <f>P24/P10</f>
        <v>7.7794891155674673E-2</v>
      </c>
      <c r="Q49" s="367"/>
      <c r="R49" s="366">
        <f>R24/R10</f>
        <v>2.4938704953092587E-2</v>
      </c>
      <c r="S49" s="366">
        <f>S24/S10</f>
        <v>1.2042298147891728E-2</v>
      </c>
      <c r="T49" s="366">
        <f>T24/T10</f>
        <v>3.5217387659523314E-2</v>
      </c>
      <c r="U49" s="366">
        <f>U24/U10</f>
        <v>0.10522273490933497</v>
      </c>
      <c r="V49" s="367"/>
      <c r="W49" s="366">
        <f>W24/W10</f>
        <v>3.5115451996243524E-2</v>
      </c>
      <c r="X49" s="366">
        <f>X24/X10</f>
        <v>6.4325543512310278E-3</v>
      </c>
      <c r="Y49" s="366">
        <f>Y24/Y10</f>
        <v>4.065577786300785E-2</v>
      </c>
      <c r="Z49" s="366">
        <f>Z24/Z10</f>
        <v>0.11104631292387988</v>
      </c>
      <c r="AA49" s="367"/>
      <c r="AB49" s="366">
        <f>AB24/AB10</f>
        <v>-2.9032070216726571E-2</v>
      </c>
      <c r="AC49" s="366">
        <f>AC24/AC10</f>
        <v>-3.3351493272070855E-2</v>
      </c>
      <c r="AD49" s="366">
        <f>AD24/AD10</f>
        <v>1.2893247034373117E-2</v>
      </c>
      <c r="AE49" s="366">
        <f>AE24/AE10</f>
        <v>9.7221946214493968E-2</v>
      </c>
      <c r="AF49" s="367"/>
      <c r="AG49" s="366">
        <f>AG24/AG10</f>
        <v>-1.7267246341685145E-2</v>
      </c>
      <c r="AH49" s="366">
        <f>AH24/AH10</f>
        <v>-1.2145423543024239E-2</v>
      </c>
      <c r="AI49" s="366">
        <f>AI24/AI10</f>
        <v>2.0476850184256521E-2</v>
      </c>
      <c r="AJ49" s="366">
        <f>AJ24/AJ10</f>
        <v>9.2307065972911717E-2</v>
      </c>
      <c r="AK49" s="367"/>
      <c r="AL49" s="366">
        <f>AL24/AL10</f>
        <v>1.2671478026169159E-2</v>
      </c>
      <c r="AM49" s="366">
        <f>AM24/AM10</f>
        <v>3.2601946246524661E-2</v>
      </c>
      <c r="AN49" s="366">
        <f>AN24/AN10</f>
        <v>4.6957368997090333E-2</v>
      </c>
      <c r="AO49" s="366">
        <f>AO24/AO10</f>
        <v>0.12369815237437246</v>
      </c>
      <c r="AP49" s="367"/>
      <c r="AQ49" s="366">
        <f>AQ24/AQ10</f>
        <v>3.0980041703902294E-2</v>
      </c>
      <c r="AR49" s="366">
        <f>AR24/AR10</f>
        <v>5.6333917104495035E-2</v>
      </c>
      <c r="AS49" s="366">
        <f>AS24/AS10</f>
        <v>5.2142051860202931E-2</v>
      </c>
      <c r="AT49" s="366">
        <f>AT24/AT10</f>
        <v>0.13528009535160906</v>
      </c>
      <c r="AU49" s="367"/>
      <c r="AV49" s="366">
        <f>AV24/AV10</f>
        <v>4.1666666666666664E-2</v>
      </c>
      <c r="AW49" s="366">
        <f>AW24/AW10</f>
        <v>5.8162755866200698E-2</v>
      </c>
      <c r="AX49" s="366">
        <f>AX24/AX10</f>
        <v>5.1003142373700752E-2</v>
      </c>
      <c r="AY49" s="366">
        <f>AY24/AY10</f>
        <v>0.12589988280596015</v>
      </c>
      <c r="AZ49" s="367"/>
      <c r="BA49" s="366">
        <f>BA24/BA10</f>
        <v>5.5975370836831795E-2</v>
      </c>
      <c r="BB49" s="366">
        <f>BB24/BB10</f>
        <v>8.8067409622179946E-2</v>
      </c>
      <c r="BC49" s="366">
        <f>BC24/BC10</f>
        <v>4.8915917503966157E-2</v>
      </c>
      <c r="BD49" s="366">
        <f>BD24/BD10</f>
        <v>0.11795146324054247</v>
      </c>
      <c r="BE49" s="367"/>
      <c r="BF49" s="366">
        <f>BF24/BF10</f>
        <v>2.81214848143982E-2</v>
      </c>
      <c r="BG49" s="366">
        <f>BG24/BG10</f>
        <v>3.8704128440366969E-2</v>
      </c>
      <c r="BH49" s="366">
        <f>BH24/BH10</f>
        <v>1.3237410071942447E-2</v>
      </c>
      <c r="BI49" s="366">
        <f>BI24/BI10</f>
        <v>9.7233047544816834E-2</v>
      </c>
      <c r="BJ49" s="367"/>
      <c r="BK49" s="366">
        <f>BK24/BK10</f>
        <v>4.2571676802780192E-2</v>
      </c>
      <c r="BL49" s="366">
        <f>BL24/BL10</f>
        <v>6.3683304647160072E-2</v>
      </c>
      <c r="BM49" s="366">
        <f>BM24/BM10</f>
        <v>3.3055475711411327E-2</v>
      </c>
      <c r="BN49" s="366">
        <f>BN24/BN10</f>
        <v>0.1124177795495316</v>
      </c>
      <c r="BO49" s="367"/>
      <c r="BP49" s="366">
        <f>BP24/BP10</f>
        <v>2.3093284715891827E-2</v>
      </c>
      <c r="BQ49" s="366">
        <f>BQ24/BQ10</f>
        <v>5.7949912638322658E-2</v>
      </c>
      <c r="BR49" s="366">
        <f>BR24/BR10</f>
        <v>3.2128514056224897E-2</v>
      </c>
      <c r="BS49" s="366">
        <f>BS24/BS10</f>
        <v>0.13793785869780328</v>
      </c>
      <c r="BT49" s="367"/>
      <c r="BU49" s="366">
        <f>BU24/BU10</f>
        <v>4.4225352112676058E-2</v>
      </c>
      <c r="BV49" s="366">
        <f>BV24/BV10</f>
        <v>3.518570231778833E-2</v>
      </c>
      <c r="BW49" s="366">
        <f>BW24/BW10</f>
        <v>3.4042553191489362E-2</v>
      </c>
      <c r="BX49" s="366">
        <f>BX24/BX10</f>
        <v>0.13925781249999999</v>
      </c>
      <c r="BY49" s="367"/>
      <c r="BZ49" s="366">
        <f>BZ24/BZ10</f>
        <v>5.4380664652567974E-2</v>
      </c>
      <c r="CA49" s="366">
        <f>CA24/CA10</f>
        <v>6.5415401600883244E-2</v>
      </c>
      <c r="CB49" s="366">
        <f>CB24/CB10</f>
        <v>9.7569756975697572E-2</v>
      </c>
      <c r="CC49" s="366">
        <f>CC24/CC10</f>
        <v>0.11148260369867308</v>
      </c>
      <c r="CD49" s="367"/>
      <c r="CE49" s="366">
        <f>CE24/CE10</f>
        <v>-1.9898819561551432E-2</v>
      </c>
      <c r="CF49" s="366">
        <f>CF24/CF10</f>
        <v>5.104253544620517E-2</v>
      </c>
      <c r="CG49" s="366">
        <f>CG24/CG10</f>
        <v>5.0968399592252805E-3</v>
      </c>
      <c r="CH49" s="366">
        <f>CH24/CH10</f>
        <v>0.12632383447974671</v>
      </c>
      <c r="CI49" s="367"/>
      <c r="CJ49" s="366">
        <f>CJ24/CJ10</f>
        <v>1.4017902381354501E-2</v>
      </c>
      <c r="CK49" s="366">
        <f>CK24/CK10</f>
        <v>1.9178547182620503E-2</v>
      </c>
      <c r="CL49" s="366">
        <f>CL24/CL10</f>
        <v>6.4341347781916693E-3</v>
      </c>
      <c r="CM49" s="366">
        <f>CM24/CM10</f>
        <v>0.12636723295322319</v>
      </c>
      <c r="CN49" s="367"/>
      <c r="CO49" s="366">
        <f>CO24/CO10</f>
        <v>-1.8444405776927093E-2</v>
      </c>
      <c r="CP49" s="366">
        <f>CP24/CP10</f>
        <v>2.1161245190626093E-2</v>
      </c>
      <c r="CQ49" s="366">
        <f>CQ24/CQ10</f>
        <v>-1.3653741125068269E-2</v>
      </c>
      <c r="CR49" s="366">
        <f>CR24/CR10</f>
        <v>6.3524073607259895E-2</v>
      </c>
      <c r="CS49" s="367"/>
      <c r="CT49" s="366">
        <f>CT24/CT10</f>
        <v>-4.8222390317700453E-2</v>
      </c>
      <c r="CU49" s="366">
        <f>CU24/CU10</f>
        <v>2.0624408703878903E-2</v>
      </c>
      <c r="CV49" s="366">
        <f>CV24/CV10</f>
        <v>-1.5227483751160632E-2</v>
      </c>
      <c r="CW49" s="366">
        <f>CW24/CW10</f>
        <v>9.2604258535970777E-2</v>
      </c>
      <c r="CX49" s="367"/>
      <c r="CY49" s="366">
        <f>CY24/CY10</f>
        <v>7.3555794761392176E-3</v>
      </c>
      <c r="CZ49" s="366">
        <f>CZ24/CZ10</f>
        <v>4.3344771536933356E-2</v>
      </c>
      <c r="DA49" s="366">
        <f>DA24/DA10</f>
        <v>2.3119331317801887E-3</v>
      </c>
      <c r="DB49" s="366">
        <f>DB24/DB10</f>
        <v>0.12407788124319749</v>
      </c>
      <c r="DC49" s="367"/>
      <c r="DD49" s="366">
        <f>DD24/DD10</f>
        <v>3.6338937001188655E-2</v>
      </c>
      <c r="DE49" s="366">
        <f>DE24/DE10</f>
        <v>6.6509513386091929E-2</v>
      </c>
      <c r="DF49" s="366">
        <f>DF24/DF10</f>
        <v>3.1266017426960536E-2</v>
      </c>
      <c r="DG49" s="366">
        <f>DG24/DG10</f>
        <v>0.13480055020632736</v>
      </c>
      <c r="DH49" s="367"/>
      <c r="DI49" s="366">
        <f>DI24/DI10</f>
        <v>4.5417548429106301E-2</v>
      </c>
      <c r="DJ49" s="366">
        <f>DJ24/DJ10</f>
        <v>7.3389996730957835E-2</v>
      </c>
      <c r="DK49" s="366">
        <f>DK24/DK10</f>
        <v>3.6543209876543213E-2</v>
      </c>
      <c r="DL49" s="366">
        <f>DL24/DL10</f>
        <v>0.13796791443850268</v>
      </c>
      <c r="DM49" s="367"/>
      <c r="DN49" s="366">
        <f>DN24/DN10</f>
        <v>5.2919993737278848E-2</v>
      </c>
      <c r="DO49" s="366">
        <f>DO24/DO10</f>
        <v>7.2205736894164194E-2</v>
      </c>
      <c r="DP49" s="366">
        <f>DP24/DP10</f>
        <v>4.2065009560229447E-2</v>
      </c>
      <c r="DQ49" s="366">
        <f>DQ24/DQ10</f>
        <v>0.14540317322321233</v>
      </c>
      <c r="DR49" s="367"/>
      <c r="DS49" s="366">
        <f>DS24/DS10</f>
        <v>5.4626532887402456E-2</v>
      </c>
      <c r="DT49" s="366">
        <f>DT24/DT10</f>
        <v>7.515557683101963E-2</v>
      </c>
      <c r="DU49" s="366">
        <f>DU24/DU10</f>
        <v>5.262308313155771E-2</v>
      </c>
      <c r="DV49" s="366">
        <f>DV24/DV10</f>
        <v>0.14459632635625802</v>
      </c>
      <c r="DW49" s="367"/>
      <c r="DX49" s="366">
        <f>DX24/DX10</f>
        <v>5.0385109114249038E-2</v>
      </c>
      <c r="DY49" s="366">
        <f>DY24/DY10</f>
        <v>5.6192660550458719E-2</v>
      </c>
      <c r="DZ49" s="366">
        <f>DZ24/DZ10</f>
        <v>4.9199863806605376E-2</v>
      </c>
      <c r="EA49" s="366">
        <f>EA24/EA10</f>
        <v>0.1150073288984102</v>
      </c>
      <c r="EB49" s="261"/>
      <c r="EC49" s="366">
        <f>EC24/EC10</f>
        <v>3.5157603048146864E-2</v>
      </c>
      <c r="ED49" s="366">
        <f>ED24/ED10</f>
        <v>4.4361595174262733E-2</v>
      </c>
      <c r="EE49" s="366">
        <f>EE24/EE10</f>
        <v>1.4862466725820762E-2</v>
      </c>
      <c r="EF49" s="366">
        <f>EF24/EF10</f>
        <v>0.1161666471346537</v>
      </c>
      <c r="EG49" s="261"/>
      <c r="EH49" s="366">
        <f>EH24/EH10</f>
        <v>2.7653213751868459E-2</v>
      </c>
      <c r="EI49" s="366">
        <f>EI24/EI10</f>
        <v>3.8686779059449866E-2</v>
      </c>
      <c r="EJ49" s="366">
        <f>EJ24/EJ10</f>
        <v>1.8536031776054472E-2</v>
      </c>
      <c r="EK49" s="366">
        <f>EK24/EK10</f>
        <v>0.15442278860569716</v>
      </c>
      <c r="EL49" s="366"/>
      <c r="EM49" s="1414">
        <f>EM24/EM10</f>
        <v>2.833607720410581E-2</v>
      </c>
      <c r="EN49" s="1414">
        <f>EN24/EN10</f>
        <v>3.4978737513901459E-2</v>
      </c>
      <c r="EO49" s="1414">
        <f>EO24/EO10</f>
        <v>2.1438324221615315E-2</v>
      </c>
      <c r="EP49" s="1414">
        <f>EP24/EP10</f>
        <v>0.11428555133896713</v>
      </c>
      <c r="EQ49" s="262"/>
      <c r="ER49" s="369">
        <f>ER24/ER10</f>
        <v>2.9944741064932688E-2</v>
      </c>
      <c r="ES49" s="366">
        <f>ES24/ES10</f>
        <v>4.8382951517731768E-2</v>
      </c>
      <c r="ET49" s="366">
        <f t="shared" ref="ET49:FK49" si="135">ET24/ET10</f>
        <v>5.5494424440059829E-2</v>
      </c>
      <c r="EU49" s="366">
        <f t="shared" si="135"/>
        <v>6.73612378206762E-3</v>
      </c>
      <c r="EV49" s="366">
        <f t="shared" si="135"/>
        <v>2.17672710324892E-2</v>
      </c>
      <c r="EW49" s="366"/>
      <c r="EX49" s="366">
        <f t="shared" si="135"/>
        <v>1.3822362118516491E-2</v>
      </c>
      <c r="EY49" s="366">
        <f t="shared" si="135"/>
        <v>2.974691566102609E-2</v>
      </c>
      <c r="EZ49" s="366">
        <f t="shared" si="135"/>
        <v>6.2943495400788432E-2</v>
      </c>
      <c r="FA49" s="366">
        <f t="shared" si="135"/>
        <v>7.5691506671005535E-2</v>
      </c>
      <c r="FB49" s="366">
        <f t="shared" si="135"/>
        <v>8.6468276249298148E-2</v>
      </c>
      <c r="FC49" s="366">
        <f t="shared" si="135"/>
        <v>8.2341627599471084E-2</v>
      </c>
      <c r="FD49" s="366">
        <f t="shared" si="135"/>
        <v>4.9414000633512832E-2</v>
      </c>
      <c r="FE49" s="366">
        <f t="shared" si="135"/>
        <v>6.7304604713891214E-2</v>
      </c>
      <c r="FF49" s="366">
        <f t="shared" si="135"/>
        <v>7.0334804048793151E-2</v>
      </c>
      <c r="FG49" s="366">
        <f t="shared" si="135"/>
        <v>7.074036511156187E-2</v>
      </c>
      <c r="FH49" s="366">
        <f t="shared" si="135"/>
        <v>9.1290754801250554E-2</v>
      </c>
      <c r="FI49" s="369">
        <f t="shared" si="135"/>
        <v>5.0982573229514272E-2</v>
      </c>
      <c r="FJ49" s="366">
        <f t="shared" si="135"/>
        <v>5.0165317523657507E-2</v>
      </c>
      <c r="FK49" s="368">
        <f t="shared" si="135"/>
        <v>3.4750120520649207E-2</v>
      </c>
      <c r="FL49" s="369">
        <f t="shared" ref="FL49:FR49" si="136">FL24/FL10</f>
        <v>3.7581083908767528E-2</v>
      </c>
      <c r="FM49" s="369">
        <f t="shared" si="136"/>
        <v>5.2793664760228773E-2</v>
      </c>
      <c r="FN49" s="366">
        <f t="shared" si="136"/>
        <v>7.4531338761598176E-2</v>
      </c>
      <c r="FO49" s="366">
        <f t="shared" si="136"/>
        <v>8.10517951311132E-2</v>
      </c>
      <c r="FP49" s="366">
        <f t="shared" si="136"/>
        <v>8.5138376714045325E-2</v>
      </c>
      <c r="FQ49" s="366">
        <f t="shared" si="136"/>
        <v>8.8738658601672307E-2</v>
      </c>
      <c r="FR49" s="366">
        <f t="shared" si="136"/>
        <v>7.2602385612467221E-2</v>
      </c>
      <c r="FS49" s="366">
        <f t="shared" ref="FS49:FX49" si="137">FS24/FS10</f>
        <v>5.9542647626399076E-2</v>
      </c>
      <c r="FT49" s="366">
        <f t="shared" si="137"/>
        <v>7.2279013830426939E-2</v>
      </c>
      <c r="FU49" s="366">
        <f t="shared" si="137"/>
        <v>5.7980690745633293E-2</v>
      </c>
      <c r="FV49" s="366">
        <f t="shared" si="137"/>
        <v>4.5583159077859592E-2</v>
      </c>
      <c r="FW49" s="368">
        <f t="shared" si="137"/>
        <v>3.3249368392030042E-2</v>
      </c>
      <c r="FX49" s="366">
        <f t="shared" si="137"/>
        <v>2.2623151248752298E-2</v>
      </c>
      <c r="FY49" s="1347">
        <f t="shared" ref="FY49" si="138">FY24/FY10</f>
        <v>1.2154117512443136E-2</v>
      </c>
      <c r="FZ49" s="366"/>
      <c r="GA49" s="366"/>
      <c r="GH49" s="282"/>
    </row>
    <row r="50" spans="1:190" x14ac:dyDescent="0.2">
      <c r="A50" s="260" t="s">
        <v>180</v>
      </c>
      <c r="B50" s="261"/>
      <c r="C50" s="366">
        <f>C26/C24</f>
        <v>0.30655992636034635</v>
      </c>
      <c r="D50" s="366">
        <f>D26/D24</f>
        <v>0.32220952871325365</v>
      </c>
      <c r="E50" s="366">
        <f>E26/E24</f>
        <v>0.28537438768369477</v>
      </c>
      <c r="F50" s="366">
        <f>F26/F24</f>
        <v>1.4266644556836074</v>
      </c>
      <c r="G50" s="367"/>
      <c r="H50" s="366">
        <f>H26/H24</f>
        <v>0.24532451951351503</v>
      </c>
      <c r="I50" s="366">
        <f>I26/I24</f>
        <v>0.31634185759102562</v>
      </c>
      <c r="J50" s="366">
        <f>J26/J24</f>
        <v>0.23748624862486264</v>
      </c>
      <c r="K50" s="366">
        <f>K26/K24</f>
        <v>0.34189261006299909</v>
      </c>
      <c r="L50" s="367"/>
      <c r="M50" s="366">
        <f>M26/M24</f>
        <v>0.48589832869080407</v>
      </c>
      <c r="N50" s="366">
        <f>N26/N24</f>
        <v>0.29761110369678312</v>
      </c>
      <c r="O50" s="366">
        <f>O26/O24</f>
        <v>0.43131358602683051</v>
      </c>
      <c r="P50" s="366">
        <f>P26/P24</f>
        <v>0.40273902542974849</v>
      </c>
      <c r="Q50" s="367"/>
      <c r="R50" s="366">
        <f>R26/R24</f>
        <v>0.45283542197231325</v>
      </c>
      <c r="S50" s="366">
        <f>S26/S24</f>
        <v>0.51064065004698556</v>
      </c>
      <c r="T50" s="366">
        <f>T26/T24</f>
        <v>0.45213044513211165</v>
      </c>
      <c r="U50" s="366">
        <f>U26/U24</f>
        <v>0.40911280691456015</v>
      </c>
      <c r="V50" s="367"/>
      <c r="W50" s="366">
        <f>W26/W24</f>
        <v>0.44509884962457674</v>
      </c>
      <c r="X50" s="366">
        <f>X26/X24</f>
        <v>0.63260933086589066</v>
      </c>
      <c r="Y50" s="366">
        <f>Y26/Y24</f>
        <v>0.43393841911764702</v>
      </c>
      <c r="Z50" s="366">
        <f>Z26/Z24</f>
        <v>0.40752390135598177</v>
      </c>
      <c r="AA50" s="367"/>
      <c r="AB50" s="366">
        <f>AB26/AB24</f>
        <v>0.34293586019274103</v>
      </c>
      <c r="AC50" s="366">
        <f>AC26/AC24</f>
        <v>0.33897187616854652</v>
      </c>
      <c r="AD50" s="366">
        <f>AD26/AD24</f>
        <v>0.49055374592834161</v>
      </c>
      <c r="AE50" s="366">
        <f>AE26/AE24</f>
        <v>0.44173485688386088</v>
      </c>
      <c r="AF50" s="367"/>
      <c r="AG50" s="366">
        <f>AG26/AG24</f>
        <v>0.3346141699126215</v>
      </c>
      <c r="AH50" s="366">
        <f>AH26/AH24</f>
        <v>0.31756417970316725</v>
      </c>
      <c r="AI50" s="366">
        <f>AI26/AI24</f>
        <v>0.43502970109467692</v>
      </c>
      <c r="AJ50" s="366">
        <f>AJ26/AJ24</f>
        <v>0.37684567440399508</v>
      </c>
      <c r="AK50" s="367"/>
      <c r="AL50" s="366">
        <f>AL26/AL24</f>
        <v>0.45434339692535453</v>
      </c>
      <c r="AM50" s="366">
        <f>AM26/AM24</f>
        <v>0.41065844645014438</v>
      </c>
      <c r="AN50" s="366">
        <f>AN26/AN24</f>
        <v>0.40344613915307498</v>
      </c>
      <c r="AO50" s="366">
        <f>AO26/AO24</f>
        <v>0.394370270015513</v>
      </c>
      <c r="AP50" s="367"/>
      <c r="AQ50" s="366">
        <f>AQ26/AQ24</f>
        <v>0.42082692307692304</v>
      </c>
      <c r="AR50" s="366">
        <f>AR26/AR24</f>
        <v>0.44559585492227977</v>
      </c>
      <c r="AS50" s="366">
        <f>AS26/AS24</f>
        <v>0.40540540540540543</v>
      </c>
      <c r="AT50" s="366">
        <f>AT26/AT24</f>
        <v>0.40088105726872247</v>
      </c>
      <c r="AU50" s="366"/>
      <c r="AV50" s="366">
        <f>AV26/AV24</f>
        <v>0.42</v>
      </c>
      <c r="AW50" s="366">
        <f>AW26/AW24</f>
        <v>0.41201716738197425</v>
      </c>
      <c r="AX50" s="366">
        <f>AX26/AX24</f>
        <v>0.41706161137440756</v>
      </c>
      <c r="AY50" s="366">
        <f>AY26/AY24</f>
        <v>0.40425531914893614</v>
      </c>
      <c r="AZ50" s="366"/>
      <c r="BA50" s="366">
        <f>BA26/BA24</f>
        <v>0.41</v>
      </c>
      <c r="BB50" s="366">
        <f>BB26/BB24</f>
        <v>0.40123456790123457</v>
      </c>
      <c r="BC50" s="366">
        <f>BC26/BC24</f>
        <v>0.41081081081081083</v>
      </c>
      <c r="BD50" s="366">
        <f>BD26/BD24</f>
        <v>0.39485627836611198</v>
      </c>
      <c r="BE50" s="366"/>
      <c r="BF50" s="366">
        <f>BF26/BF24</f>
        <v>0.42</v>
      </c>
      <c r="BG50" s="366">
        <f>BG26/BG24</f>
        <v>0.40740740740740738</v>
      </c>
      <c r="BH50" s="366">
        <f>BH26/BH24</f>
        <v>0.43478260869565216</v>
      </c>
      <c r="BI50" s="366">
        <f>BI26/BI24</f>
        <v>0.37875751503006011</v>
      </c>
      <c r="BJ50" s="366"/>
      <c r="BK50" s="366">
        <f>BK26/BK24</f>
        <v>0.39455782312925169</v>
      </c>
      <c r="BL50" s="366">
        <f>BL26/BL24</f>
        <v>0.40090090090090091</v>
      </c>
      <c r="BM50" s="366">
        <f>BM26/BM24</f>
        <v>0.34782608695652173</v>
      </c>
      <c r="BN50" s="366">
        <f>BN26/BN24</f>
        <v>0.3953900709219858</v>
      </c>
      <c r="BO50" s="366"/>
      <c r="BP50" s="366">
        <f>BP26/BP24</f>
        <v>0.39473684210526316</v>
      </c>
      <c r="BQ50" s="366">
        <f>BQ26/BQ24</f>
        <v>0.39698492462311558</v>
      </c>
      <c r="BR50" s="366">
        <f>BR26/BR24</f>
        <v>0.4017857142857143</v>
      </c>
      <c r="BS50" s="366">
        <f>BS26/BS24</f>
        <v>0.39454806312769009</v>
      </c>
      <c r="BT50" s="366"/>
      <c r="BU50" s="366">
        <f>BU26/BU24</f>
        <v>0.38216560509554143</v>
      </c>
      <c r="BV50" s="366">
        <f>BV26/BV24</f>
        <v>0.38095238095238093</v>
      </c>
      <c r="BW50" s="366">
        <f>BW26/BW24</f>
        <v>0.38333333333333336</v>
      </c>
      <c r="BX50" s="366">
        <f>BX26/BX24</f>
        <v>0.38288920056100983</v>
      </c>
      <c r="BY50" s="366"/>
      <c r="BZ50" s="366">
        <f>BZ26/BZ24</f>
        <v>0.377</v>
      </c>
      <c r="CA50" s="366">
        <f>CA26/CA24</f>
        <v>0.37552742616033757</v>
      </c>
      <c r="CB50" s="366">
        <f>CB26/CB24</f>
        <v>0.37410071942446044</v>
      </c>
      <c r="CC50" s="366">
        <f>CC26/CC24</f>
        <v>0.37394564198687907</v>
      </c>
      <c r="CD50" s="366"/>
      <c r="CE50" s="366">
        <f>CE26/CE24</f>
        <v>0.3728813559322034</v>
      </c>
      <c r="CF50" s="366">
        <f>CF26/CF24</f>
        <v>0.375</v>
      </c>
      <c r="CG50" s="366">
        <f>CG26/CG24</f>
        <v>0.33333333333333331</v>
      </c>
      <c r="CH50" s="366">
        <f>CH26/CH24</f>
        <v>0.37251512532411407</v>
      </c>
      <c r="CI50" s="366"/>
      <c r="CJ50" s="366">
        <f>CJ26/CJ24</f>
        <v>0.37349397590361444</v>
      </c>
      <c r="CK50" s="366">
        <f>CK26/CK24</f>
        <v>0.34513274336283184</v>
      </c>
      <c r="CL50" s="366">
        <f>CL26/CL24</f>
        <v>0.13157894736842105</v>
      </c>
      <c r="CM50" s="366">
        <f>CM26/CM24</f>
        <v>0.38121546961325969</v>
      </c>
      <c r="CN50" s="366"/>
      <c r="CO50" s="366">
        <f>CO26/CO24</f>
        <v>0.44339622641509435</v>
      </c>
      <c r="CP50" s="366">
        <f>CP26/CP24</f>
        <v>0.39669421487603307</v>
      </c>
      <c r="CQ50" s="366">
        <f>CQ26/CQ24</f>
        <v>0.41333333333333333</v>
      </c>
      <c r="CR50" s="366">
        <f>CR26/CR24</f>
        <v>-0.20833333333333334</v>
      </c>
      <c r="CS50" s="366"/>
      <c r="CT50" s="366">
        <f>CT26/CT24</f>
        <v>0.65490196078431373</v>
      </c>
      <c r="CU50" s="366">
        <f>CU26/CU24</f>
        <v>0.93577981651376152</v>
      </c>
      <c r="CV50" s="366">
        <f>CV26/CV24</f>
        <v>0.57317073170731703</v>
      </c>
      <c r="CW50" s="366">
        <f>CW26/CW24</f>
        <v>0.39455782312925169</v>
      </c>
      <c r="CX50" s="366"/>
      <c r="CY50" s="366">
        <f>CY26/CY24</f>
        <v>0.43902439024390244</v>
      </c>
      <c r="CZ50" s="366">
        <f>CZ26/CZ24</f>
        <v>0.38750000000000001</v>
      </c>
      <c r="DA50" s="366">
        <f>DA26/DA24</f>
        <v>0.23076923076923078</v>
      </c>
      <c r="DB50" s="366">
        <f>DB26/DB24</f>
        <v>0.34990253411306044</v>
      </c>
      <c r="DC50" s="366"/>
      <c r="DD50" s="366">
        <f>DD26/DD24</f>
        <v>0.38785046728971961</v>
      </c>
      <c r="DE50" s="366">
        <f>DE26/DE24</f>
        <v>0.38987341772151901</v>
      </c>
      <c r="DF50" s="366">
        <f>DF26/DF24</f>
        <v>0.24043715846994534</v>
      </c>
      <c r="DG50" s="366">
        <f>DG26/DG24</f>
        <v>0.36649659863945577</v>
      </c>
      <c r="DH50" s="366"/>
      <c r="DI50" s="366">
        <f>DI26/DI24</f>
        <v>0.35125448028673834</v>
      </c>
      <c r="DJ50" s="366">
        <f>DJ26/DJ24</f>
        <v>0.37861915367483295</v>
      </c>
      <c r="DK50" s="366">
        <f>DK26/DK24</f>
        <v>0.34684684684684686</v>
      </c>
      <c r="DL50" s="366">
        <f>DL26/DL24</f>
        <v>0.36589147286821705</v>
      </c>
      <c r="DM50" s="366"/>
      <c r="DN50" s="366">
        <f>DN26/DN24</f>
        <v>0.35798816568047337</v>
      </c>
      <c r="DO50" s="366">
        <f>DO26/DO24</f>
        <v>0.35844748858447489</v>
      </c>
      <c r="DP50" s="366">
        <f>DP26/DP24</f>
        <v>0.32954545454545453</v>
      </c>
      <c r="DQ50" s="366">
        <f>DQ26/DQ24</f>
        <v>0.35309417040358743</v>
      </c>
      <c r="DR50" s="366"/>
      <c r="DS50" s="366">
        <f>DS26/DS24</f>
        <v>0.34693877551020408</v>
      </c>
      <c r="DT50" s="366">
        <f>DT26/DT24</f>
        <v>0.38004246284501064</v>
      </c>
      <c r="DU50" s="366">
        <f>DU26/DU24</f>
        <v>0.33435582822085891</v>
      </c>
      <c r="DV50" s="366">
        <f>DV26/DV24</f>
        <v>0.36670605612998519</v>
      </c>
      <c r="DW50" s="366"/>
      <c r="DX50" s="366">
        <f>DX26/DX24</f>
        <v>0.38535031847133761</v>
      </c>
      <c r="DY50" s="366">
        <f>DY26/DY24</f>
        <v>0.36734693877551022</v>
      </c>
      <c r="DZ50" s="366">
        <f>DZ26/DZ24</f>
        <v>0.35702422145328722</v>
      </c>
      <c r="EA50" s="366">
        <f>EA26/EA24</f>
        <v>0.35485294117647059</v>
      </c>
      <c r="EB50" s="366"/>
      <c r="EC50" s="366">
        <f>EC26/EC24</f>
        <v>0.35467980295566504</v>
      </c>
      <c r="ED50" s="366">
        <f>ED26/ED24</f>
        <v>0.37469310670443812</v>
      </c>
      <c r="EE50" s="366">
        <f>EE26/EE24</f>
        <v>0.42440597014925369</v>
      </c>
      <c r="EF50" s="366">
        <f>EF26/EF24</f>
        <v>0.36188146279949562</v>
      </c>
      <c r="EG50" s="366"/>
      <c r="EH50" s="366">
        <f>EH26/EH24</f>
        <v>0.44945945945945942</v>
      </c>
      <c r="EI50" s="366">
        <f>EI26/EI24</f>
        <v>0.35961009174311925</v>
      </c>
      <c r="EJ50" s="366">
        <f>EJ26/EJ24</f>
        <v>0.35357142857142854</v>
      </c>
      <c r="EK50" s="366">
        <f>EK26/EK24</f>
        <v>0.34431292008961911</v>
      </c>
      <c r="EL50" s="366"/>
      <c r="EM50" s="1414">
        <f>EM26/EM24</f>
        <v>0.23249999999999998</v>
      </c>
      <c r="EN50" s="1414">
        <f>EN26/EN24</f>
        <v>0.23250000000000001</v>
      </c>
      <c r="EO50" s="1414">
        <f>EO26/EO24</f>
        <v>0.23250000000000001</v>
      </c>
      <c r="EP50" s="1414">
        <f>EP26/EP24</f>
        <v>0.23250000000000001</v>
      </c>
      <c r="EQ50" s="368"/>
      <c r="ER50" s="369">
        <f>ER26/ER24</f>
        <v>0.4683760441872189</v>
      </c>
      <c r="ES50" s="366">
        <f>ES26/ES24</f>
        <v>0.44812453542226655</v>
      </c>
      <c r="ET50" s="366">
        <f>ET26/ET24</f>
        <v>0.42286578665581953</v>
      </c>
      <c r="EU50" s="366">
        <f>EU26/EU24</f>
        <v>0.6012790508694984</v>
      </c>
      <c r="EV50" s="366">
        <f>EV26/EV24</f>
        <v>0.51102235320759359</v>
      </c>
      <c r="EW50" s="366"/>
      <c r="EX50" s="366">
        <f t="shared" ref="EX50:FM50" si="139">EX26/EX24</f>
        <v>0.62871287128712872</v>
      </c>
      <c r="EY50" s="366">
        <f t="shared" si="139"/>
        <v>0.39661315033224853</v>
      </c>
      <c r="EZ50" s="366">
        <f t="shared" si="139"/>
        <v>0.39979123173277664</v>
      </c>
      <c r="FA50" s="366">
        <f t="shared" si="139"/>
        <v>0.41080481513327599</v>
      </c>
      <c r="FB50" s="366">
        <f t="shared" si="139"/>
        <v>0.40476190476190477</v>
      </c>
      <c r="FC50" s="366">
        <f t="shared" si="139"/>
        <v>0.40072992700729926</v>
      </c>
      <c r="FD50" s="366">
        <f t="shared" si="139"/>
        <v>0.3923076923076923</v>
      </c>
      <c r="FE50" s="366">
        <f t="shared" si="139"/>
        <v>0.39122137404580154</v>
      </c>
      <c r="FF50" s="366">
        <f t="shared" si="139"/>
        <v>0.39575645756457567</v>
      </c>
      <c r="FG50" s="366">
        <f t="shared" si="139"/>
        <v>0.38261648745519711</v>
      </c>
      <c r="FH50" s="366">
        <f t="shared" si="139"/>
        <v>0.37446604203916711</v>
      </c>
      <c r="FI50" s="369">
        <f t="shared" si="139"/>
        <v>0.37218181818181817</v>
      </c>
      <c r="FJ50" s="366">
        <f t="shared" si="139"/>
        <v>0.37045454545454548</v>
      </c>
      <c r="FK50" s="370">
        <f>36.9942196531792%</f>
        <v>0.369942196531792</v>
      </c>
      <c r="FL50" s="369">
        <v>0.35857461024498888</v>
      </c>
      <c r="FM50" s="369">
        <f t="shared" si="139"/>
        <v>0.35836431226765797</v>
      </c>
      <c r="FN50" s="366">
        <f t="shared" ref="FN50:FS50" si="140">FN26/FN24</f>
        <v>0.36178861788617889</v>
      </c>
      <c r="FO50" s="366">
        <f t="shared" si="140"/>
        <v>0.3640819964349376</v>
      </c>
      <c r="FP50" s="366">
        <f t="shared" si="140"/>
        <v>0.35216148023549204</v>
      </c>
      <c r="FQ50" s="366">
        <f t="shared" si="140"/>
        <v>0.3622774659182037</v>
      </c>
      <c r="FR50" s="366">
        <f t="shared" si="140"/>
        <v>0.36222278738555441</v>
      </c>
      <c r="FS50" s="366">
        <f t="shared" si="140"/>
        <v>0.36652665694376929</v>
      </c>
      <c r="FT50" s="366">
        <f t="shared" ref="FT50:FY50" si="141">FT26/FT24</f>
        <v>0.35529672767609533</v>
      </c>
      <c r="FU50" s="366">
        <f t="shared" si="141"/>
        <v>0.23249999999999979</v>
      </c>
      <c r="FV50" s="366">
        <f t="shared" si="141"/>
        <v>0.23249999999999979</v>
      </c>
      <c r="FW50" s="368">
        <f t="shared" si="141"/>
        <v>0.23249999999999982</v>
      </c>
      <c r="FX50" s="366">
        <f t="shared" si="141"/>
        <v>0.23249999999999979</v>
      </c>
      <c r="FY50" s="1347">
        <f t="shared" si="141"/>
        <v>0.23249999999999979</v>
      </c>
      <c r="FZ50" s="366"/>
      <c r="GA50" s="366"/>
    </row>
    <row r="51" spans="1:190" x14ac:dyDescent="0.2">
      <c r="A51" s="260" t="s">
        <v>181</v>
      </c>
      <c r="B51" s="261"/>
      <c r="C51" s="366">
        <f>C32/C10</f>
        <v>-6.2522792148183473E-2</v>
      </c>
      <c r="D51" s="366">
        <f>D32/D10</f>
        <v>-8.2829299753816629E-2</v>
      </c>
      <c r="E51" s="366">
        <f>E32/E10</f>
        <v>-4.9114849713720231E-2</v>
      </c>
      <c r="F51" s="366">
        <f>F32/F10</f>
        <v>1.8227995168483186E-2</v>
      </c>
      <c r="G51" s="367"/>
      <c r="H51" s="366">
        <f>H32/H10</f>
        <v>-4.0266245099374307E-2</v>
      </c>
      <c r="I51" s="366">
        <f>I32/I10</f>
        <v>-9.6158230391183569E-2</v>
      </c>
      <c r="J51" s="366">
        <f>J32/J10</f>
        <v>-3.5692529877389002E-2</v>
      </c>
      <c r="K51" s="366">
        <f>K32/K10</f>
        <v>-1.4724349423219285</v>
      </c>
      <c r="L51" s="367"/>
      <c r="M51" s="366">
        <f>M32/M10</f>
        <v>7.5153048304858333E-3</v>
      </c>
      <c r="N51" s="366">
        <f>N32/N10</f>
        <v>-1.5200259124959448E-3</v>
      </c>
      <c r="O51" s="366">
        <f>O32/O10</f>
        <v>1.7653783053329677E-2</v>
      </c>
      <c r="P51" s="366">
        <f>P32/P10</f>
        <v>4.9171587745210306E-2</v>
      </c>
      <c r="Q51" s="367"/>
      <c r="R51" s="366">
        <f>R32/R10</f>
        <v>1.5874772599935017E-2</v>
      </c>
      <c r="S51" s="366">
        <f>S32/S10</f>
        <v>5.8930111935926862E-3</v>
      </c>
      <c r="T51" s="366">
        <f>T32/T10</f>
        <v>2.7254005024269043E-2</v>
      </c>
      <c r="U51" s="366">
        <f>U32/U10</f>
        <v>6.2174766479350253E-2</v>
      </c>
      <c r="V51" s="367"/>
      <c r="W51" s="366">
        <f>W32/W10</f>
        <v>1.9485604708668485E-2</v>
      </c>
      <c r="X51" s="366">
        <f>X32/X10</f>
        <v>2.363260447340294E-3</v>
      </c>
      <c r="Y51" s="366">
        <f>Y32/Y10</f>
        <v>2.3013673889135992E-2</v>
      </c>
      <c r="Z51" s="366">
        <f>Z32/Z10</f>
        <v>6.5792286249943183E-2</v>
      </c>
      <c r="AA51" s="367"/>
      <c r="AB51" s="366">
        <f>AB32/AB10</f>
        <v>-1.9075932243777387E-2</v>
      </c>
      <c r="AC51" s="366">
        <f>AC32/AC10</f>
        <v>-2.2046275024614342E-2</v>
      </c>
      <c r="AD51" s="366">
        <f>AD32/AD10</f>
        <v>6.5684164044819034E-3</v>
      </c>
      <c r="AE51" s="366">
        <f>AE32/AE10</f>
        <v>5.4275623717464055E-2</v>
      </c>
      <c r="AF51" s="367"/>
      <c r="AG51" s="366">
        <f>AG32/AG10</f>
        <v>-1.1489381040385421E-2</v>
      </c>
      <c r="AH51" s="366">
        <f>AH32/AH10</f>
        <v>-8.2884720784362105E-3</v>
      </c>
      <c r="AI51" s="366">
        <f>AI32/AI10</f>
        <v>1.1568812169238926E-2</v>
      </c>
      <c r="AJ51" s="366">
        <f>AJ32/AJ10</f>
        <v>5.7521547444095739E-2</v>
      </c>
      <c r="AK51" s="367"/>
      <c r="AL51" s="366">
        <f>AL32/AL10</f>
        <v>6.9142756556944771E-3</v>
      </c>
      <c r="AM51" s="366">
        <f>AM32/AM10</f>
        <v>3.0414156626506123E-2</v>
      </c>
      <c r="AN51" s="366">
        <f>AN32/AN10</f>
        <v>2.8012599770427939E-2</v>
      </c>
      <c r="AO51" s="366">
        <f>AO32/AO10</f>
        <v>7.4915278622071119E-2</v>
      </c>
      <c r="AP51" s="367"/>
      <c r="AQ51" s="366">
        <f>AQ32/AQ10</f>
        <v>1.7942806076854334E-2</v>
      </c>
      <c r="AR51" s="366">
        <f>AR32/AR10</f>
        <v>3.1231757151196731E-2</v>
      </c>
      <c r="AS51" s="366">
        <f>AS32/AS10</f>
        <v>2.4520856820744081E-2</v>
      </c>
      <c r="AT51" s="366">
        <f>AT32/AT10</f>
        <v>8.1048867699642438E-2</v>
      </c>
      <c r="AU51" s="367"/>
      <c r="AV51" s="366">
        <f>AV32/AV10</f>
        <v>2.4166666666666666E-2</v>
      </c>
      <c r="AW51" s="366">
        <f>AW32/AW10</f>
        <v>3.4198701947079378E-2</v>
      </c>
      <c r="AX51" s="366">
        <f>AX32/AX10</f>
        <v>2.9731689630166789E-2</v>
      </c>
      <c r="AY51" s="366">
        <f>AY32/AY10</f>
        <v>7.5004185501423071E-2</v>
      </c>
      <c r="AZ51" s="367"/>
      <c r="BA51" s="366">
        <f>BA32/BA10</f>
        <v>2.4909040022390149E-2</v>
      </c>
      <c r="BB51" s="366">
        <f>BB32/BB10</f>
        <v>1.7124218537646098E-2</v>
      </c>
      <c r="BC51" s="366">
        <f>BC32/BC10</f>
        <v>-0.17662612374405076</v>
      </c>
      <c r="BD51" s="366">
        <f>BD32/BD10</f>
        <v>5.9243397573162028E-2</v>
      </c>
      <c r="BE51" s="367"/>
      <c r="BF51" s="366">
        <f>BF32/BF10</f>
        <v>1.6310461192350956E-2</v>
      </c>
      <c r="BG51" s="366">
        <f>BG32/BG10</f>
        <v>3.153669724770642E-2</v>
      </c>
      <c r="BH51" s="366">
        <f>BH32/BH10</f>
        <v>8.6330935251798565E-4</v>
      </c>
      <c r="BI51" s="366">
        <f>BI32/BI10</f>
        <v>-8.7100545596258766E-2</v>
      </c>
      <c r="BJ51" s="367"/>
      <c r="BK51" s="366">
        <f>BK32/BK10</f>
        <v>2.5774688676513176E-2</v>
      </c>
      <c r="BL51" s="366">
        <f>BL32/BL10</f>
        <v>8.0895008605851984E-2</v>
      </c>
      <c r="BM51" s="366">
        <f>BM32/BM10</f>
        <v>3.046852543834435E-2</v>
      </c>
      <c r="BN51" s="366">
        <f>BN32/BN10</f>
        <v>6.796890572055013E-2</v>
      </c>
      <c r="BO51" s="367"/>
      <c r="BP51" s="366">
        <f>BP32/BP10</f>
        <v>1.3977514433302947E-2</v>
      </c>
      <c r="BQ51" s="366">
        <f>BQ32/BQ10</f>
        <v>3.4944670937682006E-2</v>
      </c>
      <c r="BR51" s="366">
        <f>BR32/BR10</f>
        <v>1.9219736087205966E-2</v>
      </c>
      <c r="BS51" s="366">
        <f>BS32/BS10</f>
        <v>9.1035028695824263E-2</v>
      </c>
      <c r="BT51" s="367"/>
      <c r="BU51" s="366">
        <f>BU32/BU10</f>
        <v>2.7323943661971831E-2</v>
      </c>
      <c r="BV51" s="366">
        <f>BV32/BV10</f>
        <v>2.1781625244345154E-2</v>
      </c>
      <c r="BW51" s="366">
        <f>BW32/BW10</f>
        <v>2.099290780141844E-2</v>
      </c>
      <c r="BX51" s="366">
        <f>BX32/BX10</f>
        <v>8.59375E-2</v>
      </c>
      <c r="BY51" s="367"/>
      <c r="BZ51" s="366">
        <f>BZ32/BZ10</f>
        <v>3.3879154078549849E-2</v>
      </c>
      <c r="CA51" s="366">
        <f>CA32/CA10</f>
        <v>4.0850124206458734E-2</v>
      </c>
      <c r="CB51" s="366">
        <f>CB32/CB10</f>
        <v>7.8530586871636804E-2</v>
      </c>
      <c r="CC51" s="366">
        <f>CC32/CC10</f>
        <v>7.3033120886009828E-2</v>
      </c>
      <c r="CD51" s="367"/>
      <c r="CE51" s="366">
        <f>CE32/CE10</f>
        <v>-8.7689713322091061E-3</v>
      </c>
      <c r="CF51" s="366">
        <f>CF32/CF10</f>
        <v>5.2856547122602168E-2</v>
      </c>
      <c r="CG51" s="366">
        <f>CG32/CG10</f>
        <v>-5.0968399592252807E-4</v>
      </c>
      <c r="CH51" s="366">
        <f>CH32/CH10</f>
        <v>8.0030571023037456E-2</v>
      </c>
      <c r="CI51" s="367"/>
      <c r="CJ51" s="366">
        <f>CJ32/CJ10</f>
        <v>6.0800540449248439E-3</v>
      </c>
      <c r="CK51" s="366">
        <f>CK32/CK10</f>
        <v>1.2559402579769178E-2</v>
      </c>
      <c r="CL51" s="366">
        <f>CL32/CL10</f>
        <v>5.5875380968506607E-3</v>
      </c>
      <c r="CM51" s="366">
        <f>CM32/CM10</f>
        <v>8.7270188503607168E-2</v>
      </c>
      <c r="CN51" s="367"/>
      <c r="CO51" s="366">
        <f>CO32/CO10</f>
        <v>-1.0266225856968854E-2</v>
      </c>
      <c r="CP51" s="366">
        <f>CP32/CP10</f>
        <v>1.2766701643931445E-2</v>
      </c>
      <c r="CQ51" s="366">
        <f>CQ32/CQ10</f>
        <v>-8.0101947933733843E-3</v>
      </c>
      <c r="CR51" s="366">
        <f>CR32/CR10</f>
        <v>-0.60158810184018152</v>
      </c>
      <c r="CS51" s="367"/>
      <c r="CT51" s="366">
        <f>CT32/CT10</f>
        <v>-1.6641452344931921E-2</v>
      </c>
      <c r="CU51" s="366">
        <f>CU32/CU10</f>
        <v>1.3245033112582781E-3</v>
      </c>
      <c r="CV51" s="366">
        <f>CV32/CV10</f>
        <v>-6.4995357474466105E-3</v>
      </c>
      <c r="CW51" s="366">
        <f>CW32/CW10</f>
        <v>5.6066523875519719E-2</v>
      </c>
      <c r="CX51" s="367"/>
      <c r="CY51" s="366">
        <f>CY32/CY10</f>
        <v>4.1263006817366344E-3</v>
      </c>
      <c r="CZ51" s="366">
        <f>CZ32/CZ10</f>
        <v>2.6548672566371681E-2</v>
      </c>
      <c r="DA51" s="366">
        <f>DA32/DA10</f>
        <v>1.7784101013693758E-3</v>
      </c>
      <c r="DB51" s="366">
        <f>DB32/DB10</f>
        <v>8.0662716168823312E-2</v>
      </c>
      <c r="DC51" s="367"/>
      <c r="DD51" s="366">
        <f>DD32/DD10</f>
        <v>2.2244863304465953E-2</v>
      </c>
      <c r="DE51" s="366">
        <f>DE32/DE10</f>
        <v>4.0579222091261156E-2</v>
      </c>
      <c r="DF51" s="366">
        <f>DF32/DF10</f>
        <v>2.3748505040150351E-2</v>
      </c>
      <c r="DG51" s="366">
        <f>DG32/DG10</f>
        <v>8.5396607060981206E-2</v>
      </c>
      <c r="DH51" s="367"/>
      <c r="DI51" s="366">
        <f>DI32/DI10</f>
        <v>2.9464431059742797E-2</v>
      </c>
      <c r="DJ51" s="366">
        <f>DJ32/DJ10</f>
        <v>4.5603138280483818E-2</v>
      </c>
      <c r="DK51" s="366">
        <f>DK32/DK10</f>
        <v>2.3868312757201648E-2</v>
      </c>
      <c r="DL51" s="366">
        <f>DL32/DL10</f>
        <v>7.8074866310160432E-2</v>
      </c>
      <c r="DM51" s="367"/>
      <c r="DN51" s="366">
        <f>DN32/DN10</f>
        <v>3.3975262251448257E-2</v>
      </c>
      <c r="DO51" s="366">
        <f>DO32/DO10</f>
        <v>4.6323771843059677E-2</v>
      </c>
      <c r="DP51" s="366">
        <f>DP32/DP10</f>
        <v>2.8202676864244741E-2</v>
      </c>
      <c r="DQ51" s="366">
        <f>DQ32/DQ10</f>
        <v>8.7875710388558542E-2</v>
      </c>
      <c r="DR51" s="367"/>
      <c r="DS51" s="366">
        <f>DS32/DS10</f>
        <v>3.5674470457079152E-2</v>
      </c>
      <c r="DT51" s="366">
        <f>DT32/DT10</f>
        <v>4.6593266315621509E-2</v>
      </c>
      <c r="DU51" s="366">
        <f>DU32/DU10</f>
        <v>3.5028248587570622E-2</v>
      </c>
      <c r="DV51" s="366">
        <f>DV32/DV10</f>
        <v>8.4686031610422902E-2</v>
      </c>
      <c r="DW51" s="367"/>
      <c r="DX51" s="366">
        <f>DX32/DX10</f>
        <v>3.0969191270860078E-2</v>
      </c>
      <c r="DY51" s="366">
        <f>DY32/DY10</f>
        <v>3.5550458715596332E-2</v>
      </c>
      <c r="DZ51" s="366">
        <f>DZ32/DZ10</f>
        <v>1.935137895812053E-2</v>
      </c>
      <c r="EA51" s="366">
        <f>EA32/EA10</f>
        <v>6.1548765362498585E-2</v>
      </c>
      <c r="EB51" s="261"/>
      <c r="EC51" s="366">
        <f>EC32/EC10</f>
        <v>2.3380671977831658E-2</v>
      </c>
      <c r="ED51" s="366">
        <f>ED32/ED10</f>
        <v>1.7895442359249342E-3</v>
      </c>
      <c r="EE51" s="366">
        <f>EE32/EE10</f>
        <v>1.3200709849157053E-2</v>
      </c>
      <c r="EF51" s="366">
        <f>EF32/EF10</f>
        <v>5.9142739950779323E-2</v>
      </c>
      <c r="EG51" s="261"/>
      <c r="EH51" s="366">
        <f>EH32/EH10</f>
        <v>1.4672944693572497E-2</v>
      </c>
      <c r="EI51" s="366">
        <f>EI32/EI10</f>
        <v>2.8660195208518192E-2</v>
      </c>
      <c r="EJ51" s="366">
        <f>EJ32/EJ10</f>
        <v>9.7407792699073202E-3</v>
      </c>
      <c r="EK51" s="366">
        <f>EK32/EK10</f>
        <v>0.15782516434090646</v>
      </c>
      <c r="EL51" s="366"/>
      <c r="EM51" s="1414">
        <f>EM32/EM10</f>
        <v>2.1747939254151211E-2</v>
      </c>
      <c r="EN51" s="1414">
        <f>EN32/EN10</f>
        <v>2.6846181041919367E-2</v>
      </c>
      <c r="EO51" s="1414">
        <f>EO32/EO10</f>
        <v>1.6453913840089755E-2</v>
      </c>
      <c r="EP51" s="1414">
        <f>EP32/EP10</f>
        <v>8.7714160652657275E-2</v>
      </c>
      <c r="EQ51" s="262"/>
      <c r="ER51" s="369">
        <f>ER32/ER10</f>
        <v>1.3136973881562094E-2</v>
      </c>
      <c r="ES51" s="366">
        <f>ES32/ES10</f>
        <v>2.2336083342509666E-2</v>
      </c>
      <c r="ET51" s="366">
        <f>ET32/ET10</f>
        <v>2.9932492824824387E-2</v>
      </c>
      <c r="EU51" s="366">
        <f>EU32/EU10</f>
        <v>-4.9307083166077112E-3</v>
      </c>
      <c r="EV51" s="366">
        <f>EV32/EV10</f>
        <v>-1.4240471197598935E-3</v>
      </c>
      <c r="EW51" s="366"/>
      <c r="EX51" s="366">
        <f t="shared" ref="EX51:FR51" si="142">EX32/EX10</f>
        <v>5.1320651430135488E-3</v>
      </c>
      <c r="EY51" s="366">
        <f t="shared" si="142"/>
        <v>1.8666014966628463E-2</v>
      </c>
      <c r="EZ51" s="366">
        <f t="shared" si="142"/>
        <v>3.521681997371879E-2</v>
      </c>
      <c r="FA51" s="366">
        <f t="shared" si="142"/>
        <v>4.3555743573055646E-2</v>
      </c>
      <c r="FB51" s="366">
        <f t="shared" si="142"/>
        <v>4.959760434212989E-2</v>
      </c>
      <c r="FC51" s="366">
        <f t="shared" si="142"/>
        <v>-1.1059021517009255E-2</v>
      </c>
      <c r="FD51" s="366">
        <f t="shared" si="142"/>
        <v>-1.7484954070319924E-2</v>
      </c>
      <c r="FE51" s="366">
        <f t="shared" si="142"/>
        <v>5.2533555969430351E-2</v>
      </c>
      <c r="FF51" s="366">
        <f t="shared" si="142"/>
        <v>4.4964962366986765E-2</v>
      </c>
      <c r="FG51" s="366">
        <f t="shared" si="142"/>
        <v>4.3673935091277892E-2</v>
      </c>
      <c r="FH51" s="366">
        <f t="shared" si="142"/>
        <v>6.2822305050109079E-2</v>
      </c>
      <c r="FI51" s="369">
        <f t="shared" si="142"/>
        <v>3.6888209121245831E-2</v>
      </c>
      <c r="FJ51" s="366">
        <f t="shared" si="142"/>
        <v>3.3937597385322843E-2</v>
      </c>
      <c r="FK51" s="368">
        <f t="shared" si="142"/>
        <v>-0.19295355937650652</v>
      </c>
      <c r="FL51" s="369">
        <f t="shared" si="142"/>
        <v>1.3768570830717723E-2</v>
      </c>
      <c r="FM51" s="369">
        <f t="shared" si="142"/>
        <v>3.3874299396340096E-2</v>
      </c>
      <c r="FN51" s="366">
        <f t="shared" si="142"/>
        <v>4.7566748721832988E-2</v>
      </c>
      <c r="FO51" s="366">
        <f t="shared" si="142"/>
        <v>4.8219316622119486E-2</v>
      </c>
      <c r="FP51" s="366">
        <f t="shared" si="142"/>
        <v>5.3189369768197187E-2</v>
      </c>
      <c r="FQ51" s="366">
        <f t="shared" si="142"/>
        <v>5.4296388542963883E-2</v>
      </c>
      <c r="FR51" s="366">
        <f t="shared" si="142"/>
        <v>3.9497248790575715E-2</v>
      </c>
      <c r="FS51" s="366">
        <f t="shared" ref="FS51:FX51" si="143">FS32/FS10</f>
        <v>2.4188768815129293E-2</v>
      </c>
      <c r="FT51" s="366">
        <f t="shared" si="143"/>
        <v>6.2338396472238933E-2</v>
      </c>
      <c r="FU51" s="366">
        <f t="shared" si="143"/>
        <v>4.4500180147273569E-2</v>
      </c>
      <c r="FV51" s="366">
        <f t="shared" si="143"/>
        <v>3.4985074592257248E-2</v>
      </c>
      <c r="FW51" s="368">
        <f t="shared" si="143"/>
        <v>2.5518890240883059E-2</v>
      </c>
      <c r="FX51" s="366">
        <f t="shared" si="143"/>
        <v>1.7363268583417392E-2</v>
      </c>
      <c r="FY51" s="1347">
        <f t="shared" ref="FY51" si="144">FY32/FY10</f>
        <v>9.3282851908001087E-3</v>
      </c>
      <c r="FZ51" s="366"/>
      <c r="GA51" s="366"/>
    </row>
    <row r="52" spans="1:190" x14ac:dyDescent="0.2">
      <c r="A52" s="260" t="s">
        <v>182</v>
      </c>
      <c r="B52" s="261"/>
      <c r="C52" s="366"/>
      <c r="D52" s="366"/>
      <c r="E52" s="366"/>
      <c r="F52" s="366"/>
      <c r="G52" s="367"/>
      <c r="H52" s="366"/>
      <c r="I52" s="366"/>
      <c r="J52" s="366"/>
      <c r="K52" s="366"/>
      <c r="L52" s="367"/>
      <c r="M52" s="366"/>
      <c r="N52" s="366"/>
      <c r="O52" s="366"/>
      <c r="P52" s="366"/>
      <c r="Q52" s="367"/>
      <c r="R52" s="366"/>
      <c r="S52" s="366"/>
      <c r="T52" s="366"/>
      <c r="U52" s="366"/>
      <c r="V52" s="367"/>
      <c r="W52" s="366"/>
      <c r="X52" s="366"/>
      <c r="Y52" s="366"/>
      <c r="Z52" s="366"/>
      <c r="AA52" s="367"/>
      <c r="AB52" s="366"/>
      <c r="AC52" s="366"/>
      <c r="AD52" s="366"/>
      <c r="AE52" s="366"/>
      <c r="AF52" s="367"/>
      <c r="AG52" s="366"/>
      <c r="AH52" s="366"/>
      <c r="AI52" s="366"/>
      <c r="AJ52" s="366"/>
      <c r="AK52" s="367"/>
      <c r="AL52" s="366"/>
      <c r="AM52" s="366"/>
      <c r="AN52" s="366"/>
      <c r="AO52" s="366"/>
      <c r="AP52" s="367"/>
      <c r="AQ52" s="366"/>
      <c r="AR52" s="366"/>
      <c r="AS52" s="366"/>
      <c r="AT52" s="366"/>
      <c r="AU52" s="367"/>
      <c r="AV52" s="366"/>
      <c r="AW52" s="366"/>
      <c r="AX52" s="366"/>
      <c r="AY52" s="366"/>
      <c r="AZ52" s="367"/>
      <c r="BA52" s="366">
        <f>IF(ISERROR(BA42/BA10),"NA ",BA42/BA10)</f>
        <v>0.12426532325776658</v>
      </c>
      <c r="BB52" s="366">
        <f>IF(ISERROR(BB42/BB10),"NA ",BB42/BB10)</f>
        <v>0.15656428377276435</v>
      </c>
      <c r="BC52" s="366">
        <f>IF(ISERROR(BC42/BC10),"NA ",BC42/BC10)</f>
        <v>0.11528291909042834</v>
      </c>
      <c r="BD52" s="366">
        <f>IF(ISERROR(BD42/BD10),"NA ",BD42/BD10)</f>
        <v>0.17790863668807994</v>
      </c>
      <c r="BE52" s="367"/>
      <c r="BF52" s="366">
        <f>IF(ISERROR(BF42/BF10),"NA ",BF42/BF10)</f>
        <v>0.11220472440944881</v>
      </c>
      <c r="BG52" s="366">
        <f>IF(ISERROR(BG42/BG10),"NA ",BG42/BG10)</f>
        <v>0.12098623853211009</v>
      </c>
      <c r="BH52" s="366">
        <f>IF(ISERROR(BH42/BH10),"NA ",BH42/BH10)</f>
        <v>9.4964028776978418E-2</v>
      </c>
      <c r="BI52" s="366">
        <f>IF(ISERROR(BI42/BI10),"NA ",BI42/BI10)</f>
        <v>0.17809820732657833</v>
      </c>
      <c r="BJ52" s="367"/>
      <c r="BK52" s="366">
        <f>IF(ISERROR(BK42/BK10),"NA ",BK42/BK10)</f>
        <v>0.11178685201274255</v>
      </c>
      <c r="BL52" s="366">
        <f>IF(ISERROR(BL42/BL10),"NA ",BL42/BL10)</f>
        <v>0.13425129087779691</v>
      </c>
      <c r="BM52" s="366">
        <f>IF(ISERROR(BM42/BM10),"NA ",BM42/BM10)</f>
        <v>0.10204081632653061</v>
      </c>
      <c r="BN52" s="366">
        <f>IF(ISERROR(BN42/BN10),"NA ",BN42/BN10)</f>
        <v>0.17580227227426748</v>
      </c>
      <c r="BO52" s="367"/>
      <c r="BP52" s="366">
        <f>IF(ISERROR(BP42/BP10),"NA ",BP42/BP10)</f>
        <v>0.10148890914615619</v>
      </c>
      <c r="BQ52" s="366">
        <f>IF(ISERROR(BQ42/BQ10),"NA ",BQ42/BQ10)</f>
        <v>0.13016889924286545</v>
      </c>
      <c r="BR52" s="366">
        <f>IF(ISERROR(BR42/BR10),"NA ",BR42/BR10)</f>
        <v>0.10843373493975904</v>
      </c>
      <c r="BS52" s="366">
        <f>IF(ISERROR(BS42/BS10),"NA ",BS42/BS10)</f>
        <v>0.18820502671680189</v>
      </c>
      <c r="BT52" s="367"/>
      <c r="BU52" s="366">
        <f>IF(ISERROR(BU42/BU10),"NA ",BU42/BU10)</f>
        <v>0.11352112676056338</v>
      </c>
      <c r="BV52" s="366">
        <f>IF(ISERROR(BV42/BV10),"NA ",BV42/BV10)</f>
        <v>0.12678022898631666</v>
      </c>
      <c r="BW52" s="366">
        <f>IF(ISERROR(BW42/BW10),"NA ",BW42/BW10)</f>
        <v>0.11035460992907802</v>
      </c>
      <c r="BX52" s="366">
        <f>IF(ISERROR(BX42/BX10),"NA ",BX42/BX10)</f>
        <v>0.19140625</v>
      </c>
      <c r="BY52" s="367"/>
      <c r="BZ52" s="366">
        <f>IF(ISERROR(BZ42/BZ10),"NA ",BZ42/BZ10)</f>
        <v>0.11507827519912112</v>
      </c>
      <c r="CA52" s="366">
        <f>IF(ISERROR(CA42/CA10),"NA ",CA42/CA10)</f>
        <v>0.12945073143803479</v>
      </c>
      <c r="CB52" s="366">
        <f>IF(ISERROR(CB42/CB10),"NA ",CB42/CB10)</f>
        <v>0.10171017101710171</v>
      </c>
      <c r="CC52" s="366">
        <f>IF(ISERROR(CC42/CC10),"NA ",CC42/CC10)</f>
        <v>0.17270922578622924</v>
      </c>
      <c r="CD52" s="367"/>
      <c r="CE52" s="366">
        <f>IF(ISERROR(CE42/CE10),"NA ",CE42/CE10)</f>
        <v>7.8414839797639121E-2</v>
      </c>
      <c r="CF52" s="366">
        <f>IF(ISERROR(CF42/CF10),"NA ",CF42/CF10)</f>
        <v>0.12043369474562135</v>
      </c>
      <c r="CG52" s="366">
        <f>IF(ISERROR(CG42/CG10),"NA ",CG42/CG10)</f>
        <v>0.10091743119266056</v>
      </c>
      <c r="CH52" s="366">
        <f>IF(ISERROR(CH42/CH10),"NA ",CH42/CH10)</f>
        <v>0.19183316955999563</v>
      </c>
      <c r="CI52" s="367"/>
      <c r="CJ52" s="366">
        <f>IF(ISERROR(CJ42/CJ10),"NA ",CJ42/CJ10)</f>
        <v>9.6774193548387094E-2</v>
      </c>
      <c r="CK52" s="366">
        <f>IF(ISERROR(CK42/CK10),"NA ",CK42/CK10)</f>
        <v>0.11439239646978955</v>
      </c>
      <c r="CL52" s="366">
        <f>IF(ISERROR(CL42/CL10),"NA ",CL42/CL10)</f>
        <v>8.8215374195733151E-2</v>
      </c>
      <c r="CM52" s="366">
        <f>IF(ISERROR(CM42/CM10),"NA ",CM42/CM10)</f>
        <v>0.18827088666511518</v>
      </c>
      <c r="CN52" s="367"/>
      <c r="CO52" s="366">
        <f>IF(ISERROR(CO42/CO10),"NA ",CO42/CO10)</f>
        <v>7.9171741778319121E-2</v>
      </c>
      <c r="CP52" s="366">
        <f>IF(ISERROR(CP42/CP10),"NA ",CP42/CP10)</f>
        <v>0.1136761105281567</v>
      </c>
      <c r="CQ52" s="366">
        <f>IF(ISERROR(CQ42/CQ10),"NA ",CQ42/CQ10)</f>
        <v>7.3548152193701075E-2</v>
      </c>
      <c r="CR52" s="366">
        <f>IF(ISERROR(CR42/CR10),"NA ",CR42/CR10)</f>
        <v>0.15049155533148476</v>
      </c>
      <c r="CS52" s="367"/>
      <c r="CT52" s="366">
        <f>IF(ISERROR(CT42/CT10),"NA ",CT42/CT10)</f>
        <v>6.1838124054462935E-2</v>
      </c>
      <c r="CU52" s="366">
        <f>IF(ISERROR(CU42/CU10),"NA ",CU42/CU10)</f>
        <v>0.11031220435193945</v>
      </c>
      <c r="CV52" s="366">
        <f>IF(ISERROR(CV42/CV10),"NA ",CV42/CV10)</f>
        <v>7.2237697307335189E-2</v>
      </c>
      <c r="CW52" s="366">
        <f>IF(ISERROR(CW42/CW10),"NA ",CW42/CW10)</f>
        <v>0.17197933728108858</v>
      </c>
      <c r="CX52" s="367"/>
      <c r="CY52" s="366">
        <f>IF(ISERROR(CY42/CY10),"NA ",CY42/CY10)</f>
        <v>8.7908144958737E-2</v>
      </c>
      <c r="CZ52" s="366">
        <f>IF(ISERROR(CZ42/CZ10),"NA ",CZ42/CZ10)</f>
        <v>0.11883691529709228</v>
      </c>
      <c r="DA52" s="366">
        <f>IF(ISERROR(DA42/DA10),"NA ",DA42/DA10)</f>
        <v>8.3051751733949852E-2</v>
      </c>
      <c r="DB52" s="366">
        <f>IF(ISERROR(DB42/DB10),"NA ",DB42/DB10)</f>
        <v>0.17583746523158786</v>
      </c>
      <c r="DC52" s="367"/>
      <c r="DD52" s="366">
        <f>IF(ISERROR(DD42/DD10),"NA ",DD42/DD10)</f>
        <v>0.10154525386313466</v>
      </c>
      <c r="DE52" s="366">
        <f>IF(ISERROR(DE42/DE10),"NA ",DE42/DE10)</f>
        <v>0.13032497053375988</v>
      </c>
      <c r="DF52" s="366">
        <f>IF(ISERROR(DF42/DF10),"NA ",DF42/DF10)</f>
        <v>9.7898513582778068E-2</v>
      </c>
      <c r="DG52" s="366">
        <f>IF(ISERROR(DG42/DG10),"NA ",DG42/DG10)</f>
        <v>0.17491976157725814</v>
      </c>
      <c r="DH52" s="367"/>
      <c r="DI52" s="366">
        <f>IF(ISERROR(DI42/DI10),"NA ",DI42/DI10)</f>
        <v>0.10532313202018558</v>
      </c>
      <c r="DJ52" s="366">
        <f>IF(ISERROR(DJ42/DJ10),"NA ",DJ42/DJ10)</f>
        <v>0.13255966001961425</v>
      </c>
      <c r="DK52" s="366">
        <f>IF(ISERROR(DK42/DK10),"NA ",DK42/DK10)</f>
        <v>9.7777777777777783E-2</v>
      </c>
      <c r="DL52" s="366">
        <f>IF(ISERROR(DL42/DL10),"NA ",DL42/DL10)</f>
        <v>0.17786096256684492</v>
      </c>
      <c r="DM52" s="367"/>
      <c r="DN52" s="366">
        <f>IF(ISERROR(DN42/DN10),"NA ",DN42/DN10)</f>
        <v>0.10740566776264286</v>
      </c>
      <c r="DO52" s="366">
        <f>IF(ISERROR(DO42/DO10),"NA ",DO42/DO10)</f>
        <v>0.12973953181668316</v>
      </c>
      <c r="DP52" s="366">
        <f>IF(ISERROR(DP42/DP10),"NA ",DP42/DP10)</f>
        <v>9.8311026131293819E-2</v>
      </c>
      <c r="DQ52" s="366">
        <f>IF(ISERROR(DQ42/DQ10),"NA ",DQ42/DQ10)</f>
        <v>0.18430775918278636</v>
      </c>
      <c r="DR52" s="367"/>
      <c r="DS52" s="366">
        <f>IF(ISERROR(DS42/DS10),"NA ",DS42/DS10)</f>
        <v>0.11084567606306736</v>
      </c>
      <c r="DT52" s="366">
        <f>IF(ISERROR(DT42/DT10),"NA ",DT42/DT10)</f>
        <v>0.13164193393968407</v>
      </c>
      <c r="DU52" s="366">
        <f>IF(ISERROR(DU42/DU10),"NA ",DU42/DU10)</f>
        <v>0.11057304277643261</v>
      </c>
      <c r="DV52" s="366">
        <f>IF(ISERROR(DV42/DV10),"NA ",DV42/DV10)</f>
        <v>0.18336181119179837</v>
      </c>
      <c r="DW52" s="367"/>
      <c r="DX52" s="366">
        <f>IF(ISERROR(DX42/DX10),"NA ",DX42/DX10)</f>
        <v>0.10718870346598203</v>
      </c>
      <c r="DY52" s="366">
        <f>IF(ISERROR(DY42/DY10),"NA ",DY42/DY10)</f>
        <v>0.11418741808650065</v>
      </c>
      <c r="DZ52" s="366">
        <f>IF(ISERROR(DZ42/DZ10),"NA ",DZ42/DZ10)</f>
        <v>0.10895471569628873</v>
      </c>
      <c r="EA52" s="366">
        <f>IF(ISERROR(EA42/EA10),"NA ",EA42/EA10)</f>
        <v>0.15593640771225617</v>
      </c>
      <c r="EB52" s="261"/>
      <c r="EC52" s="366">
        <f>IF(ISERROR(EC42/EC10),"NA ",EC42/EC10)</f>
        <v>9.5254589539314163E-2</v>
      </c>
      <c r="ED52" s="366">
        <f>IF(ISERROR(ED42/ED10),"NA ",ED42/ED10)</f>
        <v>0.10166722520107238</v>
      </c>
      <c r="EE52" s="366">
        <f>IF(ISERROR(EE42/EE10),"NA ",EE42/EE10)</f>
        <v>7.4134871339840286E-2</v>
      </c>
      <c r="EF52" s="366">
        <f>IF(ISERROR(EF42/EF10),"NA ",EF42/EF10)</f>
        <v>0.15636352982538379</v>
      </c>
      <c r="EG52" s="261"/>
      <c r="EH52" s="366">
        <f>IF(ISERROR(EH42/EH10),"NA ",EH42/EH10)</f>
        <v>8.632286995515695E-2</v>
      </c>
      <c r="EI52" s="366">
        <f>IF(ISERROR(EI42/EI10),"NA ",EI42/EI10)</f>
        <v>9.3522626441881099E-2</v>
      </c>
      <c r="EJ52" s="366">
        <f>IF(ISERROR(EJ42/EJ10),"NA ",EJ42/EJ10)</f>
        <v>7.7548704369207494E-2</v>
      </c>
      <c r="EK52" s="366">
        <f>IF(ISERROR(EK42/EK10),"NA ",EK42/EK10)</f>
        <v>0.19005881674547342</v>
      </c>
      <c r="EL52" s="366"/>
      <c r="EM52" s="1414">
        <f>IF(ISERROR(EM42/EM10),"NA ",EM42/EM10)</f>
        <v>8.4973194724807521E-2</v>
      </c>
      <c r="EN52" s="1414">
        <f>IF(ISERROR(EN42/EN10),"NA ",EN42/EN10)</f>
        <v>8.9259169966289575E-2</v>
      </c>
      <c r="EO52" s="1414">
        <f>IF(ISERROR(EO42/EO10),"NA ",EO42/EO10)</f>
        <v>7.9011847498496393E-2</v>
      </c>
      <c r="EP52" s="1414">
        <f>IF(ISERROR(EP42/EP10),"NA ",EP42/EP10)</f>
        <v>0.14946204229984839</v>
      </c>
      <c r="EQ52" s="262"/>
      <c r="ER52" s="369">
        <f>IF(ISERROR(ER42/ER10),"NA ",ER42/ER10)</f>
        <v>9.1896246028039016E-2</v>
      </c>
      <c r="ES52" s="366">
        <f>IF(ISERROR(ES42/ES10),"NA ",ES42/ES10)</f>
        <v>9.9067198605251816E-2</v>
      </c>
      <c r="ET52" s="366">
        <f>IF(ISERROR(ET42/ET10),"NA ",ET42/ET10)</f>
        <v>0.11015511301558201</v>
      </c>
      <c r="EU52" s="366">
        <f>IF(ISERROR(EU42/EU10),"NA ",EU42/EU10)</f>
        <v>6.8845454877203185E-2</v>
      </c>
      <c r="EV52" s="366">
        <f>IF(ISERROR(EV42/EV10),"NA ",EV42/EV10)</f>
        <v>0.10819133601189988</v>
      </c>
      <c r="EW52" s="366"/>
      <c r="EX52" s="366">
        <f t="shared" ref="EX52:FS52" si="145">IF(ISERROR(EX42/EX10),"NA ",EX42/EX10)</f>
        <v>8.0937115095114281E-2</v>
      </c>
      <c r="EY52" s="366">
        <f t="shared" si="145"/>
        <v>9.7996561720488096E-2</v>
      </c>
      <c r="EZ52" s="366">
        <f t="shared" si="145"/>
        <v>0.12818659658344284</v>
      </c>
      <c r="FA52" s="366">
        <f t="shared" si="145"/>
        <v>0.13576309794988611</v>
      </c>
      <c r="FB52" s="366">
        <f t="shared" si="145"/>
        <v>0.14748268762867303</v>
      </c>
      <c r="FC52" s="366">
        <f t="shared" si="145"/>
        <v>0.14593100132227432</v>
      </c>
      <c r="FD52" s="366">
        <f t="shared" si="145"/>
        <v>0.13082039911308205</v>
      </c>
      <c r="FE52" s="366">
        <f t="shared" si="145"/>
        <v>0.13460920942778243</v>
      </c>
      <c r="FF52" s="366">
        <f t="shared" si="145"/>
        <v>0.13710096029068258</v>
      </c>
      <c r="FG52" s="366">
        <f t="shared" si="145"/>
        <v>0.14211460446247465</v>
      </c>
      <c r="FH52" s="366">
        <f t="shared" si="145"/>
        <v>0.13827601607860651</v>
      </c>
      <c r="FI52" s="369">
        <f t="shared" si="145"/>
        <v>0.12936596218020022</v>
      </c>
      <c r="FJ52" s="366">
        <f t="shared" si="145"/>
        <v>0.12750351537262949</v>
      </c>
      <c r="FK52" s="368">
        <f t="shared" si="145"/>
        <v>0.10750441909047083</v>
      </c>
      <c r="FL52" s="369">
        <f t="shared" si="145"/>
        <v>0.11148775894538607</v>
      </c>
      <c r="FM52" s="369">
        <f t="shared" si="145"/>
        <v>0.1227452705675319</v>
      </c>
      <c r="FN52" s="366">
        <f t="shared" si="145"/>
        <v>0.13145237644385532</v>
      </c>
      <c r="FO52" s="366">
        <f t="shared" si="145"/>
        <v>0.13418334176117894</v>
      </c>
      <c r="FP52" s="366">
        <f t="shared" si="145"/>
        <v>0.13554831549174753</v>
      </c>
      <c r="FQ52" s="366">
        <f t="shared" si="145"/>
        <v>0.1395837039672656</v>
      </c>
      <c r="FR52" s="366">
        <f t="shared" si="145"/>
        <v>0.1251154030798774</v>
      </c>
      <c r="FS52" s="366">
        <f t="shared" si="145"/>
        <v>0.11226360478579699</v>
      </c>
      <c r="FT52" s="366">
        <f t="shared" ref="FT52:FY52" si="146">IF(ISERROR(FT42/FT10),"NA ",FT42/FT10)</f>
        <v>0.12214872719983964</v>
      </c>
      <c r="FU52" s="366">
        <f t="shared" si="146"/>
        <v>0.10689077771599427</v>
      </c>
      <c r="FV52" s="366">
        <f t="shared" si="146"/>
        <v>9.50556055059113E-2</v>
      </c>
      <c r="FW52" s="368">
        <f t="shared" si="146"/>
        <v>8.3284197276307023E-2</v>
      </c>
      <c r="FX52" s="366">
        <f t="shared" si="146"/>
        <v>7.3169602473625042E-2</v>
      </c>
      <c r="FY52" s="1347">
        <f t="shared" si="146"/>
        <v>6.3210133981218233E-2</v>
      </c>
      <c r="FZ52" s="366"/>
      <c r="GA52" s="366"/>
    </row>
    <row r="53" spans="1:190" x14ac:dyDescent="0.2">
      <c r="A53" s="260"/>
      <c r="B53" s="261"/>
      <c r="C53" s="261"/>
      <c r="D53" s="261"/>
      <c r="E53" s="261"/>
      <c r="F53" s="261"/>
      <c r="G53" s="261"/>
      <c r="H53" s="261"/>
      <c r="I53" s="261"/>
      <c r="J53" s="261"/>
      <c r="K53" s="261"/>
      <c r="L53" s="261"/>
      <c r="M53" s="261"/>
      <c r="N53" s="261"/>
      <c r="O53" s="261"/>
      <c r="P53" s="261"/>
      <c r="Q53" s="261"/>
      <c r="R53" s="261"/>
      <c r="S53" s="261"/>
      <c r="T53" s="261"/>
      <c r="U53" s="261"/>
      <c r="V53" s="261"/>
      <c r="W53" s="261"/>
      <c r="X53" s="261"/>
      <c r="Y53" s="261"/>
      <c r="Z53" s="261"/>
      <c r="AA53" s="261"/>
      <c r="AB53" s="261"/>
      <c r="AC53" s="261"/>
      <c r="AD53" s="261"/>
      <c r="AE53" s="261"/>
      <c r="AF53" s="261"/>
      <c r="AG53" s="261"/>
      <c r="AH53" s="261"/>
      <c r="AI53" s="261"/>
      <c r="AJ53" s="261"/>
      <c r="AK53" s="261"/>
      <c r="AL53" s="261"/>
      <c r="AM53" s="261"/>
      <c r="AN53" s="261"/>
      <c r="AO53" s="261"/>
      <c r="AP53" s="261"/>
      <c r="AQ53" s="261"/>
      <c r="AR53" s="261"/>
      <c r="AS53" s="261"/>
      <c r="AT53" s="261"/>
      <c r="AU53" s="261"/>
      <c r="AV53" s="261"/>
      <c r="AW53" s="261"/>
      <c r="AX53" s="261"/>
      <c r="AY53" s="261"/>
      <c r="AZ53" s="261"/>
      <c r="BA53" s="261"/>
      <c r="BB53" s="261"/>
      <c r="BC53" s="261"/>
      <c r="BD53" s="261"/>
      <c r="BE53" s="261"/>
      <c r="BF53" s="261"/>
      <c r="BG53" s="261"/>
      <c r="BH53" s="261"/>
      <c r="BI53" s="261"/>
      <c r="BJ53" s="261"/>
      <c r="BK53" s="261"/>
      <c r="BL53" s="261"/>
      <c r="BM53" s="261"/>
      <c r="BN53" s="261"/>
      <c r="BO53" s="261"/>
      <c r="BP53" s="261"/>
      <c r="BQ53" s="261"/>
      <c r="BR53" s="261"/>
      <c r="BS53" s="261"/>
      <c r="BT53" s="261"/>
      <c r="BU53" s="261"/>
      <c r="BV53" s="261"/>
      <c r="BW53" s="261"/>
      <c r="BX53" s="261"/>
      <c r="BY53" s="261"/>
      <c r="BZ53" s="261"/>
      <c r="CA53" s="261"/>
      <c r="CB53" s="261"/>
      <c r="CC53" s="261"/>
      <c r="CD53" s="261"/>
      <c r="CE53" s="261"/>
      <c r="CF53" s="261"/>
      <c r="CG53" s="261"/>
      <c r="CH53" s="261"/>
      <c r="CI53" s="261"/>
      <c r="CJ53" s="261"/>
      <c r="CK53" s="261"/>
      <c r="CL53" s="261"/>
      <c r="CM53" s="261"/>
      <c r="CN53" s="261"/>
      <c r="CO53" s="261"/>
      <c r="CP53" s="261"/>
      <c r="CQ53" s="261"/>
      <c r="CR53" s="261"/>
      <c r="CS53" s="261"/>
      <c r="CT53" s="261"/>
      <c r="CU53" s="261"/>
      <c r="CV53" s="261"/>
      <c r="CW53" s="261"/>
      <c r="CX53" s="261"/>
      <c r="CY53" s="261"/>
      <c r="CZ53" s="261"/>
      <c r="DA53" s="261"/>
      <c r="DB53" s="261"/>
      <c r="DC53" s="261"/>
      <c r="DD53" s="261"/>
      <c r="DE53" s="261"/>
      <c r="DF53" s="261"/>
      <c r="DG53" s="261"/>
      <c r="DH53" s="261"/>
      <c r="DI53" s="261"/>
      <c r="DJ53" s="261"/>
      <c r="DK53" s="261"/>
      <c r="DL53" s="261"/>
      <c r="DM53" s="261"/>
      <c r="DN53" s="261"/>
      <c r="DO53" s="261"/>
      <c r="DP53" s="261"/>
      <c r="DQ53" s="261"/>
      <c r="DR53" s="261"/>
      <c r="DS53" s="261"/>
      <c r="DT53" s="261"/>
      <c r="DU53" s="261"/>
      <c r="DV53" s="261"/>
      <c r="DW53" s="261"/>
      <c r="DX53" s="261"/>
      <c r="DY53" s="261"/>
      <c r="DZ53" s="261"/>
      <c r="EA53" s="261"/>
      <c r="EB53" s="261"/>
      <c r="EC53" s="261"/>
      <c r="ED53" s="261"/>
      <c r="EE53" s="261"/>
      <c r="EF53" s="261"/>
      <c r="EG53" s="261"/>
      <c r="EH53" s="261"/>
      <c r="EI53" s="261"/>
      <c r="EJ53" s="261"/>
      <c r="EK53" s="261"/>
      <c r="EL53" s="261"/>
      <c r="EM53" s="1325"/>
      <c r="EN53" s="1325"/>
      <c r="EO53" s="1325"/>
      <c r="EP53" s="1325"/>
      <c r="EQ53" s="262"/>
      <c r="ER53" s="260"/>
      <c r="ES53" s="261"/>
      <c r="ET53" s="261"/>
      <c r="EU53" s="261"/>
      <c r="EV53" s="261"/>
      <c r="EW53" s="261"/>
      <c r="EX53" s="261"/>
      <c r="EY53" s="261"/>
      <c r="EZ53" s="261"/>
      <c r="FA53" s="261"/>
      <c r="FB53" s="261"/>
      <c r="FC53" s="261"/>
      <c r="FD53" s="261"/>
      <c r="FE53" s="261"/>
      <c r="FF53" s="261"/>
      <c r="FG53" s="261"/>
      <c r="FH53" s="261"/>
      <c r="FI53" s="260"/>
      <c r="FJ53" s="261"/>
      <c r="FK53" s="262"/>
      <c r="FL53" s="260"/>
      <c r="FM53" s="260"/>
      <c r="FN53" s="261"/>
      <c r="FO53" s="261"/>
      <c r="FP53" s="261"/>
      <c r="FQ53" s="261"/>
      <c r="FR53" s="261"/>
      <c r="FS53" s="261"/>
      <c r="FT53" s="261"/>
      <c r="FW53" s="262"/>
      <c r="FX53" s="261"/>
      <c r="FY53" s="1356"/>
      <c r="FZ53" s="260"/>
      <c r="GA53" s="261"/>
    </row>
    <row r="54" spans="1:190" x14ac:dyDescent="0.2">
      <c r="A54" s="256" t="s">
        <v>183</v>
      </c>
      <c r="B54" s="261"/>
      <c r="C54" s="261"/>
      <c r="D54" s="261"/>
      <c r="E54" s="261"/>
      <c r="F54" s="261"/>
      <c r="G54" s="261"/>
      <c r="H54" s="261"/>
      <c r="I54" s="261"/>
      <c r="J54" s="261"/>
      <c r="K54" s="261"/>
      <c r="L54" s="261"/>
      <c r="M54" s="261"/>
      <c r="N54" s="261"/>
      <c r="O54" s="261"/>
      <c r="P54" s="261"/>
      <c r="Q54" s="261"/>
      <c r="R54" s="261"/>
      <c r="S54" s="261"/>
      <c r="T54" s="261"/>
      <c r="U54" s="261"/>
      <c r="V54" s="261"/>
      <c r="W54" s="261"/>
      <c r="X54" s="261"/>
      <c r="Y54" s="261"/>
      <c r="Z54" s="261"/>
      <c r="AA54" s="261"/>
      <c r="AB54" s="261"/>
      <c r="AC54" s="261"/>
      <c r="AD54" s="261"/>
      <c r="AE54" s="261"/>
      <c r="AF54" s="261"/>
      <c r="AG54" s="261"/>
      <c r="AH54" s="261"/>
      <c r="AI54" s="261"/>
      <c r="AJ54" s="261"/>
      <c r="AK54" s="261"/>
      <c r="AL54" s="261"/>
      <c r="AM54" s="261"/>
      <c r="AN54" s="261"/>
      <c r="AO54" s="261"/>
      <c r="AP54" s="261"/>
      <c r="AQ54" s="261"/>
      <c r="AR54" s="261"/>
      <c r="AS54" s="261"/>
      <c r="AT54" s="261"/>
      <c r="AU54" s="261"/>
      <c r="AV54" s="261"/>
      <c r="AW54" s="261"/>
      <c r="AX54" s="261"/>
      <c r="AY54" s="261"/>
      <c r="AZ54" s="261"/>
      <c r="BA54" s="261"/>
      <c r="BB54" s="261"/>
      <c r="BC54" s="261"/>
      <c r="BD54" s="261"/>
      <c r="BE54" s="261"/>
      <c r="BF54" s="261"/>
      <c r="BG54" s="261"/>
      <c r="BH54" s="261"/>
      <c r="BI54" s="261"/>
      <c r="BJ54" s="261"/>
      <c r="BK54" s="261"/>
      <c r="BL54" s="261"/>
      <c r="BM54" s="261"/>
      <c r="BN54" s="261"/>
      <c r="BO54" s="261"/>
      <c r="BP54" s="261"/>
      <c r="BQ54" s="261"/>
      <c r="BR54" s="261"/>
      <c r="BS54" s="261"/>
      <c r="BT54" s="261"/>
      <c r="BU54" s="261"/>
      <c r="BV54" s="261"/>
      <c r="BW54" s="261"/>
      <c r="BX54" s="261"/>
      <c r="BY54" s="261"/>
      <c r="BZ54" s="261"/>
      <c r="CA54" s="261"/>
      <c r="CB54" s="261"/>
      <c r="CC54" s="261"/>
      <c r="CD54" s="261"/>
      <c r="CE54" s="261"/>
      <c r="CF54" s="261"/>
      <c r="CG54" s="261"/>
      <c r="CH54" s="261"/>
      <c r="CI54" s="261"/>
      <c r="CJ54" s="261"/>
      <c r="CK54" s="261"/>
      <c r="CL54" s="261"/>
      <c r="CM54" s="261"/>
      <c r="CN54" s="261"/>
      <c r="CO54" s="261"/>
      <c r="CP54" s="261"/>
      <c r="CQ54" s="261"/>
      <c r="CR54" s="261"/>
      <c r="CS54" s="261"/>
      <c r="CT54" s="261"/>
      <c r="CU54" s="261"/>
      <c r="CV54" s="261"/>
      <c r="CW54" s="261"/>
      <c r="CX54" s="261"/>
      <c r="CY54" s="261"/>
      <c r="CZ54" s="261"/>
      <c r="DA54" s="261"/>
      <c r="DB54" s="261"/>
      <c r="DC54" s="261"/>
      <c r="DD54" s="261"/>
      <c r="DE54" s="261"/>
      <c r="DF54" s="261"/>
      <c r="DG54" s="261"/>
      <c r="DH54" s="261"/>
      <c r="DI54" s="261"/>
      <c r="DJ54" s="261"/>
      <c r="DK54" s="261"/>
      <c r="DL54" s="261"/>
      <c r="DM54" s="261"/>
      <c r="DN54" s="261"/>
      <c r="DO54" s="261"/>
      <c r="DP54" s="261"/>
      <c r="DQ54" s="261"/>
      <c r="DR54" s="261"/>
      <c r="DS54" s="261"/>
      <c r="DT54" s="261"/>
      <c r="DU54" s="261"/>
      <c r="DV54" s="261"/>
      <c r="DW54" s="261"/>
      <c r="DX54" s="371"/>
      <c r="DY54" s="371"/>
      <c r="DZ54" s="371"/>
      <c r="EA54" s="371"/>
      <c r="EB54" s="261"/>
      <c r="EC54" s="371"/>
      <c r="ED54" s="371"/>
      <c r="EE54" s="371"/>
      <c r="EF54" s="371"/>
      <c r="EG54" s="261"/>
      <c r="EH54" s="371"/>
      <c r="EI54" s="371"/>
      <c r="EJ54" s="371"/>
      <c r="EK54" s="371"/>
      <c r="EL54" s="371"/>
      <c r="EM54" s="1413"/>
      <c r="EN54" s="1413"/>
      <c r="EO54" s="1413"/>
      <c r="EP54" s="1413"/>
      <c r="EQ54" s="262"/>
      <c r="ER54" s="260"/>
      <c r="ES54" s="261"/>
      <c r="ET54" s="261"/>
      <c r="EU54" s="261"/>
      <c r="EV54" s="261"/>
      <c r="EW54" s="261"/>
      <c r="EX54" s="261"/>
      <c r="EY54" s="261"/>
      <c r="EZ54" s="261"/>
      <c r="FA54" s="261"/>
      <c r="FB54" s="261"/>
      <c r="FC54" s="261"/>
      <c r="FD54" s="261"/>
      <c r="FE54" s="261"/>
      <c r="FF54" s="261"/>
      <c r="FG54" s="261"/>
      <c r="FH54" s="261"/>
      <c r="FI54" s="260"/>
      <c r="FJ54" s="261"/>
      <c r="FK54" s="262"/>
      <c r="FL54" s="260"/>
      <c r="FM54" s="260"/>
      <c r="FN54" s="371"/>
      <c r="FO54" s="261"/>
      <c r="FP54" s="261"/>
      <c r="FQ54" s="261"/>
      <c r="FR54" s="261"/>
      <c r="FS54" s="261"/>
      <c r="FT54" s="261"/>
      <c r="FW54" s="262"/>
      <c r="FX54" s="261"/>
      <c r="FY54" s="1356"/>
      <c r="FZ54" s="260"/>
      <c r="GA54" s="261"/>
    </row>
    <row r="55" spans="1:190" x14ac:dyDescent="0.2">
      <c r="A55" s="260" t="s">
        <v>89</v>
      </c>
      <c r="B55" s="261"/>
      <c r="C55" s="366" t="s">
        <v>240</v>
      </c>
      <c r="D55" s="366" t="s">
        <v>240</v>
      </c>
      <c r="E55" s="366" t="s">
        <v>240</v>
      </c>
      <c r="F55" s="366" t="s">
        <v>240</v>
      </c>
      <c r="G55" s="261"/>
      <c r="H55" s="366">
        <f>H10/C10-1</f>
        <v>1.86046804069262E-3</v>
      </c>
      <c r="I55" s="366">
        <f>I10/D10-1</f>
        <v>-1.9629781109162359E-2</v>
      </c>
      <c r="J55" s="366">
        <f>J10/E10-1</f>
        <v>-3.3058964187159479E-2</v>
      </c>
      <c r="K55" s="366">
        <f>K10/F10-1</f>
        <v>-5.5011636021012E-2</v>
      </c>
      <c r="L55" s="261"/>
      <c r="M55" s="366">
        <f>M10/H10-1</f>
        <v>-1.3614121583839567E-2</v>
      </c>
      <c r="N55" s="366">
        <f>N10/I10-1</f>
        <v>-2.5760441466214368E-2</v>
      </c>
      <c r="O55" s="366">
        <f>O10/J10-1</f>
        <v>4.6851163408529795E-2</v>
      </c>
      <c r="P55" s="366">
        <f>P10/K10-1</f>
        <v>5.9869931498505169E-2</v>
      </c>
      <c r="Q55" s="261"/>
      <c r="R55" s="366">
        <f>R10/M10-1</f>
        <v>1.1791495464221979E-2</v>
      </c>
      <c r="S55" s="366">
        <f>S10/N10-1</f>
        <v>3.0933042000752087E-2</v>
      </c>
      <c r="T55" s="366">
        <f>T10/O10-1</f>
        <v>1.9564384993575601E-4</v>
      </c>
      <c r="U55" s="366">
        <f>U10/P10-1</f>
        <v>3.7800425987538633E-2</v>
      </c>
      <c r="V55" s="261"/>
      <c r="W55" s="366">
        <f>W10/R10-1</f>
        <v>3.9850112465956933E-2</v>
      </c>
      <c r="X55" s="366">
        <f>X10/S10-1</f>
        <v>6.2446082242552547E-2</v>
      </c>
      <c r="Y55" s="366">
        <f>Y10/T10-1</f>
        <v>7.6842814149548744E-2</v>
      </c>
      <c r="Z55" s="366">
        <f>Z10/U10-1</f>
        <v>7.8120367498969223E-2</v>
      </c>
      <c r="AA55" s="261"/>
      <c r="AB55" s="366">
        <f>AB10/W10-1</f>
        <v>0.80693637214106384</v>
      </c>
      <c r="AC55" s="366">
        <f>AC10/X10-1</f>
        <v>0.90902825637491391</v>
      </c>
      <c r="AD55" s="366">
        <f>AD10/Y10-1</f>
        <v>0.73007523830827203</v>
      </c>
      <c r="AE55" s="366">
        <f>AE10/Z10-1</f>
        <v>0.82916590113930222</v>
      </c>
      <c r="AF55" s="261"/>
      <c r="AG55" s="366">
        <f>AG10/AB10-1</f>
        <v>0.10464972292558983</v>
      </c>
      <c r="AH55" s="366">
        <f>AH10/AC10-1</f>
        <v>7.7847062684607726E-2</v>
      </c>
      <c r="AI55" s="366">
        <f>AI10/AD10-1</f>
        <v>8.2666772260500121E-2</v>
      </c>
      <c r="AJ55" s="366">
        <f>AJ10/AE10-1</f>
        <v>8.7676854951938665E-2</v>
      </c>
      <c r="AK55" s="261"/>
      <c r="AL55" s="366">
        <f>AL10/AG10-1</f>
        <v>3.2690035447026311E-2</v>
      </c>
      <c r="AM55" s="366">
        <f>AM10/AH10-1</f>
        <v>5.1336703002253348E-2</v>
      </c>
      <c r="AN55" s="366">
        <f>AN10/AI10-1</f>
        <v>3.7959602116871327E-2</v>
      </c>
      <c r="AO55" s="366">
        <f>AO10/AJ10-1</f>
        <v>4.9084481868373331E-3</v>
      </c>
      <c r="AP55" s="261"/>
      <c r="AQ55" s="366">
        <f>AQ10/AL10-1</f>
        <v>-1.5138179897905224E-2</v>
      </c>
      <c r="AR55" s="366">
        <f>AR10/AM10-1</f>
        <v>-7.7618164967563352E-3</v>
      </c>
      <c r="AS55" s="366">
        <f>AS10/AN10-1</f>
        <v>-5.2881663596807349E-2</v>
      </c>
      <c r="AT55" s="366">
        <f>AT10/AO10-1</f>
        <v>-5.1611465033607473E-3</v>
      </c>
      <c r="AU55" s="261"/>
      <c r="AV55" s="366">
        <f>AV10/AQ10-1</f>
        <v>7.2386058981233292E-2</v>
      </c>
      <c r="AW55" s="366">
        <f>AW10/AR10-1</f>
        <v>0.16929363689433741</v>
      </c>
      <c r="AX55" s="366">
        <f>AX10/AS10-1</f>
        <v>0.16600901916572708</v>
      </c>
      <c r="AY55" s="366">
        <f>AY10/AT10-1</f>
        <v>0.18653158522050051</v>
      </c>
      <c r="AZ55" s="261"/>
      <c r="BA55" s="366">
        <f>BA10/AV10-1</f>
        <v>-7.4999999999999512E-3</v>
      </c>
      <c r="BB55" s="366">
        <f>BB10/AW10-1</f>
        <v>-8.1627558662006994E-2</v>
      </c>
      <c r="BC55" s="366">
        <f>BC10/AX10-1</f>
        <v>-8.5810974135847262E-2</v>
      </c>
      <c r="BD55" s="366">
        <f>BD10/AY10-1</f>
        <v>-6.1778001004520355E-2</v>
      </c>
      <c r="BE55" s="261"/>
      <c r="BF55" s="366">
        <f>BF10/BA10-1</f>
        <v>-4.7579065211307281E-3</v>
      </c>
      <c r="BG55" s="366">
        <f>BG10/BB10-1</f>
        <v>-5.191628159826045E-2</v>
      </c>
      <c r="BH55" s="366">
        <f>BH10/BC10-1</f>
        <v>-8.1173982020095181E-2</v>
      </c>
      <c r="BI55" s="366">
        <f>BI10/BD10-1</f>
        <v>-8.4225553176302648E-2</v>
      </c>
      <c r="BJ55" s="261"/>
      <c r="BK55" s="366">
        <f>BK10/BF10-1</f>
        <v>-2.8965129358830111E-2</v>
      </c>
      <c r="BL55" s="366">
        <f>BL10/BG10-1</f>
        <v>-5.7339449541282672E-4</v>
      </c>
      <c r="BM55" s="366">
        <f>BM10/BH10-1</f>
        <v>1.1510791366906581E-3</v>
      </c>
      <c r="BN55" s="366">
        <f>BN10/BI10-1</f>
        <v>-2.2408417770849565E-2</v>
      </c>
      <c r="BO55" s="261"/>
      <c r="BP55" s="366">
        <f>BP10/BK10-1</f>
        <v>-4.6915725456125101E-2</v>
      </c>
      <c r="BQ55" s="366">
        <f>BQ10/BL10-1</f>
        <v>-1.4916810097532984E-2</v>
      </c>
      <c r="BR55" s="366">
        <f>BR10/BM10-1</f>
        <v>2.012072434607548E-3</v>
      </c>
      <c r="BS55" s="366">
        <f>BS10/BN10-1</f>
        <v>7.1756029499701057E-3</v>
      </c>
      <c r="BT55" s="261"/>
      <c r="BU55" s="366">
        <f>BU10/BP10-1</f>
        <v>7.8699483439683915E-2</v>
      </c>
      <c r="BV55" s="366">
        <f>BV10/BQ10-1</f>
        <v>4.2807221898660375E-2</v>
      </c>
      <c r="BW55" s="366">
        <f>BW10/BR10-1</f>
        <v>1.1187607573149849E-2</v>
      </c>
      <c r="BX55" s="366">
        <f>BX10/BS10-1</f>
        <v>1.3259449831783066E-2</v>
      </c>
      <c r="BY55" s="261"/>
      <c r="BZ55" s="366">
        <f>BZ10/BU10-1</f>
        <v>2.5633802816901419E-2</v>
      </c>
      <c r="CA55" s="366">
        <f>CA10/BV10-1</f>
        <v>1.1728567439262871E-2</v>
      </c>
      <c r="CB55" s="366">
        <f>CB10/BW10-1</f>
        <v>0.57588652482269498</v>
      </c>
      <c r="CC55" s="366">
        <f>CC10/BX10-1</f>
        <v>0.86933593750000004</v>
      </c>
      <c r="CD55" s="261"/>
      <c r="CE55" s="366">
        <f>CE10/BZ10-1</f>
        <v>0.62867344136226322</v>
      </c>
      <c r="CF55" s="366">
        <f>CF10/CA10-1</f>
        <v>0.65470604471432514</v>
      </c>
      <c r="CG55" s="366">
        <f>CG10/CB10-1</f>
        <v>5.9585958595859578E-2</v>
      </c>
      <c r="CH55" s="366">
        <f>CH10/CC10-1</f>
        <v>-4.3046703583742518E-2</v>
      </c>
      <c r="CI55" s="261"/>
      <c r="CJ55" s="366">
        <f>CJ10/CE10-1</f>
        <v>-1.5177065767284503E-3</v>
      </c>
      <c r="CK55" s="366">
        <f>CK10/CF10-1</f>
        <v>-1.7180984153461254E-2</v>
      </c>
      <c r="CL55" s="366">
        <f>CL10/CG10-1</f>
        <v>3.397893306150257E-3</v>
      </c>
      <c r="CM55" s="366">
        <f>CM10/CH10-1</f>
        <v>-6.1687957200567745E-2</v>
      </c>
      <c r="CN55" s="261"/>
      <c r="CO55" s="366">
        <f>CO10/CJ10-1</f>
        <v>-2.9386927883803371E-2</v>
      </c>
      <c r="CP55" s="366">
        <f>CP10/CK10-1</f>
        <v>-2.9531568228105876E-2</v>
      </c>
      <c r="CQ55" s="366">
        <f>CQ10/CL10-1</f>
        <v>-6.9928885878767333E-2</v>
      </c>
      <c r="CR55" s="366">
        <f>CR10/CM10-1</f>
        <v>-7.6797765883174329E-2</v>
      </c>
      <c r="CS55" s="261"/>
      <c r="CT55" s="366">
        <f>CT10/CO10-1</f>
        <v>-7.9867757090655966E-2</v>
      </c>
      <c r="CU55" s="366">
        <f>CU10/CP10-1</f>
        <v>-7.5725778244141284E-2</v>
      </c>
      <c r="CV55" s="366">
        <f>CV10/CQ10-1</f>
        <v>-1.9661387220098359E-2</v>
      </c>
      <c r="CW55" s="366">
        <f>CW10/CR10-1</f>
        <v>3.7811948575749987E-4</v>
      </c>
      <c r="CX55" s="261"/>
      <c r="CY55" s="366">
        <f>CY10/CT10-1</f>
        <v>5.4084720121028829E-2</v>
      </c>
      <c r="CZ55" s="366">
        <f>CZ10/CU10-1</f>
        <v>4.7682119205298079E-2</v>
      </c>
      <c r="DA55" s="366">
        <f>DA10/CV10-1</f>
        <v>4.4196843082636939E-2</v>
      </c>
      <c r="DB55" s="366">
        <f>DB10/CW10-1</f>
        <v>4.182940657679235E-2</v>
      </c>
      <c r="DC55" s="261"/>
      <c r="DD55" s="366">
        <f>DD10/CY10-1</f>
        <v>5.6512378902045191E-2</v>
      </c>
      <c r="DE55" s="366">
        <f>DE10/CZ10-1</f>
        <v>7.2602492324363332E-2</v>
      </c>
      <c r="DF55" s="366">
        <f>DF10/DA10-1</f>
        <v>4.0903432331495626E-2</v>
      </c>
      <c r="DG55" s="366">
        <f>DG10/DB10-1</f>
        <v>5.5024791389527206E-2</v>
      </c>
      <c r="DH55" s="261"/>
      <c r="DI55" s="366">
        <f>DI10/DD10-1</f>
        <v>4.313126167430803E-2</v>
      </c>
      <c r="DJ55" s="366">
        <f>DJ10/DE10-1</f>
        <v>3.0139754167368249E-2</v>
      </c>
      <c r="DK55" s="366">
        <f>DK10/DF10-1</f>
        <v>3.7929267042542181E-2</v>
      </c>
      <c r="DL55" s="366">
        <f>DL10/DG10-1</f>
        <v>7.175607519486471E-2</v>
      </c>
      <c r="DM55" s="261"/>
      <c r="DN55" s="366">
        <f>DN10/DI10-1</f>
        <v>3.9720006511476447E-2</v>
      </c>
      <c r="DO55" s="366">
        <f>DO10/DJ10-1</f>
        <v>-8.4995096436744078E-3</v>
      </c>
      <c r="DP55" s="366">
        <f>DP10/DK10-1</f>
        <v>3.308641975308646E-2</v>
      </c>
      <c r="DQ55" s="366">
        <f>DQ10/DL10-1</f>
        <v>-1.582887700534763E-2</v>
      </c>
      <c r="DR55" s="261"/>
      <c r="DS55" s="366">
        <f>DS10/DN10-1</f>
        <v>-1.6909347111319861E-2</v>
      </c>
      <c r="DT55" s="366">
        <f>DT10/DO10-1</f>
        <v>3.3135509396637008E-2</v>
      </c>
      <c r="DU55" s="366">
        <f>DU10/DP10-1</f>
        <v>-1.2906309751434031E-2</v>
      </c>
      <c r="DV55" s="366">
        <f>DV10/DQ10-1</f>
        <v>1.7604868506846394E-2</v>
      </c>
      <c r="DW55" s="261"/>
      <c r="DX55" s="366">
        <f>DX10/DS10-1</f>
        <v>-7.4852683548335408E-3</v>
      </c>
      <c r="DY55" s="366">
        <f>DY10/DT10-1</f>
        <v>-2.6009254826870887E-2</v>
      </c>
      <c r="DZ55" s="366">
        <f>DZ10/DU10-1</f>
        <v>-5.1815980629539959E-2</v>
      </c>
      <c r="EA55" s="366">
        <f>EA10/DV10-1</f>
        <v>-5.2862024775736871E-2</v>
      </c>
      <c r="EB55" s="261"/>
      <c r="EC55" s="366">
        <f>EC10/DX10-1</f>
        <v>-7.3491655969191272E-2</v>
      </c>
      <c r="ED55" s="366">
        <f>ED10/DY10-1</f>
        <v>-2.2280471821756187E-2</v>
      </c>
      <c r="EE55" s="366">
        <f>EE10/DZ10-1</f>
        <v>-4.0687776642832851E-2</v>
      </c>
      <c r="EF55" s="366">
        <f>EF10/EA10-1</f>
        <v>-3.7884767166535105E-2</v>
      </c>
      <c r="EG55" s="261"/>
      <c r="EH55" s="366">
        <f>EH10/EC10-1</f>
        <v>-7.308624870107383E-2</v>
      </c>
      <c r="EI55" s="366">
        <f>EI10/ED10-1</f>
        <v>-5.5797587131367288E-2</v>
      </c>
      <c r="EJ55" s="366">
        <f>EJ10/EE10-1</f>
        <v>-6.1756876663708993E-2</v>
      </c>
      <c r="EK55" s="366">
        <f>EK10/EF10-1</f>
        <v>1.6172506738544534E-2</v>
      </c>
      <c r="EL55" s="366"/>
      <c r="EM55" s="1414">
        <f>EM10/EH10-1</f>
        <v>-7.0000000000000062E-3</v>
      </c>
      <c r="EN55" s="1414">
        <f>EN10/EI10-1</f>
        <v>-2.9000000000000026E-2</v>
      </c>
      <c r="EO55" s="1414">
        <f>EO10/EJ10-1</f>
        <v>2.0000000000000018E-3</v>
      </c>
      <c r="EP55" s="1414">
        <f>EP10/EK10-1</f>
        <v>-2.3000000000000131E-2</v>
      </c>
      <c r="EQ55" s="262"/>
      <c r="ER55" s="369"/>
      <c r="ES55" s="366"/>
      <c r="ET55" s="366"/>
      <c r="EU55" s="366"/>
      <c r="EV55" s="366"/>
      <c r="EW55" s="366"/>
      <c r="EX55" s="366"/>
      <c r="EY55" s="366">
        <f t="shared" ref="EY55:FH55" si="147">EY10/EX10-1</f>
        <v>1.4985630217599466E-2</v>
      </c>
      <c r="EZ55" s="366">
        <f t="shared" si="147"/>
        <v>2.6090473943234604E-2</v>
      </c>
      <c r="FA55" s="366">
        <f t="shared" si="147"/>
        <v>9.5269382391589552E-3</v>
      </c>
      <c r="FB55" s="366">
        <f t="shared" si="147"/>
        <v>4.3215099251545652E-2</v>
      </c>
      <c r="FC55" s="366">
        <f t="shared" si="147"/>
        <v>3.7993636533782515E-2</v>
      </c>
      <c r="FD55" s="366">
        <f t="shared" si="147"/>
        <v>-5.126818127178745E-2</v>
      </c>
      <c r="FE55" s="366">
        <f t="shared" si="147"/>
        <v>-1.3557174532784266E-2</v>
      </c>
      <c r="FF55" s="366">
        <f t="shared" si="147"/>
        <v>-1.0211290218996805E-2</v>
      </c>
      <c r="FG55" s="366">
        <f t="shared" si="147"/>
        <v>2.361796003114458E-2</v>
      </c>
      <c r="FH55" s="366">
        <f t="shared" si="147"/>
        <v>0.41924442190669375</v>
      </c>
      <c r="FI55" s="369">
        <f>FI10/FH10-1</f>
        <v>0.20455560518088434</v>
      </c>
      <c r="FJ55" s="366">
        <f>FJ10/FI10-1</f>
        <v>-2.4360400444938812E-2</v>
      </c>
      <c r="FK55" s="368">
        <f t="shared" ref="FK55:FV55" si="148">FK10/FJ10-1</f>
        <v>-5.4003724394785846E-2</v>
      </c>
      <c r="FL55" s="369">
        <f t="shared" si="148"/>
        <v>-4.0053029085650005E-2</v>
      </c>
      <c r="FM55" s="369">
        <f t="shared" si="148"/>
        <v>4.6369533375183014E-2</v>
      </c>
      <c r="FN55" s="366">
        <f t="shared" si="148"/>
        <v>5.60732712074552E-2</v>
      </c>
      <c r="FO55" s="366">
        <f t="shared" si="148"/>
        <v>4.8513539102442715E-2</v>
      </c>
      <c r="FP55" s="366">
        <f t="shared" si="148"/>
        <v>8.8492378819620132E-3</v>
      </c>
      <c r="FQ55" s="366">
        <f t="shared" si="148"/>
        <v>6.229637320539938E-3</v>
      </c>
      <c r="FR55" s="366">
        <f t="shared" si="148"/>
        <v>-3.6505959793631026E-2</v>
      </c>
      <c r="FS55" s="366">
        <f t="shared" si="148"/>
        <v>-4.3169984120536187E-2</v>
      </c>
      <c r="FT55" s="366">
        <f t="shared" si="148"/>
        <v>-3.7244307217290662E-2</v>
      </c>
      <c r="FU55" s="366">
        <f t="shared" si="148"/>
        <v>-1.5623892563640052E-2</v>
      </c>
      <c r="FV55" s="366">
        <f t="shared" si="148"/>
        <v>-2.9476969010236109E-2</v>
      </c>
      <c r="FW55" s="368">
        <f>FW10/FV10-1</f>
        <v>-2.9689967270953854E-2</v>
      </c>
      <c r="FX55" s="366">
        <f>FX10/FW10-1</f>
        <v>-2.8944054909708972E-2</v>
      </c>
      <c r="FY55" s="1347">
        <f>FY10/FX10-1</f>
        <v>-2.9170318184317812E-2</v>
      </c>
      <c r="FZ55" s="369"/>
      <c r="GA55" s="366"/>
    </row>
    <row r="56" spans="1:190" x14ac:dyDescent="0.2">
      <c r="A56" s="260" t="s">
        <v>184</v>
      </c>
      <c r="B56" s="261"/>
      <c r="C56" s="366" t="s">
        <v>240</v>
      </c>
      <c r="D56" s="366" t="s">
        <v>240</v>
      </c>
      <c r="E56" s="366" t="s">
        <v>240</v>
      </c>
      <c r="F56" s="366" t="s">
        <v>240</v>
      </c>
      <c r="G56" s="261"/>
      <c r="H56" s="366">
        <f>INDEX('qtrP&amp;L'!$10:$10,MATCH(H$7,'qtrP&amp;L'!$6:$6,0)+2)%</f>
        <v>2.8999999999999998E-2</v>
      </c>
      <c r="I56" s="366">
        <f>INDEX('qtrP&amp;L'!$11:$11,MATCH(H$7,'qtrP&amp;L'!$6:$6,0)+2)%</f>
        <v>1.3999999999999999E-2</v>
      </c>
      <c r="J56" s="366">
        <f>INDEX('qtrP&amp;L'!$12:$12,MATCH(H$7,'qtrP&amp;L'!$6:$6,0)+2)%</f>
        <v>1.8000000000000002E-2</v>
      </c>
      <c r="K56" s="366">
        <f>INDEX('qtrP&amp;L'!$13:$13,MATCH(H$7,'qtrP&amp;L'!$6:$6,0)+2)%</f>
        <v>-1E-3</v>
      </c>
      <c r="L56" s="261"/>
      <c r="M56" s="366">
        <f>INDEX('qtrP&amp;L'!$10:$10,MATCH(M$7,'qtrP&amp;L'!$6:$6,0)+2)%</f>
        <v>4.4000000000000004E-2</v>
      </c>
      <c r="N56" s="366">
        <f>INDEX('qtrP&amp;L'!$11:$11,MATCH(M$7,'qtrP&amp;L'!$6:$6,0)+2)%</f>
        <v>1.7000000000000001E-2</v>
      </c>
      <c r="O56" s="366">
        <f>INDEX('qtrP&amp;L'!$12:$12,MATCH(M$7,'qtrP&amp;L'!$6:$6,0)+2)%</f>
        <v>5.7000000000000002E-2</v>
      </c>
      <c r="P56" s="366">
        <f>INDEX('qtrP&amp;L'!$13:$13,MATCH(M$7,'qtrP&amp;L'!$6:$6,0)+2)%</f>
        <v>7.4999999999999997E-2</v>
      </c>
      <c r="Q56" s="261"/>
      <c r="R56" s="366">
        <f>INDEX('qtrP&amp;L'!$10:$10,MATCH(R$7,'qtrP&amp;L'!$6:$6,0)+2)%</f>
        <v>0.02</v>
      </c>
      <c r="S56" s="366">
        <f>INDEX('qtrP&amp;L'!$11:$11,MATCH(R$7,'qtrP&amp;L'!$6:$6,0)+2)%</f>
        <v>0.04</v>
      </c>
      <c r="T56" s="366">
        <f>INDEX('qtrP&amp;L'!$12:$12,MATCH(R$7,'qtrP&amp;L'!$6:$6,0)+2)%</f>
        <v>0</v>
      </c>
      <c r="U56" s="366">
        <f>INDEX('qtrP&amp;L'!$13:$13,MATCH(R$7,'qtrP&amp;L'!$6:$6,0)+2)%</f>
        <v>2.1000000000000001E-2</v>
      </c>
      <c r="V56" s="261"/>
      <c r="W56" s="366">
        <f>INDEX('qtrP&amp;L'!$10:$10,MATCH(W$7,'qtrP&amp;L'!$6:$6,0)+2)%</f>
        <v>2.1000000000000001E-2</v>
      </c>
      <c r="X56" s="366">
        <f>INDEX('qtrP&amp;L'!$11:$11,MATCH(W$7,'qtrP&amp;L'!$6:$6,0)+2)%</f>
        <v>2.2000000000000002E-2</v>
      </c>
      <c r="Y56" s="366">
        <f>INDEX('qtrP&amp;L'!$12:$12,MATCH(W$7,'qtrP&amp;L'!$6:$6,0)+2)%</f>
        <v>3.4000000000000002E-2</v>
      </c>
      <c r="Z56" s="366">
        <f>INDEX('qtrP&amp;L'!$13:$13,MATCH(W$7,'qtrP&amp;L'!$6:$6,0)+2)%</f>
        <v>4.0999999999999995E-2</v>
      </c>
      <c r="AA56" s="261"/>
      <c r="AB56" s="366">
        <f>INDEX('qtrP&amp;L'!$10:$10,MATCH(AB$7,'qtrP&amp;L'!$6:$6,0)+2)%</f>
        <v>1.3000000000000001E-2</v>
      </c>
      <c r="AC56" s="366">
        <f>INDEX('qtrP&amp;L'!$11:$11,MATCH(AB$7,'qtrP&amp;L'!$6:$6,0)+2)%</f>
        <v>6.2E-2</v>
      </c>
      <c r="AD56" s="366">
        <f>INDEX('qtrP&amp;L'!$12:$12,MATCH(AB$7,'qtrP&amp;L'!$6:$6,0)+2)%</f>
        <v>1.4999999999999999E-2</v>
      </c>
      <c r="AE56" s="366">
        <f>INDEX('qtrP&amp;L'!$13:$13,MATCH(AB$7,'qtrP&amp;L'!$6:$6,0)+2)%</f>
        <v>2.2000000000000002E-2</v>
      </c>
      <c r="AF56" s="261"/>
      <c r="AG56" s="366">
        <f>INDEX('qtrP&amp;L'!$10:$10,MATCH(AG$7,'qtrP&amp;L'!$6:$6,0)+2)%</f>
        <v>4.8470506256248672E-2</v>
      </c>
      <c r="AH56" s="366">
        <f>INDEX('qtrP&amp;L'!$11:$11,MATCH(AG$7,'qtrP&amp;L'!$6:$6,0)+2)%</f>
        <v>8.3184337129285652E-3</v>
      </c>
      <c r="AI56" s="366">
        <f>INDEX('qtrP&amp;L'!$12:$12,MATCH(AG$7,'qtrP&amp;L'!$6:$6,0)+2)%</f>
        <v>9.0000000000000011E-3</v>
      </c>
      <c r="AJ56" s="366">
        <f>INDEX('qtrP&amp;L'!$13:$13,MATCH(AG$7,'qtrP&amp;L'!$6:$6,0)+2)%</f>
        <v>4.3417523930571543E-2</v>
      </c>
      <c r="AK56" s="261"/>
      <c r="AL56" s="366">
        <f>INDEX('qtrP&amp;L'!$10:$10,MATCH(AL$7,'qtrP&amp;L'!$6:$6,0)+2)%</f>
        <v>2.5000000000000001E-2</v>
      </c>
      <c r="AM56" s="366">
        <f>INDEX('qtrP&amp;L'!$11:$11,MATCH(AL$7,'qtrP&amp;L'!$6:$6,0)+2)%</f>
        <v>4.4000000000000004E-2</v>
      </c>
      <c r="AN56" s="366">
        <f>INDEX('qtrP&amp;L'!$12:$12,MATCH(AL$7,'qtrP&amp;L'!$6:$6,0)+2)%</f>
        <v>3.1E-2</v>
      </c>
      <c r="AO56" s="366">
        <f>INDEX('qtrP&amp;L'!$13:$13,MATCH(AL$7,'qtrP&amp;L'!$6:$6,0)+2)%</f>
        <v>1.3999999999999999E-2</v>
      </c>
      <c r="AP56" s="261"/>
      <c r="AQ56" s="366">
        <f>INDEX('qtrP&amp;L'!$10:$10,MATCH(AQ$7,'qtrP&amp;L'!$6:$6,0)+2)%</f>
        <v>2.4E-2</v>
      </c>
      <c r="AR56" s="366">
        <f>INDEX('qtrP&amp;L'!$11:$11,MATCH(AQ$7,'qtrP&amp;L'!$6:$6,0)+2)%</f>
        <v>3.0187969924812031E-2</v>
      </c>
      <c r="AS56" s="366">
        <f>INDEX('qtrP&amp;L'!$12:$12,MATCH(AQ$7,'qtrP&amp;L'!$6:$6,0)+2)%</f>
        <v>-1.2479646871752174E-2</v>
      </c>
      <c r="AT56" s="366">
        <f>INDEX('qtrP&amp;L'!$13:$13,MATCH(AQ$7,'qtrP&amp;L'!$6:$6,0)+2)%</f>
        <v>4.0999999999999995E-2</v>
      </c>
      <c r="AU56" s="261"/>
      <c r="AV56" s="366">
        <f>INDEX('qtrP&amp;L'!$10:$10,MATCH(AV$7,'qtrP&amp;L'!$6:$6,0)+2)%</f>
        <v>0.04</v>
      </c>
      <c r="AW56" s="366">
        <f>INDEX('qtrP&amp;L'!$11:$11,MATCH(AV$7,'qtrP&amp;L'!$6:$6,0)+2)%</f>
        <v>5.9000000000000004E-2</v>
      </c>
      <c r="AX56" s="366">
        <f>INDEX('qtrP&amp;L'!$12:$12,MATCH(AV$7,'qtrP&amp;L'!$6:$6,0)+2)%</f>
        <v>3.9E-2</v>
      </c>
      <c r="AY56" s="366">
        <f>INDEX('qtrP&amp;L'!$13:$13,MATCH(AV$7,'qtrP&amp;L'!$6:$6,0)+2)%</f>
        <v>4.4000000000000004E-2</v>
      </c>
      <c r="AZ56" s="261"/>
      <c r="BA56" s="366">
        <f>INDEX('qtrP&amp;L'!$10:$10,MATCH(BA$7,'qtrP&amp;L'!$6:$6,0)+2)%</f>
        <v>2.8999999999999998E-2</v>
      </c>
      <c r="BB56" s="366">
        <f>INDEX('qtrP&amp;L'!$11:$11,MATCH(BA$7,'qtrP&amp;L'!$6:$6,0)+2)%</f>
        <v>1.9E-2</v>
      </c>
      <c r="BC56" s="366">
        <f>INDEX('qtrP&amp;L'!$12:$12,MATCH(BA$7,'qtrP&amp;L'!$6:$6,0)+2)%</f>
        <v>1.9E-2</v>
      </c>
      <c r="BD56" s="366">
        <f>INDEX('qtrP&amp;L'!$13:$13,MATCH(BA$7,'qtrP&amp;L'!$6:$6,0)+2)%</f>
        <v>1.6E-2</v>
      </c>
      <c r="BE56" s="261"/>
      <c r="BF56" s="366">
        <f>INDEX('qtrP&amp;L'!$10:$10,MATCH(BF$7,'qtrP&amp;L'!$6:$6,0)+2)%</f>
        <v>-1.4999999999999999E-2</v>
      </c>
      <c r="BG56" s="366">
        <f>INDEX('qtrP&amp;L'!$11:$11,MATCH(BF$7,'qtrP&amp;L'!$6:$6,0)+2)%</f>
        <v>-4.8000000000000001E-2</v>
      </c>
      <c r="BH56" s="366">
        <f>INDEX('qtrP&amp;L'!$12:$12,MATCH(BF$7,'qtrP&amp;L'!$6:$6,0)+2)%</f>
        <v>-8.5999999999999993E-2</v>
      </c>
      <c r="BI56" s="366">
        <f>INDEX('qtrP&amp;L'!$13:$13,MATCH(BF$7,'qtrP&amp;L'!$6:$6,0)+2)%</f>
        <v>-0.06</v>
      </c>
      <c r="BJ56" s="261"/>
      <c r="BK56" s="366">
        <f>INDEX('qtrP&amp;L'!$10:$10,MATCH(BK$7,'qtrP&amp;L'!$6:$6,0)+2)%</f>
        <v>-2.8999999999999998E-2</v>
      </c>
      <c r="BL56" s="366">
        <f>INDEX('qtrP&amp;L'!$11:$11,MATCH(BK$7,'qtrP&amp;L'!$6:$6,0)+2)%</f>
        <v>-2.7999999999999997E-2</v>
      </c>
      <c r="BM56" s="366">
        <f>INDEX('qtrP&amp;L'!$12:$12,MATCH(BK$7,'qtrP&amp;L'!$6:$6,0)+2)%</f>
        <v>-0.02</v>
      </c>
      <c r="BN56" s="366">
        <f>INDEX('qtrP&amp;L'!$13:$13,MATCH(BK$7,'qtrP&amp;L'!$6:$6,0)+2)%</f>
        <v>-3.9E-2</v>
      </c>
      <c r="BO56" s="261"/>
      <c r="BP56" s="366">
        <f>INDEX('qtrP&amp;L'!$10:$10,MATCH(BP$7,'qtrP&amp;L'!$6:$6,0)+2)%</f>
        <v>-0.05</v>
      </c>
      <c r="BQ56" s="366">
        <f>INDEX('qtrP&amp;L'!$11:$11,MATCH(BP$7,'qtrP&amp;L'!$6:$6,0)+2)%</f>
        <v>-1.2E-2</v>
      </c>
      <c r="BR56" s="366">
        <f>INDEX('qtrP&amp;L'!$12:$12,MATCH(BP$7,'qtrP&amp;L'!$6:$6,0)+2)%</f>
        <v>2E-3</v>
      </c>
      <c r="BS56" s="366">
        <f>INDEX('qtrP&amp;L'!$13:$13,MATCH(BP$7,'qtrP&amp;L'!$6:$6,0)+2)%</f>
        <v>1.3999999999999999E-2</v>
      </c>
      <c r="BT56" s="261"/>
      <c r="BU56" s="366">
        <f>INDEX('qtrP&amp;L'!$10:$10,MATCH(BU$7,'qtrP&amp;L'!$6:$6,0)+2)%</f>
        <v>6.9000000000000006E-2</v>
      </c>
      <c r="BV56" s="366">
        <f>INDEX('qtrP&amp;L'!$11:$11,MATCH(BU$7,'qtrP&amp;L'!$6:$6,0)+2)%</f>
        <v>3.3000000000000002E-2</v>
      </c>
      <c r="BW56" s="366">
        <f>INDEX('qtrP&amp;L'!$12:$12,MATCH(BU$7,'qtrP&amp;L'!$6:$6,0)+2)%</f>
        <v>4.0000000000000001E-3</v>
      </c>
      <c r="BX56" s="366">
        <f>INDEX('qtrP&amp;L'!$13:$13,MATCH(BU$7,'qtrP&amp;L'!$6:$6,0)+2)%</f>
        <v>8.0000000000000002E-3</v>
      </c>
      <c r="BY56" s="261"/>
      <c r="BZ56" s="366">
        <f>INDEX('qtrP&amp;L'!$10:$10,MATCH(BZ$7,'qtrP&amp;L'!$6:$6,0)+2)%</f>
        <v>2.6000000000000002E-2</v>
      </c>
      <c r="CA56" s="366">
        <f>INDEX('qtrP&amp;L'!$11:$11,MATCH(BZ$7,'qtrP&amp;L'!$6:$6,0)+2)%</f>
        <v>1.1000000000000001E-2</v>
      </c>
      <c r="CB56" s="366">
        <f>INDEX('qtrP&amp;L'!$12:$12,MATCH(BZ$7,'qtrP&amp;L'!$6:$6,0)+2)%</f>
        <v>6.0000000000000001E-3</v>
      </c>
      <c r="CC56" s="366">
        <f>INDEX('qtrP&amp;L'!$13:$13,MATCH(BZ$7,'qtrP&amp;L'!$6:$6,0)+2)%</f>
        <v>1.1000000000000001E-2</v>
      </c>
      <c r="CD56" s="261"/>
      <c r="CE56" s="366">
        <f>INDEX('qtrP&amp;L'!$10:$10,MATCH(CE$7,'qtrP&amp;L'!$6:$6,0)+2)%</f>
        <v>0</v>
      </c>
      <c r="CF56" s="366">
        <f>INDEX('qtrP&amp;L'!$11:$11,MATCH(CE$7,'qtrP&amp;L'!$6:$6,0)+2)%</f>
        <v>4.5999999999999999E-2</v>
      </c>
      <c r="CG56" s="366">
        <f>INDEX('qtrP&amp;L'!$12:$12,MATCH(CE$7,'qtrP&amp;L'!$6:$6,0)+2)%</f>
        <v>5.9000000000000004E-2</v>
      </c>
      <c r="CH56" s="366">
        <f>INDEX('qtrP&amp;L'!$13:$13,MATCH(CE$7,'qtrP&amp;L'!$6:$6,0)+2)%</f>
        <v>6.0999999999999999E-2</v>
      </c>
      <c r="CI56" s="261"/>
      <c r="CJ56" s="366">
        <f>INDEX('qtrP&amp;L'!$10:$10,MATCH(CJ$7,'qtrP&amp;L'!$6:$6,0)+2)%</f>
        <v>6.0000000000000001E-3</v>
      </c>
      <c r="CK56" s="366">
        <f>INDEX('qtrP&amp;L'!$11:$11,MATCH(CJ$7,'qtrP&amp;L'!$6:$6,0)+2)%</f>
        <v>-2.6000000000000002E-2</v>
      </c>
      <c r="CL56" s="366">
        <f>INDEX('qtrP&amp;L'!$12:$12,MATCH(CJ$7,'qtrP&amp;L'!$6:$6,0)+2)%</f>
        <v>-8.0000000000000002E-3</v>
      </c>
      <c r="CM56" s="366">
        <f>INDEX('qtrP&amp;L'!$13:$13,MATCH(CJ$7,'qtrP&amp;L'!$6:$6,0)+2)%</f>
        <v>-0.02</v>
      </c>
      <c r="CN56" s="261"/>
      <c r="CO56" s="366">
        <f>INDEX('qtrP&amp;L'!$10:$10,MATCH(CO$7,'qtrP&amp;L'!$6:$6,0)+2)%</f>
        <v>-2.6000000000000002E-2</v>
      </c>
      <c r="CP56" s="366">
        <f>INDEX('qtrP&amp;L'!$11:$11,MATCH(CO$7,'qtrP&amp;L'!$6:$6,0)+2)%</f>
        <v>-2.1000000000000001E-2</v>
      </c>
      <c r="CQ56" s="366">
        <f>INDEX('qtrP&amp;L'!$12:$12,MATCH(CO$7,'qtrP&amp;L'!$6:$6,0)+2)%</f>
        <v>-0.06</v>
      </c>
      <c r="CR56" s="366">
        <f>INDEX('qtrP&amp;L'!$13:$13,MATCH(CO$7,'qtrP&amp;L'!$6:$6,0)+2)%</f>
        <v>-7.0000000000000007E-2</v>
      </c>
      <c r="CS56" s="372"/>
      <c r="CT56" s="366">
        <f>INDEX('qtrP&amp;L'!$10:$10,MATCH(CT$7,'qtrP&amp;L'!$6:$6,0)+2)%</f>
        <v>-0.09</v>
      </c>
      <c r="CU56" s="366">
        <f>INDEX('qtrP&amp;L'!$11:$11,MATCH(CT$7,'qtrP&amp;L'!$6:$6,0)+2)%</f>
        <v>-9.5000000000000001E-2</v>
      </c>
      <c r="CV56" s="366">
        <f>INDEX('qtrP&amp;L'!$12:$12,MATCH(CT$7,'qtrP&amp;L'!$6:$6,0)+2)%</f>
        <v>-3.6000000000000004E-2</v>
      </c>
      <c r="CW56" s="366">
        <f>INDEX('qtrP&amp;L'!$13:$13,MATCH(CT$7,'qtrP&amp;L'!$6:$6,0)+2)%</f>
        <v>-8.0000000000000002E-3</v>
      </c>
      <c r="CX56" s="261"/>
      <c r="CY56" s="366">
        <f>INDEX('qtrP&amp;L'!$10:$10,MATCH(CY$7,'qtrP&amp;L'!$6:$6,0)+2)%</f>
        <v>5.5E-2</v>
      </c>
      <c r="CZ56" s="366">
        <f>INDEX('qtrP&amp;L'!$11:$11,MATCH(CY$7,'qtrP&amp;L'!$6:$6,0)+2)%</f>
        <v>4.9000000000000002E-2</v>
      </c>
      <c r="DA56" s="366">
        <f>INDEX('qtrP&amp;L'!$12:$12,MATCH(CY$7,'qtrP&amp;L'!$6:$6,0)+2)%</f>
        <v>3.9E-2</v>
      </c>
      <c r="DB56" s="366">
        <f>INDEX('qtrP&amp;L'!$13:$13,MATCH(CY$7,'qtrP&amp;L'!$6:$6,0)+2)%</f>
        <v>4.2999999999999997E-2</v>
      </c>
      <c r="DC56" s="261"/>
      <c r="DD56" s="366">
        <f>INDEX('qtrP&amp;L'!$10:$10,MATCH(DD$7,'qtrP&amp;L'!$6:$6,0)+2)%</f>
        <v>5.4000000000000006E-2</v>
      </c>
      <c r="DE56" s="366">
        <f>INDEX('qtrP&amp;L'!$11:$11,MATCH(DD$7,'qtrP&amp;L'!$6:$6,0)+2)%</f>
        <v>6.4000000000000001E-2</v>
      </c>
      <c r="DF56" s="366">
        <f>INDEX('qtrP&amp;L'!$12:$12,MATCH(DD$7,'qtrP&amp;L'!$6:$6,0)+2)%</f>
        <v>0.04</v>
      </c>
      <c r="DG56" s="366">
        <f>INDEX('qtrP&amp;L'!$13:$13,MATCH(DD$7,'qtrP&amp;L'!$6:$6,0)+2)%</f>
        <v>5.2000000000000005E-2</v>
      </c>
      <c r="DH56" s="261"/>
      <c r="DI56" s="366">
        <f>INDEX('qtrP&amp;L'!$10:$10,MATCH(DI$7,'qtrP&amp;L'!$6:$6,0)+2)%</f>
        <v>4.4000000000000004E-2</v>
      </c>
      <c r="DJ56" s="366">
        <f>INDEX('qtrP&amp;L'!$11:$11,MATCH(DI$7,'qtrP&amp;L'!$6:$6,0)+2)%</f>
        <v>0.03</v>
      </c>
      <c r="DK56" s="366">
        <f>INDEX('qtrP&amp;L'!$12:$12,MATCH(DI$7,'qtrP&amp;L'!$6:$6,0)+2)%</f>
        <v>3.7000000000000005E-2</v>
      </c>
      <c r="DL56" s="366">
        <f>INDEX('qtrP&amp;L'!$13:$13,MATCH(DI$7,'qtrP&amp;L'!$6:$6,0)+2)%</f>
        <v>3.9E-2</v>
      </c>
      <c r="DM56" s="261"/>
      <c r="DN56" s="366">
        <f>INDEX('qtrP&amp;L'!$10:$10,MATCH(DN$7,'qtrP&amp;L'!$6:$6,0)+2)%</f>
        <v>3.7999999999999999E-2</v>
      </c>
      <c r="DO56" s="366">
        <f>INDEX('qtrP&amp;L'!$11:$11,MATCH(DN$7,'qtrP&amp;L'!$6:$6,0)+2)%</f>
        <v>-8.0000000000000002E-3</v>
      </c>
      <c r="DP56" s="366">
        <f>INDEX('qtrP&amp;L'!$12:$12,MATCH(DN$7,'qtrP&amp;L'!$6:$6,0)+2)%</f>
        <v>3.5000000000000003E-2</v>
      </c>
      <c r="DQ56" s="366">
        <f>INDEX('qtrP&amp;L'!$13:$13,MATCH(DN$7,'qtrP&amp;L'!$6:$6,0)+2)%</f>
        <v>1.3999999999999999E-2</v>
      </c>
      <c r="DR56" s="261"/>
      <c r="DS56" s="366">
        <f>INDEX('qtrP&amp;L'!$10:$10,MATCH(DS$7,'qtrP&amp;L'!$6:$6,0)+2)%</f>
        <v>-1.6E-2</v>
      </c>
      <c r="DT56" s="366">
        <f>INDEX('qtrP&amp;L'!$11:$11,MATCH(DS$7,'qtrP&amp;L'!$6:$6,0)+2)%</f>
        <v>3.4000000000000002E-2</v>
      </c>
      <c r="DU56" s="366">
        <f>INDEX('qtrP&amp;L'!$12:$12,MATCH(DS$7,'qtrP&amp;L'!$6:$6,0)+2)%</f>
        <v>-1.3999999999999999E-2</v>
      </c>
      <c r="DV56" s="366">
        <f>INDEX('qtrP&amp;L'!$13:$13,MATCH(DS$7,'qtrP&amp;L'!$6:$6,0)+2)%</f>
        <v>0.02</v>
      </c>
      <c r="DW56" s="261"/>
      <c r="DX56" s="366">
        <f>INDEX('qtrP&amp;L'!$10:$10,MATCH(DX$7,'qtrP&amp;L'!$6:$6,0)+2)%</f>
        <v>-6.9999999999999993E-3</v>
      </c>
      <c r="DY56" s="366">
        <f>INDEX('qtrP&amp;L'!$11:$11,MATCH(DX$7,'qtrP&amp;L'!$6:$6,0)+2)%</f>
        <v>-2.1000000000000001E-2</v>
      </c>
      <c r="DZ56" s="366">
        <f>INDEX('qtrP&amp;L'!$12:$12,MATCH(DX$7,'qtrP&amp;L'!$6:$6,0)+2)%</f>
        <v>-3.9E-2</v>
      </c>
      <c r="EA56" s="366">
        <f>INDEX('qtrP&amp;L'!$13:$13,MATCH(DX$7,'qtrP&amp;L'!$6:$6,0)+2)%</f>
        <v>-4.8000000000000001E-2</v>
      </c>
      <c r="EB56" s="261"/>
      <c r="EC56" s="366">
        <f>INDEX('qtrP&amp;L'!$10:$10,MATCH(EC$7,'qtrP&amp;L'!$6:$6,0)+2)%</f>
        <v>-6.0999999999999999E-2</v>
      </c>
      <c r="ED56" s="366">
        <f>INDEX('qtrP&amp;L'!$11:$11,MATCH(EC$7,'qtrP&amp;L'!$6:$6,0)+2)%</f>
        <v>-2.6000000000000002E-2</v>
      </c>
      <c r="EE56" s="366">
        <f>INDEX('qtrP&amp;L'!$12:$12,MATCH(EC$7,'qtrP&amp;L'!$6:$6,0)+2)%</f>
        <v>-3.3000000000000002E-2</v>
      </c>
      <c r="EF56" s="366">
        <f>INDEX('qtrP&amp;L'!$13:$13,MATCH(EC$7,'qtrP&amp;L'!$6:$6,0)+2)%</f>
        <v>-2.7000000000000003E-2</v>
      </c>
      <c r="EG56" s="261"/>
      <c r="EH56" s="366">
        <f>INDEX('qtrP&amp;L'!$10:$10,MATCH(EH$7,'qtrP&amp;L'!$6:$6,0)+2)%</f>
        <v>-5.2000000000000005E-2</v>
      </c>
      <c r="EI56" s="366">
        <f>INDEX('qtrP&amp;L'!$11:$11,MATCH(EH$7,'qtrP&amp;L'!$6:$6,0)+2)%</f>
        <v>-2.7999999999999997E-2</v>
      </c>
      <c r="EJ56" s="366">
        <f>INDEX('qtrP&amp;L'!$12:$12,MATCH(EH$7,'qtrP&amp;L'!$6:$6,0)+2)%</f>
        <v>-0.04</v>
      </c>
      <c r="EK56" s="366">
        <f>INDEX('qtrP&amp;L'!$13:$13,MATCH(EH$7,'qtrP&amp;L'!$6:$6,0)+2)%</f>
        <v>1.3000000000000001E-2</v>
      </c>
      <c r="EL56" s="366"/>
      <c r="EM56" s="1414">
        <f>INDEX('qtrP&amp;L'!$10:$10,MATCH(EM$7,'qtrP&amp;L'!$6:$6,0)+2)%</f>
        <v>-5.0000000000000001E-3</v>
      </c>
      <c r="EN56" s="1414">
        <f>INDEX('qtrP&amp;L'!$11:$11,MATCH(EM$7,'qtrP&amp;L'!$6:$6,0)+2)%</f>
        <v>-1.4999999999999999E-2</v>
      </c>
      <c r="EO56" s="1414">
        <f>INDEX('qtrP&amp;L'!$12:$12,MATCH(EM$7,'qtrP&amp;L'!$6:$6,0)+2)%</f>
        <v>0.02</v>
      </c>
      <c r="EP56" s="1414">
        <f>INDEX('qtrP&amp;L'!$13:$13,MATCH(EM$7,'qtrP&amp;L'!$6:$6,0)+2)%</f>
        <v>0.01</v>
      </c>
      <c r="EQ56" s="262"/>
      <c r="ER56" s="369"/>
      <c r="ES56" s="366"/>
      <c r="ET56" s="366"/>
      <c r="EU56" s="366"/>
      <c r="EV56" s="366"/>
      <c r="EW56" s="366"/>
      <c r="EX56" s="366">
        <f>INDEX('qtrP&amp;L'!$14:$14,MATCH(EX7,'qtrP&amp;L'!$6:$6,0)+2)%</f>
        <v>2.7118808112624963E-2</v>
      </c>
      <c r="EY56" s="366">
        <f>INDEX('qtrP&amp;L'!$14:$14,MATCH(EY7,'qtrP&amp;L'!$6:$6,0)+2)%</f>
        <v>3.1E-2</v>
      </c>
      <c r="EZ56" s="366">
        <f>INDEX('qtrP&amp;L'!$14:$14,MATCH(EZ7,'qtrP&amp;L'!$6:$6,0)+2)%</f>
        <v>2.7000000000000003E-2</v>
      </c>
      <c r="FA56" s="366">
        <f>INDEX('qtrP&amp;L'!$14:$14,MATCH(FA7,'qtrP&amp;L'!$6:$6,0)+2)%</f>
        <v>2.2000000000000002E-2</v>
      </c>
      <c r="FB56" s="366">
        <f>INDEX('qtrP&amp;L'!$14:$14,MATCH(FB7,'qtrP&amp;L'!$6:$6,0)+2)%</f>
        <v>4.4999999999999998E-2</v>
      </c>
      <c r="FC56" s="366">
        <f>INDEX('qtrP&amp;L'!$14:$14,MATCH(FC7,'qtrP&amp;L'!$6:$6,0)+2)%</f>
        <v>0.02</v>
      </c>
      <c r="FD56" s="366">
        <f>INDEX('qtrP&amp;L'!$14:$14,MATCH(FD7,'qtrP&amp;L'!$6:$6,0)+2)%</f>
        <v>-5.2999999999999999E-2</v>
      </c>
      <c r="FE56" s="366">
        <f>INDEX('qtrP&amp;L'!$14:$14,MATCH(FE7,'qtrP&amp;L'!$6:$6,0)+2)%</f>
        <v>-0.03</v>
      </c>
      <c r="FF56" s="366">
        <f>INDEX('qtrP&amp;L'!$14:$14,MATCH(FF7,'qtrP&amp;L'!$6:$6,0)+2)%</f>
        <v>-9.0000000000000011E-3</v>
      </c>
      <c r="FG56" s="366">
        <f>INDEX('qtrP&amp;L'!$14:$14,MATCH(FG7,'qtrP&amp;L'!$6:$6,0)+2)%</f>
        <v>2.6000000000000002E-2</v>
      </c>
      <c r="FH56" s="366">
        <f>INDEX('qtrP&amp;L'!$14:$14,MATCH(FH7,'qtrP&amp;L'!$6:$6,0)+2)%</f>
        <v>1.3000000000000001E-2</v>
      </c>
      <c r="FI56" s="369">
        <f>INDEX('qtrP&amp;L'!$14:$14,MATCH(FI7,'qtrP&amp;L'!$6:$6,0)+2)%</f>
        <v>4.4000000000000004E-2</v>
      </c>
      <c r="FJ56" s="366">
        <f>INDEX('qtrP&amp;L'!$14:$14,MATCH(FJ7,'qtrP&amp;L'!$6:$6,0)+2)%</f>
        <v>-1.3000000000000001E-2</v>
      </c>
      <c r="FK56" s="368">
        <f>INDEX('qtrP&amp;L'!$14:$14,MATCH(FK7,'qtrP&amp;L'!$6:$6,0)+2)%</f>
        <v>-4.4999999999999998E-2</v>
      </c>
      <c r="FL56" s="369">
        <f>INDEX('qtrP&amp;L'!$14:$14,MATCH(FL7,'qtrP&amp;L'!$6:$6,0)+2)%</f>
        <v>-5.2999999999999999E-2</v>
      </c>
      <c r="FM56" s="369">
        <f>INDEX('qtrP&amp;L'!$14:$14,MATCH(FM7,'qtrP&amp;L'!$6:$6,0)+2)%</f>
        <v>4.5999999999999999E-2</v>
      </c>
      <c r="FN56" s="366">
        <f>INDEX('qtrP&amp;L'!$14:$14,MATCH(FN7,'qtrP&amp;L'!$6:$6,0)+2)%</f>
        <v>5.2999999999999999E-2</v>
      </c>
      <c r="FO56" s="366">
        <f>INDEX('qtrP&amp;L'!$14:$14,MATCH(FO7,'qtrP&amp;L'!$6:$6,0)+2)%</f>
        <v>3.7000000000000005E-2</v>
      </c>
      <c r="FP56" s="366">
        <f>yrSales!AD27</f>
        <v>1.9428806702230499E-2</v>
      </c>
      <c r="FQ56" s="366">
        <f>yrSales!AE27</f>
        <v>6.9999999999999993E-3</v>
      </c>
      <c r="FR56" s="366">
        <f>yrSales!AF27</f>
        <v>-3.052572103844307E-2</v>
      </c>
      <c r="FS56" s="366">
        <f>yrSales!AG27</f>
        <v>-3.5000000000000003E-2</v>
      </c>
      <c r="FT56" s="366">
        <f>yrSales!AH27</f>
        <v>-2.2000000000000002E-2</v>
      </c>
      <c r="FU56" s="366">
        <f>yrSales!AI27</f>
        <v>3.3402492304908001E-3</v>
      </c>
      <c r="FV56" s="366">
        <f>yrSales!AJ27</f>
        <v>-0.02</v>
      </c>
      <c r="FW56" s="368">
        <f>yrSales!AK27</f>
        <v>-0.02</v>
      </c>
      <c r="FX56" s="366">
        <f>yrSales!AL27</f>
        <v>-0.02</v>
      </c>
      <c r="FY56" s="1347">
        <f>yrSales!AM27</f>
        <v>-0.02</v>
      </c>
      <c r="FZ56" s="369"/>
      <c r="GA56" s="366"/>
    </row>
    <row r="57" spans="1:190" x14ac:dyDescent="0.2">
      <c r="A57" s="260" t="s">
        <v>164</v>
      </c>
      <c r="B57" s="261"/>
      <c r="C57" s="366" t="s">
        <v>240</v>
      </c>
      <c r="D57" s="366" t="s">
        <v>240</v>
      </c>
      <c r="E57" s="366" t="s">
        <v>240</v>
      </c>
      <c r="F57" s="366" t="s">
        <v>240</v>
      </c>
      <c r="G57" s="261"/>
      <c r="H57" s="366">
        <f>IF(ISERROR(H16/C16-1),"NA ",H16/C16-1)</f>
        <v>-1.7970858333921758E-2</v>
      </c>
      <c r="I57" s="366">
        <f>IF(ISERROR(I16/D16-1),"NA ",I16/D16-1)</f>
        <v>-4.3370859777825732E-2</v>
      </c>
      <c r="J57" s="366">
        <f>IF(ISERROR(J16/E16-1),"NA ",J16/E16-1)</f>
        <v>-4.885680233851819E-2</v>
      </c>
      <c r="K57" s="366">
        <f>IF(ISERROR(K16/F16-1),"NA ",K16/F16-1)</f>
        <v>-0.10812646337956822</v>
      </c>
      <c r="L57" s="261"/>
      <c r="M57" s="366">
        <f>IF(ISERROR(M16/H16-1),"NA ",M16/H16-1)</f>
        <v>-5.9676054312083893E-2</v>
      </c>
      <c r="N57" s="366">
        <f>IF(ISERROR(N16/I16-1),"NA ",N16/I16-1)</f>
        <v>-5.4336787028889333E-2</v>
      </c>
      <c r="O57" s="366">
        <f>IF(ISERROR(O16/J16-1),"NA ",O16/J16-1)</f>
        <v>-1.490662329650605E-2</v>
      </c>
      <c r="P57" s="366">
        <f>IF(ISERROR(P16/K16-1),"NA ",P16/K16-1)</f>
        <v>5.3097970099575953E-2</v>
      </c>
      <c r="Q57" s="261"/>
      <c r="R57" s="366">
        <f>IF(ISERROR(R16/M16-1),"NA ",R16/M16-1)</f>
        <v>-1.1720049306384261E-2</v>
      </c>
      <c r="S57" s="366">
        <f>IF(ISERROR(S16/N16-1),"NA ",S16/N16-1)</f>
        <v>-3.149411479950881E-2</v>
      </c>
      <c r="T57" s="366">
        <f>IF(ISERROR(T16/O16-1),"NA ",T16/O16-1)</f>
        <v>-1.6592873571444899E-2</v>
      </c>
      <c r="U57" s="366">
        <f>IF(ISERROR(U16/P16-1),"NA ",U16/P16-1)</f>
        <v>-5.6537813361945743E-2</v>
      </c>
      <c r="V57" s="261"/>
      <c r="W57" s="366">
        <f>IF(ISERROR(W16/R16-1),"NA ",W16/R16-1)</f>
        <v>-2.4337214952934727E-2</v>
      </c>
      <c r="X57" s="366">
        <f>IF(ISERROR(X16/S16-1),"NA ",X16/S16-1)</f>
        <v>-9.9927988167103354E-3</v>
      </c>
      <c r="Y57" s="366">
        <f>IF(ISERROR(Y16/T16-1),"NA ",Y16/T16-1)</f>
        <v>1.1548493915620961E-2</v>
      </c>
      <c r="Z57" s="366">
        <f>IF(ISERROR(Z16/U16-1),"NA ",Z16/U16-1)</f>
        <v>-1.1683246647691714E-2</v>
      </c>
      <c r="AA57" s="261"/>
      <c r="AB57" s="366">
        <f>IF(ISERROR(AB16/W16-1),"NA ",AB16/W16-1)</f>
        <v>0.97377363084960389</v>
      </c>
      <c r="AC57" s="366">
        <f>IF(ISERROR(AC16/X16-1),"NA ",AC16/X16-1)</f>
        <v>0.99683053753709361</v>
      </c>
      <c r="AD57" s="366">
        <f>IF(ISERROR(AD16/Y16-1),"NA ",AD16/Y16-1)</f>
        <v>0.81063112058774012</v>
      </c>
      <c r="AE57" s="366">
        <f>IF(ISERROR(AE16/Z16-1),"NA ",AE16/Z16-1)</f>
        <v>0.8439067862196199</v>
      </c>
      <c r="AF57" s="261"/>
      <c r="AG57" s="366">
        <f>IF(ISERROR(AG16/AB16-1),"NA ",AG16/AB16-1)</f>
        <v>7.7672135100503858E-2</v>
      </c>
      <c r="AH57" s="366">
        <f>IF(ISERROR(AH16/AC16-1),"NA ",AH16/AC16-1)</f>
        <v>4.3166552266297842E-2</v>
      </c>
      <c r="AI57" s="366">
        <f>IF(ISERROR(AI16/AD16-1),"NA ",AI16/AD16-1)</f>
        <v>7.2530400111982418E-2</v>
      </c>
      <c r="AJ57" s="366">
        <f>IF(ISERROR(AJ16/AE16-1),"NA ",AJ16/AE16-1)</f>
        <v>8.8549668806788606E-2</v>
      </c>
      <c r="AK57" s="261"/>
      <c r="AL57" s="366">
        <f>IF(ISERROR(AL16/AG16-1),"NA ",AL16/AG16-1)</f>
        <v>1.8299922380784928E-2</v>
      </c>
      <c r="AM57" s="366">
        <f>IF(ISERROR(AM16/AH16-1),"NA ",AM16/AH16-1)</f>
        <v>2.5416882109617456E-2</v>
      </c>
      <c r="AN57" s="366">
        <f>IF(ISERROR(AN16/AI16-1),"NA ",AN16/AI16-1)</f>
        <v>3.1718659615083133E-3</v>
      </c>
      <c r="AO57" s="366">
        <f>IF(ISERROR(AO16/AJ16-1),"NA ",AO16/AJ16-1)</f>
        <v>-3.4978053520589136E-2</v>
      </c>
      <c r="AP57" s="261"/>
      <c r="AQ57" s="366">
        <f>IF(ISERROR(AQ16/AL16-1),"NA ",AQ16/AL16-1)</f>
        <v>-1.7174743605248288E-2</v>
      </c>
      <c r="AR57" s="366">
        <f>IF(ISERROR(AR16/AM16-1),"NA ",AR16/AM16-1)</f>
        <v>-2.6087763438265021E-4</v>
      </c>
      <c r="AS57" s="366">
        <f>IF(ISERROR(AS16/AN16-1),"NA ",AS16/AN16-1)</f>
        <v>-3.8103199943595567E-2</v>
      </c>
      <c r="AT57" s="366">
        <f>IF(ISERROR(AT16/AO16-1),"NA ",AT16/AO16-1)</f>
        <v>8.9595609007990795E-3</v>
      </c>
      <c r="AU57" s="261"/>
      <c r="AV57" s="366">
        <f>IF(ISERROR(AV16/AQ16-1),"NA ",AV16/AQ16-1)</f>
        <v>4.0727902946273931E-2</v>
      </c>
      <c r="AW57" s="366">
        <f>IF(ISERROR(AW16/AR16-1),"NA ",AW16/AR16-1)</f>
        <v>0.19877408056042034</v>
      </c>
      <c r="AX57" s="366">
        <f>IF(ISERROR(AX16/AS16-1),"NA ",AX16/AS16-1)</f>
        <v>0.20506108202443274</v>
      </c>
      <c r="AY57" s="366">
        <f>IF(ISERROR(AY16/AT16-1),"NA ",AY16/AT16-1)</f>
        <v>0.29679999999999995</v>
      </c>
      <c r="AZ57" s="261"/>
      <c r="BA57" s="366">
        <f>IF(ISERROR(BA16/AV16-1),"NA ",BA16/AV16-1)</f>
        <v>-4.079933388842627E-2</v>
      </c>
      <c r="BB57" s="366">
        <f>IF(ISERROR(BB16/AW16-1),"NA ",BB16/AW16-1)</f>
        <v>-0.19357195032870711</v>
      </c>
      <c r="BC57" s="366">
        <f>IF(ISERROR(BC16/AX16-1),"NA ",BC16/AX16-1)</f>
        <v>-0.11803041274438808</v>
      </c>
      <c r="BD57" s="366">
        <f>IF(ISERROR(BD16/AY16-1),"NA ",BD16/AY16-1)</f>
        <v>-0.1128932757557064</v>
      </c>
      <c r="BE57" s="261"/>
      <c r="BF57" s="366">
        <f>IF(ISERROR(BF16/BA16-1),"NA ",BF16/BA16-1)</f>
        <v>1.388888888888884E-2</v>
      </c>
      <c r="BG57" s="366">
        <f>IF(ISERROR(BG16/BB16-1),"NA ",BG16/BB16-1)</f>
        <v>1.8115942028984477E-3</v>
      </c>
      <c r="BH57" s="366">
        <f>IF(ISERROR(BH16/BC16-1),"NA ",BH16/BC16-1)</f>
        <v>-2.7093596059113323E-2</v>
      </c>
      <c r="BI57" s="366">
        <f>IF(ISERROR(BI16/BD16-1),"NA ",BI16/BD16-1)</f>
        <v>-0.10639777468706535</v>
      </c>
      <c r="BJ57" s="261"/>
      <c r="BK57" s="366">
        <f>IF(ISERROR(BK16/BF16-1),"NA ",BK16/BF16-1)</f>
        <v>-1.1986301369863006E-2</v>
      </c>
      <c r="BL57" s="366">
        <f>IF(ISERROR(BL16/BG16-1),"NA ",BL16/BG16-1)</f>
        <v>2.6220614828209809E-2</v>
      </c>
      <c r="BM57" s="366">
        <f>IF(ISERROR(BM16/BH16-1),"NA ",BM16/BH16-1)</f>
        <v>-5.0632911392405333E-3</v>
      </c>
      <c r="BN57" s="366">
        <f>IF(ISERROR(BN16/BI16-1),"NA ",BN16/BI16-1)</f>
        <v>1.2451361867704236E-2</v>
      </c>
      <c r="BO57" s="261"/>
      <c r="BP57" s="366">
        <f>IF(ISERROR(BP16/BK16-1),"NA ",BP16/BK16-1)</f>
        <v>-1.6464471403812797E-2</v>
      </c>
      <c r="BQ57" s="366">
        <f>IF(ISERROR(BQ16/BL16-1),"NA ",BQ16/BL16-1)</f>
        <v>0</v>
      </c>
      <c r="BR57" s="366">
        <f>IF(ISERROR(BR16/BM16-1),"NA ",BR16/BM16-1)</f>
        <v>1.187446988973706E-2</v>
      </c>
      <c r="BS57" s="366">
        <f>IF(ISERROR(BS16/BN16-1),"NA ",BS16/BN16-1)</f>
        <v>7.6863950807082304E-4</v>
      </c>
      <c r="BT57" s="261"/>
      <c r="BU57" s="366">
        <f>IF(ISERROR(BU16/BP16-1),"NA ",BU16/BP16-1)</f>
        <v>5.2863436123347984E-2</v>
      </c>
      <c r="BV57" s="366">
        <f>IF(ISERROR(BV16/BQ16-1),"NA ",BV16/BQ16-1)</f>
        <v>6.3436123348017626E-2</v>
      </c>
      <c r="BW57" s="366">
        <f>IF(ISERROR(BW16/BR16-1),"NA ",BW16/BR16-1)</f>
        <v>1.1735121542330251E-2</v>
      </c>
      <c r="BX57" s="366">
        <f>IF(ISERROR(BX16/BS16-1),"NA ",BX16/BS16-1)</f>
        <v>1.5360983102918668E-2</v>
      </c>
      <c r="BY57" s="261"/>
      <c r="BZ57" s="366">
        <f>IF(ISERROR(BZ16/BU16-1),"NA ",BZ16/BU16-1)</f>
        <v>1.5062761506276168E-2</v>
      </c>
      <c r="CA57" s="366">
        <f>IF(ISERROR(CA16/BV16-1),"NA ",CA16/BV16-1)</f>
        <v>-8.2850041425019949E-4</v>
      </c>
      <c r="CB57" s="366">
        <f>IF(ISERROR(CB16/BW16-1),"NA ",CB16/BW16-1)</f>
        <v>0.63463131731565858</v>
      </c>
      <c r="CC57" s="366">
        <f>IF(ISERROR(CC16/BX16-1),"NA ",CC16/BX16-1)</f>
        <v>0.95763993948562787</v>
      </c>
      <c r="CD57" s="261"/>
      <c r="CE57" s="366">
        <f>IF(ISERROR(CE16/BZ16-1),"NA ",CE16/BZ16-1)</f>
        <v>0.77576257213520194</v>
      </c>
      <c r="CF57" s="366">
        <f>IF(ISERROR(CF16/CA16-1),"NA ",CF16/CA16-1)</f>
        <v>0.75538971807628519</v>
      </c>
      <c r="CG57" s="366">
        <f>IF(ISERROR(CG16/CB16-1),"NA ",CG16/CB16-1)</f>
        <v>6.1327927014698469E-2</v>
      </c>
      <c r="CH57" s="366">
        <f>IF(ISERROR(CH16/CC16-1),"NA ",CH16/CC16-1)</f>
        <v>-0.10625965996908815</v>
      </c>
      <c r="CI57" s="261"/>
      <c r="CJ57" s="366">
        <f>IF(ISERROR(CJ16/CE16-1),"NA ",CJ16/CE16-1)</f>
        <v>-1.9034354688950761E-2</v>
      </c>
      <c r="CK57" s="366">
        <f>IF(ISERROR(CK16/CF16-1),"NA ",CK16/CF16-1)</f>
        <v>-3.7316957959376507E-2</v>
      </c>
      <c r="CL57" s="366">
        <f>IF(ISERROR(CL16/CG16-1),"NA ",CL16/CG16-1)</f>
        <v>1.2893982808023008E-2</v>
      </c>
      <c r="CM57" s="366">
        <f>IF(ISERROR(CM16/CH16-1),"NA ",CM16/CH16-1)</f>
        <v>-1.3402507565931643E-2</v>
      </c>
      <c r="CN57" s="261"/>
      <c r="CO57" s="366">
        <f>IF(ISERROR(CO16/CJ16-1),"NA ",CO16/CJ16-1)</f>
        <v>-1.5617605300520587E-2</v>
      </c>
      <c r="CP57" s="366">
        <f>IF(ISERROR(CP16/CK16-1),"NA ",CP16/CK16-1)</f>
        <v>-4.906771344455052E-4</v>
      </c>
      <c r="CQ57" s="366">
        <f>IF(ISERROR(CQ16/CL16-1),"NA ",CQ16/CL16-1)</f>
        <v>-1.6973125884017004E-2</v>
      </c>
      <c r="CR57" s="366">
        <f>IF(ISERROR(CR16/CM16-1),"NA ",CR16/CM16-1)</f>
        <v>-1.1393514460999121E-2</v>
      </c>
      <c r="CS57" s="372"/>
      <c r="CT57" s="366">
        <f>IF(ISERROR(CT16/CO16-1),"NA ",CT16/CO16-1)</f>
        <v>-4.5673076923076872E-2</v>
      </c>
      <c r="CU57" s="366">
        <f>IF(ISERROR(CU16/CP16-1),"NA ",CU16/CP16-1)</f>
        <v>-7.4128620520373056E-2</v>
      </c>
      <c r="CV57" s="366">
        <f>IF(ISERROR(CV16/CQ16-1),"NA ",CV16/CQ16-1)</f>
        <v>-1.3908872901678637E-2</v>
      </c>
      <c r="CW57" s="366">
        <f>IF(ISERROR(CW16/CR16-1),"NA ",CW16/CR16-1)</f>
        <v>-8.8652482269503396E-3</v>
      </c>
      <c r="CX57" s="261"/>
      <c r="CY57" s="366">
        <f>IF(ISERROR(CY16/CT16-1),"NA ",CY16/CT16-1)</f>
        <v>4.0302267002518821E-3</v>
      </c>
      <c r="CZ57" s="366">
        <f>IF(ISERROR(CZ16/CU16-1),"NA ",CZ16/CU16-1)</f>
        <v>3.5524920466595944E-2</v>
      </c>
      <c r="DA57" s="366">
        <f>IF(ISERROR(DA16/CV16-1),"NA ",DA16/CV16-1)</f>
        <v>6.3229571984435573E-3</v>
      </c>
      <c r="DB57" s="366">
        <f>IF(ISERROR(DB16/CW16-1),"NA ",DB16/CW16-1)</f>
        <v>4.025044722719251E-3</v>
      </c>
      <c r="DC57" s="261"/>
      <c r="DD57" s="366">
        <f>IF(ISERROR(DD16/CY16-1),"NA ",DD16/CY16-1)</f>
        <v>-1.003512293025588E-2</v>
      </c>
      <c r="DE57" s="366">
        <f>IF(ISERROR(DE16/CZ16-1),"NA ",DE16/CZ16-1)</f>
        <v>1.177675371223752E-2</v>
      </c>
      <c r="DF57" s="366">
        <f>IF(ISERROR(DF16/DA16-1),"NA ",DF16/DA16-1)</f>
        <v>-2.4649589173513786E-2</v>
      </c>
      <c r="DG57" s="366">
        <f>IF(ISERROR(DG16/DB16-1),"NA ",DG16/DB16-1)</f>
        <v>3.0734966592427693E-2</v>
      </c>
      <c r="DH57" s="261"/>
      <c r="DI57" s="366">
        <f>IF(ISERROR(DI16/DD16-1),"NA ",DI16/DD16-1)</f>
        <v>1.1150532184490691E-2</v>
      </c>
      <c r="DJ57" s="366">
        <f>IF(ISERROR(DJ16/DE16-1),"NA ",DJ16/DE16-1)</f>
        <v>1.6700404858299489E-2</v>
      </c>
      <c r="DK57" s="366">
        <f>IF(ISERROR(DK16/DF16-1),"NA ",DK16/DF16-1)</f>
        <v>2.9732408325074289E-2</v>
      </c>
      <c r="DL57" s="366">
        <f>IF(ISERROR(DL16/DG16-1),"NA ",DL16/DG16-1)</f>
        <v>3.7165082108902237E-2</v>
      </c>
      <c r="DM57" s="261"/>
      <c r="DN57" s="366">
        <f>IF(ISERROR(DN16/DI16-1),"NA ",DN16/DI16-1)</f>
        <v>2.3057644110275666E-2</v>
      </c>
      <c r="DO57" s="366">
        <f>IF(ISERROR(DO16/DJ16-1),"NA ",DO16/DJ16-1)</f>
        <v>-4.9776007964161817E-3</v>
      </c>
      <c r="DP57" s="366">
        <f>IF(ISERROR(DP16/DK16-1),"NA ",DP16/DK16-1)</f>
        <v>1.0105871029836289E-2</v>
      </c>
      <c r="DQ57" s="366">
        <f>IF(ISERROR(DQ16/DL16-1),"NA ",DQ16/DL16-1)</f>
        <v>-4.1250000000000009E-2</v>
      </c>
      <c r="DR57" s="261"/>
      <c r="DS57" s="366">
        <f>IF(ISERROR(DS16/DN16-1),"NA ",DS16/DN16-1)</f>
        <v>-2.0088192062714394E-2</v>
      </c>
      <c r="DT57" s="366">
        <f>IF(ISERROR(DT16/DO16-1),"NA ",DT16/DO16-1)</f>
        <v>1.2506253126563172E-2</v>
      </c>
      <c r="DU57" s="366">
        <f>IF(ISERROR(DU16/DP16-1),"NA ",DU16/DP16-1)</f>
        <v>-4.3830395426393554E-2</v>
      </c>
      <c r="DV57" s="366">
        <f>IF(ISERROR(DV16/DQ16-1),"NA ",DV16/DQ16-1)</f>
        <v>9.9956540634507096E-3</v>
      </c>
      <c r="DW57" s="261"/>
      <c r="DX57" s="366">
        <f>IF(ISERROR(DX16/DS16-1),"NA ",DX16/DS16-1)</f>
        <v>1.1500000000000066E-2</v>
      </c>
      <c r="DY57" s="366">
        <f>IF(ISERROR(DY16/DT16-1),"NA ",DY16/DT16-1)</f>
        <v>1.679841897233203E-2</v>
      </c>
      <c r="DZ57" s="366">
        <f>IF(ISERROR(DZ16/DU16-1),"NA ",DZ16/DU16-1)</f>
        <v>-1.9431988041853532E-2</v>
      </c>
      <c r="EA57" s="366">
        <f>IF(ISERROR(EA16/DV16-1),"NA ",EA16/DV16-1)</f>
        <v>-5.0344234079173877E-2</v>
      </c>
      <c r="EB57" s="261"/>
      <c r="EC57" s="366">
        <f>IF(ISERROR(EC16/DX16-1),"NA ",EC16/DX16-1)</f>
        <v>5.8823529411764719E-2</v>
      </c>
      <c r="ED57" s="366">
        <f>IF(ISERROR(ED16/DY16-1),"NA ",ED16/DY16-1)</f>
        <v>6.9849368318755989E-2</v>
      </c>
      <c r="EE57" s="366">
        <f>IF(ISERROR(EE16/DZ16-1),"NA ",EE16/DZ16-1)</f>
        <v>0.15332825203252032</v>
      </c>
      <c r="EF57" s="366">
        <f>IF(ISERROR(EF16/EA16-1),"NA ",EF16/EA16-1)</f>
        <v>0.10319438151336646</v>
      </c>
      <c r="EG57" s="261"/>
      <c r="EH57" s="366">
        <f>IF(ISERROR(EH16/EC16-1),"NA ",EH16/EC16-1)</f>
        <v>-7.096171802054152E-2</v>
      </c>
      <c r="EI57" s="366">
        <f>IF(ISERROR(EI16/ED16-1),"NA ",EI16/ED16-1)</f>
        <v>-3.8946292721698694E-2</v>
      </c>
      <c r="EJ57" s="366">
        <f>IF(ISERROR(EJ16/EE16-1),"NA ",EJ16/EE16-1)</f>
        <v>-6.4654697653926618E-2</v>
      </c>
      <c r="EK57" s="366">
        <f>IF(ISERROR(EK16/EF16-1),"NA ",EK16/EF16-1)</f>
        <v>-0.1046308655919499</v>
      </c>
      <c r="EL57" s="366"/>
      <c r="EM57" s="1414">
        <f>IF(ISERROR(EM16/EH16-1),"NA ",EM16/EH16-1)</f>
        <v>-5.5276381909548089E-3</v>
      </c>
      <c r="EN57" s="1414">
        <f>IF(ISERROR(EN16/EI16-1),"NA ",EN16/EI16-1)</f>
        <v>-1.7013232514177745E-2</v>
      </c>
      <c r="EO57" s="1414">
        <f>IF(ISERROR(EO16/EJ16-1),"NA ",EO16/EJ16-1)</f>
        <v>-7.065473386716925E-3</v>
      </c>
      <c r="EP57" s="1414">
        <f>IF(ISERROR(EP16/EK16-1),"NA ",EP16/EK16-1)</f>
        <v>0.13211009174311927</v>
      </c>
      <c r="EQ57" s="262"/>
      <c r="ER57" s="369"/>
      <c r="ES57" s="366"/>
      <c r="ET57" s="366"/>
      <c r="EU57" s="366"/>
      <c r="EV57" s="366"/>
      <c r="EW57" s="366"/>
      <c r="EX57" s="366"/>
      <c r="EY57" s="366">
        <f t="shared" ref="EY57:FH57" si="149">IF(ISERROR(EY16/EX16-1),"NA ",EY16/EX16-1)</f>
        <v>1.8318746183594303E-3</v>
      </c>
      <c r="EZ57" s="366">
        <f t="shared" si="149"/>
        <v>-4.937017472572125E-2</v>
      </c>
      <c r="FA57" s="366">
        <f t="shared" si="149"/>
        <v>2.7783714468903042E-3</v>
      </c>
      <c r="FB57" s="366">
        <f t="shared" si="149"/>
        <v>1.449275362318847E-2</v>
      </c>
      <c r="FC57" s="366">
        <f t="shared" si="149"/>
        <v>3.1932773109243806E-2</v>
      </c>
      <c r="FD57" s="366">
        <f t="shared" si="149"/>
        <v>-2.157980456026054E-2</v>
      </c>
      <c r="FE57" s="366">
        <f t="shared" si="149"/>
        <v>6.2421972534332237E-3</v>
      </c>
      <c r="FF57" s="366">
        <f t="shared" si="149"/>
        <v>2.0678246484706619E-4</v>
      </c>
      <c r="FG57" s="366">
        <f t="shared" si="149"/>
        <v>1.9433533181724139E-2</v>
      </c>
      <c r="FH57" s="366">
        <f t="shared" si="149"/>
        <v>0.41553437436625429</v>
      </c>
      <c r="FI57" s="369">
        <f>IF(ISERROR(FI16/FH16-1),"NA ",FI16/FH16-1)</f>
        <v>0.24326647564469916</v>
      </c>
      <c r="FJ57" s="366">
        <f>IF(ISERROR(FJ16/FI16-1),"NA ",FJ16/FI16-1)</f>
        <v>-1.4289006683567695E-2</v>
      </c>
      <c r="FK57" s="368">
        <f t="shared" ref="FK57:FV57" si="150">IF(ISERROR(FK16/FJ16-1),"NA ",FK16/FJ16-1)</f>
        <v>-1.1222819733458067E-2</v>
      </c>
      <c r="FL57" s="369">
        <f t="shared" si="150"/>
        <v>-3.4878221801844411E-2</v>
      </c>
      <c r="FM57" s="369">
        <f t="shared" si="150"/>
        <v>1.1882886193801401E-2</v>
      </c>
      <c r="FN57" s="366">
        <f t="shared" si="150"/>
        <v>2.5423728813558366E-3</v>
      </c>
      <c r="FO57" s="366">
        <f t="shared" si="150"/>
        <v>2.4272430865837524E-2</v>
      </c>
      <c r="FP57" s="366">
        <f t="shared" si="150"/>
        <v>-4.9516623437868557E-3</v>
      </c>
      <c r="FQ57" s="366">
        <f t="shared" si="150"/>
        <v>-1.0071090047393372E-2</v>
      </c>
      <c r="FR57" s="366">
        <f t="shared" si="150"/>
        <v>-1.1849192100538586E-2</v>
      </c>
      <c r="FS57" s="366">
        <f t="shared" si="150"/>
        <v>9.5960513565891414E-2</v>
      </c>
      <c r="FT57" s="366">
        <f t="shared" si="150"/>
        <v>-7.0649020528831596E-2</v>
      </c>
      <c r="FU57" s="366">
        <f t="shared" si="150"/>
        <v>2.6875966226661996E-2</v>
      </c>
      <c r="FV57" s="366">
        <f t="shared" si="150"/>
        <v>-3.6376375217139767E-3</v>
      </c>
      <c r="FW57" s="368">
        <f>IF(ISERROR(FW16/FV16-1),"NA ",FW16/FV16-1)</f>
        <v>-2.7499617310869917E-3</v>
      </c>
      <c r="FX57" s="366">
        <f>IF(ISERROR(FX16/FW16-1),"NA ",FX16/FW16-1)</f>
        <v>-8.3683013962895236E-3</v>
      </c>
      <c r="FY57" s="1347">
        <f>IF(ISERROR(FY16/FX16-1),"NA ",FY16/FX16-1)</f>
        <v>-8.3808122338197011E-3</v>
      </c>
      <c r="FZ57" s="369"/>
      <c r="GA57" s="366"/>
    </row>
    <row r="58" spans="1:190" x14ac:dyDescent="0.2">
      <c r="A58" s="260" t="s">
        <v>165</v>
      </c>
      <c r="B58" s="261"/>
      <c r="C58" s="366" t="s">
        <v>240</v>
      </c>
      <c r="D58" s="366" t="s">
        <v>240</v>
      </c>
      <c r="E58" s="366" t="s">
        <v>240</v>
      </c>
      <c r="F58" s="366" t="s">
        <v>240</v>
      </c>
      <c r="G58" s="261"/>
      <c r="H58" s="366">
        <f>((H17/C17)-1)</f>
        <v>0.56987295825771134</v>
      </c>
      <c r="I58" s="366">
        <f>((I17/D17)-1)</f>
        <v>-1.2123957865308745</v>
      </c>
      <c r="J58" s="366">
        <f>((J17/E17)-1)</f>
        <v>0.258731509050524</v>
      </c>
      <c r="K58" s="366">
        <f>((K17/F17)-1)</f>
        <v>0.53731133005851817</v>
      </c>
      <c r="L58" s="261"/>
      <c r="M58" s="366">
        <f>((M17/H17)-1)</f>
        <v>1.039041425818882</v>
      </c>
      <c r="N58" s="366">
        <f>((N17/I17)-1)</f>
        <v>2.7225290868492564</v>
      </c>
      <c r="O58" s="366">
        <f>((O17/J17)-1)</f>
        <v>1.0794863611616914</v>
      </c>
      <c r="P58" s="366">
        <f>((P17/K17)-1)</f>
        <v>0.29114836628460927</v>
      </c>
      <c r="Q58" s="261"/>
      <c r="R58" s="366">
        <f>((R17/M17)-1)</f>
        <v>2.5041046054262051E-2</v>
      </c>
      <c r="S58" s="366">
        <f>((S17/N17)-1)</f>
        <v>0.95848460931334034</v>
      </c>
      <c r="T58" s="366">
        <f>((T17/O17)-1)</f>
        <v>-3.0568395204390919E-2</v>
      </c>
      <c r="U58" s="366">
        <f>((U17/P17)-1)</f>
        <v>0.20401741352387148</v>
      </c>
      <c r="V58" s="261"/>
      <c r="W58" s="366">
        <f>((W17/R17)-1)</f>
        <v>0.25151818946543703</v>
      </c>
      <c r="X58" s="366">
        <f>((X17/S17)-1)</f>
        <v>0.39556701861852006</v>
      </c>
      <c r="Y58" s="366">
        <f>((Y17/T17)-1)</f>
        <v>0.23574714570412225</v>
      </c>
      <c r="Z58" s="366">
        <f>((Z17/U17)-1)</f>
        <v>0.23101259604236724</v>
      </c>
      <c r="AA58" s="261"/>
      <c r="AB58" s="366">
        <f>((AB17/W17)-1)</f>
        <v>-0.11712765173836581</v>
      </c>
      <c r="AC58" s="366">
        <f>((AC17/X17)-1)</f>
        <v>0.34218125534225408</v>
      </c>
      <c r="AD58" s="366">
        <f>((AD17/Y17)-1)</f>
        <v>0.40618853478224648</v>
      </c>
      <c r="AE58" s="366">
        <f>((AE17/Z17)-1)</f>
        <v>0.90268656716417905</v>
      </c>
      <c r="AF58" s="261"/>
      <c r="AG58" s="366">
        <f>((AG17/AB17)-1)</f>
        <v>0.38691376307528902</v>
      </c>
      <c r="AH58" s="366">
        <f>((AH17/AC17)-1)</f>
        <v>0.50297767603572918</v>
      </c>
      <c r="AI58" s="366">
        <f>((AI17/AD17)-1)</f>
        <v>0.24100601831755353</v>
      </c>
      <c r="AJ58" s="366">
        <f>((AJ17/AE17)-1)</f>
        <v>0.11252934296918116</v>
      </c>
      <c r="AK58" s="261"/>
      <c r="AL58" s="366">
        <f>((AL17/AG17)-1)</f>
        <v>0.10964981539549234</v>
      </c>
      <c r="AM58" s="366">
        <f>((AM17/AH17)-1)</f>
        <v>0.21293724913108791</v>
      </c>
      <c r="AN58" s="366">
        <f>((AN17/AI17)-1)</f>
        <v>0.15639898431562149</v>
      </c>
      <c r="AO58" s="366">
        <f>((AO17/AJ17)-1)</f>
        <v>7.5216467355320615E-2</v>
      </c>
      <c r="AP58" s="261"/>
      <c r="AQ58" s="366">
        <f>((AQ17/AL17)-1)</f>
        <v>0.22654487053513783</v>
      </c>
      <c r="AR58" s="366">
        <f>((AR17/AM17)-1)</f>
        <v>0.26043874598146433</v>
      </c>
      <c r="AS58" s="366">
        <f>((AS17/AN17)-1)</f>
        <v>-4.0274847358888977E-2</v>
      </c>
      <c r="AT58" s="366">
        <f>((AT17/AO17)-1)</f>
        <v>5.2035056613513264E-2</v>
      </c>
      <c r="AU58" s="261"/>
      <c r="AV58" s="366">
        <f>((AV17/AQ17)-1)</f>
        <v>0.24309392265193375</v>
      </c>
      <c r="AW58" s="366">
        <f>((AW17/AR17)-1)</f>
        <v>0.1910112359550562</v>
      </c>
      <c r="AX58" s="366">
        <f>((AX17/AS17)-1)</f>
        <v>0.17509727626459148</v>
      </c>
      <c r="AY58" s="366">
        <f>((AY17/AT17)-1)</f>
        <v>0.14133333333333331</v>
      </c>
      <c r="AZ58" s="261"/>
      <c r="BA58" s="366">
        <f>((BA17/AV17)-1)</f>
        <v>0.19555555555555548</v>
      </c>
      <c r="BB58" s="366">
        <f>((BB17/AW17)-1)</f>
        <v>0.26415094339622636</v>
      </c>
      <c r="BC58" s="366">
        <f>((BC17/AX17)-1)</f>
        <v>-0.10927152317880795</v>
      </c>
      <c r="BD58" s="366">
        <f>((BD17/AY17)-1)</f>
        <v>-2.9205607476635476E-2</v>
      </c>
      <c r="BE58" s="261"/>
      <c r="BF58" s="366">
        <f>((BF17/BA17)-1)</f>
        <v>-0.14498141263940523</v>
      </c>
      <c r="BG58" s="366">
        <f>((BG17/BB17)-1)</f>
        <v>-0.36815920398009949</v>
      </c>
      <c r="BH58" s="366">
        <f>((BH17/BC17)-1)</f>
        <v>-0.4200743494423792</v>
      </c>
      <c r="BI58" s="366">
        <f>((BI17/BD17)-1)</f>
        <v>-0.11432009626955475</v>
      </c>
      <c r="BJ58" s="261"/>
      <c r="BK58" s="366">
        <f>((BK17/BF17)-1)</f>
        <v>-3.9130434782608692E-2</v>
      </c>
      <c r="BL58" s="366">
        <f>((BL17/BG17)-1)</f>
        <v>0.18110236220472431</v>
      </c>
      <c r="BM58" s="366">
        <f>((BM17/BH17)-1)</f>
        <v>0.20512820512820507</v>
      </c>
      <c r="BN58" s="366">
        <f>((BN17/BI17)-1)</f>
        <v>-4.6195652173913082E-2</v>
      </c>
      <c r="BO58" s="261"/>
      <c r="BP58" s="366">
        <f>((BP17/BK17)-1)</f>
        <v>-0.30316742081447967</v>
      </c>
      <c r="BQ58" s="366">
        <f>((BQ17/BL17)-1)</f>
        <v>-8.666666666666667E-2</v>
      </c>
      <c r="BR58" s="366">
        <f>((BR17/BM17)-1)</f>
        <v>7.4468085106383031E-2</v>
      </c>
      <c r="BS58" s="366">
        <f>((BS17/BN17)-1)</f>
        <v>9.6866096866096818E-2</v>
      </c>
      <c r="BT58" s="261"/>
      <c r="BU58" s="366">
        <f>((BU17/BP17)-1)</f>
        <v>0.53246753246753253</v>
      </c>
      <c r="BV58" s="366">
        <f>((BV17/BQ17)-1)</f>
        <v>7.2992700729928028E-3</v>
      </c>
      <c r="BW58" s="366">
        <f>((BW17/BR17)-1)</f>
        <v>4.4554455445544594E-2</v>
      </c>
      <c r="BX58" s="366">
        <f>((BX17/BS17)-1)</f>
        <v>7.7922077922076838E-3</v>
      </c>
      <c r="BY58" s="261"/>
      <c r="BZ58" s="366">
        <f>((BZ17/BU17)-1)</f>
        <v>6.7796610169491567E-2</v>
      </c>
      <c r="CA58" s="366">
        <f>((CA17/BV17)-1)</f>
        <v>5.4347826086956541E-2</v>
      </c>
      <c r="CB58" s="366">
        <f>((CB17/BW17)-1)</f>
        <v>0.27962085308056861</v>
      </c>
      <c r="CC58" s="366">
        <f>((CC17/BX17)-1)</f>
        <v>0.70747422680412364</v>
      </c>
      <c r="CD58" s="261"/>
      <c r="CE58" s="366">
        <f>((CE17/BZ17)-1)</f>
        <v>-0.40873015873015872</v>
      </c>
      <c r="CF58" s="366">
        <f>((CF17/CA17)-1)</f>
        <v>0.402061855670103</v>
      </c>
      <c r="CG58" s="366">
        <f>((CG17/CB17)-1)</f>
        <v>3.3333333333333437E-2</v>
      </c>
      <c r="CH58" s="366">
        <f>((CH17/CC17)-1)</f>
        <v>8.452830188679239E-2</v>
      </c>
      <c r="CI58" s="261"/>
      <c r="CJ58" s="366">
        <f>((CJ17/CE17)-1)</f>
        <v>0.63758389261744974</v>
      </c>
      <c r="CK58" s="366">
        <f>((CK17/CF17)-1)</f>
        <v>-0.14950980392156865</v>
      </c>
      <c r="CL58" s="366">
        <f>((CL17/CG17)-1)</f>
        <v>-0.28315412186379929</v>
      </c>
      <c r="CM58" s="366">
        <f>((CM17/CH17)-1)</f>
        <v>-0.10160055671537926</v>
      </c>
      <c r="CN58" s="261"/>
      <c r="CO58" s="366">
        <f>((CO17/CJ17)-1)</f>
        <v>-0.42622950819672134</v>
      </c>
      <c r="CP58" s="366">
        <f>((CP17/CK17)-1)</f>
        <v>-3.458213256484155E-2</v>
      </c>
      <c r="CQ58" s="366">
        <f>((CQ17/CL17)-1)</f>
        <v>-0.58000000000000007</v>
      </c>
      <c r="CR58" s="366">
        <f>((CR17/CM17)-1)</f>
        <v>-0.32920216886134779</v>
      </c>
      <c r="CS58" s="372"/>
      <c r="CT58" s="366">
        <f>((CT17/CO17)-1)</f>
        <v>-0.82857142857142851</v>
      </c>
      <c r="CU58" s="366">
        <f>((CU17/CP17)-1)</f>
        <v>-0.15820895522388057</v>
      </c>
      <c r="CV58" s="366">
        <f>((CV17/CQ17)-1)</f>
        <v>4.7619047619047672E-2</v>
      </c>
      <c r="CW58" s="366">
        <f>((CW17/CR17)-1)</f>
        <v>0.22401847575057743</v>
      </c>
      <c r="CX58" s="261"/>
      <c r="CY58" s="366">
        <f>((CY17/CT17)-1)</f>
        <v>7.4583333333333339</v>
      </c>
      <c r="CZ58" s="366">
        <f>((CZ17/CU17)-1)</f>
        <v>0.31205673758865249</v>
      </c>
      <c r="DA58" s="366">
        <f>((DA17/CV17)-1)</f>
        <v>1.0113636363636362</v>
      </c>
      <c r="DB58" s="366">
        <f>((DB17/CW17)-1)</f>
        <v>0.10283018867924532</v>
      </c>
      <c r="DC58" s="261"/>
      <c r="DD58" s="366">
        <f>((DD17/CY17)-1)</f>
        <v>0.62561576354679804</v>
      </c>
      <c r="DE58" s="366">
        <f>((DE17/CZ17)-1)</f>
        <v>0.36756756756756759</v>
      </c>
      <c r="DF58" s="366">
        <f>((DF17/DA17)-1)</f>
        <v>0.64406779661016955</v>
      </c>
      <c r="DG58" s="366">
        <f>((DG17/DB17)-1)</f>
        <v>7.6988879384088937E-2</v>
      </c>
      <c r="DH58" s="261"/>
      <c r="DI58" s="366">
        <f>((DI17/DD17)-1)</f>
        <v>0.18484848484848482</v>
      </c>
      <c r="DJ58" s="366">
        <f>((DJ17/DE17)-1)</f>
        <v>9.486166007905128E-2</v>
      </c>
      <c r="DK58" s="366">
        <f>((DK17/DF17)-1)</f>
        <v>0.11683848797250862</v>
      </c>
      <c r="DL58" s="366">
        <f>((DL17/DG17)-1)</f>
        <v>0.10881652104845108</v>
      </c>
      <c r="DM58" s="261"/>
      <c r="DN58" s="366">
        <f>((DN17/DI17)-1)</f>
        <v>0.11253196930946285</v>
      </c>
      <c r="DO58" s="366">
        <f>((DO17/DJ17)-1)</f>
        <v>-3.6101083032490933E-2</v>
      </c>
      <c r="DP58" s="366">
        <f>((DP17/DK17)-1)</f>
        <v>0.10769230769230775</v>
      </c>
      <c r="DQ58" s="366">
        <f>((DQ17/DL17)-1)</f>
        <v>2.9369627507163321E-2</v>
      </c>
      <c r="DR58" s="261"/>
      <c r="DS58" s="366">
        <f>((DS17/DN17)-1)</f>
        <v>1.839080459770126E-2</v>
      </c>
      <c r="DT58" s="366">
        <f>((DT17/DO17)-1)</f>
        <v>6.9288389513108672E-2</v>
      </c>
      <c r="DU58" s="366">
        <f>((DU17/DP17)-1)</f>
        <v>0.17222222222222228</v>
      </c>
      <c r="DV58" s="366">
        <f>((DV17/DQ17)-1)</f>
        <v>9.7425191370912323E-3</v>
      </c>
      <c r="DW58" s="261"/>
      <c r="DX58" s="366">
        <f>((DX17/DS17)-1)</f>
        <v>-7.674943566591419E-2</v>
      </c>
      <c r="DY58" s="366">
        <f>((DY17/DT17)-1)</f>
        <v>-0.23642732049036774</v>
      </c>
      <c r="DZ58" s="366">
        <f>((DZ17/DU17)-1)</f>
        <v>-0.12559241706161139</v>
      </c>
      <c r="EA58" s="366">
        <f>((EA17/DV17)-1)</f>
        <v>-0.23294279807029639</v>
      </c>
      <c r="EB58" s="261"/>
      <c r="EC58" s="366">
        <f>((EC17/DX17)-1)</f>
        <v>-0.29095354523227379</v>
      </c>
      <c r="ED58" s="366">
        <f>((ED17/DY17)-1)</f>
        <v>-0.20470183486238536</v>
      </c>
      <c r="EE58" s="366">
        <f>((EE17/DZ17)-1)</f>
        <v>-0.59146341463414642</v>
      </c>
      <c r="EF58" s="366">
        <f>((EF17/EA17)-1)</f>
        <v>-4.4699011680143785E-2</v>
      </c>
      <c r="EG58" s="261"/>
      <c r="EH58" s="366">
        <f>((EH17/EC17)-1)</f>
        <v>-0.2448275862068966</v>
      </c>
      <c r="EI58" s="366">
        <f>((EI17/ED17)-1)</f>
        <v>-0.18385003604902672</v>
      </c>
      <c r="EJ58" s="366">
        <f>((EJ17/EE17)-1)</f>
        <v>3.4825870646766122E-2</v>
      </c>
      <c r="EK58" s="366">
        <f>((EK17/EF17)-1)</f>
        <v>0.31483658593933694</v>
      </c>
      <c r="EL58" s="366"/>
      <c r="EM58" s="1414">
        <f>((EM17/EH17)-1)</f>
        <v>-4.7520080365298312E-2</v>
      </c>
      <c r="EN58" s="1414">
        <f>((EN17/EI17)-1)</f>
        <v>-0.13643415017667659</v>
      </c>
      <c r="EO58" s="1414">
        <f>((EO17/EJ17)-1)</f>
        <v>5.4943006410253403E-2</v>
      </c>
      <c r="EP58" s="1414">
        <f>((EP17/EK17)-1)</f>
        <v>-0.27312038247496451</v>
      </c>
      <c r="EQ58" s="262"/>
      <c r="ER58" s="369"/>
      <c r="ES58" s="366"/>
      <c r="ET58" s="366"/>
      <c r="EU58" s="366"/>
      <c r="EV58" s="366"/>
      <c r="EW58" s="366"/>
      <c r="EX58" s="366"/>
      <c r="EY58" s="366">
        <f t="shared" ref="EY58:FH58" si="151">((EY17/EX17)-1)</f>
        <v>0.3469079939668176</v>
      </c>
      <c r="EZ58" s="366">
        <f t="shared" si="151"/>
        <v>0.50167973124300103</v>
      </c>
      <c r="FA58" s="366">
        <f t="shared" si="151"/>
        <v>8.5011185682326573E-2</v>
      </c>
      <c r="FB58" s="366">
        <f t="shared" si="151"/>
        <v>0.16357388316151211</v>
      </c>
      <c r="FC58" s="366">
        <f t="shared" si="151"/>
        <v>4.6072061429415223E-2</v>
      </c>
      <c r="FD58" s="366">
        <f t="shared" si="151"/>
        <v>-0.2230378317334839</v>
      </c>
      <c r="FE58" s="366">
        <f t="shared" si="151"/>
        <v>2.5436046511627897E-2</v>
      </c>
      <c r="FF58" s="366">
        <f t="shared" si="151"/>
        <v>-7.795889440113446E-3</v>
      </c>
      <c r="FG58" s="366">
        <f t="shared" si="151"/>
        <v>7.071428571428573E-2</v>
      </c>
      <c r="FH58" s="366">
        <f t="shared" si="151"/>
        <v>0.42628418945963986</v>
      </c>
      <c r="FI58" s="369">
        <f>((FI17/FH17)-1)</f>
        <v>6.3143124415341534E-2</v>
      </c>
      <c r="FJ58" s="366">
        <f>((FJ17/FI17)-1)</f>
        <v>-8.4029916410030769E-2</v>
      </c>
      <c r="FK58" s="368">
        <f t="shared" ref="FK58:FV58" si="152">((FK17/FJ17)-1)</f>
        <v>-0.31556195965417866</v>
      </c>
      <c r="FL58" s="369">
        <f t="shared" si="152"/>
        <v>2.0350877192982564E-2</v>
      </c>
      <c r="FM58" s="369">
        <f t="shared" si="152"/>
        <v>0.31980742778541948</v>
      </c>
      <c r="FN58" s="366">
        <f t="shared" si="152"/>
        <v>0.24335591453882222</v>
      </c>
      <c r="FO58" s="366">
        <f t="shared" si="152"/>
        <v>0.11735121542330251</v>
      </c>
      <c r="FP58" s="366">
        <f t="shared" si="152"/>
        <v>3.7509377344336015E-2</v>
      </c>
      <c r="FQ58" s="366">
        <f t="shared" si="152"/>
        <v>4.374548083875629E-2</v>
      </c>
      <c r="FR58" s="366">
        <f t="shared" si="152"/>
        <v>-0.19397298233460336</v>
      </c>
      <c r="FS58" s="366">
        <f t="shared" si="152"/>
        <v>-0.20466265577997422</v>
      </c>
      <c r="FT58" s="366">
        <f t="shared" si="152"/>
        <v>0.11090098608672161</v>
      </c>
      <c r="FU58" s="366">
        <f t="shared" si="152"/>
        <v>-0.20538372947470784</v>
      </c>
      <c r="FV58" s="366">
        <f t="shared" si="152"/>
        <v>-0.21387755240481632</v>
      </c>
      <c r="FW58" s="368">
        <f>((FW17/FV17)-1)</f>
        <v>-0.25652463603458764</v>
      </c>
      <c r="FX58" s="366">
        <f>((FX17/FW17)-1)</f>
        <v>-0.28576193393486704</v>
      </c>
      <c r="FY58" s="1347">
        <f>((FY17/FX17)-1)</f>
        <v>-0.37396085780343979</v>
      </c>
      <c r="FZ58" s="369"/>
      <c r="GA58" s="366"/>
    </row>
    <row r="59" spans="1:190" x14ac:dyDescent="0.2">
      <c r="A59" s="260" t="s">
        <v>172</v>
      </c>
      <c r="B59" s="261"/>
      <c r="C59" s="366" t="s">
        <v>240</v>
      </c>
      <c r="D59" s="366" t="s">
        <v>240</v>
      </c>
      <c r="E59" s="366" t="s">
        <v>240</v>
      </c>
      <c r="F59" s="366" t="s">
        <v>240</v>
      </c>
      <c r="G59" s="261"/>
      <c r="H59" s="366">
        <f>((H34/C34)-1)</f>
        <v>-0.3545347003114907</v>
      </c>
      <c r="I59" s="366">
        <f>((I34/D34)-1)</f>
        <v>0.13855882421264298</v>
      </c>
      <c r="J59" s="366">
        <f>((J34/E34)-1)</f>
        <v>-0.29704520972282267</v>
      </c>
      <c r="K59" s="366" t="s">
        <v>240</v>
      </c>
      <c r="L59" s="261"/>
      <c r="M59" s="366" t="s">
        <v>240</v>
      </c>
      <c r="N59" s="366" t="s">
        <v>240</v>
      </c>
      <c r="O59" s="366" t="s">
        <v>240</v>
      </c>
      <c r="P59" s="366" t="s">
        <v>240</v>
      </c>
      <c r="Q59" s="261"/>
      <c r="R59" s="366" t="s">
        <v>240</v>
      </c>
      <c r="S59" s="366" t="s">
        <v>240</v>
      </c>
      <c r="T59" s="366">
        <f>((T34/O34)-1)</f>
        <v>0.54030553769531076</v>
      </c>
      <c r="U59" s="366">
        <f>((U34/P34)-1)</f>
        <v>0.30902162868179084</v>
      </c>
      <c r="V59" s="261"/>
      <c r="W59" s="366">
        <f>((W34/R34)-1)</f>
        <v>0.27379790339591414</v>
      </c>
      <c r="X59" s="366">
        <f>((X34/S34)-1)</f>
        <v>-0.57483521384230762</v>
      </c>
      <c r="Y59" s="366">
        <f>((Y34/T34)-1)</f>
        <v>-9.2774173230396384E-2</v>
      </c>
      <c r="Z59" s="366">
        <f>((Z34/U34)-1)</f>
        <v>0.1372301386619641</v>
      </c>
      <c r="AA59" s="261"/>
      <c r="AB59" s="366" t="s">
        <v>240</v>
      </c>
      <c r="AC59" s="366" t="s">
        <v>240</v>
      </c>
      <c r="AD59" s="366">
        <f>((AD34/Y34)-1)</f>
        <v>-0.65839648670221329</v>
      </c>
      <c r="AE59" s="366">
        <f>((AE34/Z34)-1)</f>
        <v>4.3713020494385191E-2</v>
      </c>
      <c r="AF59" s="261"/>
      <c r="AG59" s="366">
        <f>((AG34/AB34)-1)</f>
        <v>-0.41201029755633711</v>
      </c>
      <c r="AH59" s="366">
        <f>((AH34/AC34)-1)</f>
        <v>-0.64323295113702517</v>
      </c>
      <c r="AI59" s="366">
        <f>((AI34/AD34)-1)</f>
        <v>0.64022104831429405</v>
      </c>
      <c r="AJ59" s="366">
        <f>((AJ34/AE34)-1)</f>
        <v>-5.3660478336694406E-2</v>
      </c>
      <c r="AK59" s="261"/>
      <c r="AL59" s="366">
        <f>((AL34/AG34)-1)</f>
        <v>-1.6014233454128097</v>
      </c>
      <c r="AM59" s="366">
        <f>((AM34/AH34)-1)</f>
        <v>-3.2393842668644961</v>
      </c>
      <c r="AN59" s="366">
        <f>((AN34/AI34)-1)</f>
        <v>1.3628282433530288</v>
      </c>
      <c r="AO59" s="366">
        <f>((AO34/AJ34)-1)</f>
        <v>0.27185425204063196</v>
      </c>
      <c r="AP59" s="261"/>
      <c r="AQ59" s="366">
        <f>((AQ34/AL34)-1)</f>
        <v>1.357119867458799</v>
      </c>
      <c r="AR59" s="366">
        <f>((AR34/AM34)-1)</f>
        <v>0.56846228248400532</v>
      </c>
      <c r="AS59" s="366">
        <f>((AS34/AN34)-1)</f>
        <v>3.6784357650010646E-2</v>
      </c>
      <c r="AT59" s="366">
        <f>((AT34/AO34)-1)</f>
        <v>0.13865628375071015</v>
      </c>
      <c r="AU59" s="261"/>
      <c r="AV59" s="366">
        <f>((AV34/AQ34)-1)</f>
        <v>-0.22709013405942335</v>
      </c>
      <c r="AW59" s="366">
        <f>((AW34/AR34)-1)</f>
        <v>-0.32952032783985374</v>
      </c>
      <c r="AX59" s="366">
        <f>((AX34/AS34)-1)</f>
        <v>-0.4182810368349249</v>
      </c>
      <c r="AY59" s="366">
        <f>((AY34/AT34)-1)</f>
        <v>-0.45797109202935382</v>
      </c>
      <c r="AZ59" s="261"/>
      <c r="BA59" s="366">
        <f>((BA34/AV34)-1)</f>
        <v>0.3569488949468862</v>
      </c>
      <c r="BB59" s="366">
        <f>((BB34/AW34)-1)</f>
        <v>0.50706646361742713</v>
      </c>
      <c r="BC59" s="366">
        <f>((BC34/AX34)-1)</f>
        <v>-3.0975973608567631E-2</v>
      </c>
      <c r="BD59" s="366">
        <f>((BD34/AY34)-1)</f>
        <v>9.1775708959831892E-2</v>
      </c>
      <c r="BE59" s="261"/>
      <c r="BF59" s="366">
        <f>((BF34/BA34)-1)</f>
        <v>-0.20822262267582337</v>
      </c>
      <c r="BG59" s="366">
        <f>((BG34/BB34)-1)</f>
        <v>-0.43841864714537893</v>
      </c>
      <c r="BH59" s="366">
        <f>((BH34/BC34)-1)</f>
        <v>-0.59273991713233776</v>
      </c>
      <c r="BI59" s="366">
        <f>((BI34/BD34)-1)</f>
        <v>-9.5511908313649863E-2</v>
      </c>
      <c r="BJ59" s="261"/>
      <c r="BK59" s="366">
        <f>((BK34/BF34)-1)</f>
        <v>1.0022997402227452E-2</v>
      </c>
      <c r="BL59" s="366">
        <f>((BL34/BG34)-1)</f>
        <v>0.25077409537636819</v>
      </c>
      <c r="BM59" s="366">
        <f>((BM34/BH34)-1)</f>
        <v>0.73436521566609403</v>
      </c>
      <c r="BN59" s="366">
        <f>((BN34/BI34)-1)</f>
        <v>-8.1762364367958806E-3</v>
      </c>
      <c r="BO59" s="261"/>
      <c r="BP59" s="366">
        <f>((BP34/BK34)-1)</f>
        <v>-0.38502923283127022</v>
      </c>
      <c r="BQ59" s="366">
        <f>((BQ34/BL34)-1)</f>
        <v>3.0104736134886956E-2</v>
      </c>
      <c r="BR59" s="366">
        <f>((BR34/BM34)-1)</f>
        <v>0.18641645511193183</v>
      </c>
      <c r="BS59" s="366">
        <f>((BS34/BN34)-1)</f>
        <v>0.16982420675683696</v>
      </c>
      <c r="BT59" s="261"/>
      <c r="BU59" s="366">
        <f>((BU34/BP34)-1)</f>
        <v>1.2002944973744478</v>
      </c>
      <c r="BV59" s="366">
        <f>((BV34/BQ34)-1)</f>
        <v>9.1284054291573158E-2</v>
      </c>
      <c r="BW59" s="366">
        <f>((BW34/BR34)-1)</f>
        <v>0.21440795242992539</v>
      </c>
      <c r="BX59" s="366">
        <f>((BX34/BS34)-1)</f>
        <v>0.11331568332715758</v>
      </c>
      <c r="BY59" s="261"/>
      <c r="BZ59" s="366">
        <f>((BZ34/BU34)-1)</f>
        <v>0.20924520779639133</v>
      </c>
      <c r="CA59" s="366">
        <f>((CA34/BV34)-1)</f>
        <v>0.14652501106684346</v>
      </c>
      <c r="CB59" s="366">
        <f>((CB34/BW34)-1)</f>
        <v>-0.41739246783196837</v>
      </c>
      <c r="CC59" s="366">
        <f>((CC34/BX34)-1)</f>
        <v>2.6745738601636537E-2</v>
      </c>
      <c r="CD59" s="261"/>
      <c r="CE59" s="366">
        <f>((CE34/BZ34)-1)</f>
        <v>-0.96536392307397523</v>
      </c>
      <c r="CF59" s="366">
        <f>((CF34/CA34)-1)</f>
        <v>-0.22511768742991911</v>
      </c>
      <c r="CG59" s="366">
        <f>((CG34/CB34)-1)</f>
        <v>0.27056097610725471</v>
      </c>
      <c r="CH59" s="366">
        <f>((CH34/CC34)-1)</f>
        <v>0.19806697860755884</v>
      </c>
      <c r="CI59" s="261"/>
      <c r="CJ59" s="366" t="s">
        <v>240</v>
      </c>
      <c r="CK59" s="366">
        <f>((CK34/CF34)-1)</f>
        <v>4.1797260273972681E-2</v>
      </c>
      <c r="CL59" s="366">
        <f>((CL34/CG34)-1)</f>
        <v>-0.60815006068840372</v>
      </c>
      <c r="CM59" s="366">
        <f>((CM34/CH34)-1)</f>
        <v>4.5209247683819731E-2</v>
      </c>
      <c r="CN59" s="261"/>
      <c r="CO59" s="366">
        <f>((CO34/CJ34)-1)</f>
        <v>-0.9375</v>
      </c>
      <c r="CP59" s="366">
        <f>((CP34/CK34)-1)</f>
        <v>-0.14705882352941191</v>
      </c>
      <c r="CQ59" s="366">
        <f>((CQ34/CL34)-1)</f>
        <v>-2</v>
      </c>
      <c r="CR59" s="366">
        <f>((CR34/CM34)-1)</f>
        <v>-0.36550806778092648</v>
      </c>
      <c r="CS59" s="372"/>
      <c r="CT59" s="366" t="s">
        <v>240</v>
      </c>
      <c r="CU59" s="366">
        <f>((CU34/CP34)-1)</f>
        <v>-0.31034482758620685</v>
      </c>
      <c r="CV59" s="366">
        <f>((CV34/CQ34)-1)</f>
        <v>-0.625</v>
      </c>
      <c r="CW59" s="366">
        <f>((CW34/CR34)-1)</f>
        <v>0.27358490566037741</v>
      </c>
      <c r="CX59" s="261"/>
      <c r="CY59" s="366">
        <f>((CY34/CT34)-1)</f>
        <v>-1.5865790708587517</v>
      </c>
      <c r="CZ59" s="366">
        <f>((CZ34/CU34)-1)</f>
        <v>0.72332942555685809</v>
      </c>
      <c r="DA59" s="366">
        <f>((DA34/CV34)-1)</f>
        <v>-3.6816339257873398</v>
      </c>
      <c r="DB59" s="366">
        <f>((DB34/CW34)-1)</f>
        <v>0.17975038702784008</v>
      </c>
      <c r="DC59" s="261"/>
      <c r="DD59" s="366">
        <f>((DD34/CY34)-1)</f>
        <v>2.2460581395348833</v>
      </c>
      <c r="DE59" s="366">
        <f>((DE34/CZ34)-1)</f>
        <v>0.60889988761266101</v>
      </c>
      <c r="DF59" s="366">
        <f>((DF34/DA34)-1)</f>
        <v>3.0013949179745154</v>
      </c>
      <c r="DG59" s="366">
        <f>((DG34/DB34)-1)</f>
        <v>7.0465725069720486E-2</v>
      </c>
      <c r="DH59" s="261"/>
      <c r="DI59" s="366">
        <f>((DI34/DD34)-1)</f>
        <v>0.40222359547930187</v>
      </c>
      <c r="DJ59" s="366">
        <f>((DJ34/DE34)-1)</f>
        <v>0.20624824041917567</v>
      </c>
      <c r="DK59" s="366">
        <f>((DK34/DF34)-1)</f>
        <v>0.10428744525830669</v>
      </c>
      <c r="DL59" s="366">
        <f>((DL34/DG34)-1)</f>
        <v>0.20129198602296072</v>
      </c>
      <c r="DM59" s="261"/>
      <c r="DN59" s="366">
        <f>((DN34/DI34)-1)</f>
        <v>0.28763453283756624</v>
      </c>
      <c r="DO59" s="366">
        <f>((DO34/DJ34)-1)</f>
        <v>7.9090583502969602E-2</v>
      </c>
      <c r="DP59" s="366">
        <f>((DP34/DK34)-1)</f>
        <v>0.30962469843458074</v>
      </c>
      <c r="DQ59" s="366">
        <f>((DQ34/DL34)-1)</f>
        <v>0.12669111871716021</v>
      </c>
      <c r="DR59" s="261"/>
      <c r="DS59" s="366">
        <f>((DS34/DN34)-1)</f>
        <v>9.2930237390265402E-2</v>
      </c>
      <c r="DT59" s="366">
        <f>((DT34/DO34)-1)</f>
        <v>0.10711412638029416</v>
      </c>
      <c r="DU59" s="366">
        <f>((DU34/DP34)-1)</f>
        <v>0.30310568620296974</v>
      </c>
      <c r="DV59" s="366">
        <f>((DV34/DQ34)-1)</f>
        <v>5.8986727348927959E-2</v>
      </c>
      <c r="DW59" s="261"/>
      <c r="DX59" s="366">
        <f>((DX34/DS34)-1)</f>
        <v>-7.3492578849721601E-2</v>
      </c>
      <c r="DY59" s="366">
        <f>((DY34/DT34)-1)</f>
        <v>-0.20367372353673729</v>
      </c>
      <c r="DZ59" s="366">
        <f>((DZ34/DU34)-1)</f>
        <v>-7.0963632627902173E-2</v>
      </c>
      <c r="EA59" s="366">
        <f>((EA34/DV34)-1)</f>
        <v>-0.14457184801254774</v>
      </c>
      <c r="EB59" s="261"/>
      <c r="EC59" s="366">
        <f>((EC34/DX34)-1)</f>
        <v>-0.24979547313880568</v>
      </c>
      <c r="ED59" s="366">
        <f>((ED34/DY34)-1)</f>
        <v>-0.16431095406360419</v>
      </c>
      <c r="EE59" s="366">
        <f>((EE34/DZ34)-1)</f>
        <v>-0.72462396881596769</v>
      </c>
      <c r="EF59" s="366">
        <f>((EF34/EA34)-1)</f>
        <v>-1.6913401029949648E-2</v>
      </c>
      <c r="EG59" s="261"/>
      <c r="EH59" s="366">
        <f>((EH34/EC34)-1)</f>
        <v>-0.36463925141590736</v>
      </c>
      <c r="EI59" s="366">
        <f>((EI34/ED34)-1)</f>
        <v>-0.14351368196278846</v>
      </c>
      <c r="EJ59" s="366">
        <f>((EJ34/EE34)-1)</f>
        <v>0.33173095698118304</v>
      </c>
      <c r="EK59" s="366">
        <f>((EK34/EF34)-1)</f>
        <v>0.38981627865308188</v>
      </c>
      <c r="EL59" s="366"/>
      <c r="EM59" s="1414">
        <f>((EM34/EH34)-1)</f>
        <v>0.41505204463543133</v>
      </c>
      <c r="EN59" s="1414">
        <f>((EN34/EI34)-1)</f>
        <v>4.7407023721274033E-2</v>
      </c>
      <c r="EO59" s="1414">
        <f>((EO34/EJ34)-1)</f>
        <v>0.36857290732898784</v>
      </c>
      <c r="EP59" s="1414">
        <f>((EP34/EK34)-1)</f>
        <v>-0.15638216522973758</v>
      </c>
      <c r="EQ59" s="262"/>
      <c r="ER59" s="369"/>
      <c r="ES59" s="366"/>
      <c r="ET59" s="366"/>
      <c r="EU59" s="366"/>
      <c r="EV59" s="366"/>
      <c r="EW59" s="366"/>
      <c r="EX59" s="366"/>
      <c r="EY59" s="366">
        <f t="shared" ref="EY59:FH59" si="153">((EY34/EX34)-1)</f>
        <v>2.0859114685851319</v>
      </c>
      <c r="EZ59" s="366">
        <f t="shared" si="153"/>
        <v>1.1147240221524162</v>
      </c>
      <c r="FA59" s="366">
        <f t="shared" si="153"/>
        <v>0.19822113944992981</v>
      </c>
      <c r="FB59" s="366">
        <f t="shared" si="153"/>
        <v>0.23850835303981577</v>
      </c>
      <c r="FC59" s="366">
        <f t="shared" si="153"/>
        <v>0.11804933673070495</v>
      </c>
      <c r="FD59" s="366">
        <f t="shared" si="153"/>
        <v>-0.23747100765953244</v>
      </c>
      <c r="FE59" s="366">
        <f t="shared" si="153"/>
        <v>6.7412153054829504E-2</v>
      </c>
      <c r="FF59" s="366">
        <f t="shared" si="153"/>
        <v>8.2618698493725606E-2</v>
      </c>
      <c r="FG59" s="366">
        <f t="shared" si="153"/>
        <v>0.19253228900861408</v>
      </c>
      <c r="FH59" s="366">
        <f t="shared" si="153"/>
        <v>0.13546350508465377</v>
      </c>
      <c r="FI59" s="369">
        <f>((FI34/FH34)-1)</f>
        <v>-0.17112431238754444</v>
      </c>
      <c r="FJ59" s="366">
        <f>((FJ34/FI34)-1)</f>
        <v>2.5111568657991912E-2</v>
      </c>
      <c r="FK59" s="368">
        <f t="shared" ref="FK59:FV59" si="154">((FK34/FJ34)-1)</f>
        <v>-0.39268237430300357</v>
      </c>
      <c r="FL59" s="369">
        <f t="shared" si="154"/>
        <v>5.3963342811646164E-2</v>
      </c>
      <c r="FM59" s="369">
        <f t="shared" si="154"/>
        <v>0.51835241291504008</v>
      </c>
      <c r="FN59" s="366">
        <f t="shared" si="154"/>
        <v>0.39229297425692655</v>
      </c>
      <c r="FO59" s="366">
        <f t="shared" si="154"/>
        <v>0.20157505149459909</v>
      </c>
      <c r="FP59" s="366">
        <f t="shared" si="154"/>
        <v>0.15645188501530449</v>
      </c>
      <c r="FQ59" s="366">
        <f t="shared" si="154"/>
        <v>9.8490205191723579E-2</v>
      </c>
      <c r="FR59" s="366">
        <f t="shared" si="154"/>
        <v>-0.14381318563923806</v>
      </c>
      <c r="FS59" s="366">
        <f t="shared" si="154"/>
        <v>-0.16490744654549527</v>
      </c>
      <c r="FT59" s="366">
        <f>((FT34/FS34)-1)</f>
        <v>0.2037405637390588</v>
      </c>
      <c r="FU59" s="366">
        <f t="shared" si="154"/>
        <v>-6.2773433935271461E-2</v>
      </c>
      <c r="FV59" s="366">
        <f t="shared" si="154"/>
        <v>-0.23946495282740099</v>
      </c>
      <c r="FW59" s="368">
        <f>((FW34/FV34)-1)</f>
        <v>-0.2945172476787189</v>
      </c>
      <c r="FX59" s="366">
        <f>((FX34/FW34)-1)</f>
        <v>-0.34140964214789737</v>
      </c>
      <c r="FY59" s="1347">
        <f>((FY34/FX34)-1)</f>
        <v>-0.48010063771435196</v>
      </c>
      <c r="FZ59" s="369"/>
      <c r="GA59" s="366"/>
    </row>
    <row r="60" spans="1:190" x14ac:dyDescent="0.2">
      <c r="A60" s="278" t="s">
        <v>174</v>
      </c>
      <c r="B60" s="284"/>
      <c r="C60" s="373" t="s">
        <v>240</v>
      </c>
      <c r="D60" s="373" t="s">
        <v>240</v>
      </c>
      <c r="E60" s="373" t="s">
        <v>240</v>
      </c>
      <c r="F60" s="373" t="s">
        <v>240</v>
      </c>
      <c r="G60" s="284"/>
      <c r="H60" s="373" t="s">
        <v>240</v>
      </c>
      <c r="I60" s="373" t="s">
        <v>240</v>
      </c>
      <c r="J60" s="373" t="s">
        <v>240</v>
      </c>
      <c r="K60" s="373" t="s">
        <v>240</v>
      </c>
      <c r="L60" s="284"/>
      <c r="M60" s="373" t="s">
        <v>240</v>
      </c>
      <c r="N60" s="373" t="s">
        <v>240</v>
      </c>
      <c r="O60" s="373" t="s">
        <v>240</v>
      </c>
      <c r="P60" s="373" t="s">
        <v>240</v>
      </c>
      <c r="Q60" s="284"/>
      <c r="R60" s="373" t="s">
        <v>240</v>
      </c>
      <c r="S60" s="373" t="s">
        <v>240</v>
      </c>
      <c r="T60" s="373" t="s">
        <v>240</v>
      </c>
      <c r="U60" s="373" t="s">
        <v>240</v>
      </c>
      <c r="V60" s="284"/>
      <c r="W60" s="373" t="s">
        <v>240</v>
      </c>
      <c r="X60" s="373" t="s">
        <v>240</v>
      </c>
      <c r="Y60" s="373" t="s">
        <v>240</v>
      </c>
      <c r="Z60" s="373" t="s">
        <v>240</v>
      </c>
      <c r="AA60" s="284"/>
      <c r="AB60" s="373" t="s">
        <v>240</v>
      </c>
      <c r="AC60" s="373" t="s">
        <v>240</v>
      </c>
      <c r="AD60" s="373" t="s">
        <v>240</v>
      </c>
      <c r="AE60" s="373" t="s">
        <v>240</v>
      </c>
      <c r="AF60" s="284"/>
      <c r="AG60" s="373" t="s">
        <v>240</v>
      </c>
      <c r="AH60" s="373" t="s">
        <v>240</v>
      </c>
      <c r="AI60" s="373" t="s">
        <v>240</v>
      </c>
      <c r="AJ60" s="373" t="s">
        <v>240</v>
      </c>
      <c r="AK60" s="284"/>
      <c r="AL60" s="373" t="s">
        <v>240</v>
      </c>
      <c r="AM60" s="373" t="s">
        <v>240</v>
      </c>
      <c r="AN60" s="373" t="s">
        <v>240</v>
      </c>
      <c r="AO60" s="373" t="s">
        <v>240</v>
      </c>
      <c r="AP60" s="284"/>
      <c r="AQ60" s="373" t="s">
        <v>240</v>
      </c>
      <c r="AR60" s="373" t="s">
        <v>240</v>
      </c>
      <c r="AS60" s="373" t="s">
        <v>240</v>
      </c>
      <c r="AT60" s="373" t="s">
        <v>240</v>
      </c>
      <c r="AU60" s="284"/>
      <c r="AV60" s="373" t="s">
        <v>240</v>
      </c>
      <c r="AW60" s="373" t="s">
        <v>240</v>
      </c>
      <c r="AX60" s="373" t="s">
        <v>240</v>
      </c>
      <c r="AY60" s="373" t="s">
        <v>240</v>
      </c>
      <c r="AZ60" s="284"/>
      <c r="BA60" s="373" t="s">
        <v>240</v>
      </c>
      <c r="BB60" s="373" t="s">
        <v>240</v>
      </c>
      <c r="BC60" s="373" t="s">
        <v>240</v>
      </c>
      <c r="BD60" s="373" t="s">
        <v>240</v>
      </c>
      <c r="BE60" s="284"/>
      <c r="BF60" s="373">
        <f>BF42/BA42-1</f>
        <v>-0.10135135135135132</v>
      </c>
      <c r="BG60" s="373">
        <f>BG42/BB42-1</f>
        <v>-0.26736111111111116</v>
      </c>
      <c r="BH60" s="373">
        <f>BH42/BC42-1</f>
        <v>-0.24311926605504586</v>
      </c>
      <c r="BI60" s="373">
        <f>BI42/BD42-1</f>
        <v>-8.3249749247743199E-2</v>
      </c>
      <c r="BJ60" s="284"/>
      <c r="BK60" s="373">
        <f>BK42/BF42-1</f>
        <v>-3.2581453634085267E-2</v>
      </c>
      <c r="BL60" s="373">
        <f>BL42/BG42-1</f>
        <v>0.1090047393364928</v>
      </c>
      <c r="BM60" s="373">
        <f>BM42/BH42-1</f>
        <v>7.575757575757569E-2</v>
      </c>
      <c r="BN60" s="373">
        <f>BN42/BI42-1</f>
        <v>-3.5010940919037226E-2</v>
      </c>
      <c r="BO60" s="284"/>
      <c r="BP60" s="373">
        <f>BP42/BK42-1</f>
        <v>-0.13471502590673579</v>
      </c>
      <c r="BQ60" s="373">
        <f>BQ42/BL42-1</f>
        <v>-4.4871794871794823E-2</v>
      </c>
      <c r="BR60" s="373">
        <f>BR42/BM42-1</f>
        <v>6.4788732394366111E-2</v>
      </c>
      <c r="BS60" s="373">
        <f>BS42/BN42-1</f>
        <v>7.8231292517006779E-2</v>
      </c>
      <c r="BT60" s="284"/>
      <c r="BU60" s="373">
        <f>BU42/BP42-1</f>
        <v>0.20658682634730541</v>
      </c>
      <c r="BV60" s="373">
        <f>BV42/BQ42-1</f>
        <v>1.5659955257270708E-2</v>
      </c>
      <c r="BW60" s="373">
        <f>BW42/BR42-1</f>
        <v>2.9100529100529071E-2</v>
      </c>
      <c r="BX60" s="373">
        <f>BX42/BS42-1</f>
        <v>3.0494216614090464E-2</v>
      </c>
      <c r="BY60" s="284"/>
      <c r="BZ60" s="373">
        <f>BZ42/BU42-1</f>
        <v>3.9702233250620278E-2</v>
      </c>
      <c r="CA60" s="373">
        <f>CA42/BV42-1</f>
        <v>3.3039647577092435E-2</v>
      </c>
      <c r="CB60" s="373">
        <f>CB42/BW42-1</f>
        <v>0.45244215938303345</v>
      </c>
      <c r="CC60" s="373">
        <f>CC42/BX42-1</f>
        <v>0.68673469387755093</v>
      </c>
      <c r="CD60" s="284"/>
      <c r="CE60" s="373">
        <f>CE42/BZ42-1</f>
        <v>0.10978520286396187</v>
      </c>
      <c r="CF60" s="373">
        <f>CF42/CA42-1</f>
        <v>0.53944562899786774</v>
      </c>
      <c r="CG60" s="373">
        <f>CG42/CB42-1</f>
        <v>5.1327433628318486E-2</v>
      </c>
      <c r="CH60" s="373">
        <f>CH42/CC42-1</f>
        <v>6.291591046581968E-2</v>
      </c>
      <c r="CI60" s="284"/>
      <c r="CJ60" s="373">
        <f>CJ42/CE42-1</f>
        <v>0.23225806451612896</v>
      </c>
      <c r="CK60" s="373">
        <f>CK42/CF42-1</f>
        <v>-6.6481994459833826E-2</v>
      </c>
      <c r="CL60" s="373">
        <f>CL42/CG42-1</f>
        <v>-0.12289562289562295</v>
      </c>
      <c r="CM60" s="373">
        <f>CM42/CH42-1</f>
        <v>-7.9112122936824125E-2</v>
      </c>
      <c r="CN60" s="284"/>
      <c r="CO60" s="373">
        <f>CO42/CJ42-1</f>
        <v>-0.20593368237347298</v>
      </c>
      <c r="CP60" s="373">
        <f>CP42/CK42-1</f>
        <v>-3.5608308605341255E-2</v>
      </c>
      <c r="CQ60" s="373">
        <f>CQ42/CL42-1</f>
        <v>-0.22456813819577737</v>
      </c>
      <c r="CR60" s="373">
        <f>CR42/CM42-1</f>
        <v>-0.26205191594561184</v>
      </c>
      <c r="CS60" s="374"/>
      <c r="CT60" s="373">
        <f>CT42/CO42-1</f>
        <v>-0.28131868131868132</v>
      </c>
      <c r="CU60" s="373">
        <f>CU42/CP42-1</f>
        <v>-0.10307692307692307</v>
      </c>
      <c r="CV60" s="373">
        <f>CV42/CQ42-1</f>
        <v>-3.7128712871287162E-2</v>
      </c>
      <c r="CW60" s="373">
        <f>CW42/CR42-1</f>
        <v>0.14321608040200995</v>
      </c>
      <c r="CX60" s="284"/>
      <c r="CY60" s="373">
        <f>CY42/CT42-1</f>
        <v>0.49847094801223246</v>
      </c>
      <c r="CZ60" s="373">
        <f>CZ42/CU42-1</f>
        <v>0.12864493996569459</v>
      </c>
      <c r="DA60" s="373">
        <f>DA42/CV42-1</f>
        <v>0.2005141388174807</v>
      </c>
      <c r="DB60" s="373">
        <f>DB42/CW42-1</f>
        <v>6.5201465201465192E-2</v>
      </c>
      <c r="DC60" s="284"/>
      <c r="DD60" s="373">
        <f>DD42/CY42-1</f>
        <v>0.2204081632653061</v>
      </c>
      <c r="DE60" s="373">
        <f>DE42/CZ42-1</f>
        <v>0.17629179331306988</v>
      </c>
      <c r="DF60" s="373">
        <f>DF42/DA42-1</f>
        <v>0.2269807280513918</v>
      </c>
      <c r="DG60" s="373">
        <f>DG42/DB42-1</f>
        <v>4.9518569463548934E-2</v>
      </c>
      <c r="DH60" s="284"/>
      <c r="DI60" s="373">
        <f>DI42/DD42-1</f>
        <v>8.1939799331103735E-2</v>
      </c>
      <c r="DJ60" s="373">
        <f>DJ42/DE42-1</f>
        <v>4.7803617571059442E-2</v>
      </c>
      <c r="DK60" s="373">
        <f>DK42/DF42-1</f>
        <v>3.6649214659685958E-2</v>
      </c>
      <c r="DL60" s="373">
        <f>DL42/DG42-1</f>
        <v>8.9777195281782518E-2</v>
      </c>
      <c r="DM60" s="284"/>
      <c r="DN60" s="373">
        <f>DN42/DI42-1</f>
        <v>6.0278207109737192E-2</v>
      </c>
      <c r="DO60" s="373">
        <f>DO42/DJ42-1</f>
        <v>-2.9593094944512899E-2</v>
      </c>
      <c r="DP60" s="373">
        <f>DP42/DK42-1</f>
        <v>3.8720538720538711E-2</v>
      </c>
      <c r="DQ60" s="373">
        <f>DQ42/DL42-1</f>
        <v>1.9843656043295299E-2</v>
      </c>
      <c r="DR60" s="284"/>
      <c r="DS60" s="373">
        <f>DS42/DN42-1</f>
        <v>1.4577259475218707E-2</v>
      </c>
      <c r="DT60" s="373">
        <f>DT42/DO42-1</f>
        <v>4.8284625158830918E-2</v>
      </c>
      <c r="DU60" s="373">
        <f>DU42/DP42-1</f>
        <v>0.11021069692058338</v>
      </c>
      <c r="DV60" s="373">
        <f>DV42/DQ42-1</f>
        <v>1.2382075471698117E-2</v>
      </c>
      <c r="DW60" s="284"/>
      <c r="DX60" s="373">
        <f>DX42/DS42-1</f>
        <v>-4.0229885057471271E-2</v>
      </c>
      <c r="DY60" s="373">
        <f>DY42/DT42-1</f>
        <v>-0.15515151515151515</v>
      </c>
      <c r="DZ60" s="373">
        <f>DZ42/DU42-1</f>
        <v>-6.5693430656934337E-2</v>
      </c>
      <c r="EA60" s="373">
        <f>EA42/DV42-1</f>
        <v>-0.19452533488642987</v>
      </c>
      <c r="EB60" s="373"/>
      <c r="EC60" s="373">
        <f>EC42/DX42-1</f>
        <v>-0.17664670658682635</v>
      </c>
      <c r="ED60" s="373">
        <f>ED42/DY42-1</f>
        <v>-0.12948350071736014</v>
      </c>
      <c r="EE60" s="373">
        <f>EE42/DZ42-1</f>
        <v>-0.34726562500000002</v>
      </c>
      <c r="EF60" s="373">
        <f>EF42/EA42-1</f>
        <v>-3.5249457700650799E-2</v>
      </c>
      <c r="EG60" s="373"/>
      <c r="EH60" s="373">
        <f>EH42/EC42-1</f>
        <v>-0.16000000000000003</v>
      </c>
      <c r="EI60" s="373">
        <f>EI42/ED42-1</f>
        <v>-0.13143798928718586</v>
      </c>
      <c r="EJ60" s="373">
        <f>EJ42/EE42-1</f>
        <v>-1.8551765409934196E-2</v>
      </c>
      <c r="EK60" s="373">
        <f>EK42/EF42-1</f>
        <v>0.23515083380176138</v>
      </c>
      <c r="EL60" s="373"/>
      <c r="EM60" s="1415">
        <f>EM42/EH42-1</f>
        <v>-2.2525752380953112E-2</v>
      </c>
      <c r="EN60" s="1415">
        <f>EN42/EI42-1</f>
        <v>-7.3265397533205823E-2</v>
      </c>
      <c r="EO60" s="1415">
        <f>EO42/EJ42-1</f>
        <v>2.0905143902437917E-2</v>
      </c>
      <c r="EP60" s="1415">
        <f>EP42/EK42-1</f>
        <v>-0.23168828561893229</v>
      </c>
      <c r="EQ60" s="467"/>
      <c r="ER60" s="373"/>
      <c r="ES60" s="373"/>
      <c r="ET60" s="373"/>
      <c r="EU60" s="373"/>
      <c r="EV60" s="373"/>
      <c r="EW60" s="373"/>
      <c r="EX60" s="373"/>
      <c r="EY60" s="373">
        <f t="shared" ref="EY60:FH60" si="155">EY42/EX42-1</f>
        <v>0.22891830083318165</v>
      </c>
      <c r="EZ60" s="373">
        <f t="shared" si="155"/>
        <v>0.34220061737100682</v>
      </c>
      <c r="FA60" s="373">
        <f t="shared" si="155"/>
        <v>6.9195284469502738E-2</v>
      </c>
      <c r="FB60" s="373">
        <f t="shared" si="155"/>
        <v>0.13326941514860979</v>
      </c>
      <c r="FC60" s="373">
        <f t="shared" si="155"/>
        <v>2.7072758037224975E-2</v>
      </c>
      <c r="FD60" s="373">
        <f t="shared" si="155"/>
        <v>-0.14950576606260302</v>
      </c>
      <c r="FE60" s="373">
        <f t="shared" si="155"/>
        <v>1.5012106537530157E-2</v>
      </c>
      <c r="FF60" s="373">
        <f t="shared" si="155"/>
        <v>8.1106870229008532E-3</v>
      </c>
      <c r="FG60" s="373">
        <f t="shared" si="155"/>
        <v>6.1050638902035104E-2</v>
      </c>
      <c r="FH60" s="373">
        <f t="shared" si="155"/>
        <v>0.38090990187332729</v>
      </c>
      <c r="FI60" s="376">
        <f>FI42/FH42-1</f>
        <v>0.12693798449612403</v>
      </c>
      <c r="FJ60" s="373">
        <f>FJ42/FI42-1</f>
        <v>-3.840642017770135E-2</v>
      </c>
      <c r="FK60" s="375">
        <f t="shared" ref="FK60:FV60" si="156">FK42/FJ42-1</f>
        <v>-0.20238450074515646</v>
      </c>
      <c r="FL60" s="376">
        <f t="shared" si="156"/>
        <v>-4.484304932735439E-3</v>
      </c>
      <c r="FM60" s="376">
        <f t="shared" si="156"/>
        <v>0.15202702702702697</v>
      </c>
      <c r="FN60" s="373">
        <f t="shared" si="156"/>
        <v>0.13098729227761496</v>
      </c>
      <c r="FO60" s="373">
        <f t="shared" si="156"/>
        <v>7.0296744454047877E-2</v>
      </c>
      <c r="FP60" s="373">
        <f t="shared" si="156"/>
        <v>1.9111709286675715E-2</v>
      </c>
      <c r="FQ60" s="373">
        <f t="shared" si="156"/>
        <v>3.6185948230322174E-2</v>
      </c>
      <c r="FR60" s="373">
        <f t="shared" si="156"/>
        <v>-0.13637522304358907</v>
      </c>
      <c r="FS60" s="373">
        <f t="shared" si="156"/>
        <v>-0.14145513577331759</v>
      </c>
      <c r="FT60" s="373">
        <f t="shared" si="156"/>
        <v>4.7529007305543658E-2</v>
      </c>
      <c r="FU60" s="373">
        <f t="shared" si="156"/>
        <v>-0.13858514860518523</v>
      </c>
      <c r="FV60" s="373">
        <f t="shared" si="156"/>
        <v>-0.13693532464250902</v>
      </c>
      <c r="FW60" s="375">
        <f>FW42/FV42-1</f>
        <v>-0.14985032439817225</v>
      </c>
      <c r="FX60" s="373">
        <f>FX42/FW42-1</f>
        <v>-0.14687564021079991</v>
      </c>
      <c r="FY60" s="1372">
        <f>FY42/FX42-1</f>
        <v>-0.16131464179222488</v>
      </c>
      <c r="FZ60" s="369"/>
      <c r="GA60" s="366"/>
    </row>
    <row r="61" spans="1:190" x14ac:dyDescent="0.2">
      <c r="FX61" s="298"/>
      <c r="FY61" s="1452"/>
      <c r="FZ61" s="261"/>
    </row>
    <row r="62" spans="1:190" x14ac:dyDescent="0.2">
      <c r="A62" s="279" t="s">
        <v>186</v>
      </c>
      <c r="B62" s="298"/>
      <c r="C62" s="298"/>
      <c r="D62" s="298"/>
      <c r="E62" s="298"/>
      <c r="F62" s="298"/>
      <c r="G62" s="298"/>
      <c r="H62" s="298"/>
      <c r="I62" s="298"/>
      <c r="J62" s="298"/>
      <c r="K62" s="298"/>
      <c r="L62" s="298"/>
      <c r="M62" s="298"/>
      <c r="N62" s="298"/>
      <c r="O62" s="298"/>
      <c r="P62" s="298"/>
      <c r="Q62" s="298"/>
      <c r="R62" s="298"/>
      <c r="S62" s="298"/>
      <c r="T62" s="298"/>
      <c r="U62" s="298"/>
      <c r="V62" s="298"/>
      <c r="W62" s="298"/>
      <c r="X62" s="298"/>
      <c r="Y62" s="298"/>
      <c r="Z62" s="298"/>
      <c r="AA62" s="298"/>
      <c r="AB62" s="298"/>
      <c r="AC62" s="298"/>
      <c r="AD62" s="298"/>
      <c r="AE62" s="298"/>
      <c r="AF62" s="298"/>
      <c r="AG62" s="298"/>
      <c r="AH62" s="298"/>
      <c r="AI62" s="298"/>
      <c r="AJ62" s="298"/>
      <c r="AK62" s="298"/>
      <c r="AL62" s="298"/>
      <c r="AM62" s="298"/>
      <c r="AN62" s="298"/>
      <c r="AO62" s="298"/>
      <c r="AP62" s="298"/>
      <c r="AQ62" s="298"/>
      <c r="AR62" s="298"/>
      <c r="AS62" s="298"/>
      <c r="AT62" s="298"/>
      <c r="AU62" s="298"/>
      <c r="AV62" s="298"/>
      <c r="AW62" s="298"/>
      <c r="AX62" s="298"/>
      <c r="AY62" s="298"/>
      <c r="AZ62" s="298"/>
      <c r="BA62" s="298"/>
      <c r="BB62" s="298"/>
      <c r="BC62" s="298"/>
      <c r="BD62" s="298"/>
      <c r="BE62" s="298"/>
      <c r="BF62" s="298"/>
      <c r="BG62" s="298"/>
      <c r="BH62" s="298"/>
      <c r="BI62" s="298"/>
      <c r="BJ62" s="298"/>
      <c r="BK62" s="298"/>
      <c r="BL62" s="298"/>
      <c r="BM62" s="298"/>
      <c r="BN62" s="298"/>
      <c r="BO62" s="298"/>
      <c r="BP62" s="298"/>
      <c r="BQ62" s="298"/>
      <c r="BR62" s="298"/>
      <c r="BS62" s="298"/>
      <c r="BT62" s="298"/>
      <c r="BU62" s="298"/>
      <c r="BV62" s="298"/>
      <c r="BW62" s="298"/>
      <c r="BX62" s="298"/>
      <c r="BY62" s="298"/>
      <c r="BZ62" s="298"/>
      <c r="CA62" s="298"/>
      <c r="CB62" s="298"/>
      <c r="CC62" s="298"/>
      <c r="CD62" s="298"/>
      <c r="CE62" s="298"/>
      <c r="CF62" s="298"/>
      <c r="CG62" s="298"/>
      <c r="CH62" s="298"/>
      <c r="CI62" s="298"/>
      <c r="CJ62" s="298"/>
      <c r="CK62" s="298"/>
      <c r="CL62" s="298"/>
      <c r="CM62" s="298"/>
      <c r="CN62" s="298"/>
      <c r="CO62" s="298"/>
      <c r="CP62" s="280"/>
      <c r="CQ62" s="280"/>
      <c r="CR62" s="280"/>
      <c r="CS62" s="280"/>
      <c r="CT62" s="280"/>
      <c r="CU62" s="280"/>
      <c r="CV62" s="280"/>
      <c r="CW62" s="280"/>
      <c r="CX62" s="280"/>
      <c r="DL62" s="594">
        <f>DN62-1</f>
        <v>2005</v>
      </c>
      <c r="DM62" s="298"/>
      <c r="DN62" s="377">
        <f>DO62-1</f>
        <v>2006</v>
      </c>
      <c r="DO62" s="377">
        <f>DP62-1</f>
        <v>2007</v>
      </c>
      <c r="DP62" s="377">
        <f>DQ62-1</f>
        <v>2008</v>
      </c>
      <c r="DQ62" s="377">
        <f>DS62-1</f>
        <v>2009</v>
      </c>
      <c r="DS62" s="377">
        <f>DT62-1</f>
        <v>2010</v>
      </c>
      <c r="DT62" s="377">
        <f>DU62-1</f>
        <v>2011</v>
      </c>
      <c r="DU62" s="377">
        <v>2012</v>
      </c>
      <c r="DV62" s="377">
        <v>2013</v>
      </c>
      <c r="EC62" s="594">
        <v>2014</v>
      </c>
      <c r="ED62" s="377">
        <v>2015</v>
      </c>
      <c r="EE62" s="377">
        <v>2016</v>
      </c>
      <c r="EF62" s="1344">
        <v>2017</v>
      </c>
      <c r="EH62" s="326"/>
      <c r="EI62" s="261"/>
      <c r="EJ62" s="258"/>
      <c r="EK62" s="258"/>
      <c r="EL62" s="259"/>
      <c r="EM62" s="1416" t="s">
        <v>186</v>
      </c>
      <c r="EN62" s="1417"/>
      <c r="EO62" s="1417"/>
      <c r="EP62" s="1417"/>
      <c r="EQ62" s="280"/>
      <c r="ER62" s="298"/>
      <c r="ES62" s="298"/>
      <c r="ET62" s="298"/>
      <c r="EU62" s="298"/>
      <c r="EV62" s="298"/>
      <c r="EW62" s="298"/>
      <c r="EX62" s="280">
        <f t="shared" ref="EX62:FU62" si="157">EX7</f>
        <v>1995</v>
      </c>
      <c r="EY62" s="280">
        <f t="shared" si="157"/>
        <v>1996</v>
      </c>
      <c r="EZ62" s="280">
        <f t="shared" si="157"/>
        <v>1997</v>
      </c>
      <c r="FA62" s="280">
        <f t="shared" si="157"/>
        <v>1998</v>
      </c>
      <c r="FB62" s="280">
        <f t="shared" si="157"/>
        <v>1999</v>
      </c>
      <c r="FC62" s="280">
        <f t="shared" si="157"/>
        <v>2000</v>
      </c>
      <c r="FD62" s="280">
        <f t="shared" si="157"/>
        <v>2001</v>
      </c>
      <c r="FE62" s="280">
        <f t="shared" si="157"/>
        <v>2002</v>
      </c>
      <c r="FF62" s="280">
        <f t="shared" si="157"/>
        <v>2003</v>
      </c>
      <c r="FG62" s="280">
        <f t="shared" si="157"/>
        <v>2004</v>
      </c>
      <c r="FH62" s="280">
        <f t="shared" si="157"/>
        <v>2005</v>
      </c>
      <c r="FI62" s="280">
        <f t="shared" si="157"/>
        <v>2006</v>
      </c>
      <c r="FJ62" s="280">
        <f t="shared" si="157"/>
        <v>2007</v>
      </c>
      <c r="FK62" s="280">
        <f t="shared" si="157"/>
        <v>2008</v>
      </c>
      <c r="FL62" s="280">
        <f t="shared" si="157"/>
        <v>2009</v>
      </c>
      <c r="FM62" s="280">
        <f t="shared" si="157"/>
        <v>2010</v>
      </c>
      <c r="FN62" s="280">
        <f t="shared" si="157"/>
        <v>2011</v>
      </c>
      <c r="FO62" s="280">
        <f t="shared" si="157"/>
        <v>2012</v>
      </c>
      <c r="FP62" s="280">
        <f t="shared" si="157"/>
        <v>2013</v>
      </c>
      <c r="FQ62" s="280">
        <f t="shared" si="157"/>
        <v>2014</v>
      </c>
      <c r="FR62" s="280">
        <f t="shared" si="157"/>
        <v>2015</v>
      </c>
      <c r="FS62" s="280">
        <f t="shared" si="157"/>
        <v>2016</v>
      </c>
      <c r="FT62" s="280">
        <f t="shared" si="157"/>
        <v>2017</v>
      </c>
      <c r="FU62" s="936">
        <f t="shared" si="157"/>
        <v>2018</v>
      </c>
      <c r="FV62" s="936">
        <f>FV7</f>
        <v>2019</v>
      </c>
      <c r="FW62" s="937">
        <f>FW7</f>
        <v>2020</v>
      </c>
      <c r="FX62" s="936">
        <f>FX7</f>
        <v>2021</v>
      </c>
      <c r="FY62" s="1373">
        <f>FY7</f>
        <v>2022</v>
      </c>
      <c r="FZ62" s="532"/>
      <c r="GA62" s="308"/>
    </row>
    <row r="63" spans="1:190" x14ac:dyDescent="0.2">
      <c r="A63" s="260" t="s">
        <v>196</v>
      </c>
      <c r="B63" s="261"/>
      <c r="C63" s="261"/>
      <c r="D63" s="261"/>
      <c r="E63" s="261"/>
      <c r="F63" s="261"/>
      <c r="G63" s="261"/>
      <c r="H63" s="261"/>
      <c r="I63" s="261"/>
      <c r="J63" s="261"/>
      <c r="K63" s="261"/>
      <c r="L63" s="261"/>
      <c r="M63" s="261"/>
      <c r="N63" s="261"/>
      <c r="O63" s="261"/>
      <c r="P63" s="261"/>
      <c r="Q63" s="261"/>
      <c r="R63" s="261"/>
      <c r="S63" s="261"/>
      <c r="T63" s="261"/>
      <c r="U63" s="261"/>
      <c r="V63" s="261"/>
      <c r="W63" s="261"/>
      <c r="X63" s="261"/>
      <c r="Y63" s="261"/>
      <c r="Z63" s="261"/>
      <c r="AA63" s="261"/>
      <c r="AB63" s="261"/>
      <c r="AC63" s="261"/>
      <c r="AD63" s="261"/>
      <c r="AE63" s="261"/>
      <c r="AF63" s="261"/>
      <c r="AG63" s="261"/>
      <c r="AH63" s="261"/>
      <c r="AI63" s="261"/>
      <c r="AJ63" s="261"/>
      <c r="AK63" s="261"/>
      <c r="AL63" s="261"/>
      <c r="AM63" s="261"/>
      <c r="AN63" s="261"/>
      <c r="AO63" s="261"/>
      <c r="AP63" s="261"/>
      <c r="AQ63" s="261"/>
      <c r="AR63" s="261"/>
      <c r="AS63" s="261"/>
      <c r="AT63" s="261"/>
      <c r="AU63" s="261"/>
      <c r="AV63" s="261"/>
      <c r="AW63" s="261"/>
      <c r="AX63" s="261"/>
      <c r="AY63" s="261"/>
      <c r="AZ63" s="261"/>
      <c r="BA63" s="261"/>
      <c r="BB63" s="261"/>
      <c r="BC63" s="261"/>
      <c r="BD63" s="261"/>
      <c r="BE63" s="261"/>
      <c r="BF63" s="261"/>
      <c r="BG63" s="261"/>
      <c r="BH63" s="261"/>
      <c r="BI63" s="261"/>
      <c r="BJ63" s="261"/>
      <c r="BK63" s="261"/>
      <c r="BL63" s="261"/>
      <c r="BM63" s="261"/>
      <c r="BN63" s="261"/>
      <c r="BO63" s="261"/>
      <c r="BP63" s="261"/>
      <c r="BQ63" s="261"/>
      <c r="BR63" s="261"/>
      <c r="BS63" s="261"/>
      <c r="BT63" s="261"/>
      <c r="BU63" s="261"/>
      <c r="BV63" s="261"/>
      <c r="BW63" s="261"/>
      <c r="BX63" s="261"/>
      <c r="BY63" s="261"/>
      <c r="BZ63" s="261"/>
      <c r="CA63" s="261"/>
      <c r="CB63" s="261"/>
      <c r="CC63" s="261"/>
      <c r="CD63" s="261"/>
      <c r="CE63" s="261"/>
      <c r="CF63" s="261"/>
      <c r="CG63" s="261"/>
      <c r="CH63" s="261"/>
      <c r="CI63" s="261"/>
      <c r="CJ63" s="261"/>
      <c r="CK63" s="261"/>
      <c r="CL63" s="261"/>
      <c r="CM63" s="261"/>
      <c r="CN63" s="261"/>
      <c r="CO63" s="261"/>
      <c r="CP63" s="261"/>
      <c r="CQ63" s="261"/>
      <c r="CR63" s="261"/>
      <c r="CS63" s="378"/>
      <c r="CT63" s="261"/>
      <c r="CU63" s="378"/>
      <c r="CV63" s="261"/>
      <c r="CW63" s="378"/>
      <c r="CX63" s="261"/>
      <c r="DL63" s="595">
        <f>INDEX(turn!$R:$R,MATCH(DL62,turn!$B:$B,0)+5)</f>
        <v>2.8901652285162096</v>
      </c>
      <c r="DM63" s="261"/>
      <c r="DN63" s="379">
        <f>INDEX(turn!$R:$R,MATCH(DN62,turn!$B:$B,0)+5)</f>
        <v>2.7834926151172894</v>
      </c>
      <c r="DO63" s="379">
        <f>INDEX(turn!$R:$R,MATCH(DO62,turn!$B:$B,0)+5)</f>
        <v>2.7384004017554968</v>
      </c>
      <c r="DP63" s="379">
        <f>INDEX(turn!$R:$R,MATCH(DP62,turn!$B:$B,0)+5)</f>
        <v>2.7139208462355628</v>
      </c>
      <c r="DQ63" s="379">
        <f>INDEX(turn!$R:$R,MATCH(DQ62,turn!$B:$B,0)+5)</f>
        <v>2.7513247904422391</v>
      </c>
      <c r="DS63" s="378">
        <f>INDEX(turn!$R:$R,MATCH(DS62,turn!$B:$B,0)+5)</f>
        <v>2.8245605678083172</v>
      </c>
      <c r="DT63" s="378">
        <f>INDEX(turn!$R:$R,MATCH(DT62,turn!$B:$B,0)+5)</f>
        <v>2.8346541786743518</v>
      </c>
      <c r="DU63" s="378">
        <f>INDEX(turn!$R:$R,MATCH(DU62,turn!$B:$B,0)+5)</f>
        <v>2.8860240385664113</v>
      </c>
      <c r="DV63" s="378">
        <f>INDEX(turn!$R:$R,MATCH(DV62,turn!$B:$B,0)+5)</f>
        <v>2.771735752905351</v>
      </c>
      <c r="EC63" s="1343">
        <f>INDEX(turn!$R:$R,MATCH(EC62,turn!$B:$B,0)+5)</f>
        <v>2.7431778437512708</v>
      </c>
      <c r="ED63" s="378">
        <f>INDEX(turn!$R:$R,MATCH(ED62,turn!$B:$B,0)+5)</f>
        <v>2.6544905963994769</v>
      </c>
      <c r="EE63" s="378">
        <f>INDEX(turn!$R:$R,MATCH(EE62,turn!$B:$B,0)+5)</f>
        <v>2.6003859001224092</v>
      </c>
      <c r="EF63" s="1345">
        <f>INDEX(turn!$R:$R,MATCH(EF62,turn!$B:$B,0)+5)</f>
        <v>2.6450053354820446</v>
      </c>
      <c r="EH63" s="261"/>
      <c r="EI63" s="261"/>
      <c r="EJ63" s="380"/>
      <c r="EK63" s="380"/>
      <c r="EL63" s="562"/>
      <c r="EM63" s="1325" t="s">
        <v>187</v>
      </c>
      <c r="EN63" s="1418"/>
      <c r="EO63" s="1418"/>
      <c r="EP63" s="1418"/>
      <c r="EQ63" s="380"/>
      <c r="EX63" s="380">
        <f>yrSales!L41</f>
        <v>412</v>
      </c>
      <c r="EY63" s="380">
        <f>yrSales!M41</f>
        <v>411</v>
      </c>
      <c r="EZ63" s="380">
        <f>yrSales!N41</f>
        <v>400</v>
      </c>
      <c r="FA63" s="380">
        <f>yrSales!O41</f>
        <v>401</v>
      </c>
      <c r="FB63" s="380">
        <f>yrSales!P41</f>
        <v>403</v>
      </c>
      <c r="FC63" s="380">
        <f>yrSales!Q41</f>
        <v>440</v>
      </c>
      <c r="FD63" s="380">
        <f>yrSales!R41</f>
        <v>459</v>
      </c>
      <c r="FE63" s="380">
        <f>yrSales!S41</f>
        <v>455</v>
      </c>
      <c r="FF63" s="380">
        <f>yrSales!T41</f>
        <v>459</v>
      </c>
      <c r="FG63" s="380">
        <f>yrSales!U41</f>
        <v>459</v>
      </c>
      <c r="FH63" s="380">
        <f>yrSales!V41</f>
        <v>868</v>
      </c>
      <c r="FI63" s="380">
        <f>yrSales!W41</f>
        <v>858</v>
      </c>
      <c r="FJ63" s="380">
        <f>yrSales!X41</f>
        <v>853</v>
      </c>
      <c r="FK63" s="380">
        <f>yrSales!Y41</f>
        <v>847</v>
      </c>
      <c r="FL63" s="380">
        <f>yrSales!Z41</f>
        <v>850</v>
      </c>
      <c r="FM63" s="380">
        <f>yrSales!AA41</f>
        <v>850</v>
      </c>
      <c r="FN63" s="380">
        <f>yrSales!AB41</f>
        <v>842</v>
      </c>
      <c r="FO63" s="380">
        <f>yrSales!AC41</f>
        <v>841</v>
      </c>
      <c r="FP63" s="380">
        <f>yrSales!AD41</f>
        <v>840</v>
      </c>
      <c r="FQ63" s="380">
        <f>yrSales!AE41</f>
        <v>823</v>
      </c>
      <c r="FR63" s="380">
        <v>791</v>
      </c>
      <c r="FS63" s="380">
        <f>yrSales!AG41</f>
        <v>731</v>
      </c>
      <c r="FT63" s="380">
        <f>yrSales!AH41</f>
        <v>717</v>
      </c>
      <c r="FU63" s="380">
        <f>yrSales!AI41</f>
        <v>687</v>
      </c>
      <c r="FV63" s="380">
        <f>yrSales!AJ41</f>
        <v>677</v>
      </c>
      <c r="FW63" s="562">
        <f>yrSales!AK41</f>
        <v>667</v>
      </c>
      <c r="FX63" s="380">
        <f>yrSales!AL41</f>
        <v>657</v>
      </c>
      <c r="FY63" s="1374">
        <f>yrSales!AM41</f>
        <v>647</v>
      </c>
      <c r="FZ63" s="534"/>
      <c r="GA63" s="380"/>
    </row>
    <row r="64" spans="1:190" x14ac:dyDescent="0.2">
      <c r="A64" s="260" t="s">
        <v>197</v>
      </c>
      <c r="B64" s="261"/>
      <c r="C64" s="261"/>
      <c r="D64" s="261"/>
      <c r="E64" s="261"/>
      <c r="F64" s="261"/>
      <c r="G64" s="261"/>
      <c r="H64" s="261"/>
      <c r="I64" s="261"/>
      <c r="J64" s="261"/>
      <c r="K64" s="261"/>
      <c r="L64" s="261"/>
      <c r="M64" s="261"/>
      <c r="N64" s="261"/>
      <c r="O64" s="261"/>
      <c r="P64" s="261"/>
      <c r="Q64" s="261"/>
      <c r="R64" s="261"/>
      <c r="S64" s="261"/>
      <c r="T64" s="261"/>
      <c r="U64" s="261"/>
      <c r="V64" s="261"/>
      <c r="W64" s="261"/>
      <c r="X64" s="261"/>
      <c r="Y64" s="261"/>
      <c r="Z64" s="261"/>
      <c r="AA64" s="261"/>
      <c r="AB64" s="261"/>
      <c r="AC64" s="261"/>
      <c r="AD64" s="261"/>
      <c r="AE64" s="261"/>
      <c r="AF64" s="261"/>
      <c r="AG64" s="261"/>
      <c r="AH64" s="261"/>
      <c r="AI64" s="261"/>
      <c r="AJ64" s="261"/>
      <c r="AK64" s="261"/>
      <c r="AL64" s="261"/>
      <c r="AM64" s="261"/>
      <c r="AN64" s="261"/>
      <c r="AO64" s="261"/>
      <c r="AP64" s="261"/>
      <c r="AQ64" s="261"/>
      <c r="AR64" s="261"/>
      <c r="AS64" s="261"/>
      <c r="AT64" s="261"/>
      <c r="AU64" s="261"/>
      <c r="AV64" s="261"/>
      <c r="AW64" s="261"/>
      <c r="AX64" s="261"/>
      <c r="AY64" s="261"/>
      <c r="AZ64" s="261"/>
      <c r="BA64" s="261"/>
      <c r="BB64" s="261"/>
      <c r="BC64" s="261"/>
      <c r="BD64" s="261"/>
      <c r="BE64" s="261"/>
      <c r="BF64" s="261"/>
      <c r="BG64" s="261"/>
      <c r="BH64" s="261"/>
      <c r="BI64" s="261"/>
      <c r="BJ64" s="261"/>
      <c r="BK64" s="261"/>
      <c r="BL64" s="261"/>
      <c r="BM64" s="261"/>
      <c r="BN64" s="261"/>
      <c r="BO64" s="261"/>
      <c r="BP64" s="261"/>
      <c r="BQ64" s="261"/>
      <c r="BR64" s="261"/>
      <c r="BS64" s="261"/>
      <c r="BT64" s="261"/>
      <c r="BU64" s="261"/>
      <c r="BV64" s="261"/>
      <c r="BW64" s="261"/>
      <c r="BX64" s="261"/>
      <c r="BY64" s="261"/>
      <c r="BZ64" s="261"/>
      <c r="CA64" s="261"/>
      <c r="CB64" s="261"/>
      <c r="CC64" s="261"/>
      <c r="CD64" s="261"/>
      <c r="CE64" s="261"/>
      <c r="CF64" s="261"/>
      <c r="CG64" s="261"/>
      <c r="CH64" s="261"/>
      <c r="CI64" s="261"/>
      <c r="CJ64" s="261"/>
      <c r="CK64" s="261"/>
      <c r="CL64" s="261"/>
      <c r="CM64" s="261"/>
      <c r="CN64" s="261"/>
      <c r="CO64" s="261"/>
      <c r="CP64" s="261"/>
      <c r="CQ64" s="261"/>
      <c r="CR64" s="261"/>
      <c r="CS64" s="372"/>
      <c r="CT64" s="261"/>
      <c r="CU64" s="372"/>
      <c r="CV64" s="261"/>
      <c r="CW64" s="372"/>
      <c r="CX64" s="261"/>
      <c r="DL64" s="535">
        <f>bal!S76</f>
        <v>0.96098186481040482</v>
      </c>
      <c r="DM64" s="261"/>
      <c r="DN64" s="367">
        <f>bal!T76</f>
        <v>0.86590182433703211</v>
      </c>
      <c r="DO64" s="367">
        <f>bal!U76</f>
        <v>0.81561264822134383</v>
      </c>
      <c r="DP64" s="367">
        <f>bal!V76</f>
        <v>0.81987838121199408</v>
      </c>
      <c r="DQ64" s="367">
        <f>bal!W76</f>
        <v>0.85330444203683642</v>
      </c>
      <c r="DS64" s="367">
        <f>bal!X76</f>
        <v>0.85435056746532156</v>
      </c>
      <c r="DT64" s="367">
        <f>bal!Y76</f>
        <v>0.85616572210279462</v>
      </c>
      <c r="DU64" s="367">
        <f>bal!Z76</f>
        <v>0.78918613413715144</v>
      </c>
      <c r="DV64" s="367">
        <f>bal!AA76</f>
        <v>0.80996940795393202</v>
      </c>
      <c r="EC64" s="535">
        <f>bal!AB76</f>
        <v>0.87055837563451777</v>
      </c>
      <c r="ED64" s="367">
        <f>bal!AC76</f>
        <v>0.88249182709771157</v>
      </c>
      <c r="EE64" s="367">
        <f>bal!AD76</f>
        <v>0.94517503241340994</v>
      </c>
      <c r="EF64" s="1346">
        <f>bal!AE76</f>
        <v>0.91869447663190418</v>
      </c>
      <c r="EH64" s="261"/>
      <c r="EI64" s="261"/>
      <c r="EJ64" s="261"/>
      <c r="EK64" s="261"/>
      <c r="EL64" s="262"/>
      <c r="EM64" s="1325" t="s">
        <v>188</v>
      </c>
      <c r="EN64" s="1326"/>
      <c r="EO64" s="1326"/>
      <c r="EP64" s="1326"/>
      <c r="EQ64" s="261"/>
      <c r="EX64" s="269">
        <f>yrSales!L47/1000</f>
        <v>83.503</v>
      </c>
      <c r="EY64" s="269">
        <f>yrSales!M47/1000</f>
        <v>83.019000000000005</v>
      </c>
      <c r="EZ64" s="269">
        <f>yrSales!N47/1000</f>
        <v>81.016000000000005</v>
      </c>
      <c r="FA64" s="269">
        <f>yrSales!O47/1000</f>
        <v>82.319000000000003</v>
      </c>
      <c r="FB64" s="269">
        <f>yrSales!P47/1000</f>
        <v>81.914000000000001</v>
      </c>
      <c r="FC64" s="269">
        <f>yrSales!Q47/1000</f>
        <v>83.4</v>
      </c>
      <c r="FD64" s="269">
        <f>yrSales!R47/1000</f>
        <v>84</v>
      </c>
      <c r="FE64" s="269">
        <f>yrSales!S47/1000</f>
        <v>83.5</v>
      </c>
      <c r="FF64" s="269">
        <f>yrSales!T47/1000</f>
        <v>84</v>
      </c>
      <c r="FG64" s="269">
        <f>yrSales!U47/1000</f>
        <v>83.3</v>
      </c>
      <c r="FH64" s="269">
        <f>yrSales!V47/1000</f>
        <v>158.5</v>
      </c>
      <c r="FI64" s="269">
        <f>yrSales!W47/1000</f>
        <v>156.4</v>
      </c>
      <c r="FJ64" s="269">
        <f>yrSales!X47/1000</f>
        <v>154.96100000000001</v>
      </c>
      <c r="FK64" s="269">
        <f>yrSales!Y47/1000</f>
        <v>154.09100000000001</v>
      </c>
      <c r="FL64" s="269">
        <f>yrSales!Z47/1000</f>
        <v>154.4</v>
      </c>
      <c r="FM64" s="269">
        <f>yrSales!AA47/1000</f>
        <v>154.17699999999999</v>
      </c>
      <c r="FN64" s="269">
        <f>yrSales!AB47/1000</f>
        <v>152.298</v>
      </c>
      <c r="FO64" s="269">
        <f>yrSales!AC47/1000</f>
        <v>150.559</v>
      </c>
      <c r="FP64" s="269">
        <f>yrSales!AD47/1000</f>
        <v>150.083</v>
      </c>
      <c r="FQ64" s="269">
        <f>yrSales!AE47/1000</f>
        <v>147.37700000000001</v>
      </c>
      <c r="FR64" s="269">
        <f>yrSales!AF47/1000</f>
        <v>141.91499999999999</v>
      </c>
      <c r="FS64" s="269">
        <f>yrSales!AG47/1000</f>
        <v>130.01499999999999</v>
      </c>
      <c r="FT64" s="269">
        <f>yrSales!AH47/1000</f>
        <v>127.3002687585266</v>
      </c>
      <c r="FU64" s="269">
        <f>yrSales!AI47/1000</f>
        <v>121.973897680764</v>
      </c>
      <c r="FV64" s="269">
        <f>yrSales!AJ47/1000</f>
        <v>120.19844065484313</v>
      </c>
      <c r="FW64" s="266">
        <f>yrSales!AK47/1000</f>
        <v>118.42298362892225</v>
      </c>
      <c r="FX64" s="269">
        <f>yrSales!AL47/1000</f>
        <v>116.64752660300138</v>
      </c>
      <c r="FY64" s="1360">
        <f>yrSales!AM47/1000</f>
        <v>114.87206957708051</v>
      </c>
      <c r="FZ64" s="312"/>
      <c r="GA64" s="269"/>
    </row>
    <row r="65" spans="1:183" x14ac:dyDescent="0.2">
      <c r="A65" s="260" t="s">
        <v>198</v>
      </c>
      <c r="B65" s="261"/>
      <c r="C65" s="261"/>
      <c r="D65" s="261"/>
      <c r="E65" s="261"/>
      <c r="F65" s="261"/>
      <c r="G65" s="261"/>
      <c r="H65" s="261"/>
      <c r="I65" s="261"/>
      <c r="J65" s="261"/>
      <c r="K65" s="261"/>
      <c r="L65" s="261"/>
      <c r="M65" s="261"/>
      <c r="N65" s="261"/>
      <c r="O65" s="261"/>
      <c r="P65" s="261"/>
      <c r="Q65" s="261"/>
      <c r="R65" s="261"/>
      <c r="S65" s="261"/>
      <c r="T65" s="261"/>
      <c r="U65" s="261"/>
      <c r="V65" s="261"/>
      <c r="W65" s="261"/>
      <c r="X65" s="261"/>
      <c r="Y65" s="261"/>
      <c r="Z65" s="261"/>
      <c r="AA65" s="261"/>
      <c r="AB65" s="261"/>
      <c r="AC65" s="261"/>
      <c r="AD65" s="261"/>
      <c r="AE65" s="261"/>
      <c r="AF65" s="261"/>
      <c r="AG65" s="261"/>
      <c r="AH65" s="261"/>
      <c r="AI65" s="261"/>
      <c r="AJ65" s="261"/>
      <c r="AK65" s="261"/>
      <c r="AL65" s="261"/>
      <c r="AM65" s="261"/>
      <c r="AN65" s="261"/>
      <c r="AO65" s="261"/>
      <c r="AP65" s="261"/>
      <c r="AQ65" s="261"/>
      <c r="AR65" s="261"/>
      <c r="AS65" s="261"/>
      <c r="AT65" s="261"/>
      <c r="AU65" s="261"/>
      <c r="AV65" s="261"/>
      <c r="AW65" s="261"/>
      <c r="AX65" s="261"/>
      <c r="AY65" s="261"/>
      <c r="AZ65" s="261"/>
      <c r="BA65" s="261"/>
      <c r="BB65" s="261"/>
      <c r="BC65" s="261"/>
      <c r="BD65" s="261"/>
      <c r="BE65" s="261"/>
      <c r="BF65" s="261"/>
      <c r="BG65" s="261"/>
      <c r="BH65" s="261"/>
      <c r="BI65" s="261"/>
      <c r="BJ65" s="261"/>
      <c r="BK65" s="261"/>
      <c r="BL65" s="261"/>
      <c r="BM65" s="261"/>
      <c r="BN65" s="261"/>
      <c r="BO65" s="261"/>
      <c r="BP65" s="261"/>
      <c r="BQ65" s="261"/>
      <c r="BR65" s="261"/>
      <c r="BS65" s="261"/>
      <c r="BT65" s="261"/>
      <c r="BU65" s="261"/>
      <c r="BV65" s="261"/>
      <c r="BW65" s="261"/>
      <c r="BX65" s="261"/>
      <c r="BY65" s="261"/>
      <c r="BZ65" s="261"/>
      <c r="CA65" s="261"/>
      <c r="CB65" s="261"/>
      <c r="CC65" s="261"/>
      <c r="CD65" s="261"/>
      <c r="CE65" s="261"/>
      <c r="CF65" s="261"/>
      <c r="CG65" s="261"/>
      <c r="CH65" s="261"/>
      <c r="CI65" s="261"/>
      <c r="CJ65" s="261"/>
      <c r="CK65" s="261"/>
      <c r="CL65" s="261"/>
      <c r="CM65" s="261"/>
      <c r="CN65" s="261"/>
      <c r="CO65" s="261"/>
      <c r="CP65" s="261"/>
      <c r="CQ65" s="261"/>
      <c r="CR65" s="261"/>
      <c r="CS65" s="372"/>
      <c r="CT65" s="261"/>
      <c r="CU65" s="372"/>
      <c r="CV65" s="261"/>
      <c r="CW65" s="372"/>
      <c r="CX65" s="261"/>
      <c r="DL65" s="535">
        <f>INDEX(dtc!53:53,MATCH(DL62,dtc!5:5,0))</f>
        <v>0.42962619188254153</v>
      </c>
      <c r="DM65" s="261"/>
      <c r="DN65" s="367">
        <f>INDEX(dtc!53:53,MATCH(DN62,dtc!5:5,0))</f>
        <v>0.4094742422051949</v>
      </c>
      <c r="DO65" s="367">
        <f>INDEX(dtc!53:53,MATCH(DO62,dtc!5:5,0))</f>
        <v>0.49608341810783319</v>
      </c>
      <c r="DP65" s="367">
        <f>INDEX(dtc!53:53,MATCH(DP62,dtc!5:5,0))</f>
        <v>0.67612408504705468</v>
      </c>
      <c r="DQ65" s="367">
        <f>INDEX(dtc!53:53,MATCH(DQ62,dtc!5:5,0))</f>
        <v>0.65146848171068528</v>
      </c>
      <c r="DS65" s="367">
        <f>INDEX(dtc!53:53,MATCH(DS62,dtc!5:5,0))</f>
        <v>0.57313778463913545</v>
      </c>
      <c r="DT65" s="367">
        <f>INDEX(dtc!53:53,MATCH(DT62,dtc!5:5,0))</f>
        <v>0.56664962384047912</v>
      </c>
      <c r="DU65" s="366">
        <f>INDEX(dtc!53:53,MATCH(DU62,dtc!5:5,0))</f>
        <v>0.53384072596176069</v>
      </c>
      <c r="DV65" s="366">
        <f>INDEX(dtc!53:53,MATCH(DV62,dtc!5:5,0))</f>
        <v>0.53504344856373098</v>
      </c>
      <c r="EC65" s="369">
        <f>INDEX(dtc!53:53,MATCH(EC62,dtc!5:5,0))</f>
        <v>0.57716665500435183</v>
      </c>
      <c r="ED65" s="366">
        <f>INDEX(dtc!53:53,MATCH(ED62,dtc!5:5,0))</f>
        <v>0.64230445752733389</v>
      </c>
      <c r="EE65" s="366">
        <f>INDEX(dtc!53:53,MATCH(EE62,dtc!5:5,0))</f>
        <v>0.61386580898776022</v>
      </c>
      <c r="EF65" s="1347">
        <f>INDEX(dtc!53:53,MATCH(EF62,dtc!5:5,0))</f>
        <v>0.50636942675159236</v>
      </c>
      <c r="EH65" s="261"/>
      <c r="EI65" s="261"/>
      <c r="EJ65" s="261"/>
      <c r="EK65" s="261"/>
      <c r="EL65" s="262"/>
      <c r="EM65" s="1325" t="s">
        <v>189</v>
      </c>
      <c r="EN65" s="1419"/>
      <c r="EO65" s="1419"/>
      <c r="EP65" s="1419"/>
      <c r="EQ65" s="367"/>
      <c r="EX65" s="367"/>
      <c r="EY65" s="367">
        <f t="shared" ref="EY65:FV65" si="158">EY64/EX64-1</f>
        <v>-5.7961989389602175E-3</v>
      </c>
      <c r="EZ65" s="367">
        <f t="shared" si="158"/>
        <v>-2.4127007070670614E-2</v>
      </c>
      <c r="FA65" s="367">
        <f t="shared" si="158"/>
        <v>1.6083242816233856E-2</v>
      </c>
      <c r="FB65" s="367">
        <f t="shared" si="158"/>
        <v>-4.9198848382512317E-3</v>
      </c>
      <c r="FC65" s="367">
        <f t="shared" si="158"/>
        <v>1.8140977122347968E-2</v>
      </c>
      <c r="FD65" s="367">
        <f t="shared" si="158"/>
        <v>7.194244604316502E-3</v>
      </c>
      <c r="FE65" s="367">
        <f t="shared" si="158"/>
        <v>-5.9523809523809312E-3</v>
      </c>
      <c r="FF65" s="367">
        <f t="shared" si="158"/>
        <v>5.9880239520957446E-3</v>
      </c>
      <c r="FG65" s="367">
        <f t="shared" si="158"/>
        <v>-8.3333333333334147E-3</v>
      </c>
      <c r="FH65" s="367">
        <f t="shared" si="158"/>
        <v>0.90276110444177671</v>
      </c>
      <c r="FI65" s="367">
        <f t="shared" si="158"/>
        <v>-1.3249211356466839E-2</v>
      </c>
      <c r="FJ65" s="367">
        <f t="shared" si="158"/>
        <v>-9.200767263427112E-3</v>
      </c>
      <c r="FK65" s="367">
        <f t="shared" si="158"/>
        <v>-5.614315860119623E-3</v>
      </c>
      <c r="FL65" s="367">
        <f t="shared" si="158"/>
        <v>2.0053085514404323E-3</v>
      </c>
      <c r="FM65" s="367">
        <f t="shared" si="158"/>
        <v>-1.4443005181348223E-3</v>
      </c>
      <c r="FN65" s="367">
        <f t="shared" si="158"/>
        <v>-1.2187291230209341E-2</v>
      </c>
      <c r="FO65" s="367">
        <f t="shared" si="158"/>
        <v>-1.1418403393347321E-2</v>
      </c>
      <c r="FP65" s="367">
        <f t="shared" si="158"/>
        <v>-3.1615512855425187E-3</v>
      </c>
      <c r="FQ65" s="367">
        <f t="shared" si="158"/>
        <v>-1.8030023387059058E-2</v>
      </c>
      <c r="FR65" s="367">
        <f t="shared" si="158"/>
        <v>-3.7061413924832309E-2</v>
      </c>
      <c r="FS65" s="367">
        <f t="shared" si="158"/>
        <v>-8.385301060493966E-2</v>
      </c>
      <c r="FT65" s="367">
        <f t="shared" si="158"/>
        <v>-2.0880138764553191E-2</v>
      </c>
      <c r="FU65" s="367">
        <f t="shared" si="158"/>
        <v>-4.1841004184100306E-2</v>
      </c>
      <c r="FV65" s="367">
        <f t="shared" si="158"/>
        <v>-1.4556040756914079E-2</v>
      </c>
      <c r="FW65" s="381">
        <f>FW64/FV64-1</f>
        <v>-1.4771048744460891E-2</v>
      </c>
      <c r="FX65" s="367">
        <f>FX64/FW64-1</f>
        <v>-1.4992503748125885E-2</v>
      </c>
      <c r="FY65" s="1346">
        <f>FY64/FX64-1</f>
        <v>-1.5220700152207001E-2</v>
      </c>
      <c r="FZ65" s="535"/>
      <c r="GA65" s="367"/>
    </row>
    <row r="66" spans="1:183" x14ac:dyDescent="0.2">
      <c r="A66" s="278" t="s">
        <v>199</v>
      </c>
      <c r="B66" s="284"/>
      <c r="C66" s="284"/>
      <c r="D66" s="284"/>
      <c r="E66" s="284"/>
      <c r="F66" s="284"/>
      <c r="G66" s="284"/>
      <c r="H66" s="284"/>
      <c r="I66" s="284"/>
      <c r="J66" s="284"/>
      <c r="K66" s="284"/>
      <c r="L66" s="284"/>
      <c r="M66" s="284"/>
      <c r="N66" s="284"/>
      <c r="O66" s="284"/>
      <c r="P66" s="284"/>
      <c r="Q66" s="284"/>
      <c r="R66" s="284"/>
      <c r="S66" s="284"/>
      <c r="T66" s="284"/>
      <c r="U66" s="284"/>
      <c r="V66" s="284"/>
      <c r="W66" s="284"/>
      <c r="X66" s="284"/>
      <c r="Y66" s="284"/>
      <c r="Z66" s="284"/>
      <c r="AA66" s="284"/>
      <c r="AB66" s="284"/>
      <c r="AC66" s="284"/>
      <c r="AD66" s="284"/>
      <c r="AE66" s="284"/>
      <c r="AF66" s="284"/>
      <c r="AG66" s="284"/>
      <c r="AH66" s="284"/>
      <c r="AI66" s="284"/>
      <c r="AJ66" s="284"/>
      <c r="AK66" s="284"/>
      <c r="AL66" s="284"/>
      <c r="AM66" s="284"/>
      <c r="AN66" s="284"/>
      <c r="AO66" s="284"/>
      <c r="AP66" s="284"/>
      <c r="AQ66" s="284"/>
      <c r="AR66" s="284"/>
      <c r="AS66" s="284"/>
      <c r="AT66" s="284"/>
      <c r="AU66" s="284"/>
      <c r="AV66" s="284"/>
      <c r="AW66" s="284"/>
      <c r="AX66" s="284"/>
      <c r="AY66" s="284"/>
      <c r="AZ66" s="284"/>
      <c r="BA66" s="284"/>
      <c r="BB66" s="284"/>
      <c r="BC66" s="284"/>
      <c r="BD66" s="284"/>
      <c r="BE66" s="284"/>
      <c r="BF66" s="284"/>
      <c r="BG66" s="284"/>
      <c r="BH66" s="284"/>
      <c r="BI66" s="284"/>
      <c r="BJ66" s="284"/>
      <c r="BK66" s="284"/>
      <c r="BL66" s="284"/>
      <c r="BM66" s="284"/>
      <c r="BN66" s="284"/>
      <c r="BO66" s="284"/>
      <c r="BP66" s="284"/>
      <c r="BQ66" s="284"/>
      <c r="BR66" s="284"/>
      <c r="BS66" s="284"/>
      <c r="BT66" s="284"/>
      <c r="BU66" s="284"/>
      <c r="BV66" s="284"/>
      <c r="BW66" s="284"/>
      <c r="BX66" s="284"/>
      <c r="BY66" s="284"/>
      <c r="BZ66" s="284"/>
      <c r="CA66" s="284"/>
      <c r="CB66" s="284"/>
      <c r="CC66" s="284"/>
      <c r="CD66" s="284"/>
      <c r="CE66" s="284"/>
      <c r="CF66" s="284"/>
      <c r="CG66" s="284"/>
      <c r="CH66" s="284"/>
      <c r="CI66" s="284"/>
      <c r="CJ66" s="284"/>
      <c r="CK66" s="284"/>
      <c r="CL66" s="284"/>
      <c r="CM66" s="284"/>
      <c r="CN66" s="284"/>
      <c r="CO66" s="284"/>
      <c r="CP66" s="284"/>
      <c r="CQ66" s="284"/>
      <c r="CR66" s="284"/>
      <c r="CS66" s="374"/>
      <c r="CT66" s="284"/>
      <c r="CU66" s="374"/>
      <c r="CV66" s="284"/>
      <c r="CW66" s="374"/>
      <c r="CX66" s="284"/>
      <c r="DL66" s="596">
        <f>flow!T8/((bal!S44+bal!R44)/2)</f>
        <v>0.14289384353688325</v>
      </c>
      <c r="DM66" s="284"/>
      <c r="DN66" s="382">
        <f>flow!U8/((bal!T44+bal!S44)/2)</f>
        <v>7.7199600824036638E-2</v>
      </c>
      <c r="DO66" s="382">
        <f>flow!V8/((bal!U44+bal!T44)/2)</f>
        <v>8.2643879284197003E-2</v>
      </c>
      <c r="DP66" s="382">
        <f>flow!W8/((bal!V44+bal!U44)/2)</f>
        <v>-0.66004722986299347</v>
      </c>
      <c r="DQ66" s="382">
        <f>flow!X8/((bal!W44+bal!V44)/2)</f>
        <v>7.0755526001204105E-2</v>
      </c>
      <c r="DS66" s="382">
        <f>flow!Y8/((bal!X44+bal!W44)/2)</f>
        <v>0.16633500009705468</v>
      </c>
      <c r="DT66" s="382">
        <f>flow!Z8/((bal!Y44+bal!X44)/2)</f>
        <v>0.21912454857900523</v>
      </c>
      <c r="DU66" s="382">
        <f>flow!AA8/((bal!Z44+bal!Y44)/2)</f>
        <v>0.22278219077498165</v>
      </c>
      <c r="DV66" s="382">
        <f>flow!AB8/((bal!AA44+bal!Z44)/2)</f>
        <v>0.24155778082481924</v>
      </c>
      <c r="EC66" s="596">
        <f>flow!AC8/((bal!AB44+bal!AA44)/2)</f>
        <v>0.26249111985317014</v>
      </c>
      <c r="ED66" s="382">
        <f>flow!AD8/((bal!AC44+bal!AB44)/2)</f>
        <v>0.22210417785013647</v>
      </c>
      <c r="EE66" s="382">
        <f>flow!AE8/((bal!AD44+bal!AC44)/2)</f>
        <v>0.143075731298416</v>
      </c>
      <c r="EF66" s="1348">
        <f>flow!AF8/((bal!AE44+bal!AD44)/2)</f>
        <v>0.30546387611988268</v>
      </c>
      <c r="EH66" s="261"/>
      <c r="EI66" s="261"/>
      <c r="EJ66" s="261"/>
      <c r="EK66" s="261"/>
      <c r="EL66" s="262"/>
      <c r="EM66" s="1325" t="s">
        <v>190</v>
      </c>
      <c r="EN66" s="1418"/>
      <c r="EO66" s="1418"/>
      <c r="EP66" s="1418"/>
      <c r="EQ66" s="380"/>
      <c r="EX66" s="380"/>
      <c r="EY66" s="380">
        <f>yrSales!M21</f>
        <v>180155.52855407048</v>
      </c>
      <c r="EZ66" s="380">
        <f>yrSales!N21</f>
        <v>199792.84833538841</v>
      </c>
      <c r="FA66" s="380">
        <f>yrSales!O21</f>
        <v>205540.57428214731</v>
      </c>
      <c r="FB66" s="380">
        <f>yrSales!P21</f>
        <v>203766.16915422888</v>
      </c>
      <c r="FC66" s="380">
        <f>yrSales!Q21</f>
        <v>197864.76868327401</v>
      </c>
      <c r="FD66" s="380">
        <f>yrSales!R21</f>
        <v>186874.30478309232</v>
      </c>
      <c r="FE66" s="380">
        <f>yrSales!S21</f>
        <v>182713.34792122539</v>
      </c>
      <c r="FF66" s="380">
        <f>yrSales!T21</f>
        <v>183807.43982494529</v>
      </c>
      <c r="FG66" s="380">
        <f>yrSales!U21</f>
        <v>181481.48148148149</v>
      </c>
      <c r="FH66" s="380">
        <f>yrSales!V21</f>
        <v>238884.70233609647</v>
      </c>
      <c r="FI66" s="380">
        <f>yrSales!W21</f>
        <v>181228.27346465818</v>
      </c>
      <c r="FJ66" s="380">
        <f>yrSales!X21</f>
        <v>181135.00876680302</v>
      </c>
      <c r="FK66" s="380">
        <f>yrSales!Y21</f>
        <v>181283.5294117647</v>
      </c>
      <c r="FL66" s="380">
        <f>yrSales!Z21</f>
        <v>181968.17913965823</v>
      </c>
      <c r="FM66" s="380">
        <f>yrSales!AA21</f>
        <v>181384.70588235292</v>
      </c>
      <c r="FN66" s="380">
        <f>yrSales!AB21</f>
        <v>180021.27659574468</v>
      </c>
      <c r="FO66" s="380">
        <f>yrSales!AC21</f>
        <v>178917.40938799761</v>
      </c>
      <c r="FP66" s="380">
        <f>yrSales!AD21</f>
        <v>178563.95002974421</v>
      </c>
      <c r="FQ66" s="380">
        <f>yrSales!AE21</f>
        <v>177242.33313289235</v>
      </c>
      <c r="FR66" s="380">
        <f>yrSales!AF21</f>
        <v>175528.75695732838</v>
      </c>
      <c r="FS66" s="380">
        <f>yrSales!AG21</f>
        <v>170511.47540983604</v>
      </c>
      <c r="FT66" s="380">
        <f>yrSales!AH21</f>
        <v>175829.1004952025</v>
      </c>
      <c r="FU66" s="380">
        <f>yrSales!AI21</f>
        <v>173751.99099823931</v>
      </c>
      <c r="FV66" s="380">
        <f>yrSales!AJ21</f>
        <v>176244.04788100164</v>
      </c>
      <c r="FW66" s="562">
        <f>yrSales!AK21</f>
        <v>176224.67801922956</v>
      </c>
      <c r="FX66" s="380">
        <f>yrSales!AL21</f>
        <v>176204.7229652589</v>
      </c>
      <c r="FY66" s="1374">
        <f>yrSales!AM21</f>
        <v>176184.15579306823</v>
      </c>
      <c r="FZ66" s="534"/>
      <c r="GA66" s="380"/>
    </row>
    <row r="67" spans="1:183" x14ac:dyDescent="0.2">
      <c r="DE67" s="261"/>
      <c r="DF67" s="261"/>
      <c r="DG67" s="261"/>
      <c r="DH67" s="261"/>
      <c r="DI67" s="261"/>
      <c r="DJ67" s="261"/>
      <c r="DK67" s="261"/>
      <c r="DL67" s="261"/>
      <c r="DM67" s="261"/>
      <c r="DN67" s="261"/>
      <c r="DO67" s="261"/>
      <c r="DP67" s="261"/>
      <c r="DQ67" s="261"/>
      <c r="EH67" s="261"/>
      <c r="EI67" s="261"/>
      <c r="EJ67" s="269"/>
      <c r="EK67" s="269"/>
      <c r="EL67" s="266"/>
      <c r="EM67" s="1325" t="s">
        <v>630</v>
      </c>
      <c r="EN67" s="1420"/>
      <c r="EO67" s="1420"/>
      <c r="EP67" s="1420"/>
      <c r="EQ67" s="383"/>
      <c r="ER67" s="261"/>
      <c r="ES67" s="261"/>
      <c r="ET67" s="261"/>
      <c r="EU67" s="261"/>
      <c r="EV67" s="261"/>
      <c r="EW67" s="261"/>
      <c r="EX67" s="383"/>
      <c r="EY67" s="383"/>
      <c r="EZ67" s="383">
        <f>yrSales!N24</f>
        <v>196.19722848855946</v>
      </c>
      <c r="FA67" s="383">
        <f>yrSales!O24</f>
        <v>188.14093733737411</v>
      </c>
      <c r="FB67" s="383">
        <f>yrSales!P24</f>
        <v>195.1982853628686</v>
      </c>
      <c r="FC67" s="383">
        <f>yrSales!Q24</f>
        <v>201.28966693685953</v>
      </c>
      <c r="FD67" s="383">
        <f>yrSales!R24</f>
        <v>188.59020310633215</v>
      </c>
      <c r="FE67" s="383">
        <f>yrSales!S24</f>
        <v>185.92238805970149</v>
      </c>
      <c r="FF67" s="383">
        <f>yrSales!T24</f>
        <v>184.02388059701494</v>
      </c>
      <c r="FG67" s="383">
        <f>yrSales!U24</f>
        <v>188.59533771667662</v>
      </c>
      <c r="FH67" s="383">
        <f>yrSales!V24</f>
        <v>185.19437551695617</v>
      </c>
      <c r="FI67" s="383">
        <f>yrSales!W24</f>
        <v>171.29247380120674</v>
      </c>
      <c r="FJ67" s="383">
        <f>yrSales!X24</f>
        <v>169.01924133080252</v>
      </c>
      <c r="FK67" s="383">
        <f>yrSales!Y24</f>
        <v>161.08616025782069</v>
      </c>
      <c r="FL67" s="383">
        <f>yrSales!Z24</f>
        <v>154.91537840650133</v>
      </c>
      <c r="FM67" s="383">
        <f>yrSales!AA24</f>
        <v>162.05355551450691</v>
      </c>
      <c r="FN67" s="383">
        <f>yrSales!AB24</f>
        <v>172.31421812545886</v>
      </c>
      <c r="FO67" s="383">
        <f>yrSales!AC24</f>
        <v>182.83216171328382</v>
      </c>
      <c r="FP67" s="383">
        <f>yrSales!AD24</f>
        <v>185.8090353310582</v>
      </c>
      <c r="FQ67" s="383">
        <f>yrSales!AE24</f>
        <v>188.96658374235193</v>
      </c>
      <c r="FR67" s="383">
        <f>yrSales!AF24</f>
        <v>187.20877176002102</v>
      </c>
      <c r="FS67" s="383">
        <f>yrSales!AG24</f>
        <v>190.56374802338837</v>
      </c>
      <c r="FT67" s="383">
        <f>yrSales!AH24</f>
        <v>193.88666766921816</v>
      </c>
      <c r="FU67" s="383">
        <f>yrSales!AI24</f>
        <v>197.01409376474882</v>
      </c>
      <c r="FV67" s="383">
        <f>yrSales!AJ24</f>
        <v>196.81395048481289</v>
      </c>
      <c r="FW67" s="555">
        <f>yrSales!AK24</f>
        <v>193.81237440812507</v>
      </c>
      <c r="FX67" s="383">
        <f>yrSales!AL24</f>
        <v>191.04559886030594</v>
      </c>
      <c r="FY67" s="1375">
        <f>yrSales!AM24</f>
        <v>188.31741184883481</v>
      </c>
      <c r="FZ67" s="383"/>
      <c r="GA67" s="383"/>
    </row>
    <row r="68" spans="1:183" x14ac:dyDescent="0.2">
      <c r="DX68" s="593"/>
      <c r="DY68" s="593"/>
      <c r="DZ68" s="593"/>
      <c r="EA68" s="593"/>
      <c r="EB68" s="593"/>
      <c r="EC68" s="593"/>
      <c r="ED68" s="593"/>
      <c r="EE68" s="593"/>
      <c r="EF68" s="593"/>
      <c r="EH68" s="261"/>
      <c r="EI68" s="261"/>
      <c r="EJ68" s="367"/>
      <c r="EK68" s="367"/>
      <c r="EL68" s="381"/>
      <c r="EM68" s="1122" t="s">
        <v>631</v>
      </c>
      <c r="EN68" s="1122"/>
      <c r="EO68" s="1122"/>
      <c r="EP68" s="1122"/>
      <c r="EQ68" s="284"/>
      <c r="ER68" s="284"/>
      <c r="ES68" s="284"/>
      <c r="ET68" s="284"/>
      <c r="EU68" s="284"/>
      <c r="EV68" s="284"/>
      <c r="EW68" s="284"/>
      <c r="EX68" s="284"/>
      <c r="EY68" s="284"/>
      <c r="EZ68" s="284"/>
      <c r="FA68" s="284"/>
      <c r="FB68" s="284"/>
      <c r="FC68" s="284"/>
      <c r="FD68" s="284"/>
      <c r="FE68" s="284"/>
      <c r="FF68" s="284"/>
      <c r="FG68" s="284"/>
      <c r="FH68" s="556">
        <f>yrSales!V7/yrSales!V45*1000</f>
        <v>0</v>
      </c>
      <c r="FI68" s="556">
        <f>yrSales!W7/yrSales!W45*1000</f>
        <v>168.63998634750772</v>
      </c>
      <c r="FJ68" s="556">
        <f>yrSales!X7/yrSales!X45*1000</f>
        <v>164.82359826727946</v>
      </c>
      <c r="FK68" s="556">
        <f>yrSales!Y7/yrSales!Y45*1000</f>
        <v>155.63334354842203</v>
      </c>
      <c r="FL68" s="556">
        <f>yrSales!Z7/yrSales!Z45*1000</f>
        <v>147.86845307163495</v>
      </c>
      <c r="FM68" s="556">
        <f>yrSales!AA7/yrSales!AA45*1000</f>
        <v>153.62778172060783</v>
      </c>
      <c r="FN68" s="556">
        <f>yrSales!AB7/yrSales!AB45*1000</f>
        <v>160.3523941593931</v>
      </c>
      <c r="FO68" s="556">
        <f>yrSales!AC7/yrSales!AC45*1000</f>
        <v>165.76450271910505</v>
      </c>
      <c r="FP68" s="556">
        <f>yrSales!AD7/yrSales!AD45*1000</f>
        <v>163.51195109133121</v>
      </c>
      <c r="FQ68" s="556">
        <f>yrSales!AE7/yrSales!AE45*1000</f>
        <v>162.51126201842266</v>
      </c>
      <c r="FR68" s="556">
        <f>yrSales!AF7/yrSales!AF45*1000</f>
        <v>158.37862090897778</v>
      </c>
      <c r="FS68" s="556">
        <f>yrSales!AG7/yrSales!AG45*1000</f>
        <v>156.65302146881973</v>
      </c>
      <c r="FT68" s="556">
        <f>yrSales!AH7/yrSales!AH45*1000</f>
        <v>154.46623876065917</v>
      </c>
      <c r="FU68" s="556">
        <f>yrSales!AI7/yrSales!AI45*1000</f>
        <v>152.25283252182774</v>
      </c>
      <c r="FV68" s="556">
        <f>yrSales!AJ7/yrSales!AJ45*1000</f>
        <v>147.97560779260999</v>
      </c>
      <c r="FW68" s="557">
        <f>yrSales!AK7/yrSales!AK45*1000</f>
        <v>141.27336443930463</v>
      </c>
      <c r="FX68" s="556">
        <f>yrSales!AL7/yrSales!AL45*1000</f>
        <v>134.51298922134796</v>
      </c>
      <c r="FY68" s="1376">
        <f>yrSales!AM7/yrSales!AM45*1000</f>
        <v>127.47375719262374</v>
      </c>
    </row>
    <row r="69" spans="1:183" x14ac:dyDescent="0.2">
      <c r="DX69" s="593"/>
      <c r="DY69" s="593"/>
      <c r="DZ69" s="593"/>
      <c r="EA69" s="593"/>
      <c r="EB69" s="593"/>
      <c r="EC69" s="593"/>
      <c r="ED69" s="593"/>
      <c r="EE69" s="593"/>
      <c r="EF69" s="593"/>
      <c r="EH69" s="261"/>
      <c r="EI69" s="261"/>
      <c r="EJ69" s="380"/>
      <c r="EK69" s="380"/>
      <c r="EL69" s="380"/>
      <c r="EM69" s="1325"/>
      <c r="EN69" s="1325"/>
      <c r="EO69" s="1325"/>
      <c r="EP69" s="1325"/>
      <c r="EQ69" s="261"/>
      <c r="ER69" s="261"/>
      <c r="ES69" s="261"/>
      <c r="ET69" s="261"/>
      <c r="EU69" s="261"/>
      <c r="EV69" s="261"/>
      <c r="EW69" s="261"/>
      <c r="EX69" s="261"/>
      <c r="EY69" s="261"/>
      <c r="EZ69" s="261"/>
      <c r="FA69" s="261"/>
      <c r="FB69" s="261"/>
      <c r="FC69" s="261"/>
      <c r="FD69" s="261"/>
      <c r="FE69" s="261"/>
      <c r="FF69" s="261"/>
      <c r="FG69" s="261"/>
      <c r="FH69" s="563"/>
      <c r="FI69" s="563"/>
      <c r="FJ69" s="563"/>
      <c r="FK69" s="563"/>
      <c r="FL69" s="563"/>
      <c r="FM69" s="563"/>
      <c r="FN69" s="563"/>
      <c r="FO69" s="563"/>
      <c r="FP69" s="563"/>
      <c r="FQ69" s="563"/>
      <c r="FR69" s="563"/>
      <c r="FS69" s="563"/>
      <c r="FT69" s="563"/>
      <c r="FU69" s="563"/>
      <c r="FV69" s="563"/>
      <c r="FW69" s="563"/>
      <c r="FX69" s="563"/>
      <c r="FY69" s="1377"/>
    </row>
    <row r="70" spans="1:183" x14ac:dyDescent="0.2">
      <c r="DX70" s="593"/>
      <c r="DY70" s="593"/>
      <c r="DZ70" s="593"/>
      <c r="EA70" s="593"/>
      <c r="EB70" s="593"/>
      <c r="EC70" s="593"/>
      <c r="ED70" s="593"/>
      <c r="EE70" s="593"/>
      <c r="EF70" s="593"/>
      <c r="EH70" s="261"/>
      <c r="EI70" s="261"/>
      <c r="EJ70" s="383"/>
      <c r="EK70" s="383"/>
      <c r="EL70" s="383"/>
      <c r="FS70" s="386"/>
    </row>
    <row r="71" spans="1:183" x14ac:dyDescent="0.2">
      <c r="DX71" s="593"/>
      <c r="DY71" s="593"/>
      <c r="DZ71" s="593"/>
      <c r="EA71" s="593"/>
      <c r="EB71" s="593"/>
      <c r="EC71" s="593"/>
      <c r="ED71" s="593"/>
      <c r="EE71" s="593"/>
      <c r="EF71" s="593"/>
      <c r="EH71" s="261"/>
      <c r="EI71" s="261"/>
      <c r="EJ71" s="261"/>
      <c r="EK71" s="261"/>
      <c r="EL71" s="261"/>
    </row>
    <row r="72" spans="1:183" x14ac:dyDescent="0.2">
      <c r="DX72" s="593"/>
      <c r="DY72" s="593"/>
      <c r="DZ72" s="593"/>
      <c r="EA72" s="593"/>
      <c r="EB72" s="593"/>
      <c r="EC72" s="593"/>
      <c r="ED72" s="593"/>
      <c r="EE72" s="593"/>
      <c r="EF72" s="593"/>
      <c r="EH72" s="261"/>
      <c r="EI72" s="261"/>
      <c r="EJ72" s="261"/>
      <c r="EK72" s="261"/>
      <c r="EL72" s="261"/>
      <c r="EM72" s="1092"/>
      <c r="EN72" s="1092"/>
      <c r="EO72" s="1092"/>
      <c r="EP72" s="1092"/>
    </row>
    <row r="73" spans="1:183" x14ac:dyDescent="0.2">
      <c r="A73" s="384" t="s">
        <v>78</v>
      </c>
      <c r="EM73" s="1092"/>
      <c r="EN73" s="1092"/>
      <c r="EO73" s="1092"/>
      <c r="EP73" s="1092"/>
      <c r="EQ73" s="385"/>
    </row>
    <row r="74" spans="1:183" x14ac:dyDescent="0.2">
      <c r="A74" s="384"/>
      <c r="EM74" s="1378"/>
      <c r="EN74" s="1378"/>
      <c r="EO74" s="1378"/>
      <c r="EP74" s="1378"/>
      <c r="EQ74" s="387"/>
    </row>
    <row r="75" spans="1:183" x14ac:dyDescent="0.2">
      <c r="A75" s="185" t="s">
        <v>92</v>
      </c>
      <c r="AQ75" s="385"/>
      <c r="AR75" s="385"/>
      <c r="AS75" s="385"/>
      <c r="AT75" s="385"/>
      <c r="AV75" s="385"/>
      <c r="AW75" s="385"/>
      <c r="AX75" s="385"/>
      <c r="AY75" s="385"/>
      <c r="BA75" s="385"/>
      <c r="BB75" s="385"/>
      <c r="BC75" s="385"/>
      <c r="BD75" s="385"/>
      <c r="BF75" s="385"/>
      <c r="BG75" s="385"/>
      <c r="BH75" s="385"/>
      <c r="BI75" s="385"/>
      <c r="BK75" s="385">
        <f>INDEX(qtrSales!$I:$I,MATCH(sumry!BK6,qtrSales!$A:$A,0)+1)</f>
        <v>463</v>
      </c>
      <c r="BL75" s="385">
        <f>INDEX(qtrSales!$I:$I,MATCH(sumry!BL6,qtrSales!$A:$A,0)+2)</f>
        <v>465</v>
      </c>
      <c r="BM75" s="385">
        <f>INDEX(qtrSales!$I:$I,MATCH(sumry!BM6,qtrSales!$A:$A,0)+3)</f>
        <v>473</v>
      </c>
      <c r="BN75" s="385">
        <f>INDEX(qtrSales!$I:$I,MATCH(sumry!BN6,qtrSales!$A:$A,0)+4)</f>
        <v>455</v>
      </c>
      <c r="BP75" s="385">
        <f>INDEX(qtrSales!$I:$I,MATCH(sumry!BP6,qtrSales!$A:$A,0)+1)</f>
        <v>456</v>
      </c>
      <c r="BQ75" s="385">
        <f>INDEX(qtrSales!$I:$I,MATCH(sumry!BQ6,qtrSales!$A:$A,0)+2)</f>
        <v>460</v>
      </c>
      <c r="BR75" s="385">
        <f>INDEX(qtrSales!$I:$I,MATCH(sumry!BR6,qtrSales!$A:$A,0)+3)</f>
        <v>465</v>
      </c>
      <c r="BS75" s="385">
        <f>INDEX(qtrSales!$I:$I,MATCH(sumry!BS6,qtrSales!$A:$A,0)+4)</f>
        <v>459</v>
      </c>
      <c r="BU75" s="385">
        <f>INDEX(qtrSales!$I:$I,MATCH(sumry!BU6,qtrSales!$A:$A,0)+1)</f>
        <v>459</v>
      </c>
      <c r="BV75" s="385">
        <f>INDEX(qtrSales!$I:$I,MATCH(sumry!BV6,qtrSales!$A:$A,0)+2)</f>
        <v>457</v>
      </c>
      <c r="BW75" s="385">
        <f>INDEX(qtrSales!$I:$I,MATCH(sumry!BW6,qtrSales!$A:$A,0)+3)</f>
        <v>459</v>
      </c>
      <c r="BX75" s="385">
        <f>INDEX(qtrSales!$I:$I,MATCH(sumry!BX6,qtrSales!$A:$A,0)+4)</f>
        <v>459</v>
      </c>
      <c r="BZ75" s="385">
        <f>INDEX(qtrSales!$I:$I,MATCH(sumry!BZ6,qtrSales!$A:$A,0)+1)</f>
        <v>459</v>
      </c>
      <c r="CA75" s="385">
        <f>INDEX(qtrSales!$I:$I,MATCH(sumry!CA6,qtrSales!$A:$A,0)+2)</f>
        <v>460</v>
      </c>
      <c r="CB75" s="385">
        <f>INDEX(qtrSales!$I:$I,MATCH(sumry!CB6,qtrSales!$A:$A,0)+3)</f>
        <v>935</v>
      </c>
      <c r="CC75" s="385">
        <f>INDEX(qtrSales!$I:$I,MATCH(sumry!CC6,qtrSales!$A:$A,0)+4)</f>
        <v>868</v>
      </c>
      <c r="CE75" s="385">
        <f>INDEX(qtrSales!$I:$I,MATCH(sumry!CE6,qtrSales!$A:$A,0)+1)</f>
        <v>861</v>
      </c>
      <c r="CF75" s="385">
        <f>INDEX(qtrSales!$I:$I,MATCH(sumry!CF6,qtrSales!$A:$A,0)+2)</f>
        <v>856</v>
      </c>
      <c r="CG75" s="385">
        <f>INDEX(qtrSales!$I:$I,MATCH(sumry!CG6,qtrSales!$A:$A,0)+3)</f>
        <v>857</v>
      </c>
      <c r="CH75" s="385">
        <f>INDEX(qtrSales!$I:$I,MATCH(sumry!CH6,qtrSales!$A:$A,0)+4)</f>
        <v>858</v>
      </c>
      <c r="CJ75" s="385">
        <f>INDEX(qtrSales!$I:$I,MATCH(sumry!CJ6,qtrSales!$A:$A,0)+1)</f>
        <v>863</v>
      </c>
      <c r="CK75" s="385">
        <f>INDEX(qtrSales!$I:$I,MATCH(sumry!CK6,qtrSales!$A:$A,0)+2)</f>
        <v>863</v>
      </c>
      <c r="CL75" s="385">
        <f>INDEX(qtrSales!$I:$I,MATCH(sumry!CL6,qtrSales!$A:$A,0)+3)</f>
        <v>866</v>
      </c>
      <c r="CM75" s="385">
        <f>INDEX(qtrSales!$I:$I,MATCH(sumry!CM6,qtrSales!$A:$A,0)+4)</f>
        <v>852</v>
      </c>
      <c r="CO75" s="385">
        <f>INDEX(qtrSales!$I:$I,MATCH(sumry!CO6,qtrSales!$A:$A,0)+1)</f>
        <v>851</v>
      </c>
      <c r="CP75" s="385">
        <f>INDEX(qtrSales!$I:$I,MATCH(sumry!CP6,qtrSales!$A:$A,0)+2)</f>
        <v>855</v>
      </c>
      <c r="CQ75" s="385">
        <f>INDEX(qtrSales!$I:$I,MATCH(sumry!CQ6,qtrSales!$A:$A,0)+3)</f>
        <v>856</v>
      </c>
      <c r="CR75" s="385">
        <f>INDEX(qtrSales!$I:$I,MATCH(sumry!CR6,qtrSales!$A:$A,0)+4)</f>
        <v>847</v>
      </c>
      <c r="CT75" s="385">
        <f>INDEX(qtrSales!$I:$I,MATCH(sumry!CT6,qtrSales!$A:$A,0)+1)</f>
        <v>848</v>
      </c>
      <c r="CU75" s="385">
        <f>INDEX(qtrSales!$I:$I,MATCH(sumry!CU6,qtrSales!$A:$A,0)+2)</f>
        <v>848</v>
      </c>
      <c r="CV75" s="385">
        <f>INDEX(qtrSales!$I:$I,MATCH(sumry!CV6,qtrSales!$A:$A,0)+3)</f>
        <v>854</v>
      </c>
      <c r="CW75" s="385">
        <f>INDEX(qtrSales!$I:$I,MATCH(sumry!CW6,qtrSales!$A:$A,0)+4)</f>
        <v>850</v>
      </c>
      <c r="CY75" s="385">
        <f>INDEX(qtrSales!$I:$I,MATCH(sumry!CY6,qtrSales!$A:$A,0)+1)</f>
        <v>849</v>
      </c>
      <c r="CZ75" s="385">
        <f>INDEX(qtrSales!$I:$I,MATCH(sumry!CZ6,qtrSales!$A:$A,0)+2)</f>
        <v>849</v>
      </c>
      <c r="DA75" s="385">
        <f>INDEX(qtrSales!$I:$I,MATCH(sumry!DA6,qtrSales!$A:$A,0)+3)</f>
        <v>854</v>
      </c>
      <c r="DB75" s="385">
        <f>INDEX(qtrSales!$I:$I,MATCH(sumry!DB6,qtrSales!$A:$A,0)+4)</f>
        <v>850</v>
      </c>
      <c r="DD75" s="385">
        <f>INDEX(qtrSales!$I:$I,MATCH(sumry!DD6,qtrSales!$A:$A,0)+1)</f>
        <v>850</v>
      </c>
      <c r="DE75" s="385">
        <f>INDEX(qtrSales!$I:$I,MATCH(sumry!DE6,qtrSales!$A:$A,0)+2)</f>
        <v>849</v>
      </c>
      <c r="DF75" s="385">
        <f>INDEX(qtrSales!$I:$I,MATCH(sumry!DF6,qtrSales!$A:$A,0)+3)</f>
        <v>850</v>
      </c>
      <c r="DG75" s="385">
        <f>INDEX(qtrSales!$I:$I,MATCH(sumry!DG6,qtrSales!$A:$A,0)+4)</f>
        <v>842</v>
      </c>
      <c r="DI75" s="385">
        <f>INDEX(qtrSales!$I:$I,MATCH(sumry!DI6,qtrSales!$A:$A,0)+1)</f>
        <v>844</v>
      </c>
      <c r="DJ75" s="385">
        <f>INDEX(qtrSales!$I:$I,MATCH(sumry!DJ6,qtrSales!$A:$A,0)+2)</f>
        <v>845</v>
      </c>
      <c r="DK75" s="385">
        <f>INDEX(qtrSales!$I:$I,MATCH(sumry!DK6,qtrSales!$A:$A,0)+3)</f>
        <v>846</v>
      </c>
      <c r="DL75" s="385">
        <f>INDEX(qtrSales!$I:$I,MATCH(sumry!DL6,qtrSales!$A:$A,0)+4)</f>
        <v>841</v>
      </c>
      <c r="DN75" s="385">
        <f>INDEX(qtrSales!$I:$I,MATCH(sumry!DN6,qtrSales!$A:$A,0)+1)</f>
        <v>843</v>
      </c>
      <c r="DO75" s="385">
        <f>INDEX(qtrSales!$I:$I,MATCH(sumry!DO6,qtrSales!$A:$A,0)+2)</f>
        <v>844</v>
      </c>
      <c r="DP75" s="385">
        <f>INDEX(qtrSales!$I:$I,MATCH(sumry!DP6,qtrSales!$A:$A,0)+3)</f>
        <v>847</v>
      </c>
      <c r="DQ75" s="385">
        <f>INDEX(qtrSales!$I:$I,MATCH(sumry!DQ6,qtrSales!$A:$A,0)+4)</f>
        <v>840</v>
      </c>
      <c r="DS75" s="385">
        <f>INDEX(qtrSales!$I:$I,MATCH(sumry!DS6,qtrSales!$A:$A,0)+1)</f>
        <v>838</v>
      </c>
      <c r="DT75" s="385">
        <f>INDEX(qtrSales!$I:$I,MATCH(sumry!DT6,qtrSales!$A:$A,0)+2)</f>
        <v>836</v>
      </c>
      <c r="DU75" s="385">
        <f>INDEX(qtrSales!$I:$I,MATCH(sumry!DU6,qtrSales!$A:$A,0)+3)</f>
        <v>838</v>
      </c>
      <c r="DV75" s="385">
        <f>INDEX(qtrSales!$I:$I,MATCH(sumry!DV6,qtrSales!$A:$A,0)+4)</f>
        <v>823</v>
      </c>
      <c r="DX75" s="385">
        <f>INDEX(qtrSales!$I:$I,MATCH(sumry!DX6,qtrSales!$A:$A,0)+1)</f>
        <v>809</v>
      </c>
      <c r="DY75" s="385">
        <f>INDEX(qtrSales!$I:$I,MATCH(sumry!DY6,qtrSales!$A:$A,0)+2)</f>
        <v>820</v>
      </c>
      <c r="DZ75" s="385">
        <f>INDEX(qtrSales!$I:$I,MATCH(sumry!DZ6,qtrSales!$A:$A,0)+3)</f>
        <v>825</v>
      </c>
      <c r="EA75" s="385">
        <f>INDEX(qtrSales!$I:$I,MATCH(sumry!EA6,qtrSales!$A:$A,0)+4)</f>
        <v>794</v>
      </c>
      <c r="EC75" s="385">
        <f>INDEX(qtrSales!$I:$I,MATCH(sumry!EC6,qtrSales!$A:$A,0)+1)</f>
        <v>784</v>
      </c>
      <c r="ED75" s="385">
        <f>INDEX(qtrSales!$I:$I,MATCH(sumry!ED6,qtrSales!$A:$A,0)+2)</f>
        <v>782</v>
      </c>
      <c r="EE75" s="385">
        <f>INDEX(qtrSales!$I:$I,MATCH(sumry!EE6,qtrSales!$A:$A,0)+3)</f>
        <v>774</v>
      </c>
      <c r="EF75" s="385">
        <f>INDEX(qtrSales!$I:$I,MATCH(sumry!EF6,qtrSales!$A:$A,0)+4)</f>
        <v>731</v>
      </c>
      <c r="EH75" s="385">
        <f>INDEX(qtrSales!$I:$I,MATCH(sumry!$EH$6,qtrSales!$A:$A,0)+1)</f>
        <v>733</v>
      </c>
      <c r="EI75" s="385">
        <f>INDEX(qtrSales!$I:$I,MATCH(sumry!$EH$6,qtrSales!$A:$A,0)+2)</f>
        <v>731</v>
      </c>
      <c r="EJ75" s="385">
        <f>INDEX(qtrSales!$I:$I,MATCH(sumry!$EH$6,qtrSales!$A:$A,0)+3)</f>
        <v>731</v>
      </c>
      <c r="EK75" s="385">
        <f>INDEX(qtrSales!$I:$I,MATCH(sumry!$EH$6,qtrSales!$A:$A,0)+4)</f>
        <v>717</v>
      </c>
      <c r="EL75" s="385"/>
      <c r="ER75" s="386"/>
      <c r="ES75" s="386"/>
      <c r="ET75" s="386"/>
      <c r="EU75" s="386"/>
      <c r="EV75" s="386"/>
      <c r="EW75" s="386"/>
      <c r="EX75" s="386">
        <f t="shared" ref="EX75:FL75" si="159">EX63</f>
        <v>412</v>
      </c>
      <c r="EY75" s="386">
        <f t="shared" si="159"/>
        <v>411</v>
      </c>
      <c r="EZ75" s="386">
        <f t="shared" si="159"/>
        <v>400</v>
      </c>
      <c r="FA75" s="386">
        <f t="shared" si="159"/>
        <v>401</v>
      </c>
      <c r="FB75" s="386">
        <f t="shared" si="159"/>
        <v>403</v>
      </c>
      <c r="FC75" s="386">
        <f t="shared" si="159"/>
        <v>440</v>
      </c>
      <c r="FD75" s="386">
        <f t="shared" si="159"/>
        <v>459</v>
      </c>
      <c r="FE75" s="386">
        <f t="shared" si="159"/>
        <v>455</v>
      </c>
      <c r="FF75" s="386">
        <f t="shared" si="159"/>
        <v>459</v>
      </c>
      <c r="FG75" s="386">
        <f t="shared" si="159"/>
        <v>459</v>
      </c>
      <c r="FH75" s="386">
        <f t="shared" si="159"/>
        <v>868</v>
      </c>
      <c r="FI75" s="386">
        <f t="shared" si="159"/>
        <v>858</v>
      </c>
      <c r="FJ75" s="386">
        <f t="shared" si="159"/>
        <v>853</v>
      </c>
      <c r="FK75" s="386">
        <f t="shared" si="159"/>
        <v>847</v>
      </c>
      <c r="FL75" s="386">
        <f t="shared" si="159"/>
        <v>850</v>
      </c>
      <c r="FM75" s="386">
        <f t="shared" ref="FM75:FW75" si="160">FM63</f>
        <v>850</v>
      </c>
      <c r="FN75" s="386">
        <f t="shared" si="160"/>
        <v>842</v>
      </c>
      <c r="FO75" s="386">
        <f t="shared" si="160"/>
        <v>841</v>
      </c>
      <c r="FP75" s="386">
        <f t="shared" si="160"/>
        <v>840</v>
      </c>
      <c r="FQ75" s="386">
        <f t="shared" si="160"/>
        <v>823</v>
      </c>
      <c r="FR75" s="386">
        <f t="shared" si="160"/>
        <v>791</v>
      </c>
      <c r="FS75" s="386">
        <f t="shared" si="160"/>
        <v>731</v>
      </c>
      <c r="FT75" s="386">
        <f t="shared" si="160"/>
        <v>717</v>
      </c>
      <c r="FU75" s="530">
        <f t="shared" si="160"/>
        <v>687</v>
      </c>
      <c r="FV75" s="530">
        <f t="shared" si="160"/>
        <v>677</v>
      </c>
      <c r="FW75" s="530">
        <f t="shared" si="160"/>
        <v>667</v>
      </c>
      <c r="FX75" s="386">
        <f>FX63</f>
        <v>657</v>
      </c>
      <c r="FY75" s="1105">
        <f>FY63</f>
        <v>647</v>
      </c>
      <c r="FZ75" s="386"/>
      <c r="GA75" s="386"/>
    </row>
    <row r="76" spans="1:183" x14ac:dyDescent="0.2">
      <c r="A76" s="185" t="s">
        <v>247</v>
      </c>
      <c r="C76" s="385"/>
      <c r="D76" s="385"/>
      <c r="E76" s="385"/>
      <c r="F76" s="385"/>
      <c r="H76" s="385"/>
      <c r="I76" s="385"/>
      <c r="J76" s="385"/>
      <c r="K76" s="385"/>
      <c r="M76" s="385"/>
      <c r="N76" s="385"/>
      <c r="O76" s="385"/>
      <c r="P76" s="385"/>
      <c r="R76" s="385"/>
      <c r="S76" s="385"/>
      <c r="T76" s="385"/>
      <c r="U76" s="385"/>
      <c r="W76" s="385"/>
      <c r="X76" s="385"/>
      <c r="Y76" s="385"/>
      <c r="Z76" s="385"/>
      <c r="AB76" s="385"/>
      <c r="AC76" s="385"/>
      <c r="AD76" s="385"/>
      <c r="AE76" s="385"/>
      <c r="AG76" s="385"/>
      <c r="AH76" s="385"/>
      <c r="AI76" s="385"/>
      <c r="AJ76" s="385"/>
      <c r="AL76" s="385"/>
      <c r="AM76" s="385"/>
      <c r="AN76" s="385"/>
      <c r="AO76" s="385"/>
      <c r="AQ76" s="385"/>
      <c r="AR76" s="385"/>
      <c r="AS76" s="385"/>
      <c r="AT76" s="385"/>
      <c r="AV76" s="385"/>
      <c r="AW76" s="385"/>
      <c r="AX76" s="385"/>
      <c r="AY76" s="385"/>
      <c r="BA76" s="385"/>
      <c r="BB76" s="385"/>
      <c r="BC76" s="385"/>
      <c r="BD76" s="385"/>
      <c r="BF76" s="385"/>
      <c r="BG76" s="385"/>
      <c r="BH76" s="385"/>
      <c r="BI76" s="385"/>
      <c r="BK76" s="385">
        <f>INDEX(qtrSales!$Z:$Z,MATCH(sumry!BK6,qtrSales!$A:$A,0)+1)</f>
        <v>84.732026143790847</v>
      </c>
      <c r="BL76" s="385">
        <f>INDEX(qtrSales!$Z:$Z,MATCH(sumry!BL6,qtrSales!$A:$A,0)+2)</f>
        <v>85.098039215686271</v>
      </c>
      <c r="BM76" s="385">
        <f>INDEX(qtrSales!$Z:$Z,MATCH(sumry!BM6,qtrSales!$A:$A,0)+3)</f>
        <v>86.562091503267965</v>
      </c>
      <c r="BN76" s="385">
        <f>INDEX(qtrSales!$Z:$Z,MATCH(sumry!BN6,qtrSales!$A:$A,0)+4)</f>
        <v>83.267973856209139</v>
      </c>
      <c r="BP76" s="385">
        <f>INDEX(qtrSales!$Z:$Z,MATCH(sumry!BP6,qtrSales!$A:$A,0)+1)</f>
        <v>83.45098039215685</v>
      </c>
      <c r="BQ76" s="385">
        <f>INDEX(qtrSales!$Z:$Z,MATCH(sumry!BQ6,qtrSales!$A:$A,0)+2)</f>
        <v>83.45098039215685</v>
      </c>
      <c r="BR76" s="385">
        <f>INDEX(qtrSales!$Z:$Z,MATCH(sumry!BR6,qtrSales!$A:$A,0)+3)</f>
        <v>84.183006535947712</v>
      </c>
      <c r="BS76" s="385">
        <f>INDEX(qtrSales!$Z:$Z,MATCH(sumry!BS6,qtrSales!$A:$A,0)+3)</f>
        <v>84.183006535947712</v>
      </c>
      <c r="BU76" s="385">
        <f>INDEX(qtrSales!$Z:$Z,MATCH(sumry!BU6,qtrSales!$A:$A,0)+1)</f>
        <v>83.816993464052288</v>
      </c>
      <c r="BV76" s="385">
        <f>INDEX(qtrSales!$Z:$Z,MATCH(sumry!BV6,qtrSales!$A:$A,0)+2)</f>
        <v>83.633986928104576</v>
      </c>
      <c r="BW76" s="385">
        <f>INDEX(qtrSales!$Z:$Z,MATCH(sumry!BW6,qtrSales!$A:$A,0)+3)</f>
        <v>83.633986928104576</v>
      </c>
      <c r="BX76" s="385">
        <f>INDEX(qtrSales!$Z:$Z,MATCH(sumry!BX6,qtrSales!$A:$A,0)+4)</f>
        <v>84</v>
      </c>
      <c r="BZ76" s="385">
        <f>INDEX(qtrSales!$Z:$Z,MATCH(sumry!BZ6,qtrSales!$A:$A,0)+1)</f>
        <v>84</v>
      </c>
      <c r="CA76" s="385">
        <f>INDEX(qtrSales!$Z:$Z,MATCH(sumry!CA6,qtrSales!$A:$A,0)+2)</f>
        <v>84.183006535947712</v>
      </c>
      <c r="CB76" s="385">
        <f>INDEX(qtrSales!$Z:$Z,MATCH(sumry!CB6,qtrSales!$A:$A,0)+3)</f>
        <v>84</v>
      </c>
      <c r="CC76" s="385">
        <f>INDEX(qtrSales!$Z:$Z,MATCH(sumry!CC6,qtrSales!$A:$A,0)+4)</f>
        <v>171.11111111111109</v>
      </c>
      <c r="CE76" s="385">
        <f>INDEX(qtrSales!$Z:$Z,MATCH(sumry!CE6,qtrSales!$A:$A,0)+1)</f>
        <v>158.84967320261435</v>
      </c>
      <c r="CF76" s="385">
        <f>INDEX(qtrSales!$Z:$Z,MATCH(sumry!CF6,qtrSales!$A:$A,0)+2)</f>
        <v>157.56862745098036</v>
      </c>
      <c r="CG76" s="385">
        <f>INDEX(qtrSales!$Z:$Z,MATCH(sumry!CG6,qtrSales!$A:$A,0)+3)</f>
        <v>156.28758169934636</v>
      </c>
      <c r="CH76" s="385">
        <f>INDEX(qtrSales!$Z:$Z,MATCH(sumry!CH6,qtrSales!$A:$A,0)+4)</f>
        <v>157.38562091503263</v>
      </c>
      <c r="CJ76" s="385">
        <f>INDEX(qtrSales!$Z:$Z,MATCH(sumry!CJ6,qtrSales!$A:$A,0)+1)</f>
        <v>156.4</v>
      </c>
      <c r="CK76" s="385">
        <f>INDEX(qtrSales!$Z:$Z,MATCH(sumry!CK6,qtrSales!$A:$A,0)+2)</f>
        <v>157.047</v>
      </c>
      <c r="CL76" s="385">
        <f>INDEX(qtrSales!$Z:$Z,MATCH(sumry!CL6,qtrSales!$A:$A,0)+3)</f>
        <v>157.06478794901506</v>
      </c>
      <c r="CM76" s="385">
        <f>INDEX(qtrSales!$Z:$Z,MATCH(sumry!CM6,qtrSales!$A:$A,0)+4)</f>
        <v>157.52099999999999</v>
      </c>
      <c r="CO76" s="385">
        <f>INDEX(qtrSales!$Z:$Z,MATCH(sumry!CO6,qtrSales!$A:$A,0)+1)</f>
        <v>154.96100000000001</v>
      </c>
      <c r="CP76" s="385">
        <f>INDEX(qtrSales!$Z:$Z,MATCH(sumry!CP6,qtrSales!$A:$A,0)+2)</f>
        <v>155.23019506462987</v>
      </c>
      <c r="CQ76" s="385">
        <f>INDEX(qtrSales!$Z:$Z,MATCH(sumry!CQ6,qtrSales!$A:$A,0)+3)</f>
        <v>155.78799532163742</v>
      </c>
      <c r="CR76" s="385">
        <f>INDEX(qtrSales!$Z:$Z,MATCH(sumry!CR6,qtrSales!$A:$A,0)+4)</f>
        <v>155.96469626168223</v>
      </c>
      <c r="CT76" s="385">
        <f>INDEX(qtrSales!$Z:$Z,MATCH(sumry!CT6,qtrSales!$A:$A,0)+1)</f>
        <v>154.09100000000001</v>
      </c>
      <c r="CU76" s="385">
        <f>INDEX(qtrSales!$Z:$Z,MATCH(sumry!CU6,qtrSales!$A:$A,0)+2)</f>
        <v>154.44300000000001</v>
      </c>
      <c r="CV76" s="385">
        <f>INDEX(qtrSales!$Z:$Z,MATCH(sumry!CV6,qtrSales!$A:$A,0)+3)</f>
        <v>154.62512617924531</v>
      </c>
      <c r="CW76" s="385">
        <f>INDEX(qtrSales!$Z:$Z,MATCH(sumry!CW6,qtrSales!$A:$A,0)+4)</f>
        <v>155.34100000000001</v>
      </c>
      <c r="CY76" s="385">
        <f>INDEX(qtrSales!$Z:$Z,MATCH(sumry!CY6,qtrSales!$A:$A,0)+1)</f>
        <v>154.4</v>
      </c>
      <c r="CZ76" s="385">
        <f>INDEX(qtrSales!$Z:$Z,MATCH(sumry!CZ6,qtrSales!$A:$A,0)+2)</f>
        <v>154.48674911660777</v>
      </c>
      <c r="DA76" s="385">
        <f>INDEX(qtrSales!$Z:$Z,MATCH(sumry!DA6,qtrSales!$A:$A,0)+3)</f>
        <v>154.30500000000001</v>
      </c>
      <c r="DB76" s="385">
        <f>INDEX(qtrSales!$Z:$Z,MATCH(sumry!DB6,qtrSales!$A:$A,0)+4)</f>
        <v>154.666</v>
      </c>
      <c r="DC76" s="385"/>
      <c r="DD76" s="385">
        <f>INDEX(qtrSales!$Z:$Z,MATCH(sumry!DD6,qtrSales!$A:$A,0)+1)</f>
        <v>154.221</v>
      </c>
      <c r="DE76" s="385">
        <f>INDEX(qtrSales!$Z:$Z,MATCH(sumry!DE6,qtrSales!$A:$A,0)+2)</f>
        <v>154.34800000000001</v>
      </c>
      <c r="DF76" s="385">
        <f>INDEX(qtrSales!$Z:$Z,MATCH(sumry!DF6,qtrSales!$A:$A,0)+3)</f>
        <v>154.298</v>
      </c>
      <c r="DG76" s="385">
        <f>INDEX(qtrSales!$Z:$Z,MATCH(sumry!DG6,qtrSales!$A:$A,0)+4)</f>
        <v>154.4655105882353</v>
      </c>
      <c r="DH76" s="385"/>
      <c r="DI76" s="385">
        <f>INDEX(qtrSales!$Z:$Z,MATCH(sumry!DI6,qtrSales!$A:$A,0)+1)</f>
        <v>152.298</v>
      </c>
      <c r="DJ76" s="385">
        <f>INDEX(qtrSales!$Z:$Z,MATCH(sumry!DJ6,qtrSales!$A:$A,0)+2)</f>
        <v>152.22800000000001</v>
      </c>
      <c r="DK76" s="385">
        <f>INDEX(qtrSales!$Z:$Z,MATCH(sumry!DK6,qtrSales!$A:$A,0)+3)</f>
        <v>152.22800000000001</v>
      </c>
      <c r="DL76" s="385">
        <f>INDEX(qtrSales!$Z:$Z,MATCH(sumry!DL6,qtrSales!$A:$A,0)+4)</f>
        <v>152.124</v>
      </c>
      <c r="DM76" s="385"/>
      <c r="DN76" s="385">
        <f>INDEX(qtrSales!$Z:$Z,MATCH(sumry!DN6,qtrSales!$A:$A,0)+1)</f>
        <v>150.77000000000001</v>
      </c>
      <c r="DO76" s="385">
        <f>INDEX(qtrSales!$Z:$Z,MATCH(sumry!DO6,qtrSales!$A:$A,0)+2)</f>
        <v>150.74799999999999</v>
      </c>
      <c r="DP76" s="385">
        <f>INDEX(qtrSales!$Z:$Z,MATCH(sumry!DP6,qtrSales!$A:$A,0)+3)</f>
        <v>150.75</v>
      </c>
      <c r="DQ76" s="385">
        <f>INDEX(qtrSales!$Z:$Z,MATCH(sumry!DQ6,qtrSales!$A:$A,0)+4)</f>
        <v>150.083</v>
      </c>
      <c r="DR76" s="385"/>
      <c r="DS76" s="385">
        <f>INDEX(qtrSales!$Z:$Z,MATCH(sumry!DS6,qtrSales!$A:$A,0)+1)</f>
        <v>149.684</v>
      </c>
      <c r="DT76" s="385">
        <f>INDEX(qtrSales!$Z:$Z,MATCH(sumry!DT6,qtrSales!$A:$A,0)+2)</f>
        <v>149.43199999999999</v>
      </c>
      <c r="DU76" s="385">
        <f>INDEX(qtrSales!$Z:$Z,MATCH(sumry!DU6,qtrSales!$A:$A,0)+3)</f>
        <v>149.65799999999999</v>
      </c>
      <c r="DV76" s="385">
        <f>INDEX(qtrSales!$Z:$Z,MATCH(sumry!DV6,qtrSales!$A:$A,0)+4)</f>
        <v>147.37700000000001</v>
      </c>
      <c r="DW76" s="385"/>
      <c r="DX76" s="385">
        <f>INDEX(qtrSales!$Z:$Z,MATCH(sumry!DX6,qtrSales!$A:$A,0)+1)</f>
        <v>147.56399999999999</v>
      </c>
      <c r="DY76" s="385">
        <f>INDEX(qtrSales!$Z:$Z,MATCH(sumry!DY6,qtrSales!$A:$A,0)+2)</f>
        <v>146.315</v>
      </c>
      <c r="DZ76" s="385">
        <f>INDEX(qtrSales!$Z:$Z,MATCH(sumry!DZ6,qtrSales!$A:$A,0)+3)</f>
        <v>146.29300000000001</v>
      </c>
      <c r="EA76" s="385">
        <f>INDEX(qtrSales!$Z:$Z,MATCH(sumry!EA6,qtrSales!$A:$A,0)+4)</f>
        <v>141.91499999999999</v>
      </c>
      <c r="EB76" s="385"/>
      <c r="EC76" s="385">
        <f>INDEX(qtrSales!$Z:$Z,MATCH(sumry!EC6,qtrSales!$A:$A,0)+1)</f>
        <v>141.90199999999999</v>
      </c>
      <c r="ED76" s="385">
        <f>INDEX(qtrSales!$Z:$Z,MATCH(sumry!ED6,qtrSales!$A:$A,0)+2)</f>
        <v>141.33500000000001</v>
      </c>
      <c r="EE76" s="385">
        <f>INDEX(qtrSales!$Z:$Z,MATCH(sumry!EE6,qtrSales!$A:$A,0)+3)</f>
        <v>141.47999999999999</v>
      </c>
      <c r="EF76" s="385">
        <f>INDEX(qtrSales!$Z:$Z,MATCH(sumry!EF6,qtrSales!$A:$A,0)+4)</f>
        <v>130.01499999999999</v>
      </c>
      <c r="EG76" s="385"/>
      <c r="EH76" s="385">
        <f>INDEX(qtrSales!$Z:$Z,MATCH(sumry!$EH$6,qtrSales!$A:$A,0)+1)</f>
        <v>130.14099999999999</v>
      </c>
      <c r="EI76" s="385">
        <f>INDEX(qtrSales!$Z:$Z,MATCH(sumry!$EH$6,qtrSales!$A:$A,0)+2)</f>
        <v>129.78590859481582</v>
      </c>
      <c r="EJ76" s="385">
        <f>INDEX(qtrSales!$Z:$Z,MATCH(sumry!$EH$6,qtrSales!$A:$A,0)+3)</f>
        <v>129.78590859481582</v>
      </c>
      <c r="EK76" s="385">
        <f>INDEX(qtrSales!$Z:$Z,MATCH(sumry!$EH$6,qtrSales!$A:$A,0)+4)</f>
        <v>127.3002687585266</v>
      </c>
      <c r="EL76" s="385"/>
      <c r="EM76" s="1421"/>
      <c r="EN76" s="1421"/>
      <c r="EO76" s="1421"/>
      <c r="EP76" s="1421"/>
      <c r="EQ76" s="389"/>
      <c r="ER76" s="385"/>
      <c r="ES76" s="385"/>
      <c r="ET76" s="385"/>
      <c r="EU76" s="385"/>
      <c r="EV76" s="385"/>
      <c r="EW76" s="385"/>
      <c r="EX76" s="385">
        <f t="shared" ref="EX76:FL76" si="161">EX64</f>
        <v>83.503</v>
      </c>
      <c r="EY76" s="385">
        <f t="shared" si="161"/>
        <v>83.019000000000005</v>
      </c>
      <c r="EZ76" s="385">
        <f t="shared" si="161"/>
        <v>81.016000000000005</v>
      </c>
      <c r="FA76" s="385">
        <f t="shared" si="161"/>
        <v>82.319000000000003</v>
      </c>
      <c r="FB76" s="385">
        <f t="shared" si="161"/>
        <v>81.914000000000001</v>
      </c>
      <c r="FC76" s="385">
        <f t="shared" si="161"/>
        <v>83.4</v>
      </c>
      <c r="FD76" s="385">
        <f t="shared" si="161"/>
        <v>84</v>
      </c>
      <c r="FE76" s="385">
        <f t="shared" si="161"/>
        <v>83.5</v>
      </c>
      <c r="FF76" s="385">
        <f t="shared" si="161"/>
        <v>84</v>
      </c>
      <c r="FG76" s="385">
        <f t="shared" si="161"/>
        <v>83.3</v>
      </c>
      <c r="FH76" s="385">
        <f t="shared" si="161"/>
        <v>158.5</v>
      </c>
      <c r="FI76" s="385">
        <f t="shared" si="161"/>
        <v>156.4</v>
      </c>
      <c r="FJ76" s="385">
        <f t="shared" si="161"/>
        <v>154.96100000000001</v>
      </c>
      <c r="FK76" s="385">
        <f t="shared" si="161"/>
        <v>154.09100000000001</v>
      </c>
      <c r="FL76" s="385">
        <f t="shared" si="161"/>
        <v>154.4</v>
      </c>
      <c r="FM76" s="385">
        <f t="shared" ref="FM76:FW76" si="162">FM64</f>
        <v>154.17699999999999</v>
      </c>
      <c r="FN76" s="385">
        <f t="shared" si="162"/>
        <v>152.298</v>
      </c>
      <c r="FO76" s="385">
        <f t="shared" si="162"/>
        <v>150.559</v>
      </c>
      <c r="FP76" s="385">
        <f t="shared" si="162"/>
        <v>150.083</v>
      </c>
      <c r="FQ76" s="385">
        <f t="shared" si="162"/>
        <v>147.37700000000001</v>
      </c>
      <c r="FR76" s="385">
        <f t="shared" si="162"/>
        <v>141.91499999999999</v>
      </c>
      <c r="FS76" s="385">
        <f t="shared" si="162"/>
        <v>130.01499999999999</v>
      </c>
      <c r="FT76" s="385">
        <f t="shared" si="162"/>
        <v>127.3002687585266</v>
      </c>
      <c r="FU76" s="353">
        <f t="shared" si="162"/>
        <v>121.973897680764</v>
      </c>
      <c r="FV76" s="353">
        <f t="shared" si="162"/>
        <v>120.19844065484313</v>
      </c>
      <c r="FW76" s="353">
        <f t="shared" si="162"/>
        <v>118.42298362892225</v>
      </c>
      <c r="FX76" s="385">
        <f>FX64</f>
        <v>116.64752660300138</v>
      </c>
      <c r="FY76" s="1092">
        <f>FY64</f>
        <v>114.87206957708051</v>
      </c>
      <c r="FZ76" s="385"/>
      <c r="GA76" s="385"/>
    </row>
    <row r="77" spans="1:183" x14ac:dyDescent="0.2">
      <c r="A77" s="185" t="s">
        <v>5</v>
      </c>
      <c r="B77" s="387"/>
      <c r="C77" s="388">
        <v>0.35</v>
      </c>
      <c r="D77" s="388">
        <v>0.35</v>
      </c>
      <c r="E77" s="388">
        <v>0.35</v>
      </c>
      <c r="F77" s="388">
        <v>0.35</v>
      </c>
      <c r="G77" s="387"/>
      <c r="H77" s="388">
        <v>0.35</v>
      </c>
      <c r="I77" s="388">
        <v>0.35</v>
      </c>
      <c r="J77" s="388">
        <v>0.35</v>
      </c>
      <c r="K77" s="388">
        <v>0.35</v>
      </c>
      <c r="L77" s="387"/>
      <c r="M77" s="388">
        <v>0.35</v>
      </c>
      <c r="N77" s="388">
        <v>0.35</v>
      </c>
      <c r="O77" s="388">
        <v>0.35</v>
      </c>
      <c r="P77" s="388">
        <v>0.35</v>
      </c>
      <c r="Q77" s="387"/>
      <c r="R77" s="388">
        <v>0.35</v>
      </c>
      <c r="S77" s="388">
        <v>0.35</v>
      </c>
      <c r="T77" s="388">
        <v>0.35</v>
      </c>
      <c r="U77" s="388">
        <v>0.35</v>
      </c>
      <c r="V77" s="387"/>
      <c r="W77" s="388">
        <v>0.35</v>
      </c>
      <c r="X77" s="388">
        <v>0.35</v>
      </c>
      <c r="Y77" s="388">
        <v>0.35</v>
      </c>
      <c r="Z77" s="388">
        <v>0.35</v>
      </c>
      <c r="AA77" s="387"/>
      <c r="AB77" s="388">
        <v>0.35</v>
      </c>
      <c r="AC77" s="388">
        <v>0.35</v>
      </c>
      <c r="AD77" s="388">
        <v>0.35</v>
      </c>
      <c r="AE77" s="388">
        <v>0.35</v>
      </c>
      <c r="AF77" s="387"/>
      <c r="AG77" s="388">
        <v>0.35</v>
      </c>
      <c r="AH77" s="388">
        <v>0.35</v>
      </c>
      <c r="AI77" s="388">
        <v>0.35</v>
      </c>
      <c r="AJ77" s="388">
        <v>0.35</v>
      </c>
      <c r="AK77" s="387"/>
      <c r="AL77" s="388">
        <v>0.35</v>
      </c>
      <c r="AM77" s="388">
        <v>0.35</v>
      </c>
      <c r="AN77" s="388">
        <v>0.35</v>
      </c>
      <c r="AO77" s="388">
        <v>0.35</v>
      </c>
      <c r="AP77" s="387"/>
      <c r="AQ77" s="388">
        <v>0.35</v>
      </c>
      <c r="AR77" s="388">
        <v>0.35</v>
      </c>
      <c r="AS77" s="388">
        <v>0.35</v>
      </c>
      <c r="AT77" s="388">
        <v>0.35</v>
      </c>
      <c r="AU77" s="388"/>
      <c r="AV77" s="388">
        <v>0.35</v>
      </c>
      <c r="AW77" s="388">
        <v>0.35</v>
      </c>
      <c r="AX77" s="388">
        <v>0.35</v>
      </c>
      <c r="AY77" s="388">
        <v>0.35</v>
      </c>
      <c r="AZ77" s="387"/>
      <c r="BA77" s="388">
        <v>0.35</v>
      </c>
      <c r="BB77" s="388">
        <v>0.35</v>
      </c>
      <c r="BC77" s="388">
        <v>0.35</v>
      </c>
      <c r="BD77" s="388">
        <v>0.35</v>
      </c>
      <c r="BE77" s="388">
        <v>0.35</v>
      </c>
      <c r="BF77" s="388">
        <v>0.35</v>
      </c>
      <c r="BG77" s="388">
        <v>0.35</v>
      </c>
      <c r="BH77" s="388">
        <v>0.35</v>
      </c>
      <c r="BI77" s="388">
        <v>0.35</v>
      </c>
      <c r="BJ77" s="387"/>
      <c r="BK77" s="388">
        <v>0.35</v>
      </c>
      <c r="BL77" s="388">
        <v>0.35</v>
      </c>
      <c r="BM77" s="388">
        <v>0.35</v>
      </c>
      <c r="BN77" s="388">
        <v>0.35</v>
      </c>
      <c r="BO77" s="387"/>
      <c r="BP77" s="388">
        <v>0.35</v>
      </c>
      <c r="BQ77" s="388">
        <v>0.35</v>
      </c>
      <c r="BR77" s="388">
        <v>0.35</v>
      </c>
      <c r="BS77" s="388">
        <v>0.35</v>
      </c>
      <c r="BT77" s="387"/>
      <c r="BU77" s="388">
        <v>0.35</v>
      </c>
      <c r="BV77" s="388">
        <v>0.35</v>
      </c>
      <c r="BW77" s="388">
        <v>0.35</v>
      </c>
      <c r="BX77" s="388">
        <v>0.35</v>
      </c>
      <c r="BY77" s="388"/>
      <c r="BZ77" s="388">
        <v>0.35</v>
      </c>
      <c r="CA77" s="388">
        <v>0.35</v>
      </c>
      <c r="CB77" s="388">
        <v>0.35</v>
      </c>
      <c r="CC77" s="388">
        <v>0.35</v>
      </c>
      <c r="CD77" s="387"/>
      <c r="CE77" s="388">
        <v>0.35</v>
      </c>
      <c r="CF77" s="388">
        <v>0.35</v>
      </c>
      <c r="CG77" s="388">
        <v>0.35</v>
      </c>
      <c r="CH77" s="388">
        <v>0.35</v>
      </c>
      <c r="CI77" s="388"/>
      <c r="CJ77" s="388">
        <v>0.35</v>
      </c>
      <c r="CK77" s="388">
        <v>0.35</v>
      </c>
      <c r="CL77" s="388">
        <v>0.35</v>
      </c>
      <c r="CM77" s="388">
        <v>0.35</v>
      </c>
      <c r="CN77" s="387"/>
      <c r="CO77" s="388">
        <v>0.35</v>
      </c>
      <c r="CP77" s="388">
        <v>0.35</v>
      </c>
      <c r="CQ77" s="388">
        <v>0.35</v>
      </c>
      <c r="CR77" s="388">
        <v>0.35</v>
      </c>
      <c r="CS77" s="388"/>
      <c r="CT77" s="388">
        <v>0.35</v>
      </c>
      <c r="CU77" s="388">
        <v>0.35</v>
      </c>
      <c r="CV77" s="388">
        <v>0.35</v>
      </c>
      <c r="CW77" s="388">
        <v>0.35</v>
      </c>
      <c r="CX77" s="387"/>
      <c r="CY77" s="388">
        <v>0.35</v>
      </c>
      <c r="CZ77" s="388">
        <v>0.35</v>
      </c>
      <c r="DA77" s="388">
        <v>0.35</v>
      </c>
      <c r="DB77" s="388">
        <v>0.35</v>
      </c>
      <c r="DC77" s="387"/>
      <c r="DD77" s="388">
        <v>0.35</v>
      </c>
      <c r="DE77" s="388">
        <v>0.35</v>
      </c>
      <c r="DF77" s="388">
        <v>0.35</v>
      </c>
      <c r="DG77" s="388">
        <v>0.35</v>
      </c>
      <c r="DH77" s="387"/>
      <c r="DI77" s="388">
        <v>0.35</v>
      </c>
      <c r="DJ77" s="388">
        <v>0.35</v>
      </c>
      <c r="DK77" s="388">
        <v>0.35</v>
      </c>
      <c r="DL77" s="388">
        <v>0.35</v>
      </c>
      <c r="DM77" s="387"/>
      <c r="DN77" s="388">
        <v>0.35</v>
      </c>
      <c r="DO77" s="388">
        <v>0.35</v>
      </c>
      <c r="DP77" s="388">
        <v>0.35</v>
      </c>
      <c r="DQ77" s="388">
        <v>0.35</v>
      </c>
      <c r="DR77" s="387"/>
      <c r="DS77" s="388">
        <v>0.35</v>
      </c>
      <c r="DT77" s="388">
        <v>0.35</v>
      </c>
      <c r="DU77" s="388">
        <v>0.35</v>
      </c>
      <c r="DV77" s="388">
        <v>0.35</v>
      </c>
      <c r="DW77" s="387"/>
      <c r="DX77" s="388">
        <v>0.35</v>
      </c>
      <c r="DY77" s="388">
        <v>0.35</v>
      </c>
      <c r="DZ77" s="388">
        <v>0.35</v>
      </c>
      <c r="EA77" s="388">
        <v>0.35</v>
      </c>
      <c r="EB77" s="387"/>
      <c r="EC77" s="388">
        <v>0.35</v>
      </c>
      <c r="ED77" s="388">
        <v>0.35</v>
      </c>
      <c r="EE77" s="388">
        <v>0.35</v>
      </c>
      <c r="EF77" s="388">
        <v>0.35</v>
      </c>
      <c r="EG77" s="387"/>
      <c r="EH77" s="388">
        <v>0.35</v>
      </c>
      <c r="EI77" s="388">
        <v>0.35</v>
      </c>
      <c r="EJ77" s="388">
        <v>0.35</v>
      </c>
      <c r="EK77" s="388">
        <v>0.35</v>
      </c>
      <c r="EL77" s="388"/>
      <c r="ER77" s="388">
        <v>0.35</v>
      </c>
      <c r="ES77" s="388"/>
      <c r="ET77" s="388">
        <v>0.35</v>
      </c>
      <c r="EU77" s="388">
        <v>0.35</v>
      </c>
      <c r="EV77" s="388">
        <v>0.35</v>
      </c>
      <c r="EW77" s="388"/>
      <c r="EX77" s="388">
        <v>0.35</v>
      </c>
      <c r="EY77" s="388">
        <v>0.35</v>
      </c>
      <c r="EZ77" s="388">
        <v>0.35</v>
      </c>
      <c r="FA77" s="388">
        <v>0.35</v>
      </c>
      <c r="FB77" s="388">
        <v>0.35</v>
      </c>
      <c r="FC77" s="388">
        <v>0.35</v>
      </c>
      <c r="FD77" s="388">
        <v>0.35</v>
      </c>
      <c r="FE77" s="388">
        <v>0.35</v>
      </c>
      <c r="FF77" s="388">
        <v>0.35</v>
      </c>
      <c r="FG77" s="388">
        <v>0.35</v>
      </c>
      <c r="FH77" s="388">
        <v>0.35</v>
      </c>
      <c r="FI77" s="388">
        <v>0.35</v>
      </c>
      <c r="FJ77" s="388">
        <v>0.35</v>
      </c>
      <c r="FK77" s="388">
        <v>0.35</v>
      </c>
      <c r="FL77" s="388">
        <v>0.35</v>
      </c>
      <c r="FM77" s="388">
        <v>0.35</v>
      </c>
      <c r="FN77" s="388">
        <v>0.35</v>
      </c>
      <c r="FO77" s="388">
        <v>0.35</v>
      </c>
      <c r="FP77" s="388">
        <v>0.35</v>
      </c>
      <c r="FQ77" s="388">
        <v>0.35</v>
      </c>
      <c r="FR77" s="388">
        <v>0.35</v>
      </c>
      <c r="FS77" s="388">
        <v>0.35</v>
      </c>
      <c r="FT77" s="388">
        <v>0.35</v>
      </c>
      <c r="FU77" s="531">
        <v>0.21</v>
      </c>
      <c r="FV77" s="531">
        <v>0.21</v>
      </c>
      <c r="FW77" s="531">
        <v>0.21</v>
      </c>
      <c r="FX77" s="388">
        <v>0.35</v>
      </c>
      <c r="FY77" s="1378">
        <v>0.35</v>
      </c>
      <c r="FZ77" s="388"/>
      <c r="GA77" s="388"/>
    </row>
    <row r="78" spans="1:183" x14ac:dyDescent="0.2">
      <c r="DX78" s="185"/>
      <c r="DY78" s="185"/>
      <c r="DZ78" s="185"/>
      <c r="EA78" s="185"/>
    </row>
    <row r="79" spans="1:183" customFormat="1" ht="11.1" customHeight="1" x14ac:dyDescent="0.2"/>
    <row r="82" spans="105:177" x14ac:dyDescent="0.2">
      <c r="FM82" s="282">
        <f t="shared" ref="FM82:FR82" si="163">FM28/FL28-1</f>
        <v>0.54261872944677103</v>
      </c>
      <c r="FN82" s="282">
        <f t="shared" si="163"/>
        <v>0.3965110606389679</v>
      </c>
      <c r="FO82" s="282">
        <f t="shared" si="163"/>
        <v>0.15076495405686274</v>
      </c>
      <c r="FP82" s="282">
        <f t="shared" si="163"/>
        <v>7.9579537491240249E-2</v>
      </c>
      <c r="FQ82" s="282">
        <f t="shared" si="163"/>
        <v>3.2403801215142414E-2</v>
      </c>
      <c r="FR82" s="282">
        <f t="shared" si="163"/>
        <v>-0.21164051104069193</v>
      </c>
    </row>
    <row r="83" spans="105:177" x14ac:dyDescent="0.2">
      <c r="FM83" s="282">
        <f t="shared" ref="FM83:FR83" si="164">FM59-FM82</f>
        <v>-2.4266316531730947E-2</v>
      </c>
      <c r="FN83" s="282">
        <f t="shared" si="164"/>
        <v>-4.2180863820413528E-3</v>
      </c>
      <c r="FO83" s="282">
        <f t="shared" si="164"/>
        <v>5.0810097437736346E-2</v>
      </c>
      <c r="FP83" s="282">
        <f t="shared" si="164"/>
        <v>7.6872347524064244E-2</v>
      </c>
      <c r="FQ83" s="282">
        <f t="shared" si="164"/>
        <v>6.6086403976581165E-2</v>
      </c>
      <c r="FR83" s="282">
        <f t="shared" si="164"/>
        <v>6.7827325401453864E-2</v>
      </c>
    </row>
    <row r="84" spans="105:177" x14ac:dyDescent="0.2">
      <c r="FR84" s="492">
        <f>AVERAGE(FO83:FR83)</f>
        <v>6.5399043584958905E-2</v>
      </c>
    </row>
    <row r="87" spans="105:177" x14ac:dyDescent="0.2">
      <c r="FU87" s="261">
        <f>25241-15225</f>
        <v>10016</v>
      </c>
    </row>
    <row r="88" spans="105:177" x14ac:dyDescent="0.2">
      <c r="DA88" s="185">
        <f>60/64.08-1</f>
        <v>-6.367041198501866E-2</v>
      </c>
      <c r="FU88" s="261">
        <f>FU87/25241</f>
        <v>0.39681470623192427</v>
      </c>
    </row>
    <row r="89" spans="105:177" x14ac:dyDescent="0.2">
      <c r="DA89" s="391"/>
    </row>
  </sheetData>
  <phoneticPr fontId="10" type="noConversion"/>
  <printOptions horizontalCentered="1" verticalCentered="1"/>
  <pageMargins left="0" right="0" top="0" bottom="0" header="0" footer="0"/>
  <pageSetup paperSize="5" scale="73" orientation="landscape" horizontalDpi="300" verticalDpi="300" r:id="rId1"/>
  <headerFooter alignWithMargins="0"/>
  <colBreaks count="1" manualBreakCount="1">
    <brk id="176" max="66" man="1"/>
  </colBreak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BC75"/>
  <sheetViews>
    <sheetView showGridLines="0" zoomScale="85" zoomScaleNormal="85" workbookViewId="0">
      <pane xSplit="1" topLeftCell="S1" activePane="topRight" state="frozen"/>
      <selection activeCell="K33" sqref="K33"/>
      <selection pane="topRight" activeCell="S1" sqref="S1"/>
    </sheetView>
  </sheetViews>
  <sheetFormatPr defaultRowHeight="12.75" outlineLevelRow="1" outlineLevelCol="2" x14ac:dyDescent="0.2"/>
  <cols>
    <col min="1" max="1" width="23.7109375" style="185" customWidth="1"/>
    <col min="2" max="2" width="1.5703125" style="185" hidden="1" customWidth="1" outlineLevel="1"/>
    <col min="3" max="3" width="1.5703125" style="185" hidden="1" customWidth="1" outlineLevel="2"/>
    <col min="4" max="4" width="9.85546875" style="185" hidden="1" customWidth="1" outlineLevel="2"/>
    <col min="5" max="5" width="7.140625" style="185" hidden="1" customWidth="1" outlineLevel="2"/>
    <col min="6" max="6" width="6.85546875" style="185" hidden="1" customWidth="1" outlineLevel="2"/>
    <col min="7" max="7" width="2" style="185" hidden="1" customWidth="1" outlineLevel="2"/>
    <col min="8" max="8" width="8.7109375" style="185" hidden="1" customWidth="1" outlineLevel="1" collapsed="1"/>
    <col min="9" max="9" width="7.140625" style="185" hidden="1" customWidth="1" outlineLevel="1"/>
    <col min="10" max="10" width="9.140625" style="185" hidden="1" customWidth="1" outlineLevel="1"/>
    <col min="11" max="11" width="2" style="185" hidden="1" customWidth="1" outlineLevel="1"/>
    <col min="12" max="12" width="7.7109375" style="185" hidden="1" customWidth="1" outlineLevel="1"/>
    <col min="13" max="13" width="7.140625" style="185" hidden="1" customWidth="1" outlineLevel="1"/>
    <col min="14" max="14" width="9.140625" style="185" hidden="1" customWidth="1" outlineLevel="1"/>
    <col min="15" max="15" width="2" style="185" hidden="1" customWidth="1" outlineLevel="1"/>
    <col min="16" max="16" width="7.7109375" style="185" hidden="1" customWidth="1" outlineLevel="1"/>
    <col min="17" max="17" width="7.140625" style="185" hidden="1" customWidth="1" outlineLevel="1"/>
    <col min="18" max="18" width="9.140625" style="185" hidden="1" customWidth="1" outlineLevel="1"/>
    <col min="19" max="19" width="2" style="185" customWidth="1" collapsed="1"/>
    <col min="20" max="20" width="7.7109375" style="185" customWidth="1"/>
    <col min="21" max="21" width="7.140625" style="185" customWidth="1"/>
    <col min="22" max="22" width="9.140625" style="185"/>
    <col min="23" max="23" width="2" style="185" customWidth="1"/>
    <col min="24" max="24" width="7.5703125" style="185" customWidth="1"/>
    <col min="25" max="25" width="7.140625" style="185" customWidth="1"/>
    <col min="26" max="26" width="7.42578125" style="185" customWidth="1"/>
    <col min="27" max="27" width="2" style="185" customWidth="1"/>
    <col min="28" max="28" width="8.85546875" style="185" bestFit="1" customWidth="1"/>
    <col min="29" max="29" width="10" style="185" bestFit="1" customWidth="1"/>
    <col min="30" max="30" width="9.140625" style="185" customWidth="1"/>
    <col min="31" max="31" width="3.140625" style="185" customWidth="1"/>
    <col min="32" max="32" width="11.28515625" style="185" bestFit="1" customWidth="1"/>
    <col min="33" max="33" width="8" style="185" customWidth="1"/>
    <col min="34" max="34" width="9.140625" style="185" customWidth="1"/>
    <col min="35" max="35" width="3.140625" style="185" customWidth="1"/>
    <col min="36" max="36" width="11.28515625" style="185" customWidth="1"/>
    <col min="37" max="37" width="7.42578125" style="390" customWidth="1"/>
    <col min="38" max="38" width="10.5703125" style="525" customWidth="1"/>
    <col min="39" max="39" width="3.140625" style="185" customWidth="1"/>
    <col min="40" max="40" width="11.28515625" style="185" customWidth="1"/>
    <col min="41" max="41" width="7" style="390" bestFit="1" customWidth="1"/>
    <col min="42" max="42" width="9.140625" style="185" customWidth="1"/>
    <col min="43" max="43" width="3.140625" style="185" customWidth="1"/>
    <col min="44" max="44" width="11.28515625" style="185" customWidth="1"/>
    <col min="45" max="45" width="8" style="185" customWidth="1"/>
    <col min="46" max="46" width="9.140625" style="185" customWidth="1"/>
    <col min="47" max="47" width="3.140625" style="185" customWidth="1"/>
    <col min="48" max="48" width="11.28515625" style="185" hidden="1" customWidth="1" outlineLevel="1"/>
    <col min="49" max="49" width="8" style="185" hidden="1" customWidth="1" outlineLevel="1"/>
    <col min="50" max="50" width="9.140625" style="185" hidden="1" customWidth="1" outlineLevel="1"/>
    <col min="51" max="51" width="3.140625" style="185" hidden="1" customWidth="1" outlineLevel="1"/>
    <col min="52" max="52" width="11.28515625" style="185" hidden="1" customWidth="1" outlineLevel="1"/>
    <col min="53" max="53" width="8" style="185" hidden="1" customWidth="1" outlineLevel="1"/>
    <col min="54" max="54" width="9.140625" style="185" hidden="1" customWidth="1" outlineLevel="1"/>
    <col min="55" max="55" width="9.140625" style="185" collapsed="1"/>
    <col min="56" max="16384" width="9.140625" style="185"/>
  </cols>
  <sheetData>
    <row r="1" spans="1:54" x14ac:dyDescent="0.2">
      <c r="A1" s="281" t="s">
        <v>285</v>
      </c>
    </row>
    <row r="2" spans="1:54" x14ac:dyDescent="0.2">
      <c r="A2" s="329" t="s">
        <v>704</v>
      </c>
      <c r="B2" s="284"/>
      <c r="C2" s="284"/>
      <c r="D2" s="284"/>
      <c r="E2" s="284"/>
      <c r="F2" s="284"/>
      <c r="G2" s="284"/>
      <c r="H2" s="284"/>
      <c r="I2" s="284"/>
      <c r="J2" s="284"/>
      <c r="K2" s="284"/>
      <c r="L2" s="284"/>
      <c r="M2" s="284"/>
      <c r="N2" s="284"/>
      <c r="O2" s="284"/>
      <c r="P2" s="284"/>
      <c r="Q2" s="284"/>
      <c r="R2" s="284"/>
      <c r="S2" s="284"/>
      <c r="T2" s="284"/>
      <c r="U2" s="284"/>
      <c r="V2" s="284"/>
      <c r="W2" s="284"/>
      <c r="X2" s="284"/>
      <c r="Y2" s="284"/>
      <c r="Z2" s="284"/>
      <c r="AA2" s="284"/>
      <c r="AB2" s="284"/>
      <c r="AC2" s="284"/>
      <c r="AD2" s="284"/>
      <c r="AE2" s="284"/>
      <c r="AF2" s="284"/>
      <c r="AG2" s="284"/>
      <c r="AH2" s="284"/>
      <c r="AI2" s="284"/>
      <c r="AJ2" s="284"/>
      <c r="AK2" s="878"/>
      <c r="AL2" s="825"/>
      <c r="AM2" s="284"/>
      <c r="AN2" s="284"/>
      <c r="AO2" s="878"/>
      <c r="AP2" s="284"/>
      <c r="AQ2" s="284"/>
      <c r="AR2" s="284"/>
      <c r="AS2" s="284"/>
      <c r="AT2" s="284"/>
      <c r="AU2" s="284"/>
      <c r="AV2" s="284"/>
      <c r="AW2" s="284"/>
      <c r="AX2" s="284"/>
      <c r="AY2" s="284"/>
      <c r="AZ2" s="284"/>
      <c r="BA2" s="284"/>
      <c r="BB2" s="284"/>
    </row>
    <row r="3" spans="1:54" x14ac:dyDescent="0.2">
      <c r="A3" s="285" t="s">
        <v>302</v>
      </c>
      <c r="L3" s="602"/>
      <c r="P3" s="602"/>
      <c r="T3" s="602"/>
      <c r="X3" s="602"/>
      <c r="AB3" s="602"/>
      <c r="AF3" s="602"/>
      <c r="AJ3" s="602"/>
      <c r="AN3" s="602"/>
      <c r="AR3" s="602"/>
      <c r="AV3" s="602"/>
      <c r="AZ3" s="602"/>
    </row>
    <row r="4" spans="1:54" ht="12.75" customHeight="1" x14ac:dyDescent="0.2">
      <c r="A4" s="285" t="s">
        <v>88</v>
      </c>
      <c r="L4" s="286"/>
      <c r="P4" s="286"/>
      <c r="T4" s="286"/>
      <c r="X4" s="286"/>
      <c r="AB4" s="286"/>
      <c r="AF4" s="286"/>
      <c r="AJ4" s="286"/>
      <c r="AN4" s="286"/>
      <c r="AR4" s="286"/>
      <c r="AV4" s="286"/>
      <c r="AZ4" s="286"/>
    </row>
    <row r="5" spans="1:54" x14ac:dyDescent="0.2">
      <c r="B5" s="525"/>
      <c r="C5" s="525"/>
    </row>
    <row r="6" spans="1:54" x14ac:dyDescent="0.2">
      <c r="D6" s="603">
        <v>2010</v>
      </c>
      <c r="E6" s="541"/>
      <c r="F6" s="541"/>
      <c r="H6" s="603">
        <f>D6+1</f>
        <v>2011</v>
      </c>
      <c r="I6" s="541"/>
      <c r="J6" s="541"/>
      <c r="K6" s="603"/>
      <c r="L6" s="603">
        <v>2012</v>
      </c>
      <c r="M6" s="541"/>
      <c r="N6" s="541"/>
      <c r="P6" s="603">
        <v>2013</v>
      </c>
      <c r="Q6" s="294"/>
      <c r="R6" s="294"/>
      <c r="T6" s="603">
        <v>2014</v>
      </c>
      <c r="U6" s="294"/>
      <c r="V6" s="294"/>
      <c r="X6" s="603">
        <v>2015</v>
      </c>
      <c r="Y6" s="294"/>
      <c r="Z6" s="294"/>
      <c r="AB6" s="603">
        <v>2016</v>
      </c>
      <c r="AC6" s="603"/>
      <c r="AD6" s="603"/>
      <c r="AF6" s="603">
        <v>2017</v>
      </c>
      <c r="AG6" s="603"/>
      <c r="AH6" s="603"/>
      <c r="AI6" s="1007"/>
      <c r="AJ6" s="1507">
        <v>2018</v>
      </c>
      <c r="AK6" s="1507"/>
      <c r="AL6" s="1507"/>
      <c r="AM6" s="1007"/>
      <c r="AN6" s="1507">
        <v>2019</v>
      </c>
      <c r="AO6" s="1507"/>
      <c r="AP6" s="1507"/>
      <c r="AQ6" s="1007"/>
      <c r="AR6" s="1507">
        <v>2020</v>
      </c>
      <c r="AS6" s="1507"/>
      <c r="AT6" s="1507"/>
      <c r="AU6" s="1007"/>
      <c r="AV6" s="1507">
        <v>2021</v>
      </c>
      <c r="AW6" s="1507"/>
      <c r="AX6" s="1507"/>
      <c r="AY6" s="1007"/>
      <c r="AZ6" s="1507">
        <v>2022</v>
      </c>
      <c r="BA6" s="1507"/>
      <c r="BB6" s="1507"/>
    </row>
    <row r="7" spans="1:54" x14ac:dyDescent="0.2">
      <c r="D7" s="820"/>
      <c r="E7" s="434"/>
      <c r="F7" s="434"/>
      <c r="H7" s="820"/>
      <c r="I7" s="434"/>
      <c r="J7" s="434"/>
      <c r="K7" s="820"/>
      <c r="L7" s="820"/>
      <c r="M7" s="434"/>
      <c r="N7" s="434"/>
      <c r="P7" s="820"/>
      <c r="Q7" s="520"/>
      <c r="R7" s="520"/>
      <c r="T7" s="820"/>
      <c r="U7" s="520"/>
      <c r="V7" s="520"/>
      <c r="X7" s="820"/>
      <c r="Y7" s="520"/>
      <c r="Z7" s="520"/>
      <c r="AB7" s="821"/>
      <c r="AC7" s="520"/>
      <c r="AD7" s="520"/>
      <c r="AF7" s="821"/>
      <c r="AG7" s="520"/>
      <c r="AH7" s="520"/>
      <c r="AJ7" s="821"/>
      <c r="AK7" s="425"/>
      <c r="AL7" s="526"/>
      <c r="AN7" s="821"/>
      <c r="AO7" s="425"/>
      <c r="AP7" s="520"/>
      <c r="AR7" s="821"/>
      <c r="AS7" s="520"/>
      <c r="AT7" s="520"/>
      <c r="AV7" s="821"/>
      <c r="AW7" s="520"/>
      <c r="AX7" s="520"/>
      <c r="AZ7" s="821"/>
      <c r="BA7" s="520"/>
      <c r="BB7" s="520"/>
    </row>
    <row r="8" spans="1:54" x14ac:dyDescent="0.2">
      <c r="A8" s="877" t="s">
        <v>648</v>
      </c>
      <c r="B8" s="877"/>
      <c r="C8" s="877"/>
      <c r="D8" s="877"/>
      <c r="E8" s="877"/>
      <c r="F8" s="877"/>
      <c r="G8" s="877"/>
      <c r="H8" s="877"/>
      <c r="I8" s="877"/>
      <c r="J8" s="877"/>
      <c r="K8" s="877"/>
      <c r="L8" s="877"/>
      <c r="M8" s="877"/>
      <c r="N8" s="877"/>
      <c r="O8" s="877"/>
      <c r="P8" s="877"/>
      <c r="Q8" s="877"/>
      <c r="R8" s="877"/>
      <c r="S8" s="877"/>
      <c r="T8" s="877"/>
      <c r="U8" s="877"/>
      <c r="V8" s="877"/>
      <c r="W8" s="877"/>
      <c r="X8" s="877"/>
      <c r="Y8" s="877"/>
      <c r="Z8" s="877"/>
      <c r="AA8" s="877"/>
      <c r="AB8" s="877"/>
      <c r="AC8" s="877"/>
      <c r="AD8" s="877"/>
      <c r="AE8" s="877"/>
      <c r="AF8" s="877"/>
      <c r="AG8" s="877"/>
      <c r="AH8" s="877"/>
      <c r="AI8" s="877"/>
      <c r="AJ8" s="877"/>
      <c r="AK8" s="877"/>
      <c r="AL8" s="877"/>
      <c r="AM8" s="877"/>
      <c r="AN8" s="877"/>
      <c r="AO8" s="877"/>
      <c r="AP8" s="877"/>
      <c r="AQ8" s="877"/>
      <c r="AR8" s="877"/>
      <c r="AS8" s="877"/>
      <c r="AT8" s="877"/>
      <c r="AU8" s="877"/>
      <c r="AV8" s="877"/>
      <c r="AW8" s="877"/>
      <c r="AX8" s="877"/>
      <c r="AY8" s="877"/>
      <c r="AZ8" s="877"/>
      <c r="BA8" s="877"/>
      <c r="BB8" s="877"/>
    </row>
    <row r="9" spans="1:54" x14ac:dyDescent="0.2">
      <c r="D9" s="385"/>
      <c r="H9" s="385"/>
      <c r="AF9" s="1435" t="s">
        <v>679</v>
      </c>
    </row>
    <row r="10" spans="1:54" x14ac:dyDescent="0.2">
      <c r="A10" s="604" t="s">
        <v>79</v>
      </c>
      <c r="D10" s="543">
        <f>H10-I10</f>
        <v>75</v>
      </c>
      <c r="E10" s="395"/>
      <c r="F10" s="566"/>
      <c r="H10" s="610">
        <v>100</v>
      </c>
      <c r="I10" s="611">
        <v>25</v>
      </c>
      <c r="J10" s="395">
        <f t="shared" ref="J10:J16" si="0">H10/D10-1</f>
        <v>0.33333333333333326</v>
      </c>
      <c r="L10" s="543">
        <f>H10+M10</f>
        <v>143</v>
      </c>
      <c r="M10" s="611">
        <v>43</v>
      </c>
      <c r="N10" s="395">
        <f t="shared" ref="N10:N16" si="1">L10/H10-1</f>
        <v>0.42999999999999994</v>
      </c>
      <c r="P10" s="543">
        <f>+L10+Q10</f>
        <v>166</v>
      </c>
      <c r="Q10" s="611">
        <v>23</v>
      </c>
      <c r="R10" s="395">
        <f t="shared" ref="R10:R16" si="2">P10/L10-1</f>
        <v>0.16083916083916083</v>
      </c>
      <c r="T10" s="543">
        <f>P10+U10</f>
        <v>171</v>
      </c>
      <c r="U10" s="879">
        <v>5</v>
      </c>
      <c r="V10" s="395">
        <f t="shared" ref="V10:V16" si="3">T10/P10-1</f>
        <v>3.0120481927710774E-2</v>
      </c>
      <c r="X10" s="543">
        <f>T10+Y10</f>
        <v>179</v>
      </c>
      <c r="Y10" s="879">
        <v>8</v>
      </c>
      <c r="Z10" s="395">
        <f t="shared" ref="Z10:Z16" si="4">X10/T10-1</f>
        <v>4.6783625730994149E-2</v>
      </c>
      <c r="AB10" s="543"/>
      <c r="AC10" s="879"/>
      <c r="AD10" s="395"/>
      <c r="AF10" s="543"/>
      <c r="AG10" s="879"/>
      <c r="AH10" s="395"/>
      <c r="AJ10" s="1384"/>
      <c r="AK10" s="879"/>
      <c r="AL10" s="816"/>
      <c r="AN10" s="355"/>
      <c r="AO10" s="879"/>
      <c r="AP10" s="395"/>
      <c r="AR10" s="355"/>
      <c r="AS10" s="612"/>
      <c r="AT10" s="395"/>
      <c r="AV10" s="355"/>
      <c r="AW10" s="612"/>
      <c r="AX10" s="395"/>
      <c r="AZ10" s="355"/>
      <c r="BA10" s="612"/>
      <c r="BB10" s="395"/>
    </row>
    <row r="11" spans="1:54" x14ac:dyDescent="0.2">
      <c r="A11" s="604" t="s">
        <v>80</v>
      </c>
      <c r="D11" s="385">
        <f>H11-I11</f>
        <v>72.699999999999989</v>
      </c>
      <c r="E11" s="395"/>
      <c r="F11" s="566"/>
      <c r="H11" s="613">
        <f>229-H10+0.7</f>
        <v>129.69999999999999</v>
      </c>
      <c r="I11" s="611">
        <v>57</v>
      </c>
      <c r="J11" s="395">
        <f t="shared" si="0"/>
        <v>0.78404401650618993</v>
      </c>
      <c r="L11" s="385">
        <f>H11+M11</f>
        <v>145.69999999999999</v>
      </c>
      <c r="M11" s="611">
        <v>16</v>
      </c>
      <c r="N11" s="395">
        <f t="shared" si="1"/>
        <v>0.12336160370084803</v>
      </c>
      <c r="P11" s="385">
        <f>+L11+Q11</f>
        <v>176.7</v>
      </c>
      <c r="Q11" s="611">
        <v>31</v>
      </c>
      <c r="R11" s="395">
        <f t="shared" si="2"/>
        <v>0.2127659574468086</v>
      </c>
      <c r="T11" s="385">
        <f>P11+U11</f>
        <v>182.7</v>
      </c>
      <c r="U11" s="879">
        <v>6</v>
      </c>
      <c r="V11" s="395">
        <f t="shared" si="3"/>
        <v>3.395585738539908E-2</v>
      </c>
      <c r="X11" s="385">
        <f>T11+Y11</f>
        <v>194.7</v>
      </c>
      <c r="Y11" s="879">
        <v>12</v>
      </c>
      <c r="Z11" s="395">
        <f t="shared" si="4"/>
        <v>6.5681444991789739E-2</v>
      </c>
      <c r="AB11" s="385"/>
      <c r="AC11" s="879"/>
      <c r="AD11" s="395"/>
      <c r="AF11" s="385"/>
      <c r="AG11" s="879"/>
      <c r="AH11" s="395"/>
      <c r="AJ11" s="1379"/>
      <c r="AK11" s="879"/>
      <c r="AL11" s="816"/>
      <c r="AN11" s="355"/>
      <c r="AO11" s="879"/>
      <c r="AP11" s="395"/>
      <c r="AR11" s="355"/>
      <c r="AS11" s="612"/>
      <c r="AT11" s="395"/>
      <c r="AV11" s="355"/>
      <c r="AW11" s="612"/>
      <c r="AX11" s="395"/>
      <c r="AZ11" s="355"/>
      <c r="BA11" s="612"/>
      <c r="BB11" s="395"/>
    </row>
    <row r="12" spans="1:54" x14ac:dyDescent="0.2">
      <c r="A12" s="604" t="s">
        <v>81</v>
      </c>
      <c r="C12" s="606"/>
      <c r="D12" s="385">
        <f>H12-I12</f>
        <v>77</v>
      </c>
      <c r="E12" s="395"/>
      <c r="F12" s="566"/>
      <c r="H12" s="613">
        <v>185</v>
      </c>
      <c r="I12" s="611">
        <v>108</v>
      </c>
      <c r="J12" s="395">
        <f t="shared" si="0"/>
        <v>1.4025974025974026</v>
      </c>
      <c r="L12" s="385">
        <f>H12+M12</f>
        <v>162</v>
      </c>
      <c r="M12" s="611">
        <v>-23</v>
      </c>
      <c r="N12" s="395">
        <f t="shared" si="1"/>
        <v>-0.12432432432432428</v>
      </c>
      <c r="P12" s="385">
        <f>+L12+Q12</f>
        <v>170</v>
      </c>
      <c r="Q12" s="611">
        <v>8</v>
      </c>
      <c r="R12" s="395">
        <f t="shared" si="2"/>
        <v>4.9382716049382713E-2</v>
      </c>
      <c r="T12" s="385">
        <f>P12+U12</f>
        <v>182</v>
      </c>
      <c r="U12" s="879">
        <v>12</v>
      </c>
      <c r="V12" s="395">
        <f t="shared" si="3"/>
        <v>7.0588235294117618E-2</v>
      </c>
      <c r="X12" s="385">
        <v>177</v>
      </c>
      <c r="Y12" s="879">
        <f>X12-T12</f>
        <v>-5</v>
      </c>
      <c r="Z12" s="395">
        <f t="shared" si="4"/>
        <v>-2.7472527472527486E-2</v>
      </c>
      <c r="AB12" s="385"/>
      <c r="AC12" s="879"/>
      <c r="AD12" s="395"/>
      <c r="AF12" s="385"/>
      <c r="AG12" s="879"/>
      <c r="AH12" s="395"/>
      <c r="AJ12" s="1379"/>
      <c r="AK12" s="879"/>
      <c r="AL12" s="816"/>
      <c r="AN12" s="355"/>
      <c r="AO12" s="879"/>
      <c r="AP12" s="395"/>
      <c r="AR12" s="355"/>
      <c r="AS12" s="612"/>
      <c r="AT12" s="395"/>
      <c r="AV12" s="355"/>
      <c r="AW12" s="612"/>
      <c r="AX12" s="395"/>
      <c r="AZ12" s="355"/>
      <c r="BA12" s="612"/>
      <c r="BB12" s="395"/>
    </row>
    <row r="13" spans="1:54" x14ac:dyDescent="0.2">
      <c r="A13" s="604" t="s">
        <v>82</v>
      </c>
      <c r="D13" s="607">
        <f>H13-I13-1</f>
        <v>107.30000000000001</v>
      </c>
      <c r="E13" s="395"/>
      <c r="F13" s="566"/>
      <c r="H13" s="614">
        <v>167.3</v>
      </c>
      <c r="I13" s="611">
        <v>59</v>
      </c>
      <c r="J13" s="395">
        <f t="shared" si="0"/>
        <v>0.559179869524697</v>
      </c>
      <c r="L13" s="607">
        <f>H13+M13</f>
        <v>211.3</v>
      </c>
      <c r="M13" s="611">
        <v>44</v>
      </c>
      <c r="N13" s="395">
        <f t="shared" si="1"/>
        <v>0.26300059772863116</v>
      </c>
      <c r="P13" s="607">
        <f>+L13+Q13</f>
        <v>217.3</v>
      </c>
      <c r="Q13" s="611">
        <v>6</v>
      </c>
      <c r="R13" s="395">
        <f t="shared" si="2"/>
        <v>2.8395646000946462E-2</v>
      </c>
      <c r="T13" s="607">
        <f>+P13+U13</f>
        <v>240.3</v>
      </c>
      <c r="U13" s="879">
        <v>23</v>
      </c>
      <c r="V13" s="395">
        <f t="shared" si="3"/>
        <v>0.10584445467096182</v>
      </c>
      <c r="X13" s="607">
        <v>280</v>
      </c>
      <c r="Y13" s="879">
        <f>X13-T13</f>
        <v>39.699999999999989</v>
      </c>
      <c r="Z13" s="395">
        <f t="shared" si="4"/>
        <v>0.1652101539741988</v>
      </c>
      <c r="AB13" s="607"/>
      <c r="AC13" s="879"/>
      <c r="AD13" s="395"/>
      <c r="AF13" s="607"/>
      <c r="AG13" s="611"/>
      <c r="AH13" s="395"/>
      <c r="AJ13" s="1010"/>
      <c r="AK13" s="879"/>
      <c r="AL13" s="816"/>
      <c r="AN13" s="608"/>
      <c r="AO13" s="879"/>
      <c r="AP13" s="395"/>
      <c r="AR13" s="608"/>
      <c r="AS13" s="612"/>
      <c r="AT13" s="395"/>
      <c r="AV13" s="608"/>
      <c r="AW13" s="612"/>
      <c r="AX13" s="395"/>
      <c r="AZ13" s="608"/>
      <c r="BA13" s="612"/>
      <c r="BB13" s="395"/>
    </row>
    <row r="14" spans="1:54" x14ac:dyDescent="0.2">
      <c r="A14" s="604" t="s">
        <v>83</v>
      </c>
      <c r="D14" s="543">
        <f>H14-I14</f>
        <v>333</v>
      </c>
      <c r="E14" s="395"/>
      <c r="F14" s="566"/>
      <c r="H14" s="543">
        <f>SUM(H10:H13)</f>
        <v>582</v>
      </c>
      <c r="I14" s="611">
        <f>SUM(I10:I13)</f>
        <v>249</v>
      </c>
      <c r="J14" s="395">
        <f t="shared" si="0"/>
        <v>0.74774774774774766</v>
      </c>
      <c r="L14" s="543">
        <f>SUM(L10:L13)</f>
        <v>662</v>
      </c>
      <c r="M14" s="615">
        <f>SUM(M10:M13)</f>
        <v>80</v>
      </c>
      <c r="N14" s="395">
        <f t="shared" si="1"/>
        <v>0.13745704467353947</v>
      </c>
      <c r="P14" s="543">
        <f>SUM(P10:P13)</f>
        <v>730</v>
      </c>
      <c r="Q14" s="615">
        <f>SUM(Q10:Q13)</f>
        <v>68</v>
      </c>
      <c r="R14" s="395">
        <f t="shared" si="2"/>
        <v>0.10271903323262843</v>
      </c>
      <c r="T14" s="543">
        <f>SUM(T10:T13)</f>
        <v>776</v>
      </c>
      <c r="U14" s="615">
        <f>SUM(U10:U13)</f>
        <v>46</v>
      </c>
      <c r="V14" s="395">
        <f t="shared" si="3"/>
        <v>6.3013698630137061E-2</v>
      </c>
      <c r="X14" s="543">
        <f>SUM(X10:X13)</f>
        <v>830.7</v>
      </c>
      <c r="Y14" s="615">
        <f>SUM(Y10:Y13)</f>
        <v>54.699999999999989</v>
      </c>
      <c r="Z14" s="395">
        <f t="shared" si="4"/>
        <v>7.0489690721649456E-2</v>
      </c>
      <c r="AB14" s="543"/>
      <c r="AC14" s="615"/>
      <c r="AD14" s="395"/>
      <c r="AF14" s="543"/>
      <c r="AG14" s="615"/>
      <c r="AH14" s="395"/>
      <c r="AJ14" s="543"/>
      <c r="AK14" s="1468"/>
      <c r="AL14" s="816"/>
      <c r="AN14" s="543"/>
      <c r="AO14" s="1468"/>
      <c r="AP14" s="395"/>
      <c r="AR14" s="543"/>
      <c r="AS14" s="1470"/>
      <c r="AT14" s="395"/>
      <c r="AV14" s="543"/>
      <c r="AW14" s="1470"/>
      <c r="AX14" s="395"/>
      <c r="AZ14" s="543"/>
      <c r="BA14" s="1470"/>
      <c r="BB14" s="395"/>
    </row>
    <row r="15" spans="1:54" s="554" customFormat="1" x14ac:dyDescent="0.2">
      <c r="A15" s="822" t="s">
        <v>413</v>
      </c>
      <c r="E15" s="395"/>
      <c r="F15" s="824"/>
      <c r="H15" s="554">
        <f>H10+H11</f>
        <v>229.7</v>
      </c>
      <c r="I15" s="823">
        <f>H15-D15</f>
        <v>229.7</v>
      </c>
      <c r="J15" s="395" t="e">
        <f t="shared" si="0"/>
        <v>#DIV/0!</v>
      </c>
      <c r="L15" s="554">
        <f>L10+L11</f>
        <v>288.7</v>
      </c>
      <c r="M15" s="823">
        <f>L15-H15</f>
        <v>59</v>
      </c>
      <c r="N15" s="395">
        <f t="shared" si="1"/>
        <v>0.25685676969960825</v>
      </c>
      <c r="P15" s="554">
        <f>P10+P11</f>
        <v>342.7</v>
      </c>
      <c r="Q15" s="823">
        <f>P15-L15</f>
        <v>54</v>
      </c>
      <c r="R15" s="395">
        <f t="shared" si="2"/>
        <v>0.18704537582265335</v>
      </c>
      <c r="T15" s="554">
        <f>T10+T11</f>
        <v>353.7</v>
      </c>
      <c r="U15" s="823">
        <f>T15-P15</f>
        <v>11</v>
      </c>
      <c r="V15" s="395">
        <f t="shared" si="3"/>
        <v>3.2098044937262982E-2</v>
      </c>
      <c r="X15" s="554">
        <f>X10+X11</f>
        <v>373.7</v>
      </c>
      <c r="Y15" s="823">
        <f>X15-T15</f>
        <v>20</v>
      </c>
      <c r="Z15" s="395">
        <f t="shared" si="4"/>
        <v>5.6545094713033706E-2</v>
      </c>
      <c r="AC15" s="823"/>
      <c r="AD15" s="395"/>
      <c r="AG15" s="823"/>
      <c r="AH15" s="395"/>
      <c r="AK15" s="880"/>
      <c r="AL15" s="816"/>
      <c r="AO15" s="880"/>
      <c r="AP15" s="395"/>
      <c r="AS15" s="823"/>
      <c r="AT15" s="395"/>
      <c r="AW15" s="823"/>
      <c r="AX15" s="395"/>
      <c r="BA15" s="823"/>
      <c r="BB15" s="395"/>
    </row>
    <row r="16" spans="1:54" s="554" customFormat="1" x14ac:dyDescent="0.2">
      <c r="A16" s="822" t="s">
        <v>414</v>
      </c>
      <c r="E16" s="395"/>
      <c r="F16" s="824"/>
      <c r="H16" s="554">
        <f>H12+H13</f>
        <v>352.3</v>
      </c>
      <c r="I16" s="823">
        <f>H16-D16</f>
        <v>352.3</v>
      </c>
      <c r="J16" s="395" t="e">
        <f t="shared" si="0"/>
        <v>#DIV/0!</v>
      </c>
      <c r="L16" s="554">
        <f>L12+L13</f>
        <v>373.3</v>
      </c>
      <c r="M16" s="823">
        <f>L16-H16</f>
        <v>21</v>
      </c>
      <c r="N16" s="395">
        <f t="shared" si="1"/>
        <v>5.9608288390576192E-2</v>
      </c>
      <c r="P16" s="554">
        <f>P12+P13</f>
        <v>387.3</v>
      </c>
      <c r="Q16" s="823">
        <f>P16-L16</f>
        <v>14</v>
      </c>
      <c r="R16" s="395">
        <f t="shared" si="2"/>
        <v>3.7503348513260093E-2</v>
      </c>
      <c r="T16" s="554">
        <f>T12+T13</f>
        <v>422.3</v>
      </c>
      <c r="U16" s="823">
        <f>T16-P16</f>
        <v>35</v>
      </c>
      <c r="V16" s="395">
        <f t="shared" si="3"/>
        <v>9.0369222824683737E-2</v>
      </c>
      <c r="X16" s="554">
        <f>X12+X13</f>
        <v>457</v>
      </c>
      <c r="Y16" s="823">
        <f>X16-T16</f>
        <v>34.699999999999989</v>
      </c>
      <c r="Z16" s="395">
        <f t="shared" si="4"/>
        <v>8.2169074117925511E-2</v>
      </c>
      <c r="AC16" s="823"/>
      <c r="AD16" s="395"/>
      <c r="AG16" s="823"/>
      <c r="AH16" s="395"/>
      <c r="AK16" s="880"/>
      <c r="AL16" s="816"/>
      <c r="AO16" s="880"/>
      <c r="AP16" s="395"/>
      <c r="AS16" s="823"/>
      <c r="AT16" s="395"/>
      <c r="AW16" s="823"/>
      <c r="AX16" s="395"/>
      <c r="BA16" s="823"/>
      <c r="BB16" s="395"/>
    </row>
    <row r="17" spans="1:54" x14ac:dyDescent="0.2">
      <c r="A17" s="604"/>
      <c r="D17" s="385"/>
      <c r="E17" s="609"/>
      <c r="F17" s="566"/>
      <c r="H17" s="385"/>
      <c r="I17" s="609"/>
      <c r="J17" s="566"/>
      <c r="L17" s="385"/>
      <c r="P17" s="385"/>
      <c r="T17" s="385"/>
      <c r="X17" s="385"/>
      <c r="AB17" s="385"/>
      <c r="AF17" s="385"/>
      <c r="AJ17" s="385"/>
      <c r="AN17" s="385"/>
      <c r="AR17" s="385"/>
      <c r="AV17" s="385"/>
      <c r="AZ17" s="385"/>
    </row>
    <row r="18" spans="1:54" x14ac:dyDescent="0.2">
      <c r="A18" s="877" t="s">
        <v>649</v>
      </c>
      <c r="B18" s="877"/>
      <c r="C18" s="877"/>
      <c r="D18" s="877"/>
      <c r="E18" s="877"/>
      <c r="F18" s="877"/>
      <c r="G18" s="877"/>
      <c r="H18" s="877"/>
      <c r="I18" s="877"/>
      <c r="J18" s="877"/>
      <c r="K18" s="877"/>
      <c r="L18" s="877"/>
      <c r="M18" s="877"/>
      <c r="N18" s="877"/>
      <c r="O18" s="877"/>
      <c r="P18" s="877"/>
      <c r="Q18" s="877"/>
      <c r="R18" s="877"/>
      <c r="S18" s="877"/>
      <c r="T18" s="877"/>
      <c r="U18" s="877"/>
      <c r="V18" s="877"/>
      <c r="W18" s="877"/>
      <c r="X18" s="877"/>
      <c r="Y18" s="877"/>
      <c r="Z18" s="877"/>
      <c r="AA18" s="877"/>
      <c r="AB18" s="877"/>
      <c r="AC18" s="877"/>
      <c r="AD18" s="877"/>
      <c r="AE18" s="877"/>
      <c r="AF18" s="877"/>
      <c r="AG18" s="877"/>
      <c r="AH18" s="877"/>
      <c r="AI18" s="877"/>
      <c r="AJ18" s="877"/>
      <c r="AK18" s="877"/>
      <c r="AL18" s="877"/>
      <c r="AM18" s="877"/>
      <c r="AN18" s="877"/>
      <c r="AO18" s="877"/>
      <c r="AP18" s="877"/>
      <c r="AQ18" s="877"/>
      <c r="AR18" s="877"/>
      <c r="AS18" s="877"/>
      <c r="AT18" s="877"/>
      <c r="AU18" s="877"/>
      <c r="AV18" s="877"/>
      <c r="AW18" s="877"/>
      <c r="AX18" s="877"/>
      <c r="AY18" s="877"/>
      <c r="AZ18" s="877"/>
      <c r="BA18" s="877"/>
      <c r="BB18" s="877"/>
    </row>
    <row r="19" spans="1:54" x14ac:dyDescent="0.2">
      <c r="D19" s="385"/>
      <c r="H19" s="385"/>
    </row>
    <row r="20" spans="1:54" x14ac:dyDescent="0.2">
      <c r="A20" s="604" t="s">
        <v>79</v>
      </c>
      <c r="D20" s="543"/>
      <c r="E20" s="609"/>
      <c r="F20" s="566"/>
      <c r="H20" s="610"/>
      <c r="I20" s="611"/>
      <c r="J20" s="566"/>
      <c r="L20" s="543"/>
      <c r="M20" s="611"/>
      <c r="N20" s="395"/>
      <c r="P20" s="543"/>
      <c r="Q20" s="611"/>
      <c r="R20" s="543"/>
      <c r="T20" s="543">
        <v>0</v>
      </c>
      <c r="U20" s="879" t="s">
        <v>554</v>
      </c>
      <c r="V20" s="812">
        <f>T20/T61</f>
        <v>0</v>
      </c>
      <c r="X20" s="543">
        <v>0</v>
      </c>
      <c r="Y20" s="811">
        <f t="shared" ref="Y20:Y26" si="5">X20-T20</f>
        <v>0</v>
      </c>
      <c r="Z20" s="812">
        <f t="shared" ref="Z20:Z26" si="6">X20/X61</f>
        <v>0</v>
      </c>
      <c r="AB20" s="543">
        <v>14</v>
      </c>
      <c r="AC20" s="811">
        <f t="shared" ref="AC20:AC26" si="7">AB20-X20</f>
        <v>14</v>
      </c>
      <c r="AD20" s="812">
        <f t="shared" ref="AD20:AD26" si="8">AB20/AB61</f>
        <v>6.5359477124183009E-3</v>
      </c>
      <c r="AF20" s="543">
        <v>68</v>
      </c>
      <c r="AG20" s="999">
        <f>AF20-AB20</f>
        <v>54</v>
      </c>
      <c r="AH20" s="812">
        <f t="shared" ref="AH20:AH26" si="9">AF20/AF61</f>
        <v>3.4170854271356785E-2</v>
      </c>
      <c r="AJ20" s="1384">
        <v>79</v>
      </c>
      <c r="AK20" s="879"/>
      <c r="AL20" s="812"/>
      <c r="AN20" s="543"/>
      <c r="AO20" s="879"/>
      <c r="AP20" s="812"/>
      <c r="AR20" s="543"/>
      <c r="AS20" s="826"/>
      <c r="AT20" s="812"/>
      <c r="AV20" s="543"/>
      <c r="AW20" s="826"/>
      <c r="AX20" s="812"/>
      <c r="AZ20" s="543"/>
      <c r="BA20" s="826"/>
      <c r="BB20" s="812"/>
    </row>
    <row r="21" spans="1:54" x14ac:dyDescent="0.2">
      <c r="A21" s="604" t="s">
        <v>80</v>
      </c>
      <c r="D21" s="385"/>
      <c r="E21" s="609"/>
      <c r="F21" s="566"/>
      <c r="H21" s="613"/>
      <c r="I21" s="611"/>
      <c r="J21" s="566"/>
      <c r="L21" s="385"/>
      <c r="M21" s="611"/>
      <c r="N21" s="543"/>
      <c r="P21" s="385"/>
      <c r="Q21" s="611"/>
      <c r="R21" s="543"/>
      <c r="T21" s="385">
        <v>389.88513267735055</v>
      </c>
      <c r="U21" s="879" t="s">
        <v>554</v>
      </c>
      <c r="V21" s="813">
        <f>T21/T62</f>
        <v>0.19263099440580561</v>
      </c>
      <c r="X21" s="385">
        <v>0</v>
      </c>
      <c r="Y21" s="811">
        <f t="shared" si="5"/>
        <v>-389.88513267735055</v>
      </c>
      <c r="Z21" s="813">
        <f t="shared" si="6"/>
        <v>0</v>
      </c>
      <c r="AB21" s="385">
        <v>21</v>
      </c>
      <c r="AC21" s="811">
        <f t="shared" si="7"/>
        <v>21</v>
      </c>
      <c r="AD21" s="813">
        <f t="shared" si="8"/>
        <v>9.5378676053139554E-3</v>
      </c>
      <c r="AF21" s="385">
        <v>43</v>
      </c>
      <c r="AG21" s="999">
        <f>AF21-AB21</f>
        <v>22</v>
      </c>
      <c r="AH21" s="813">
        <f t="shared" si="9"/>
        <v>2.0321361058601134E-2</v>
      </c>
      <c r="AJ21" s="1009">
        <v>79</v>
      </c>
      <c r="AK21" s="879"/>
      <c r="AL21" s="813"/>
      <c r="AN21" s="385"/>
      <c r="AO21" s="879"/>
      <c r="AP21" s="813"/>
      <c r="AR21" s="385"/>
      <c r="AS21" s="826"/>
      <c r="AT21" s="813"/>
      <c r="AV21" s="385"/>
      <c r="AW21" s="826"/>
      <c r="AX21" s="813"/>
      <c r="AZ21" s="385"/>
      <c r="BA21" s="826"/>
      <c r="BB21" s="813"/>
    </row>
    <row r="22" spans="1:54" x14ac:dyDescent="0.2">
      <c r="A22" s="604" t="s">
        <v>81</v>
      </c>
      <c r="C22" s="606"/>
      <c r="D22" s="385"/>
      <c r="E22" s="609"/>
      <c r="F22" s="566"/>
      <c r="H22" s="613"/>
      <c r="I22" s="611"/>
      <c r="J22" s="566"/>
      <c r="L22" s="385"/>
      <c r="M22" s="611"/>
      <c r="N22" s="543"/>
      <c r="P22" s="385"/>
      <c r="Q22" s="611"/>
      <c r="R22" s="543"/>
      <c r="T22" s="385">
        <v>0</v>
      </c>
      <c r="U22" s="879" t="s">
        <v>554</v>
      </c>
      <c r="V22" s="813">
        <f>T22/T63</f>
        <v>0</v>
      </c>
      <c r="X22" s="385">
        <v>0</v>
      </c>
      <c r="Y22" s="811">
        <f t="shared" si="5"/>
        <v>0</v>
      </c>
      <c r="Z22" s="813">
        <f t="shared" si="6"/>
        <v>0</v>
      </c>
      <c r="AB22" s="385">
        <v>41</v>
      </c>
      <c r="AC22" s="811">
        <f t="shared" si="7"/>
        <v>41</v>
      </c>
      <c r="AD22" s="813">
        <f t="shared" si="8"/>
        <v>1.806366339905276E-2</v>
      </c>
      <c r="AF22" s="385">
        <v>65</v>
      </c>
      <c r="AG22" s="999">
        <f>AF22-AB22</f>
        <v>24</v>
      </c>
      <c r="AH22" s="813">
        <f t="shared" si="9"/>
        <v>3.0617051342439944E-2</v>
      </c>
      <c r="AJ22" s="1009">
        <v>80</v>
      </c>
      <c r="AK22" s="879"/>
      <c r="AL22" s="813"/>
      <c r="AN22" s="385"/>
      <c r="AO22" s="879"/>
      <c r="AP22" s="813"/>
      <c r="AR22" s="385"/>
      <c r="AS22" s="826"/>
      <c r="AT22" s="813"/>
      <c r="AV22" s="385"/>
      <c r="AW22" s="826"/>
      <c r="AX22" s="813"/>
      <c r="AZ22" s="385"/>
      <c r="BA22" s="826"/>
      <c r="BB22" s="813"/>
    </row>
    <row r="23" spans="1:54" x14ac:dyDescent="0.2">
      <c r="A23" s="604" t="s">
        <v>82</v>
      </c>
      <c r="D23" s="607"/>
      <c r="E23" s="609"/>
      <c r="F23" s="566"/>
      <c r="H23" s="614"/>
      <c r="I23" s="611"/>
      <c r="J23" s="566"/>
      <c r="L23" s="607"/>
      <c r="M23" s="611"/>
      <c r="N23" s="543"/>
      <c r="P23" s="607"/>
      <c r="Q23" s="611"/>
      <c r="R23" s="543"/>
      <c r="T23" s="607">
        <v>1.2535491766814584</v>
      </c>
      <c r="U23" s="879" t="s">
        <v>554</v>
      </c>
      <c r="V23" s="813">
        <f>T23/T64</f>
        <v>5.3939293316758105E-4</v>
      </c>
      <c r="X23" s="607">
        <v>0</v>
      </c>
      <c r="Y23" s="811">
        <f t="shared" si="5"/>
        <v>-1.2535491766814584</v>
      </c>
      <c r="Z23" s="813">
        <f t="shared" si="6"/>
        <v>0</v>
      </c>
      <c r="AB23" s="607">
        <v>133</v>
      </c>
      <c r="AC23" s="811">
        <f t="shared" si="7"/>
        <v>133</v>
      </c>
      <c r="AD23" s="813">
        <f t="shared" si="8"/>
        <v>5.4625731594619573E-2</v>
      </c>
      <c r="AF23" s="607">
        <v>368</v>
      </c>
      <c r="AG23" s="999">
        <f>AF23-AB23</f>
        <v>235</v>
      </c>
      <c r="AH23" s="813">
        <f t="shared" si="9"/>
        <v>0.16880733944954129</v>
      </c>
      <c r="AJ23" s="1010">
        <v>80</v>
      </c>
      <c r="AK23" s="879"/>
      <c r="AL23" s="813"/>
      <c r="AN23" s="607"/>
      <c r="AO23" s="879"/>
      <c r="AP23" s="813"/>
      <c r="AR23" s="607"/>
      <c r="AS23" s="826"/>
      <c r="AT23" s="813"/>
      <c r="AV23" s="607"/>
      <c r="AW23" s="826"/>
      <c r="AX23" s="813"/>
      <c r="AZ23" s="607"/>
      <c r="BA23" s="826"/>
      <c r="BB23" s="813"/>
    </row>
    <row r="24" spans="1:54" x14ac:dyDescent="0.2">
      <c r="A24" s="604" t="s">
        <v>83</v>
      </c>
      <c r="D24" s="543">
        <f>H24-I24</f>
        <v>0</v>
      </c>
      <c r="E24" s="609"/>
      <c r="F24" s="566"/>
      <c r="H24" s="543">
        <f>SUM(H20:H23)</f>
        <v>0</v>
      </c>
      <c r="I24" s="611"/>
      <c r="J24" s="566"/>
      <c r="L24" s="543">
        <f>SUM(L20:L23)</f>
        <v>0</v>
      </c>
      <c r="M24" s="615"/>
      <c r="P24" s="815">
        <v>79</v>
      </c>
      <c r="Q24" s="811"/>
      <c r="R24" s="813"/>
      <c r="T24" s="543">
        <f>SUM(T20:T23)</f>
        <v>391.13868185403203</v>
      </c>
      <c r="U24" s="811">
        <f>T24-P24</f>
        <v>312.13868185403203</v>
      </c>
      <c r="V24" s="813">
        <f>T24/T65</f>
        <v>4.6814923022625021E-2</v>
      </c>
      <c r="X24" s="543">
        <f>SUM(X20:X23)</f>
        <v>0</v>
      </c>
      <c r="Y24" s="811">
        <f t="shared" si="5"/>
        <v>-391.13868185403203</v>
      </c>
      <c r="Z24" s="813">
        <f t="shared" si="6"/>
        <v>0</v>
      </c>
      <c r="AB24" s="543">
        <f>SUM(AB20:AB23)</f>
        <v>209</v>
      </c>
      <c r="AC24" s="615">
        <f t="shared" si="7"/>
        <v>209</v>
      </c>
      <c r="AD24" s="812">
        <f t="shared" si="8"/>
        <v>2.3098389191280082E-2</v>
      </c>
      <c r="AF24" s="543">
        <f>SUM(AF20:AF23)</f>
        <v>544</v>
      </c>
      <c r="AG24" s="827">
        <f>SUM(AG20:AG23)</f>
        <v>335</v>
      </c>
      <c r="AH24" s="812">
        <f t="shared" si="9"/>
        <v>6.4692591271256983E-2</v>
      </c>
      <c r="AJ24" s="543">
        <f>SUM(AJ20:AJ23)</f>
        <v>318</v>
      </c>
      <c r="AK24" s="1468">
        <v>-245</v>
      </c>
      <c r="AL24" s="816">
        <f>IFERROR(AJ24/AF24-1,"-")</f>
        <v>-0.4154411764705882</v>
      </c>
      <c r="AN24" s="543">
        <f>AJ24+AO24</f>
        <v>216</v>
      </c>
      <c r="AO24" s="1468">
        <v>-102</v>
      </c>
      <c r="AP24" s="395">
        <f>IFERROR(AN24/AJ24-1,"-")</f>
        <v>-0.32075471698113212</v>
      </c>
      <c r="AR24" s="543">
        <f>AN24+AS24</f>
        <v>116</v>
      </c>
      <c r="AS24" s="1469">
        <v>-100</v>
      </c>
      <c r="AT24" s="395">
        <f>IFERROR(AR24/AN24-1,"-")</f>
        <v>-0.46296296296296291</v>
      </c>
      <c r="AV24" s="543">
        <f>AR24+AW24</f>
        <v>116</v>
      </c>
      <c r="AW24" s="1469">
        <v>0</v>
      </c>
      <c r="AX24" s="395">
        <f>IFERROR(AV24/AR24-1,"-")</f>
        <v>0</v>
      </c>
      <c r="AZ24" s="543">
        <f>AV24+BA24</f>
        <v>116</v>
      </c>
      <c r="BA24" s="1469">
        <v>0</v>
      </c>
      <c r="BB24" s="395">
        <f>IFERROR(AZ24/AV24-1,"-")</f>
        <v>0</v>
      </c>
    </row>
    <row r="25" spans="1:54" x14ac:dyDescent="0.2">
      <c r="A25" s="822" t="s">
        <v>413</v>
      </c>
      <c r="D25" s="385"/>
      <c r="E25" s="609"/>
      <c r="F25" s="566"/>
      <c r="H25" s="385"/>
      <c r="I25" s="609"/>
      <c r="J25" s="566"/>
      <c r="L25" s="385"/>
      <c r="P25" s="385"/>
      <c r="T25" s="385">
        <f>T20+T21</f>
        <v>389.88513267735055</v>
      </c>
      <c r="U25" s="811">
        <f>T25-P25</f>
        <v>389.88513267735055</v>
      </c>
      <c r="X25" s="385">
        <f>X20+X21</f>
        <v>0</v>
      </c>
      <c r="Y25" s="811">
        <f t="shared" si="5"/>
        <v>-389.88513267735055</v>
      </c>
      <c r="Z25" s="812">
        <f t="shared" si="6"/>
        <v>0</v>
      </c>
      <c r="AB25" s="385">
        <f>AB20+AB21</f>
        <v>35</v>
      </c>
      <c r="AC25" s="185">
        <f t="shared" si="7"/>
        <v>35</v>
      </c>
      <c r="AD25" s="812">
        <f t="shared" si="8"/>
        <v>8.057553956834532E-3</v>
      </c>
      <c r="AF25" s="385">
        <f>AF20+AF21</f>
        <v>111</v>
      </c>
      <c r="AG25" s="812">
        <f>AF25/AF66</f>
        <v>7.4858376045319665E-3</v>
      </c>
      <c r="AH25" s="812">
        <f t="shared" si="9"/>
        <v>7.4858376045319665E-3</v>
      </c>
      <c r="AJ25" s="385"/>
      <c r="AK25" s="513"/>
      <c r="AL25" s="812"/>
      <c r="AN25" s="385"/>
      <c r="AO25" s="513"/>
      <c r="AP25" s="812"/>
      <c r="AR25" s="385"/>
      <c r="AS25" s="812"/>
      <c r="AT25" s="812"/>
      <c r="AV25" s="385"/>
      <c r="AW25" s="812"/>
      <c r="AX25" s="812"/>
      <c r="AZ25" s="385"/>
      <c r="BA25" s="812"/>
      <c r="BB25" s="812"/>
    </row>
    <row r="26" spans="1:54" ht="14.25" customHeight="1" x14ac:dyDescent="0.2">
      <c r="A26" s="822" t="s">
        <v>414</v>
      </c>
      <c r="D26" s="385"/>
      <c r="E26" s="609"/>
      <c r="F26" s="566"/>
      <c r="H26" s="385"/>
      <c r="I26" s="609"/>
      <c r="J26" s="566"/>
      <c r="L26" s="385"/>
      <c r="P26" s="385"/>
      <c r="T26" s="385">
        <f>T22+T23</f>
        <v>1.2535491766814584</v>
      </c>
      <c r="U26" s="811">
        <f>T26-P26</f>
        <v>1.2535491766814584</v>
      </c>
      <c r="X26" s="385">
        <f>X22+X23</f>
        <v>0</v>
      </c>
      <c r="Y26" s="811">
        <f t="shared" si="5"/>
        <v>-1.2535491766814584</v>
      </c>
      <c r="Z26" s="812">
        <f t="shared" si="6"/>
        <v>0</v>
      </c>
      <c r="AB26" s="385">
        <f>AB22+AB23</f>
        <v>174</v>
      </c>
      <c r="AC26" s="185">
        <f t="shared" si="7"/>
        <v>174</v>
      </c>
      <c r="AD26" s="812">
        <f t="shared" si="8"/>
        <v>3.6985864597725585E-2</v>
      </c>
      <c r="AF26" s="385">
        <f>AF22+AF23</f>
        <v>433</v>
      </c>
      <c r="AG26" s="812">
        <f>AF26/AF67</f>
        <v>1.5722585330428467E-2</v>
      </c>
      <c r="AH26" s="812">
        <f t="shared" si="9"/>
        <v>1.5722585330428467E-2</v>
      </c>
      <c r="AJ26" s="385"/>
      <c r="AK26" s="513"/>
      <c r="AL26" s="812"/>
      <c r="AN26" s="385"/>
      <c r="AO26" s="513"/>
      <c r="AP26" s="812"/>
      <c r="AR26" s="385"/>
      <c r="AS26" s="812"/>
      <c r="AT26" s="812"/>
      <c r="AV26" s="385"/>
      <c r="AW26" s="812"/>
      <c r="AX26" s="812"/>
      <c r="AZ26" s="385"/>
      <c r="BA26" s="812"/>
      <c r="BB26" s="812"/>
    </row>
    <row r="27" spans="1:54" ht="14.25" customHeight="1" x14ac:dyDescent="0.2">
      <c r="A27" s="604"/>
      <c r="D27" s="385"/>
      <c r="E27" s="609"/>
      <c r="F27" s="566"/>
      <c r="H27" s="385"/>
      <c r="I27" s="609"/>
      <c r="J27" s="566"/>
      <c r="L27" s="385"/>
      <c r="P27" s="385"/>
      <c r="T27" s="385"/>
      <c r="U27" s="811"/>
      <c r="X27" s="385"/>
      <c r="Y27" s="811"/>
      <c r="Z27" s="813"/>
      <c r="AB27" s="385"/>
      <c r="AF27" s="385"/>
      <c r="AJ27" s="385"/>
      <c r="AN27" s="385"/>
      <c r="AR27" s="385"/>
      <c r="AV27" s="385"/>
      <c r="AZ27" s="385"/>
    </row>
    <row r="28" spans="1:54" ht="14.25" customHeight="1" x14ac:dyDescent="0.2">
      <c r="A28" s="604"/>
      <c r="M28" s="395"/>
    </row>
    <row r="29" spans="1:54" x14ac:dyDescent="0.2">
      <c r="A29" s="877" t="s">
        <v>330</v>
      </c>
      <c r="B29" s="877"/>
      <c r="C29" s="877"/>
      <c r="D29" s="877"/>
      <c r="E29" s="877"/>
      <c r="F29" s="877"/>
      <c r="G29" s="877"/>
      <c r="H29" s="877"/>
      <c r="I29" s="877"/>
      <c r="J29" s="877"/>
      <c r="K29" s="877"/>
      <c r="L29" s="877"/>
      <c r="M29" s="877"/>
      <c r="N29" s="877"/>
      <c r="O29" s="877"/>
      <c r="P29" s="877"/>
      <c r="Q29" s="877"/>
      <c r="R29" s="877"/>
      <c r="S29" s="877"/>
      <c r="T29" s="877"/>
      <c r="U29" s="877"/>
      <c r="V29" s="877"/>
      <c r="W29" s="877"/>
      <c r="X29" s="877"/>
      <c r="Y29" s="877"/>
      <c r="Z29" s="877"/>
      <c r="AA29" s="877"/>
      <c r="AB29" s="877"/>
      <c r="AC29" s="877"/>
      <c r="AD29" s="877"/>
      <c r="AE29" s="877"/>
      <c r="AF29" s="877"/>
      <c r="AG29" s="877"/>
      <c r="AH29" s="877"/>
      <c r="AI29" s="877"/>
      <c r="AJ29" s="877"/>
      <c r="AK29" s="877"/>
      <c r="AL29" s="877"/>
      <c r="AM29" s="877"/>
      <c r="AN29" s="877"/>
      <c r="AO29" s="877"/>
      <c r="AP29" s="877"/>
      <c r="AQ29" s="877"/>
      <c r="AR29" s="877"/>
      <c r="AS29" s="877"/>
      <c r="AT29" s="877"/>
      <c r="AU29" s="877"/>
      <c r="AV29" s="877"/>
      <c r="AW29" s="877"/>
      <c r="AX29" s="877"/>
      <c r="AY29" s="877"/>
      <c r="AZ29" s="877"/>
      <c r="BA29" s="877"/>
      <c r="BB29" s="877"/>
    </row>
    <row r="30" spans="1:54" ht="14.25" customHeight="1" outlineLevel="1" x14ac:dyDescent="0.2">
      <c r="D30" s="385"/>
      <c r="H30" s="385"/>
      <c r="AF30" s="1435" t="s">
        <v>679</v>
      </c>
    </row>
    <row r="31" spans="1:54" ht="14.25" customHeight="1" outlineLevel="1" x14ac:dyDescent="0.2">
      <c r="A31" s="604" t="s">
        <v>79</v>
      </c>
      <c r="D31" s="610">
        <v>35</v>
      </c>
      <c r="E31" s="609"/>
      <c r="F31" s="566"/>
      <c r="H31" s="610">
        <v>34.75</v>
      </c>
      <c r="I31" s="611">
        <v>25</v>
      </c>
      <c r="J31" s="566"/>
      <c r="L31" s="543">
        <f>H31+M31</f>
        <v>50.75</v>
      </c>
      <c r="M31" s="611">
        <v>16</v>
      </c>
      <c r="P31" s="543">
        <f>L31+Q31</f>
        <v>52</v>
      </c>
      <c r="Q31" s="611">
        <f>1.25</f>
        <v>1.25</v>
      </c>
      <c r="T31" s="543">
        <f>P31+U31</f>
        <v>19</v>
      </c>
      <c r="U31" s="612">
        <v>-33</v>
      </c>
      <c r="X31" s="543">
        <f>T31+Y31</f>
        <v>21</v>
      </c>
      <c r="Y31" s="612">
        <v>2</v>
      </c>
      <c r="AB31" s="543"/>
      <c r="AC31" s="612">
        <v>-8</v>
      </c>
      <c r="AF31" s="543"/>
      <c r="AG31" s="1470">
        <v>0</v>
      </c>
      <c r="AJ31" s="1384"/>
      <c r="AK31" s="879"/>
      <c r="AN31" s="471"/>
      <c r="AO31" s="879"/>
      <c r="AR31" s="471"/>
      <c r="AS31" s="612"/>
      <c r="AV31" s="471"/>
      <c r="AW31" s="612"/>
      <c r="AZ31" s="471"/>
      <c r="BA31" s="612"/>
    </row>
    <row r="32" spans="1:54" ht="14.25" customHeight="1" outlineLevel="1" x14ac:dyDescent="0.2">
      <c r="A32" s="604" t="s">
        <v>80</v>
      </c>
      <c r="D32" s="385">
        <f>+D31</f>
        <v>35</v>
      </c>
      <c r="E32" s="609"/>
      <c r="F32" s="566"/>
      <c r="H32" s="468">
        <v>38</v>
      </c>
      <c r="I32" s="611">
        <v>57</v>
      </c>
      <c r="J32" s="566"/>
      <c r="L32" s="385">
        <f>H32+M32</f>
        <v>57</v>
      </c>
      <c r="M32" s="611">
        <v>19</v>
      </c>
      <c r="P32" s="385">
        <f>L32+Q32</f>
        <v>58.25</v>
      </c>
      <c r="Q32" s="611">
        <f>1.25</f>
        <v>1.25</v>
      </c>
      <c r="T32" s="385">
        <f>P32+U32</f>
        <v>18.25</v>
      </c>
      <c r="U32" s="612">
        <v>-40</v>
      </c>
      <c r="X32" s="385">
        <f>T32+Y32</f>
        <v>19.25</v>
      </c>
      <c r="Y32" s="612">
        <v>1</v>
      </c>
      <c r="AB32" s="385"/>
      <c r="AC32" s="612">
        <v>-7</v>
      </c>
      <c r="AF32" s="385"/>
      <c r="AG32" s="1470">
        <v>0</v>
      </c>
      <c r="AJ32" s="1009"/>
      <c r="AK32" s="879"/>
      <c r="AN32" s="471"/>
      <c r="AO32" s="879"/>
      <c r="AR32" s="471"/>
      <c r="AS32" s="612"/>
      <c r="AV32" s="471"/>
      <c r="AW32" s="612"/>
      <c r="AZ32" s="471"/>
      <c r="BA32" s="612"/>
    </row>
    <row r="33" spans="1:54" outlineLevel="1" x14ac:dyDescent="0.2">
      <c r="A33" s="604" t="s">
        <v>81</v>
      </c>
      <c r="C33" s="606"/>
      <c r="D33" s="385">
        <f>+D32</f>
        <v>35</v>
      </c>
      <c r="E33" s="609"/>
      <c r="F33" s="566"/>
      <c r="H33" s="385">
        <f>H32</f>
        <v>38</v>
      </c>
      <c r="I33" s="611">
        <v>108</v>
      </c>
      <c r="J33" s="566"/>
      <c r="L33" s="385">
        <f>H33+M33</f>
        <v>55</v>
      </c>
      <c r="M33" s="611">
        <v>17</v>
      </c>
      <c r="P33" s="385">
        <f>L33+Q33</f>
        <v>56.25</v>
      </c>
      <c r="Q33" s="611">
        <f>1.25</f>
        <v>1.25</v>
      </c>
      <c r="T33" s="385">
        <f>P33+U33</f>
        <v>14.25</v>
      </c>
      <c r="U33" s="612">
        <v>-42</v>
      </c>
      <c r="X33" s="385">
        <f>T33+Y33</f>
        <v>20.25</v>
      </c>
      <c r="Y33" s="612">
        <v>6</v>
      </c>
      <c r="AB33" s="385"/>
      <c r="AC33" s="612">
        <v>-11</v>
      </c>
      <c r="AF33" s="385"/>
      <c r="AG33" s="1470">
        <v>0</v>
      </c>
      <c r="AJ33" s="1009"/>
      <c r="AK33" s="879"/>
      <c r="AN33" s="471"/>
      <c r="AO33" s="879"/>
      <c r="AR33" s="471"/>
      <c r="AS33" s="612"/>
      <c r="AV33" s="471"/>
      <c r="AW33" s="612"/>
      <c r="AZ33" s="471"/>
      <c r="BA33" s="612"/>
    </row>
    <row r="34" spans="1:54" outlineLevel="1" x14ac:dyDescent="0.2">
      <c r="A34" s="604" t="s">
        <v>82</v>
      </c>
      <c r="D34" s="607">
        <f>+D33</f>
        <v>35</v>
      </c>
      <c r="E34" s="609"/>
      <c r="F34" s="566"/>
      <c r="H34" s="616">
        <v>39</v>
      </c>
      <c r="I34" s="611">
        <v>59</v>
      </c>
      <c r="J34" s="566"/>
      <c r="L34" s="607">
        <f>H34+M34</f>
        <v>55</v>
      </c>
      <c r="M34" s="611">
        <v>16</v>
      </c>
      <c r="P34" s="607">
        <f>L34+Q34</f>
        <v>56.25</v>
      </c>
      <c r="Q34" s="611">
        <f>1.25</f>
        <v>1.25</v>
      </c>
      <c r="T34" s="607">
        <f>P34+U34</f>
        <v>12.25</v>
      </c>
      <c r="U34" s="612">
        <v>-44</v>
      </c>
      <c r="X34" s="607">
        <f>T34+Y34</f>
        <v>22.25</v>
      </c>
      <c r="Y34" s="612">
        <v>10</v>
      </c>
      <c r="AB34" s="607"/>
      <c r="AC34" s="612">
        <v>-13</v>
      </c>
      <c r="AF34" s="607"/>
      <c r="AG34" s="1470">
        <v>0</v>
      </c>
      <c r="AJ34" s="1010"/>
      <c r="AK34" s="879"/>
      <c r="AN34" s="608"/>
      <c r="AO34" s="879"/>
      <c r="AR34" s="608"/>
      <c r="AS34" s="612"/>
      <c r="AV34" s="608"/>
      <c r="AW34" s="612"/>
      <c r="AZ34" s="608"/>
      <c r="BA34" s="612"/>
    </row>
    <row r="35" spans="1:54" outlineLevel="1" x14ac:dyDescent="0.2">
      <c r="A35" s="604" t="s">
        <v>83</v>
      </c>
      <c r="D35" s="610">
        <f>+SUM(D31:D34)</f>
        <v>140</v>
      </c>
      <c r="E35" s="609"/>
      <c r="F35" s="566"/>
      <c r="H35" s="610">
        <v>149.75</v>
      </c>
      <c r="I35" s="611">
        <f>SUM(I31:I34)</f>
        <v>249</v>
      </c>
      <c r="J35" s="566"/>
      <c r="L35" s="543">
        <f>SUM(L31:L34)</f>
        <v>217.75</v>
      </c>
      <c r="M35" s="615">
        <f>SUM(M31:M34)</f>
        <v>68</v>
      </c>
      <c r="P35" s="543">
        <f>SUM(P31:P34)</f>
        <v>222.75</v>
      </c>
      <c r="Q35" s="615">
        <f>P35-L35</f>
        <v>5</v>
      </c>
      <c r="T35" s="543">
        <f>SUM(T31:T34)</f>
        <v>63.75</v>
      </c>
      <c r="U35" s="615">
        <f>T35-P35</f>
        <v>-159</v>
      </c>
      <c r="X35" s="543">
        <f>SUM(X31:X34)</f>
        <v>82.75</v>
      </c>
      <c r="Y35" s="615">
        <f>X35-T35</f>
        <v>19</v>
      </c>
      <c r="AB35" s="543"/>
      <c r="AC35" s="615">
        <f>AB35-X35</f>
        <v>-82.75</v>
      </c>
      <c r="AF35" s="903"/>
      <c r="AG35" s="615">
        <f>AF35-AB35</f>
        <v>0</v>
      </c>
      <c r="AJ35" s="543"/>
      <c r="AK35" s="615">
        <f>AJ35-AF35</f>
        <v>0</v>
      </c>
      <c r="AL35" s="816" t="str">
        <f>IFERROR(AJ35/AF35-1,"-")</f>
        <v>-</v>
      </c>
      <c r="AN35" s="543">
        <f>AJ35+AO35</f>
        <v>0</v>
      </c>
      <c r="AO35" s="1468">
        <v>0</v>
      </c>
      <c r="AP35" s="816" t="str">
        <f>IFERROR(AN35/AJ35-1,"-")</f>
        <v>-</v>
      </c>
      <c r="AR35" s="543">
        <f>AN35+AS35</f>
        <v>0</v>
      </c>
      <c r="AS35" s="1468">
        <v>0</v>
      </c>
      <c r="AT35" s="816" t="str">
        <f>IFERROR(AR35/AN35-1,"-")</f>
        <v>-</v>
      </c>
      <c r="AV35" s="543">
        <f>AR35+AW35</f>
        <v>0</v>
      </c>
      <c r="AW35" s="1468">
        <v>0</v>
      </c>
      <c r="AX35" s="816" t="str">
        <f>IFERROR(AV35/AR35-1,"-")</f>
        <v>-</v>
      </c>
      <c r="AZ35" s="543">
        <f>AV35+BA35</f>
        <v>0</v>
      </c>
      <c r="BA35" s="1468">
        <v>0</v>
      </c>
      <c r="BB35" s="816" t="str">
        <f>IFERROR(AZ35/AV35-1,"-")</f>
        <v>-</v>
      </c>
    </row>
    <row r="36" spans="1:54" outlineLevel="1" x14ac:dyDescent="0.2">
      <c r="A36" s="822" t="s">
        <v>413</v>
      </c>
      <c r="D36" s="610"/>
      <c r="E36" s="609"/>
      <c r="F36" s="566"/>
      <c r="H36" s="610"/>
      <c r="I36" s="611"/>
      <c r="J36" s="566"/>
      <c r="L36" s="543"/>
      <c r="M36" s="615"/>
      <c r="P36" s="543"/>
      <c r="Q36" s="615"/>
      <c r="T36" s="543"/>
      <c r="U36" s="615"/>
      <c r="X36" s="543"/>
      <c r="Y36" s="615"/>
      <c r="AB36" s="617"/>
      <c r="AC36" s="615"/>
      <c r="AF36" s="617"/>
      <c r="AG36" s="615"/>
      <c r="AJ36" s="543"/>
      <c r="AK36" s="882"/>
      <c r="AL36" s="816"/>
      <c r="AN36" s="543"/>
      <c r="AO36" s="882"/>
      <c r="AP36" s="395"/>
      <c r="AR36" s="543"/>
      <c r="AS36" s="827"/>
      <c r="AT36" s="395"/>
      <c r="AV36" s="543"/>
      <c r="AW36" s="827"/>
      <c r="AX36" s="395"/>
      <c r="AZ36" s="543"/>
      <c r="BA36" s="827"/>
      <c r="BB36" s="395"/>
    </row>
    <row r="37" spans="1:54" outlineLevel="1" x14ac:dyDescent="0.2">
      <c r="A37" s="822" t="s">
        <v>414</v>
      </c>
    </row>
    <row r="38" spans="1:54" outlineLevel="1" x14ac:dyDescent="0.2"/>
    <row r="39" spans="1:54" x14ac:dyDescent="0.2">
      <c r="A39" s="877" t="s">
        <v>331</v>
      </c>
      <c r="B39" s="877"/>
      <c r="C39" s="877"/>
      <c r="D39" s="877"/>
      <c r="E39" s="877"/>
      <c r="F39" s="877"/>
      <c r="G39" s="877"/>
      <c r="H39" s="877"/>
      <c r="I39" s="877"/>
      <c r="J39" s="877"/>
      <c r="K39" s="877"/>
      <c r="L39" s="877"/>
      <c r="M39" s="877"/>
      <c r="N39" s="877"/>
      <c r="O39" s="877"/>
      <c r="P39" s="877"/>
      <c r="Q39" s="877"/>
      <c r="R39" s="877"/>
      <c r="S39" s="877"/>
      <c r="T39" s="877"/>
      <c r="U39" s="877"/>
      <c r="V39" s="877"/>
      <c r="W39" s="877"/>
      <c r="X39" s="877"/>
      <c r="Y39" s="877"/>
      <c r="Z39" s="877"/>
      <c r="AA39" s="877"/>
      <c r="AB39" s="877"/>
      <c r="AC39" s="877"/>
      <c r="AD39" s="877"/>
      <c r="AE39" s="877"/>
      <c r="AF39" s="990">
        <f>1010/4</f>
        <v>252.5</v>
      </c>
      <c r="AG39" s="877"/>
      <c r="AH39" s="877"/>
      <c r="AI39" s="877"/>
      <c r="AJ39" s="877"/>
      <c r="AK39" s="877"/>
      <c r="AL39" s="877"/>
      <c r="AM39" s="877"/>
      <c r="AN39" s="877"/>
      <c r="AO39" s="877"/>
      <c r="AP39" s="877"/>
      <c r="AQ39" s="877"/>
      <c r="AR39" s="877"/>
      <c r="AS39" s="877"/>
      <c r="AT39" s="877"/>
      <c r="AU39" s="877"/>
      <c r="AV39" s="877"/>
      <c r="AW39" s="877"/>
      <c r="AX39" s="877"/>
      <c r="AY39" s="877"/>
      <c r="AZ39" s="877"/>
      <c r="BA39" s="877"/>
      <c r="BB39" s="877"/>
    </row>
    <row r="40" spans="1:54" outlineLevel="1" x14ac:dyDescent="0.2">
      <c r="D40" s="385"/>
      <c r="H40" s="385"/>
    </row>
    <row r="41" spans="1:54" outlineLevel="1" x14ac:dyDescent="0.2">
      <c r="A41" s="604" t="s">
        <v>79</v>
      </c>
      <c r="D41" s="610">
        <v>287</v>
      </c>
      <c r="E41" s="395">
        <f>D41/'qtrP&amp;L'!$CJ$10</f>
        <v>5.1489056332974521E-2</v>
      </c>
      <c r="F41" s="566"/>
      <c r="H41" s="610">
        <v>268</v>
      </c>
      <c r="I41" s="395">
        <f>H41/'qtrP&amp;L'!CN10</f>
        <v>4.5508575309899817E-2</v>
      </c>
      <c r="J41" s="566"/>
      <c r="L41" s="610">
        <v>256</v>
      </c>
      <c r="M41" s="395">
        <f>L41/'qtrP&amp;L'!CR10</f>
        <v>4.1673449454663843E-2</v>
      </c>
      <c r="P41" s="610">
        <v>251</v>
      </c>
      <c r="Q41" s="395">
        <f>P41/'qtrP&amp;L'!CV10</f>
        <v>3.9298575230937841E-2</v>
      </c>
      <c r="R41" s="610"/>
      <c r="T41" s="1000">
        <v>253</v>
      </c>
      <c r="U41" s="395">
        <f>T41/'qtrP&amp;L'!CZ10</f>
        <v>4.0293040293040296E-2</v>
      </c>
      <c r="V41" s="610"/>
      <c r="X41" s="1000">
        <v>259</v>
      </c>
      <c r="Y41" s="395">
        <f>X41/'qtrP&amp;L'!DD10</f>
        <v>4.1559691912708599E-2</v>
      </c>
      <c r="Z41" s="610"/>
      <c r="AB41" s="1000">
        <v>260</v>
      </c>
      <c r="AC41" s="395">
        <f>AB41/'qtrP&amp;L'!DH10</f>
        <v>4.5029442327675785E-2</v>
      </c>
      <c r="AD41" s="395">
        <f>AB41/X41-1</f>
        <v>3.8610038610038533E-3</v>
      </c>
      <c r="AF41" s="1000">
        <v>243</v>
      </c>
      <c r="AG41" s="395">
        <f>AF41/'qtrP&amp;L'!DL10</f>
        <v>4.5403587443946188E-2</v>
      </c>
      <c r="AH41" s="395">
        <f>AF41/AB41-1</f>
        <v>-6.5384615384615374E-2</v>
      </c>
      <c r="AJ41" s="1384">
        <f>AF41</f>
        <v>243</v>
      </c>
      <c r="AK41" s="395">
        <f>AJ41/'qtrP&amp;L'!DP10</f>
        <v>4.5723653015051546E-2</v>
      </c>
      <c r="AL41" s="395">
        <f>AJ41/AF41-1</f>
        <v>0</v>
      </c>
      <c r="AN41" s="355"/>
      <c r="AO41" s="881"/>
      <c r="AP41" s="395"/>
      <c r="AR41" s="355"/>
      <c r="AS41" s="395"/>
      <c r="AT41" s="395"/>
      <c r="AV41" s="355"/>
      <c r="AW41" s="395"/>
      <c r="AX41" s="395"/>
      <c r="AZ41" s="355"/>
      <c r="BA41" s="395"/>
      <c r="BB41" s="395"/>
    </row>
    <row r="42" spans="1:54" outlineLevel="1" x14ac:dyDescent="0.2">
      <c r="A42" s="604" t="s">
        <v>80</v>
      </c>
      <c r="D42" s="468">
        <v>288</v>
      </c>
      <c r="E42" s="395">
        <f>D42/'qtrP&amp;L'!CJ11</f>
        <v>5.2013725844320027E-2</v>
      </c>
      <c r="F42" s="566"/>
      <c r="H42" s="468">
        <v>268</v>
      </c>
      <c r="I42" s="395">
        <f>H42/'qtrP&amp;L'!CN11</f>
        <v>4.512544199360162E-2</v>
      </c>
      <c r="J42" s="566"/>
      <c r="L42" s="468">
        <f>sumry!DJ41</f>
        <v>257</v>
      </c>
      <c r="M42" s="395">
        <f>L42/'qtrP&amp;L'!CR11</f>
        <v>4.2007191892775415E-2</v>
      </c>
      <c r="P42" s="468">
        <v>253</v>
      </c>
      <c r="Q42" s="395">
        <f>P42/'qtrP&amp;L'!CV11</f>
        <v>4.170787998681174E-2</v>
      </c>
      <c r="R42" s="610"/>
      <c r="T42" s="1001">
        <v>254</v>
      </c>
      <c r="U42" s="395">
        <f>T42/'qtrP&amp;L'!CZ11</f>
        <v>4.0529759055369395E-2</v>
      </c>
      <c r="V42" s="610"/>
      <c r="X42" s="1001">
        <v>261</v>
      </c>
      <c r="Y42" s="395">
        <f>X42/'qtrP&amp;L'!DD11</f>
        <v>4.2758846657929228E-2</v>
      </c>
      <c r="Z42" s="610"/>
      <c r="AB42" s="1001">
        <v>260</v>
      </c>
      <c r="AC42" s="395">
        <f>AB42/'qtrP&amp;L'!DH11</f>
        <v>4.3565683646112602E-2</v>
      </c>
      <c r="AD42" s="395">
        <f>AB42/X42-1</f>
        <v>-3.8314176245211051E-3</v>
      </c>
      <c r="AF42" s="1001">
        <v>244</v>
      </c>
      <c r="AG42" s="395">
        <f>AF42/'qtrP&amp;L'!DL11</f>
        <v>4.3300798580301683E-2</v>
      </c>
      <c r="AH42" s="395">
        <f>AF42/AB42-1</f>
        <v>-6.1538461538461542E-2</v>
      </c>
      <c r="AJ42" s="1379">
        <f t="shared" ref="AJ42:AJ44" si="10">AF42</f>
        <v>244</v>
      </c>
      <c r="AK42" s="395">
        <f>AJ42/'qtrP&amp;L'!DP11</f>
        <v>4.4594025314419861E-2</v>
      </c>
      <c r="AL42" s="395">
        <f>AJ42/AF42-1</f>
        <v>0</v>
      </c>
      <c r="AN42" s="355"/>
      <c r="AO42" s="881"/>
      <c r="AP42" s="395"/>
      <c r="AR42" s="355"/>
      <c r="AS42" s="395"/>
      <c r="AT42" s="395"/>
      <c r="AV42" s="355"/>
      <c r="AW42" s="395"/>
      <c r="AX42" s="395"/>
      <c r="AZ42" s="355"/>
      <c r="BA42" s="395"/>
      <c r="BB42" s="395"/>
    </row>
    <row r="43" spans="1:54" outlineLevel="1" x14ac:dyDescent="0.2">
      <c r="A43" s="604" t="s">
        <v>81</v>
      </c>
      <c r="C43" s="606"/>
      <c r="D43" s="468">
        <v>290</v>
      </c>
      <c r="E43" s="395">
        <f>D43/'qtrP&amp;L'!CJ12</f>
        <v>5.1573892939711895E-2</v>
      </c>
      <c r="F43" s="566"/>
      <c r="H43" s="468">
        <v>282</v>
      </c>
      <c r="I43" s="395">
        <f>H43/'qtrP&amp;L'!CN12</f>
        <v>4.8180420297283442E-2</v>
      </c>
      <c r="J43" s="566"/>
      <c r="L43" s="468">
        <f>sumry!DK41</f>
        <v>269</v>
      </c>
      <c r="M43" s="395">
        <f>L43/'qtrP&amp;L'!CR12</f>
        <v>4.4279835390946501E-2</v>
      </c>
      <c r="P43" s="468">
        <f>+L43-12</f>
        <v>257</v>
      </c>
      <c r="Q43" s="395">
        <f>P43/'qtrP&amp;L'!CV12</f>
        <v>4.0949649458253662E-2</v>
      </c>
      <c r="R43" s="610"/>
      <c r="T43" s="1001">
        <v>263</v>
      </c>
      <c r="U43" s="395">
        <f>T43/'qtrP&amp;L'!CZ12</f>
        <v>4.2453591606133982E-2</v>
      </c>
      <c r="V43" s="610"/>
      <c r="X43" s="1001">
        <v>271</v>
      </c>
      <c r="Y43" s="395">
        <f>X43/'qtrP&amp;L'!DD12</f>
        <v>4.6135512427647261E-2</v>
      </c>
      <c r="Z43" s="610"/>
      <c r="AB43" s="1001">
        <v>267</v>
      </c>
      <c r="AC43" s="395">
        <f>AB43/'qtrP&amp;L'!DH12</f>
        <v>4.7382431233362908E-2</v>
      </c>
      <c r="AD43" s="395">
        <f>AB43/X43-1</f>
        <v>-1.4760147601476037E-2</v>
      </c>
      <c r="AF43" s="1001">
        <v>254</v>
      </c>
      <c r="AG43" s="395">
        <f>AF43/'qtrP&amp;L'!DL12</f>
        <v>4.804236807263098E-2</v>
      </c>
      <c r="AH43" s="395">
        <f>AF43/AB43-1</f>
        <v>-4.8689138576779034E-2</v>
      </c>
      <c r="AJ43" s="1379">
        <f t="shared" si="10"/>
        <v>254</v>
      </c>
      <c r="AK43" s="395">
        <f>AJ43/'qtrP&amp;L'!DP12</f>
        <v>4.7946475122386215E-2</v>
      </c>
      <c r="AL43" s="395">
        <f>AJ43/AF43-1</f>
        <v>0</v>
      </c>
      <c r="AN43" s="355"/>
      <c r="AO43" s="881"/>
      <c r="AP43" s="395"/>
      <c r="AR43" s="355"/>
      <c r="AS43" s="395"/>
      <c r="AT43" s="395"/>
      <c r="AV43" s="355"/>
      <c r="AW43" s="395"/>
      <c r="AX43" s="395"/>
      <c r="AZ43" s="355"/>
      <c r="BA43" s="395"/>
      <c r="BB43" s="395"/>
    </row>
    <row r="44" spans="1:54" outlineLevel="1" x14ac:dyDescent="0.2">
      <c r="A44" s="604" t="s">
        <v>82</v>
      </c>
      <c r="D44" s="616">
        <v>285</v>
      </c>
      <c r="E44" s="395">
        <f>D44/'qtrP&amp;L'!CJ13</f>
        <v>3.4466078123110415E-2</v>
      </c>
      <c r="F44" s="566"/>
      <c r="H44" s="616">
        <v>267</v>
      </c>
      <c r="I44" s="395">
        <f>H44/'qtrP&amp;L'!CN13</f>
        <v>3.0605226960110043E-2</v>
      </c>
      <c r="J44" s="566"/>
      <c r="L44" s="616">
        <f>sumry!DL41</f>
        <v>267</v>
      </c>
      <c r="M44" s="395">
        <f>L44/'qtrP&amp;L'!CR13</f>
        <v>2.8556149732620321E-2</v>
      </c>
      <c r="P44" s="616">
        <v>259</v>
      </c>
      <c r="Q44" s="395">
        <f>P44/'qtrP&amp;L'!CV13</f>
        <v>2.8146055205390132E-2</v>
      </c>
      <c r="R44" s="610"/>
      <c r="T44" s="1002">
        <v>266</v>
      </c>
      <c r="U44" s="395">
        <f>T44/'qtrP&amp;L'!CZ13</f>
        <v>2.8406663818880819E-2</v>
      </c>
      <c r="V44" s="610"/>
      <c r="X44" s="1002">
        <f>X45-X43-X42-X41</f>
        <v>270</v>
      </c>
      <c r="Y44" s="395">
        <f>X44/'qtrP&amp;L'!DD13</f>
        <v>3.0443116473108579E-2</v>
      </c>
      <c r="Z44" s="610"/>
      <c r="AB44" s="1002">
        <v>271</v>
      </c>
      <c r="AC44" s="395">
        <f>AB44/'qtrP&amp;L'!DH13</f>
        <v>3.1759053088011253E-2</v>
      </c>
      <c r="AD44" s="395">
        <f>AB44/X44-1</f>
        <v>3.7037037037037646E-3</v>
      </c>
      <c r="AF44" s="1482">
        <f>AF45-SUM(AF41:AF43)</f>
        <v>250</v>
      </c>
      <c r="AG44" s="395">
        <f>AF44/'qtrP&amp;L'!DL13</f>
        <v>2.8831737977165265E-2</v>
      </c>
      <c r="AH44" s="395">
        <f>AF44/AB44-1</f>
        <v>-7.7490774907749027E-2</v>
      </c>
      <c r="AJ44" s="1010">
        <f t="shared" si="10"/>
        <v>250</v>
      </c>
      <c r="AK44" s="395">
        <f>AJ44/'qtrP&amp;L'!DP13</f>
        <v>2.9510478994027908E-2</v>
      </c>
      <c r="AL44" s="395">
        <f>AJ44/AF44-1</f>
        <v>0</v>
      </c>
      <c r="AN44" s="608"/>
      <c r="AO44" s="881"/>
      <c r="AP44" s="395"/>
      <c r="AR44" s="608"/>
      <c r="AS44" s="395"/>
      <c r="AT44" s="395"/>
      <c r="AV44" s="608"/>
      <c r="AW44" s="395"/>
      <c r="AX44" s="395"/>
      <c r="AZ44" s="608"/>
      <c r="BA44" s="395"/>
      <c r="BB44" s="395"/>
    </row>
    <row r="45" spans="1:54" outlineLevel="1" x14ac:dyDescent="0.2">
      <c r="A45" s="604" t="s">
        <v>83</v>
      </c>
      <c r="D45" s="543">
        <f>SUM(D41:D44)</f>
        <v>1150</v>
      </c>
      <c r="E45" s="609"/>
      <c r="F45" s="566"/>
      <c r="H45" s="543">
        <f>SUM(H41:H44)</f>
        <v>1085</v>
      </c>
      <c r="I45" s="618"/>
      <c r="J45" s="566"/>
      <c r="L45" s="543">
        <f>SUM(L41:L44)</f>
        <v>1049</v>
      </c>
      <c r="M45" s="615"/>
      <c r="P45" s="543">
        <f>SUM(P41:P44)</f>
        <v>1020</v>
      </c>
      <c r="Q45" s="395"/>
      <c r="T45" s="543">
        <f>SUM(T41:T44)</f>
        <v>1036</v>
      </c>
      <c r="U45" s="395"/>
      <c r="X45" s="543">
        <f>flow!AD10</f>
        <v>1061</v>
      </c>
      <c r="Y45" s="395"/>
      <c r="AB45" s="543">
        <f>flow!$AE$10</f>
        <v>1058</v>
      </c>
      <c r="AC45" s="395">
        <f>AB45/'qtrP&amp;L'!DH14</f>
        <v>4.0833654959475107E-2</v>
      </c>
      <c r="AD45" s="395">
        <f>AB45/X45-1</f>
        <v>-2.827521206409056E-3</v>
      </c>
      <c r="AF45" s="1000">
        <v>991</v>
      </c>
      <c r="AG45" s="395">
        <f>AF45/'qtrP&amp;L'!DL14</f>
        <v>3.9727400280617359E-2</v>
      </c>
      <c r="AH45" s="395">
        <f>AF45/AB45-1</f>
        <v>-6.332703213610591E-2</v>
      </c>
      <c r="AJ45" s="543">
        <f>SUM(AJ41:AJ44)</f>
        <v>991</v>
      </c>
      <c r="AK45" s="395">
        <f>AJ45/'qtrP&amp;L'!DP14</f>
        <v>4.0357948532579291E-2</v>
      </c>
      <c r="AL45" s="395">
        <f>AJ45/AF45-1</f>
        <v>0</v>
      </c>
      <c r="AN45" s="543">
        <f>AJ45+AO45</f>
        <v>981</v>
      </c>
      <c r="AO45" s="1468">
        <v>-10</v>
      </c>
      <c r="AP45" s="816">
        <f>IFERROR(AN45/AJ45-1,"-")</f>
        <v>-1.0090817356205872E-2</v>
      </c>
      <c r="AR45" s="543">
        <f>AN45+AS45</f>
        <v>971</v>
      </c>
      <c r="AS45" s="1468">
        <v>-10</v>
      </c>
      <c r="AT45" s="816">
        <f>IFERROR(AR45/AN45-1,"-")</f>
        <v>-1.0193679918450549E-2</v>
      </c>
      <c r="AV45" s="543">
        <f>AR45+AW45</f>
        <v>961</v>
      </c>
      <c r="AW45" s="1468">
        <v>-10</v>
      </c>
      <c r="AX45" s="816">
        <f>IFERROR(AV45/AR45-1,"-")</f>
        <v>-1.0298661174047319E-2</v>
      </c>
      <c r="AZ45" s="543">
        <f>AV45+BA45</f>
        <v>951</v>
      </c>
      <c r="BA45" s="1468">
        <v>-10</v>
      </c>
      <c r="BB45" s="816">
        <f>IFERROR(AZ45/AV45-1,"-")</f>
        <v>-1.0405827263267442E-2</v>
      </c>
    </row>
    <row r="46" spans="1:54" outlineLevel="1" x14ac:dyDescent="0.2">
      <c r="A46" s="822" t="s">
        <v>413</v>
      </c>
      <c r="D46" s="543"/>
      <c r="E46" s="609"/>
      <c r="F46" s="566"/>
      <c r="H46" s="543"/>
      <c r="I46" s="618"/>
      <c r="J46" s="566"/>
      <c r="L46" s="543"/>
      <c r="M46" s="615"/>
      <c r="P46" s="543"/>
      <c r="Q46" s="395"/>
      <c r="T46" s="543"/>
      <c r="U46" s="395"/>
      <c r="X46" s="543"/>
      <c r="Y46" s="395"/>
      <c r="AB46" s="543"/>
      <c r="AC46" s="395"/>
      <c r="AD46" s="395"/>
      <c r="AF46" s="543"/>
      <c r="AG46" s="395"/>
      <c r="AH46" s="395"/>
      <c r="AJ46" s="543"/>
      <c r="AK46" s="882"/>
      <c r="AL46" s="816"/>
      <c r="AN46" s="543"/>
      <c r="AO46" s="882"/>
      <c r="AP46" s="395"/>
      <c r="AR46" s="543"/>
      <c r="AS46" s="827"/>
      <c r="AT46" s="395"/>
      <c r="AV46" s="543"/>
      <c r="AW46" s="827"/>
      <c r="AX46" s="395"/>
      <c r="AZ46" s="543"/>
      <c r="BA46" s="827"/>
      <c r="BB46" s="395"/>
    </row>
    <row r="47" spans="1:54" outlineLevel="1" x14ac:dyDescent="0.2">
      <c r="A47" s="822" t="s">
        <v>414</v>
      </c>
      <c r="AF47" s="385"/>
    </row>
    <row r="48" spans="1:54" outlineLevel="1" x14ac:dyDescent="0.2">
      <c r="A48" s="822"/>
    </row>
    <row r="49" spans="1:54" x14ac:dyDescent="0.2">
      <c r="A49" s="877" t="s">
        <v>655</v>
      </c>
      <c r="B49" s="877"/>
      <c r="C49" s="877"/>
      <c r="D49" s="877"/>
      <c r="E49" s="877"/>
      <c r="F49" s="877"/>
      <c r="G49" s="877"/>
      <c r="H49" s="877"/>
      <c r="I49" s="877"/>
      <c r="J49" s="877"/>
      <c r="K49" s="877"/>
      <c r="L49" s="877"/>
      <c r="M49" s="877"/>
      <c r="N49" s="877"/>
      <c r="O49" s="877"/>
      <c r="P49" s="877"/>
      <c r="Q49" s="877"/>
      <c r="R49" s="877"/>
      <c r="S49" s="877"/>
      <c r="T49" s="877"/>
      <c r="U49" s="877"/>
      <c r="V49" s="877"/>
      <c r="W49" s="877"/>
      <c r="X49" s="877"/>
      <c r="Y49" s="877"/>
      <c r="Z49" s="877"/>
      <c r="AA49" s="877"/>
      <c r="AB49" s="877"/>
      <c r="AC49" s="877"/>
      <c r="AD49" s="877"/>
      <c r="AE49" s="877"/>
      <c r="AF49" s="877"/>
      <c r="AG49" s="877"/>
      <c r="AH49" s="877"/>
      <c r="AI49" s="877"/>
      <c r="AJ49" s="877">
        <f>AF55-AB55</f>
        <v>-237.25</v>
      </c>
      <c r="AK49" s="877"/>
      <c r="AL49" s="877"/>
      <c r="AM49" s="877"/>
      <c r="AN49" s="877"/>
      <c r="AO49" s="877"/>
      <c r="AP49" s="877"/>
      <c r="AQ49" s="877"/>
      <c r="AR49" s="877"/>
      <c r="AS49" s="877"/>
      <c r="AT49" s="877"/>
      <c r="AU49" s="877"/>
      <c r="AV49" s="877"/>
      <c r="AW49" s="877"/>
      <c r="AX49" s="877"/>
      <c r="AY49" s="877"/>
      <c r="AZ49" s="877"/>
      <c r="BA49" s="877"/>
      <c r="BB49" s="877"/>
    </row>
    <row r="50" spans="1:54" outlineLevel="1" x14ac:dyDescent="0.2">
      <c r="D50" s="385"/>
      <c r="H50" s="385"/>
    </row>
    <row r="51" spans="1:54" outlineLevel="1" x14ac:dyDescent="0.2">
      <c r="A51" s="604" t="s">
        <v>79</v>
      </c>
      <c r="D51" s="543">
        <f>D61+D10-D31-D41</f>
        <v>1746</v>
      </c>
      <c r="E51" s="395">
        <f>D51/'qtrP&amp;L'!CJ10</f>
        <v>0.31324004305705061</v>
      </c>
      <c r="F51" s="566"/>
      <c r="H51" s="543">
        <f>H61+H10-H31-H41</f>
        <v>1770.25</v>
      </c>
      <c r="I51" s="395">
        <f>H51/'qtrP&amp;L'!CN10</f>
        <v>0.30060281881473933</v>
      </c>
      <c r="J51" s="605">
        <f>(I51-E51)*10000</f>
        <v>-126.37224242311285</v>
      </c>
      <c r="L51" s="543">
        <f>L61+L10-L31-L41</f>
        <v>1831.25</v>
      </c>
      <c r="M51" s="395">
        <f>L51/'qtrP&amp;L'!CR10</f>
        <v>0.29810353247598892</v>
      </c>
      <c r="N51" s="605">
        <f>(M51-I51)*10000</f>
        <v>-24.992863387504059</v>
      </c>
      <c r="P51" s="543">
        <f>P61+P10-P31-P41</f>
        <v>1904</v>
      </c>
      <c r="Q51" s="395">
        <f>P51/'qtrP&amp;L'!CV10</f>
        <v>0.29810552685141695</v>
      </c>
      <c r="R51" s="605">
        <f>(Q51-M51)*10000</f>
        <v>1.9943754280271619E-2</v>
      </c>
      <c r="T51" s="543">
        <f>T61+T10-T31-T41</f>
        <v>1899</v>
      </c>
      <c r="U51" s="395">
        <f>T51/'qtrP&amp;L'!CZ10</f>
        <v>0.30243669374104154</v>
      </c>
      <c r="V51" s="938" t="s">
        <v>554</v>
      </c>
      <c r="X51" s="543">
        <f>X61+X10+X20-X31-X41</f>
        <v>1922</v>
      </c>
      <c r="Y51" s="395">
        <f>X51/'qtrP&amp;L'!DD10</f>
        <v>0.30840821566110399</v>
      </c>
      <c r="Z51" s="814">
        <f t="shared" ref="Z51:Z57" si="11">X51/T51-1</f>
        <v>1.2111637704054656E-2</v>
      </c>
      <c r="AB51" s="543">
        <f>AB61+AB10+AB20-AB31-AB41</f>
        <v>1896</v>
      </c>
      <c r="AC51" s="395">
        <f>AB51/'qtrP&amp;L'!DH10</f>
        <v>0.32836854866643572</v>
      </c>
      <c r="AD51" s="814">
        <f t="shared" ref="AD51:AD57" si="12">AB51/X51-1</f>
        <v>-1.3527575442247697E-2</v>
      </c>
      <c r="AF51" s="543">
        <f>AF61+AF10+AF20-AF31-AF41</f>
        <v>1815</v>
      </c>
      <c r="AG51" s="395">
        <f>AF51/'qtrP&amp;L'!DL10</f>
        <v>0.3391255605381166</v>
      </c>
      <c r="AH51" s="814">
        <f t="shared" ref="AH51:AH57" si="13">AF51/AB51-1</f>
        <v>-4.2721518987341778E-2</v>
      </c>
      <c r="AJ51" s="543">
        <f>AF51*(1+AL51)</f>
        <v>1815</v>
      </c>
      <c r="AK51" s="395">
        <f>AJ51/'qtrP&amp;L'!DP10</f>
        <v>0.34151617375439736</v>
      </c>
      <c r="AL51" s="1440">
        <v>0</v>
      </c>
      <c r="AN51" s="543"/>
      <c r="AO51" s="881"/>
      <c r="AP51" s="605"/>
      <c r="AR51" s="543"/>
      <c r="AS51" s="395"/>
      <c r="AT51" s="605"/>
      <c r="AV51" s="543"/>
      <c r="AW51" s="395"/>
      <c r="AX51" s="605"/>
      <c r="AZ51" s="543"/>
      <c r="BA51" s="395"/>
      <c r="BB51" s="605"/>
    </row>
    <row r="52" spans="1:54" outlineLevel="1" x14ac:dyDescent="0.2">
      <c r="A52" s="604" t="s">
        <v>80</v>
      </c>
      <c r="D52" s="385">
        <f>D62+D11-D32-D42</f>
        <v>1702.7</v>
      </c>
      <c r="E52" s="395">
        <f>D52/'qtrP&amp;L'!CJ11</f>
        <v>0.30751309373306845</v>
      </c>
      <c r="F52" s="566"/>
      <c r="H52" s="385">
        <f>H62+H11-H32-H42</f>
        <v>1799.6999999999998</v>
      </c>
      <c r="I52" s="395">
        <f>H52/'qtrP&amp;L'!CN11</f>
        <v>0.30303081326822695</v>
      </c>
      <c r="J52" s="605">
        <f>(I52-E52)*10000</f>
        <v>-44.822804648415037</v>
      </c>
      <c r="L52" s="385">
        <f>L62+L11-L32-L42</f>
        <v>1840.6999999999998</v>
      </c>
      <c r="M52" s="395">
        <f>L52/'qtrP&amp;L'!CR11</f>
        <v>0.30086629617522065</v>
      </c>
      <c r="N52" s="605">
        <f>(M52-I52)*10000</f>
        <v>-21.645170930063017</v>
      </c>
      <c r="P52" s="385">
        <f>P62+P11-P32-P42</f>
        <v>1864.4499999999998</v>
      </c>
      <c r="Q52" s="395">
        <f>P52/'qtrP&amp;L'!CV11</f>
        <v>0.30736069897790963</v>
      </c>
      <c r="R52" s="605">
        <f>(Q52-M52)*10000</f>
        <v>64.944028026889811</v>
      </c>
      <c r="T52" s="385">
        <f>T62+T11-T32-T42</f>
        <v>1934.4499999999998</v>
      </c>
      <c r="U52" s="395">
        <f>T52/'qtrP&amp;L'!CZ11</f>
        <v>0.3086724110419658</v>
      </c>
      <c r="V52" s="938" t="s">
        <v>554</v>
      </c>
      <c r="X52" s="385">
        <f>X62+X11+X21-X32-X42</f>
        <v>1972.4499999999998</v>
      </c>
      <c r="Y52" s="395">
        <f>X52/'qtrP&amp;L'!DD11</f>
        <v>0.32314056356487547</v>
      </c>
      <c r="Z52" s="814">
        <f t="shared" si="11"/>
        <v>1.9643826410607579E-2</v>
      </c>
      <c r="AB52" s="385">
        <f>AB62+AB11+AB21-AB32-AB42</f>
        <v>1962.75</v>
      </c>
      <c r="AC52" s="395">
        <f>AB52/'qtrP&amp;L'!DH11</f>
        <v>0.32887902144772119</v>
      </c>
      <c r="AD52" s="814">
        <f t="shared" si="12"/>
        <v>-4.9177418945980378E-3</v>
      </c>
      <c r="AF52" s="543">
        <f>AF62+AF11+AF21-AF32-AF42</f>
        <v>1915</v>
      </c>
      <c r="AG52" s="395">
        <f>AF52/'qtrP&amp;L'!DL11</f>
        <v>0.33984028393966281</v>
      </c>
      <c r="AH52" s="814">
        <f t="shared" si="13"/>
        <v>-2.4328111068653624E-2</v>
      </c>
      <c r="AJ52" s="385">
        <f t="shared" ref="AJ52:AJ54" si="14">AF52*(1+AL52)</f>
        <v>1915</v>
      </c>
      <c r="AK52" s="395">
        <f>AJ52/'qtrP&amp;L'!DP11</f>
        <v>0.34998999375866408</v>
      </c>
      <c r="AL52" s="1440">
        <v>0</v>
      </c>
      <c r="AN52" s="385"/>
      <c r="AO52" s="881"/>
      <c r="AP52" s="605"/>
      <c r="AR52" s="385"/>
      <c r="AS52" s="395"/>
      <c r="AT52" s="605"/>
      <c r="AV52" s="385"/>
      <c r="AW52" s="395"/>
      <c r="AX52" s="605"/>
      <c r="AZ52" s="385"/>
      <c r="BA52" s="395"/>
      <c r="BB52" s="605"/>
    </row>
    <row r="53" spans="1:54" outlineLevel="1" x14ac:dyDescent="0.2">
      <c r="A53" s="604" t="s">
        <v>81</v>
      </c>
      <c r="C53" s="606"/>
      <c r="D53" s="385">
        <f>D63+D12-D33-D43</f>
        <v>1821</v>
      </c>
      <c r="E53" s="395">
        <f>D53/'qtrP&amp;L'!CJ12</f>
        <v>0.32384847945936335</v>
      </c>
      <c r="F53" s="566"/>
      <c r="H53" s="385">
        <f>H63+H12-H33-H43</f>
        <v>1883</v>
      </c>
      <c r="I53" s="395">
        <f>H53/'qtrP&amp;L'!CN12</f>
        <v>0.32171535964462666</v>
      </c>
      <c r="J53" s="605">
        <f>(I53-E53)*10000</f>
        <v>-21.331198147366838</v>
      </c>
      <c r="L53" s="385">
        <f>L63+L12-L33-L43</f>
        <v>1916</v>
      </c>
      <c r="M53" s="395">
        <f>L53/'qtrP&amp;L'!CR12</f>
        <v>0.31539094650205762</v>
      </c>
      <c r="N53" s="605">
        <f>(M53-I53)*10000</f>
        <v>-63.244131425690412</v>
      </c>
      <c r="P53" s="385">
        <f>P63+P12-P33-P43</f>
        <v>1955.75</v>
      </c>
      <c r="Q53" s="395">
        <f>P53/'qtrP&amp;L'!CV12</f>
        <v>0.31162364563416189</v>
      </c>
      <c r="R53" s="605">
        <f>(Q53-M53)*10000</f>
        <v>-37.673008678957288</v>
      </c>
      <c r="T53" s="385">
        <f>T63+T12-T33-T43</f>
        <v>1911.75</v>
      </c>
      <c r="U53" s="395">
        <f>T53/'qtrP&amp;L'!CZ12</f>
        <v>0.30859564164648912</v>
      </c>
      <c r="V53" s="938" t="s">
        <v>554</v>
      </c>
      <c r="X53" s="385">
        <f>X63+X12+X22-X33-X43</f>
        <v>1853.75</v>
      </c>
      <c r="Y53" s="395">
        <f>X53/'qtrP&amp;L'!DD12</f>
        <v>0.31558563159686753</v>
      </c>
      <c r="Z53" s="814">
        <f t="shared" si="11"/>
        <v>-3.0338694913037756E-2</v>
      </c>
      <c r="AB53" s="385">
        <f>AB63+AB12+AB22-AB33-AB43</f>
        <v>2043.75</v>
      </c>
      <c r="AC53" s="395">
        <f>AB53/'qtrP&amp;L'!DH12</f>
        <v>0.36268855368234248</v>
      </c>
      <c r="AD53" s="814">
        <f t="shared" si="12"/>
        <v>0.10249494268374915</v>
      </c>
      <c r="AF53" s="543">
        <f>AF63+AF12+AF22-AF33-AF43</f>
        <v>1934</v>
      </c>
      <c r="AG53" s="395">
        <f>AF53/'qtrP&amp;L'!DL12</f>
        <v>0.36580291280499339</v>
      </c>
      <c r="AH53" s="814">
        <f t="shared" si="13"/>
        <v>-5.3700305810397531E-2</v>
      </c>
      <c r="AJ53" s="385">
        <f t="shared" si="14"/>
        <v>1934</v>
      </c>
      <c r="AK53" s="395">
        <f>AJ53/'qtrP&amp;L'!DP12</f>
        <v>0.36507276727045251</v>
      </c>
      <c r="AL53" s="1440">
        <v>0</v>
      </c>
      <c r="AN53" s="385"/>
      <c r="AO53" s="881"/>
      <c r="AP53" s="605"/>
      <c r="AR53" s="385"/>
      <c r="AS53" s="395"/>
      <c r="AT53" s="605"/>
      <c r="AV53" s="385"/>
      <c r="AW53" s="395"/>
      <c r="AX53" s="605"/>
      <c r="AZ53" s="385"/>
      <c r="BA53" s="395"/>
      <c r="BB53" s="605"/>
    </row>
    <row r="54" spans="1:54" outlineLevel="1" x14ac:dyDescent="0.2">
      <c r="A54" s="604" t="s">
        <v>82</v>
      </c>
      <c r="D54" s="607">
        <f>D64+D13-D34-D44</f>
        <v>2032.3000000000002</v>
      </c>
      <c r="E54" s="395">
        <f>D54/'qtrP&amp;L'!CJ13</f>
        <v>0.24577337041963965</v>
      </c>
      <c r="F54" s="566"/>
      <c r="H54" s="607">
        <f>H64+H13-H34-H44</f>
        <v>2175.3000000000002</v>
      </c>
      <c r="I54" s="395">
        <f>H54/'qtrP&amp;L'!CN13</f>
        <v>0.24934662998624485</v>
      </c>
      <c r="J54" s="605">
        <f>(I54-E54)*10000</f>
        <v>35.732595666052028</v>
      </c>
      <c r="L54" s="607">
        <f>L64+L13-L34-L44</f>
        <v>2289.3000000000002</v>
      </c>
      <c r="M54" s="395">
        <f>L54/'qtrP&amp;L'!CR13</f>
        <v>0.24484491978609627</v>
      </c>
      <c r="N54" s="605">
        <f>(M54-I54)*10000</f>
        <v>-45.017102001485846</v>
      </c>
      <c r="P54" s="607">
        <f>P64+P13-P34-P44</f>
        <v>2203.0500000000002</v>
      </c>
      <c r="Q54" s="395">
        <f>P54/'qtrP&amp;L'!CV13</f>
        <v>0.23940991088893721</v>
      </c>
      <c r="R54" s="605">
        <f>(Q54-M54)*10000</f>
        <v>-54.350088971590601</v>
      </c>
      <c r="T54" s="607">
        <f>T64+T13-T34-T44</f>
        <v>2286.0500000000002</v>
      </c>
      <c r="U54" s="395">
        <f>T54/'qtrP&amp;L'!CZ13</f>
        <v>0.24413178129004701</v>
      </c>
      <c r="V54" s="938" t="s">
        <v>554</v>
      </c>
      <c r="X54" s="607">
        <f>X64+X13+X23-X34-X44</f>
        <v>2194.75</v>
      </c>
      <c r="Y54" s="395">
        <f>X54/'qtrP&amp;L'!DD13</f>
        <v>0.24746307362724096</v>
      </c>
      <c r="Z54" s="814">
        <f t="shared" si="11"/>
        <v>-3.9937884123269485E-2</v>
      </c>
      <c r="AB54" s="607">
        <f>AB64+AB13+AB23-AB34-AB44</f>
        <v>2296.75</v>
      </c>
      <c r="AC54" s="395">
        <f>AB54/'qtrP&amp;L'!DH13</f>
        <v>0.26916090472284071</v>
      </c>
      <c r="AD54" s="814">
        <f t="shared" si="12"/>
        <v>4.647454151953534E-2</v>
      </c>
      <c r="AF54" s="607">
        <f>AF64+AF13+AF23-AF34-AF44</f>
        <v>2298</v>
      </c>
      <c r="AG54" s="395">
        <f>AF54/'qtrP&amp;L'!DL13</f>
        <v>0.26502133548610313</v>
      </c>
      <c r="AH54" s="814">
        <f t="shared" si="13"/>
        <v>5.4424730597579796E-4</v>
      </c>
      <c r="AJ54" s="607">
        <f t="shared" si="14"/>
        <v>2298</v>
      </c>
      <c r="AK54" s="395">
        <f>AJ54/'qtrP&amp;L'!DP13</f>
        <v>0.27126032291310453</v>
      </c>
      <c r="AL54" s="1440">
        <v>0</v>
      </c>
      <c r="AN54" s="607"/>
      <c r="AO54" s="881"/>
      <c r="AP54" s="605"/>
      <c r="AR54" s="607"/>
      <c r="AS54" s="395"/>
      <c r="AT54" s="605"/>
      <c r="AV54" s="607"/>
      <c r="AW54" s="395"/>
      <c r="AX54" s="605"/>
      <c r="AZ54" s="607"/>
      <c r="BA54" s="395"/>
      <c r="BB54" s="605"/>
    </row>
    <row r="55" spans="1:54" outlineLevel="1" x14ac:dyDescent="0.2">
      <c r="A55" s="604" t="s">
        <v>83</v>
      </c>
      <c r="D55" s="543">
        <f>D65+D14-D35-D45</f>
        <v>7303</v>
      </c>
      <c r="E55" s="395">
        <f>D55/'qtrP&amp;L'!CJ14</f>
        <v>0.29208494980602329</v>
      </c>
      <c r="F55" s="566"/>
      <c r="H55" s="543">
        <f>H65+H14-H35-H45</f>
        <v>7628.25</v>
      </c>
      <c r="I55" s="395">
        <f>H55/'qtrP&amp;L'!CN14</f>
        <v>0.28889414883544784</v>
      </c>
      <c r="J55" s="605">
        <f>(I55-E55)*10000</f>
        <v>-31.90800970575447</v>
      </c>
      <c r="L55" s="543">
        <f>SUM(L51:L54)</f>
        <v>7877.25</v>
      </c>
      <c r="M55" s="395">
        <f>L55/'qtrP&amp;L'!CR14</f>
        <v>0.28452105757422524</v>
      </c>
      <c r="N55" s="605">
        <f>(M55-I55)*10000</f>
        <v>-43.73091261222595</v>
      </c>
      <c r="P55" s="543">
        <f>SUM(P51:P54)</f>
        <v>7927.25</v>
      </c>
      <c r="Q55" s="395">
        <f>P55/'qtrP&amp;L'!CV14</f>
        <v>0.28381547384626399</v>
      </c>
      <c r="R55" s="605">
        <f>(Q55-M55)*10000</f>
        <v>-7.0558372796125646</v>
      </c>
      <c r="T55" s="543">
        <f>SUM(T51:T54)</f>
        <v>8031.25</v>
      </c>
      <c r="U55" s="395">
        <f>T55/'qtrP&amp;L'!CZ14</f>
        <v>0.28575876178615905</v>
      </c>
      <c r="V55" s="938" t="s">
        <v>554</v>
      </c>
      <c r="X55" s="543">
        <f>SUM(X51:X54)</f>
        <v>7942.95</v>
      </c>
      <c r="Y55" s="395">
        <f>X55/'qtrP&amp;L'!DD14</f>
        <v>0.29332508585989142</v>
      </c>
      <c r="Z55" s="814">
        <f t="shared" si="11"/>
        <v>-1.099455252918291E-2</v>
      </c>
      <c r="AB55" s="543">
        <f>SUM(AB51:AB54)</f>
        <v>8199.25</v>
      </c>
      <c r="AC55" s="395">
        <f>AB55/'qtrP&amp;L'!DH14</f>
        <v>0.31645117715167886</v>
      </c>
      <c r="AD55" s="814">
        <f t="shared" si="12"/>
        <v>3.2267608382276158E-2</v>
      </c>
      <c r="AF55" s="543">
        <f>SUM(AF51:AF54)</f>
        <v>7962</v>
      </c>
      <c r="AG55" s="395">
        <f>AF55/'qtrP&amp;L'!DL14</f>
        <v>0.31918220084185206</v>
      </c>
      <c r="AH55" s="814">
        <f t="shared" si="13"/>
        <v>-2.8935573375613588E-2</v>
      </c>
      <c r="AJ55" s="543">
        <f>SUM(AJ51:AJ54)</f>
        <v>7962</v>
      </c>
      <c r="AK55" s="395">
        <f>AJ55/'qtrP&amp;L'!DP14</f>
        <v>0.32424822019817995</v>
      </c>
      <c r="AL55" s="814">
        <f>AJ55/AF55-1</f>
        <v>0</v>
      </c>
      <c r="AN55" s="543">
        <f>AJ55*(1+AP55)</f>
        <v>7838.5889999999999</v>
      </c>
      <c r="AO55" s="882">
        <f>SUM(AO51:AO54)</f>
        <v>0</v>
      </c>
      <c r="AP55" s="1471">
        <v>-1.55E-2</v>
      </c>
      <c r="AR55" s="543">
        <f>AN55*(1+AT55)</f>
        <v>7724.9294595000001</v>
      </c>
      <c r="AS55" s="827">
        <f>SUM(AS51:AS54)</f>
        <v>0</v>
      </c>
      <c r="AT55" s="1471">
        <v>-1.4500000000000001E-2</v>
      </c>
      <c r="AV55" s="543">
        <f>AR55*(1+AX55)</f>
        <v>7663.1300238240001</v>
      </c>
      <c r="AW55" s="827">
        <f>SUM(AW51:AW54)</f>
        <v>0</v>
      </c>
      <c r="AX55" s="1471">
        <v>-8.0000000000000002E-3</v>
      </c>
      <c r="AZ55" s="543">
        <f>AV55*(1+BB55)</f>
        <v>7601.824983633408</v>
      </c>
      <c r="BA55" s="827">
        <f>SUM(BA51:BA54)</f>
        <v>0</v>
      </c>
      <c r="BB55" s="1471">
        <v>-8.0000000000000002E-3</v>
      </c>
    </row>
    <row r="56" spans="1:54" x14ac:dyDescent="0.2">
      <c r="A56" s="822" t="s">
        <v>413</v>
      </c>
      <c r="L56" s="395"/>
      <c r="P56" s="395"/>
      <c r="T56" s="385">
        <f>T51+T52</f>
        <v>3833.45</v>
      </c>
      <c r="U56" s="395">
        <f>T56/'qtrP&amp;L'!CZ15</f>
        <v>0.30555157022158458</v>
      </c>
      <c r="V56" s="814"/>
      <c r="X56" s="385">
        <f>X51+X52</f>
        <v>3894.45</v>
      </c>
      <c r="Y56" s="395">
        <f>X56/'qtrP&amp;L'!DD15</f>
        <v>0.31569795719844357</v>
      </c>
      <c r="Z56" s="814">
        <f t="shared" si="11"/>
        <v>1.5912559182981401E-2</v>
      </c>
      <c r="AB56" s="385">
        <f>AB51+AB52</f>
        <v>3858.75</v>
      </c>
      <c r="AC56" s="395">
        <f>AB56/'qtrP&amp;L'!DH15</f>
        <v>0.32862800204394482</v>
      </c>
      <c r="AD56" s="814">
        <f t="shared" si="12"/>
        <v>-9.1668913453760714E-3</v>
      </c>
      <c r="AF56" s="385">
        <f>AF51+AF52</f>
        <v>3730</v>
      </c>
      <c r="AG56" s="395">
        <f>AF56/'qtrP&amp;L'!DL15</f>
        <v>0.33949212705925186</v>
      </c>
      <c r="AH56" s="814">
        <f t="shared" si="13"/>
        <v>-3.3365727243278243E-2</v>
      </c>
      <c r="AJ56" s="385">
        <f>AJ51+AJ52</f>
        <v>3730</v>
      </c>
      <c r="AK56" s="395"/>
      <c r="AL56" s="814"/>
      <c r="AN56" s="385">
        <f>AN51+AN52</f>
        <v>0</v>
      </c>
      <c r="AO56" s="395"/>
      <c r="AP56" s="814"/>
      <c r="AR56" s="385">
        <f>AR51+AR52</f>
        <v>0</v>
      </c>
      <c r="AS56" s="395"/>
      <c r="AT56" s="814"/>
      <c r="AV56" s="385">
        <f>AV51+AV52</f>
        <v>0</v>
      </c>
      <c r="AW56" s="395"/>
      <c r="AX56" s="814"/>
      <c r="AZ56" s="385">
        <f>AZ51+AZ52</f>
        <v>0</v>
      </c>
      <c r="BA56" s="395"/>
      <c r="BB56" s="814"/>
    </row>
    <row r="57" spans="1:54" x14ac:dyDescent="0.2">
      <c r="A57" s="822" t="s">
        <v>414</v>
      </c>
      <c r="T57" s="385">
        <f>T53+T54</f>
        <v>4197.8</v>
      </c>
      <c r="U57" s="395">
        <f>T57/'qtrP&amp;L'!CZ16</f>
        <v>0.26979883025901408</v>
      </c>
      <c r="V57" s="814"/>
      <c r="X57" s="385">
        <f>X53+X54</f>
        <v>4048.5</v>
      </c>
      <c r="Y57" s="395">
        <f>X57/'qtrP&amp;L'!DD16</f>
        <v>0.27460489723936782</v>
      </c>
      <c r="Z57" s="814">
        <f t="shared" si="11"/>
        <v>-3.5566248987564997E-2</v>
      </c>
      <c r="AB57" s="385">
        <f>AB53+AB54</f>
        <v>4340.5</v>
      </c>
      <c r="AC57" s="395">
        <f>AB57/'qtrP&amp;L'!DH16</f>
        <v>0.30635940146809715</v>
      </c>
      <c r="AD57" s="814">
        <f t="shared" si="12"/>
        <v>7.2125478572310664E-2</v>
      </c>
      <c r="AF57" s="385">
        <f>AF53+AF54</f>
        <v>4232</v>
      </c>
      <c r="AG57" s="395">
        <f>AF57/'qtrP&amp;L'!DL16</f>
        <v>0.30319530018627311</v>
      </c>
      <c r="AH57" s="814">
        <f t="shared" si="13"/>
        <v>-2.4997120147448482E-2</v>
      </c>
      <c r="AJ57" s="385">
        <f>AJ53+AJ54</f>
        <v>4232</v>
      </c>
      <c r="AK57" s="395"/>
      <c r="AL57" s="814"/>
      <c r="AN57" s="385">
        <f>AN53+AN54</f>
        <v>0</v>
      </c>
      <c r="AO57" s="395"/>
      <c r="AP57" s="814"/>
      <c r="AR57" s="385">
        <f>AR53+AR54</f>
        <v>0</v>
      </c>
      <c r="AS57" s="395"/>
      <c r="AT57" s="814"/>
      <c r="AV57" s="385">
        <f>AV53+AV54</f>
        <v>0</v>
      </c>
      <c r="AW57" s="395"/>
      <c r="AX57" s="814"/>
      <c r="AZ57" s="385">
        <f>AZ53+AZ54</f>
        <v>0</v>
      </c>
      <c r="BA57" s="395"/>
      <c r="BB57" s="814"/>
    </row>
    <row r="58" spans="1:54" x14ac:dyDescent="0.2">
      <c r="L58" s="385"/>
      <c r="P58" s="385"/>
      <c r="T58" s="385"/>
      <c r="X58" s="385"/>
      <c r="AB58" s="385">
        <f>AB54-X54</f>
        <v>102</v>
      </c>
      <c r="AF58" s="385">
        <f>AF55-AB55</f>
        <v>-237.25</v>
      </c>
      <c r="AJ58" s="385"/>
      <c r="AN58" s="385"/>
      <c r="AR58" s="385"/>
      <c r="AV58" s="385"/>
      <c r="AZ58" s="385"/>
    </row>
    <row r="59" spans="1:54" x14ac:dyDescent="0.2">
      <c r="A59" s="877" t="s">
        <v>656</v>
      </c>
      <c r="B59" s="877"/>
      <c r="C59" s="877"/>
      <c r="D59" s="877"/>
      <c r="E59" s="877"/>
      <c r="F59" s="877"/>
      <c r="G59" s="877"/>
      <c r="H59" s="877"/>
      <c r="I59" s="877"/>
      <c r="J59" s="877"/>
      <c r="K59" s="877"/>
      <c r="L59" s="877"/>
      <c r="M59" s="877"/>
      <c r="N59" s="877"/>
      <c r="O59" s="877"/>
      <c r="P59" s="877"/>
      <c r="Q59" s="877"/>
      <c r="R59" s="877"/>
      <c r="S59" s="877"/>
      <c r="T59" s="877"/>
      <c r="U59" s="877"/>
      <c r="V59" s="877"/>
      <c r="W59" s="877"/>
      <c r="X59" s="877"/>
      <c r="Y59" s="877"/>
      <c r="Z59" s="877"/>
      <c r="AA59" s="877"/>
      <c r="AB59" s="877"/>
      <c r="AC59" s="877"/>
      <c r="AD59" s="877"/>
      <c r="AE59" s="877"/>
      <c r="AF59" s="877"/>
      <c r="AG59" s="877"/>
      <c r="AH59" s="877"/>
      <c r="AI59" s="877"/>
      <c r="AJ59" s="877"/>
      <c r="AK59" s="877"/>
      <c r="AL59" s="877"/>
      <c r="AM59" s="877"/>
      <c r="AN59" s="877"/>
      <c r="AO59" s="877"/>
      <c r="AP59" s="877"/>
      <c r="AQ59" s="877"/>
      <c r="AR59" s="877"/>
      <c r="AS59" s="877"/>
      <c r="AT59" s="877"/>
      <c r="AU59" s="877"/>
      <c r="AV59" s="877"/>
      <c r="AW59" s="877"/>
      <c r="AX59" s="877"/>
      <c r="AY59" s="877"/>
      <c r="AZ59" s="877"/>
      <c r="BA59" s="877"/>
      <c r="BB59" s="877"/>
    </row>
    <row r="60" spans="1:54" x14ac:dyDescent="0.2">
      <c r="D60" s="385"/>
      <c r="H60" s="385"/>
    </row>
    <row r="61" spans="1:54" x14ac:dyDescent="0.2">
      <c r="A61" s="604" t="s">
        <v>79</v>
      </c>
      <c r="D61" s="543">
        <f>'qtrP&amp;L'!CJ39</f>
        <v>1993</v>
      </c>
      <c r="E61" s="395">
        <f>D61/'qtrP&amp;L'!CJ10</f>
        <v>0.35755292429135271</v>
      </c>
      <c r="F61" s="566"/>
      <c r="H61" s="543">
        <f>'qtrP&amp;L'!CN39</f>
        <v>1973</v>
      </c>
      <c r="I61" s="395">
        <f>H61/'qtrP&amp;L'!CN10</f>
        <v>0.33503141450161317</v>
      </c>
      <c r="J61" s="605">
        <f>(I61-E61)*10000</f>
        <v>-225.21509789739548</v>
      </c>
      <c r="L61" s="543">
        <f>'qtrP&amp;L'!CR39</f>
        <v>1995</v>
      </c>
      <c r="M61" s="395">
        <f>L61/'qtrP&amp;L'!CR10</f>
        <v>0.32475988930489991</v>
      </c>
      <c r="N61" s="605">
        <f>(M61-I61)*10000</f>
        <v>-102.7152519671326</v>
      </c>
      <c r="P61" s="543">
        <f>'qtrP&amp;L'!CV39</f>
        <v>2041</v>
      </c>
      <c r="Q61" s="395">
        <f>P61/'qtrP&amp;L'!CV10</f>
        <v>0.31955534679818381</v>
      </c>
      <c r="R61" s="814">
        <f t="shared" ref="R61:R67" si="15">P61/L61-1</f>
        <v>2.3057644110275666E-2</v>
      </c>
      <c r="T61" s="543">
        <f>'qtrP&amp;L'!CZ39</f>
        <v>2000</v>
      </c>
      <c r="U61" s="395">
        <f>T61/'qtrP&amp;L'!CZ10</f>
        <v>0.31852205765249242</v>
      </c>
      <c r="V61" s="814">
        <f>T61/P61-1</f>
        <v>-2.0088192062714394E-2</v>
      </c>
      <c r="X61" s="543">
        <f>'qtrP&amp;L'!DD39</f>
        <v>2023</v>
      </c>
      <c r="Y61" s="395">
        <f>X61/'qtrP&amp;L'!DD10</f>
        <v>0.32461489088575096</v>
      </c>
      <c r="Z61" s="814">
        <f t="shared" ref="Z61:Z67" si="16">X61/T61-1</f>
        <v>1.1500000000000066E-2</v>
      </c>
      <c r="AB61" s="543">
        <f>'qtrP&amp;L'!DH39</f>
        <v>2142</v>
      </c>
      <c r="AC61" s="395">
        <f>AB61/'qtrP&amp;L'!DH10</f>
        <v>0.370973328714929</v>
      </c>
      <c r="AD61" s="814">
        <f t="shared" ref="AD61:AD67" si="17">AB61/X61-1</f>
        <v>5.8823529411764719E-2</v>
      </c>
      <c r="AF61" s="543">
        <f>'qtrP&amp;L'!DL39</f>
        <v>1990</v>
      </c>
      <c r="AG61" s="395">
        <f>AF61/'qtrP&amp;L'!DL10</f>
        <v>0.37182361733931241</v>
      </c>
      <c r="AH61" s="814">
        <f t="shared" ref="AH61:AH67" si="18">AF61/AB61-1</f>
        <v>-7.096171802054152E-2</v>
      </c>
      <c r="AJ61" s="353">
        <f t="shared" ref="AJ61:AJ64" si="19">AJ51+AJ41+AJ31-AJ20-AJ10</f>
        <v>1979</v>
      </c>
      <c r="AK61" s="881">
        <f>AJ61/'qtrP&amp;L'!DP10</f>
        <v>0.37237493546002887</v>
      </c>
      <c r="AL61" s="814">
        <f t="shared" ref="AL61:AL64" si="20">AJ61/AF61-1</f>
        <v>-5.5276381909548089E-3</v>
      </c>
      <c r="AN61" s="353"/>
      <c r="AO61" s="881"/>
      <c r="AP61" s="814"/>
      <c r="AR61" s="353"/>
      <c r="AS61" s="395"/>
      <c r="AT61" s="814"/>
      <c r="AV61" s="353"/>
      <c r="AW61" s="395"/>
      <c r="AX61" s="814"/>
      <c r="AZ61" s="353"/>
      <c r="BA61" s="395"/>
      <c r="BB61" s="814"/>
    </row>
    <row r="62" spans="1:54" x14ac:dyDescent="0.2">
      <c r="A62" s="604" t="s">
        <v>80</v>
      </c>
      <c r="D62" s="385">
        <f>'qtrP&amp;L'!CJ40</f>
        <v>1953</v>
      </c>
      <c r="E62" s="395">
        <f>D62/'qtrP&amp;L'!CJ11</f>
        <v>0.3527180783817952</v>
      </c>
      <c r="F62" s="566"/>
      <c r="H62" s="385">
        <f>'qtrP&amp;L'!CN40</f>
        <v>1976</v>
      </c>
      <c r="I62" s="395">
        <f>H62/'qtrP&amp;L'!CN11</f>
        <v>0.33271594544536115</v>
      </c>
      <c r="J62" s="605">
        <f>(I62-E62)*10000</f>
        <v>-200.02132936434046</v>
      </c>
      <c r="L62" s="385">
        <f>'qtrP&amp;L'!CR40</f>
        <v>2009</v>
      </c>
      <c r="M62" s="395">
        <f>L62/'qtrP&amp;L'!CR11</f>
        <v>0.32837528604118993</v>
      </c>
      <c r="N62" s="605">
        <f>(M62-I62)*10000</f>
        <v>-43.406594041712211</v>
      </c>
      <c r="P62" s="385">
        <f>'qtrP&amp;L'!CV40</f>
        <v>1999</v>
      </c>
      <c r="Q62" s="395">
        <f>P62/'qtrP&amp;L'!CV11</f>
        <v>0.32954170787998682</v>
      </c>
      <c r="R62" s="814">
        <f t="shared" si="15"/>
        <v>-4.9776007964161817E-3</v>
      </c>
      <c r="T62" s="385">
        <f>'qtrP&amp;L'!CZ40</f>
        <v>2024</v>
      </c>
      <c r="U62" s="395">
        <f>T62/'qtrP&amp;L'!CZ11</f>
        <v>0.32296154459869159</v>
      </c>
      <c r="V62" s="814">
        <f t="shared" ref="V62:V67" si="21">T62/P62-1</f>
        <v>1.2506253126563172E-2</v>
      </c>
      <c r="X62" s="385">
        <f>'qtrP&amp;L'!DD40</f>
        <v>2058</v>
      </c>
      <c r="Y62" s="395">
        <f>X62/'qtrP&amp;L'!DD11</f>
        <v>0.33715596330275227</v>
      </c>
      <c r="Z62" s="814">
        <f t="shared" si="16"/>
        <v>1.679841897233203E-2</v>
      </c>
      <c r="AB62" s="385">
        <f>'qtrP&amp;L'!DH40</f>
        <v>2201.75</v>
      </c>
      <c r="AC62" s="395">
        <f>AB62/'qtrP&amp;L'!DH11</f>
        <v>0.36892593833780163</v>
      </c>
      <c r="AD62" s="814">
        <f t="shared" si="17"/>
        <v>6.9849368318755989E-2</v>
      </c>
      <c r="AF62" s="543">
        <f>'qtrP&amp;L'!DL40</f>
        <v>2116</v>
      </c>
      <c r="AG62" s="395">
        <f>AF62/'qtrP&amp;L'!DL11</f>
        <v>0.37551020408163266</v>
      </c>
      <c r="AH62" s="814">
        <f t="shared" si="18"/>
        <v>-3.8946292721698694E-2</v>
      </c>
      <c r="AJ62" s="353">
        <f t="shared" si="19"/>
        <v>2080</v>
      </c>
      <c r="AK62" s="881">
        <f>AJ62/'qtrP&amp;L'!DP11</f>
        <v>0.38014578956554634</v>
      </c>
      <c r="AL62" s="814">
        <f t="shared" si="20"/>
        <v>-1.7013232514177745E-2</v>
      </c>
      <c r="AN62" s="353"/>
      <c r="AO62" s="881"/>
      <c r="AP62" s="814"/>
      <c r="AR62" s="353"/>
      <c r="AS62" s="395"/>
      <c r="AT62" s="814"/>
      <c r="AV62" s="353"/>
      <c r="AW62" s="395"/>
      <c r="AX62" s="814"/>
      <c r="AZ62" s="353"/>
      <c r="BA62" s="395"/>
      <c r="BB62" s="814"/>
    </row>
    <row r="63" spans="1:54" x14ac:dyDescent="0.2">
      <c r="A63" s="604" t="s">
        <v>81</v>
      </c>
      <c r="C63" s="606"/>
      <c r="D63" s="385">
        <f>'qtrP&amp;L'!CJ41</f>
        <v>2069</v>
      </c>
      <c r="E63" s="395">
        <f>D63/'qtrP&amp;L'!CJ12</f>
        <v>0.36795304997332384</v>
      </c>
      <c r="F63" s="566"/>
      <c r="H63" s="385">
        <f>'qtrP&amp;L'!CN41</f>
        <v>2018</v>
      </c>
      <c r="I63" s="395">
        <f>H63/'qtrP&amp;L'!CN12</f>
        <v>0.34478045446779432</v>
      </c>
      <c r="J63" s="605">
        <f>(I63-E63)*10000</f>
        <v>-231.72595505529526</v>
      </c>
      <c r="L63" s="385">
        <f>'qtrP&amp;L'!CR41</f>
        <v>2078</v>
      </c>
      <c r="M63" s="395">
        <f>L63/'qtrP&amp;L'!CR12</f>
        <v>0.34205761316872429</v>
      </c>
      <c r="N63" s="605">
        <f>(M63-I63)*10000</f>
        <v>-27.228412990700225</v>
      </c>
      <c r="P63" s="385">
        <f>'qtrP&amp;L'!CV41</f>
        <v>2099</v>
      </c>
      <c r="Q63" s="395">
        <f>P63/'qtrP&amp;L'!CV12</f>
        <v>0.33444869343530914</v>
      </c>
      <c r="R63" s="814">
        <f t="shared" si="15"/>
        <v>1.0105871029836289E-2</v>
      </c>
      <c r="T63" s="385">
        <f>'qtrP&amp;L'!CZ41</f>
        <v>2007</v>
      </c>
      <c r="U63" s="395">
        <f>T63/'qtrP&amp;L'!CZ12</f>
        <v>0.32397094430992734</v>
      </c>
      <c r="V63" s="814">
        <f t="shared" si="21"/>
        <v>-4.3830395426393554E-2</v>
      </c>
      <c r="X63" s="385">
        <f>'qtrP&amp;L'!DD41</f>
        <v>1968</v>
      </c>
      <c r="Y63" s="395">
        <f>X63/'qtrP&amp;L'!DD12</f>
        <v>0.33503575076608783</v>
      </c>
      <c r="Z63" s="814">
        <f t="shared" si="16"/>
        <v>-1.9431988041853532E-2</v>
      </c>
      <c r="AB63" s="385">
        <f>'qtrP&amp;L'!DH41</f>
        <v>2269.75</v>
      </c>
      <c r="AC63" s="395">
        <f>AB63/'qtrP&amp;L'!DH12</f>
        <v>0.40279503105590064</v>
      </c>
      <c r="AD63" s="814">
        <f t="shared" si="17"/>
        <v>0.15332825203252032</v>
      </c>
      <c r="AF63" s="543">
        <f>'qtrP&amp;L'!DL41</f>
        <v>2123</v>
      </c>
      <c r="AG63" s="395">
        <f>AF63/'qtrP&amp;L'!DL12</f>
        <v>0.40155097408738416</v>
      </c>
      <c r="AH63" s="814">
        <f t="shared" ref="AH63" si="22">AF63/AB63-1</f>
        <v>-6.4654697653926618E-2</v>
      </c>
      <c r="AJ63" s="353">
        <f t="shared" si="19"/>
        <v>2108</v>
      </c>
      <c r="AK63" s="881">
        <f>AJ63/'qtrP&amp;L'!DP12</f>
        <v>0.39791799038578796</v>
      </c>
      <c r="AL63" s="814">
        <f t="shared" si="20"/>
        <v>-7.065473386716925E-3</v>
      </c>
      <c r="AN63" s="353"/>
      <c r="AO63" s="881"/>
      <c r="AP63" s="814"/>
      <c r="AR63" s="353"/>
      <c r="AS63" s="395"/>
      <c r="AT63" s="814"/>
      <c r="AV63" s="353"/>
      <c r="AW63" s="395"/>
      <c r="AX63" s="814"/>
      <c r="AZ63" s="353"/>
      <c r="BA63" s="395"/>
      <c r="BB63" s="814"/>
    </row>
    <row r="64" spans="1:54" x14ac:dyDescent="0.2">
      <c r="A64" s="604" t="s">
        <v>82</v>
      </c>
      <c r="D64" s="607">
        <f>'qtrP&amp;L'!CJ42</f>
        <v>2245</v>
      </c>
      <c r="E64" s="395">
        <f>D64/'qtrP&amp;L'!CJ13</f>
        <v>0.27149594872415045</v>
      </c>
      <c r="F64" s="566"/>
      <c r="H64" s="607">
        <f>'qtrP&amp;L'!CN42</f>
        <v>2314</v>
      </c>
      <c r="I64" s="395">
        <f>H64/'qtrP&amp;L'!CN13</f>
        <v>0.26524530032095367</v>
      </c>
      <c r="J64" s="605">
        <f>(I64-E64)*10000</f>
        <v>-62.506484031967787</v>
      </c>
      <c r="L64" s="607">
        <f>'qtrP&amp;L'!CR42</f>
        <v>2400</v>
      </c>
      <c r="M64" s="395">
        <f>L64/'qtrP&amp;L'!CR13</f>
        <v>0.25668449197860965</v>
      </c>
      <c r="N64" s="605">
        <f>(M64-I64)*10000</f>
        <v>-85.608083423440178</v>
      </c>
      <c r="P64" s="607">
        <f>'qtrP&amp;L'!CV42</f>
        <v>2301</v>
      </c>
      <c r="Q64" s="395">
        <f>P64/'qtrP&amp;L'!CV13</f>
        <v>0.25005433601391003</v>
      </c>
      <c r="R64" s="814">
        <f t="shared" si="15"/>
        <v>-4.1250000000000009E-2</v>
      </c>
      <c r="T64" s="607">
        <f>'qtrP&amp;L'!CZ42</f>
        <v>2324</v>
      </c>
      <c r="U64" s="395">
        <f>T64/'qtrP&amp;L'!CZ13</f>
        <v>0.24818453652285349</v>
      </c>
      <c r="V64" s="814">
        <f t="shared" si="21"/>
        <v>9.9956540634507096E-3</v>
      </c>
      <c r="X64" s="607">
        <f>'qtrP&amp;L'!DD42</f>
        <v>2207</v>
      </c>
      <c r="Y64" s="395">
        <f>X64/'qtrP&amp;L'!DD13</f>
        <v>0.24884428909685422</v>
      </c>
      <c r="Z64" s="814">
        <f t="shared" si="16"/>
        <v>-5.0344234079173877E-2</v>
      </c>
      <c r="AB64" s="607">
        <f>'qtrP&amp;L'!DH42</f>
        <v>2434.75</v>
      </c>
      <c r="AC64" s="395">
        <f>AB64/'qtrP&amp;L'!DH13</f>
        <v>0.28533341146138519</v>
      </c>
      <c r="AD64" s="814">
        <f t="shared" si="17"/>
        <v>0.10319438151336646</v>
      </c>
      <c r="AF64" s="607">
        <f>'qtrP&amp;L'!DL42</f>
        <v>2180</v>
      </c>
      <c r="AG64" s="395">
        <f>AF64/'qtrP&amp;L'!DL13</f>
        <v>0.25141275516088107</v>
      </c>
      <c r="AH64" s="814">
        <f t="shared" si="18"/>
        <v>-0.1046308655919499</v>
      </c>
      <c r="AJ64" s="607">
        <f t="shared" si="19"/>
        <v>2468</v>
      </c>
      <c r="AK64" s="881">
        <f>AJ64/'qtrP&amp;L'!DP13</f>
        <v>0.29132744862904353</v>
      </c>
      <c r="AL64" s="814">
        <f t="shared" si="20"/>
        <v>0.13211009174311927</v>
      </c>
      <c r="AN64" s="607"/>
      <c r="AO64" s="881"/>
      <c r="AP64" s="814"/>
      <c r="AR64" s="607"/>
      <c r="AS64" s="395"/>
      <c r="AT64" s="814"/>
      <c r="AV64" s="607"/>
      <c r="AW64" s="395"/>
      <c r="AX64" s="814"/>
      <c r="AZ64" s="607"/>
      <c r="BA64" s="395"/>
      <c r="BB64" s="814"/>
    </row>
    <row r="65" spans="1:54" x14ac:dyDescent="0.2">
      <c r="A65" s="604" t="s">
        <v>83</v>
      </c>
      <c r="D65" s="543">
        <f>'qtrP&amp;L'!CJ43</f>
        <v>8260</v>
      </c>
      <c r="E65" s="395">
        <f>D65/'qtrP&amp;L'!CJ14</f>
        <v>0.33036035675718911</v>
      </c>
      <c r="F65" s="566"/>
      <c r="H65" s="543">
        <f>'qtrP&amp;L'!CN43</f>
        <v>8281</v>
      </c>
      <c r="I65" s="395">
        <f>H65/'qtrP&amp;L'!CN14</f>
        <v>0.31361484567316794</v>
      </c>
      <c r="J65" s="605">
        <f>(I65-E65)*10000</f>
        <v>-167.45511084021169</v>
      </c>
      <c r="L65" s="543">
        <f>SUM(L61:L64)</f>
        <v>8482</v>
      </c>
      <c r="M65" s="395">
        <f>L65/'qtrP&amp;L'!CR14</f>
        <v>0.30636422740735392</v>
      </c>
      <c r="N65" s="605">
        <f>(M65-I65)*10000</f>
        <v>-72.506182658140233</v>
      </c>
      <c r="P65" s="543">
        <f>SUM(P61:P64)</f>
        <v>8440</v>
      </c>
      <c r="Q65" s="395">
        <f>P65/'qtrP&amp;L'!CV14</f>
        <v>0.30217321255952168</v>
      </c>
      <c r="R65" s="814">
        <f t="shared" si="15"/>
        <v>-4.9516623437868557E-3</v>
      </c>
      <c r="T65" s="543">
        <f>SUM(T61:T64)</f>
        <v>8355</v>
      </c>
      <c r="U65" s="395">
        <f>T65/'qtrP&amp;L'!CZ14</f>
        <v>0.29727806440135207</v>
      </c>
      <c r="V65" s="814">
        <f t="shared" si="21"/>
        <v>-1.0071090047393372E-2</v>
      </c>
      <c r="X65" s="543">
        <f>SUM(X61:X64)</f>
        <v>8256</v>
      </c>
      <c r="Y65" s="395">
        <f>X65/'qtrP&amp;L'!DD14</f>
        <v>0.3048857047896894</v>
      </c>
      <c r="Z65" s="814">
        <f t="shared" si="16"/>
        <v>-1.1849192100538586E-2</v>
      </c>
      <c r="AB65" s="543">
        <f>SUM(AB61:AB64)</f>
        <v>9048.25</v>
      </c>
      <c r="AC65" s="395">
        <f>AB65/'qtrP&amp;L'!DH14</f>
        <v>0.3492184484754921</v>
      </c>
      <c r="AD65" s="814">
        <f t="shared" si="17"/>
        <v>9.5960513565891414E-2</v>
      </c>
      <c r="AF65" s="543">
        <f>SUM(AF61:AF64)</f>
        <v>8409</v>
      </c>
      <c r="AG65" s="395">
        <f>AF65/'qtrP&amp;L'!DL14</f>
        <v>0.33710162357185808</v>
      </c>
      <c r="AH65" s="814">
        <f>AF65/AB65-1</f>
        <v>-7.0649020528831596E-2</v>
      </c>
      <c r="AJ65" s="543">
        <f>AJ55+AJ45+AJ35-AJ24-AJ14</f>
        <v>8635</v>
      </c>
      <c r="AK65" s="395">
        <f>AJ65/'qtrP&amp;L'!DP14</f>
        <v>0.35165578766783268</v>
      </c>
      <c r="AL65" s="816">
        <f>IFERROR(AJ65/AF65-1,"-")</f>
        <v>2.6875966226661996E-2</v>
      </c>
      <c r="AN65" s="543">
        <f>AN55+AN45+AN35-AN24-AN14</f>
        <v>8603.5889999999999</v>
      </c>
      <c r="AO65" s="882">
        <f>SUM(AO61:AO64)</f>
        <v>0</v>
      </c>
      <c r="AP65" s="935">
        <f>IFERROR(AN65/AJ65-1,"-")</f>
        <v>-3.6376375217139767E-3</v>
      </c>
      <c r="AR65" s="543">
        <f>AR55+AR45+AR35-AR24-AR14</f>
        <v>8579.9294594999992</v>
      </c>
      <c r="AS65" s="882">
        <f>SUM(AS61:AS64)</f>
        <v>0</v>
      </c>
      <c r="AT65" s="816">
        <f>IFERROR(AR65/AN65-1,"-")</f>
        <v>-2.7499617310869917E-3</v>
      </c>
      <c r="AV65" s="543">
        <f>AV55+AV45+AV35-AV24-AV14</f>
        <v>8508.1300238240001</v>
      </c>
      <c r="AW65" s="882">
        <f>SUM(AW61:AW64)</f>
        <v>0</v>
      </c>
      <c r="AX65" s="816">
        <f>IFERROR(AV65/AR65-1,"-")</f>
        <v>-8.3683013962895236E-3</v>
      </c>
      <c r="AZ65" s="543">
        <f>AZ55+AZ45+AZ35-AZ24-AZ14</f>
        <v>8436.8249836334071</v>
      </c>
      <c r="BA65" s="882">
        <f>SUM(BA61:BA64)</f>
        <v>0</v>
      </c>
      <c r="BB65" s="816">
        <f>IFERROR(AZ65/AV65-1,"-")</f>
        <v>-8.3808122338197011E-3</v>
      </c>
    </row>
    <row r="66" spans="1:54" x14ac:dyDescent="0.2">
      <c r="A66" s="604" t="s">
        <v>413</v>
      </c>
      <c r="D66" s="385"/>
      <c r="E66" s="395"/>
      <c r="F66" s="566"/>
      <c r="H66" s="385"/>
      <c r="I66" s="395"/>
      <c r="J66" s="605"/>
      <c r="L66" s="385"/>
      <c r="M66" s="395"/>
      <c r="N66" s="605"/>
      <c r="P66" s="385">
        <f>P61+P62</f>
        <v>4040</v>
      </c>
      <c r="Q66" s="395">
        <f>P66/'qtrP&amp;L'!CV15</f>
        <v>0.3244198185176263</v>
      </c>
      <c r="R66" s="814" t="e">
        <f t="shared" si="15"/>
        <v>#DIV/0!</v>
      </c>
      <c r="T66" s="385">
        <f>T61+T62</f>
        <v>4024</v>
      </c>
      <c r="U66" s="395">
        <f>T66/'qtrP&amp;L'!CZ15</f>
        <v>0.32073967798501513</v>
      </c>
      <c r="V66" s="814">
        <f t="shared" si="21"/>
        <v>-3.9603960396039639E-3</v>
      </c>
      <c r="X66" s="385">
        <f>X61+X62</f>
        <v>4081</v>
      </c>
      <c r="Y66" s="395">
        <f>X66/'qtrP&amp;L'!DD15</f>
        <v>0.33082036316472113</v>
      </c>
      <c r="Z66" s="814">
        <f t="shared" si="16"/>
        <v>1.4165009940357853E-2</v>
      </c>
      <c r="AB66" s="385">
        <f>AB61+AB62</f>
        <v>4343.75</v>
      </c>
      <c r="AC66" s="395">
        <f>AB66/'qtrP&amp;L'!DH15</f>
        <v>0.36993272014988926</v>
      </c>
      <c r="AD66" s="814">
        <f t="shared" si="17"/>
        <v>6.438372947806914E-2</v>
      </c>
      <c r="AF66" s="353">
        <f>SUM(AF62:AF65)</f>
        <v>14828</v>
      </c>
      <c r="AG66" s="395">
        <f>AF66/'qtrP&amp;L'!DL15</f>
        <v>1.3495949758805861</v>
      </c>
      <c r="AH66" s="814">
        <f t="shared" si="18"/>
        <v>2.413640287769784</v>
      </c>
      <c r="AJ66" s="353"/>
      <c r="AK66" s="881"/>
      <c r="AL66" s="814"/>
      <c r="AN66" s="353"/>
      <c r="AO66" s="881"/>
      <c r="AP66" s="814"/>
      <c r="AR66" s="353"/>
      <c r="AS66" s="395"/>
      <c r="AT66" s="814"/>
      <c r="AV66" s="353"/>
      <c r="AW66" s="395"/>
      <c r="AX66" s="814"/>
      <c r="AZ66" s="353"/>
      <c r="BA66" s="395"/>
      <c r="BB66" s="814"/>
    </row>
    <row r="67" spans="1:54" x14ac:dyDescent="0.2">
      <c r="A67" s="604" t="s">
        <v>414</v>
      </c>
      <c r="D67" s="385"/>
      <c r="E67" s="395"/>
      <c r="F67" s="566"/>
      <c r="H67" s="385"/>
      <c r="I67" s="395"/>
      <c r="J67" s="605"/>
      <c r="L67" s="385"/>
      <c r="M67" s="395"/>
      <c r="N67" s="605"/>
      <c r="P67" s="385">
        <f>P63+P64</f>
        <v>4400</v>
      </c>
      <c r="Q67" s="395">
        <f>P67/'qtrP&amp;L'!CV16</f>
        <v>0.28427445406383256</v>
      </c>
      <c r="R67" s="814" t="e">
        <f t="shared" si="15"/>
        <v>#DIV/0!</v>
      </c>
      <c r="T67" s="385">
        <f>T63+T64</f>
        <v>4331</v>
      </c>
      <c r="U67" s="395">
        <f>T67/'qtrP&amp;L'!CZ16</f>
        <v>0.27835979176039594</v>
      </c>
      <c r="V67" s="814">
        <f t="shared" si="21"/>
        <v>-1.568181818181813E-2</v>
      </c>
      <c r="X67" s="385">
        <f>X63+X64</f>
        <v>4175</v>
      </c>
      <c r="Y67" s="395">
        <f>X67/'qtrP&amp;L'!DD16</f>
        <v>0.2831852404530964</v>
      </c>
      <c r="Z67" s="814">
        <f t="shared" si="16"/>
        <v>-3.6019395058877857E-2</v>
      </c>
      <c r="AB67" s="385">
        <f>AB63+AB64</f>
        <v>4704.5</v>
      </c>
      <c r="AC67" s="395">
        <f>AB67/'qtrP&amp;L'!DH16</f>
        <v>0.33205110107284019</v>
      </c>
      <c r="AD67" s="814">
        <f t="shared" si="17"/>
        <v>0.12682634730538922</v>
      </c>
      <c r="AF67" s="353">
        <f>SUM(AF63:AF66)</f>
        <v>27540</v>
      </c>
      <c r="AG67" s="395">
        <f>AF67/'qtrP&amp;L'!DL16</f>
        <v>1.9730620432726751</v>
      </c>
      <c r="AH67" s="814">
        <f t="shared" si="18"/>
        <v>4.8539696035710493</v>
      </c>
      <c r="AJ67" s="353"/>
      <c r="AK67" s="881"/>
      <c r="AL67" s="814"/>
      <c r="AN67" s="353"/>
      <c r="AO67" s="881"/>
      <c r="AP67" s="814"/>
      <c r="AR67" s="353"/>
      <c r="AS67" s="395"/>
      <c r="AT67" s="814"/>
      <c r="AV67" s="353"/>
      <c r="AW67" s="395"/>
      <c r="AX67" s="814"/>
      <c r="AZ67" s="353"/>
      <c r="BA67" s="395"/>
      <c r="BB67" s="814"/>
    </row>
    <row r="68" spans="1:54" ht="15" x14ac:dyDescent="0.25">
      <c r="A68" s="817"/>
      <c r="B68" s="817"/>
      <c r="C68" s="817"/>
      <c r="D68" s="817"/>
      <c r="E68" s="817"/>
      <c r="F68" s="817"/>
      <c r="G68" s="817"/>
      <c r="H68" s="817"/>
      <c r="I68" s="817"/>
      <c r="J68" s="817"/>
      <c r="K68" s="817"/>
      <c r="L68" s="818"/>
      <c r="M68" s="819"/>
      <c r="N68" s="819"/>
      <c r="O68" s="819"/>
      <c r="P68" s="818"/>
      <c r="Q68" s="819"/>
      <c r="R68" s="819"/>
      <c r="S68" s="819"/>
      <c r="T68" s="818"/>
      <c r="U68" s="817"/>
      <c r="V68" s="817"/>
      <c r="W68" s="819"/>
      <c r="X68" s="818"/>
      <c r="Y68" s="817"/>
      <c r="Z68" s="817"/>
      <c r="AA68" s="819"/>
      <c r="AB68" s="818"/>
      <c r="AC68" s="817"/>
      <c r="AD68" s="817"/>
      <c r="AE68" s="819"/>
      <c r="AF68" s="818"/>
      <c r="AG68" s="817"/>
      <c r="AH68" s="817"/>
      <c r="AI68" s="819"/>
      <c r="AJ68" s="818"/>
      <c r="AK68" s="883"/>
      <c r="AL68" s="828"/>
      <c r="AM68" s="819"/>
      <c r="AN68" s="818"/>
      <c r="AO68" s="883"/>
      <c r="AP68" s="817"/>
      <c r="AQ68" s="819"/>
      <c r="AR68" s="818"/>
      <c r="AS68" s="817"/>
      <c r="AT68" s="817"/>
      <c r="AU68" s="819"/>
      <c r="AV68" s="818"/>
      <c r="AW68" s="817"/>
      <c r="AX68" s="817"/>
      <c r="AY68" s="819"/>
      <c r="AZ68" s="818"/>
      <c r="BA68" s="817"/>
      <c r="BB68" s="817"/>
    </row>
    <row r="69" spans="1:54" x14ac:dyDescent="0.2">
      <c r="L69" s="353"/>
      <c r="M69" s="261"/>
      <c r="N69" s="261"/>
      <c r="O69" s="261"/>
      <c r="P69" s="353"/>
      <c r="Q69" s="261"/>
      <c r="R69" s="261"/>
      <c r="S69" s="261"/>
      <c r="T69" s="353"/>
      <c r="W69" s="261"/>
      <c r="X69" s="353"/>
      <c r="AA69" s="261"/>
      <c r="AB69" s="353"/>
      <c r="AE69" s="261"/>
      <c r="AF69" s="372"/>
      <c r="AG69" s="543"/>
      <c r="AI69" s="261"/>
      <c r="AJ69" s="353"/>
      <c r="AM69" s="261"/>
      <c r="AN69" s="353"/>
      <c r="AQ69" s="261"/>
      <c r="AR69" s="353"/>
      <c r="AU69" s="261"/>
      <c r="AV69" s="353"/>
      <c r="AY69" s="261"/>
      <c r="AZ69" s="353"/>
    </row>
    <row r="70" spans="1:54" x14ac:dyDescent="0.2">
      <c r="AB70" s="543"/>
      <c r="AF70" s="372"/>
    </row>
    <row r="71" spans="1:54" x14ac:dyDescent="0.2">
      <c r="AF71" s="955"/>
    </row>
    <row r="72" spans="1:54" x14ac:dyDescent="0.2">
      <c r="AF72" s="955"/>
    </row>
    <row r="73" spans="1:54" x14ac:dyDescent="0.2">
      <c r="AF73" s="955"/>
    </row>
    <row r="74" spans="1:54" x14ac:dyDescent="0.2">
      <c r="AF74" s="955"/>
    </row>
    <row r="75" spans="1:54" x14ac:dyDescent="0.2">
      <c r="AF75" s="955"/>
    </row>
  </sheetData>
  <mergeCells count="5">
    <mergeCell ref="AZ6:BB6"/>
    <mergeCell ref="AN6:AP6"/>
    <mergeCell ref="AJ6:AL6"/>
    <mergeCell ref="AR6:AT6"/>
    <mergeCell ref="AV6:AX6"/>
  </mergeCells>
  <phoneticPr fontId="10" type="noConversion"/>
  <pageMargins left="0.75" right="0.75" top="0.53" bottom="0.52" header="0.49" footer="0.5"/>
  <pageSetup scale="64" fitToHeight="2" orientation="landscape"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AQ166"/>
  <sheetViews>
    <sheetView showGridLines="0" zoomScale="85" zoomScaleNormal="85" workbookViewId="0">
      <selection activeCell="A2" sqref="A2"/>
    </sheetView>
  </sheetViews>
  <sheetFormatPr defaultRowHeight="10.5" customHeight="1" outlineLevelRow="1" outlineLevelCol="1" x14ac:dyDescent="0.2"/>
  <cols>
    <col min="1" max="1" width="9.28515625" style="185" bestFit="1" customWidth="1"/>
    <col min="2" max="2" width="1.7109375" style="185" customWidth="1"/>
    <col min="3" max="3" width="7.140625" style="185" customWidth="1"/>
    <col min="4" max="4" width="1.85546875" style="185" customWidth="1"/>
    <col min="5" max="5" width="7.7109375" style="185" customWidth="1"/>
    <col min="6" max="6" width="3" style="185" customWidth="1"/>
    <col min="7" max="7" width="9.28515625" style="185" bestFit="1" customWidth="1"/>
    <col min="8" max="8" width="2.85546875" style="185" bestFit="1" customWidth="1"/>
    <col min="9" max="9" width="7.7109375" style="185" customWidth="1"/>
    <col min="10" max="10" width="8.5703125" style="185" bestFit="1" customWidth="1"/>
    <col min="11" max="11" width="7.5703125" style="185" customWidth="1"/>
    <col min="12" max="12" width="1.7109375" style="185" customWidth="1"/>
    <col min="13" max="13" width="7.7109375" style="185" customWidth="1"/>
    <col min="14" max="14" width="1.85546875" style="185" customWidth="1"/>
    <col min="15" max="15" width="9.28515625" style="185" bestFit="1" customWidth="1"/>
    <col min="16" max="16" width="5.7109375" style="185" customWidth="1"/>
    <col min="17" max="17" width="1.7109375" style="185" customWidth="1"/>
    <col min="18" max="18" width="12.85546875" style="185" bestFit="1" customWidth="1"/>
    <col min="19" max="19" width="1.7109375" style="185" customWidth="1"/>
    <col min="20" max="20" width="9.85546875" style="185" bestFit="1" customWidth="1"/>
    <col min="21" max="21" width="1.7109375" style="185" customWidth="1"/>
    <col min="22" max="22" width="14" style="185" customWidth="1"/>
    <col min="23" max="23" width="1.7109375" style="185" customWidth="1"/>
    <col min="24" max="24" width="7.42578125" style="185" customWidth="1"/>
    <col min="25" max="25" width="1.7109375" style="185" customWidth="1"/>
    <col min="26" max="26" width="7.28515625" style="185" customWidth="1"/>
    <col min="27" max="27" width="1.7109375" style="185" customWidth="1"/>
    <col min="28" max="28" width="8.140625" style="185" customWidth="1"/>
    <col min="29" max="29" width="1.7109375" style="185" customWidth="1"/>
    <col min="30" max="30" width="7" style="185" customWidth="1"/>
    <col min="31" max="31" width="1.85546875" style="185" customWidth="1"/>
    <col min="32" max="32" width="8.5703125" style="185" customWidth="1"/>
    <col min="33" max="33" width="6.85546875" style="185" customWidth="1"/>
    <col min="34" max="34" width="1.7109375" style="185" customWidth="1"/>
    <col min="35" max="35" width="8.42578125" style="185" bestFit="1" customWidth="1"/>
    <col min="36" max="36" width="1.7109375" style="185" customWidth="1"/>
    <col min="37" max="37" width="9.28515625" style="185" bestFit="1" customWidth="1"/>
    <col min="38" max="38" width="1.7109375" style="185" customWidth="1"/>
    <col min="39" max="39" width="9.28515625" style="185" bestFit="1" customWidth="1"/>
    <col min="40" max="40" width="1.85546875" style="185" customWidth="1"/>
    <col min="41" max="42" width="9.28515625" style="185" hidden="1" customWidth="1" outlineLevel="1"/>
    <col min="43" max="43" width="9.140625" style="185" collapsed="1"/>
    <col min="44" max="16384" width="9.140625" style="185"/>
  </cols>
  <sheetData>
    <row r="1" spans="1:40" ht="12" customHeight="1" x14ac:dyDescent="0.2">
      <c r="A1" s="281" t="s">
        <v>285</v>
      </c>
    </row>
    <row r="2" spans="1:40" ht="12" customHeight="1" x14ac:dyDescent="0.2">
      <c r="A2" s="283" t="s">
        <v>703</v>
      </c>
      <c r="B2" s="284"/>
      <c r="C2" s="284"/>
      <c r="D2" s="284"/>
      <c r="E2" s="284"/>
      <c r="F2" s="284"/>
      <c r="G2" s="284"/>
      <c r="H2" s="284"/>
      <c r="I2" s="284"/>
      <c r="J2" s="284"/>
      <c r="K2" s="284"/>
      <c r="L2" s="284"/>
      <c r="M2" s="284"/>
      <c r="N2" s="284"/>
      <c r="O2" s="284"/>
      <c r="P2" s="284"/>
      <c r="Q2" s="284"/>
      <c r="R2" s="284"/>
      <c r="S2" s="284"/>
      <c r="T2" s="284"/>
      <c r="U2" s="284"/>
      <c r="V2" s="284"/>
      <c r="W2" s="284"/>
      <c r="X2" s="284"/>
      <c r="Y2" s="284"/>
      <c r="Z2" s="284"/>
      <c r="AA2" s="284"/>
      <c r="AB2" s="284"/>
      <c r="AC2" s="284"/>
      <c r="AD2" s="284"/>
      <c r="AE2" s="284"/>
      <c r="AF2" s="284"/>
      <c r="AG2" s="284"/>
      <c r="AH2" s="284"/>
      <c r="AI2" s="284"/>
      <c r="AJ2" s="284"/>
      <c r="AK2" s="284"/>
      <c r="AL2" s="284"/>
      <c r="AM2" s="284"/>
      <c r="AN2" s="284"/>
    </row>
    <row r="5" spans="1:40" ht="10.5" customHeight="1" x14ac:dyDescent="0.2">
      <c r="A5" s="734"/>
      <c r="B5" s="734"/>
      <c r="C5" s="734"/>
      <c r="D5" s="734"/>
      <c r="E5" s="734"/>
      <c r="F5" s="734"/>
      <c r="G5" s="734"/>
      <c r="H5" s="734"/>
      <c r="I5" s="735" t="s">
        <v>75</v>
      </c>
      <c r="J5" s="736"/>
      <c r="K5" s="736"/>
      <c r="L5" s="737"/>
      <c r="M5" s="734"/>
      <c r="N5" s="736"/>
      <c r="O5" s="736"/>
      <c r="P5" s="736"/>
      <c r="Q5" s="736"/>
      <c r="R5" s="736"/>
      <c r="S5" s="736"/>
      <c r="T5" s="736"/>
      <c r="U5" s="736"/>
      <c r="V5" s="736"/>
      <c r="W5" s="736"/>
      <c r="X5" s="737"/>
      <c r="Y5" s="738"/>
      <c r="Z5" s="735" t="s">
        <v>74</v>
      </c>
      <c r="AA5" s="736"/>
      <c r="AB5" s="736"/>
      <c r="AC5" s="736"/>
      <c r="AD5" s="736"/>
      <c r="AE5" s="736"/>
      <c r="AF5" s="739"/>
      <c r="AG5" s="736"/>
      <c r="AH5" s="736"/>
      <c r="AI5" s="736"/>
      <c r="AJ5" s="736"/>
      <c r="AK5" s="740"/>
      <c r="AL5" s="740"/>
      <c r="AM5" s="741"/>
    </row>
    <row r="6" spans="1:40" ht="10.5" customHeight="1" x14ac:dyDescent="0.2">
      <c r="A6" s="742"/>
      <c r="B6" s="742"/>
      <c r="C6" s="743"/>
      <c r="D6" s="744" t="s">
        <v>89</v>
      </c>
      <c r="E6" s="743"/>
      <c r="F6" s="742"/>
      <c r="G6" s="745" t="s">
        <v>40</v>
      </c>
      <c r="H6" s="742"/>
      <c r="I6" s="742"/>
      <c r="J6" s="742"/>
      <c r="K6" s="742"/>
      <c r="L6" s="742"/>
      <c r="M6" s="745"/>
      <c r="N6" s="742"/>
      <c r="O6" s="746" t="s">
        <v>41</v>
      </c>
      <c r="P6" s="746"/>
      <c r="Q6" s="747" t="s">
        <v>215</v>
      </c>
      <c r="R6" s="748"/>
      <c r="S6" s="749"/>
      <c r="T6" s="748"/>
      <c r="U6" s="749"/>
      <c r="V6" s="750" t="s">
        <v>76</v>
      </c>
      <c r="W6" s="751"/>
      <c r="X6" s="751"/>
      <c r="Y6" s="752"/>
      <c r="Z6" s="753"/>
      <c r="AA6" s="753"/>
      <c r="AB6" s="753"/>
      <c r="AC6" s="742"/>
      <c r="AD6" s="742"/>
      <c r="AE6" s="742"/>
      <c r="AF6" s="746" t="s">
        <v>41</v>
      </c>
      <c r="AG6" s="746"/>
      <c r="AH6" s="747" t="s">
        <v>215</v>
      </c>
      <c r="AI6" s="748"/>
      <c r="AJ6" s="749"/>
      <c r="AK6" s="750" t="s">
        <v>77</v>
      </c>
      <c r="AL6" s="751"/>
      <c r="AM6" s="751"/>
    </row>
    <row r="7" spans="1:40" ht="10.5" customHeight="1" x14ac:dyDescent="0.2">
      <c r="A7" s="742"/>
      <c r="B7" s="742"/>
      <c r="C7" s="754"/>
      <c r="D7" s="742"/>
      <c r="E7" s="742" t="s">
        <v>91</v>
      </c>
      <c r="F7" s="742"/>
      <c r="G7" s="744" t="s">
        <v>42</v>
      </c>
      <c r="H7" s="742"/>
      <c r="I7" s="755" t="s">
        <v>43</v>
      </c>
      <c r="J7" s="756"/>
      <c r="K7" s="756"/>
      <c r="L7" s="757"/>
      <c r="M7" s="744"/>
      <c r="N7" s="742"/>
      <c r="O7" s="758" t="s">
        <v>44</v>
      </c>
      <c r="P7" s="758"/>
      <c r="Q7" s="747"/>
      <c r="R7" s="742"/>
      <c r="S7" s="759"/>
      <c r="T7" s="742"/>
      <c r="U7" s="759"/>
      <c r="V7" s="760" t="s">
        <v>58</v>
      </c>
      <c r="W7" s="752"/>
      <c r="X7" s="761" t="s">
        <v>59</v>
      </c>
      <c r="Y7" s="752"/>
      <c r="Z7" s="750"/>
      <c r="AA7" s="750" t="s">
        <v>63</v>
      </c>
      <c r="AB7" s="750"/>
      <c r="AC7" s="757"/>
      <c r="AD7" s="762"/>
      <c r="AE7" s="742"/>
      <c r="AF7" s="758" t="s">
        <v>44</v>
      </c>
      <c r="AG7" s="758"/>
      <c r="AH7" s="747"/>
      <c r="AI7" s="742"/>
      <c r="AJ7" s="759"/>
      <c r="AK7" s="763" t="s">
        <v>72</v>
      </c>
      <c r="AL7" s="752"/>
      <c r="AM7" s="761" t="s">
        <v>59</v>
      </c>
    </row>
    <row r="8" spans="1:40" ht="10.5" customHeight="1" x14ac:dyDescent="0.2">
      <c r="A8" s="742"/>
      <c r="B8" s="742"/>
      <c r="C8" s="744" t="s">
        <v>90</v>
      </c>
      <c r="D8" s="764"/>
      <c r="E8" s="744" t="s">
        <v>92</v>
      </c>
      <c r="F8" s="764"/>
      <c r="G8" s="759" t="s">
        <v>45</v>
      </c>
      <c r="H8" s="764"/>
      <c r="I8" s="765" t="s">
        <v>90</v>
      </c>
      <c r="J8" s="764"/>
      <c r="K8" s="765" t="s">
        <v>46</v>
      </c>
      <c r="L8" s="764"/>
      <c r="M8" s="759" t="s">
        <v>47</v>
      </c>
      <c r="N8" s="764"/>
      <c r="O8" s="766" t="s">
        <v>48</v>
      </c>
      <c r="P8" s="766"/>
      <c r="Q8" s="747"/>
      <c r="R8" s="744" t="s">
        <v>90</v>
      </c>
      <c r="S8" s="759"/>
      <c r="T8" s="744" t="s">
        <v>90</v>
      </c>
      <c r="U8" s="759"/>
      <c r="V8" s="767" t="s">
        <v>407</v>
      </c>
      <c r="W8" s="768"/>
      <c r="X8" s="767" t="s">
        <v>60</v>
      </c>
      <c r="Y8" s="768"/>
      <c r="Z8" s="750" t="s">
        <v>90</v>
      </c>
      <c r="AA8" s="763"/>
      <c r="AB8" s="750" t="s">
        <v>46</v>
      </c>
      <c r="AC8" s="764"/>
      <c r="AD8" s="744" t="s">
        <v>47</v>
      </c>
      <c r="AE8" s="764"/>
      <c r="AF8" s="766" t="s">
        <v>67</v>
      </c>
      <c r="AG8" s="766"/>
      <c r="AH8" s="747"/>
      <c r="AI8" s="744" t="s">
        <v>90</v>
      </c>
      <c r="AJ8" s="759"/>
      <c r="AK8" s="750" t="s">
        <v>73</v>
      </c>
      <c r="AL8" s="768"/>
      <c r="AM8" s="767" t="s">
        <v>60</v>
      </c>
    </row>
    <row r="9" spans="1:40" ht="10.5" customHeight="1" x14ac:dyDescent="0.2">
      <c r="A9" s="743"/>
      <c r="B9" s="743"/>
      <c r="C9" s="744" t="s">
        <v>39</v>
      </c>
      <c r="D9" s="743"/>
      <c r="E9" s="744" t="s">
        <v>49</v>
      </c>
      <c r="F9" s="743"/>
      <c r="G9" s="744" t="s">
        <v>50</v>
      </c>
      <c r="H9" s="743"/>
      <c r="I9" s="744" t="s">
        <v>51</v>
      </c>
      <c r="J9" s="743"/>
      <c r="K9" s="744" t="s">
        <v>52</v>
      </c>
      <c r="L9" s="743"/>
      <c r="M9" s="744" t="s">
        <v>53</v>
      </c>
      <c r="N9" s="743"/>
      <c r="O9" s="746" t="s">
        <v>54</v>
      </c>
      <c r="P9" s="746"/>
      <c r="Q9" s="769"/>
      <c r="R9" s="744" t="s">
        <v>61</v>
      </c>
      <c r="S9" s="744"/>
      <c r="T9" s="744" t="s">
        <v>61</v>
      </c>
      <c r="U9" s="744"/>
      <c r="V9" s="744" t="s">
        <v>55</v>
      </c>
      <c r="W9" s="770"/>
      <c r="X9" s="744" t="s">
        <v>62</v>
      </c>
      <c r="Y9" s="771"/>
      <c r="Z9" s="744" t="s">
        <v>64</v>
      </c>
      <c r="AA9" s="743"/>
      <c r="AB9" s="744" t="s">
        <v>65</v>
      </c>
      <c r="AC9" s="743"/>
      <c r="AD9" s="744" t="s">
        <v>66</v>
      </c>
      <c r="AE9" s="743"/>
      <c r="AF9" s="744" t="s">
        <v>68</v>
      </c>
      <c r="AG9" s="756"/>
      <c r="AH9" s="769"/>
      <c r="AI9" s="744" t="s">
        <v>69</v>
      </c>
      <c r="AJ9" s="744"/>
      <c r="AK9" s="744" t="s">
        <v>70</v>
      </c>
      <c r="AL9" s="770"/>
      <c r="AM9" s="744" t="s">
        <v>71</v>
      </c>
      <c r="AN9" s="284"/>
    </row>
    <row r="10" spans="1:40" ht="10.5" hidden="1" customHeight="1" outlineLevel="1" x14ac:dyDescent="0.2">
      <c r="A10" s="772">
        <v>2001</v>
      </c>
      <c r="I10" s="773"/>
      <c r="Z10" s="774"/>
    </row>
    <row r="11" spans="1:40" ht="10.5" hidden="1" customHeight="1" outlineLevel="1" x14ac:dyDescent="0.2">
      <c r="A11" s="261" t="s">
        <v>359</v>
      </c>
      <c r="C11" s="654">
        <f>INDEX('qtrP&amp;L'!$10:$10,MATCH($A10,'qtrP&amp;L'!$6:$6,0)+1)</f>
        <v>-0.47579065211307281</v>
      </c>
      <c r="D11" s="185" t="s">
        <v>93</v>
      </c>
      <c r="E11" s="654">
        <f>INDEX('qtrP&amp;L'!$10:$10,MATCH($A10,'qtrP&amp;L'!$6:$6,0)+2)</f>
        <v>-1.5</v>
      </c>
      <c r="F11" s="185" t="s">
        <v>93</v>
      </c>
      <c r="G11" s="479">
        <f>C11-E11</f>
        <v>1.0242093478869272</v>
      </c>
      <c r="H11" s="185" t="s">
        <v>93</v>
      </c>
      <c r="I11" s="775"/>
      <c r="J11" s="776"/>
      <c r="K11" s="385"/>
      <c r="M11" s="777"/>
      <c r="N11" s="261"/>
      <c r="O11" s="778"/>
      <c r="P11" s="261"/>
      <c r="R11" s="385">
        <f>INDEX('qtrP&amp;L'!$10:$10,MATCH($A10,'qtrP&amp;L'!$6:$6,0))</f>
        <v>3556</v>
      </c>
      <c r="T11" s="385">
        <f>R11</f>
        <v>3556</v>
      </c>
      <c r="V11" s="779" t="str">
        <f>IF(ISERROR(T11/K11),"NA",T11/K11)</f>
        <v>NA</v>
      </c>
      <c r="X11" s="780" t="str">
        <f>IF(ISERROR(V11/#REF!),"NA",(V11/#REF!-1)*100)</f>
        <v>NA</v>
      </c>
      <c r="Y11" s="185" t="s">
        <v>93</v>
      </c>
      <c r="Z11" s="781"/>
      <c r="AB11" s="385"/>
      <c r="AD11" s="777"/>
      <c r="AE11" s="261"/>
      <c r="AF11" s="778"/>
      <c r="AI11" s="543">
        <f>T11</f>
        <v>3556</v>
      </c>
      <c r="AK11" s="782" t="str">
        <f>IF(ISERROR(AI11/AB11),"NA",AI11/AB11*100)</f>
        <v>NA</v>
      </c>
      <c r="AM11" s="783"/>
      <c r="AN11" s="185" t="s">
        <v>93</v>
      </c>
    </row>
    <row r="12" spans="1:40" ht="10.5" hidden="1" customHeight="1" outlineLevel="1" x14ac:dyDescent="0.2">
      <c r="A12" s="261" t="s">
        <v>360</v>
      </c>
      <c r="C12" s="654">
        <f>INDEX('qtrP&amp;L'!$11:$11,MATCH($A10,'qtrP&amp;L'!$6:$6,0)+1)</f>
        <v>-5.1916281598260454</v>
      </c>
      <c r="E12" s="654">
        <f>INDEX('qtrP&amp;L'!$11:$11,MATCH($A10,'qtrP&amp;L'!$6:$6,0)+2)</f>
        <v>-4.8</v>
      </c>
      <c r="G12" s="479">
        <f>C12-E12</f>
        <v>-0.3916281598260456</v>
      </c>
      <c r="I12" s="775"/>
      <c r="J12" s="776"/>
      <c r="K12" s="385"/>
      <c r="M12" s="777"/>
      <c r="N12" s="261"/>
      <c r="O12" s="778"/>
      <c r="P12" s="261"/>
      <c r="R12" s="385">
        <f>INDEX('qtrP&amp;L'!$11:$11,MATCH($A10,'qtrP&amp;L'!$6:$6,0))</f>
        <v>3488</v>
      </c>
      <c r="T12" s="385">
        <f>R12</f>
        <v>3488</v>
      </c>
      <c r="V12" s="784" t="str">
        <f>IF(ISERROR(T12/K12),"NA",T12/K12)</f>
        <v>NA</v>
      </c>
      <c r="X12" s="780" t="str">
        <f>IF(ISERROR(V12/#REF!),"NA",(V12/#REF!-1)*100)</f>
        <v>NA</v>
      </c>
      <c r="Z12" s="781"/>
      <c r="AB12" s="385"/>
      <c r="AD12" s="777"/>
      <c r="AE12" s="261"/>
      <c r="AF12" s="778"/>
      <c r="AI12" s="385">
        <f>T12</f>
        <v>3488</v>
      </c>
      <c r="AK12" s="715" t="str">
        <f>IF(ISERROR(AI12/AB12),"NA",AI12/AB12*100)</f>
        <v>NA</v>
      </c>
      <c r="AM12" s="783"/>
    </row>
    <row r="13" spans="1:40" ht="10.5" hidden="1" customHeight="1" outlineLevel="1" x14ac:dyDescent="0.2">
      <c r="A13" s="261" t="s">
        <v>361</v>
      </c>
      <c r="C13" s="654">
        <f>INDEX('qtrP&amp;L'!$12:$12,MATCH($A10,'qtrP&amp;L'!$6:$6,0)+1)</f>
        <v>-8.1173982020095181</v>
      </c>
      <c r="E13" s="654">
        <f>INDEX('qtrP&amp;L'!$12:$12,MATCH($A10,'qtrP&amp;L'!$6:$6,0)+2)</f>
        <v>-8.6</v>
      </c>
      <c r="G13" s="479">
        <f>C13-E13</f>
        <v>0.48260179799048153</v>
      </c>
      <c r="I13" s="775"/>
      <c r="J13" s="776"/>
      <c r="K13" s="385"/>
      <c r="M13" s="777"/>
      <c r="N13" s="261"/>
      <c r="O13" s="778"/>
      <c r="P13" s="261"/>
      <c r="R13" s="385">
        <f>INDEX('qtrP&amp;L'!$12:$12,MATCH($A10,'qtrP&amp;L'!$6:$6,0))</f>
        <v>3475</v>
      </c>
      <c r="T13" s="385">
        <f>R13</f>
        <v>3475</v>
      </c>
      <c r="V13" s="784" t="str">
        <f>IF(ISERROR(T13/K13),"NA",T13/K13)</f>
        <v>NA</v>
      </c>
      <c r="X13" s="780" t="str">
        <f>IF(ISERROR(V13/#REF!),"NA",(V13/#REF!-1)*100)</f>
        <v>NA</v>
      </c>
      <c r="Z13" s="781"/>
      <c r="AB13" s="385"/>
      <c r="AD13" s="777"/>
      <c r="AE13" s="261"/>
      <c r="AF13" s="778"/>
      <c r="AI13" s="385">
        <f>T13</f>
        <v>3475</v>
      </c>
      <c r="AK13" s="715" t="str">
        <f>IF(ISERROR(AI13/AB13),"NA",AI13/AB13*100)</f>
        <v>NA</v>
      </c>
      <c r="AM13" s="783"/>
    </row>
    <row r="14" spans="1:40" ht="10.5" hidden="1" customHeight="1" outlineLevel="1" x14ac:dyDescent="0.2">
      <c r="A14" s="261" t="s">
        <v>362</v>
      </c>
      <c r="C14" s="785">
        <f>INDEX('qtrP&amp;L'!$13:$13,MATCH($A10,'qtrP&amp;L'!$6:$6,0)+1)</f>
        <v>-8.4225553176302643</v>
      </c>
      <c r="E14" s="785">
        <f>INDEX('qtrP&amp;L'!$13:$13,MATCH($A10,'qtrP&amp;L'!$6:$6,0)+2)</f>
        <v>-6</v>
      </c>
      <c r="G14" s="786">
        <f>C14-E14</f>
        <v>-2.4225553176302643</v>
      </c>
      <c r="I14" s="775">
        <f>INDEX(stores!C$7:C$162,MATCH(A14,stores!A$7:A$162,0))</f>
        <v>459</v>
      </c>
      <c r="J14" s="776"/>
      <c r="K14" s="353"/>
      <c r="L14" s="261"/>
      <c r="M14" s="777"/>
      <c r="N14" s="261"/>
      <c r="O14" s="778"/>
      <c r="P14" s="261"/>
      <c r="R14" s="607">
        <f>INDEX('qtrP&amp;L'!$13:$13,MATCH($A10,'qtrP&amp;L'!$6:$6,0))</f>
        <v>5132</v>
      </c>
      <c r="T14" s="607">
        <f>R14</f>
        <v>5132</v>
      </c>
      <c r="V14" s="787" t="str">
        <f>IF(ISERROR(T14/K14),"NA",T14/K14)</f>
        <v>NA</v>
      </c>
      <c r="X14" s="788" t="str">
        <f>IF(ISERROR(V14/#REF!),"NA",(V14/#REF!-1)*100)</f>
        <v>NA</v>
      </c>
      <c r="Z14" s="781">
        <f>INDEX(stores!C$205:C$360,MATCH(A14,stores!A$205:A$360,0))</f>
        <v>84</v>
      </c>
      <c r="AB14" s="353"/>
      <c r="AD14" s="777"/>
      <c r="AE14" s="261"/>
      <c r="AF14" s="778"/>
      <c r="AI14" s="607">
        <f>T14</f>
        <v>5132</v>
      </c>
      <c r="AK14" s="789" t="str">
        <f>IF(ISERROR(AI14/AB14),"NA",AI14/AB14*100)</f>
        <v>NA</v>
      </c>
      <c r="AM14" s="783"/>
    </row>
    <row r="15" spans="1:40" ht="10.5" hidden="1" customHeight="1" outlineLevel="1" x14ac:dyDescent="0.2">
      <c r="A15" s="450" t="s">
        <v>56</v>
      </c>
      <c r="C15" s="654">
        <f>INDEX('qtrP&amp;L'!$14:$14,MATCH($A10,'qtrP&amp;L'!$6:$6,0)+1)</f>
        <v>-5.126818127178745</v>
      </c>
      <c r="E15" s="654">
        <f>INDEX('qtrP&amp;L'!$13:$13,MATCH($A10,'qtrP&amp;L'!$6:$6,0)+2)</f>
        <v>-6</v>
      </c>
      <c r="G15" s="479">
        <f>C15-E15</f>
        <v>0.87318187282125503</v>
      </c>
      <c r="I15" s="773"/>
      <c r="K15" s="353"/>
      <c r="L15" s="261"/>
      <c r="M15" s="777"/>
      <c r="N15" s="261"/>
      <c r="O15" s="778"/>
      <c r="P15" s="261"/>
      <c r="R15" s="385">
        <f>INDEX('qtrP&amp;L'!$14:$14,MATCH($A10,'qtrP&amp;L'!$6:$6,0))</f>
        <v>15785</v>
      </c>
      <c r="T15" s="385">
        <f>R15</f>
        <v>15785</v>
      </c>
      <c r="V15" s="779" t="str">
        <f>IF(ISERROR(T15/K15),"NA",T15/K15)</f>
        <v>NA</v>
      </c>
      <c r="X15" s="780" t="str">
        <f>IF(ISERROR(V15/#REF!),"NA",(V15/#REF!-1)*100)</f>
        <v>NA</v>
      </c>
      <c r="Z15" s="774"/>
      <c r="AB15" s="353"/>
      <c r="AD15" s="777"/>
      <c r="AE15" s="261"/>
      <c r="AF15" s="778"/>
      <c r="AI15" s="543">
        <f>SUM(AI11:AI14)</f>
        <v>15651</v>
      </c>
      <c r="AK15" s="782" t="str">
        <f>IF(ISERROR(AI15/AB15),"NA",AI15/AB15*100)</f>
        <v>NA</v>
      </c>
      <c r="AM15" s="783"/>
    </row>
    <row r="16" spans="1:40" ht="10.5" hidden="1" customHeight="1" outlineLevel="1" x14ac:dyDescent="0.2">
      <c r="A16" s="450"/>
      <c r="C16" s="654"/>
      <c r="E16" s="654"/>
      <c r="I16" s="773"/>
      <c r="K16" s="554"/>
      <c r="M16" s="261"/>
      <c r="N16" s="261"/>
      <c r="O16" s="778"/>
      <c r="P16" s="261"/>
      <c r="R16" s="385"/>
      <c r="T16" s="385"/>
      <c r="V16" s="790"/>
      <c r="X16" s="791"/>
      <c r="Z16" s="774"/>
      <c r="AB16" s="554"/>
      <c r="AF16" s="792"/>
      <c r="AK16" s="790"/>
      <c r="AM16" s="783"/>
    </row>
    <row r="17" spans="1:40" ht="10.5" hidden="1" customHeight="1" outlineLevel="1" x14ac:dyDescent="0.2">
      <c r="A17" s="772">
        <v>2002</v>
      </c>
      <c r="I17" s="773"/>
      <c r="M17" s="261"/>
      <c r="N17" s="261"/>
      <c r="O17" s="261"/>
      <c r="P17" s="261"/>
      <c r="R17" s="385"/>
      <c r="T17" s="385"/>
      <c r="Z17" s="774"/>
      <c r="AM17" s="261"/>
    </row>
    <row r="18" spans="1:40" ht="10.5" hidden="1" customHeight="1" outlineLevel="1" x14ac:dyDescent="0.2">
      <c r="A18" s="261" t="s">
        <v>363</v>
      </c>
      <c r="C18" s="654">
        <f>INDEX('qtrP&amp;L'!$10:$10,MATCH($A17,'qtrP&amp;L'!$6:$6,0)+1)</f>
        <v>-2.8965129358830111</v>
      </c>
      <c r="D18" s="185" t="s">
        <v>93</v>
      </c>
      <c r="E18" s="654">
        <f>INDEX('qtrP&amp;L'!$10:$10,MATCH($A17,'qtrP&amp;L'!$6:$6,0)+2)</f>
        <v>-2.9</v>
      </c>
      <c r="F18" s="185" t="s">
        <v>93</v>
      </c>
      <c r="G18" s="479">
        <f>C18-E18</f>
        <v>3.4870641169888472E-3</v>
      </c>
      <c r="H18" s="185" t="s">
        <v>93</v>
      </c>
      <c r="I18" s="775">
        <f>INDEX(stores!C$7:C$162,MATCH(A18,stores!A$7:A$162,0))</f>
        <v>463</v>
      </c>
      <c r="J18" s="776">
        <f>I18-I14</f>
        <v>4</v>
      </c>
      <c r="K18" s="385">
        <f>AVERAGE(I18,I14)</f>
        <v>461</v>
      </c>
      <c r="M18" s="777"/>
      <c r="N18" s="261"/>
      <c r="O18" s="778"/>
      <c r="P18" s="261"/>
      <c r="R18" s="385">
        <f>INDEX('qtrP&amp;L'!$10:$10,MATCH($A17,'qtrP&amp;L'!$6:$6,0))</f>
        <v>3453</v>
      </c>
      <c r="T18" s="385">
        <f>R18</f>
        <v>3453</v>
      </c>
      <c r="V18" s="779">
        <f>IF(ISERROR(T18/K18),"NA",T18/K18)</f>
        <v>7.4902386117136661</v>
      </c>
      <c r="X18" s="780" t="str">
        <f>IF(ISERROR(V18/V11),"NA",(V18/V11-1)*100)</f>
        <v>NA</v>
      </c>
      <c r="Y18" s="185" t="s">
        <v>93</v>
      </c>
      <c r="Z18" s="781">
        <f>INDEX(stores!C$205:C$360,MATCH(A18,stores!A$205:A$360,0))</f>
        <v>84.732026143790847</v>
      </c>
      <c r="AB18" s="385">
        <f>AVERAGEA(Z18,Z14)</f>
        <v>84.366013071895424</v>
      </c>
      <c r="AD18" s="777"/>
      <c r="AE18" s="261"/>
      <c r="AF18" s="778"/>
      <c r="AG18" s="261"/>
      <c r="AI18" s="543">
        <f>T18</f>
        <v>3453</v>
      </c>
      <c r="AK18" s="782">
        <f>IF(ISERROR(AI18/AB18),"NA",AI18/AB18)</f>
        <v>40.928803842578247</v>
      </c>
      <c r="AM18" s="783"/>
      <c r="AN18" s="185" t="s">
        <v>93</v>
      </c>
    </row>
    <row r="19" spans="1:40" ht="10.5" hidden="1" customHeight="1" outlineLevel="1" x14ac:dyDescent="0.2">
      <c r="A19" s="261" t="s">
        <v>364</v>
      </c>
      <c r="C19" s="654">
        <f>INDEX('qtrP&amp;L'!$11:$11,MATCH($A17,'qtrP&amp;L'!$6:$6,0)+1)</f>
        <v>-5.7339449541282672E-2</v>
      </c>
      <c r="E19" s="654">
        <f>INDEX('qtrP&amp;L'!$11:$11,MATCH($A17,'qtrP&amp;L'!$6:$6,0)+2)</f>
        <v>-2.8</v>
      </c>
      <c r="G19" s="479">
        <f>C19-E19</f>
        <v>2.7426605504587172</v>
      </c>
      <c r="I19" s="775">
        <f>INDEX(stores!C$7:C$162,MATCH(A19,stores!A$7:A$162,0))</f>
        <v>465</v>
      </c>
      <c r="J19" s="776">
        <f>I19-I18</f>
        <v>2</v>
      </c>
      <c r="K19" s="385">
        <f>AVERAGE(I18:I19)</f>
        <v>464</v>
      </c>
      <c r="M19" s="777"/>
      <c r="N19" s="261"/>
      <c r="O19" s="778"/>
      <c r="P19" s="261"/>
      <c r="R19" s="385">
        <f>INDEX('qtrP&amp;L'!$11:$11,MATCH($A17,'qtrP&amp;L'!$6:$6,0))</f>
        <v>3486</v>
      </c>
      <c r="T19" s="385">
        <f>R19</f>
        <v>3486</v>
      </c>
      <c r="V19" s="784">
        <f>IF(ISERROR(T19/K19),"NA",T19/K19)</f>
        <v>7.5129310344827589</v>
      </c>
      <c r="X19" s="780" t="str">
        <f>IF(ISERROR(V19/V12),"NA",(V19/V12-1)*100)</f>
        <v>NA</v>
      </c>
      <c r="Z19" s="781">
        <f>INDEX(stores!C$205:C$360,MATCH(A19,stores!A$205:A$360,0))</f>
        <v>85.098039215686271</v>
      </c>
      <c r="AB19" s="385">
        <f>AVERAGEA(Z18:Z19)</f>
        <v>84.915032679738559</v>
      </c>
      <c r="AD19" s="777"/>
      <c r="AE19" s="261"/>
      <c r="AF19" s="778"/>
      <c r="AG19" s="261"/>
      <c r="AI19" s="385">
        <f>T19</f>
        <v>3486</v>
      </c>
      <c r="AK19" s="715">
        <f>IF(ISERROR(AI19/AB19),"NA",AI19/AB19)</f>
        <v>41.052801724137936</v>
      </c>
      <c r="AM19" s="783"/>
    </row>
    <row r="20" spans="1:40" ht="10.5" hidden="1" customHeight="1" outlineLevel="1" x14ac:dyDescent="0.2">
      <c r="A20" s="261" t="s">
        <v>365</v>
      </c>
      <c r="C20" s="654">
        <f>INDEX('qtrP&amp;L'!$12:$12,MATCH($A17,'qtrP&amp;L'!$6:$6,0)+1)</f>
        <v>0.11510791366906581</v>
      </c>
      <c r="E20" s="654">
        <f>INDEX('qtrP&amp;L'!$12:$12,MATCH($A17,'qtrP&amp;L'!$6:$6,0)+2)</f>
        <v>-2</v>
      </c>
      <c r="G20" s="479">
        <f>C20-E20</f>
        <v>2.1151079136690658</v>
      </c>
      <c r="I20" s="775">
        <f>INDEX(stores!C$7:C$162,MATCH(A20,stores!A$7:A$162,0))</f>
        <v>473</v>
      </c>
      <c r="J20" s="776">
        <f>I20-I19</f>
        <v>8</v>
      </c>
      <c r="K20" s="385">
        <f>AVERAGE(I19:I20)</f>
        <v>469</v>
      </c>
      <c r="M20" s="777"/>
      <c r="N20" s="261"/>
      <c r="O20" s="778"/>
      <c r="P20" s="261"/>
      <c r="R20" s="385">
        <f>INDEX('qtrP&amp;L'!$12:$12,MATCH($A17,'qtrP&amp;L'!$6:$6,0))</f>
        <v>3479</v>
      </c>
      <c r="T20" s="385">
        <f>R20</f>
        <v>3479</v>
      </c>
      <c r="V20" s="784">
        <f>IF(ISERROR(T20/K20),"NA",T20/K20)</f>
        <v>7.4179104477611943</v>
      </c>
      <c r="X20" s="780" t="str">
        <f>IF(ISERROR(V20/V13),"NA",(V20/V13-1)*100)</f>
        <v>NA</v>
      </c>
      <c r="Z20" s="781">
        <f>INDEX(stores!C$205:C$360,MATCH(A20,stores!A$205:A$360,0))</f>
        <v>86.562091503267965</v>
      </c>
      <c r="AB20" s="385">
        <f>AVERAGEA(Z19:Z20)</f>
        <v>85.830065359477118</v>
      </c>
      <c r="AD20" s="777"/>
      <c r="AE20" s="261"/>
      <c r="AF20" s="778"/>
      <c r="AG20" s="261"/>
      <c r="AI20" s="385">
        <f>T20</f>
        <v>3479</v>
      </c>
      <c r="AK20" s="715">
        <f>IF(ISERROR(AI20/AB20),"NA",AI20/AB20)</f>
        <v>40.53358208955224</v>
      </c>
      <c r="AM20" s="783"/>
    </row>
    <row r="21" spans="1:40" ht="10.5" hidden="1" customHeight="1" outlineLevel="1" x14ac:dyDescent="0.2">
      <c r="A21" s="261" t="s">
        <v>366</v>
      </c>
      <c r="C21" s="785">
        <f>INDEX('qtrP&amp;L'!$13:$13,MATCH($A17,'qtrP&amp;L'!$6:$6,0)+1)</f>
        <v>-2.2408417770849565</v>
      </c>
      <c r="E21" s="785">
        <f>INDEX('qtrP&amp;L'!$13:$13,MATCH($A17,'qtrP&amp;L'!$6:$6,0)+2)</f>
        <v>-3.9</v>
      </c>
      <c r="G21" s="786">
        <f>C21-E21</f>
        <v>1.6591582229150434</v>
      </c>
      <c r="I21" s="775">
        <f>INDEX(stores!C$7:C$162,MATCH(A21,stores!A$7:A$162,0))</f>
        <v>455</v>
      </c>
      <c r="J21" s="776">
        <f>I21-I20</f>
        <v>-18</v>
      </c>
      <c r="K21" s="607">
        <f>AVERAGE(I20:I21)</f>
        <v>464</v>
      </c>
      <c r="M21" s="777"/>
      <c r="N21" s="261"/>
      <c r="O21" s="778"/>
      <c r="P21" s="261"/>
      <c r="R21" s="607">
        <f>INDEX('qtrP&amp;L'!$13:$13,MATCH($A17,'qtrP&amp;L'!$6:$6,0))</f>
        <v>5017</v>
      </c>
      <c r="T21" s="607">
        <f>R21</f>
        <v>5017</v>
      </c>
      <c r="V21" s="787">
        <f>IF(ISERROR(T21/K21),"NA",T21/K21)</f>
        <v>10.8125</v>
      </c>
      <c r="X21" s="788" t="str">
        <f>IF(ISERROR(V21/V14),"NA",(V21/V14-1)*100)</f>
        <v>NA</v>
      </c>
      <c r="Z21" s="781">
        <f>INDEX(stores!C$205:C$360,MATCH(A21,stores!A$205:A$360,0))</f>
        <v>83.267973856209139</v>
      </c>
      <c r="AB21" s="607">
        <f>AVERAGEA(Z20:Z21)</f>
        <v>84.915032679738545</v>
      </c>
      <c r="AD21" s="777"/>
      <c r="AE21" s="261"/>
      <c r="AF21" s="778"/>
      <c r="AG21" s="261"/>
      <c r="AI21" s="607">
        <f>T21</f>
        <v>5017</v>
      </c>
      <c r="AK21" s="789">
        <f>IF(ISERROR(AI21/AB21),"NA",AI21/AB21)</f>
        <v>59.082589285714299</v>
      </c>
      <c r="AM21" s="783"/>
    </row>
    <row r="22" spans="1:40" ht="10.5" hidden="1" customHeight="1" outlineLevel="1" x14ac:dyDescent="0.2">
      <c r="A22" s="450" t="s">
        <v>56</v>
      </c>
      <c r="C22" s="654">
        <f>INDEX('qtrP&amp;L'!$14:$14,MATCH($A17,'qtrP&amp;L'!$6:$6,0)+1)</f>
        <v>-1.3557174532784266</v>
      </c>
      <c r="E22" s="654">
        <f>INDEX('qtrP&amp;L'!$14:$14,MATCH($A17,'qtrP&amp;L'!$6:$6,0)+2)</f>
        <v>-3</v>
      </c>
      <c r="G22" s="479">
        <f>C22-E22</f>
        <v>1.6442825467215734</v>
      </c>
      <c r="I22" s="773"/>
      <c r="K22" s="385">
        <f>AVERAGE(K18:K21)</f>
        <v>464.5</v>
      </c>
      <c r="M22" s="777"/>
      <c r="N22" s="261"/>
      <c r="O22" s="778"/>
      <c r="P22" s="261"/>
      <c r="R22" s="385">
        <f>INDEX('qtrP&amp;L'!$14:$14,MATCH($A17,'qtrP&amp;L'!$6:$6,0))</f>
        <v>15571</v>
      </c>
      <c r="T22" s="385">
        <f>R22</f>
        <v>15571</v>
      </c>
      <c r="V22" s="779">
        <f>IF(ISERROR(T22/K22),"NA",T22/K22)</f>
        <v>33.522066738428414</v>
      </c>
      <c r="X22" s="780" t="str">
        <f>IF(ISERROR(V22/V15),"NA",(V22/V15-1)*100)</f>
        <v>NA</v>
      </c>
      <c r="Z22" s="774"/>
      <c r="AB22" s="385">
        <f>AVERAGEA(AB18:AB21)</f>
        <v>85.006535947712422</v>
      </c>
      <c r="AD22" s="777"/>
      <c r="AE22" s="261"/>
      <c r="AF22" s="778"/>
      <c r="AG22" s="261"/>
      <c r="AI22" s="543">
        <f>SUM(AI18:AI21)</f>
        <v>15435</v>
      </c>
      <c r="AK22" s="782">
        <f>IF(ISERROR(AI22/AB22),"NA",AI22/AB22)</f>
        <v>181.57427341227125</v>
      </c>
      <c r="AM22" s="783"/>
    </row>
    <row r="23" spans="1:40" ht="10.5" hidden="1" customHeight="1" outlineLevel="1" x14ac:dyDescent="0.2">
      <c r="I23" s="773"/>
      <c r="K23" s="554"/>
      <c r="O23" s="792"/>
      <c r="R23" s="385"/>
      <c r="T23" s="385"/>
      <c r="X23" s="791"/>
      <c r="Z23" s="774"/>
      <c r="AB23" s="554"/>
      <c r="AF23" s="792"/>
      <c r="AM23" s="791"/>
    </row>
    <row r="24" spans="1:40" ht="10.5" hidden="1" customHeight="1" outlineLevel="1" x14ac:dyDescent="0.2">
      <c r="A24" s="772">
        <v>2003</v>
      </c>
      <c r="I24" s="773"/>
      <c r="K24" s="554"/>
      <c r="O24" s="792"/>
      <c r="R24" s="385"/>
      <c r="T24" s="385"/>
      <c r="X24" s="791"/>
      <c r="Z24" s="774"/>
      <c r="AB24" s="554"/>
      <c r="AF24" s="792"/>
      <c r="AK24" s="790"/>
      <c r="AM24" s="791"/>
    </row>
    <row r="25" spans="1:40" ht="10.5" hidden="1" customHeight="1" outlineLevel="1" x14ac:dyDescent="0.2">
      <c r="A25" s="261" t="s">
        <v>367</v>
      </c>
      <c r="C25" s="654">
        <f>INDEX('qtrP&amp;L'!$10:$10,MATCH($A24,'qtrP&amp;L'!$6:$6,0)+1)</f>
        <v>-4.6915725456125106</v>
      </c>
      <c r="D25" s="185" t="s">
        <v>93</v>
      </c>
      <c r="E25" s="654">
        <f>INDEX('qtrP&amp;L'!$10:$10,MATCH($A24,'qtrP&amp;L'!$6:$6,0)+2)</f>
        <v>-5</v>
      </c>
      <c r="F25" s="185" t="s">
        <v>93</v>
      </c>
      <c r="G25" s="479">
        <f>C25-E25</f>
        <v>0.30842745438748942</v>
      </c>
      <c r="H25" s="185" t="s">
        <v>93</v>
      </c>
      <c r="I25" s="775">
        <f>INDEX(stores!C$7:C$162,MATCH(A25,stores!A$7:A$162,0)+2)</f>
        <v>456</v>
      </c>
      <c r="J25" s="776">
        <f>I25-I21</f>
        <v>1</v>
      </c>
      <c r="K25" s="385">
        <f>AVERAGE(I25,I21)</f>
        <v>455.5</v>
      </c>
      <c r="M25" s="479">
        <f>(K25/K18-1)*100</f>
        <v>-1.193058568329719</v>
      </c>
      <c r="N25" s="185" t="s">
        <v>93</v>
      </c>
      <c r="O25" s="792">
        <f>(G25/M25)*100</f>
        <v>-25.851828449569545</v>
      </c>
      <c r="P25" s="185" t="s">
        <v>93</v>
      </c>
      <c r="R25" s="385">
        <f>INDEX('qtrP&amp;L'!$10:$10,MATCH($A24,'qtrP&amp;L'!$6:$6,0))</f>
        <v>3291</v>
      </c>
      <c r="T25" s="385">
        <f>R25</f>
        <v>3291</v>
      </c>
      <c r="V25" s="779">
        <f>IF(ISERROR(T25/K25),"NA",T25/K25)</f>
        <v>7.2250274423710206</v>
      </c>
      <c r="X25" s="780">
        <f>IF(ISERROR(V25/V18),"NA",(V25/V18-1)*100)</f>
        <v>-3.5407572854607494</v>
      </c>
      <c r="Y25" s="185" t="s">
        <v>93</v>
      </c>
      <c r="Z25" s="781">
        <f>INDEX(stores!C$205:C$360,MATCH(A25,stores!A$205:A$360,0))</f>
        <v>83.45098039215685</v>
      </c>
      <c r="AB25" s="385">
        <f>AVERAGEA(Z25,Z21)</f>
        <v>83.359477124183002</v>
      </c>
      <c r="AD25" s="479">
        <f>(AB25/AB18-1)*100</f>
        <v>-1.193058568329719</v>
      </c>
      <c r="AE25" s="185" t="s">
        <v>93</v>
      </c>
      <c r="AF25" s="792">
        <f>(G25/AD25)*100</f>
        <v>-25.851828449569545</v>
      </c>
      <c r="AG25" s="185" t="s">
        <v>93</v>
      </c>
      <c r="AI25" s="543">
        <f>T25</f>
        <v>3291</v>
      </c>
      <c r="AK25" s="782">
        <f>IF(ISERROR(AI25/AB25),"NA",AI25/AB25)</f>
        <v>39.479614238670223</v>
      </c>
      <c r="AM25" s="791">
        <f>(AK25/AK18-1)*100</f>
        <v>-3.5407572854607383</v>
      </c>
      <c r="AN25" s="185" t="s">
        <v>93</v>
      </c>
    </row>
    <row r="26" spans="1:40" ht="10.5" hidden="1" customHeight="1" outlineLevel="1" x14ac:dyDescent="0.2">
      <c r="A26" s="261" t="s">
        <v>368</v>
      </c>
      <c r="C26" s="654">
        <f>INDEX('qtrP&amp;L'!$11:$11,MATCH($A24,'qtrP&amp;L'!$6:$6,0)+1)</f>
        <v>-1.4916810097532984</v>
      </c>
      <c r="E26" s="654">
        <f>INDEX('qtrP&amp;L'!$11:$11,MATCH($A24,'qtrP&amp;L'!$6:$6,0)+2)</f>
        <v>-1.2</v>
      </c>
      <c r="G26" s="479">
        <f>C26-E26</f>
        <v>-0.29168100975329847</v>
      </c>
      <c r="I26" s="775">
        <f>INDEX(stores!C$7:C$162,MATCH(A26,stores!A$7:A$162,0)+2)</f>
        <v>460</v>
      </c>
      <c r="J26" s="776">
        <f>I26-I25</f>
        <v>4</v>
      </c>
      <c r="K26" s="385">
        <f>AVERAGE(I25:I26)</f>
        <v>458</v>
      </c>
      <c r="M26" s="479">
        <f>(K26/K19-1)*100</f>
        <v>-1.2931034482758674</v>
      </c>
      <c r="O26" s="792">
        <f>(G26/M26)*100</f>
        <v>22.556664754254989</v>
      </c>
      <c r="R26" s="385">
        <f>INDEX('qtrP&amp;L'!$11:$11,MATCH($A24,'qtrP&amp;L'!$6:$6,0))</f>
        <v>3434</v>
      </c>
      <c r="T26" s="385">
        <f>R26</f>
        <v>3434</v>
      </c>
      <c r="V26" s="784">
        <f>IF(ISERROR(T26/K26),"NA",T26/K26)</f>
        <v>7.4978165938864629</v>
      </c>
      <c r="X26" s="780">
        <f>IF(ISERROR(V26/V19),"NA",(V26/V19-1)*100)</f>
        <v>-0.20117901424788753</v>
      </c>
      <c r="Z26" s="781">
        <f>INDEX(stores!C$205:C$360,MATCH(A26,stores!A$205:A$360,0))</f>
        <v>83.45098039215685</v>
      </c>
      <c r="AB26" s="385">
        <f>AVERAGEA(Z25:Z26)</f>
        <v>83.45098039215685</v>
      </c>
      <c r="AD26" s="479">
        <f>(AB26/AB19-1)*100</f>
        <v>-1.7241379310344973</v>
      </c>
      <c r="AF26" s="792">
        <f>(G26/AD26)*100</f>
        <v>16.917498565691169</v>
      </c>
      <c r="AI26" s="385">
        <f>T26</f>
        <v>3434</v>
      </c>
      <c r="AK26" s="715">
        <f>IF(ISERROR(AI26/AB26),"NA",AI26/AB26)</f>
        <v>41.149906015037601</v>
      </c>
      <c r="AM26" s="791">
        <f>(AK26/AK19-1)*100</f>
        <v>0.23653511288261875</v>
      </c>
    </row>
    <row r="27" spans="1:40" ht="10.5" hidden="1" customHeight="1" outlineLevel="1" x14ac:dyDescent="0.2">
      <c r="A27" s="261" t="s">
        <v>369</v>
      </c>
      <c r="C27" s="654">
        <f>INDEX('qtrP&amp;L'!$12:$12,MATCH($A24,'qtrP&amp;L'!$6:$6,0)+1)</f>
        <v>0.2012072434607548</v>
      </c>
      <c r="E27" s="654">
        <f>INDEX('qtrP&amp;L'!$12:$12,MATCH($A24,'qtrP&amp;L'!$6:$6,0)+2)</f>
        <v>0.2</v>
      </c>
      <c r="G27" s="479">
        <f>C27-E27</f>
        <v>1.2072434607547922E-3</v>
      </c>
      <c r="I27" s="775">
        <f>INDEX(stores!C$7:C$162,MATCH(A27,stores!A$7:A$162,0)+2)</f>
        <v>465</v>
      </c>
      <c r="J27" s="776">
        <f>I27-I26</f>
        <v>5</v>
      </c>
      <c r="K27" s="385">
        <f>AVERAGE(I26:I27)</f>
        <v>462.5</v>
      </c>
      <c r="M27" s="479">
        <f>(K27/K20-1)*100</f>
        <v>-1.3859275053304865</v>
      </c>
      <c r="O27" s="792">
        <f>(G27/M27)*100</f>
        <v>-8.7107258937538332E-2</v>
      </c>
      <c r="R27" s="385">
        <f>INDEX('qtrP&amp;L'!$12:$12,MATCH($A24,'qtrP&amp;L'!$6:$6,0))</f>
        <v>3486</v>
      </c>
      <c r="T27" s="385">
        <f>R27</f>
        <v>3486</v>
      </c>
      <c r="V27" s="784">
        <f>IF(ISERROR(T27/K27),"NA",T27/K27)</f>
        <v>7.5372972972972976</v>
      </c>
      <c r="X27" s="780">
        <f>IF(ISERROR(V27/V20),"NA",(V27/V20-1)*100)</f>
        <v>1.6094404263418349</v>
      </c>
      <c r="Z27" s="781">
        <f>INDEX(stores!C$205:C$360,MATCH(A27,stores!A$205:A$360,0))</f>
        <v>84.183006535947712</v>
      </c>
      <c r="AB27" s="385">
        <f>AVERAGEA(Z26:Z27)</f>
        <v>83.816993464052274</v>
      </c>
      <c r="AD27" s="479">
        <f>(AB27/AB20-1)*100</f>
        <v>-2.3454157782516027</v>
      </c>
      <c r="AF27" s="792">
        <f>(G27/AD27)*100</f>
        <v>-5.1472471190363328E-2</v>
      </c>
      <c r="AI27" s="385">
        <f>T27</f>
        <v>3486</v>
      </c>
      <c r="AK27" s="715">
        <f>IF(ISERROR(AI27/AB27),"NA",AI27/AB27)</f>
        <v>41.5906113537118</v>
      </c>
      <c r="AM27" s="791">
        <f>(AK27/AK20-1)*100</f>
        <v>2.6077864567316755</v>
      </c>
    </row>
    <row r="28" spans="1:40" ht="10.5" hidden="1" customHeight="1" outlineLevel="1" x14ac:dyDescent="0.2">
      <c r="A28" s="261" t="s">
        <v>370</v>
      </c>
      <c r="C28" s="785">
        <f>INDEX('qtrP&amp;L'!$13:$13,MATCH($A24,'qtrP&amp;L'!$6:$6,0)+1)</f>
        <v>0.71756029499701057</v>
      </c>
      <c r="E28" s="785">
        <f>INDEX('qtrP&amp;L'!$13:$13,MATCH($A24,'qtrP&amp;L'!$6:$6,0)+2)</f>
        <v>1.4</v>
      </c>
      <c r="G28" s="786">
        <f>C28-E28</f>
        <v>-0.68243970500298934</v>
      </c>
      <c r="I28" s="775">
        <f>INDEX(stores!C$7:C$162,MATCH(A28,stores!A$7:A$162,0)+2)</f>
        <v>459</v>
      </c>
      <c r="J28" s="776">
        <f>I28-I27</f>
        <v>-6</v>
      </c>
      <c r="K28" s="607">
        <f>AVERAGE(I27:I28)</f>
        <v>462</v>
      </c>
      <c r="M28" s="786">
        <f>(K28/K21-1)*100</f>
        <v>-0.43103448275861878</v>
      </c>
      <c r="O28" s="793">
        <f>(G28/M28)*100</f>
        <v>158.32601156069424</v>
      </c>
      <c r="R28" s="607">
        <f>INDEX('qtrP&amp;L'!$13:$13,MATCH($A24,'qtrP&amp;L'!$6:$6,0))</f>
        <v>5053</v>
      </c>
      <c r="T28" s="607">
        <f>R28</f>
        <v>5053</v>
      </c>
      <c r="V28" s="787">
        <f>IF(ISERROR(T28/K28),"NA",T28/K28)</f>
        <v>10.937229437229437</v>
      </c>
      <c r="X28" s="788">
        <f>IF(ISERROR(V28/V21),"NA",(V28/V21-1)*100)</f>
        <v>1.1535670495208095</v>
      </c>
      <c r="Z28" s="781">
        <f>INDEX(stores!C$205:C$360,MATCH(A28,stores!A$205:A$360,0))</f>
        <v>85.098039215686271</v>
      </c>
      <c r="AB28" s="607">
        <f>AVERAGEA(Z27:Z28)</f>
        <v>84.640522875816998</v>
      </c>
      <c r="AD28" s="786">
        <f>(AB28/AB21-1)*100</f>
        <v>-0.3232758620689391</v>
      </c>
      <c r="AF28" s="793">
        <f>(G28/AD28)*100</f>
        <v>211.1013487476086</v>
      </c>
      <c r="AI28" s="607">
        <f>T28</f>
        <v>5053</v>
      </c>
      <c r="AK28" s="789">
        <f>IF(ISERROR(AI28/AB28),"NA",AI28/AB28)</f>
        <v>59.699536679536678</v>
      </c>
      <c r="AM28" s="794">
        <f>(AK28/AK21-1)*100</f>
        <v>1.0442118418996671</v>
      </c>
    </row>
    <row r="29" spans="1:40" ht="10.5" hidden="1" customHeight="1" outlineLevel="1" x14ac:dyDescent="0.2">
      <c r="A29" s="450" t="s">
        <v>56</v>
      </c>
      <c r="C29" s="654">
        <f>INDEX('qtrP&amp;L'!$14:$14,MATCH($A24,'qtrP&amp;L'!$6:$6,0)+1)</f>
        <v>-1.0211290218996805</v>
      </c>
      <c r="E29" s="654">
        <f>INDEX('qtrP&amp;L'!$14:$14,MATCH($A24,'qtrP&amp;L'!$6:$6,0)+2)</f>
        <v>-0.9</v>
      </c>
      <c r="G29" s="479">
        <f>C29-E29</f>
        <v>-0.12112902189968044</v>
      </c>
      <c r="I29" s="773"/>
      <c r="K29" s="385">
        <f>AVERAGE(K25:K28)</f>
        <v>459.5</v>
      </c>
      <c r="M29" s="479">
        <f>(K29/K22-1)*100</f>
        <v>-1.076426264800856</v>
      </c>
      <c r="O29" s="792">
        <f>(G29/M29)*100</f>
        <v>11.252886134480367</v>
      </c>
      <c r="R29" s="385">
        <f>INDEX('qtrP&amp;L'!$14:$14,MATCH($A24,'qtrP&amp;L'!$6:$6,0))</f>
        <v>15412</v>
      </c>
      <c r="T29" s="385">
        <f>R29</f>
        <v>15412</v>
      </c>
      <c r="V29" s="779">
        <f>IF(ISERROR(T29/K29),"NA",T29/K29)</f>
        <v>33.540805223068553</v>
      </c>
      <c r="X29" s="780">
        <f>IF(ISERROR(V29/V22),"NA",(V29/V22-1)*100)</f>
        <v>5.5898953922972616E-2</v>
      </c>
      <c r="Z29" s="774"/>
      <c r="AB29" s="385">
        <f>AVERAGEA(AB25:AB28)</f>
        <v>83.816993464052274</v>
      </c>
      <c r="AD29" s="479">
        <f>(AB29/AB22-1)*100</f>
        <v>-1.3993541442411384</v>
      </c>
      <c r="AF29" s="792">
        <f>(G29/AD29)*100</f>
        <v>8.6560662572924318</v>
      </c>
      <c r="AI29" s="543">
        <f>SUM(AI25:AI28)</f>
        <v>15264</v>
      </c>
      <c r="AK29" s="782">
        <f>IF(ISERROR(AI29/AB29),"NA",AI29/AB29)</f>
        <v>182.11104179663135</v>
      </c>
      <c r="AM29" s="791">
        <f>(AK29/AK22-1)*100</f>
        <v>0.2956191834188715</v>
      </c>
    </row>
    <row r="30" spans="1:40" ht="10.5" hidden="1" customHeight="1" outlineLevel="1" x14ac:dyDescent="0.2">
      <c r="I30" s="773"/>
      <c r="K30" s="385"/>
      <c r="O30" s="792"/>
      <c r="R30" s="385"/>
      <c r="T30" s="385"/>
      <c r="X30" s="791"/>
      <c r="Z30" s="774"/>
      <c r="AB30" s="385"/>
      <c r="AF30" s="792"/>
      <c r="AM30" s="791"/>
    </row>
    <row r="31" spans="1:40" ht="10.5" hidden="1" customHeight="1" outlineLevel="1" x14ac:dyDescent="0.2">
      <c r="A31" s="772">
        <v>2004</v>
      </c>
      <c r="I31" s="773"/>
      <c r="K31" s="385"/>
      <c r="O31" s="792"/>
      <c r="R31" s="385"/>
      <c r="T31" s="385"/>
      <c r="X31" s="791"/>
      <c r="Z31" s="774"/>
      <c r="AB31" s="385"/>
      <c r="AF31" s="792"/>
      <c r="AM31" s="791"/>
    </row>
    <row r="32" spans="1:40" ht="10.5" hidden="1" customHeight="1" outlineLevel="1" x14ac:dyDescent="0.2">
      <c r="A32" s="261" t="s">
        <v>371</v>
      </c>
      <c r="C32" s="654">
        <f>INDEX('qtrP&amp;L'!$10:$10,MATCH($A31,'qtrP&amp;L'!$6:$6,0)+1)</f>
        <v>7.8699483439683915</v>
      </c>
      <c r="D32" s="185" t="s">
        <v>93</v>
      </c>
      <c r="E32" s="654">
        <f>INDEX('qtrP&amp;L'!$10:$10,MATCH($A31,'qtrP&amp;L'!$6:$6,0)+2)</f>
        <v>6.9</v>
      </c>
      <c r="F32" s="185" t="s">
        <v>93</v>
      </c>
      <c r="G32" s="479">
        <f>C32-E32</f>
        <v>0.96994834396839114</v>
      </c>
      <c r="H32" s="185" t="s">
        <v>93</v>
      </c>
      <c r="I32" s="775">
        <f>INDEX(stores!C$7:C$162,MATCH(A32,stores!A$7:A$162,0)+2)</f>
        <v>459</v>
      </c>
      <c r="J32" s="795">
        <f>I32-I28</f>
        <v>0</v>
      </c>
      <c r="K32" s="385">
        <f>AVERAGE(I32,I28)</f>
        <v>459</v>
      </c>
      <c r="M32" s="479">
        <f>(K32/K25-1)*100</f>
        <v>0.76838638858396369</v>
      </c>
      <c r="N32" s="185" t="s">
        <v>93</v>
      </c>
      <c r="O32" s="796">
        <f>IF(ISERROR((G32/M32)),"NA",(G32/M32)*100)</f>
        <v>126.23184876503082</v>
      </c>
      <c r="P32" s="185" t="s">
        <v>93</v>
      </c>
      <c r="R32" s="385">
        <f>INDEX('qtrP&amp;L'!$10:$10,MATCH($A31,'qtrP&amp;L'!$6:$6,0))</f>
        <v>3550</v>
      </c>
      <c r="T32" s="385">
        <f>R32</f>
        <v>3550</v>
      </c>
      <c r="V32" s="779">
        <f>IF(ISERROR(T32/K32),"NA",T32/K32)</f>
        <v>7.7342047930283222</v>
      </c>
      <c r="X32" s="780">
        <f>IF(ISERROR(V32/V25),"NA",(V32/V25-1)*100)</f>
        <v>7.0474106114980506</v>
      </c>
      <c r="Y32" s="185" t="s">
        <v>93</v>
      </c>
      <c r="Z32" s="781">
        <f>INDEX(stores!C$205:C$360,MATCH(A32,stores!A$205:A$360,0))</f>
        <v>83.816993464052288</v>
      </c>
      <c r="AB32" s="385">
        <f>AVERAGEA(Z32,Z28)</f>
        <v>84.457516339869272</v>
      </c>
      <c r="AD32" s="479">
        <f>(AB32/AB25-1)*100</f>
        <v>1.3172338090010838</v>
      </c>
      <c r="AE32" s="185" t="s">
        <v>93</v>
      </c>
      <c r="AF32" s="792">
        <f>(G32/AD32)*100</f>
        <v>73.63524511293447</v>
      </c>
      <c r="AG32" s="185" t="s">
        <v>93</v>
      </c>
      <c r="AI32" s="543">
        <f>T32</f>
        <v>3550</v>
      </c>
      <c r="AK32" s="782">
        <f>IF(ISERROR(AI32/AB32),"NA",AI32/AB32)</f>
        <v>42.032967032967036</v>
      </c>
      <c r="AM32" s="791">
        <f>(AK32/AK25-1)*100</f>
        <v>6.4675221466470312</v>
      </c>
      <c r="AN32" s="185" t="s">
        <v>93</v>
      </c>
    </row>
    <row r="33" spans="1:40" ht="10.5" hidden="1" customHeight="1" outlineLevel="1" x14ac:dyDescent="0.2">
      <c r="A33" s="261" t="s">
        <v>372</v>
      </c>
      <c r="C33" s="654">
        <f>INDEX('qtrP&amp;L'!$11:$11,MATCH($A31,'qtrP&amp;L'!$6:$6,0)+1)</f>
        <v>4.2807221898660375</v>
      </c>
      <c r="E33" s="654">
        <f>INDEX('qtrP&amp;L'!$11:$11,MATCH($A31,'qtrP&amp;L'!$6:$6,0)+2)</f>
        <v>3.3</v>
      </c>
      <c r="G33" s="479">
        <f>C33-E33</f>
        <v>0.98072218986603765</v>
      </c>
      <c r="I33" s="775">
        <f>INDEX(stores!C$7:C$162,MATCH(A33,stores!A$7:A$162,0)+2)</f>
        <v>457</v>
      </c>
      <c r="J33" s="776">
        <f>I33-I32</f>
        <v>-2</v>
      </c>
      <c r="K33" s="385">
        <f>AVERAGE(I32:I33)</f>
        <v>458</v>
      </c>
      <c r="M33" s="479">
        <f>(K33/K26-1)*100</f>
        <v>0</v>
      </c>
      <c r="O33" s="796" t="str">
        <f>IF(ISERROR((G33/M33)),"NA",(G33/M33)*100)</f>
        <v>NA</v>
      </c>
      <c r="R33" s="385">
        <f>INDEX('qtrP&amp;L'!$11:$11,MATCH($A31,'qtrP&amp;L'!$6:$6,0))</f>
        <v>3581</v>
      </c>
      <c r="T33" s="385">
        <f>R33</f>
        <v>3581</v>
      </c>
      <c r="V33" s="784">
        <f>IF(ISERROR(T33/K33),"NA",T33/K33)</f>
        <v>7.818777292576419</v>
      </c>
      <c r="X33" s="780">
        <f>IF(ISERROR(V33/V26),"NA",(V33/V26-1)*100)</f>
        <v>4.2807221898660375</v>
      </c>
      <c r="Z33" s="781">
        <f>INDEX(stores!C$205:C$360,MATCH(A33,stores!A$205:A$360,0))</f>
        <v>83.633986928104576</v>
      </c>
      <c r="AB33" s="385">
        <f>AVERAGEA(Z32:Z33)</f>
        <v>83.725490196078425</v>
      </c>
      <c r="AD33" s="479">
        <f>(AB33/AB26-1)*100</f>
        <v>0.32894736842106198</v>
      </c>
      <c r="AF33" s="792">
        <f>(G33/AD33)*100</f>
        <v>298.13954571926695</v>
      </c>
      <c r="AI33" s="385">
        <f>T33</f>
        <v>3581</v>
      </c>
      <c r="AK33" s="715">
        <f>IF(ISERROR(AI33/AB33),"NA",AI33/AB33)</f>
        <v>42.770725995316162</v>
      </c>
      <c r="AM33" s="791">
        <f>(AK33/AK26-1)*100</f>
        <v>3.9388181826861546</v>
      </c>
    </row>
    <row r="34" spans="1:40" ht="10.5" hidden="1" customHeight="1" outlineLevel="1" x14ac:dyDescent="0.2">
      <c r="A34" s="261" t="s">
        <v>373</v>
      </c>
      <c r="C34" s="654">
        <f>INDEX('qtrP&amp;L'!$12:$12,MATCH($A31,'qtrP&amp;L'!$6:$6,0)+1)</f>
        <v>1.1187607573149849</v>
      </c>
      <c r="E34" s="654">
        <f>INDEX('qtrP&amp;L'!$12:$12,MATCH($A31,'qtrP&amp;L'!$6:$6,0)+2)</f>
        <v>0.4</v>
      </c>
      <c r="G34" s="479">
        <f>C34-E34</f>
        <v>0.7187607573149849</v>
      </c>
      <c r="I34" s="775">
        <f>INDEX(stores!C$7:C$162,MATCH(A34,stores!A$7:A$162,0)+2)</f>
        <v>459</v>
      </c>
      <c r="J34" s="776">
        <f>I34-I33</f>
        <v>2</v>
      </c>
      <c r="K34" s="385">
        <f>AVERAGE(I33:I34)</f>
        <v>458</v>
      </c>
      <c r="M34" s="479">
        <f>(K34/K27-1)*100</f>
        <v>-0.97297297297297414</v>
      </c>
      <c r="O34" s="792">
        <f>(G34/M34)*100</f>
        <v>-73.872633390706682</v>
      </c>
      <c r="R34" s="385">
        <f>INDEX('qtrP&amp;L'!$12:$12,MATCH($A31,'qtrP&amp;L'!$6:$6,0))</f>
        <v>3525</v>
      </c>
      <c r="T34" s="385">
        <f>R34</f>
        <v>3525</v>
      </c>
      <c r="V34" s="784">
        <f>IF(ISERROR(T34/K34),"NA",T34/K34)</f>
        <v>7.6965065502183405</v>
      </c>
      <c r="X34" s="780">
        <f>IF(ISERROR(V34/V27),"NA",(V34/V27-1)*100)</f>
        <v>2.1122856992536576</v>
      </c>
      <c r="Z34" s="781">
        <f>INDEX(stores!C$205:C$360,MATCH(A34,stores!A$205:A$360,0))</f>
        <v>83.633986928104576</v>
      </c>
      <c r="AB34" s="385">
        <f>AVERAGEA(Z33:Z34)</f>
        <v>83.633986928104576</v>
      </c>
      <c r="AD34" s="479">
        <f>(AB34/AB27-1)*100</f>
        <v>-0.21834061135369565</v>
      </c>
      <c r="AF34" s="792">
        <f>(G34/AD34)*100</f>
        <v>-329.19242685028746</v>
      </c>
      <c r="AI34" s="385">
        <f>T34</f>
        <v>3525</v>
      </c>
      <c r="AK34" s="715">
        <f>IF(ISERROR(AI34/AB34),"NA",AI34/AB34)</f>
        <v>42.147936855267268</v>
      </c>
      <c r="AM34" s="791">
        <f>(AK34/AK27-1)*100</f>
        <v>1.3400271922324736</v>
      </c>
    </row>
    <row r="35" spans="1:40" ht="10.5" hidden="1" customHeight="1" outlineLevel="1" x14ac:dyDescent="0.2">
      <c r="A35" s="261" t="s">
        <v>374</v>
      </c>
      <c r="C35" s="785">
        <f>INDEX('qtrP&amp;L'!$13:$13,MATCH($A31,'qtrP&amp;L'!$6:$6,0)+1)</f>
        <v>1.3259449831783066</v>
      </c>
      <c r="E35" s="785">
        <f>INDEX('qtrP&amp;L'!$13:$13,MATCH($A31,'qtrP&amp;L'!$6:$6,0)+2)</f>
        <v>0.8</v>
      </c>
      <c r="G35" s="786">
        <f>C35-E35</f>
        <v>0.52594498317830651</v>
      </c>
      <c r="I35" s="775">
        <f>INDEX(stores!C$7:C$162,MATCH(A35,stores!A$7:A$162,0)+2)</f>
        <v>459</v>
      </c>
      <c r="J35" s="776">
        <f>I35-I34</f>
        <v>0</v>
      </c>
      <c r="K35" s="607">
        <f>AVERAGE(I34:I35)</f>
        <v>459</v>
      </c>
      <c r="M35" s="786">
        <f>(K35/K28-1)*100</f>
        <v>-0.64935064935064402</v>
      </c>
      <c r="O35" s="793">
        <f>(G35/M35)*100</f>
        <v>-80.995527409459868</v>
      </c>
      <c r="R35" s="607">
        <f>INDEX('qtrP&amp;L'!$13:$13,MATCH($A31,'qtrP&amp;L'!$6:$6,0))</f>
        <v>5120</v>
      </c>
      <c r="T35" s="607">
        <f>R35</f>
        <v>5120</v>
      </c>
      <c r="V35" s="787">
        <f>IF(ISERROR(T35/K35),"NA",T35/K35)</f>
        <v>11.154684095860567</v>
      </c>
      <c r="X35" s="788">
        <f>IF(ISERROR(V35/V28),"NA",(V35/V28-1)*100)</f>
        <v>1.9882060614997421</v>
      </c>
      <c r="Z35" s="781">
        <f>INDEX(stores!C$205:C$360,MATCH(A35,stores!A$205:A$360,0))</f>
        <v>84</v>
      </c>
      <c r="AB35" s="607">
        <f>AVERAGEA(Z34:Z35)</f>
        <v>83.816993464052288</v>
      </c>
      <c r="AD35" s="786">
        <f>(AB35/AB28-1)*100</f>
        <v>-0.97297297297297414</v>
      </c>
      <c r="AF35" s="793">
        <f>(G35/AD35)*100</f>
        <v>-54.055456604436991</v>
      </c>
      <c r="AI35" s="607">
        <f>T35</f>
        <v>5120</v>
      </c>
      <c r="AK35" s="789">
        <f>IF(ISERROR(AI35/AB35),"NA",AI35/AB35)</f>
        <v>61.085464753587026</v>
      </c>
      <c r="AM35" s="794">
        <f>(AK35/AK28-1)*100</f>
        <v>2.3215055779912008</v>
      </c>
    </row>
    <row r="36" spans="1:40" ht="10.5" hidden="1" customHeight="1" outlineLevel="1" x14ac:dyDescent="0.2">
      <c r="A36" s="450" t="s">
        <v>56</v>
      </c>
      <c r="C36" s="654">
        <f>INDEX('qtrP&amp;L'!$14:$14,MATCH($A31,'qtrP&amp;L'!$6:$6,0)+1)</f>
        <v>2.361796003114458</v>
      </c>
      <c r="E36" s="654">
        <f>INDEX('qtrP&amp;L'!$14:$14,MATCH($A31,'qtrP&amp;L'!$6:$6,0)+2)</f>
        <v>2.6</v>
      </c>
      <c r="G36" s="479">
        <f>C36-E36</f>
        <v>-0.23820399688554206</v>
      </c>
      <c r="I36" s="773"/>
      <c r="K36" s="385">
        <f>AVERAGE(K32:K35)</f>
        <v>458.5</v>
      </c>
      <c r="M36" s="479">
        <f>(K36/K29-1)*100</f>
        <v>-0.21762785636560977</v>
      </c>
      <c r="O36" s="792">
        <f>(G36/M36)*100</f>
        <v>109.4547365689091</v>
      </c>
      <c r="R36" s="385">
        <f>INDEX('qtrP&amp;L'!$14:$14,MATCH($A31,'qtrP&amp;L'!$6:$6,0))</f>
        <v>15776</v>
      </c>
      <c r="T36" s="385">
        <f>R36</f>
        <v>15776</v>
      </c>
      <c r="V36" s="779">
        <f>IF(ISERROR(T36/K36),"NA",T36/K36)</f>
        <v>34.407851690294436</v>
      </c>
      <c r="X36" s="780">
        <f>IF(ISERROR(V36/V29),"NA",(V36/V29-1)*100)</f>
        <v>2.585049647614146</v>
      </c>
      <c r="Z36" s="774"/>
      <c r="AB36" s="385">
        <f>AVERAGEA(AB32:AB35)</f>
        <v>83.908496732026137</v>
      </c>
      <c r="AD36" s="479">
        <f>(AB36/AB29-1)*100</f>
        <v>0.10917030567685337</v>
      </c>
      <c r="AF36" s="792">
        <f>(G36/AD36)*100</f>
        <v>-218.19486114716159</v>
      </c>
      <c r="AI36" s="543">
        <f>SUM(AI32:AI35)</f>
        <v>15776</v>
      </c>
      <c r="AK36" s="782">
        <f>IF(ISERROR(AI36/AB36),"NA",AI36/AB36)</f>
        <v>188.01433245053749</v>
      </c>
      <c r="AM36" s="791">
        <f>(AK36/AK29-1)*100</f>
        <v>3.2415885361297914</v>
      </c>
    </row>
    <row r="37" spans="1:40" ht="10.5" hidden="1" customHeight="1" outlineLevel="1" x14ac:dyDescent="0.2">
      <c r="I37" s="773"/>
      <c r="K37" s="385"/>
      <c r="O37" s="792"/>
      <c r="R37" s="385"/>
      <c r="T37" s="385"/>
      <c r="X37" s="791"/>
      <c r="Z37" s="774"/>
      <c r="AB37" s="385"/>
      <c r="AF37" s="792"/>
      <c r="AM37" s="791"/>
    </row>
    <row r="38" spans="1:40" ht="10.5" hidden="1" customHeight="1" outlineLevel="1" x14ac:dyDescent="0.2">
      <c r="A38" s="772">
        <v>2005</v>
      </c>
      <c r="I38" s="773"/>
      <c r="K38" s="385"/>
      <c r="O38" s="792"/>
      <c r="R38" s="385"/>
      <c r="T38" s="385"/>
      <c r="X38" s="791"/>
      <c r="Z38" s="774"/>
      <c r="AB38" s="385"/>
      <c r="AF38" s="792"/>
      <c r="AM38" s="791"/>
    </row>
    <row r="39" spans="1:40" ht="10.5" hidden="1" customHeight="1" outlineLevel="1" x14ac:dyDescent="0.2">
      <c r="A39" s="261" t="s">
        <v>375</v>
      </c>
      <c r="C39" s="654">
        <f>INDEX('qtrP&amp;L'!$10:$10,MATCH($A38,'qtrP&amp;L'!$6:$6,0)+1)</f>
        <v>2.5633802816901419</v>
      </c>
      <c r="D39" s="185" t="s">
        <v>93</v>
      </c>
      <c r="E39" s="654">
        <f>INDEX('qtrP&amp;L'!$10:$10,MATCH($A38,'qtrP&amp;L'!$6:$6,0)+2)</f>
        <v>2.6</v>
      </c>
      <c r="F39" s="185" t="s">
        <v>93</v>
      </c>
      <c r="G39" s="479">
        <f>C39-E39</f>
        <v>-3.6619718309858218E-2</v>
      </c>
      <c r="H39" s="185" t="s">
        <v>93</v>
      </c>
      <c r="I39" s="775">
        <f>INDEX(stores!C$7:C$162,MATCH(A39,stores!A$7:A$162,0)+2)</f>
        <v>459</v>
      </c>
      <c r="J39" s="776">
        <f>I39-I35</f>
        <v>0</v>
      </c>
      <c r="K39" s="385">
        <f>AVERAGE(I39,I35)</f>
        <v>459</v>
      </c>
      <c r="M39" s="479">
        <f>(K39/K32-1)*100</f>
        <v>0</v>
      </c>
      <c r="N39" s="185" t="s">
        <v>93</v>
      </c>
      <c r="O39" s="796" t="str">
        <f>IF(ISERROR((G39/M39)),"NA",(G39/M39)*100)</f>
        <v>NA</v>
      </c>
      <c r="P39" s="185" t="s">
        <v>93</v>
      </c>
      <c r="R39" s="385">
        <f>INDEX('qtrP&amp;L'!$10:$10,MATCH($A38,'qtrP&amp;L'!$6:$6,0))</f>
        <v>3641</v>
      </c>
      <c r="T39" s="385">
        <f>R39</f>
        <v>3641</v>
      </c>
      <c r="V39" s="779">
        <f>IF(ISERROR(T39/K39),"NA",T39/K39)</f>
        <v>7.9324618736383439</v>
      </c>
      <c r="X39" s="780">
        <f>IF(ISERROR(V39/V32),"NA",(V39/V32-1)*100)</f>
        <v>2.5633802816901419</v>
      </c>
      <c r="Y39" s="185" t="s">
        <v>93</v>
      </c>
      <c r="Z39" s="781">
        <f>INDEX(stores!C$205:C$360,MATCH(A39,stores!A$205:A$360,0))</f>
        <v>84</v>
      </c>
      <c r="AB39" s="385">
        <f>AVERAGEA(Z39,Z35)</f>
        <v>84</v>
      </c>
      <c r="AD39" s="479">
        <f>(AB39/AB32-1)*100</f>
        <v>-0.54171180931743557</v>
      </c>
      <c r="AE39" s="185" t="s">
        <v>93</v>
      </c>
      <c r="AF39" s="792">
        <f>(G39/AD39)*100</f>
        <v>6.7599999999999216</v>
      </c>
      <c r="AG39" s="185" t="s">
        <v>93</v>
      </c>
      <c r="AI39" s="543">
        <f>T39</f>
        <v>3641</v>
      </c>
      <c r="AK39" s="782">
        <f>IF(ISERROR(AI39/AB39),"NA",AI39/AB39)</f>
        <v>43.345238095238095</v>
      </c>
      <c r="AM39" s="791">
        <f>(AK39/AK32-1)*100</f>
        <v>3.1220043572984579</v>
      </c>
      <c r="AN39" s="185" t="s">
        <v>93</v>
      </c>
    </row>
    <row r="40" spans="1:40" ht="10.5" hidden="1" customHeight="1" outlineLevel="1" x14ac:dyDescent="0.2">
      <c r="A40" s="261" t="s">
        <v>376</v>
      </c>
      <c r="C40" s="654">
        <f>INDEX('qtrP&amp;L'!$11:$11,MATCH($A38,'qtrP&amp;L'!$6:$6,0)+1)</f>
        <v>1.1728567439262871</v>
      </c>
      <c r="E40" s="654">
        <f>INDEX('qtrP&amp;L'!$11:$11,MATCH($A38,'qtrP&amp;L'!$6:$6,0)+2)</f>
        <v>1.1000000000000001</v>
      </c>
      <c r="G40" s="479">
        <f>C40-E40</f>
        <v>7.2856743926287049E-2</v>
      </c>
      <c r="I40" s="775">
        <f>INDEX(stores!C$7:C$162,MATCH(A40,stores!A$7:A$162,0)+2)</f>
        <v>460</v>
      </c>
      <c r="J40" s="776">
        <f>I40-I39</f>
        <v>1</v>
      </c>
      <c r="K40" s="385">
        <f>AVERAGE(I39:I40)</f>
        <v>459.5</v>
      </c>
      <c r="M40" s="479">
        <f>(K40/K33-1)*100</f>
        <v>0.32751091703056012</v>
      </c>
      <c r="O40" s="796">
        <f>IF(ISERROR((G40/M40)),"NA",(G40/M40)*100)</f>
        <v>22.245592478826826</v>
      </c>
      <c r="R40" s="385">
        <f>INDEX('qtrP&amp;L'!$11:$11,MATCH($A38,'qtrP&amp;L'!$6:$6,0))</f>
        <v>3623</v>
      </c>
      <c r="T40" s="385">
        <f>R40</f>
        <v>3623</v>
      </c>
      <c r="V40" s="784">
        <f>IF(ISERROR(T40/K40),"NA",T40/K40)</f>
        <v>7.8846572361262242</v>
      </c>
      <c r="X40" s="780">
        <f>IF(ISERROR(V40/V33),"NA",(V40/V33-1)*100)</f>
        <v>0.84258626489279731</v>
      </c>
      <c r="Z40" s="781">
        <f>INDEX(stores!C$205:C$360,MATCH(A40,stores!A$205:A$360,0))</f>
        <v>84.183006535947712</v>
      </c>
      <c r="AB40" s="385">
        <f>AVERAGEA(Z39:Z40)</f>
        <v>84.091503267973849</v>
      </c>
      <c r="AD40" s="479">
        <f>(AB40/AB33-1)*100</f>
        <v>0.43715846994536456</v>
      </c>
      <c r="AF40" s="792">
        <f>(G40/AD40)*100</f>
        <v>16.665980173137807</v>
      </c>
      <c r="AI40" s="385">
        <f>T40</f>
        <v>3623</v>
      </c>
      <c r="AK40" s="715">
        <f>IF(ISERROR(AI40/AB40),"NA",AI40/AB40)</f>
        <v>43.084019897404012</v>
      </c>
      <c r="AM40" s="791">
        <f>(AK40/AK33-1)*100</f>
        <v>0.73249610521495256</v>
      </c>
    </row>
    <row r="41" spans="1:40" ht="10.5" hidden="1" customHeight="1" outlineLevel="1" x14ac:dyDescent="0.2">
      <c r="A41" s="261" t="s">
        <v>377</v>
      </c>
      <c r="C41" s="654">
        <f>INDEX('qtrP&amp;L'!$12:$12,MATCH($A38,'qtrP&amp;L'!$6:$6,0)+1)</f>
        <v>57.588652482269495</v>
      </c>
      <c r="E41" s="654">
        <f>INDEX('qtrP&amp;L'!$12:$12,MATCH($A38,'qtrP&amp;L'!$6:$6,0)+2)</f>
        <v>0.6</v>
      </c>
      <c r="G41" s="479">
        <f>C41-E41</f>
        <v>56.988652482269494</v>
      </c>
      <c r="I41" s="775">
        <f>INDEX(stores!C$7:C$162,MATCH(A41,stores!A$7:A$162,0)+2)</f>
        <v>935</v>
      </c>
      <c r="J41" s="776">
        <f>I41-I40</f>
        <v>475</v>
      </c>
      <c r="K41" s="385">
        <f>AVERAGE(I40:I41)</f>
        <v>697.5</v>
      </c>
      <c r="M41" s="479">
        <f>(K41/K34-1)*100</f>
        <v>52.292576419213965</v>
      </c>
      <c r="O41" s="792">
        <f>(G41/M41)*100</f>
        <v>108.98038762788906</v>
      </c>
      <c r="R41" s="385">
        <f>INDEX('qtrP&amp;L'!$12:$12,MATCH($A38,'qtrP&amp;L'!$6:$6,0))</f>
        <v>5555</v>
      </c>
      <c r="T41" s="385">
        <f>R41</f>
        <v>5555</v>
      </c>
      <c r="V41" s="784">
        <f>IF(ISERROR(T41/K41),"NA",T41/K41)</f>
        <v>7.9641577060931903</v>
      </c>
      <c r="X41" s="780">
        <f>IF(ISERROR(V41/V34),"NA",(V41/V34-1)*100)</f>
        <v>3.4775667912249952</v>
      </c>
      <c r="Z41" s="781">
        <f>INDEX(stores!C$205:C$360,MATCH(A41,stores!A$205:A$360,0))</f>
        <v>84</v>
      </c>
      <c r="AB41" s="385">
        <f>AVERAGEA(Z40:Z41)</f>
        <v>84.091503267973849</v>
      </c>
      <c r="AD41" s="479">
        <f>(AB41/AB34-1)*100</f>
        <v>0.54704595185994798</v>
      </c>
      <c r="AF41" s="792">
        <f>(G41/AD41)*100</f>
        <v>10417.525673759021</v>
      </c>
      <c r="AI41" s="385">
        <f>T41</f>
        <v>5555</v>
      </c>
      <c r="AK41" s="715">
        <f>IF(ISERROR(AI41/AB41),"NA",AI41/AB41)</f>
        <v>66.058992693921965</v>
      </c>
      <c r="AM41" s="791">
        <f>(AK41/AK34-1)*100</f>
        <v>56.731260466587962</v>
      </c>
    </row>
    <row r="42" spans="1:40" ht="10.5" hidden="1" customHeight="1" outlineLevel="1" x14ac:dyDescent="0.2">
      <c r="A42" s="261" t="s">
        <v>378</v>
      </c>
      <c r="C42" s="785">
        <f>INDEX('qtrP&amp;L'!$13:$13,MATCH($A38,'qtrP&amp;L'!$6:$6,0)+1)</f>
        <v>86.93359375</v>
      </c>
      <c r="E42" s="785">
        <f>INDEX('qtrP&amp;L'!$13:$13,MATCH($A38,'qtrP&amp;L'!$6:$6,0)+2)</f>
        <v>1.1000000000000001</v>
      </c>
      <c r="G42" s="786">
        <f>C42-E42</f>
        <v>85.833593750000006</v>
      </c>
      <c r="I42" s="775">
        <f>INDEX(stores!C$7:C$162,MATCH(A42,stores!A$7:A$162,0)+2)</f>
        <v>868</v>
      </c>
      <c r="J42" s="776">
        <f>I42-I41</f>
        <v>-67</v>
      </c>
      <c r="K42" s="607">
        <f>AVERAGE(I41:I42)</f>
        <v>901.5</v>
      </c>
      <c r="M42" s="786">
        <f>(K42/K35-1)*100</f>
        <v>96.405228758169926</v>
      </c>
      <c r="O42" s="793">
        <f>(G42/M42)*100</f>
        <v>89.034168432203415</v>
      </c>
      <c r="R42" s="607">
        <f>INDEX('qtrP&amp;L'!$13:$13,MATCH($A38,'qtrP&amp;L'!$6:$6,0))</f>
        <v>9571</v>
      </c>
      <c r="T42" s="607">
        <f>R42</f>
        <v>9571</v>
      </c>
      <c r="V42" s="787">
        <f>IF(ISERROR(T42/K42),"NA",T42/K42)</f>
        <v>10.616749861342207</v>
      </c>
      <c r="X42" s="788">
        <f>IF(ISERROR(V42/V35),"NA",(V42/V35-1)*100)</f>
        <v>-4.8224963602329529</v>
      </c>
      <c r="Z42" s="781">
        <f>INDEX(stores!C$205:C$360,MATCH(A42,stores!A$205:A$360,0))</f>
        <v>171.11111111111109</v>
      </c>
      <c r="AB42" s="607">
        <f>AVERAGEA(Z41:Z42)</f>
        <v>127.55555555555554</v>
      </c>
      <c r="AD42" s="786">
        <f>(AB42/AB35-1)*100</f>
        <v>52.18340611353711</v>
      </c>
      <c r="AF42" s="793">
        <f>(G42/AD42)*100</f>
        <v>164.48445998953977</v>
      </c>
      <c r="AI42" s="607">
        <f>T42</f>
        <v>9571</v>
      </c>
      <c r="AK42" s="789">
        <f>IF(ISERROR(AI42/AB42),"NA",AI42/AB42)</f>
        <v>75.033972125435554</v>
      </c>
      <c r="AM42" s="794">
        <f>(AK42/AK35-1)*100</f>
        <v>22.834413109756113</v>
      </c>
    </row>
    <row r="43" spans="1:40" ht="10.5" hidden="1" customHeight="1" outlineLevel="1" x14ac:dyDescent="0.2">
      <c r="A43" s="450" t="s">
        <v>56</v>
      </c>
      <c r="C43" s="654">
        <f>INDEX('qtrP&amp;L'!$14:$14,MATCH($A38,'qtrP&amp;L'!$6:$6,0)+1)</f>
        <v>41.924442190669374</v>
      </c>
      <c r="E43" s="654">
        <f>INDEX('qtrP&amp;L'!$14:$14,MATCH($A38,'qtrP&amp;L'!$6:$6,0)+2)</f>
        <v>1.3</v>
      </c>
      <c r="G43" s="479">
        <f>C43-E43</f>
        <v>40.624442190669377</v>
      </c>
      <c r="I43" s="773"/>
      <c r="K43" s="385">
        <f>AVERAGE(K39:K42)</f>
        <v>629.375</v>
      </c>
      <c r="M43" s="479">
        <f>(K43/K36-1)*100</f>
        <v>37.268266085059977</v>
      </c>
      <c r="O43" s="792">
        <f>(G43/M43)*100</f>
        <v>109.00545278374199</v>
      </c>
      <c r="R43" s="385">
        <f>INDEX('qtrP&amp;L'!$14:$14,MATCH($A38,'qtrP&amp;L'!$6:$6,0))</f>
        <v>22390</v>
      </c>
      <c r="T43" s="385">
        <f>R43</f>
        <v>22390</v>
      </c>
      <c r="V43" s="779">
        <f>IF(ISERROR(T43/K43),"NA",T43/K43)</f>
        <v>35.574975173783514</v>
      </c>
      <c r="X43" s="780">
        <f>IF(ISERROR(V43/V36),"NA",(V43/V36-1)*100)</f>
        <v>3.3920266048411696</v>
      </c>
      <c r="Z43" s="774"/>
      <c r="AB43" s="385">
        <f>AVERAGEA(AB39:AB42)</f>
        <v>94.93464052287581</v>
      </c>
      <c r="AD43" s="479">
        <f>(AB43/AB36-1)*100</f>
        <v>13.140676117775364</v>
      </c>
      <c r="AF43" s="792">
        <f>(G43/AD43)*100</f>
        <v>309.15031940949206</v>
      </c>
      <c r="AI43" s="543">
        <f>SUM(AI39:AI42)</f>
        <v>22390</v>
      </c>
      <c r="AK43" s="782">
        <f>IF(ISERROR(AI43/AB43),"NA",AI43/AB43)</f>
        <v>235.84647160068849</v>
      </c>
      <c r="AM43" s="791">
        <f>(AK43/AK36-1)*100</f>
        <v>25.440687700090425</v>
      </c>
    </row>
    <row r="44" spans="1:40" ht="10.5" hidden="1" customHeight="1" outlineLevel="1" x14ac:dyDescent="0.2">
      <c r="I44" s="773"/>
      <c r="K44" s="385"/>
      <c r="O44" s="792"/>
      <c r="R44" s="385"/>
      <c r="T44" s="385"/>
      <c r="X44" s="791"/>
      <c r="Z44" s="774"/>
      <c r="AB44" s="385"/>
      <c r="AF44" s="792"/>
      <c r="AM44" s="791"/>
    </row>
    <row r="45" spans="1:40" ht="10.5" hidden="1" customHeight="1" outlineLevel="1" x14ac:dyDescent="0.2">
      <c r="A45" s="772">
        <v>2006</v>
      </c>
      <c r="I45" s="773"/>
      <c r="K45" s="385"/>
      <c r="O45" s="792"/>
      <c r="R45" s="385"/>
      <c r="T45" s="385"/>
      <c r="X45" s="791"/>
      <c r="Z45" s="774"/>
      <c r="AB45" s="385"/>
      <c r="AF45" s="792"/>
      <c r="AM45" s="791"/>
    </row>
    <row r="46" spans="1:40" ht="10.5" hidden="1" customHeight="1" outlineLevel="1" x14ac:dyDescent="0.2">
      <c r="A46" s="261" t="s">
        <v>379</v>
      </c>
      <c r="C46" s="654">
        <f>INDEX('qtrP&amp;L'!$10:$10,MATCH($A45,'qtrP&amp;L'!$6:$6,0)+1)</f>
        <v>62.867344136226322</v>
      </c>
      <c r="D46" s="185" t="s">
        <v>93</v>
      </c>
      <c r="E46" s="654">
        <f>INDEX('qtrP&amp;L'!$10:$10,MATCH($A45,'qtrP&amp;L'!$6:$6,0)+2)</f>
        <v>0</v>
      </c>
      <c r="F46" s="185" t="s">
        <v>93</v>
      </c>
      <c r="G46" s="479">
        <f>C46-E46</f>
        <v>62.867344136226322</v>
      </c>
      <c r="H46" s="185" t="s">
        <v>93</v>
      </c>
      <c r="I46" s="775">
        <f>INDEX(stores!C$7:C$162,MATCH(A46,stores!A$7:A$162,0)+2)</f>
        <v>861</v>
      </c>
      <c r="J46" s="776">
        <f>I46-I42</f>
        <v>-7</v>
      </c>
      <c r="K46" s="385">
        <f>AVERAGE(I46,I42)</f>
        <v>864.5</v>
      </c>
      <c r="M46" s="479">
        <f>(K46/K39-1)*100</f>
        <v>88.344226579520708</v>
      </c>
      <c r="N46" s="185" t="s">
        <v>93</v>
      </c>
      <c r="O46" s="792">
        <f>(G46/M46)*100</f>
        <v>71.161802610426335</v>
      </c>
      <c r="P46" s="185" t="s">
        <v>93</v>
      </c>
      <c r="R46" s="385">
        <f>INDEX('qtrP&amp;L'!$10:$10,MATCH($A45,'qtrP&amp;L'!$6:$6,0))</f>
        <v>5930</v>
      </c>
      <c r="T46" s="385">
        <f>R46</f>
        <v>5930</v>
      </c>
      <c r="V46" s="779">
        <f>IF(ISERROR(T46/K46),"NA",T46/K46)</f>
        <v>6.8594563331405434</v>
      </c>
      <c r="X46" s="780">
        <f>IF(ISERROR(V46/V39),"NA",(V46/V39-1)*100)</f>
        <v>-13.526765808527619</v>
      </c>
      <c r="Y46" s="185" t="s">
        <v>93</v>
      </c>
      <c r="Z46" s="781">
        <f>INDEX(stores!C$205:C$360,MATCH(A46,stores!A$205:A$360,0))</f>
        <v>158.84967320261435</v>
      </c>
      <c r="AB46" s="385">
        <f>AVERAGEA(Z46,Z42)</f>
        <v>164.98039215686271</v>
      </c>
      <c r="AD46" s="479">
        <f>(AB46/AB39-1)*100</f>
        <v>96.405228758169883</v>
      </c>
      <c r="AE46" s="185" t="s">
        <v>93</v>
      </c>
      <c r="AF46" s="792">
        <f>(G46/AD46)*100</f>
        <v>65.21155018876361</v>
      </c>
      <c r="AG46" s="185" t="s">
        <v>93</v>
      </c>
      <c r="AI46" s="543">
        <f>T46</f>
        <v>5930</v>
      </c>
      <c r="AK46" s="782">
        <f>IF(ISERROR(AI46/AB46),"NA",AI46/AB46)</f>
        <v>35.943665319705261</v>
      </c>
      <c r="AM46" s="791">
        <f>(AK46/AK39-1)*100</f>
        <v>-17.075861388210878</v>
      </c>
      <c r="AN46" s="185" t="s">
        <v>93</v>
      </c>
    </row>
    <row r="47" spans="1:40" ht="10.5" hidden="1" customHeight="1" outlineLevel="1" x14ac:dyDescent="0.2">
      <c r="A47" s="261" t="s">
        <v>380</v>
      </c>
      <c r="C47" s="654">
        <f>INDEX('qtrP&amp;L'!$11:$11,MATCH($A45,'qtrP&amp;L'!$6:$6,0)+1)</f>
        <v>65.470604471432509</v>
      </c>
      <c r="E47" s="654">
        <f>INDEX('qtrP&amp;L'!$11:$11,MATCH($A45,'qtrP&amp;L'!$6:$6,0)+2)</f>
        <v>4.5999999999999996</v>
      </c>
      <c r="G47" s="479">
        <f>C47-E47</f>
        <v>60.870604471432507</v>
      </c>
      <c r="I47" s="775">
        <f>INDEX(stores!C$7:C$162,MATCH(A47,stores!A$7:A$162,0)+2)</f>
        <v>856</v>
      </c>
      <c r="J47" s="776">
        <f>I47-I46</f>
        <v>-5</v>
      </c>
      <c r="K47" s="385">
        <f>AVERAGE(I46:I47)</f>
        <v>858.5</v>
      </c>
      <c r="M47" s="479">
        <f>(K47/K40-1)*100</f>
        <v>86.833514689880303</v>
      </c>
      <c r="O47" s="792">
        <f>(G47/M47)*100</f>
        <v>70.100357781010629</v>
      </c>
      <c r="R47" s="385">
        <f>INDEX('qtrP&amp;L'!$11:$11,MATCH($A45,'qtrP&amp;L'!$6:$6,0))</f>
        <v>5995</v>
      </c>
      <c r="T47" s="385">
        <f>R47</f>
        <v>5995</v>
      </c>
      <c r="V47" s="784">
        <f>IF(ISERROR(T47/K47),"NA",T47/K47)</f>
        <v>6.9831100757134541</v>
      </c>
      <c r="X47" s="780">
        <f>IF(ISERROR(V47/V40),"NA",(V47/V40-1)*100)</f>
        <v>-11.434195975977579</v>
      </c>
      <c r="Z47" s="781">
        <f>INDEX(stores!C$205:C$360,MATCH(A47,stores!A$205:A$360,0))</f>
        <v>157.56862745098036</v>
      </c>
      <c r="AB47" s="385">
        <f>AVERAGEA(Z46:Z47)</f>
        <v>158.20915032679736</v>
      </c>
      <c r="AD47" s="479">
        <f>(AB47/AB40-1)*100</f>
        <v>88.139281828073976</v>
      </c>
      <c r="AF47" s="792">
        <f>(G47/AD47)*100</f>
        <v>69.061833962032694</v>
      </c>
      <c r="AI47" s="385">
        <f>T47</f>
        <v>5995</v>
      </c>
      <c r="AK47" s="715">
        <f>IF(ISERROR(AI47/AB47),"NA",AI47/AB47)</f>
        <v>37.89287779889284</v>
      </c>
      <c r="AM47" s="791">
        <f>(AK47/AK40-1)*100</f>
        <v>-12.048880561453734</v>
      </c>
    </row>
    <row r="48" spans="1:40" ht="10.5" hidden="1" customHeight="1" outlineLevel="1" x14ac:dyDescent="0.2">
      <c r="A48" s="261" t="s">
        <v>381</v>
      </c>
      <c r="C48" s="654">
        <f>INDEX('qtrP&amp;L'!$12:$12,MATCH($A45,'qtrP&amp;L'!$6:$6,0)+1)</f>
        <v>5.9585958595859578</v>
      </c>
      <c r="E48" s="654">
        <f>INDEX('qtrP&amp;L'!$12:$12,MATCH($A45,'qtrP&amp;L'!$6:$6,0)+2)</f>
        <v>5.9</v>
      </c>
      <c r="G48" s="479">
        <f>C48-E48</f>
        <v>5.8595859585957477E-2</v>
      </c>
      <c r="I48" s="775">
        <f>INDEX(stores!C$7:C$162,MATCH(A48,stores!A$7:A$162,0)+2)</f>
        <v>857</v>
      </c>
      <c r="J48" s="776">
        <f>I48-I47</f>
        <v>1</v>
      </c>
      <c r="K48" s="385">
        <f>AVERAGE(I47:I48)</f>
        <v>856.5</v>
      </c>
      <c r="M48" s="479">
        <f>(K48/K41-1)*100</f>
        <v>22.795698924731191</v>
      </c>
      <c r="O48" s="792">
        <f>(G48/M48)*100</f>
        <v>0.25704787459877559</v>
      </c>
      <c r="R48" s="385">
        <f>INDEX('qtrP&amp;L'!$12:$12,MATCH($A45,'qtrP&amp;L'!$6:$6,0))</f>
        <v>5886</v>
      </c>
      <c r="T48" s="385">
        <f>R48</f>
        <v>5886</v>
      </c>
      <c r="V48" s="784">
        <f>IF(ISERROR(T48/K48),"NA",T48/K48)</f>
        <v>6.8721541155866896</v>
      </c>
      <c r="X48" s="780">
        <f>IF(ISERROR(V48/V41),"NA",(V48/V41-1)*100)</f>
        <v>-13.711476226431763</v>
      </c>
      <c r="Z48" s="781">
        <f>INDEX(stores!C$205:C$360,MATCH(A48,stores!A$205:A$360,0))</f>
        <v>156.28758169934636</v>
      </c>
      <c r="AB48" s="385">
        <f>AVERAGEA(Z47:Z48)</f>
        <v>156.92810457516336</v>
      </c>
      <c r="AD48" s="479">
        <f>(AB48/AB41-1)*100</f>
        <v>86.615886833514665</v>
      </c>
      <c r="AF48" s="792">
        <f>(G48/AD48)*100</f>
        <v>6.7650244923988606E-2</v>
      </c>
      <c r="AI48" s="385">
        <f>T48</f>
        <v>5886</v>
      </c>
      <c r="AK48" s="715">
        <f>IF(ISERROR(AI48/AB48),"NA",AI48/AB48)</f>
        <v>37.507621824239912</v>
      </c>
      <c r="AM48" s="791">
        <f>(AK48/AK41-1)*100</f>
        <v>-43.221020644338473</v>
      </c>
    </row>
    <row r="49" spans="1:40" ht="10.5" hidden="1" customHeight="1" outlineLevel="1" x14ac:dyDescent="0.2">
      <c r="A49" s="261" t="s">
        <v>382</v>
      </c>
      <c r="C49" s="785">
        <f>INDEX('qtrP&amp;L'!$13:$13,MATCH($A45,'qtrP&amp;L'!$6:$6,0)+1)</f>
        <v>-4.3046703583742518</v>
      </c>
      <c r="E49" s="785">
        <f>INDEX('qtrP&amp;L'!$13:$13,MATCH($A45,'qtrP&amp;L'!$6:$6,0)+2)</f>
        <v>6.1</v>
      </c>
      <c r="G49" s="786">
        <f>C49-E49</f>
        <v>-10.404670358374251</v>
      </c>
      <c r="I49" s="775">
        <f>INDEX(stores!C$7:C$162,MATCH(A49,stores!A$7:A$162,0)+2)</f>
        <v>858</v>
      </c>
      <c r="J49" s="776">
        <f>I49-I48</f>
        <v>1</v>
      </c>
      <c r="K49" s="607">
        <f>AVERAGE(I48:I49)</f>
        <v>857.5</v>
      </c>
      <c r="M49" s="786">
        <f>(K49/K42-1)*100</f>
        <v>-4.8807542983915653</v>
      </c>
      <c r="O49" s="793">
        <f>(G49/M49)*100</f>
        <v>213.17750745623627</v>
      </c>
      <c r="R49" s="607">
        <f>INDEX('qtrP&amp;L'!$13:$13,MATCH($A45,'qtrP&amp;L'!$6:$6,0))</f>
        <v>9159</v>
      </c>
      <c r="T49" s="607">
        <f>R49</f>
        <v>9159</v>
      </c>
      <c r="V49" s="787">
        <f>IF(ISERROR(T49/K49),"NA",T49/K49)</f>
        <v>10.681049562682215</v>
      </c>
      <c r="X49" s="788">
        <f>IF(ISERROR(V49/V42),"NA",(V49/V42-1)*100)</f>
        <v>0.60564393227475755</v>
      </c>
      <c r="Z49" s="781">
        <f>INDEX(stores!C$205:C$360,MATCH(A49,stores!A$205:A$360,0))</f>
        <v>157.38562091503263</v>
      </c>
      <c r="AB49" s="607">
        <f>AVERAGEA(Z48:Z49)</f>
        <v>156.83660130718948</v>
      </c>
      <c r="AD49" s="786">
        <f>(AB49/AB42-1)*100</f>
        <v>22.955523672883761</v>
      </c>
      <c r="AF49" s="793">
        <f>(G49/AD49)*100</f>
        <v>-45.32534524866788</v>
      </c>
      <c r="AI49" s="607">
        <f>T49</f>
        <v>9159</v>
      </c>
      <c r="AK49" s="789">
        <f>IF(ISERROR(AI49/AB49),"NA",AI49/AB49)</f>
        <v>58.398358059676632</v>
      </c>
      <c r="AM49" s="794">
        <f>(AK49/AK42-1)*100</f>
        <v>-22.170776242458402</v>
      </c>
    </row>
    <row r="50" spans="1:40" ht="10.5" hidden="1" customHeight="1" outlineLevel="1" x14ac:dyDescent="0.2">
      <c r="A50" s="450" t="s">
        <v>56</v>
      </c>
      <c r="C50" s="654">
        <f>INDEX('qtrP&amp;L'!$14:$14,MATCH($A45,'qtrP&amp;L'!$6:$6,0)+1)</f>
        <v>20.455560518088433</v>
      </c>
      <c r="E50" s="654">
        <f>INDEX('qtrP&amp;L'!$14:$14,MATCH($A45,'qtrP&amp;L'!$6:$6,0)+2)</f>
        <v>4.4000000000000004</v>
      </c>
      <c r="G50" s="479">
        <f>C50-E50</f>
        <v>16.055560518088434</v>
      </c>
      <c r="I50" s="773"/>
      <c r="K50" s="385">
        <f>AVERAGE(K46:K49)</f>
        <v>859.25</v>
      </c>
      <c r="M50" s="479">
        <f>(K50/K43-1)*100</f>
        <v>36.524329692154907</v>
      </c>
      <c r="O50" s="792">
        <f>(G50/M50)*100</f>
        <v>43.958535730601021</v>
      </c>
      <c r="R50" s="385">
        <f>INDEX('qtrP&amp;L'!$14:$14,MATCH($A45,'qtrP&amp;L'!$6:$6,0))</f>
        <v>26970</v>
      </c>
      <c r="T50" s="385">
        <f>R50</f>
        <v>26970</v>
      </c>
      <c r="V50" s="779">
        <f>IF(ISERROR(T50/K50),"NA",T50/K50)</f>
        <v>31.387838231015419</v>
      </c>
      <c r="X50" s="780">
        <f>IF(ISERROR(V50/V43),"NA",(V50/V43-1)*100)</f>
        <v>-11.769894208819432</v>
      </c>
      <c r="Z50" s="774"/>
      <c r="AB50" s="385">
        <f>AVERAGEA(AB46:AB49)</f>
        <v>159.23856209150324</v>
      </c>
      <c r="AD50" s="479">
        <f>(AB50/AB43-1)*100</f>
        <v>67.734939759036124</v>
      </c>
      <c r="AF50" s="792">
        <f>(G50/AD50)*100</f>
        <v>23.703513393833873</v>
      </c>
      <c r="AI50" s="543">
        <f>SUM(AI46:AI49)</f>
        <v>26970</v>
      </c>
      <c r="AK50" s="782">
        <f>IF(ISERROR(AI50/AB50),"NA",AI50/AB50)</f>
        <v>169.36852258501449</v>
      </c>
      <c r="AM50" s="791">
        <f>(AK50/AK43-1)*100</f>
        <v>-28.186959323363446</v>
      </c>
    </row>
    <row r="51" spans="1:40" ht="10.5" hidden="1" customHeight="1" outlineLevel="1" x14ac:dyDescent="0.2">
      <c r="I51" s="773"/>
      <c r="K51" s="385"/>
      <c r="O51" s="792"/>
      <c r="R51" s="385"/>
      <c r="T51" s="385"/>
      <c r="X51" s="791"/>
      <c r="Z51" s="774"/>
      <c r="AB51" s="385"/>
      <c r="AF51" s="792"/>
      <c r="AM51" s="791"/>
    </row>
    <row r="52" spans="1:40" ht="10.5" hidden="1" customHeight="1" outlineLevel="1" x14ac:dyDescent="0.2">
      <c r="A52" s="772">
        <v>2007</v>
      </c>
      <c r="I52" s="773"/>
      <c r="K52" s="385"/>
      <c r="O52" s="792"/>
      <c r="R52" s="385"/>
      <c r="T52" s="385"/>
      <c r="X52" s="791"/>
      <c r="Z52" s="774"/>
      <c r="AB52" s="385"/>
      <c r="AF52" s="792"/>
      <c r="AM52" s="791"/>
    </row>
    <row r="53" spans="1:40" ht="10.5" hidden="1" customHeight="1" outlineLevel="1" x14ac:dyDescent="0.2">
      <c r="A53" s="261" t="s">
        <v>383</v>
      </c>
      <c r="C53" s="654">
        <f>INDEX('qtrP&amp;L'!$10:$10,MATCH($A52,'qtrP&amp;L'!$6:$6,0)+1)</f>
        <v>-0.15177065767284503</v>
      </c>
      <c r="D53" s="185" t="s">
        <v>93</v>
      </c>
      <c r="E53" s="654">
        <f>INDEX('qtrP&amp;L'!$10:$10,MATCH($A52,'qtrP&amp;L'!$6:$6,0)+2)</f>
        <v>0.6</v>
      </c>
      <c r="F53" s="185" t="s">
        <v>93</v>
      </c>
      <c r="G53" s="479">
        <f>C53-E53</f>
        <v>-0.75177065767284501</v>
      </c>
      <c r="H53" s="185" t="s">
        <v>93</v>
      </c>
      <c r="I53" s="775">
        <f>INDEX(stores!C$7:C$162,MATCH(A53,stores!A$7:A$162,0)+2)</f>
        <v>863</v>
      </c>
      <c r="J53" s="776">
        <f>I53-I28</f>
        <v>404</v>
      </c>
      <c r="K53" s="385">
        <f>AVERAGE(I53,I28)</f>
        <v>661</v>
      </c>
      <c r="M53" s="479">
        <f>(K53/K46-1)*100</f>
        <v>-23.539618276460384</v>
      </c>
      <c r="N53" s="185" t="s">
        <v>93</v>
      </c>
      <c r="O53" s="792">
        <f>(G53/M53)*100</f>
        <v>3.1936399683448378</v>
      </c>
      <c r="P53" s="185" t="s">
        <v>93</v>
      </c>
      <c r="R53" s="385">
        <f>INDEX('qtrP&amp;L'!$10:$10,MATCH($A52,'qtrP&amp;L'!$6:$6,0))</f>
        <v>5921</v>
      </c>
      <c r="T53" s="385">
        <f>R53</f>
        <v>5921</v>
      </c>
      <c r="V53" s="779">
        <f>IF(ISERROR(T53/K53),"NA",T53/K53)</f>
        <v>8.9576399394856274</v>
      </c>
      <c r="X53" s="780">
        <f>IF(ISERROR(V53/V46),"NA",(V53/V46-1)*100)</f>
        <v>30.588191023361301</v>
      </c>
      <c r="Y53" s="185" t="s">
        <v>93</v>
      </c>
      <c r="Z53" s="781">
        <f>INDEX(stores!C$205:C$360,MATCH(A53,stores!A$205:A$360,0))</f>
        <v>156.4</v>
      </c>
      <c r="AB53" s="385">
        <f>AVERAGEA(Z53,Z28)</f>
        <v>120.74901960784314</v>
      </c>
      <c r="AD53" s="479">
        <f>(AB53/AB25-1)*100</f>
        <v>44.853379331974288</v>
      </c>
      <c r="AE53" s="185" t="s">
        <v>93</v>
      </c>
      <c r="AF53" s="792">
        <f>(G53/AD53)*100</f>
        <v>-1.676062470363155</v>
      </c>
      <c r="AG53" s="185" t="s">
        <v>93</v>
      </c>
      <c r="AI53" s="543">
        <f>T53</f>
        <v>5921</v>
      </c>
      <c r="AK53" s="782">
        <f>IF(ISERROR(AI53/AB53),"NA",AI53/AB53)</f>
        <v>49.035594816667206</v>
      </c>
      <c r="AM53" s="791">
        <f>(AK53/AK25-1)*100</f>
        <v>24.20484790005095</v>
      </c>
      <c r="AN53" s="185" t="s">
        <v>93</v>
      </c>
    </row>
    <row r="54" spans="1:40" ht="10.5" hidden="1" customHeight="1" outlineLevel="1" x14ac:dyDescent="0.2">
      <c r="A54" s="261" t="s">
        <v>384</v>
      </c>
      <c r="C54" s="654">
        <f>INDEX('qtrP&amp;L'!$11:$11,MATCH($A52,'qtrP&amp;L'!$6:$6,0)+1)</f>
        <v>-1.7180984153461254</v>
      </c>
      <c r="E54" s="654">
        <f>INDEX('qtrP&amp;L'!$11:$11,MATCH($A52,'qtrP&amp;L'!$6:$6,0)+2)</f>
        <v>-2.6</v>
      </c>
      <c r="G54" s="479">
        <f>C54-E54</f>
        <v>0.88190158465387469</v>
      </c>
      <c r="I54" s="775">
        <f>INDEX(stores!C$7:C$162,MATCH(A54,stores!A$7:A$162,0)+2)</f>
        <v>863</v>
      </c>
      <c r="J54" s="776">
        <f>I54-I53</f>
        <v>0</v>
      </c>
      <c r="K54" s="385">
        <f>AVERAGE(I53:I54)</f>
        <v>863</v>
      </c>
      <c r="M54" s="479">
        <f>(K54/K47-1)*100</f>
        <v>0.52417006406522137</v>
      </c>
      <c r="O54" s="792">
        <f>(G54/M54)*100</f>
        <v>168.24722453896976</v>
      </c>
      <c r="R54" s="385">
        <f>INDEX('qtrP&amp;L'!$11:$11,MATCH($A52,'qtrP&amp;L'!$6:$6,0))</f>
        <v>5892</v>
      </c>
      <c r="T54" s="385">
        <f>R54</f>
        <v>5892</v>
      </c>
      <c r="V54" s="784">
        <f>IF(ISERROR(T54/K54),"NA",T54/K54)</f>
        <v>6.8273464658169178</v>
      </c>
      <c r="X54" s="780">
        <f>IF(ISERROR(V54/V47),"NA",(V54/V47-1)*100)</f>
        <v>-2.2305764653240412</v>
      </c>
      <c r="Z54" s="781">
        <f>INDEX(stores!C$205:C$360,MATCH(A54,stores!A$205:A$360,0))</f>
        <v>157.047</v>
      </c>
      <c r="AB54" s="385">
        <f>AVERAGEA(Z53:Z54)</f>
        <v>156.7235</v>
      </c>
      <c r="AD54" s="479">
        <f>(AB54/AB26-1)*100</f>
        <v>87.803066259398534</v>
      </c>
      <c r="AF54" s="792">
        <f>(G54/AD54)*100</f>
        <v>1.0044086410928446</v>
      </c>
      <c r="AI54" s="385">
        <f>T54</f>
        <v>5892</v>
      </c>
      <c r="AK54" s="715">
        <f>IF(ISERROR(AI54/AB54),"NA",AI54/AB54)</f>
        <v>37.594872498380909</v>
      </c>
      <c r="AM54" s="791">
        <f>(AK54/AK26-1)*100</f>
        <v>-8.6392263334880042</v>
      </c>
    </row>
    <row r="55" spans="1:40" ht="10.5" hidden="1" customHeight="1" outlineLevel="1" x14ac:dyDescent="0.2">
      <c r="A55" s="261" t="s">
        <v>385</v>
      </c>
      <c r="C55" s="654">
        <f>INDEX('qtrP&amp;L'!$12:$12,MATCH($A52,'qtrP&amp;L'!$6:$6,0)+1)</f>
        <v>0.3397893306150257</v>
      </c>
      <c r="E55" s="654">
        <f>INDEX('qtrP&amp;L'!$12:$12,MATCH($A52,'qtrP&amp;L'!$6:$6,0)+2)</f>
        <v>-0.8</v>
      </c>
      <c r="G55" s="479">
        <f>C55-E55</f>
        <v>1.1397893306150257</v>
      </c>
      <c r="I55" s="775">
        <f>INDEX(stores!C$7:C$162,MATCH(A55,stores!A$7:A$162,0)+2)</f>
        <v>866</v>
      </c>
      <c r="J55" s="776">
        <f>I55-I54</f>
        <v>3</v>
      </c>
      <c r="K55" s="385">
        <f>AVERAGE(I54:I55)</f>
        <v>864.5</v>
      </c>
      <c r="M55" s="479">
        <f>(K55/K48-1)*100</f>
        <v>0.93403385872736777</v>
      </c>
      <c r="O55" s="792">
        <f>(G55/M55)*100</f>
        <v>122.02869520897264</v>
      </c>
      <c r="R55" s="385">
        <f>INDEX('qtrP&amp;L'!$12:$12,MATCH($A52,'qtrP&amp;L'!$6:$6,0))</f>
        <v>5906</v>
      </c>
      <c r="T55" s="385">
        <f>R55</f>
        <v>5906</v>
      </c>
      <c r="V55" s="784">
        <f>IF(ISERROR(T55/K55),"NA",T55/K55)</f>
        <v>6.8316946211683049</v>
      </c>
      <c r="X55" s="780">
        <f>IF(ISERROR(V55/V48),"NA",(V55/V48-1)*100)</f>
        <v>-0.58874544630218573</v>
      </c>
      <c r="Z55" s="781">
        <f>INDEX(stores!C$205:C$360,MATCH(A55,stores!A$205:A$360,0))</f>
        <v>157.06478794901506</v>
      </c>
      <c r="AB55" s="385">
        <f>AVERAGEA(Z54:Z55)</f>
        <v>157.05589397450751</v>
      </c>
      <c r="AD55" s="479">
        <f>(AB55/AB27-1)*100</f>
        <v>87.379536635212517</v>
      </c>
      <c r="AF55" s="792">
        <f>(G55/AD55)*100</f>
        <v>1.3044121936390647</v>
      </c>
      <c r="AI55" s="385">
        <f>T55</f>
        <v>5906</v>
      </c>
      <c r="AK55" s="715">
        <f>IF(ISERROR(AI55/AB55),"NA",AI55/AB55)</f>
        <v>37.604446738933788</v>
      </c>
      <c r="AM55" s="791">
        <f>(AK55/AK27-1)*100</f>
        <v>-9.584289542842372</v>
      </c>
    </row>
    <row r="56" spans="1:40" ht="10.5" hidden="1" customHeight="1" outlineLevel="1" x14ac:dyDescent="0.2">
      <c r="A56" s="261" t="s">
        <v>386</v>
      </c>
      <c r="C56" s="785">
        <f>INDEX('qtrP&amp;L'!$13:$13,MATCH($A52,'qtrP&amp;L'!$6:$6,0)+1)</f>
        <v>-6.1687957200567745</v>
      </c>
      <c r="E56" s="785">
        <f>INDEX('qtrP&amp;L'!$13:$13,MATCH($A52,'qtrP&amp;L'!$6:$6,0)+2)</f>
        <v>-2</v>
      </c>
      <c r="G56" s="786">
        <f>C56-E56</f>
        <v>-4.1687957200567745</v>
      </c>
      <c r="I56" s="775">
        <f>INDEX(stores!C$7:C$162,MATCH(A56,stores!A$7:A$162,0)+2)</f>
        <v>852</v>
      </c>
      <c r="J56" s="776">
        <f>I56-I55</f>
        <v>-14</v>
      </c>
      <c r="K56" s="607">
        <f>AVERAGE(I55:I56)</f>
        <v>859</v>
      </c>
      <c r="M56" s="786">
        <f>(K56/K49-1)*100</f>
        <v>0.17492711370261649</v>
      </c>
      <c r="O56" s="793">
        <f>(G56/M56)*100</f>
        <v>-2383.1615532992237</v>
      </c>
      <c r="R56" s="607">
        <f>INDEX('qtrP&amp;L'!$13:$13,MATCH($A52,'qtrP&amp;L'!$6:$6,0))</f>
        <v>8594</v>
      </c>
      <c r="T56" s="607">
        <f>R56</f>
        <v>8594</v>
      </c>
      <c r="V56" s="787">
        <f>IF(ISERROR(T56/K56),"NA",T56/K56)</f>
        <v>10.004656577415599</v>
      </c>
      <c r="X56" s="788">
        <f>IF(ISERROR(V56/V49),"NA",(V56/V49-1)*100)</f>
        <v>-6.3326453200799655</v>
      </c>
      <c r="Z56" s="781">
        <f>INDEX(stores!C$205:C$360,MATCH(A56,stores!A$205:A$360,0))</f>
        <v>157.52099999999999</v>
      </c>
      <c r="AB56" s="607">
        <f>AVERAGEA(Z55:Z56)</f>
        <v>157.29289397450754</v>
      </c>
      <c r="AD56" s="786">
        <f>(AB56/AB28-1)*100</f>
        <v>85.836392108877618</v>
      </c>
      <c r="AF56" s="793">
        <f>(G56/AD56)*100</f>
        <v>-4.8566763090053238</v>
      </c>
      <c r="AI56" s="607">
        <f>T56</f>
        <v>8594</v>
      </c>
      <c r="AK56" s="789">
        <f>IF(ISERROR(AI56/AB56),"NA",AI56/AB56)</f>
        <v>54.636924675013162</v>
      </c>
      <c r="AM56" s="794">
        <f>(AK56/AK28-1)*100</f>
        <v>-8.48015292262534</v>
      </c>
    </row>
    <row r="57" spans="1:40" ht="10.5" hidden="1" customHeight="1" outlineLevel="1" x14ac:dyDescent="0.2">
      <c r="A57" s="450" t="s">
        <v>56</v>
      </c>
      <c r="C57" s="654">
        <f>INDEX('qtrP&amp;L'!$14:$14,MATCH($A52,'qtrP&amp;L'!$6:$6,0)+1)</f>
        <v>-2.4360400444938812</v>
      </c>
      <c r="E57" s="654">
        <f>INDEX('qtrP&amp;L'!$14:$14,MATCH($A52,'qtrP&amp;L'!$6:$6,0)+2)</f>
        <v>-1.3</v>
      </c>
      <c r="G57" s="479">
        <f>C57-E57</f>
        <v>-1.1360400444938812</v>
      </c>
      <c r="I57" s="773"/>
      <c r="K57" s="385">
        <f>AVERAGE(K53:K56)</f>
        <v>811.875</v>
      </c>
      <c r="M57" s="479">
        <f>(K57/K50-1)*100</f>
        <v>-5.5135292406168208</v>
      </c>
      <c r="O57" s="792">
        <f>(G57/M57)*100</f>
        <v>20.604589091954971</v>
      </c>
      <c r="R57" s="385">
        <f>INDEX('qtrP&amp;L'!$14:$14,MATCH($A52,'qtrP&amp;L'!$6:$6,0))</f>
        <v>26313</v>
      </c>
      <c r="T57" s="385">
        <f>R57</f>
        <v>26313</v>
      </c>
      <c r="V57" s="779">
        <f>IF(ISERROR(T57/K57),"NA",T57/K57)</f>
        <v>32.410161662817551</v>
      </c>
      <c r="X57" s="780">
        <f>IF(ISERROR(V57/V50),"NA",(V57/V50-1)*100)</f>
        <v>3.257068627274684</v>
      </c>
      <c r="Z57" s="774"/>
      <c r="AB57" s="385">
        <f>AVERAGEA(AB53:AB56)</f>
        <v>147.95532688921455</v>
      </c>
      <c r="AD57" s="479">
        <f>(AB57/AB29-1)*100</f>
        <v>76.521873160089115</v>
      </c>
      <c r="AF57" s="792">
        <f>(G57/AD57)*100</f>
        <v>-1.4845951851142036</v>
      </c>
      <c r="AI57" s="543">
        <f>SUM(AI53:AI56)</f>
        <v>26313</v>
      </c>
      <c r="AK57" s="782">
        <f>IF(ISERROR(AI57/AB57),"NA",AI57/AB57)</f>
        <v>177.84422199075368</v>
      </c>
      <c r="AM57" s="791">
        <f>(AK57/AK29-1)*100</f>
        <v>-2.3429769901830322</v>
      </c>
    </row>
    <row r="58" spans="1:40" ht="10.5" hidden="1" customHeight="1" outlineLevel="1" x14ac:dyDescent="0.2">
      <c r="I58" s="773"/>
      <c r="K58" s="385"/>
      <c r="O58" s="792"/>
      <c r="R58" s="385"/>
      <c r="T58" s="385"/>
      <c r="X58" s="791"/>
      <c r="Z58" s="774"/>
      <c r="AB58" s="385"/>
      <c r="AF58" s="792"/>
      <c r="AM58" s="791"/>
    </row>
    <row r="59" spans="1:40" ht="10.5" hidden="1" customHeight="1" outlineLevel="1" x14ac:dyDescent="0.2">
      <c r="A59" s="772">
        <v>2008</v>
      </c>
      <c r="I59" s="773"/>
      <c r="K59" s="385"/>
      <c r="O59" s="792"/>
      <c r="R59" s="385"/>
      <c r="T59" s="385"/>
      <c r="X59" s="791"/>
      <c r="Z59" s="774"/>
      <c r="AB59" s="385"/>
      <c r="AF59" s="792"/>
      <c r="AM59" s="791"/>
    </row>
    <row r="60" spans="1:40" ht="10.5" hidden="1" customHeight="1" outlineLevel="1" x14ac:dyDescent="0.2">
      <c r="A60" s="261" t="s">
        <v>387</v>
      </c>
      <c r="C60" s="654">
        <f>INDEX('qtrP&amp;L'!$10:$10,MATCH($A59,'qtrP&amp;L'!$6:$6,0)+1)</f>
        <v>-2.9386927883803371</v>
      </c>
      <c r="D60" s="185" t="s">
        <v>93</v>
      </c>
      <c r="E60" s="654">
        <f>INDEX('qtrP&amp;L'!$10:$10,MATCH($A59,'qtrP&amp;L'!$6:$6,0)+2)</f>
        <v>-2.6</v>
      </c>
      <c r="F60" s="185" t="s">
        <v>93</v>
      </c>
      <c r="G60" s="479">
        <f>C60-E60</f>
        <v>-0.33869278838033701</v>
      </c>
      <c r="H60" s="185" t="s">
        <v>93</v>
      </c>
      <c r="I60" s="775">
        <f>INDEX(stores!C$7:C$162,MATCH(A60,stores!A$7:A$162,0)+2)</f>
        <v>851</v>
      </c>
      <c r="J60" s="776">
        <f>I60-I56</f>
        <v>-1</v>
      </c>
      <c r="K60" s="385">
        <f>AVERAGE(I60,I56)</f>
        <v>851.5</v>
      </c>
      <c r="M60" s="479">
        <f>(K60/K53-1)*100</f>
        <v>28.81996974281391</v>
      </c>
      <c r="N60" s="185" t="s">
        <v>93</v>
      </c>
      <c r="O60" s="792">
        <f>(G60/M60)*100</f>
        <v>-1.1752017486582826</v>
      </c>
      <c r="P60" s="185" t="s">
        <v>93</v>
      </c>
      <c r="R60" s="385">
        <f>INDEX('qtrP&amp;L'!$10:$10,MATCH($A59,'qtrP&amp;L'!$6:$6,0))</f>
        <v>5747</v>
      </c>
      <c r="T60" s="385">
        <f>R60</f>
        <v>5747</v>
      </c>
      <c r="V60" s="779">
        <f>IF(ISERROR(T60/K60),"NA",T60/K60)</f>
        <v>6.7492660011743979</v>
      </c>
      <c r="X60" s="780">
        <f>IF(ISERROR(V60/V53),"NA",(V60/V53-1)*100)</f>
        <v>-24.653524290216566</v>
      </c>
      <c r="Y60" s="185" t="s">
        <v>93</v>
      </c>
      <c r="Z60" s="781">
        <f>INDEX(stores!C$205:C$360,MATCH(A60,stores!A$205:A$360,0))</f>
        <v>154.96100000000001</v>
      </c>
      <c r="AB60" s="385">
        <f>AVERAGEA(Z60,Z56)</f>
        <v>156.24099999999999</v>
      </c>
      <c r="AD60" s="479">
        <f>(AB60/AB53-1)*100</f>
        <v>29.393183072975848</v>
      </c>
      <c r="AE60" s="185" t="s">
        <v>93</v>
      </c>
      <c r="AF60" s="792">
        <f>(G60/AD60)*100</f>
        <v>-1.1522834649770608</v>
      </c>
      <c r="AG60" s="185" t="s">
        <v>93</v>
      </c>
      <c r="AI60" s="543">
        <f>T60</f>
        <v>5747</v>
      </c>
      <c r="AK60" s="782">
        <f>IF(ISERROR(AI60/AB60),"NA",AI60/AB60)</f>
        <v>36.782918696116901</v>
      </c>
      <c r="AM60" s="791">
        <f>(AK60/AK53-1)*100</f>
        <v>-24.987310068043911</v>
      </c>
      <c r="AN60" s="185" t="s">
        <v>93</v>
      </c>
    </row>
    <row r="61" spans="1:40" ht="10.5" hidden="1" customHeight="1" outlineLevel="1" x14ac:dyDescent="0.2">
      <c r="A61" s="261" t="s">
        <v>388</v>
      </c>
      <c r="C61" s="654">
        <f>INDEX('qtrP&amp;L'!$11:$11,MATCH($A59,'qtrP&amp;L'!$6:$6,0)+1)</f>
        <v>-2.9531568228105876</v>
      </c>
      <c r="E61" s="654">
        <f>INDEX('qtrP&amp;L'!$11:$11,MATCH($A59,'qtrP&amp;L'!$6:$6,0)+2)</f>
        <v>-2.1</v>
      </c>
      <c r="G61" s="479">
        <f>C61-E61</f>
        <v>-0.85315682281058747</v>
      </c>
      <c r="I61" s="775">
        <f>INDEX(stores!C$7:C$162,MATCH(A61,stores!A$7:A$162,0)+2)</f>
        <v>855</v>
      </c>
      <c r="J61" s="776">
        <f>I61-I60</f>
        <v>4</v>
      </c>
      <c r="K61" s="385">
        <f>AVERAGE(I60:I61)</f>
        <v>853</v>
      </c>
      <c r="M61" s="479">
        <f>(K61/K54-1)*100</f>
        <v>-1.1587485515643148</v>
      </c>
      <c r="O61" s="792">
        <f>(G61/M61)*100</f>
        <v>73.627433808553434</v>
      </c>
      <c r="R61" s="385">
        <f>INDEX('qtrP&amp;L'!$11:$11,MATCH($A59,'qtrP&amp;L'!$6:$6,0))</f>
        <v>5718</v>
      </c>
      <c r="T61" s="385">
        <f>R61</f>
        <v>5718</v>
      </c>
      <c r="V61" s="784">
        <f>IF(ISERROR(T61/K61),"NA",T61/K61)</f>
        <v>6.7033997655334119</v>
      </c>
      <c r="X61" s="780">
        <f>IF(ISERROR(V61/V54),"NA",(V61/V54-1)*100)</f>
        <v>-1.8154447105340421</v>
      </c>
      <c r="Z61" s="781">
        <f>INDEX(stores!C$205:C$360,MATCH(A61,stores!A$205:A$360,0))</f>
        <v>155.23019506462987</v>
      </c>
      <c r="AB61" s="385">
        <f>AVERAGEA(Z60:Z61)</f>
        <v>155.09559753231494</v>
      </c>
      <c r="AD61" s="479">
        <f>(AB61/AB54-1)*100</f>
        <v>-1.038709872919541</v>
      </c>
      <c r="AF61" s="792">
        <f>(G61/AD61)*100</f>
        <v>82.136200401425612</v>
      </c>
      <c r="AI61" s="385">
        <f>T61</f>
        <v>5718</v>
      </c>
      <c r="AK61" s="715">
        <f>IF(ISERROR(AI61/AB61),"NA",AI61/AB61)</f>
        <v>36.867584193088561</v>
      </c>
      <c r="AM61" s="791">
        <f>(AK61/AK54-1)*100</f>
        <v>-1.9345412205445611</v>
      </c>
    </row>
    <row r="62" spans="1:40" ht="10.5" hidden="1" customHeight="1" outlineLevel="1" x14ac:dyDescent="0.2">
      <c r="A62" s="261" t="s">
        <v>389</v>
      </c>
      <c r="C62" s="654">
        <f>INDEX('qtrP&amp;L'!$12:$12,MATCH($A59,'qtrP&amp;L'!$6:$6,0)+1)</f>
        <v>-6.9928885878767328</v>
      </c>
      <c r="E62" s="654">
        <f>INDEX('qtrP&amp;L'!$12:$12,MATCH($A59,'qtrP&amp;L'!$6:$6,0)+2)</f>
        <v>-6</v>
      </c>
      <c r="G62" s="479">
        <f>C62-E62</f>
        <v>-0.99288858787673284</v>
      </c>
      <c r="I62" s="775">
        <f>INDEX(stores!C$7:C$162,MATCH(A62,stores!A$7:A$162,0)+2)</f>
        <v>856</v>
      </c>
      <c r="J62" s="776">
        <f>I62-I61</f>
        <v>1</v>
      </c>
      <c r="K62" s="385">
        <f>AVERAGE(I61:I62)</f>
        <v>855.5</v>
      </c>
      <c r="M62" s="479">
        <f>(K62/K55-1)*100</f>
        <v>-1.0410641989589409</v>
      </c>
      <c r="O62" s="792">
        <f>(G62/M62)*100</f>
        <v>95.37246491327015</v>
      </c>
      <c r="R62" s="385">
        <f>INDEX('qtrP&amp;L'!$12:$12,MATCH($A59,'qtrP&amp;L'!$6:$6,0))</f>
        <v>5493</v>
      </c>
      <c r="T62" s="385">
        <f>R62</f>
        <v>5493</v>
      </c>
      <c r="V62" s="784">
        <f>IF(ISERROR(T62/K62),"NA",T62/K62)</f>
        <v>6.4208065458796026</v>
      </c>
      <c r="X62" s="780">
        <f>IF(ISERROR(V62/V55),"NA",(V62/V55-1)*100)</f>
        <v>-6.0144385554873558</v>
      </c>
      <c r="Z62" s="781">
        <f>INDEX(stores!C$205:C$360,MATCH(A62,stores!A$205:A$360,0))</f>
        <v>155.78799532163742</v>
      </c>
      <c r="AB62" s="385">
        <f>AVERAGEA(Z61:Z62)</f>
        <v>155.50909519313365</v>
      </c>
      <c r="AD62" s="479">
        <f>(AB62/AB55-1)*100</f>
        <v>-0.98487152709145764</v>
      </c>
      <c r="AF62" s="792">
        <f>(G62/AD62)*100</f>
        <v>100.81402097276091</v>
      </c>
      <c r="AI62" s="385">
        <f>T62</f>
        <v>5493</v>
      </c>
      <c r="AK62" s="715">
        <f>IF(ISERROR(AI62/AB62),"NA",AI62/AB62)</f>
        <v>35.322692818564725</v>
      </c>
      <c r="AM62" s="791">
        <f>(AK62/AK55-1)*100</f>
        <v>-6.0677768674805339</v>
      </c>
    </row>
    <row r="63" spans="1:40" ht="10.5" hidden="1" customHeight="1" outlineLevel="1" x14ac:dyDescent="0.2">
      <c r="A63" s="261" t="s">
        <v>390</v>
      </c>
      <c r="C63" s="785">
        <f>INDEX('qtrP&amp;L'!$13:$13,MATCH($A59,'qtrP&amp;L'!$6:$6,0)+1)</f>
        <v>-7.6797765883174325</v>
      </c>
      <c r="E63" s="785">
        <f>INDEX('qtrP&amp;L'!$13:$13,MATCH($A59,'qtrP&amp;L'!$6:$6,0)+2)</f>
        <v>-7</v>
      </c>
      <c r="G63" s="786">
        <f>C63-E63</f>
        <v>-0.67977658831743248</v>
      </c>
      <c r="I63" s="775">
        <f>INDEX(stores!C$7:C$162,MATCH(A63,stores!A$7:A$162,0)+2)</f>
        <v>847</v>
      </c>
      <c r="J63" s="776">
        <f>I63-I62</f>
        <v>-9</v>
      </c>
      <c r="K63" s="607">
        <f>AVERAGE(I62:I63)</f>
        <v>851.5</v>
      </c>
      <c r="M63" s="786">
        <f>(K63/K56-1)*100</f>
        <v>-0.8731082654249156</v>
      </c>
      <c r="O63" s="793">
        <f>(G63/M63)*100</f>
        <v>77.857078581956344</v>
      </c>
      <c r="R63" s="607">
        <f>INDEX('qtrP&amp;L'!$13:$13,MATCH($A59,'qtrP&amp;L'!$6:$6,0))</f>
        <v>7934</v>
      </c>
      <c r="T63" s="607">
        <f>R63</f>
        <v>7934</v>
      </c>
      <c r="V63" s="787">
        <f>IF(ISERROR(T63/K63),"NA",T63/K63)</f>
        <v>9.3176746917204927</v>
      </c>
      <c r="X63" s="788">
        <f>IF(ISERROR(V63/V56),"NA",(V63/V56-1)*100)</f>
        <v>-6.8666213615556915</v>
      </c>
      <c r="Z63" s="781">
        <f>INDEX(stores!C$205:C$360,MATCH(A63,stores!A$205:A$360,0))</f>
        <v>155.96469626168223</v>
      </c>
      <c r="AB63" s="607">
        <f>AVERAGEA(Z62:Z63)</f>
        <v>155.87634579165984</v>
      </c>
      <c r="AD63" s="786">
        <f>(AB63/AB56-1)*100</f>
        <v>-0.90057989719311005</v>
      </c>
      <c r="AF63" s="793">
        <f>(G63/AD63)*100</f>
        <v>75.482096639746445</v>
      </c>
      <c r="AI63" s="607">
        <f>T63</f>
        <v>7934</v>
      </c>
      <c r="AK63" s="789">
        <f>IF(ISERROR(AI63/AB63),"NA",AI63/AB63)</f>
        <v>50.899319968690904</v>
      </c>
      <c r="AM63" s="794">
        <f>(AK63/AK56-1)*100</f>
        <v>-6.8408035930901505</v>
      </c>
    </row>
    <row r="64" spans="1:40" ht="10.5" hidden="1" customHeight="1" outlineLevel="1" x14ac:dyDescent="0.2">
      <c r="A64" s="450" t="s">
        <v>56</v>
      </c>
      <c r="C64" s="654">
        <f>INDEX('qtrP&amp;L'!$14:$14,MATCH($A59,'qtrP&amp;L'!$6:$6,0)+1)</f>
        <v>-5.4003724394785841</v>
      </c>
      <c r="E64" s="654">
        <f>INDEX('qtrP&amp;L'!$14:$14,MATCH($A59,'qtrP&amp;L'!$6:$6,0)+2)</f>
        <v>-4.5</v>
      </c>
      <c r="G64" s="479">
        <f>C64-E64</f>
        <v>-0.90037243947858414</v>
      </c>
      <c r="I64" s="773"/>
      <c r="K64" s="385">
        <f>AVERAGE(K60:K63)</f>
        <v>852.875</v>
      </c>
      <c r="M64" s="479">
        <f>(K64/K57-1)*100</f>
        <v>5.0500384911470464</v>
      </c>
      <c r="O64" s="792">
        <f>(G64/M64)*100</f>
        <v>-17.829021324431075</v>
      </c>
      <c r="R64" s="385">
        <f>INDEX('qtrP&amp;L'!$14:$14,MATCH($A59,'qtrP&amp;L'!$6:$6,0))</f>
        <v>24892</v>
      </c>
      <c r="T64" s="385">
        <f>R64</f>
        <v>24892</v>
      </c>
      <c r="V64" s="779">
        <f>IF(ISERROR(T64/K64),"NA",T64/K64)</f>
        <v>29.185988568078557</v>
      </c>
      <c r="X64" s="780">
        <f>IF(ISERROR(V64/V57),"NA",(V64/V57-1)*100)</f>
        <v>-9.9480315102467252</v>
      </c>
      <c r="Z64" s="774"/>
      <c r="AB64" s="385">
        <f>AVERAGEA(AB60:AB63)</f>
        <v>155.68050962927711</v>
      </c>
      <c r="AD64" s="479">
        <f>(AB64/AB57-1)*100</f>
        <v>5.2212940909163841</v>
      </c>
      <c r="AF64" s="792">
        <f>(G64/AD64)*100</f>
        <v>-17.244239144563505</v>
      </c>
      <c r="AI64" s="543">
        <f>SUM(AI60:AI63)</f>
        <v>24892</v>
      </c>
      <c r="AK64" s="782">
        <f>IF(ISERROR(AI64/AB64),"NA",AI64/AB64)</f>
        <v>159.89156291481484</v>
      </c>
      <c r="AM64" s="791">
        <f>(AK64/AK57-1)*100</f>
        <v>-10.094597887398461</v>
      </c>
    </row>
    <row r="65" spans="1:40" ht="10.5" hidden="1" customHeight="1" outlineLevel="1" x14ac:dyDescent="0.2">
      <c r="I65" s="773"/>
      <c r="K65" s="385"/>
      <c r="O65" s="792"/>
      <c r="R65" s="385"/>
      <c r="T65" s="385"/>
      <c r="X65" s="791"/>
      <c r="Z65" s="774"/>
      <c r="AB65" s="385"/>
      <c r="AF65" s="792"/>
      <c r="AM65" s="791"/>
    </row>
    <row r="66" spans="1:40" ht="10.5" hidden="1" customHeight="1" outlineLevel="1" x14ac:dyDescent="0.2">
      <c r="A66" s="772">
        <v>2009</v>
      </c>
      <c r="I66" s="773"/>
      <c r="K66" s="385"/>
      <c r="O66" s="792"/>
      <c r="R66" s="385"/>
      <c r="T66" s="385"/>
      <c r="X66" s="791"/>
      <c r="Z66" s="774"/>
      <c r="AB66" s="385"/>
      <c r="AF66" s="792"/>
      <c r="AM66" s="791"/>
    </row>
    <row r="67" spans="1:40" ht="10.5" hidden="1" customHeight="1" outlineLevel="1" x14ac:dyDescent="0.2">
      <c r="A67" s="261" t="s">
        <v>391</v>
      </c>
      <c r="C67" s="654">
        <f>INDEX('qtrP&amp;L'!$10:$10,MATCH($A66,'qtrP&amp;L'!$6:$6,0)+1)</f>
        <v>-7.9867757090655971</v>
      </c>
      <c r="D67" s="185" t="s">
        <v>93</v>
      </c>
      <c r="E67" s="654">
        <f>INDEX('qtrP&amp;L'!$10:$10,MATCH($A66,'qtrP&amp;L'!$6:$6,0)+2)</f>
        <v>-9</v>
      </c>
      <c r="F67" s="185" t="s">
        <v>93</v>
      </c>
      <c r="G67" s="479">
        <f>C67-E67</f>
        <v>1.0132242909344029</v>
      </c>
      <c r="H67" s="185" t="s">
        <v>93</v>
      </c>
      <c r="I67" s="775">
        <f>INDEX(stores!C$7:C$162,MATCH(A67,stores!A$7:A$162,0)+2)</f>
        <v>848</v>
      </c>
      <c r="J67" s="776">
        <f>I67-I63</f>
        <v>1</v>
      </c>
      <c r="K67" s="385">
        <f>AVERAGE(I67,I63)</f>
        <v>847.5</v>
      </c>
      <c r="M67" s="479">
        <f>(K67/K60-1)*100</f>
        <v>-0.46975924838520422</v>
      </c>
      <c r="N67" s="185" t="s">
        <v>93</v>
      </c>
      <c r="O67" s="792">
        <f>(G67/M67)*100</f>
        <v>-215.69012093266028</v>
      </c>
      <c r="P67" s="185" t="s">
        <v>93</v>
      </c>
      <c r="R67" s="385">
        <f>INDEX('qtrP&amp;L'!$10:$10,MATCH($A66,'qtrP&amp;L'!$6:$6,0))</f>
        <v>5288</v>
      </c>
      <c r="T67" s="385">
        <f>R67</f>
        <v>5288</v>
      </c>
      <c r="V67" s="779">
        <f>IF(ISERROR(T67/K67),"NA",T67/K67)</f>
        <v>6.2395280235988198</v>
      </c>
      <c r="X67" s="780">
        <f>IF(ISERROR(V67/V60),"NA",(V67/V60-1)*100)</f>
        <v>-7.5524950044476231</v>
      </c>
      <c r="Y67" s="185" t="s">
        <v>93</v>
      </c>
      <c r="Z67" s="781">
        <f>INDEX(stores!C$205:C$360,MATCH(A67,stores!A$205:A$360,0))</f>
        <v>154.09100000000001</v>
      </c>
      <c r="AB67" s="385">
        <f>AVERAGEA(Z67,Z63)</f>
        <v>155.02784813084111</v>
      </c>
      <c r="AD67" s="479">
        <f>(AB67/AB60-1)*100</f>
        <v>-0.77646192046829654</v>
      </c>
      <c r="AE67" s="185" t="s">
        <v>93</v>
      </c>
      <c r="AF67" s="792">
        <f>(G67/AD67)*100</f>
        <v>-130.4924638575078</v>
      </c>
      <c r="AG67" s="185" t="s">
        <v>93</v>
      </c>
      <c r="AI67" s="543">
        <f>T67</f>
        <v>5288</v>
      </c>
      <c r="AK67" s="782">
        <f>IF(ISERROR(AI67/AB67),"NA",AI67/AB67)</f>
        <v>34.110000646703227</v>
      </c>
      <c r="AM67" s="791">
        <f>(AK67/AK60-1)*100</f>
        <v>-7.2667372360960769</v>
      </c>
      <c r="AN67" s="185" t="s">
        <v>93</v>
      </c>
    </row>
    <row r="68" spans="1:40" ht="10.5" hidden="1" customHeight="1" outlineLevel="1" x14ac:dyDescent="0.2">
      <c r="A68" s="261" t="s">
        <v>392</v>
      </c>
      <c r="C68" s="654">
        <f>INDEX('qtrP&amp;L'!$11:$11,MATCH($A66,'qtrP&amp;L'!$6:$6,0)+1)</f>
        <v>-7.5725778244141289</v>
      </c>
      <c r="E68" s="654">
        <f>INDEX('qtrP&amp;L'!$11:$11,MATCH($A66,'qtrP&amp;L'!$6:$6,0)+2)</f>
        <v>-9.5</v>
      </c>
      <c r="G68" s="479">
        <f>C68-E68</f>
        <v>1.9274221755858711</v>
      </c>
      <c r="I68" s="775">
        <f>INDEX(stores!C$7:C$162,MATCH(A68,stores!A$7:A$162,0)+2)</f>
        <v>848</v>
      </c>
      <c r="J68" s="776">
        <f>I68-I67</f>
        <v>0</v>
      </c>
      <c r="K68" s="385">
        <f>AVERAGE(I67:I68)</f>
        <v>848</v>
      </c>
      <c r="M68" s="479">
        <f>(K68/K61-1)*100</f>
        <v>-0.58616647127783805</v>
      </c>
      <c r="O68" s="792">
        <f>(G68/M68)*100</f>
        <v>-328.81822315495236</v>
      </c>
      <c r="R68" s="385">
        <f>INDEX('qtrP&amp;L'!$11:$11,MATCH($A66,'qtrP&amp;L'!$6:$6,0))</f>
        <v>5285</v>
      </c>
      <c r="T68" s="385">
        <f>R68</f>
        <v>5285</v>
      </c>
      <c r="V68" s="784">
        <f>IF(ISERROR(T68/K68),"NA",T68/K68)</f>
        <v>6.2323113207547172</v>
      </c>
      <c r="X68" s="780">
        <f>IF(ISERROR(V68/V61),"NA",(V68/V61-1)*100)</f>
        <v>-7.0276048163033682</v>
      </c>
      <c r="Z68" s="781">
        <f>INDEX(stores!C$205:C$360,MATCH(A68,stores!A$205:A$360,0))</f>
        <v>154.44300000000001</v>
      </c>
      <c r="AB68" s="385">
        <f>AVERAGEA(Z67:Z68)</f>
        <v>154.267</v>
      </c>
      <c r="AD68" s="479">
        <f>(AB68/AB61-1)*100</f>
        <v>-0.53424955027643328</v>
      </c>
      <c r="AF68" s="792">
        <f>(G68/AD68)*100</f>
        <v>-360.77188545850481</v>
      </c>
      <c r="AI68" s="385">
        <f>T68</f>
        <v>5285</v>
      </c>
      <c r="AK68" s="715">
        <f>IF(ISERROR(AI68/AB68),"NA",AI68/AB68)</f>
        <v>34.258785093377071</v>
      </c>
      <c r="AM68" s="791">
        <f>(AK68/AK61-1)*100</f>
        <v>-7.0761324800895249</v>
      </c>
    </row>
    <row r="69" spans="1:40" ht="10.5" hidden="1" customHeight="1" outlineLevel="1" x14ac:dyDescent="0.2">
      <c r="A69" s="261" t="s">
        <v>393</v>
      </c>
      <c r="C69" s="654">
        <f>INDEX('qtrP&amp;L'!$12:$12,MATCH($A66,'qtrP&amp;L'!$6:$6,0)+1)</f>
        <v>-1.9661387220098359</v>
      </c>
      <c r="E69" s="654">
        <f>INDEX('qtrP&amp;L'!$12:$12,MATCH($A66,'qtrP&amp;L'!$6:$6,0)+2)</f>
        <v>-3.6</v>
      </c>
      <c r="G69" s="479">
        <f>C69-E69</f>
        <v>1.6338612779901642</v>
      </c>
      <c r="I69" s="775">
        <f>INDEX(stores!C$7:C$162,MATCH(A69,stores!A$7:A$162,0)+2)</f>
        <v>854</v>
      </c>
      <c r="J69" s="776">
        <f>I69-I68</f>
        <v>6</v>
      </c>
      <c r="K69" s="385">
        <f>AVERAGE(I68:I69)</f>
        <v>851</v>
      </c>
      <c r="M69" s="479">
        <f>(K69/K62-1)*100</f>
        <v>-0.5260081823495022</v>
      </c>
      <c r="O69" s="792">
        <f>(G69/M69)*100</f>
        <v>-310.61518296013071</v>
      </c>
      <c r="R69" s="385">
        <f>INDEX('qtrP&amp;L'!$12:$12,MATCH($A66,'qtrP&amp;L'!$6:$6,0))</f>
        <v>5385</v>
      </c>
      <c r="T69" s="385">
        <f>R69</f>
        <v>5385</v>
      </c>
      <c r="V69" s="784">
        <f>IF(ISERROR(T69/K69),"NA",T69/K69)</f>
        <v>6.3278495887191539</v>
      </c>
      <c r="X69" s="780">
        <f>IF(ISERROR(V69/V62),"NA",(V69/V62-1)*100)</f>
        <v>-1.4477458010333843</v>
      </c>
      <c r="Z69" s="781">
        <f>INDEX(stores!C$205:C$360,MATCH(A69,stores!A$205:A$360,0))</f>
        <v>154.62512617924531</v>
      </c>
      <c r="AB69" s="385">
        <f>AVERAGEA(Z68:Z69)</f>
        <v>154.53406308962266</v>
      </c>
      <c r="AD69" s="479">
        <f>(AB69/AB62-1)*100</f>
        <v>-0.62699361879769988</v>
      </c>
      <c r="AF69" s="792">
        <f>(G69/AD69)*100</f>
        <v>-260.58658796610996</v>
      </c>
      <c r="AI69" s="385">
        <f>T69</f>
        <v>5385</v>
      </c>
      <c r="AK69" s="715">
        <f>IF(ISERROR(AI69/AB69),"NA",AI69/AB69)</f>
        <v>34.846686176088873</v>
      </c>
      <c r="AM69" s="791">
        <f>(AK69/AK62-1)*100</f>
        <v>-1.3475944343226187</v>
      </c>
    </row>
    <row r="70" spans="1:40" ht="10.5" hidden="1" customHeight="1" outlineLevel="1" x14ac:dyDescent="0.2">
      <c r="A70" s="261" t="s">
        <v>394</v>
      </c>
      <c r="C70" s="785">
        <f>INDEX('qtrP&amp;L'!$13:$13,MATCH($A66,'qtrP&amp;L'!$6:$6,0)+1)</f>
        <v>3.7811948575749987E-2</v>
      </c>
      <c r="E70" s="785">
        <f>INDEX('qtrP&amp;L'!$13:$13,MATCH($A66,'qtrP&amp;L'!$6:$6,0)+2)</f>
        <v>-0.8</v>
      </c>
      <c r="G70" s="786">
        <f>C70-E70</f>
        <v>0.83781194857575003</v>
      </c>
      <c r="I70" s="775">
        <f>INDEX(stores!C$7:C$162,MATCH(A70,stores!A$7:A$162,0)+2)</f>
        <v>850</v>
      </c>
      <c r="J70" s="776">
        <f>I70-I69</f>
        <v>-4</v>
      </c>
      <c r="K70" s="607">
        <f>AVERAGE(I69:I70)</f>
        <v>852</v>
      </c>
      <c r="M70" s="786">
        <f>(K70/K63-1)*100</f>
        <v>5.8719906048154691E-2</v>
      </c>
      <c r="O70" s="793">
        <f>(G70/M70)*100</f>
        <v>1426.7937484243962</v>
      </c>
      <c r="R70" s="607">
        <f>INDEX('qtrP&amp;L'!$13:$13,MATCH($A66,'qtrP&amp;L'!$6:$6,0))</f>
        <v>7937</v>
      </c>
      <c r="T70" s="607">
        <f>R70</f>
        <v>7937</v>
      </c>
      <c r="V70" s="787">
        <f>IF(ISERROR(T70/K70),"NA",T70/K70)</f>
        <v>9.315727699530516</v>
      </c>
      <c r="X70" s="788">
        <f>IF(ISERROR(V70/V63),"NA",(V70/V63-1)*100)</f>
        <v>-2.0895687544308927E-2</v>
      </c>
      <c r="Z70" s="781">
        <f>INDEX(stores!C$205:C$360,MATCH(A70,stores!A$205:A$360,0))</f>
        <v>155.34100000000001</v>
      </c>
      <c r="AB70" s="607">
        <f>AVERAGEA(Z69:Z70)</f>
        <v>154.98306308962265</v>
      </c>
      <c r="AD70" s="786">
        <f>(AB70/AB63-1)*100</f>
        <v>-0.57307136467719122</v>
      </c>
      <c r="AF70" s="793">
        <f>(G70/AD70)*100</f>
        <v>-146.19679157196873</v>
      </c>
      <c r="AI70" s="607">
        <f>T70</f>
        <v>7937</v>
      </c>
      <c r="AK70" s="789">
        <f>IF(ISERROR(AI70/AB70),"NA",AI70/AB70)</f>
        <v>51.212047573290256</v>
      </c>
      <c r="AM70" s="794">
        <f>(AK70/AK63-1)*100</f>
        <v>0.61440428829249161</v>
      </c>
    </row>
    <row r="71" spans="1:40" ht="10.5" hidden="1" customHeight="1" outlineLevel="1" x14ac:dyDescent="0.2">
      <c r="A71" s="450" t="s">
        <v>56</v>
      </c>
      <c r="C71" s="654">
        <f>INDEX('qtrP&amp;L'!$14:$14,MATCH($A66,'qtrP&amp;L'!$6:$6,0)+1)</f>
        <v>-4.0053029085650005</v>
      </c>
      <c r="E71" s="654">
        <f>INDEX('qtrP&amp;L'!$14:$14,MATCH($A66,'qtrP&amp;L'!$6:$6,0)+2)</f>
        <v>-5.3</v>
      </c>
      <c r="G71" s="479">
        <f>C71-E71</f>
        <v>1.2946970914349993</v>
      </c>
      <c r="I71" s="773"/>
      <c r="K71" s="385">
        <f>AVERAGE(K67:K70)</f>
        <v>849.625</v>
      </c>
      <c r="M71" s="479">
        <f>(K71/K64-1)*100</f>
        <v>-0.381064048072699</v>
      </c>
      <c r="O71" s="792">
        <f>(G71/M71)*100</f>
        <v>-339.75839441772746</v>
      </c>
      <c r="R71" s="385">
        <f>INDEX('qtrP&amp;L'!$14:$14,MATCH($A66,'qtrP&amp;L'!$6:$6,0))</f>
        <v>23895</v>
      </c>
      <c r="T71" s="385">
        <f>R71</f>
        <v>23895</v>
      </c>
      <c r="V71" s="779">
        <f>IF(ISERROR(T71/K71),"NA",T71/K71)</f>
        <v>28.124172429012798</v>
      </c>
      <c r="X71" s="780">
        <f>IF(ISERROR(V71/V64),"NA",(V71/V64-1)*100)</f>
        <v>-3.6381023606207208</v>
      </c>
      <c r="Z71" s="774"/>
      <c r="AB71" s="385">
        <f>AVERAGEA(AB67:AB70)</f>
        <v>154.7029935775216</v>
      </c>
      <c r="AD71" s="479">
        <f>(AB71/AB64-1)*100</f>
        <v>-0.62789879997392495</v>
      </c>
      <c r="AF71" s="792">
        <f>(G71/AD71)*100</f>
        <v>-206.1951848751367</v>
      </c>
      <c r="AI71" s="543">
        <f>SUM(AI67:AI70)</f>
        <v>23895</v>
      </c>
      <c r="AK71" s="782">
        <f>IF(ISERROR(AI71/AB71),"NA",AI71/AB71)</f>
        <v>154.45725675648433</v>
      </c>
      <c r="AM71" s="791">
        <f>(AK71/AK64-1)*100</f>
        <v>-3.3987447863185527</v>
      </c>
    </row>
    <row r="72" spans="1:40" ht="10.5" hidden="1" customHeight="1" outlineLevel="1" x14ac:dyDescent="0.2">
      <c r="I72" s="773"/>
      <c r="K72" s="385"/>
      <c r="O72" s="792"/>
      <c r="R72" s="385"/>
      <c r="T72" s="385"/>
      <c r="X72" s="791"/>
      <c r="Z72" s="774"/>
      <c r="AB72" s="385"/>
      <c r="AF72" s="792"/>
      <c r="AM72" s="791"/>
    </row>
    <row r="73" spans="1:40" ht="12.75" hidden="1" customHeight="1" outlineLevel="1" x14ac:dyDescent="0.2">
      <c r="A73" s="772">
        <v>2010</v>
      </c>
      <c r="I73" s="773"/>
      <c r="K73" s="385"/>
      <c r="O73" s="792"/>
      <c r="R73" s="385"/>
      <c r="T73" s="385"/>
      <c r="X73" s="791"/>
      <c r="Z73" s="774"/>
      <c r="AB73" s="385"/>
      <c r="AF73" s="792"/>
      <c r="AM73" s="791"/>
    </row>
    <row r="74" spans="1:40" ht="12.75" hidden="1" customHeight="1" outlineLevel="1" x14ac:dyDescent="0.2">
      <c r="A74" s="261" t="s">
        <v>395</v>
      </c>
      <c r="C74" s="654">
        <f>INDEX('qtrP&amp;L'!$10:$10,MATCH($A73,'qtrP&amp;L'!$6:$6,0)+1)</f>
        <v>5.4084720121028829</v>
      </c>
      <c r="D74" s="185" t="s">
        <v>93</v>
      </c>
      <c r="E74" s="654">
        <f>INDEX('qtrP&amp;L'!$10:$10,MATCH($A73,'qtrP&amp;L'!$6:$6,0)+2)</f>
        <v>5.5</v>
      </c>
      <c r="F74" s="185" t="s">
        <v>93</v>
      </c>
      <c r="G74" s="479">
        <f>C74-E74</f>
        <v>-9.1527987897117136E-2</v>
      </c>
      <c r="H74" s="185" t="s">
        <v>93</v>
      </c>
      <c r="I74" s="775">
        <f>INDEX(stores!C$7:C$162,MATCH(A74,stores!A$7:A$162,0)+2)</f>
        <v>849</v>
      </c>
      <c r="J74" s="776">
        <f>I74-I70</f>
        <v>-1</v>
      </c>
      <c r="K74" s="385">
        <f>AVERAGE(I74,I70)</f>
        <v>849.5</v>
      </c>
      <c r="M74" s="479">
        <f>(K74/K67-1)*100</f>
        <v>0.23598820058996495</v>
      </c>
      <c r="N74" s="185" t="s">
        <v>93</v>
      </c>
      <c r="O74" s="792">
        <f>(G74/M74)*100</f>
        <v>-38.784984871404298</v>
      </c>
      <c r="P74" s="185" t="s">
        <v>93</v>
      </c>
      <c r="R74" s="385">
        <f>INDEX('qtrP&amp;L'!$10:$10,MATCH($A73,'qtrP&amp;L'!$6:$6,0))</f>
        <v>5574</v>
      </c>
      <c r="T74" s="385">
        <f>R74</f>
        <v>5574</v>
      </c>
      <c r="V74" s="779">
        <f>IF(ISERROR(T74/K74),"NA",T74/K74)</f>
        <v>6.5615067686874635</v>
      </c>
      <c r="X74" s="780">
        <f>IF(ISERROR(V74/V67),"NA",(V74/V67-1)*100)</f>
        <v>5.1603060980072835</v>
      </c>
      <c r="Y74" s="185" t="s">
        <v>93</v>
      </c>
      <c r="Z74" s="781">
        <f>INDEX(stores!C$205:C$360,MATCH(A74,stores!A$205:A$360,0))</f>
        <v>154.4</v>
      </c>
      <c r="AB74" s="385">
        <f>AVERAGEA(Z74,Z70)</f>
        <v>154.87049999999999</v>
      </c>
      <c r="AD74" s="479">
        <f>(AB74/AB67-1)*100</f>
        <v>-0.10149668768434372</v>
      </c>
      <c r="AE74" s="185" t="s">
        <v>93</v>
      </c>
      <c r="AF74" s="792">
        <f>(G74/AD74)*100</f>
        <v>90.178300381358838</v>
      </c>
      <c r="AG74" s="185" t="s">
        <v>93</v>
      </c>
      <c r="AI74" s="543">
        <f>T74</f>
        <v>5574</v>
      </c>
      <c r="AK74" s="782">
        <f>IF(ISERROR(AI74/AB74),"NA",AI74/AB74)</f>
        <v>35.991360523792459</v>
      </c>
      <c r="AM74" s="791">
        <f>(AK74/AK67-1)*100</f>
        <v>5.5155668174138972</v>
      </c>
      <c r="AN74" s="185" t="s">
        <v>93</v>
      </c>
    </row>
    <row r="75" spans="1:40" ht="12.75" hidden="1" customHeight="1" outlineLevel="1" x14ac:dyDescent="0.2">
      <c r="A75" s="261" t="s">
        <v>396</v>
      </c>
      <c r="C75" s="654">
        <f>INDEX('qtrP&amp;L'!$11:$11,MATCH($A73,'qtrP&amp;L'!$6:$6,0)+1)</f>
        <v>4.7682119205298079</v>
      </c>
      <c r="E75" s="654">
        <f>INDEX('qtrP&amp;L'!$11:$11,MATCH($A73,'qtrP&amp;L'!$6:$6,0)+2)</f>
        <v>4.9000000000000004</v>
      </c>
      <c r="G75" s="479">
        <f>C75-E75</f>
        <v>-0.13178807947019244</v>
      </c>
      <c r="I75" s="775">
        <f>INDEX(stores!C$7:C$162,MATCH(A75,stores!A$7:A$162,0)+2)</f>
        <v>849</v>
      </c>
      <c r="J75" s="776">
        <f>I75-I74</f>
        <v>0</v>
      </c>
      <c r="K75" s="385">
        <f>AVERAGE(I74:I75)</f>
        <v>849</v>
      </c>
      <c r="M75" s="479">
        <f>(K75/K68-1)*100</f>
        <v>0.1179245283018826</v>
      </c>
      <c r="O75" s="792">
        <f>(G75/M75)*100</f>
        <v>-111.75629139072716</v>
      </c>
      <c r="R75" s="385">
        <f>INDEX('qtrP&amp;L'!$11:$11,MATCH($A73,'qtrP&amp;L'!$6:$6,0))</f>
        <v>5537</v>
      </c>
      <c r="T75" s="385">
        <f>R75</f>
        <v>5537</v>
      </c>
      <c r="V75" s="784">
        <f>IF(ISERROR(T75/K75),"NA",T75/K75)</f>
        <v>6.5217903415783276</v>
      </c>
      <c r="X75" s="780">
        <f>IF(ISERROR(V75/V68),"NA",(V75/V68-1)*100)</f>
        <v>4.6448100219190547</v>
      </c>
      <c r="Z75" s="781">
        <f>INDEX(stores!C$205:C$360,MATCH(A75,stores!A$205:A$360,0))</f>
        <v>154.48674911660777</v>
      </c>
      <c r="AB75" s="385">
        <f>AVERAGEA(Z74:Z75)</f>
        <v>154.4433745583039</v>
      </c>
      <c r="AD75" s="479">
        <f>(AB75/AB68-1)*100</f>
        <v>0.11433071123694294</v>
      </c>
      <c r="AF75" s="792">
        <f>(G75/AD75)*100</f>
        <v>-115.26918536968623</v>
      </c>
      <c r="AI75" s="385">
        <f>T75</f>
        <v>5537</v>
      </c>
      <c r="AK75" s="715">
        <f>IF(ISERROR(AI75/AB75),"NA",AI75/AB75)</f>
        <v>35.851327490320585</v>
      </c>
      <c r="AM75" s="791">
        <f>(AK75/AK68-1)*100</f>
        <v>4.6485664701851448</v>
      </c>
    </row>
    <row r="76" spans="1:40" ht="12.75" hidden="1" customHeight="1" outlineLevel="1" x14ac:dyDescent="0.2">
      <c r="A76" s="261" t="s">
        <v>397</v>
      </c>
      <c r="C76" s="654">
        <f>INDEX('qtrP&amp;L'!$12:$12,MATCH($A73,'qtrP&amp;L'!$6:$6,0)+1)</f>
        <v>4.4196843082636939</v>
      </c>
      <c r="E76" s="654">
        <f>INDEX('qtrP&amp;L'!$12:$12,MATCH($A73,'qtrP&amp;L'!$6:$6,0)+2)</f>
        <v>3.9</v>
      </c>
      <c r="G76" s="479">
        <f>C76-E76</f>
        <v>0.51968430826369394</v>
      </c>
      <c r="I76" s="775">
        <f>INDEX(stores!C$7:C$162,MATCH(A76,stores!A$7:A$162,0)+2)</f>
        <v>854</v>
      </c>
      <c r="J76" s="776">
        <f>I76-I75</f>
        <v>5</v>
      </c>
      <c r="K76" s="385">
        <f>AVERAGE(I75:I76)</f>
        <v>851.5</v>
      </c>
      <c r="M76" s="479">
        <f>(K76/K69-1)*100</f>
        <v>5.8754406580496799E-2</v>
      </c>
      <c r="O76" s="792">
        <f>(G76/M76)*100</f>
        <v>884.50269266475811</v>
      </c>
      <c r="R76" s="385">
        <f>INDEX('qtrP&amp;L'!$12:$12,MATCH($A73,'qtrP&amp;L'!$6:$6,0))</f>
        <v>5623</v>
      </c>
      <c r="T76" s="385">
        <f>R76</f>
        <v>5623</v>
      </c>
      <c r="V76" s="784">
        <f>IF(ISERROR(T76/K76),"NA",T76/K76)</f>
        <v>6.6036406341749849</v>
      </c>
      <c r="X76" s="780">
        <f>IF(ISERROR(V76/V69),"NA",(V76/V69-1)*100)</f>
        <v>4.3583691677421044</v>
      </c>
      <c r="Z76" s="781">
        <f>INDEX(stores!C$205:C$360,MATCH(A76,stores!A$205:A$360,0))</f>
        <v>154.30500000000001</v>
      </c>
      <c r="AB76" s="385">
        <f>AVERAGEA(Z75:Z76)</f>
        <v>154.39587455830389</v>
      </c>
      <c r="AD76" s="479">
        <f>(AB76/AB69-1)*100</f>
        <v>-8.9422699795727034E-2</v>
      </c>
      <c r="AF76" s="792">
        <f>(G76/AD76)*100</f>
        <v>-581.15479565125645</v>
      </c>
      <c r="AI76" s="385">
        <f>T76</f>
        <v>5623</v>
      </c>
      <c r="AK76" s="715">
        <f>IF(ISERROR(AI76/AB76),"NA",AI76/AB76)</f>
        <v>36.419366878074257</v>
      </c>
      <c r="AM76" s="791">
        <f>(AK76/AK69-1)*100</f>
        <v>4.51314278218089</v>
      </c>
    </row>
    <row r="77" spans="1:40" ht="12.75" hidden="1" customHeight="1" outlineLevel="1" x14ac:dyDescent="0.2">
      <c r="A77" s="261" t="s">
        <v>398</v>
      </c>
      <c r="C77" s="785">
        <f>INDEX('qtrP&amp;L'!$13:$13,MATCH($A73,'qtrP&amp;L'!$6:$6,0)+1)</f>
        <v>4.182940657679235</v>
      </c>
      <c r="E77" s="785">
        <f>INDEX('qtrP&amp;L'!$13:$13,MATCH($A73,'qtrP&amp;L'!$6:$6,0)+2)</f>
        <v>4.3</v>
      </c>
      <c r="G77" s="786">
        <f>C77-E77</f>
        <v>-0.11705934232076487</v>
      </c>
      <c r="I77" s="775">
        <f>INDEX(stores!C$7:C$162,MATCH(A77,stores!A$7:A$162,0)+2)</f>
        <v>850</v>
      </c>
      <c r="J77" s="776">
        <f>I77-I76</f>
        <v>-4</v>
      </c>
      <c r="K77" s="607">
        <f>AVERAGE(I76:I77)</f>
        <v>852</v>
      </c>
      <c r="M77" s="786">
        <f>(K77/K70-1)*100</f>
        <v>0</v>
      </c>
      <c r="O77" s="797" t="str">
        <f>IF(ISERROR((G77/M77)*100),"NA",(G77/M77)*100)</f>
        <v>NA</v>
      </c>
      <c r="R77" s="607">
        <f>INDEX('qtrP&amp;L'!$13:$13,MATCH($A73,'qtrP&amp;L'!$6:$6,0))</f>
        <v>8269</v>
      </c>
      <c r="T77" s="607">
        <f>R77</f>
        <v>8269</v>
      </c>
      <c r="V77" s="787">
        <f>IF(ISERROR(T77/K77),"NA",T77/K77)</f>
        <v>9.705399061032864</v>
      </c>
      <c r="X77" s="788">
        <f>IF(ISERROR(V77/V70),"NA",(V77/V70-1)*100)</f>
        <v>4.182940657679235</v>
      </c>
      <c r="Z77" s="781">
        <f>INDEX(stores!C$205:C$360,MATCH(A77,stores!A$205:A$360,0))</f>
        <v>154.666</v>
      </c>
      <c r="AB77" s="607">
        <f>AVERAGEA(Z76:Z77)</f>
        <v>154.4855</v>
      </c>
      <c r="AD77" s="786">
        <f>(AB77/AB70-1)*100</f>
        <v>-0.32104352546892256</v>
      </c>
      <c r="AF77" s="793">
        <f>(G77/AD77)*100</f>
        <v>36.462140810902717</v>
      </c>
      <c r="AI77" s="607">
        <f>T77</f>
        <v>8269</v>
      </c>
      <c r="AK77" s="789">
        <f>IF(ISERROR(AI77/AB77),"NA",AI77/AB77)</f>
        <v>53.526059079978381</v>
      </c>
      <c r="AM77" s="794">
        <f>(AK77/AK70-1)*100</f>
        <v>4.5184905043613277</v>
      </c>
    </row>
    <row r="78" spans="1:40" ht="12.75" hidden="1" customHeight="1" outlineLevel="1" x14ac:dyDescent="0.2">
      <c r="A78" s="450" t="s">
        <v>56</v>
      </c>
      <c r="C78" s="654">
        <f>INDEX('qtrP&amp;L'!$14:$14,MATCH($A73,'qtrP&amp;L'!$6:$6,0)+1)</f>
        <v>4.6369533375183014</v>
      </c>
      <c r="E78" s="654">
        <f>INDEX('qtrP&amp;L'!$14:$14,MATCH($A73,'qtrP&amp;L'!$6:$6,0)+2)</f>
        <v>4.5999999999999996</v>
      </c>
      <c r="G78" s="479">
        <f>C78-E78</f>
        <v>3.6953337518301765E-2</v>
      </c>
      <c r="I78" s="798"/>
      <c r="K78" s="385">
        <f>AVERAGE(K74:K77)</f>
        <v>850.5</v>
      </c>
      <c r="M78" s="479">
        <f>(K78/K71-1)*100</f>
        <v>0.1029866117404632</v>
      </c>
      <c r="O78" s="792">
        <f>(G78/M78)*100</f>
        <v>35.881690730274684</v>
      </c>
      <c r="R78" s="385">
        <f>INDEX('qtrP&amp;L'!$14:$14,MATCH($A73,'qtrP&amp;L'!$6:$6,0))</f>
        <v>25003</v>
      </c>
      <c r="T78" s="385">
        <f>R78</f>
        <v>25003</v>
      </c>
      <c r="V78" s="779">
        <f>IF(ISERROR(T78/K78),"NA",T78/K78)</f>
        <v>29.398001175778955</v>
      </c>
      <c r="X78" s="780">
        <f>IF(ISERROR(V78/V71),"NA",(V78/V71-1)*100)</f>
        <v>4.5293021509570819</v>
      </c>
      <c r="Z78" s="774"/>
      <c r="AB78" s="385">
        <f>AVERAGEA(AB74:AB77)</f>
        <v>154.54881227915195</v>
      </c>
      <c r="AD78" s="479">
        <f>(AB78/AB71-1)*100</f>
        <v>-9.9662776268383269E-2</v>
      </c>
      <c r="AF78" s="792">
        <f>(G78/AD78)*100</f>
        <v>-37.078374596739721</v>
      </c>
      <c r="AI78" s="543">
        <f>SUM(AI74:AI77)</f>
        <v>25003</v>
      </c>
      <c r="AK78" s="782">
        <f>IF(ISERROR(AI78/AB78),"NA",AI78/AB78)</f>
        <v>161.78060271882666</v>
      </c>
      <c r="AM78" s="791">
        <f>(AK78/AK71-1)*100</f>
        <v>4.7413414663243891</v>
      </c>
    </row>
    <row r="79" spans="1:40" ht="12.75" hidden="1" customHeight="1" outlineLevel="1" x14ac:dyDescent="0.2">
      <c r="I79" s="773"/>
      <c r="K79" s="385"/>
      <c r="O79" s="792"/>
      <c r="R79" s="385"/>
      <c r="T79" s="385"/>
      <c r="X79" s="791"/>
      <c r="Z79" s="774"/>
      <c r="AB79" s="385"/>
      <c r="AF79" s="792"/>
      <c r="AM79" s="791"/>
    </row>
    <row r="80" spans="1:40" ht="12.75" hidden="1" customHeight="1" outlineLevel="1" x14ac:dyDescent="0.2">
      <c r="A80" s="772">
        <v>2011</v>
      </c>
      <c r="I80" s="773"/>
      <c r="K80" s="385"/>
      <c r="O80" s="792"/>
      <c r="R80" s="385"/>
      <c r="T80" s="385"/>
      <c r="X80" s="791"/>
      <c r="Z80" s="774"/>
      <c r="AB80" s="385"/>
      <c r="AF80" s="792"/>
      <c r="AM80" s="791"/>
    </row>
    <row r="81" spans="1:42" ht="12.75" hidden="1" customHeight="1" outlineLevel="1" x14ac:dyDescent="0.2">
      <c r="A81" s="261" t="s">
        <v>399</v>
      </c>
      <c r="C81" s="654">
        <f>INDEX('qtrP&amp;L'!$10:$10,MATCH($A80,'qtrP&amp;L'!$6:$6,0)+1)</f>
        <v>5.6512378902045191</v>
      </c>
      <c r="D81" s="185" t="s">
        <v>93</v>
      </c>
      <c r="E81" s="479">
        <f>INDEX('qtrP&amp;L'!$10:$10,MATCH($A80,'qtrP&amp;L'!$6:$6,0)+2)</f>
        <v>5.4</v>
      </c>
      <c r="F81" s="185" t="s">
        <v>93</v>
      </c>
      <c r="G81" s="479">
        <f>C81-E81</f>
        <v>0.2512378902045187</v>
      </c>
      <c r="H81" s="185" t="s">
        <v>93</v>
      </c>
      <c r="I81" s="775">
        <f>INDEX(stores!C$7:C$162,MATCH(A81,stores!A$7:A$162,0)+2)</f>
        <v>850</v>
      </c>
      <c r="J81" s="776">
        <f>I81-I77</f>
        <v>0</v>
      </c>
      <c r="K81" s="385">
        <f>AVERAGE(I81,I77)</f>
        <v>850</v>
      </c>
      <c r="M81" s="479">
        <f>(K81/K74-1)*100</f>
        <v>5.8858151854024321E-2</v>
      </c>
      <c r="N81" s="185" t="s">
        <v>93</v>
      </c>
      <c r="O81" s="796">
        <f>IF(ISERROR((G81/M81)*100),"NA",(G81/M81)*100)</f>
        <v>426.85317545753139</v>
      </c>
      <c r="P81" s="185" t="s">
        <v>93</v>
      </c>
      <c r="R81" s="385">
        <f>INDEX('qtrP&amp;L'!$10:$10,MATCH($A80,'qtrP&amp;L'!$6:$6,0))</f>
        <v>5889</v>
      </c>
      <c r="T81" s="385">
        <f>R81</f>
        <v>5889</v>
      </c>
      <c r="V81" s="779">
        <f>IF(ISERROR(T81/K81),"NA",T81/K81)</f>
        <v>6.9282352941176475</v>
      </c>
      <c r="X81" s="780">
        <f>IF(ISERROR(V81/V74),"NA",(V81/V74-1)*100)</f>
        <v>5.5890901032102924</v>
      </c>
      <c r="Y81" s="185" t="s">
        <v>93</v>
      </c>
      <c r="Z81" s="781">
        <f>INDEX(stores!C$205:C$360,MATCH(A81,stores!A$205:A$360,0))</f>
        <v>154.221</v>
      </c>
      <c r="AB81" s="385">
        <f>AVERAGEA(Z81,Z77)</f>
        <v>154.4435</v>
      </c>
      <c r="AD81" s="479">
        <f>(AB81/AB74-1)*100</f>
        <v>-0.27571422575635163</v>
      </c>
      <c r="AE81" s="185" t="s">
        <v>93</v>
      </c>
      <c r="AF81" s="792">
        <f>(G81/AD81)*100</f>
        <v>-91.122570667259424</v>
      </c>
      <c r="AG81" s="185" t="s">
        <v>93</v>
      </c>
      <c r="AI81" s="543">
        <f>T81</f>
        <v>5889</v>
      </c>
      <c r="AK81" s="782">
        <f>IF(ISERROR(AI81/AB81),"NA",AI81/AB81)</f>
        <v>38.130448999148555</v>
      </c>
      <c r="AM81" s="791">
        <f>(AK81/AK74-1)*100</f>
        <v>5.9433387463694975</v>
      </c>
      <c r="AN81" s="185" t="s">
        <v>93</v>
      </c>
    </row>
    <row r="82" spans="1:42" ht="12.75" hidden="1" customHeight="1" outlineLevel="1" x14ac:dyDescent="0.2">
      <c r="A82" s="261" t="s">
        <v>400</v>
      </c>
      <c r="C82" s="654">
        <f>INDEX('qtrP&amp;L'!$11:$11,MATCH($A80,'qtrP&amp;L'!$6:$6,0)+1)</f>
        <v>7.2602492324363332</v>
      </c>
      <c r="E82" s="479">
        <f>INDEX('qtrP&amp;L'!$11:$11,MATCH($A80,'qtrP&amp;L'!$6:$6,0)+2)</f>
        <v>6.4</v>
      </c>
      <c r="G82" s="479">
        <f>C82-E82</f>
        <v>0.86024923243633289</v>
      </c>
      <c r="I82" s="775">
        <f>INDEX(stores!C$7:C$162,MATCH(A82,stores!A$7:A$162,0)+2)</f>
        <v>849</v>
      </c>
      <c r="J82" s="776">
        <f>I82-I81</f>
        <v>-1</v>
      </c>
      <c r="K82" s="385">
        <f>AVERAGE(I81:I82)</f>
        <v>849.5</v>
      </c>
      <c r="M82" s="479">
        <f>(K82/K75-1)*100</f>
        <v>5.8892815076561078E-2</v>
      </c>
      <c r="O82" s="796">
        <f>IF(ISERROR((G82/M82)*100),"NA",(G82/M82)*100)</f>
        <v>1460.703196676883</v>
      </c>
      <c r="R82" s="385">
        <f>INDEX('qtrP&amp;L'!$11:$11,MATCH($A80,'qtrP&amp;L'!$6:$6,0))</f>
        <v>5939</v>
      </c>
      <c r="T82" s="385">
        <f>R82</f>
        <v>5939</v>
      </c>
      <c r="V82" s="784">
        <f>IF(ISERROR(T82/K82),"NA",T82/K82)</f>
        <v>6.9911712772218948</v>
      </c>
      <c r="X82" s="780">
        <f>IF(ISERROR(V82/V75),"NA",(V82/V75-1)*100)</f>
        <v>7.1971178320640927</v>
      </c>
      <c r="Z82" s="781">
        <f>INDEX(stores!C$205:C$360,MATCH(A82,stores!A$205:A$360,0))</f>
        <v>154.34800000000001</v>
      </c>
      <c r="AB82" s="385">
        <f>AVERAGEA(Z81:Z82)</f>
        <v>154.28450000000001</v>
      </c>
      <c r="AD82" s="479">
        <f>(AB82/AB75-1)*100</f>
        <v>-0.10286913165311606</v>
      </c>
      <c r="AF82" s="792">
        <f>(G82/AD82)*100</f>
        <v>-836.25594832196168</v>
      </c>
      <c r="AI82" s="385">
        <f>T82</f>
        <v>5939</v>
      </c>
      <c r="AK82" s="715">
        <f>IF(ISERROR(AI82/AB82),"NA",AI82/AB82)</f>
        <v>38.493821479150526</v>
      </c>
      <c r="AM82" s="791">
        <f>(AK82/AK75-1)*100</f>
        <v>7.370700539731434</v>
      </c>
    </row>
    <row r="83" spans="1:42" ht="12.75" hidden="1" customHeight="1" outlineLevel="1" x14ac:dyDescent="0.2">
      <c r="A83" s="261" t="s">
        <v>401</v>
      </c>
      <c r="C83" s="654">
        <f>INDEX('qtrP&amp;L'!$12:$12,MATCH($A80,'qtrP&amp;L'!$6:$6,0)+1)</f>
        <v>4.0903432331495626</v>
      </c>
      <c r="E83" s="479">
        <f>INDEX('qtrP&amp;L'!$12:$12,MATCH($A80,'qtrP&amp;L'!$6:$6,0)+2)</f>
        <v>4</v>
      </c>
      <c r="G83" s="479">
        <f>C83-E83</f>
        <v>9.0343233149562607E-2</v>
      </c>
      <c r="I83" s="775">
        <f>INDEX(stores!C$7:C$162,MATCH(A83,stores!A$7:A$162,0)+2)</f>
        <v>850</v>
      </c>
      <c r="J83" s="776">
        <f>I83-I82</f>
        <v>1</v>
      </c>
      <c r="K83" s="385">
        <f>AVERAGE(I82:I83)</f>
        <v>849.5</v>
      </c>
      <c r="M83" s="479">
        <f>(K83/K76-1)*100</f>
        <v>-0.23487962419259656</v>
      </c>
      <c r="O83" s="796">
        <f>IF(ISERROR((G83/M83)*100),"NA",(G83/M83)*100)</f>
        <v>-38.463631513427053</v>
      </c>
      <c r="R83" s="385">
        <f>INDEX('qtrP&amp;L'!$12:$12,MATCH($A80,'qtrP&amp;L'!$6:$6,0))</f>
        <v>5853</v>
      </c>
      <c r="T83" s="385">
        <f>R83</f>
        <v>5853</v>
      </c>
      <c r="V83" s="784">
        <f>IF(ISERROR(T83/K83),"NA",T83/K83)</f>
        <v>6.8899352560329605</v>
      </c>
      <c r="X83" s="780">
        <f>IF(ISERROR(V83/V76),"NA",(V83/V76-1)*100)</f>
        <v>4.3354058422917729</v>
      </c>
      <c r="Z83" s="781">
        <f>INDEX(stores!C$205:C$360,MATCH(A83,stores!A$205:A$360,0))</f>
        <v>154.298</v>
      </c>
      <c r="AB83" s="385">
        <f>AVERAGEA(Z82:Z83)</f>
        <v>154.32300000000001</v>
      </c>
      <c r="AD83" s="479">
        <f>(AB83/AB76-1)*100</f>
        <v>-4.7199809264564241E-2</v>
      </c>
      <c r="AF83" s="792">
        <f>(G83/AD83)*100</f>
        <v>-191.40592845019978</v>
      </c>
      <c r="AI83" s="385">
        <f>T83</f>
        <v>5853</v>
      </c>
      <c r="AK83" s="715">
        <f>IF(ISERROR(AI83/AB83),"NA",AI83/AB83)</f>
        <v>37.926945432631555</v>
      </c>
      <c r="AM83" s="791">
        <f>(AK83/AK76-1)*100</f>
        <v>4.1394968770446017</v>
      </c>
    </row>
    <row r="84" spans="1:42" ht="12.75" hidden="1" customHeight="1" outlineLevel="1" x14ac:dyDescent="0.2">
      <c r="A84" s="261" t="s">
        <v>402</v>
      </c>
      <c r="C84" s="785">
        <f>INDEX('qtrP&amp;L'!$13:$13,MATCH($A80,'qtrP&amp;L'!$6:$6,0)+1)</f>
        <v>5.5024791389527206</v>
      </c>
      <c r="E84" s="786">
        <f>INDEX('qtrP&amp;L'!$13:$13,MATCH($A80,'qtrP&amp;L'!$6:$6,0)+2)</f>
        <v>5.2</v>
      </c>
      <c r="G84" s="786">
        <f>C84-E84</f>
        <v>0.30247913895272038</v>
      </c>
      <c r="I84" s="775">
        <f>INDEX(stores!C$7:C$162,MATCH(A84,stores!A$7:A$162,0)+2)</f>
        <v>842</v>
      </c>
      <c r="J84" s="776">
        <f>I84-I83</f>
        <v>-8</v>
      </c>
      <c r="K84" s="607">
        <f>AVERAGE(I83:I84)</f>
        <v>846</v>
      </c>
      <c r="M84" s="786">
        <f>(K84/K77-1)*100</f>
        <v>-0.70422535211267512</v>
      </c>
      <c r="O84" s="793">
        <f>(G84/M84)*100</f>
        <v>-42.952037731286353</v>
      </c>
      <c r="R84" s="607">
        <f>INDEX('qtrP&amp;L'!$13:$13,MATCH($A80,'qtrP&amp;L'!$6:$6,0))</f>
        <v>8724</v>
      </c>
      <c r="T84" s="607">
        <f>R84</f>
        <v>8724</v>
      </c>
      <c r="V84" s="787">
        <f>IF(ISERROR(T84/K84),"NA",T84/K84)</f>
        <v>10.312056737588652</v>
      </c>
      <c r="X84" s="788">
        <f>IF(ISERROR(V84/V77),"NA",(V84/V77-1)*100)</f>
        <v>6.2507236718530867</v>
      </c>
      <c r="Z84" s="781">
        <f>INDEX(stores!C$205:C$360,MATCH(A84,stores!A$205:A$360,0))</f>
        <v>154.4655105882353</v>
      </c>
      <c r="AB84" s="607">
        <f>AVERAGEA(Z83:Z84)</f>
        <v>154.38175529411765</v>
      </c>
      <c r="AD84" s="786">
        <f>(AB84/AB77-1)*100</f>
        <v>-6.7154979517392022E-2</v>
      </c>
      <c r="AF84" s="793">
        <f>(G84/AD84)*100</f>
        <v>-450.41952380371634</v>
      </c>
      <c r="AI84" s="607">
        <f>T84</f>
        <v>8724</v>
      </c>
      <c r="AK84" s="789">
        <f>IF(ISERROR(AI84/AB84),"NA",AI84/AB84)</f>
        <v>56.509268102177145</v>
      </c>
      <c r="AM84" s="794">
        <f>(AK84/AK77-1)*100</f>
        <v>5.5733769185982274</v>
      </c>
    </row>
    <row r="85" spans="1:42" ht="12.75" hidden="1" customHeight="1" outlineLevel="1" x14ac:dyDescent="0.2">
      <c r="A85" s="450" t="s">
        <v>56</v>
      </c>
      <c r="C85" s="654">
        <f>INDEX('qtrP&amp;L'!$14:$14,MATCH($A80,'qtrP&amp;L'!$6:$6,0)+1)</f>
        <v>5.60732712074552</v>
      </c>
      <c r="E85" s="479">
        <f>INDEX('qtrP&amp;L'!$14:$14,MATCH($A80,'qtrP&amp;L'!$6:$6,0)+2)</f>
        <v>5.3</v>
      </c>
      <c r="G85" s="479">
        <f>C85-E85</f>
        <v>0.30732712074552015</v>
      </c>
      <c r="I85" s="798"/>
      <c r="J85" s="554">
        <f>I84-I77</f>
        <v>-8</v>
      </c>
      <c r="K85" s="385">
        <f>AVERAGE(K81:K84)</f>
        <v>848.75</v>
      </c>
      <c r="M85" s="479">
        <f>(K85/K78-1)*100</f>
        <v>-0.2057613168724326</v>
      </c>
      <c r="O85" s="792">
        <f>(G85/M85)*100</f>
        <v>-149.36098068231945</v>
      </c>
      <c r="R85" s="385">
        <f>INDEX('qtrP&amp;L'!$14:$14,MATCH($A80,'qtrP&amp;L'!$6:$6,0))</f>
        <v>26405</v>
      </c>
      <c r="T85" s="385">
        <f>R85</f>
        <v>26405</v>
      </c>
      <c r="V85" s="779">
        <f>IF(ISERROR(T85/K85),"NA",T85/K85)</f>
        <v>31.110456553755522</v>
      </c>
      <c r="X85" s="780">
        <f>IF(ISERROR(V85/V78),"NA",(V85/V78-1)*100)</f>
        <v>5.8250741869738443</v>
      </c>
      <c r="Z85" s="774"/>
      <c r="AB85" s="385">
        <f>AVERAGEA(AB81:AB84)</f>
        <v>154.35818882352942</v>
      </c>
      <c r="AD85" s="479">
        <f>(AB85/AB78-1)*100</f>
        <v>-0.1233419091427379</v>
      </c>
      <c r="AF85" s="792">
        <f>(G85/AD85)*100</f>
        <v>-249.16682649193035</v>
      </c>
      <c r="AI85" s="543">
        <f>SUM(AI81:AI84)</f>
        <v>26405</v>
      </c>
      <c r="AK85" s="782">
        <f>IF(ISERROR(AI85/AB85),"NA",AI85/AB85)</f>
        <v>171.06316290214843</v>
      </c>
      <c r="AM85" s="791">
        <f>(AK85/AK78-1)*100</f>
        <v>5.7377460754394649</v>
      </c>
    </row>
    <row r="86" spans="1:42" ht="12.75" hidden="1" customHeight="1" outlineLevel="1" x14ac:dyDescent="0.2">
      <c r="I86" s="773"/>
      <c r="K86" s="385"/>
      <c r="O86" s="792"/>
      <c r="R86" s="385"/>
      <c r="T86" s="385"/>
      <c r="X86" s="791"/>
      <c r="Z86" s="774"/>
      <c r="AB86" s="385"/>
      <c r="AF86" s="792"/>
      <c r="AM86" s="791"/>
    </row>
    <row r="87" spans="1:42" ht="12.75" customHeight="1" collapsed="1" x14ac:dyDescent="0.2">
      <c r="A87" s="772">
        <v>2012</v>
      </c>
      <c r="I87" s="773"/>
      <c r="K87" s="385"/>
      <c r="O87" s="792"/>
      <c r="R87" s="385"/>
      <c r="T87" s="385"/>
      <c r="X87" s="791"/>
      <c r="Z87" s="774"/>
      <c r="AB87" s="385"/>
      <c r="AF87" s="792"/>
      <c r="AM87" s="791"/>
    </row>
    <row r="88" spans="1:42" ht="12.75" customHeight="1" x14ac:dyDescent="0.2">
      <c r="A88" s="261" t="s">
        <v>403</v>
      </c>
      <c r="C88" s="654">
        <f>INDEX('qtrP&amp;L'!$10:$10,MATCH($A87,'qtrP&amp;L'!$6:$6,0)+1)</f>
        <v>4.313126167430803</v>
      </c>
      <c r="D88" s="185" t="s">
        <v>93</v>
      </c>
      <c r="E88" s="479">
        <f>INDEX('qtrP&amp;L'!$10:$10,MATCH($A87,'qtrP&amp;L'!$6:$6,0)+2)</f>
        <v>4.4000000000000004</v>
      </c>
      <c r="F88" s="185" t="s">
        <v>93</v>
      </c>
      <c r="G88" s="479">
        <f>C88-E88</f>
        <v>-8.687383256919734E-2</v>
      </c>
      <c r="H88" s="185" t="s">
        <v>93</v>
      </c>
      <c r="I88" s="775">
        <f>INDEX(stores!C$7:C$162,MATCH(A88,stores!A$7:A$162,0)+2)</f>
        <v>844</v>
      </c>
      <c r="J88" s="185">
        <f>I88-I84</f>
        <v>2</v>
      </c>
      <c r="K88" s="385">
        <f>AVERAGE(I88,I84)</f>
        <v>843</v>
      </c>
      <c r="M88" s="479">
        <f>(K88/K81-1)*100</f>
        <v>-0.82352941176470074</v>
      </c>
      <c r="N88" s="185" t="s">
        <v>93</v>
      </c>
      <c r="O88" s="796">
        <f>(G88/M88)*100</f>
        <v>10.548965383402601</v>
      </c>
      <c r="P88" s="185" t="s">
        <v>93</v>
      </c>
      <c r="R88" s="385">
        <f>INDEX('qtrP&amp;L'!$10:$10,MATCH($A87,'qtrP&amp;L'!$6:$6,0))</f>
        <v>6143</v>
      </c>
      <c r="T88" s="385">
        <f>R88</f>
        <v>6143</v>
      </c>
      <c r="V88" s="779">
        <f>IF(ISERROR(T88/K88),"NA",T88/K88)</f>
        <v>7.2870699881376035</v>
      </c>
      <c r="X88" s="780">
        <f>IF(ISERROR(V88/V81),"NA",(V88/V81-1)*100)</f>
        <v>5.1793087097463442</v>
      </c>
      <c r="Y88" s="185" t="s">
        <v>93</v>
      </c>
      <c r="Z88" s="781">
        <f>INDEX(stores!C$205:C$360,MATCH(A88,stores!A$205:A$360,0))</f>
        <v>152.298</v>
      </c>
      <c r="AB88" s="385">
        <f>AVERAGEA(Z88,Z84)</f>
        <v>153.38175529411765</v>
      </c>
      <c r="AD88" s="479">
        <f>(AB88/AB81-1)*100</f>
        <v>-0.68746480485248895</v>
      </c>
      <c r="AE88" s="185" t="s">
        <v>93</v>
      </c>
      <c r="AF88" s="792">
        <f>(G88/AD88)*100</f>
        <v>12.636840745300129</v>
      </c>
      <c r="AG88" s="185" t="s">
        <v>93</v>
      </c>
      <c r="AI88" s="543">
        <f>T88</f>
        <v>6143</v>
      </c>
      <c r="AK88" s="782">
        <f>IF(ISERROR(AI88/AB88),"NA",AI88/AB88)</f>
        <v>40.050395747658982</v>
      </c>
      <c r="AM88" s="791">
        <f>(AK88/AK81-1)*100</f>
        <v>5.0352062430560451</v>
      </c>
      <c r="AN88" s="185" t="s">
        <v>93</v>
      </c>
    </row>
    <row r="89" spans="1:42" ht="12.75" customHeight="1" x14ac:dyDescent="0.2">
      <c r="A89" s="261" t="s">
        <v>404</v>
      </c>
      <c r="C89" s="654">
        <f>INDEX('qtrP&amp;L'!$11:$11,MATCH($A87,'qtrP&amp;L'!$6:$6,0)+1)</f>
        <v>3.0139754167368249</v>
      </c>
      <c r="E89" s="479">
        <f>INDEX('qtrP&amp;L'!$11:$11,MATCH($A87,'qtrP&amp;L'!$6:$6,0)+2)</f>
        <v>3</v>
      </c>
      <c r="G89" s="479">
        <f>C89-E89</f>
        <v>1.3975416736824897E-2</v>
      </c>
      <c r="I89" s="775">
        <f>INDEX(stores!C$7:C$162,MATCH(A89,stores!A$7:A$162,0)+2)</f>
        <v>845</v>
      </c>
      <c r="J89" s="185">
        <f>I89-I88</f>
        <v>1</v>
      </c>
      <c r="K89" s="385">
        <f>AVERAGE(I88:I89)</f>
        <v>844.5</v>
      </c>
      <c r="M89" s="479">
        <f>(K89/K82-1)*100</f>
        <v>-0.58858151854032092</v>
      </c>
      <c r="O89" s="796">
        <f>(G89/M89)*100</f>
        <v>-2.3744233035865379</v>
      </c>
      <c r="R89" s="385">
        <f>INDEX('qtrP&amp;L'!$11:$11,MATCH($A87,'qtrP&amp;L'!$6:$6,0))</f>
        <v>6118</v>
      </c>
      <c r="T89" s="385">
        <f>R89</f>
        <v>6118</v>
      </c>
      <c r="V89" s="784">
        <f>IF(ISERROR(T89/K89),"NA",T89/K89)</f>
        <v>7.2445233866193011</v>
      </c>
      <c r="X89" s="780">
        <f>IF(ISERROR(V89/V82),"NA",(V89/V82-1)*100)</f>
        <v>3.6238864612408994</v>
      </c>
      <c r="Z89" s="781">
        <f>INDEX(stores!C$205:C$360,MATCH(A89,stores!A$205:A$360,0))</f>
        <v>152.22800000000001</v>
      </c>
      <c r="AB89" s="385">
        <f>AVERAGEA(Z88:Z89)</f>
        <v>152.26300000000001</v>
      </c>
      <c r="AD89" s="479">
        <f>(AB89/AB82-1)*100</f>
        <v>-1.3102417935696775</v>
      </c>
      <c r="AF89" s="792">
        <f>(G89/AD89)*100</f>
        <v>-1.0666288318242152</v>
      </c>
      <c r="AI89" s="385">
        <f>T89</f>
        <v>6118</v>
      </c>
      <c r="AK89" s="715">
        <f>IF(ISERROR(AI89/AB89),"NA",AI89/AB89)</f>
        <v>40.180477200633113</v>
      </c>
      <c r="AM89" s="791">
        <f>(AK89/AK82-1)*100</f>
        <v>4.3816271200720625</v>
      </c>
    </row>
    <row r="90" spans="1:42" ht="12.75" customHeight="1" x14ac:dyDescent="0.2">
      <c r="A90" s="261" t="s">
        <v>405</v>
      </c>
      <c r="C90" s="654">
        <f>INDEX('qtrP&amp;L'!$12:$12,MATCH($A87,'qtrP&amp;L'!$6:$6,0)+1)</f>
        <v>3.7929267042542181</v>
      </c>
      <c r="E90" s="479">
        <f>INDEX('qtrP&amp;L'!$12:$12,MATCH($A87,'qtrP&amp;L'!$6:$6,0)+2)</f>
        <v>3.7</v>
      </c>
      <c r="G90" s="479">
        <f>C90-E90</f>
        <v>9.2926704254217896E-2</v>
      </c>
      <c r="I90" s="775">
        <f>INDEX(stores!C$7:C$162,MATCH(A90,stores!A$7:A$162,0)+2)</f>
        <v>846</v>
      </c>
      <c r="J90" s="185">
        <f>I90-I89</f>
        <v>1</v>
      </c>
      <c r="K90" s="385">
        <f>AVERAGE(I89:I90)</f>
        <v>845.5</v>
      </c>
      <c r="M90" s="479">
        <f>(K90/K83-1)*100</f>
        <v>-0.47086521483225008</v>
      </c>
      <c r="O90" s="796">
        <f>(G90/M90)*100</f>
        <v>-19.735308815989701</v>
      </c>
      <c r="R90" s="385">
        <f>INDEX('qtrP&amp;L'!$12:$12,MATCH($A87,'qtrP&amp;L'!$6:$6,0))</f>
        <v>6075</v>
      </c>
      <c r="T90" s="385">
        <f>R90</f>
        <v>6075</v>
      </c>
      <c r="V90" s="784">
        <f>IF(ISERROR(T90/K90),"NA",T90/K90)</f>
        <v>7.1850975753991717</v>
      </c>
      <c r="X90" s="780">
        <f>IF(ISERROR(V90/V83),"NA",(V90/V83-1)*100)</f>
        <v>4.2839636135588055</v>
      </c>
      <c r="Z90" s="781">
        <f>INDEX(stores!C$205:C$360,MATCH(A90,stores!A$205:A$360,0))</f>
        <v>152.22800000000001</v>
      </c>
      <c r="AB90" s="385">
        <f>AVERAGEA(Z89:Z90)</f>
        <v>152.22800000000001</v>
      </c>
      <c r="AD90" s="479">
        <f>(AB90/AB83-1)*100</f>
        <v>-1.3575422976484397</v>
      </c>
      <c r="AF90" s="792">
        <f>(G90/AD90)*100</f>
        <v>-6.8452161244027003</v>
      </c>
      <c r="AI90" s="385">
        <f>T90</f>
        <v>6075</v>
      </c>
      <c r="AK90" s="715">
        <f>IF(ISERROR(AI90/AB90),"NA",AI90/AB90)</f>
        <v>39.907244396563051</v>
      </c>
      <c r="AM90" s="791">
        <f>(AK90/AK83-1)*100</f>
        <v>5.2213510509277361</v>
      </c>
    </row>
    <row r="91" spans="1:42" ht="12.75" customHeight="1" x14ac:dyDescent="0.2">
      <c r="A91" s="261" t="s">
        <v>406</v>
      </c>
      <c r="C91" s="785">
        <f>INDEX('qtrP&amp;L'!$13:$13,MATCH($A87,'qtrP&amp;L'!$6:$6,0)+1)</f>
        <v>7.175607519486471</v>
      </c>
      <c r="E91" s="786">
        <f>INDEX('qtrP&amp;L'!$13:$13,MATCH($A87,'qtrP&amp;L'!$6:$6,0)+2)</f>
        <v>3.9</v>
      </c>
      <c r="G91" s="786">
        <f>C91-E91</f>
        <v>3.2756075194864711</v>
      </c>
      <c r="I91" s="775">
        <f>INDEX(stores!C$7:C$162,MATCH(A91,stores!A$7:A$162,0)+2)</f>
        <v>841</v>
      </c>
      <c r="J91" s="185">
        <f>I91-I90</f>
        <v>-5</v>
      </c>
      <c r="K91" s="607">
        <f>AVERAGE(I90:I91)</f>
        <v>843.5</v>
      </c>
      <c r="M91" s="786">
        <f>(K91/K84-1)*100</f>
        <v>-0.29550827423168169</v>
      </c>
      <c r="O91" s="793">
        <f>(G91/M91)*100</f>
        <v>-1108.4655845942098</v>
      </c>
      <c r="R91" s="607">
        <f>INDEX('qtrP&amp;L'!$13:$13,MATCH($A87,'qtrP&amp;L'!$6:$6,0))</f>
        <v>9350</v>
      </c>
      <c r="T91" s="607">
        <f>R91</f>
        <v>9350</v>
      </c>
      <c r="V91" s="787">
        <f>IF(ISERROR(T91/K91),"NA",T91/K91)</f>
        <v>11.084765856550089</v>
      </c>
      <c r="X91" s="788">
        <f>IF(ISERROR(V91/V84),"NA",(V91/V84-1)*100)</f>
        <v>7.4932589940551964</v>
      </c>
      <c r="Z91" s="781">
        <f>INDEX(stores!C$205:C$360,MATCH(A91,stores!A$205:A$360,0))</f>
        <v>152.124</v>
      </c>
      <c r="AB91" s="607">
        <f>AVERAGEA(Z90:Z91)</f>
        <v>152.17599999999999</v>
      </c>
      <c r="AD91" s="786">
        <f>(AB91/AB84-1)*100</f>
        <v>-1.4287668189258529</v>
      </c>
      <c r="AF91" s="793">
        <f>(G91/AD91)*100</f>
        <v>-229.26116956922846</v>
      </c>
      <c r="AI91" s="607">
        <f>T91</f>
        <v>9350</v>
      </c>
      <c r="AK91" s="789">
        <f>IF(ISERROR(AI91/AB91),"NA",AI91/AB91)</f>
        <v>61.442014509515303</v>
      </c>
      <c r="AM91" s="794">
        <f>(AK91/AK84-1)*100</f>
        <v>8.7290927187714029</v>
      </c>
    </row>
    <row r="92" spans="1:42" ht="12.75" customHeight="1" x14ac:dyDescent="0.2">
      <c r="A92" s="450" t="s">
        <v>56</v>
      </c>
      <c r="C92" s="654">
        <f>(R92/R85-1)*100</f>
        <v>4.8513539102442715</v>
      </c>
      <c r="E92" s="479">
        <f>INDEX('qtrP&amp;L'!$14:$14,MATCH($A87,'qtrP&amp;L'!$6:$6,0)+2)</f>
        <v>3.7</v>
      </c>
      <c r="G92" s="479">
        <f>C92-E92</f>
        <v>1.1513539102442714</v>
      </c>
      <c r="I92" s="773"/>
      <c r="J92" s="554">
        <f>I91-I84</f>
        <v>-1</v>
      </c>
      <c r="K92" s="385">
        <f>AVERAGE(K88:K91)</f>
        <v>844.125</v>
      </c>
      <c r="M92" s="479">
        <f>(K92/K85-1)*100</f>
        <v>-0.54491899852724401</v>
      </c>
      <c r="O92" s="792">
        <f>(G92/M92)*100</f>
        <v>-211.28900136644947</v>
      </c>
      <c r="R92" s="385">
        <f>INDEX('qtrP&amp;L'!$14:$14,MATCH($A87,'qtrP&amp;L'!$6:$6,0))</f>
        <v>27686</v>
      </c>
      <c r="T92" s="385">
        <f>R92</f>
        <v>27686</v>
      </c>
      <c r="V92" s="779">
        <f>IF(ISERROR(T92/K92),"NA",T92/K92)</f>
        <v>32.798459943728716</v>
      </c>
      <c r="X92" s="780">
        <f>IF(ISERROR(V92/V85),"NA",(V92/V85-1)*100)</f>
        <v>5.4258393381547032</v>
      </c>
      <c r="Z92" s="774"/>
      <c r="AB92" s="385">
        <f>AVERAGEA(AB88:AB91)</f>
        <v>152.51218882352941</v>
      </c>
      <c r="AD92" s="479">
        <f>(AB92/AB85-1)*100</f>
        <v>-1.1959197073181826</v>
      </c>
      <c r="AF92" s="792">
        <f>(G92/AD92)*100</f>
        <v>-96.273512611156079</v>
      </c>
      <c r="AI92" s="543">
        <f>SUM(AI88:AI91)</f>
        <v>27686</v>
      </c>
      <c r="AK92" s="782">
        <f>IF(ISERROR(AI92/AB92),"NA",AI92/AB92)</f>
        <v>181.53303164532798</v>
      </c>
      <c r="AM92" s="791">
        <f>(AK92/AK85-1)*100</f>
        <v>6.1204695187172087</v>
      </c>
    </row>
    <row r="93" spans="1:42" ht="12.75" customHeight="1" x14ac:dyDescent="0.2">
      <c r="A93" s="450"/>
      <c r="C93" s="654"/>
      <c r="E93" s="654"/>
      <c r="G93" s="479"/>
      <c r="I93" s="773"/>
      <c r="J93" s="554"/>
      <c r="K93" s="385"/>
      <c r="M93" s="479"/>
      <c r="O93" s="792"/>
      <c r="R93" s="385"/>
      <c r="T93" s="385"/>
      <c r="V93" s="779"/>
      <c r="X93" s="780"/>
      <c r="Z93" s="774"/>
      <c r="AB93" s="385"/>
      <c r="AD93" s="479"/>
      <c r="AF93" s="792"/>
      <c r="AI93" s="543"/>
      <c r="AK93" s="782"/>
      <c r="AM93" s="791"/>
    </row>
    <row r="94" spans="1:42" ht="12.75" customHeight="1" x14ac:dyDescent="0.2">
      <c r="A94" s="772">
        <v>2013</v>
      </c>
      <c r="E94" s="654"/>
      <c r="I94" s="773"/>
      <c r="K94" s="385"/>
      <c r="O94" s="792"/>
      <c r="R94" s="395"/>
      <c r="T94" s="385"/>
      <c r="X94" s="791"/>
      <c r="Z94" s="774"/>
      <c r="AB94" s="385"/>
      <c r="AF94" s="792"/>
      <c r="AM94" s="791"/>
    </row>
    <row r="95" spans="1:42" ht="12.75" customHeight="1" x14ac:dyDescent="0.2">
      <c r="A95" s="185" t="s">
        <v>524</v>
      </c>
      <c r="C95" s="654">
        <f>INDEX('qtrP&amp;L'!10:10,MATCH($A$94,'qtrP&amp;L'!$6:$6,0)+1)</f>
        <v>3.9720006511476447</v>
      </c>
      <c r="D95" s="185" t="s">
        <v>93</v>
      </c>
      <c r="E95" s="1003">
        <v>3.8</v>
      </c>
      <c r="F95" s="185" t="s">
        <v>93</v>
      </c>
      <c r="G95" s="479">
        <f>C95-E95</f>
        <v>0.17200065114764485</v>
      </c>
      <c r="H95" s="185" t="s">
        <v>93</v>
      </c>
      <c r="I95" s="781">
        <f>stores!C165</f>
        <v>843</v>
      </c>
      <c r="J95" s="185">
        <f>I95-I91</f>
        <v>2</v>
      </c>
      <c r="K95" s="385">
        <f>AVERAGE(I95,I91)</f>
        <v>842</v>
      </c>
      <c r="M95" s="479">
        <f>(K95/K88-1)*100</f>
        <v>-0.11862396204033177</v>
      </c>
      <c r="N95" s="185" t="s">
        <v>93</v>
      </c>
      <c r="O95" s="792">
        <f>(G95/M95)*100</f>
        <v>-144.99654891746508</v>
      </c>
      <c r="P95" s="185" t="s">
        <v>93</v>
      </c>
      <c r="R95" s="1001">
        <v>6387</v>
      </c>
      <c r="T95" s="543">
        <f>R95-AO95</f>
        <v>6387</v>
      </c>
      <c r="V95" s="790">
        <f>T95/K95</f>
        <v>7.5855106888361048</v>
      </c>
      <c r="X95" s="791">
        <f>(V95/V88-1)*100</f>
        <v>4.0954828371941421</v>
      </c>
      <c r="Y95" s="185" t="s">
        <v>93</v>
      </c>
      <c r="Z95" s="781">
        <f>stores!C363</f>
        <v>150.77000000000001</v>
      </c>
      <c r="AB95" s="385">
        <f>AVERAGEA(Z95,Z90)</f>
        <v>151.49900000000002</v>
      </c>
      <c r="AD95" s="799">
        <f>(AB95/AB88-1)*100</f>
        <v>-1.227496249803206</v>
      </c>
      <c r="AE95" s="185" t="s">
        <v>93</v>
      </c>
      <c r="AF95" s="792">
        <f>(G95/AD95)*100</f>
        <v>-14.012315815646707</v>
      </c>
      <c r="AG95" s="185" t="s">
        <v>93</v>
      </c>
      <c r="AI95" s="543">
        <f>T95</f>
        <v>6387</v>
      </c>
      <c r="AK95" s="782">
        <f>IF(ISERROR(AI95/AB95),"NA",AI95/AB95)</f>
        <v>42.158694116792844</v>
      </c>
      <c r="AM95" s="791">
        <f>(AK95/AK88-1)*100</f>
        <v>5.2641136991938398</v>
      </c>
      <c r="AN95" s="185" t="s">
        <v>93</v>
      </c>
      <c r="AO95" s="543">
        <f>AO87*(1+AP95)</f>
        <v>0</v>
      </c>
      <c r="AP95" s="800">
        <f>E95%-3%</f>
        <v>8.0000000000000002E-3</v>
      </c>
    </row>
    <row r="96" spans="1:42" ht="12.75" customHeight="1" x14ac:dyDescent="0.2">
      <c r="A96" s="185" t="s">
        <v>525</v>
      </c>
      <c r="C96" s="654">
        <f>INDEX('qtrP&amp;L'!11:11,MATCH($A$94,'qtrP&amp;L'!$6:$6,0)+1)</f>
        <v>-0.84995096436744078</v>
      </c>
      <c r="E96" s="1003">
        <v>-0.8</v>
      </c>
      <c r="G96" s="479">
        <f>C96-E96</f>
        <v>-4.9950964367440731E-2</v>
      </c>
      <c r="I96" s="781">
        <f>stores!C166</f>
        <v>844</v>
      </c>
      <c r="J96" s="185">
        <f>I96-I95</f>
        <v>1</v>
      </c>
      <c r="K96" s="385">
        <f>AVERAGE(I95:I96)</f>
        <v>843.5</v>
      </c>
      <c r="M96" s="479">
        <f>(K96/K89-1)*100</f>
        <v>-0.1184132622853773</v>
      </c>
      <c r="O96" s="792">
        <f>(G96/M96)*100</f>
        <v>42.18358940830322</v>
      </c>
      <c r="P96" s="386"/>
      <c r="R96" s="1001">
        <v>6066</v>
      </c>
      <c r="T96" s="385">
        <f>R96-AO96</f>
        <v>6066</v>
      </c>
      <c r="V96" s="648">
        <f>T96/K96</f>
        <v>7.191464137522229</v>
      </c>
      <c r="X96" s="791">
        <f>(V96/V89-1)*100</f>
        <v>-0.73240496669626509</v>
      </c>
      <c r="Z96" s="781">
        <f>stores!C364</f>
        <v>150.74799999999999</v>
      </c>
      <c r="AB96" s="385">
        <f>AVERAGEA(Z95:Z96)</f>
        <v>150.75900000000001</v>
      </c>
      <c r="AD96" s="799">
        <f>(AB96/AB89-1)*100</f>
        <v>-0.98776459152912777</v>
      </c>
      <c r="AF96" s="792">
        <f>(G96/AD96)*100</f>
        <v>5.0569705368880644</v>
      </c>
      <c r="AI96" s="385">
        <f>T96</f>
        <v>6066</v>
      </c>
      <c r="AK96" s="715">
        <f>IF(ISERROR(AI96/AB96),"NA",AI96/AB96)</f>
        <v>40.236403796788245</v>
      </c>
      <c r="AM96" s="791">
        <f>(AK96/AK89-1)*100</f>
        <v>0.13918848169938158</v>
      </c>
      <c r="AO96" s="385">
        <f>AO88*(1+AP96)</f>
        <v>0</v>
      </c>
      <c r="AP96" s="800">
        <f>E96%-3%</f>
        <v>-3.7999999999999999E-2</v>
      </c>
    </row>
    <row r="97" spans="1:42" ht="12.75" customHeight="1" x14ac:dyDescent="0.2">
      <c r="A97" s="185" t="s">
        <v>526</v>
      </c>
      <c r="C97" s="654">
        <f>INDEX('qtrP&amp;L'!12:12,MATCH($A$94,'qtrP&amp;L'!$6:$6,0)+1)</f>
        <v>3.308641975308646</v>
      </c>
      <c r="E97" s="1003">
        <v>3.5</v>
      </c>
      <c r="G97" s="479">
        <f>C97-E97</f>
        <v>-0.19135802469135399</v>
      </c>
      <c r="I97" s="781">
        <f>stores!C167</f>
        <v>847</v>
      </c>
      <c r="J97" s="185">
        <f>I97-I96</f>
        <v>3</v>
      </c>
      <c r="K97" s="385">
        <f>AVERAGE(I96:I97)</f>
        <v>845.5</v>
      </c>
      <c r="M97" s="479">
        <f>(K97/K90-1)*100</f>
        <v>0</v>
      </c>
      <c r="O97" s="792">
        <v>0</v>
      </c>
      <c r="P97" s="386"/>
      <c r="R97" s="1001">
        <v>6276</v>
      </c>
      <c r="T97" s="385">
        <f>R97-AO97</f>
        <v>6276</v>
      </c>
      <c r="V97" s="648">
        <f>T97/K97</f>
        <v>7.4228267297457124</v>
      </c>
      <c r="X97" s="791">
        <f>(V97/V90-1)*100</f>
        <v>3.308641975308646</v>
      </c>
      <c r="Z97" s="781">
        <f>stores!C365</f>
        <v>150.75</v>
      </c>
      <c r="AB97" s="385">
        <f>AVERAGEA(Z96:Z97)</f>
        <v>150.749</v>
      </c>
      <c r="AD97" s="799">
        <f>(AB97/AB90-1)*100</f>
        <v>-0.97156896234595891</v>
      </c>
      <c r="AF97" s="792">
        <f>(G97/AD97)*100</f>
        <v>19.695773754371405</v>
      </c>
      <c r="AI97" s="385">
        <f>T97</f>
        <v>6276</v>
      </c>
      <c r="AK97" s="715">
        <f>IF(ISERROR(AI97/AB97),"NA",AI97/AB97)</f>
        <v>41.632116962633255</v>
      </c>
      <c r="AM97" s="791">
        <f>(AK97/AK90-1)*100</f>
        <v>4.322204131485341</v>
      </c>
      <c r="AO97" s="385">
        <f>AO89*(1+AP97)</f>
        <v>0</v>
      </c>
      <c r="AP97" s="800">
        <f>E97%-3%</f>
        <v>5.0000000000000044E-3</v>
      </c>
    </row>
    <row r="98" spans="1:42" ht="12.75" customHeight="1" x14ac:dyDescent="0.2">
      <c r="A98" s="185" t="s">
        <v>527</v>
      </c>
      <c r="C98" s="785">
        <f>INDEX('qtrP&amp;L'!13:13,MATCH($A$94,'qtrP&amp;L'!$6:$6,0)+1)</f>
        <v>-1.582887700534763</v>
      </c>
      <c r="E98" s="1004">
        <v>1.4</v>
      </c>
      <c r="G98" s="786">
        <f>C98-E98</f>
        <v>-2.9828877005347629</v>
      </c>
      <c r="I98" s="781">
        <f>stores!C168</f>
        <v>840</v>
      </c>
      <c r="J98" s="185">
        <f>I98-I97</f>
        <v>-7</v>
      </c>
      <c r="K98" s="607">
        <f>AVERAGE(I97:I98)</f>
        <v>843.5</v>
      </c>
      <c r="M98" s="786">
        <f>(K98/K91-1)*100</f>
        <v>0</v>
      </c>
      <c r="O98" s="793">
        <v>0</v>
      </c>
      <c r="P98" s="386"/>
      <c r="R98" s="1002">
        <v>9202</v>
      </c>
      <c r="T98" s="607">
        <f>R98-AO98</f>
        <v>9202</v>
      </c>
      <c r="V98" s="518">
        <f>T98/K98</f>
        <v>10.909306461173681</v>
      </c>
      <c r="X98" s="794">
        <f>(V98/V91-1)*100</f>
        <v>-1.5828877005347519</v>
      </c>
      <c r="Z98" s="781">
        <f>stores!C366</f>
        <v>150.083</v>
      </c>
      <c r="AB98" s="607">
        <f>AVERAGEA(Z97:Z98)</f>
        <v>150.41649999999998</v>
      </c>
      <c r="AD98" s="801">
        <f>(AB98/AB91-1)*100</f>
        <v>-1.156227000315424</v>
      </c>
      <c r="AF98" s="793">
        <f>(G98/AD98)*100</f>
        <v>257.98460853457129</v>
      </c>
      <c r="AI98" s="607">
        <f>T98</f>
        <v>9202</v>
      </c>
      <c r="AK98" s="789">
        <f>IF(ISERROR(AI98/AB98),"NA",AI98/AB98)</f>
        <v>61.17679908786603</v>
      </c>
      <c r="AM98" s="794">
        <f>(AK98/AK91-1)*100</f>
        <v>-0.43165157224491768</v>
      </c>
      <c r="AO98" s="607">
        <f>AO90*(1+AP98)</f>
        <v>0</v>
      </c>
      <c r="AP98" s="800">
        <f>E98%*14/13-3%</f>
        <v>-1.4923076923076924E-2</v>
      </c>
    </row>
    <row r="99" spans="1:42" ht="12.75" customHeight="1" x14ac:dyDescent="0.2">
      <c r="A99" s="450" t="s">
        <v>56</v>
      </c>
      <c r="C99" s="654">
        <f>(R99/R92-1)*100</f>
        <v>0.88492378819620132</v>
      </c>
      <c r="E99" s="1005">
        <f>SUMPRODUCT(E95:E98,R95:R98)/R99</f>
        <v>1.9428806702230499</v>
      </c>
      <c r="G99" s="479">
        <f>C99-E99</f>
        <v>-1.0579568820268486</v>
      </c>
      <c r="I99" s="775"/>
      <c r="J99" s="554"/>
      <c r="K99" s="385">
        <f>AVERAGE(K95:K98)</f>
        <v>843.625</v>
      </c>
      <c r="M99" s="479">
        <f>(K99/K92-1)*100</f>
        <v>-5.9232933511033092E-2</v>
      </c>
      <c r="O99" s="792">
        <f>(G99/M99)*100</f>
        <v>1786.0957060817982</v>
      </c>
      <c r="R99" s="385">
        <f>SUM(R95:R98)</f>
        <v>27931</v>
      </c>
      <c r="T99" s="385">
        <f>R99</f>
        <v>27931</v>
      </c>
      <c r="V99" s="779">
        <f>IF(ISERROR(T99/K99),"NA",T99/K99)</f>
        <v>33.10831234256927</v>
      </c>
      <c r="X99" s="780">
        <f>IF(ISERROR(V99/V92),"NA",(V99/V92-1)*100)</f>
        <v>0.94471630488797143</v>
      </c>
      <c r="Z99" s="781">
        <f>yrSales!AD47/1000</f>
        <v>150.083</v>
      </c>
      <c r="AB99" s="385">
        <f>AVERAGEA(AB95:AB98)</f>
        <v>150.85587500000003</v>
      </c>
      <c r="AD99" s="479">
        <f>(AB99/AB92-1)*100</f>
        <v>-1.0860206232079506</v>
      </c>
      <c r="AF99" s="792">
        <f>(G99/AD99)*100</f>
        <v>97.415910841710755</v>
      </c>
      <c r="AI99" s="543">
        <f>R99</f>
        <v>27931</v>
      </c>
      <c r="AK99" s="782">
        <f>IF(ISERROR(AI99/AB99),"NA",AI99/AB99)</f>
        <v>185.15023031088444</v>
      </c>
      <c r="AM99" s="791">
        <f>(AK99/AK92-1)*100</f>
        <v>1.9925842877034139</v>
      </c>
    </row>
    <row r="100" spans="1:42" ht="12.75" customHeight="1" x14ac:dyDescent="0.2">
      <c r="A100" s="450"/>
      <c r="C100" s="654"/>
      <c r="E100" s="1003"/>
      <c r="G100" s="479"/>
      <c r="I100" s="773"/>
      <c r="J100" s="554"/>
      <c r="K100" s="385"/>
      <c r="M100" s="479"/>
      <c r="O100" s="792"/>
      <c r="R100" s="385"/>
      <c r="T100" s="385"/>
      <c r="V100" s="779"/>
      <c r="X100" s="780"/>
      <c r="Z100" s="774"/>
      <c r="AB100" s="385"/>
      <c r="AD100" s="479"/>
      <c r="AF100" s="792"/>
      <c r="AI100" s="543">
        <f>R100</f>
        <v>0</v>
      </c>
      <c r="AK100" s="782"/>
      <c r="AM100" s="791"/>
    </row>
    <row r="101" spans="1:42" ht="12.75" customHeight="1" x14ac:dyDescent="0.2">
      <c r="A101" s="772">
        <v>2014</v>
      </c>
      <c r="E101" s="1003"/>
      <c r="I101" s="773"/>
      <c r="K101" s="385"/>
      <c r="O101" s="792"/>
      <c r="R101" s="395"/>
      <c r="T101" s="385"/>
      <c r="X101" s="791"/>
      <c r="Z101" s="774"/>
      <c r="AB101" s="385"/>
      <c r="AF101" s="792"/>
      <c r="AM101" s="791"/>
    </row>
    <row r="102" spans="1:42" ht="12.75" customHeight="1" x14ac:dyDescent="0.2">
      <c r="A102" s="185" t="s">
        <v>524</v>
      </c>
      <c r="C102" s="654">
        <f>INDEX('qtrP&amp;L'!10:10,MATCH($A$101,'qtrP&amp;L'!$6:$6,0)+1)</f>
        <v>-1.6909347111319861</v>
      </c>
      <c r="D102" s="185" t="s">
        <v>93</v>
      </c>
      <c r="E102" s="1003">
        <v>-1.6</v>
      </c>
      <c r="F102" s="185" t="s">
        <v>93</v>
      </c>
      <c r="G102" s="479">
        <f>C102-E102</f>
        <v>-9.0934711131986035E-2</v>
      </c>
      <c r="H102" s="185" t="s">
        <v>93</v>
      </c>
      <c r="I102" s="781">
        <f>stores!C171</f>
        <v>838</v>
      </c>
      <c r="J102" s="185">
        <f>I102-I98</f>
        <v>-2</v>
      </c>
      <c r="K102" s="385">
        <f>AVERAGE(I102,I98)</f>
        <v>839</v>
      </c>
      <c r="M102" s="479">
        <f>(K102/K95-1)*100</f>
        <v>-0.35629453681710332</v>
      </c>
      <c r="O102" s="792">
        <f>(G102/M102)*100</f>
        <v>25.522342257710662</v>
      </c>
      <c r="P102" s="185" t="s">
        <v>93</v>
      </c>
      <c r="R102" s="1001">
        <v>6279</v>
      </c>
      <c r="T102" s="543">
        <f>R102-AO102</f>
        <v>6279</v>
      </c>
      <c r="V102" s="790">
        <f>T102/K102</f>
        <v>7.4839094159713948</v>
      </c>
      <c r="X102" s="791">
        <f>(V102/V95-1)*100</f>
        <v>-1.3394124276199459</v>
      </c>
      <c r="Y102" s="185" t="s">
        <v>93</v>
      </c>
      <c r="Z102" s="781">
        <f>stores!C369</f>
        <v>149.684</v>
      </c>
      <c r="AB102" s="385">
        <f>AVERAGEA(Z102,Z98)</f>
        <v>149.8835</v>
      </c>
      <c r="AD102" s="799">
        <f>(AB102/AB95-1)*100</f>
        <v>-1.0663436722354813</v>
      </c>
      <c r="AE102" s="185" t="s">
        <v>93</v>
      </c>
      <c r="AF102" s="792">
        <f>(G102/AD102)*100</f>
        <v>8.527711421717413</v>
      </c>
      <c r="AG102" s="185" t="s">
        <v>93</v>
      </c>
      <c r="AI102" s="543">
        <f>T102</f>
        <v>6279</v>
      </c>
      <c r="AK102" s="782">
        <f>IF(ISERROR(AI102/AB102),"NA",AI102/AB102)</f>
        <v>41.892536536710182</v>
      </c>
      <c r="AM102" s="791">
        <f>(AK102/AK95-1)*100</f>
        <v>-0.63132311296294485</v>
      </c>
      <c r="AN102" s="185" t="s">
        <v>93</v>
      </c>
      <c r="AO102" s="543">
        <f>AO95*(1+AP102)</f>
        <v>0</v>
      </c>
      <c r="AP102" s="800">
        <f>E102%-3%</f>
        <v>-4.5999999999999999E-2</v>
      </c>
    </row>
    <row r="103" spans="1:42" ht="12.75" customHeight="1" x14ac:dyDescent="0.2">
      <c r="A103" s="185" t="s">
        <v>525</v>
      </c>
      <c r="C103" s="654">
        <f>INDEX('qtrP&amp;L'!11:11,MATCH($A$101,'qtrP&amp;L'!$6:$6,0)+1)</f>
        <v>3.3135509396637008</v>
      </c>
      <c r="E103" s="1003">
        <v>3.4</v>
      </c>
      <c r="G103" s="479">
        <f>C103-E103</f>
        <v>-8.6449060336299066E-2</v>
      </c>
      <c r="I103" s="781">
        <f>stores!C172</f>
        <v>836</v>
      </c>
      <c r="J103" s="185">
        <f>I103-I102</f>
        <v>-2</v>
      </c>
      <c r="K103" s="385">
        <f>AVERAGE(I103,I99)</f>
        <v>836</v>
      </c>
      <c r="M103" s="479">
        <f>(K103/K96-1)*100</f>
        <v>-0.88915234143449595</v>
      </c>
      <c r="O103" s="792">
        <f>(G103/M103)*100</f>
        <v>9.7226376524891354</v>
      </c>
      <c r="P103" s="386"/>
      <c r="R103" s="1001">
        <v>6267</v>
      </c>
      <c r="T103" s="385">
        <f>R103-AO103</f>
        <v>6267</v>
      </c>
      <c r="V103" s="648">
        <f>T103/K103</f>
        <v>7.4964114832535884</v>
      </c>
      <c r="X103" s="791">
        <f>(V103/V96-1)*100</f>
        <v>4.240406958859233</v>
      </c>
      <c r="Z103" s="781">
        <f>stores!C370</f>
        <v>149.43199999999999</v>
      </c>
      <c r="AB103" s="385">
        <f>AVERAGEA(Z102:Z103)</f>
        <v>149.55799999999999</v>
      </c>
      <c r="AD103" s="799">
        <f>(AB103/AB96-1)*100</f>
        <v>-0.79663569007489832</v>
      </c>
      <c r="AF103" s="792">
        <f>(G103/AD103)*100</f>
        <v>10.851768432339664</v>
      </c>
      <c r="AI103" s="385">
        <f>T103</f>
        <v>6267</v>
      </c>
      <c r="AK103" s="715">
        <f>IF(ISERROR(AI103/AB103),"NA",AI103/AB103)</f>
        <v>41.903475574693431</v>
      </c>
      <c r="AM103" s="791">
        <f>(AK103/AK96-1)*100</f>
        <v>4.1431927821498071</v>
      </c>
      <c r="AO103" s="385">
        <f>AO96*(1+AP103)</f>
        <v>0</v>
      </c>
      <c r="AP103" s="800">
        <f>E103%-3%</f>
        <v>4.0000000000000036E-3</v>
      </c>
    </row>
    <row r="104" spans="1:42" ht="12.75" customHeight="1" x14ac:dyDescent="0.2">
      <c r="A104" s="185" t="s">
        <v>526</v>
      </c>
      <c r="C104" s="654">
        <f>INDEX('qtrP&amp;L'!12:12,MATCH($A$101,'qtrP&amp;L'!$6:$6,0)+1)</f>
        <v>-1.2906309751434031</v>
      </c>
      <c r="E104" s="1003">
        <v>-1.4</v>
      </c>
      <c r="G104" s="479">
        <f>C104-E104</f>
        <v>0.10936902485659683</v>
      </c>
      <c r="I104" s="781">
        <f>stores!C173</f>
        <v>838</v>
      </c>
      <c r="J104" s="185">
        <f>I104-I103</f>
        <v>2</v>
      </c>
      <c r="K104" s="385">
        <f>AVERAGE(I103:I104)</f>
        <v>837</v>
      </c>
      <c r="M104" s="479">
        <f>(K104/K97-1)*100</f>
        <v>-1.0053222945002993</v>
      </c>
      <c r="O104" s="792">
        <f>(G104/M104)*100</f>
        <v>-10.87900123720615</v>
      </c>
      <c r="P104" s="386"/>
      <c r="R104" s="1001">
        <v>6195</v>
      </c>
      <c r="T104" s="385">
        <f>R104-AO104</f>
        <v>6195</v>
      </c>
      <c r="V104" s="648">
        <f>T104/K104</f>
        <v>7.4014336917562726</v>
      </c>
      <c r="X104" s="791">
        <f>(V104/V97-1)*100</f>
        <v>-0.28820608062574138</v>
      </c>
      <c r="Z104" s="781">
        <f>stores!C371</f>
        <v>149.65799999999999</v>
      </c>
      <c r="AB104" s="385">
        <f>AVERAGEA(Z103:Z104)</f>
        <v>149.54499999999999</v>
      </c>
      <c r="AD104" s="799">
        <f>(AB104/AB97-1)*100</f>
        <v>-0.79867859819966469</v>
      </c>
      <c r="AF104" s="792">
        <f>(G104/AD104)*100</f>
        <v>-13.693746784141981</v>
      </c>
      <c r="AI104" s="385">
        <f>T104</f>
        <v>6195</v>
      </c>
      <c r="AK104" s="715">
        <f>IF(ISERROR(AI104/AB104),"NA",AI104/AB104)</f>
        <v>41.425657828747205</v>
      </c>
      <c r="AM104" s="791">
        <f>(AK104/AK97-1)*100</f>
        <v>-0.49591312897049322</v>
      </c>
      <c r="AO104" s="385">
        <f>AO97*(1+AP104)</f>
        <v>0</v>
      </c>
      <c r="AP104" s="800">
        <f>E104%-3%</f>
        <v>-4.3999999999999997E-2</v>
      </c>
    </row>
    <row r="105" spans="1:42" ht="12.75" customHeight="1" x14ac:dyDescent="0.2">
      <c r="A105" s="185" t="s">
        <v>527</v>
      </c>
      <c r="C105" s="785">
        <f>INDEX('qtrP&amp;L'!13:13,MATCH($A$101,'qtrP&amp;L'!$6:$6,0)+1)</f>
        <v>1.7604868506846394</v>
      </c>
      <c r="E105" s="1004">
        <v>2</v>
      </c>
      <c r="G105" s="479">
        <f>C105-E105</f>
        <v>-0.23951314931536061</v>
      </c>
      <c r="I105" s="781">
        <f>stores!C174</f>
        <v>823</v>
      </c>
      <c r="J105" s="185">
        <f>I105-I104</f>
        <v>-15</v>
      </c>
      <c r="K105" s="607">
        <f>AVERAGE(I104:I105)</f>
        <v>830.5</v>
      </c>
      <c r="M105" s="786">
        <f>(K105/K98-1)*100</f>
        <v>-1.541197391819793</v>
      </c>
      <c r="O105" s="802">
        <f>(G105/M105)*100</f>
        <v>15.540718572885185</v>
      </c>
      <c r="P105" s="386"/>
      <c r="R105" s="1002">
        <v>9364</v>
      </c>
      <c r="T105" s="607">
        <f>R105-AO105</f>
        <v>9364</v>
      </c>
      <c r="V105" s="518">
        <f>T105/K105</f>
        <v>11.275135460565924</v>
      </c>
      <c r="X105" s="794">
        <f>(V105/V98-1)*100</f>
        <v>3.3533662354635618</v>
      </c>
      <c r="Z105" s="781">
        <f>stores!C372</f>
        <v>147.37700000000001</v>
      </c>
      <c r="AB105" s="607">
        <f>AVERAGEA(Z104:Z105)</f>
        <v>148.51749999999998</v>
      </c>
      <c r="AD105" s="801">
        <f>(AB105/AB98-1)*100</f>
        <v>-1.2624944736780885</v>
      </c>
      <c r="AF105" s="793">
        <f>(G105/AD105)*100</f>
        <v>18.971421602945711</v>
      </c>
      <c r="AI105" s="607">
        <f>T105</f>
        <v>9364</v>
      </c>
      <c r="AK105" s="789">
        <f>IF(ISERROR(AI105/AB105),"NA",AI105/AB105)</f>
        <v>63.049808945073821</v>
      </c>
      <c r="AM105" s="794">
        <f>(AK105/AK98-1)*100</f>
        <v>3.0616342880536385</v>
      </c>
      <c r="AO105" s="607">
        <f>AO98*(1+AP105)</f>
        <v>0</v>
      </c>
      <c r="AP105" s="800">
        <f>E105%*14/13-3%</f>
        <v>-8.4615384615384578E-3</v>
      </c>
    </row>
    <row r="106" spans="1:42" ht="12.75" customHeight="1" x14ac:dyDescent="0.2">
      <c r="A106" s="450" t="s">
        <v>56</v>
      </c>
      <c r="C106" s="654">
        <f>(R106/R99-1)*100</f>
        <v>0.6229637320539938</v>
      </c>
      <c r="E106" s="1005">
        <v>0.7</v>
      </c>
      <c r="G106" s="479">
        <f>C106-E106</f>
        <v>-7.7036267946006154E-2</v>
      </c>
      <c r="I106" s="775"/>
      <c r="J106" s="554"/>
      <c r="K106" s="385">
        <f>AVERAGE(K102:K105)</f>
        <v>835.625</v>
      </c>
      <c r="M106" s="479">
        <f>(K106/K99-1)*100</f>
        <v>-0.94828863535338925</v>
      </c>
      <c r="O106" s="792">
        <f>(G106/M106)*100</f>
        <v>8.1237151932436493</v>
      </c>
      <c r="R106" s="340">
        <f>SUM(R102:R105)</f>
        <v>28105</v>
      </c>
      <c r="T106" s="385">
        <f>R106</f>
        <v>28105</v>
      </c>
      <c r="V106" s="779">
        <f>IF(ISERROR(T106/K106),"NA",T106/K106)</f>
        <v>33.633507853403138</v>
      </c>
      <c r="X106" s="780">
        <f>IF(ISERROR(V106/V99),"NA",(V106/V99-1)*100)</f>
        <v>1.5862950228320516</v>
      </c>
      <c r="Z106" s="781">
        <f>yrSales!AE47/1000</f>
        <v>147.37700000000001</v>
      </c>
      <c r="AB106" s="385">
        <f>AVERAGEA(AB102:AB105)</f>
        <v>149.37599999999998</v>
      </c>
      <c r="AD106" s="479">
        <f>(AB106/AB99-1)*100</f>
        <v>-0.9809859907677132</v>
      </c>
      <c r="AF106" s="792">
        <f>(G106/AD106)*100</f>
        <v>7.8529427199789144</v>
      </c>
      <c r="AI106" s="543">
        <f>R106</f>
        <v>28105</v>
      </c>
      <c r="AK106" s="782">
        <f>IF(ISERROR(AI106/AB106),"NA",AI106/AB106)</f>
        <v>188.14936803770354</v>
      </c>
      <c r="AM106" s="791">
        <f>(AK106/AK99-1)*100</f>
        <v>1.6198401275457686</v>
      </c>
    </row>
    <row r="107" spans="1:42" ht="12.75" customHeight="1" x14ac:dyDescent="0.2">
      <c r="A107" s="450"/>
      <c r="C107" s="654"/>
      <c r="E107" s="1003"/>
      <c r="G107" s="479"/>
      <c r="I107" s="773"/>
      <c r="J107" s="554"/>
      <c r="K107" s="385"/>
      <c r="M107" s="479"/>
      <c r="O107" s="792"/>
      <c r="R107" s="385"/>
      <c r="T107" s="385"/>
      <c r="V107" s="779"/>
      <c r="X107" s="780"/>
      <c r="Z107" s="774"/>
      <c r="AB107" s="385"/>
      <c r="AD107" s="479"/>
      <c r="AF107" s="792"/>
      <c r="AI107" s="543">
        <f>R107</f>
        <v>0</v>
      </c>
      <c r="AK107" s="782"/>
      <c r="AM107" s="791"/>
    </row>
    <row r="108" spans="1:42" ht="12.75" customHeight="1" x14ac:dyDescent="0.2">
      <c r="A108" s="772">
        <v>2015</v>
      </c>
      <c r="E108" s="1003"/>
      <c r="I108" s="773"/>
      <c r="K108" s="385"/>
      <c r="O108" s="792"/>
      <c r="R108" s="395"/>
      <c r="T108" s="385"/>
      <c r="X108" s="791"/>
      <c r="Z108" s="774"/>
      <c r="AB108" s="385"/>
      <c r="AF108" s="792"/>
      <c r="AM108" s="791"/>
    </row>
    <row r="109" spans="1:42" ht="12.75" customHeight="1" x14ac:dyDescent="0.2">
      <c r="A109" s="185" t="s">
        <v>524</v>
      </c>
      <c r="C109" s="654">
        <f>'qtrP&amp;L'!DE10</f>
        <v>-0.74852683548335408</v>
      </c>
      <c r="E109" s="1003">
        <v>-0.7</v>
      </c>
      <c r="G109" s="479">
        <f>C109-E109</f>
        <v>-4.8526835483354125E-2</v>
      </c>
      <c r="H109" s="185" t="s">
        <v>93</v>
      </c>
      <c r="I109" s="781">
        <f>stores!C177</f>
        <v>809</v>
      </c>
      <c r="J109" s="185">
        <f>I109-I105</f>
        <v>-14</v>
      </c>
      <c r="K109" s="385">
        <f>AVERAGE(I109,I105)</f>
        <v>816</v>
      </c>
      <c r="M109" s="479">
        <f>(K109/K102-1)*100</f>
        <v>-2.7413587604290801</v>
      </c>
      <c r="O109" s="792">
        <f>(G109/M109)*100</f>
        <v>1.7701745639362672</v>
      </c>
      <c r="P109" s="185" t="s">
        <v>93</v>
      </c>
      <c r="R109" s="1001">
        <v>6232</v>
      </c>
      <c r="T109" s="543">
        <f>R109-AO109</f>
        <v>6232</v>
      </c>
      <c r="V109" s="790">
        <f>T109/K109</f>
        <v>7.6372549019607847</v>
      </c>
      <c r="X109" s="791">
        <f>(V109/V102-1)*100</f>
        <v>2.0490024326341505</v>
      </c>
      <c r="Y109" s="185" t="s">
        <v>93</v>
      </c>
      <c r="Z109" s="781">
        <f>stores!C375</f>
        <v>147.56399999999999</v>
      </c>
      <c r="AB109" s="385">
        <f>AVERAGEA(Z109,Z105)</f>
        <v>147.47050000000002</v>
      </c>
      <c r="AD109" s="799">
        <f>(AB109/AB102-1)*100</f>
        <v>-1.6099170355642789</v>
      </c>
      <c r="AE109" s="185" t="s">
        <v>93</v>
      </c>
      <c r="AF109" s="792">
        <f>(G109/AD109)*100</f>
        <v>3.0142444866014713</v>
      </c>
      <c r="AG109" s="185" t="s">
        <v>93</v>
      </c>
      <c r="AI109" s="543">
        <f>T109</f>
        <v>6232</v>
      </c>
      <c r="AK109" s="782">
        <f>IF(ISERROR(AI109/AB109),"NA",AI109/AB109)</f>
        <v>42.259299317490616</v>
      </c>
      <c r="AM109" s="791">
        <f>(AK109/AK102-1)*100</f>
        <v>0.87548477867660512</v>
      </c>
      <c r="AN109" s="185" t="s">
        <v>93</v>
      </c>
      <c r="AO109" s="543">
        <f>AO102*(1+AP109)</f>
        <v>0</v>
      </c>
      <c r="AP109" s="800">
        <f>E109%-3%</f>
        <v>-3.6999999999999998E-2</v>
      </c>
    </row>
    <row r="110" spans="1:42" ht="12.75" customHeight="1" x14ac:dyDescent="0.2">
      <c r="A110" s="185" t="s">
        <v>525</v>
      </c>
      <c r="C110" s="654">
        <f>'qtrP&amp;L'!DE11</f>
        <v>-2.6009254826870887</v>
      </c>
      <c r="E110" s="1003">
        <v>-2.1</v>
      </c>
      <c r="G110" s="479">
        <f>C110-E110</f>
        <v>-0.50092548268708859</v>
      </c>
      <c r="I110" s="781">
        <f>stores!C178</f>
        <v>820</v>
      </c>
      <c r="J110" s="185">
        <f>I110-I109</f>
        <v>11</v>
      </c>
      <c r="K110" s="385">
        <f>AVERAGE(I110,I109)</f>
        <v>814.5</v>
      </c>
      <c r="M110" s="479">
        <f>(K110/K103-1)*100</f>
        <v>-2.571770334928225</v>
      </c>
      <c r="O110" s="792">
        <f>(G110/M110)*100</f>
        <v>19.47784667564683</v>
      </c>
      <c r="P110" s="386"/>
      <c r="R110" s="1001">
        <v>6104</v>
      </c>
      <c r="T110" s="385">
        <f>R110-AO110</f>
        <v>6104</v>
      </c>
      <c r="V110" s="648">
        <f>T110/K110</f>
        <v>7.4941682013505222</v>
      </c>
      <c r="X110" s="791">
        <f>(V110/V103-1)*100</f>
        <v>-2.9924743433273893E-2</v>
      </c>
      <c r="Z110" s="781">
        <f>stores!C376</f>
        <v>146.315</v>
      </c>
      <c r="AB110" s="385">
        <f>AVERAGEA(Z109:Z110)</f>
        <v>146.93950000000001</v>
      </c>
      <c r="AD110" s="799">
        <f>(AB110/AB103-1)*100</f>
        <v>-1.7508257665922122</v>
      </c>
      <c r="AF110" s="792">
        <f>(G110/AD110)*100</f>
        <v>28.610812808751628</v>
      </c>
      <c r="AI110" s="385">
        <f>T110</f>
        <v>6104</v>
      </c>
      <c r="AK110" s="715">
        <f>IF(ISERROR(AI110/AB110),"NA",AI110/AB110)</f>
        <v>41.540906291364813</v>
      </c>
      <c r="AM110" s="791">
        <f>(AK110/AK103-1)*100</f>
        <v>-0.86524871351622012</v>
      </c>
      <c r="AO110" s="385">
        <f>AO103*(1+AP110)</f>
        <v>0</v>
      </c>
      <c r="AP110" s="800">
        <f>E110%-3%</f>
        <v>-5.1000000000000004E-2</v>
      </c>
    </row>
    <row r="111" spans="1:42" ht="12.75" customHeight="1" x14ac:dyDescent="0.2">
      <c r="A111" s="185" t="s">
        <v>526</v>
      </c>
      <c r="C111" s="654">
        <f>'qtrP&amp;L'!DE12</f>
        <v>-5.1815980629539959</v>
      </c>
      <c r="E111" s="1003">
        <v>-3.9</v>
      </c>
      <c r="G111" s="479">
        <f>C111-E111</f>
        <v>-1.281598062953996</v>
      </c>
      <c r="I111" s="781">
        <f>stores!C179</f>
        <v>825</v>
      </c>
      <c r="J111" s="185">
        <f>I111-I110</f>
        <v>5</v>
      </c>
      <c r="K111" s="385">
        <f>AVERAGE(I110:I111)</f>
        <v>822.5</v>
      </c>
      <c r="M111" s="479">
        <f>(K111/K104-1)*100</f>
        <v>-1.7323775388291551</v>
      </c>
      <c r="O111" s="792">
        <f>(G111/M111)*100</f>
        <v>73.979143358102945</v>
      </c>
      <c r="P111" s="386"/>
      <c r="R111" s="1001">
        <v>5874</v>
      </c>
      <c r="T111" s="385">
        <f>R111-AO111</f>
        <v>5874</v>
      </c>
      <c r="V111" s="648">
        <f>T111/K111</f>
        <v>7.1416413373860186</v>
      </c>
      <c r="X111" s="791">
        <f>(V111/V104-1)*100</f>
        <v>-3.5100274512978591</v>
      </c>
      <c r="Z111" s="781">
        <f>stores!C377</f>
        <v>146.29300000000001</v>
      </c>
      <c r="AB111" s="385">
        <f>AVERAGEA(Z110:Z111)</f>
        <v>146.304</v>
      </c>
      <c r="AD111" s="799">
        <f>(AB111/AB104-1)*100</f>
        <v>-2.1672406299107161</v>
      </c>
      <c r="AF111" s="792">
        <f>(G111/AD111)*100</f>
        <v>59.135014601807001</v>
      </c>
      <c r="AI111" s="385">
        <f>T111</f>
        <v>5874</v>
      </c>
      <c r="AK111" s="715">
        <f>IF(ISERROR(AI111/AB111),"NA",AI111/AB111)</f>
        <v>40.149278215223099</v>
      </c>
      <c r="AM111" s="791">
        <f>(AK111/AK104-1)*100</f>
        <v>-3.081132999264935</v>
      </c>
      <c r="AO111" s="385">
        <f>AO104*(1+AP111)</f>
        <v>0</v>
      </c>
      <c r="AP111" s="800">
        <f>E111%-3%</f>
        <v>-6.9000000000000006E-2</v>
      </c>
    </row>
    <row r="112" spans="1:42" ht="12.75" customHeight="1" x14ac:dyDescent="0.2">
      <c r="A112" s="185" t="s">
        <v>527</v>
      </c>
      <c r="C112" s="654">
        <f>'qtrP&amp;L'!DE13</f>
        <v>-5.2862024775736867</v>
      </c>
      <c r="E112" s="1004">
        <v>-4.8</v>
      </c>
      <c r="G112" s="479">
        <f>C112-E112</f>
        <v>-0.48620247757368684</v>
      </c>
      <c r="I112" s="781">
        <f>stores!C180</f>
        <v>794</v>
      </c>
      <c r="J112" s="185">
        <f>I112-I111</f>
        <v>-31</v>
      </c>
      <c r="K112" s="607">
        <f>AVERAGE(I111:I112)</f>
        <v>809.5</v>
      </c>
      <c r="M112" s="786">
        <f>(K112/K105-1)*100</f>
        <v>-2.5285972305839843</v>
      </c>
      <c r="O112" s="802">
        <f>(G112/M112)*100</f>
        <v>19.22815036309272</v>
      </c>
      <c r="P112" s="386"/>
      <c r="R112" s="1002">
        <v>8869</v>
      </c>
      <c r="T112" s="607">
        <f>R112-AO112</f>
        <v>8869</v>
      </c>
      <c r="V112" s="518">
        <f>T112/K112</f>
        <v>10.956145768993206</v>
      </c>
      <c r="X112" s="794">
        <f>(V112/V105-1)*100</f>
        <v>-2.8291428753859704</v>
      </c>
      <c r="Z112" s="781">
        <f>stores!C378</f>
        <v>141.91499999999999</v>
      </c>
      <c r="AB112" s="607">
        <f>AVERAGEA(Z111:Z112)</f>
        <v>144.10399999999998</v>
      </c>
      <c r="AD112" s="801">
        <f>(AB112/AB105-1)*100</f>
        <v>-2.9717036712845313</v>
      </c>
      <c r="AF112" s="793">
        <f>(G112/AD112)*100</f>
        <v>16.361068644624442</v>
      </c>
      <c r="AI112" s="607">
        <f>T112</f>
        <v>8869</v>
      </c>
      <c r="AK112" s="789">
        <f>IF(ISERROR(AI112/AB112),"NA",AI112/AB112)</f>
        <v>61.545828013101655</v>
      </c>
      <c r="AM112" s="794">
        <f>(AK112/AK105-1)*100</f>
        <v>-2.3853853915439593</v>
      </c>
      <c r="AO112" s="607">
        <f>AO105*(1+AP112)</f>
        <v>0</v>
      </c>
      <c r="AP112" s="800">
        <f>E112%*14/13-3%</f>
        <v>-8.1692307692307703E-2</v>
      </c>
    </row>
    <row r="113" spans="1:42" ht="12.75" customHeight="1" x14ac:dyDescent="0.2">
      <c r="A113" s="450" t="s">
        <v>56</v>
      </c>
      <c r="C113" s="654">
        <f>(R113/R106-1)*100</f>
        <v>-3.6505959793631026</v>
      </c>
      <c r="E113" s="1005">
        <f>SUMPRODUCT(E109:E112,R109:R112)/R113</f>
        <v>-3.052572103844307</v>
      </c>
      <c r="G113" s="479">
        <f>C113-E113</f>
        <v>-0.59802387551879566</v>
      </c>
      <c r="I113" s="775"/>
      <c r="J113" s="554"/>
      <c r="K113" s="385">
        <f>AVERAGE(K109:K112)</f>
        <v>815.625</v>
      </c>
      <c r="M113" s="479">
        <f>(K113/K106-1)*100</f>
        <v>-2.3934181002243871</v>
      </c>
      <c r="O113" s="792">
        <f>(G113/M113)*100</f>
        <v>24.986185049019639</v>
      </c>
      <c r="R113" s="340">
        <f>SUM(R109:R112)</f>
        <v>27079</v>
      </c>
      <c r="T113" s="385">
        <f>R113</f>
        <v>27079</v>
      </c>
      <c r="V113" s="779">
        <f>IF(ISERROR(T113/K113),"NA",T113/K113)</f>
        <v>33.200306513409963</v>
      </c>
      <c r="X113" s="780">
        <f>IF(ISERROR(V113/V106),"NA",(V113/V106-1)*100)</f>
        <v>-1.2880052294317657</v>
      </c>
      <c r="Z113" s="781">
        <f>yrSales!AF47/1000</f>
        <v>141.91499999999999</v>
      </c>
      <c r="AB113" s="385">
        <f>AVERAGEA(AB109:AB112)</f>
        <v>146.2045</v>
      </c>
      <c r="AD113" s="479">
        <f>(AB113/AB106-1)*100</f>
        <v>-2.1231657026563711</v>
      </c>
      <c r="AF113" s="792">
        <f>(G113/AD113)*100</f>
        <v>28.166613409899465</v>
      </c>
      <c r="AI113" s="543">
        <f>R113</f>
        <v>27079</v>
      </c>
      <c r="AK113" s="782">
        <f>IF(ISERROR(AI113/AB113),"NA",AI113/AB113)</f>
        <v>185.21317743297917</v>
      </c>
      <c r="AM113" s="791">
        <f>(AK113/AK106-1)*100</f>
        <v>-1.5605636284337643</v>
      </c>
    </row>
    <row r="114" spans="1:42" ht="10.5" customHeight="1" x14ac:dyDescent="0.2">
      <c r="E114" s="1003"/>
      <c r="I114" s="773"/>
      <c r="Z114" s="774"/>
      <c r="AI114" s="185">
        <f>R115</f>
        <v>0</v>
      </c>
    </row>
    <row r="115" spans="1:42" ht="12.75" customHeight="1" x14ac:dyDescent="0.2">
      <c r="A115" s="772">
        <v>2016</v>
      </c>
      <c r="E115" s="1003"/>
      <c r="I115" s="773"/>
      <c r="K115" s="385"/>
      <c r="O115" s="792"/>
      <c r="R115" s="395"/>
      <c r="T115" s="385"/>
      <c r="X115" s="791"/>
      <c r="Z115" s="774"/>
      <c r="AB115" s="385"/>
      <c r="AF115" s="792"/>
      <c r="AM115" s="791"/>
    </row>
    <row r="116" spans="1:42" ht="12.75" customHeight="1" x14ac:dyDescent="0.2">
      <c r="A116" s="185" t="s">
        <v>524</v>
      </c>
      <c r="C116" s="654">
        <f>'qtrP&amp;L'!$DI10</f>
        <v>-7.3491655969191267</v>
      </c>
      <c r="E116" s="1003">
        <v>-6.1</v>
      </c>
      <c r="G116" s="479">
        <f>C116-E116</f>
        <v>-1.2491655969191271</v>
      </c>
      <c r="H116" s="185" t="s">
        <v>93</v>
      </c>
      <c r="I116" s="781">
        <f>stores!$C183</f>
        <v>784</v>
      </c>
      <c r="J116" s="185">
        <f>I116-I112</f>
        <v>-10</v>
      </c>
      <c r="K116" s="385">
        <f>AVERAGE(I116,I112)</f>
        <v>789</v>
      </c>
      <c r="M116" s="479">
        <f>(K116/K109-1)*100</f>
        <v>-3.3088235294117641</v>
      </c>
      <c r="O116" s="792">
        <f>(G116/M116)*100</f>
        <v>37.752560262444739</v>
      </c>
      <c r="P116" s="185" t="s">
        <v>93</v>
      </c>
      <c r="R116" s="1001">
        <f>5771+3</f>
        <v>5774</v>
      </c>
      <c r="T116" s="290">
        <f>R116-AO116</f>
        <v>5774</v>
      </c>
      <c r="V116" s="790">
        <f>T116/K116</f>
        <v>7.3181242078580482</v>
      </c>
      <c r="X116" s="791">
        <f>(V116/V109-1)*100</f>
        <v>-4.1786047238098973</v>
      </c>
      <c r="Y116" s="185" t="s">
        <v>93</v>
      </c>
      <c r="Z116" s="781">
        <f>stores!$C381</f>
        <v>141.90199999999999</v>
      </c>
      <c r="AB116" s="385">
        <f>AVERAGEA(Z116,Z112)</f>
        <v>141.9085</v>
      </c>
      <c r="AD116" s="799">
        <f>(AB116/AB109-1)*100</f>
        <v>-3.7716017779827249</v>
      </c>
      <c r="AE116" s="185" t="s">
        <v>93</v>
      </c>
      <c r="AF116" s="792">
        <f>(G116/AD116)*100</f>
        <v>33.120293987857188</v>
      </c>
      <c r="AG116" s="185" t="s">
        <v>93</v>
      </c>
      <c r="AI116" s="543">
        <f>T116</f>
        <v>5774</v>
      </c>
      <c r="AK116" s="782">
        <f>IF(ISERROR(AI116/AB116),"NA",AI116/AB116)</f>
        <v>40.68818992519828</v>
      </c>
      <c r="AM116" s="791">
        <f>(AK116/AK109-1)*100</f>
        <v>-3.7177838195771362</v>
      </c>
      <c r="AN116" s="185" t="s">
        <v>93</v>
      </c>
      <c r="AO116" s="543">
        <f>AO109*(1+AP116)</f>
        <v>0</v>
      </c>
      <c r="AP116" s="800">
        <f>E116%-3%</f>
        <v>-9.0999999999999998E-2</v>
      </c>
    </row>
    <row r="117" spans="1:42" ht="12.75" customHeight="1" x14ac:dyDescent="0.2">
      <c r="A117" s="185" t="s">
        <v>525</v>
      </c>
      <c r="C117" s="654">
        <f>'qtrP&amp;L'!$DI11</f>
        <v>-2.2280471821756187</v>
      </c>
      <c r="E117" s="1003">
        <v>-2.6</v>
      </c>
      <c r="G117" s="479">
        <f>C117-E117</f>
        <v>0.37195281782438139</v>
      </c>
      <c r="I117" s="781">
        <f>stores!$C184</f>
        <v>782</v>
      </c>
      <c r="J117" s="185">
        <f>I117-I116</f>
        <v>-2</v>
      </c>
      <c r="K117" s="385">
        <f>AVERAGE(I117,I116)</f>
        <v>783</v>
      </c>
      <c r="M117" s="479">
        <f>(K117/K110-1)*100</f>
        <v>-3.8674033149171283</v>
      </c>
      <c r="O117" s="792">
        <f>(G117/M117)*100</f>
        <v>-9.617637146601858</v>
      </c>
      <c r="P117" s="386"/>
      <c r="R117" s="1001">
        <f>5866+102</f>
        <v>5968</v>
      </c>
      <c r="T117" s="385">
        <f>R117-AO117</f>
        <v>5968</v>
      </c>
      <c r="V117" s="648">
        <f>T117/K117</f>
        <v>7.6219667943805876</v>
      </c>
      <c r="X117" s="791">
        <f>(V117/V110-1)*100</f>
        <v>1.7053072415299519</v>
      </c>
      <c r="Z117" s="781">
        <f>stores!$C382</f>
        <v>141.33500000000001</v>
      </c>
      <c r="AB117" s="385">
        <f>AVERAGEA(Z116:Z117)</f>
        <v>141.61849999999998</v>
      </c>
      <c r="AD117" s="799">
        <f>(AB117/AB110-1)*100</f>
        <v>-3.6212182564933415</v>
      </c>
      <c r="AF117" s="792">
        <f>(G117/AD117)*100</f>
        <v>-10.271483005958531</v>
      </c>
      <c r="AI117" s="385">
        <f>T117</f>
        <v>5968</v>
      </c>
      <c r="AK117" s="715">
        <f>IF(ISERROR(AI117/AB117),"NA",AI117/AB117)</f>
        <v>42.141386895073744</v>
      </c>
      <c r="AM117" s="791">
        <f>(AK117/AK110-1)*100</f>
        <v>1.4455163772720825</v>
      </c>
      <c r="AO117" s="385">
        <f>AO110*(1+AP117)</f>
        <v>0</v>
      </c>
      <c r="AP117" s="800">
        <f>E117%-3%</f>
        <v>-5.6000000000000001E-2</v>
      </c>
    </row>
    <row r="118" spans="1:42" ht="12.75" customHeight="1" x14ac:dyDescent="0.2">
      <c r="A118" s="185" t="s">
        <v>526</v>
      </c>
      <c r="C118" s="654">
        <f>'qtrP&amp;L'!$DI12</f>
        <v>-4.0687776642832851</v>
      </c>
      <c r="E118" s="1003">
        <v>-3.3</v>
      </c>
      <c r="G118" s="479">
        <f>C118-E118</f>
        <v>-0.76877766428328531</v>
      </c>
      <c r="I118" s="781">
        <f>stores!$C185</f>
        <v>774</v>
      </c>
      <c r="J118" s="185">
        <f>I118-I117</f>
        <v>-8</v>
      </c>
      <c r="K118" s="385">
        <f>AVERAGE(I117:I118)</f>
        <v>778</v>
      </c>
      <c r="M118" s="479">
        <f>(K118/K111-1)*100</f>
        <v>-5.4103343465045644</v>
      </c>
      <c r="O118" s="792">
        <f>(G118/M118)*100</f>
        <v>14.209429862314643</v>
      </c>
      <c r="P118" s="386"/>
      <c r="R118" s="1001">
        <f>5626+9</f>
        <v>5635</v>
      </c>
      <c r="T118" s="385">
        <f>R118-AO118</f>
        <v>5635</v>
      </c>
      <c r="V118" s="648">
        <f>T118/K118</f>
        <v>7.2429305912596398</v>
      </c>
      <c r="X118" s="791">
        <f>(V118/V111-1)*100</f>
        <v>1.4182909654588682</v>
      </c>
      <c r="Z118" s="781">
        <f>stores!$C383</f>
        <v>141.47999999999999</v>
      </c>
      <c r="AB118" s="385">
        <f>AVERAGEA(Z117:Z118)</f>
        <v>141.4075</v>
      </c>
      <c r="AD118" s="799">
        <f>(AB118/AB111-1)*100</f>
        <v>-3.3467984470691214</v>
      </c>
      <c r="AF118" s="792">
        <f>(G118/AD118)*100</f>
        <v>22.970539649811418</v>
      </c>
      <c r="AI118" s="385">
        <f>T118</f>
        <v>5635</v>
      </c>
      <c r="AK118" s="715">
        <f>IF(ISERROR(AI118/AB118),"NA",AI118/AB118)</f>
        <v>39.849371497268535</v>
      </c>
      <c r="AM118" s="791">
        <f>(AK118/AK111-1)*100</f>
        <v>-0.74697910220674624</v>
      </c>
      <c r="AO118" s="385">
        <f>AO111*(1+AP118)</f>
        <v>0</v>
      </c>
      <c r="AP118" s="800">
        <f>E118%-3%</f>
        <v>-6.3E-2</v>
      </c>
    </row>
    <row r="119" spans="1:42" ht="12.75" customHeight="1" x14ac:dyDescent="0.2">
      <c r="A119" s="185" t="s">
        <v>527</v>
      </c>
      <c r="C119" s="785">
        <f>'qtrP&amp;L'!$DI13</f>
        <v>-3.7884767166535105</v>
      </c>
      <c r="E119" s="1004">
        <v>-2.7</v>
      </c>
      <c r="G119" s="786">
        <f>C119-E119</f>
        <v>-1.0884767166535103</v>
      </c>
      <c r="I119" s="781">
        <f>stores!$C186</f>
        <v>731</v>
      </c>
      <c r="J119" s="185">
        <f>I119-I118</f>
        <v>-43</v>
      </c>
      <c r="K119" s="607">
        <f>AVERAGE(I118:I119)</f>
        <v>752.5</v>
      </c>
      <c r="M119" s="786">
        <f>(K119/K112-1)*100</f>
        <v>-7.0413835701049976</v>
      </c>
      <c r="O119" s="793">
        <f>(G119/M119)*100</f>
        <v>15.458278984754688</v>
      </c>
      <c r="P119" s="386"/>
      <c r="R119" s="1002">
        <f>8515+18</f>
        <v>8533</v>
      </c>
      <c r="T119" s="607">
        <f>R119-AO119</f>
        <v>8533</v>
      </c>
      <c r="V119" s="518">
        <f>T119/K119</f>
        <v>11.33953488372093</v>
      </c>
      <c r="X119" s="794">
        <f>(V119/V112-1)*100</f>
        <v>3.4993064423507914</v>
      </c>
      <c r="Z119" s="781">
        <f>stores!$C384</f>
        <v>130.01499999999999</v>
      </c>
      <c r="AA119" s="781"/>
      <c r="AB119" s="607">
        <f>AVERAGEA(Z118:Z119)</f>
        <v>135.7475</v>
      </c>
      <c r="AD119" s="801">
        <f>(AB119/AB112-1)*100</f>
        <v>-5.7989368789207685</v>
      </c>
      <c r="AF119" s="793">
        <f>(G119/AD119)*100</f>
        <v>18.770280473480256</v>
      </c>
      <c r="AI119" s="607">
        <f>T119</f>
        <v>8533</v>
      </c>
      <c r="AK119" s="789">
        <f>IF(ISERROR(AI119/AB119),"NA",AI119/AB119)</f>
        <v>62.859352842593786</v>
      </c>
      <c r="AM119" s="794">
        <f>(AK119/AK112-1)*100</f>
        <v>2.1342223703814778</v>
      </c>
      <c r="AO119" s="607">
        <f>AO112*(1+AP119)</f>
        <v>0</v>
      </c>
      <c r="AP119" s="800">
        <f>E119%*14/13-3%</f>
        <v>-5.9076923076923082E-2</v>
      </c>
    </row>
    <row r="120" spans="1:42" ht="12.75" customHeight="1" x14ac:dyDescent="0.2">
      <c r="A120" s="450" t="s">
        <v>56</v>
      </c>
      <c r="C120" s="654">
        <f>(R120/R113-1)*100</f>
        <v>-4.3169984120536187</v>
      </c>
      <c r="E120" s="1005">
        <v>-3.5</v>
      </c>
      <c r="G120" s="479">
        <f>C120-E120</f>
        <v>-0.81699841205361867</v>
      </c>
      <c r="I120" s="775"/>
      <c r="J120" s="554"/>
      <c r="K120" s="385">
        <f>AVERAGE(K116:K119)</f>
        <v>775.625</v>
      </c>
      <c r="M120" s="479">
        <f>(K120/K113-1)*100</f>
        <v>-4.9042145593869773</v>
      </c>
      <c r="O120" s="792">
        <f>(G120/M120)*100</f>
        <v>16.659108245780804</v>
      </c>
      <c r="R120" s="340">
        <f>SUM(R116:R119)</f>
        <v>25910</v>
      </c>
      <c r="T120" s="385">
        <f>R120</f>
        <v>25910</v>
      </c>
      <c r="V120" s="779">
        <f>IF(ISERROR(T120/K120),"NA",T120/K120)</f>
        <v>33.40531829170024</v>
      </c>
      <c r="X120" s="780">
        <f>IF(ISERROR(V120/V113),"NA",(V120/V113-1)*100)</f>
        <v>0.6174996553344192</v>
      </c>
      <c r="Z120" s="781">
        <f>yrSales!$AG$47/1000</f>
        <v>130.01499999999999</v>
      </c>
      <c r="AA120" s="781"/>
      <c r="AB120" s="385">
        <f>AVERAGEA(AB116:AB119)</f>
        <v>140.1705</v>
      </c>
      <c r="AD120" s="479">
        <f>(AB120/AB113-1)*100</f>
        <v>-4.1270959512190064</v>
      </c>
      <c r="AF120" s="792">
        <f>(G120/AD120)*100</f>
        <v>19.795963595474554</v>
      </c>
      <c r="AI120" s="543">
        <f>R120</f>
        <v>25910</v>
      </c>
      <c r="AK120" s="782">
        <f>IF(ISERROR(AI120/AB120),"NA",AI120/AB120)</f>
        <v>184.84631216982174</v>
      </c>
      <c r="AM120" s="791">
        <f>(AK120/AK113-1)*100</f>
        <v>-0.1980773011089787</v>
      </c>
    </row>
    <row r="121" spans="1:42" ht="10.5" customHeight="1" x14ac:dyDescent="0.2">
      <c r="I121" s="773"/>
      <c r="R121" s="391"/>
      <c r="T121" s="385"/>
      <c r="Z121" s="781"/>
      <c r="AA121" s="781"/>
      <c r="AI121" s="353"/>
    </row>
    <row r="122" spans="1:42" ht="12.75" customHeight="1" x14ac:dyDescent="0.2">
      <c r="A122" s="1431">
        <v>2017</v>
      </c>
      <c r="E122" s="654"/>
      <c r="I122" s="773"/>
      <c r="K122" s="385"/>
      <c r="O122" s="792"/>
      <c r="R122" s="395"/>
      <c r="T122" s="385"/>
      <c r="X122" s="791"/>
      <c r="Z122" s="781"/>
      <c r="AA122" s="781"/>
      <c r="AB122" s="385"/>
      <c r="AF122" s="792"/>
      <c r="AM122" s="791"/>
    </row>
    <row r="123" spans="1:42" ht="12.75" customHeight="1" x14ac:dyDescent="0.2">
      <c r="A123" s="185" t="s">
        <v>524</v>
      </c>
      <c r="C123" s="654">
        <f>'qtrP&amp;L'!DM10</f>
        <v>-7.3086248701073835</v>
      </c>
      <c r="E123" s="1003">
        <v>-5.2</v>
      </c>
      <c r="G123" s="479">
        <f>C123-E123</f>
        <v>-2.1086248701073833</v>
      </c>
      <c r="H123" s="185" t="s">
        <v>93</v>
      </c>
      <c r="I123" s="781">
        <f>stores!$C189</f>
        <v>733</v>
      </c>
      <c r="J123" s="185">
        <f>I123-I119</f>
        <v>2</v>
      </c>
      <c r="K123" s="385">
        <f>AVERAGE(I123,I119)</f>
        <v>732</v>
      </c>
      <c r="M123" s="479">
        <f>(K123/K116-1)*100</f>
        <v>-7.2243346007604519</v>
      </c>
      <c r="O123" s="792">
        <f>(G123/M123)*100</f>
        <v>29.187807412539062</v>
      </c>
      <c r="P123" s="185" t="s">
        <v>93</v>
      </c>
      <c r="R123" s="1001">
        <f>5338+14</f>
        <v>5352</v>
      </c>
      <c r="T123" s="290">
        <f>R123-AO123</f>
        <v>5352</v>
      </c>
      <c r="V123" s="790">
        <f>T123/K123</f>
        <v>7.3114754098360653</v>
      </c>
      <c r="X123" s="791">
        <f>(V123/V116-1)*100</f>
        <v>-9.0853855894434954E-2</v>
      </c>
      <c r="Y123" s="185" t="s">
        <v>93</v>
      </c>
      <c r="Z123" s="781">
        <f>stores!$C387</f>
        <v>130.14099999999999</v>
      </c>
      <c r="AA123" s="781"/>
      <c r="AB123" s="385">
        <f>AVERAGEA(Z123,Z119)</f>
        <v>130.07799999999997</v>
      </c>
      <c r="AD123" s="799">
        <f>(AB123/AB116-1)*100</f>
        <v>-8.3367099222386507</v>
      </c>
      <c r="AE123" s="185" t="s">
        <v>93</v>
      </c>
      <c r="AF123" s="792">
        <f>(G123/AD123)*100</f>
        <v>25.293249852468847</v>
      </c>
      <c r="AG123" s="185" t="s">
        <v>93</v>
      </c>
      <c r="AI123" s="543">
        <f>T123</f>
        <v>5352</v>
      </c>
      <c r="AK123" s="782">
        <f>IF(ISERROR(AI123/AB123),"NA",AI123/AB123)</f>
        <v>41.144544042805094</v>
      </c>
      <c r="AM123" s="791">
        <f>(AK123/AK116-1)*100</f>
        <v>1.1215886438934231</v>
      </c>
      <c r="AN123" s="185" t="s">
        <v>93</v>
      </c>
      <c r="AO123" s="543">
        <f>AO116*(1+AP123)</f>
        <v>0</v>
      </c>
      <c r="AP123" s="800">
        <f>E123%-3%</f>
        <v>-8.2000000000000003E-2</v>
      </c>
    </row>
    <row r="124" spans="1:42" ht="12.75" customHeight="1" x14ac:dyDescent="0.2">
      <c r="A124" s="185" t="s">
        <v>525</v>
      </c>
      <c r="C124" s="654">
        <f>'qtrP&amp;L'!DM11</f>
        <v>-5.5797587131367283</v>
      </c>
      <c r="E124" s="1003">
        <v>-2.8</v>
      </c>
      <c r="F124" s="1007"/>
      <c r="G124" s="479">
        <f>C124-E124</f>
        <v>-2.7797587131367285</v>
      </c>
      <c r="I124" s="781">
        <f>stores!$C190</f>
        <v>731</v>
      </c>
      <c r="J124" s="185">
        <f>I124-I123</f>
        <v>-2</v>
      </c>
      <c r="K124" s="385">
        <f>AVERAGE(I124,I123)</f>
        <v>732</v>
      </c>
      <c r="M124" s="479">
        <f>(K124/K117-1)*100</f>
        <v>-6.5134099616858236</v>
      </c>
      <c r="O124" s="792">
        <f>(G124/M124)*100</f>
        <v>42.677472007569776</v>
      </c>
      <c r="P124" s="386"/>
      <c r="R124" s="1001">
        <f>5552+83</f>
        <v>5635</v>
      </c>
      <c r="T124" s="385">
        <f>R124-AO124</f>
        <v>5635</v>
      </c>
      <c r="V124" s="648">
        <f>T124/K124</f>
        <v>7.6980874316939891</v>
      </c>
      <c r="X124" s="791">
        <f>(V124/V117-1)*100</f>
        <v>0.99870072078407368</v>
      </c>
      <c r="Z124" s="781">
        <f>stores!$C388</f>
        <v>129.78590859481582</v>
      </c>
      <c r="AA124" s="781"/>
      <c r="AB124" s="385">
        <f>AVERAGEA(Z123:Z124)</f>
        <v>129.96345429740791</v>
      </c>
      <c r="AD124" s="799">
        <f>(AB124/AB117-1)*100</f>
        <v>-8.2298892465264668</v>
      </c>
      <c r="AF124" s="792">
        <f>(G124/AD124)*100</f>
        <v>33.776380578997006</v>
      </c>
      <c r="AI124" s="385">
        <f>T124</f>
        <v>5635</v>
      </c>
      <c r="AK124" s="715">
        <f>IF(ISERROR(AI124/AB124),"NA",AI124/AB124)</f>
        <v>43.358342777692613</v>
      </c>
      <c r="AM124" s="791">
        <f>(AK124/AK117-1)*100</f>
        <v>2.8877926719614644</v>
      </c>
      <c r="AO124" s="385">
        <f>AO117*(1+AP124)</f>
        <v>0</v>
      </c>
      <c r="AP124" s="800">
        <f>E124%-3%</f>
        <v>-5.7999999999999996E-2</v>
      </c>
    </row>
    <row r="125" spans="1:42" ht="12.75" customHeight="1" x14ac:dyDescent="0.2">
      <c r="A125" s="185" t="s">
        <v>526</v>
      </c>
      <c r="C125" s="1006">
        <f>'qtrP&amp;L'!DM12</f>
        <v>-6.1756876663708997</v>
      </c>
      <c r="E125" s="1003">
        <v>-4</v>
      </c>
      <c r="F125" s="1007"/>
      <c r="G125" s="479">
        <f>C125-E125</f>
        <v>-2.1756876663708997</v>
      </c>
      <c r="I125" s="781">
        <f>stores!$C191</f>
        <v>731</v>
      </c>
      <c r="J125" s="185">
        <f>I125-I124</f>
        <v>0</v>
      </c>
      <c r="K125" s="385">
        <f>AVERAGE(I124:I125)</f>
        <v>731</v>
      </c>
      <c r="M125" s="479">
        <f>(K125/K118-1)*100</f>
        <v>-6.0411311053984562</v>
      </c>
      <c r="O125" s="792">
        <f>(G125/M125)*100</f>
        <v>36.014574562480007</v>
      </c>
      <c r="P125" s="386"/>
      <c r="R125" s="1001">
        <f>5281+6</f>
        <v>5287</v>
      </c>
      <c r="T125" s="385">
        <f>R125-AO125</f>
        <v>5287</v>
      </c>
      <c r="V125" s="648">
        <f>T125/K125</f>
        <v>7.2325581395348841</v>
      </c>
      <c r="X125" s="791">
        <f>(V125/V118-1)*100</f>
        <v>-0.1432079404056763</v>
      </c>
      <c r="Z125" s="781">
        <f>stores!$C389</f>
        <v>129.78590859481582</v>
      </c>
      <c r="AA125" s="781"/>
      <c r="AB125" s="385">
        <f>AVERAGEA(Z124:Z125)</f>
        <v>129.78590859481582</v>
      </c>
      <c r="AD125" s="799">
        <f>(AB125/AB118-1)*100</f>
        <v>-8.2185113273229309</v>
      </c>
      <c r="AF125" s="792">
        <f>(G125/AD125)*100</f>
        <v>26.473014147193496</v>
      </c>
      <c r="AI125" s="385">
        <f>T125</f>
        <v>5287</v>
      </c>
      <c r="AK125" s="715">
        <f>IF(ISERROR(AI125/AB125),"NA",AI125/AB125)</f>
        <v>40.736317657610357</v>
      </c>
      <c r="AM125" s="791">
        <f>(AK125/AK118-1)*100</f>
        <v>2.2257469240201555</v>
      </c>
      <c r="AO125" s="385">
        <f>AO118*(1+AP125)</f>
        <v>0</v>
      </c>
      <c r="AP125" s="800">
        <f>E125%-3%</f>
        <v>-7.0000000000000007E-2</v>
      </c>
    </row>
    <row r="126" spans="1:42" ht="12.75" customHeight="1" x14ac:dyDescent="0.2">
      <c r="A126" s="185" t="s">
        <v>527</v>
      </c>
      <c r="C126" s="785">
        <f>'qtrP&amp;L'!DM13</f>
        <v>1.6172506738544534</v>
      </c>
      <c r="E126" s="1003">
        <v>1.3</v>
      </c>
      <c r="F126" s="1007"/>
      <c r="G126" s="479">
        <f>C126-E126</f>
        <v>0.31725067385445338</v>
      </c>
      <c r="I126" s="781">
        <f>stores!$C192</f>
        <v>717</v>
      </c>
      <c r="J126" s="185">
        <f>I126-I125</f>
        <v>-14</v>
      </c>
      <c r="K126" s="607">
        <f>AVERAGE(I125:I126)</f>
        <v>724</v>
      </c>
      <c r="M126" s="786">
        <f>(K126/K119-1)*100</f>
        <v>-3.7873754152823902</v>
      </c>
      <c r="O126" s="793">
        <f>(G126/M126)*100</f>
        <v>-8.3765309500167113</v>
      </c>
      <c r="P126" s="386"/>
      <c r="R126" s="1002">
        <v>8671</v>
      </c>
      <c r="T126" s="607">
        <f>R126-AO126</f>
        <v>8671</v>
      </c>
      <c r="V126" s="518">
        <f>T126/K126</f>
        <v>11.976519337016574</v>
      </c>
      <c r="X126" s="794">
        <f>(V126/V119-1)*100</f>
        <v>5.6173772542478906</v>
      </c>
      <c r="Z126" s="781">
        <f>stores!$C390</f>
        <v>127.3002687585266</v>
      </c>
      <c r="AA126" s="781"/>
      <c r="AB126" s="607">
        <f>AVERAGEA(Z125:Z126)</f>
        <v>128.5430886766712</v>
      </c>
      <c r="AD126" s="801">
        <f>(AB126/AB119-1)*100</f>
        <v>-5.3072147356885369</v>
      </c>
      <c r="AF126" s="793">
        <f>(G126/AD126)*100</f>
        <v>-5.9777244685633493</v>
      </c>
      <c r="AI126" s="607">
        <f>T126</f>
        <v>8671</v>
      </c>
      <c r="AK126" s="789">
        <f>IF(ISERROR(AI126/AB126),"NA",AI126/AB126)</f>
        <v>67.455979852876112</v>
      </c>
      <c r="AM126" s="794">
        <f>(AK126/AK119-1)*100</f>
        <v>7.3125585969565199</v>
      </c>
      <c r="AO126" s="607">
        <f>AO119*(1+AP126)</f>
        <v>0</v>
      </c>
      <c r="AP126" s="800">
        <f>E126%*14/13-3%</f>
        <v>-1.5999999999999997E-2</v>
      </c>
    </row>
    <row r="127" spans="1:42" ht="12.75" customHeight="1" x14ac:dyDescent="0.2">
      <c r="A127" s="450" t="s">
        <v>56</v>
      </c>
      <c r="C127" s="654">
        <f>(R127/R120-1)*100</f>
        <v>-3.7244307217290662</v>
      </c>
      <c r="E127" s="1479">
        <v>-2.2000000000000002</v>
      </c>
      <c r="G127" s="1480">
        <f>C127-E127</f>
        <v>-1.524430721729066</v>
      </c>
      <c r="I127" s="775"/>
      <c r="J127" s="554"/>
      <c r="K127" s="385">
        <f>AVERAGE(K123:K126)</f>
        <v>729.75</v>
      </c>
      <c r="M127" s="479">
        <f>(K127/K120-1)*100</f>
        <v>-5.9145850120870254</v>
      </c>
      <c r="O127" s="792">
        <f>(G127/M127)*100</f>
        <v>25.774094355119498</v>
      </c>
      <c r="R127" s="385">
        <f>SUM(R123:R126)</f>
        <v>24945</v>
      </c>
      <c r="T127" s="385">
        <f>R127</f>
        <v>24945</v>
      </c>
      <c r="V127" s="779">
        <f>IF(ISERROR(T127/K127),"NA",T127/K127)</f>
        <v>34.18293936279548</v>
      </c>
      <c r="X127" s="780">
        <f>IF(ISERROR(V127/V120),"NA",(V127/V120-1)*100)</f>
        <v>2.327836137662076</v>
      </c>
      <c r="Z127" s="781">
        <f>yrSales!$AH$47/1000</f>
        <v>127.3002687585266</v>
      </c>
      <c r="AB127" s="385">
        <f>AVERAGEA(AB123:AB126)</f>
        <v>129.59261289222374</v>
      </c>
      <c r="AD127" s="479">
        <f>(AB127/AB120-1)*100</f>
        <v>-7.546443158707616</v>
      </c>
      <c r="AF127" s="792">
        <f>(G127/AD127)*100</f>
        <v>20.200652011405808</v>
      </c>
      <c r="AI127" s="543">
        <f>R127</f>
        <v>24945</v>
      </c>
      <c r="AK127" s="782">
        <f>IF(ISERROR(AI127/AB127),"NA",AI127/AB127)</f>
        <v>192.48782352081764</v>
      </c>
      <c r="AM127" s="791">
        <f>(AK127/AK120-1)*100</f>
        <v>4.1339809603426092</v>
      </c>
    </row>
    <row r="128" spans="1:42" ht="10.5" customHeight="1" x14ac:dyDescent="0.2">
      <c r="G128" s="282"/>
      <c r="I128" s="773"/>
      <c r="R128" s="391"/>
      <c r="Z128" s="774"/>
    </row>
    <row r="129" spans="1:42" s="12" customFormat="1" ht="12.75" customHeight="1" x14ac:dyDescent="0.2">
      <c r="A129" s="1432">
        <v>2018</v>
      </c>
      <c r="E129" s="1090"/>
      <c r="I129" s="1091"/>
      <c r="K129" s="1092"/>
      <c r="O129" s="1093"/>
      <c r="R129" s="1094"/>
      <c r="T129" s="1092"/>
      <c r="X129" s="1095"/>
      <c r="Z129" s="1096"/>
      <c r="AA129" s="1096"/>
      <c r="AB129" s="1092"/>
      <c r="AF129" s="1093"/>
      <c r="AM129" s="1095"/>
    </row>
    <row r="130" spans="1:42" s="12" customFormat="1" ht="12.75" customHeight="1" x14ac:dyDescent="0.2">
      <c r="A130" s="12" t="s">
        <v>524</v>
      </c>
      <c r="C130" s="1097">
        <f>E130+G130</f>
        <v>-0.7</v>
      </c>
      <c r="E130" s="1441">
        <v>-0.5</v>
      </c>
      <c r="F130" s="1442"/>
      <c r="G130" s="1443">
        <f>-1.2+1</f>
        <v>-0.19999999999999996</v>
      </c>
      <c r="H130" s="12" t="s">
        <v>93</v>
      </c>
      <c r="I130" s="1096">
        <f>stores!$C195</f>
        <v>706</v>
      </c>
      <c r="J130" s="12">
        <f>I130-I126</f>
        <v>-11</v>
      </c>
      <c r="K130" s="1092">
        <f>AVERAGE(I130,I126)</f>
        <v>711.5</v>
      </c>
      <c r="M130" s="1103">
        <f>(K130/K123-1)*100</f>
        <v>-2.8005464480874265</v>
      </c>
      <c r="O130" s="1331">
        <f t="shared" ref="O130:O133" si="0">(G130/M130)*100</f>
        <v>7.141463414634158</v>
      </c>
      <c r="P130" s="12" t="s">
        <v>93</v>
      </c>
      <c r="R130" s="1106">
        <f>(R123)*(1+C130/100)</f>
        <v>5314.5360000000001</v>
      </c>
      <c r="T130" s="1107">
        <f>R130-AO130</f>
        <v>5314.5360000000001</v>
      </c>
      <c r="V130" s="1108">
        <f>T130/K130</f>
        <v>7.4694813773717499</v>
      </c>
      <c r="X130" s="1095">
        <f>(V130/V123-1)*100</f>
        <v>2.1610681658468023</v>
      </c>
      <c r="Y130" s="12" t="s">
        <v>93</v>
      </c>
      <c r="Z130" s="1096">
        <f>stores!$C393</f>
        <v>125.34726603001364</v>
      </c>
      <c r="AA130" s="1096"/>
      <c r="AB130" s="1092">
        <f>AVERAGEA(Z130,Z126)</f>
        <v>126.32376739427012</v>
      </c>
      <c r="AD130" s="1114">
        <f>(AB130/AB123-1)*100</f>
        <v>-2.8861395514459431</v>
      </c>
      <c r="AE130" s="12" t="s">
        <v>93</v>
      </c>
      <c r="AF130" s="1093">
        <f>(G130/AD130)*100</f>
        <v>6.9296718483276676</v>
      </c>
      <c r="AG130" s="12" t="s">
        <v>93</v>
      </c>
      <c r="AI130" s="1117">
        <f>T130</f>
        <v>5314.5360000000001</v>
      </c>
      <c r="AK130" s="1118">
        <f>IF(ISERROR(AI130/AB130),"NA",AI130/AB130)</f>
        <v>42.070752872757183</v>
      </c>
      <c r="AM130" s="1095">
        <f>(AK130/AK123-1)*100</f>
        <v>2.2511097194040985</v>
      </c>
      <c r="AN130" s="12" t="s">
        <v>93</v>
      </c>
      <c r="AO130" s="1117">
        <f>AO123*(1+AP130)</f>
        <v>0</v>
      </c>
      <c r="AP130" s="1121">
        <f>E130%-3%</f>
        <v>-3.4999999999999996E-2</v>
      </c>
    </row>
    <row r="131" spans="1:42" s="12" customFormat="1" ht="12.75" customHeight="1" x14ac:dyDescent="0.2">
      <c r="A131" s="12" t="s">
        <v>525</v>
      </c>
      <c r="C131" s="1097">
        <f>E131+G131</f>
        <v>-2.9</v>
      </c>
      <c r="E131" s="1441">
        <v>-1.5</v>
      </c>
      <c r="F131" s="1312"/>
      <c r="G131" s="1443">
        <f>-1.7+0.3</f>
        <v>-1.4</v>
      </c>
      <c r="I131" s="1096">
        <f>stores!$C196</f>
        <v>697</v>
      </c>
      <c r="J131" s="12">
        <f>I131-I130</f>
        <v>-9</v>
      </c>
      <c r="K131" s="1092">
        <f>AVERAGE(I131,I130)</f>
        <v>701.5</v>
      </c>
      <c r="M131" s="1103">
        <f>(K131/K124-1)*100</f>
        <v>-4.1666666666666625</v>
      </c>
      <c r="O131" s="1331">
        <f t="shared" si="0"/>
        <v>33.60000000000003</v>
      </c>
      <c r="P131" s="1105"/>
      <c r="R131" s="1106">
        <f>(R124)*(1+C131/100)</f>
        <v>5471.585</v>
      </c>
      <c r="T131" s="1092">
        <f>R131-AO131</f>
        <v>5471.585</v>
      </c>
      <c r="V131" s="1109">
        <f>T131/K131</f>
        <v>7.7998360655737704</v>
      </c>
      <c r="X131" s="1095">
        <f>(V131/V124-1)*100</f>
        <v>1.3217391304347847</v>
      </c>
      <c r="Z131" s="1096">
        <f>stores!$C394</f>
        <v>123.74935470668487</v>
      </c>
      <c r="AA131" s="1096"/>
      <c r="AB131" s="1092">
        <f>AVERAGEA(Z130:Z131)</f>
        <v>124.54831036834926</v>
      </c>
      <c r="AD131" s="1114">
        <f>(AB131/AB124-1)*100</f>
        <v>-4.1666666666666519</v>
      </c>
      <c r="AF131" s="1093">
        <f>(G131/AD131)*100</f>
        <v>33.600000000000122</v>
      </c>
      <c r="AI131" s="1092">
        <f>T131</f>
        <v>5471.585</v>
      </c>
      <c r="AK131" s="1119">
        <f>IF(ISERROR(AI131/AB131),"NA",AI131/AB131)</f>
        <v>43.931426960493411</v>
      </c>
      <c r="AM131" s="1095">
        <f>(AK131/AK124-1)*100</f>
        <v>1.3217391304347625</v>
      </c>
      <c r="AO131" s="1092">
        <f>AO124*(1+AP131)</f>
        <v>0</v>
      </c>
      <c r="AP131" s="1121">
        <f>E131%-3%</f>
        <v>-4.4999999999999998E-2</v>
      </c>
    </row>
    <row r="132" spans="1:42" s="12" customFormat="1" ht="12.75" customHeight="1" x14ac:dyDescent="0.2">
      <c r="A132" s="12" t="s">
        <v>526</v>
      </c>
      <c r="C132" s="1097">
        <f>E132+G132</f>
        <v>0.19999999999999996</v>
      </c>
      <c r="E132" s="1441">
        <v>2</v>
      </c>
      <c r="F132" s="1312"/>
      <c r="G132" s="1443">
        <f>-1.6-0.2</f>
        <v>-1.8</v>
      </c>
      <c r="I132" s="1096">
        <f>stores!$C197</f>
        <v>692</v>
      </c>
      <c r="J132" s="12">
        <f>I132-I131</f>
        <v>-5</v>
      </c>
      <c r="K132" s="1092">
        <f>AVERAGE(I131:I132)</f>
        <v>694.5</v>
      </c>
      <c r="M132" s="1103">
        <f>(K132/K125-1)*100</f>
        <v>-4.9931600547195583</v>
      </c>
      <c r="O132" s="1332">
        <f t="shared" si="0"/>
        <v>36.049315068493179</v>
      </c>
      <c r="P132" s="1105"/>
      <c r="R132" s="1106">
        <f>(R125)*(1+C132/100)</f>
        <v>5297.5739999999996</v>
      </c>
      <c r="T132" s="1092">
        <f>R132-AO132</f>
        <v>5297.5739999999996</v>
      </c>
      <c r="V132" s="1109">
        <f>T132/K132</f>
        <v>7.627896328293736</v>
      </c>
      <c r="X132" s="1095">
        <f>(V132/V125-1)*100</f>
        <v>5.466090712742977</v>
      </c>
      <c r="Z132" s="1096">
        <f>stores!$C395</f>
        <v>122.86162619372443</v>
      </c>
      <c r="AA132" s="1096"/>
      <c r="AB132" s="1092">
        <f>AVERAGEA(Z131:Z132)</f>
        <v>123.30549045020464</v>
      </c>
      <c r="AD132" s="1114">
        <f>(AB132/AB125-1)*100</f>
        <v>-4.9931600547195583</v>
      </c>
      <c r="AF132" s="1093">
        <f>(G132/AD132)*100</f>
        <v>36.049315068493179</v>
      </c>
      <c r="AI132" s="1092">
        <f>T132</f>
        <v>5297.5739999999996</v>
      </c>
      <c r="AK132" s="1119">
        <f>IF(ISERROR(AI132/AB132),"NA",AI132/AB132)</f>
        <v>42.963001733806472</v>
      </c>
      <c r="AM132" s="1095">
        <f>(AK132/AK125-1)*100</f>
        <v>5.466090712742977</v>
      </c>
      <c r="AO132" s="1092">
        <f>AO125*(1+AP132)</f>
        <v>0</v>
      </c>
      <c r="AP132" s="1121">
        <f>E132%-3%</f>
        <v>-9.9999999999999985E-3</v>
      </c>
    </row>
    <row r="133" spans="1:42" s="12" customFormat="1" ht="12.75" customHeight="1" x14ac:dyDescent="0.2">
      <c r="A133" s="12" t="s">
        <v>527</v>
      </c>
      <c r="C133" s="1098">
        <f>E133+G133</f>
        <v>-2.2999999999999998</v>
      </c>
      <c r="E133" s="1441">
        <v>1</v>
      </c>
      <c r="F133" s="1312"/>
      <c r="G133" s="1444">
        <f>-1.2-2.1</f>
        <v>-3.3</v>
      </c>
      <c r="I133" s="1096">
        <f>stores!$C198</f>
        <v>687</v>
      </c>
      <c r="J133" s="12">
        <f>I133-I132</f>
        <v>-5</v>
      </c>
      <c r="K133" s="1102">
        <f>AVERAGE(I132:I133)</f>
        <v>689.5</v>
      </c>
      <c r="M133" s="1104">
        <f>(K133/K126-1)*100</f>
        <v>-4.7651933701657434</v>
      </c>
      <c r="O133" s="1333">
        <f t="shared" si="0"/>
        <v>69.252173913043507</v>
      </c>
      <c r="P133" s="1105"/>
      <c r="R133" s="1102">
        <f>(R126)*(1+C133/100)</f>
        <v>8471.5669999999991</v>
      </c>
      <c r="T133" s="1102">
        <f>R133-AO133</f>
        <v>8471.5669999999991</v>
      </c>
      <c r="V133" s="1110">
        <f>T133/K133</f>
        <v>12.286536620739666</v>
      </c>
      <c r="X133" s="1112">
        <f>(V133/V126-1)*100</f>
        <v>2.5885424220449593</v>
      </c>
      <c r="Z133" s="1096">
        <f>stores!$C396</f>
        <v>121.973897680764</v>
      </c>
      <c r="AA133" s="1096"/>
      <c r="AB133" s="1102">
        <f>AVERAGEA(Z132:Z133)</f>
        <v>122.41776193724422</v>
      </c>
      <c r="AD133" s="1115">
        <f>(AB133/AB126-1)*100</f>
        <v>-4.7651933701657212</v>
      </c>
      <c r="AF133" s="1116">
        <f>(G133/AD133)*100</f>
        <v>69.252173913043833</v>
      </c>
      <c r="AI133" s="1102">
        <f>T133</f>
        <v>8471.5669999999991</v>
      </c>
      <c r="AK133" s="1120">
        <f>IF(ISERROR(AI133/AB133),"NA",AI133/AB133)</f>
        <v>69.202106507573887</v>
      </c>
      <c r="AM133" s="1112">
        <f>(AK133/AK126-1)*100</f>
        <v>2.5885424220449149</v>
      </c>
      <c r="AO133" s="1102">
        <f>AO126*(1+AP133)</f>
        <v>0</v>
      </c>
      <c r="AP133" s="1121">
        <f>E133%*14/13-3%</f>
        <v>-1.9230769230769228E-2</v>
      </c>
    </row>
    <row r="134" spans="1:42" s="12" customFormat="1" ht="12.75" customHeight="1" x14ac:dyDescent="0.2">
      <c r="A134" s="1099" t="s">
        <v>56</v>
      </c>
      <c r="C134" s="1090">
        <f>(R134/R127-1)*100</f>
        <v>-1.5623892563640052</v>
      </c>
      <c r="E134" s="1385">
        <f>SUMPRODUCT(E130:E133,R130:R133)/R134</f>
        <v>0.33402492304907999</v>
      </c>
      <c r="G134" s="1103">
        <f>C134-E134</f>
        <v>-1.8964141794130851</v>
      </c>
      <c r="I134" s="1100"/>
      <c r="J134" s="1101"/>
      <c r="K134" s="1092">
        <f>AVERAGE(K130:K133)</f>
        <v>699.25</v>
      </c>
      <c r="M134" s="1103">
        <f>(K134/K127-1)*100</f>
        <v>-4.1795135320315202</v>
      </c>
      <c r="O134" s="1331">
        <f>(G134/M134)*100</f>
        <v>45.374040899236</v>
      </c>
      <c r="R134" s="385">
        <f>SUM(R130:R133)</f>
        <v>24555.261999999999</v>
      </c>
      <c r="T134" s="1092">
        <f>R134</f>
        <v>24555.261999999999</v>
      </c>
      <c r="V134" s="1111">
        <f>IF(ISERROR(T134/K134),"NA",T134/K134)</f>
        <v>35.116570611369326</v>
      </c>
      <c r="X134" s="1113">
        <f>IF(ISERROR(V134/V127),"NA",(V134/V127-1)*100)</f>
        <v>2.7312784271267265</v>
      </c>
      <c r="Z134" s="1096">
        <f>yrSales!$AI$47/1000</f>
        <v>121.973897680764</v>
      </c>
      <c r="AB134" s="1092">
        <f>AVERAGEA(AB130:AB133)</f>
        <v>124.14883253751705</v>
      </c>
      <c r="AD134" s="1103">
        <f>(AB134/AB127-1)*100</f>
        <v>-4.2006872407411304</v>
      </c>
      <c r="AF134" s="1093">
        <f>(G134/AD134)*100</f>
        <v>45.145331483390784</v>
      </c>
      <c r="AI134" s="1117">
        <f>R134</f>
        <v>24555.261999999999</v>
      </c>
      <c r="AK134" s="1118">
        <f>IF(ISERROR(AI134/AB134),"NA",AI134/AB134)</f>
        <v>197.78890786250076</v>
      </c>
      <c r="AM134" s="1095">
        <f>(AK134/AK127-1)*100</f>
        <v>2.7539842493516486</v>
      </c>
    </row>
    <row r="135" spans="1:42" ht="10.5" customHeight="1" x14ac:dyDescent="0.2">
      <c r="E135" s="479"/>
      <c r="I135" s="773"/>
      <c r="R135" s="391"/>
      <c r="Z135" s="774"/>
    </row>
    <row r="136" spans="1:42" ht="10.5" customHeight="1" x14ac:dyDescent="0.2">
      <c r="E136" s="479"/>
      <c r="I136" s="773"/>
      <c r="R136" s="391"/>
      <c r="Z136" s="774"/>
    </row>
    <row r="137" spans="1:42" ht="10.5" customHeight="1" x14ac:dyDescent="0.2">
      <c r="E137" s="479"/>
      <c r="I137" s="773"/>
      <c r="R137" s="391"/>
      <c r="Z137" s="774"/>
    </row>
    <row r="138" spans="1:42" ht="10.5" customHeight="1" x14ac:dyDescent="0.2">
      <c r="E138" s="479"/>
      <c r="G138" s="290"/>
      <c r="I138" s="773"/>
      <c r="R138" s="391"/>
      <c r="Z138" s="774"/>
    </row>
    <row r="139" spans="1:42" ht="10.5" customHeight="1" x14ac:dyDescent="0.2">
      <c r="E139" s="479"/>
      <c r="G139" s="290"/>
      <c r="I139" s="773"/>
      <c r="R139" s="391"/>
      <c r="Z139" s="774"/>
    </row>
    <row r="140" spans="1:42" ht="10.5" customHeight="1" x14ac:dyDescent="0.2">
      <c r="E140" s="479"/>
      <c r="I140" s="773"/>
      <c r="R140" s="391"/>
      <c r="Z140" s="774"/>
    </row>
    <row r="141" spans="1:42" ht="10.5" customHeight="1" x14ac:dyDescent="0.2">
      <c r="E141" s="479"/>
      <c r="I141" s="773"/>
      <c r="R141" s="391"/>
      <c r="Z141" s="774"/>
    </row>
    <row r="142" spans="1:42" ht="10.5" customHeight="1" x14ac:dyDescent="0.2">
      <c r="E142" s="479"/>
      <c r="I142" s="773"/>
      <c r="R142" s="391"/>
      <c r="Z142" s="774"/>
    </row>
    <row r="143" spans="1:42" ht="10.5" customHeight="1" x14ac:dyDescent="0.2">
      <c r="E143" s="479"/>
      <c r="I143" s="773"/>
      <c r="R143" s="391"/>
      <c r="Z143" s="774"/>
    </row>
    <row r="144" spans="1:42" ht="10.5" customHeight="1" x14ac:dyDescent="0.2">
      <c r="E144" s="479"/>
      <c r="I144" s="773"/>
      <c r="R144" s="391"/>
      <c r="Z144" s="774"/>
    </row>
    <row r="145" spans="1:26" ht="10.5" customHeight="1" x14ac:dyDescent="0.2">
      <c r="I145" s="773"/>
      <c r="R145" s="391"/>
      <c r="Z145" s="774"/>
    </row>
    <row r="146" spans="1:26" ht="10.5" customHeight="1" x14ac:dyDescent="0.2">
      <c r="A146" s="803" t="s">
        <v>35</v>
      </c>
      <c r="I146" s="773"/>
      <c r="O146" s="286"/>
      <c r="R146" s="468"/>
      <c r="U146" s="261"/>
      <c r="V146" s="261"/>
      <c r="W146" s="261"/>
      <c r="X146" s="261"/>
      <c r="Y146" s="261"/>
      <c r="Z146" s="774"/>
    </row>
    <row r="147" spans="1:26" ht="10.5" customHeight="1" x14ac:dyDescent="0.2">
      <c r="A147" s="384" t="s">
        <v>78</v>
      </c>
      <c r="I147" s="773"/>
      <c r="M147" s="395"/>
      <c r="O147" s="286"/>
      <c r="R147" s="391"/>
      <c r="U147" s="261"/>
      <c r="V147" s="804"/>
      <c r="W147" s="261"/>
      <c r="X147" s="261"/>
      <c r="Y147" s="261"/>
      <c r="Z147" s="774"/>
    </row>
    <row r="148" spans="1:26" ht="10.5" customHeight="1" x14ac:dyDescent="0.2">
      <c r="O148" s="395"/>
      <c r="R148" s="395"/>
    </row>
    <row r="149" spans="1:26" ht="10.5" customHeight="1" x14ac:dyDescent="0.2">
      <c r="E149" s="654"/>
      <c r="R149" s="395"/>
    </row>
    <row r="150" spans="1:26" ht="10.5" customHeight="1" x14ac:dyDescent="0.2">
      <c r="E150" s="654"/>
      <c r="R150" s="395"/>
    </row>
    <row r="151" spans="1:26" ht="10.5" customHeight="1" x14ac:dyDescent="0.2">
      <c r="E151" s="654"/>
    </row>
    <row r="152" spans="1:26" ht="10.5" customHeight="1" x14ac:dyDescent="0.2">
      <c r="E152" s="654"/>
    </row>
    <row r="153" spans="1:26" ht="10.5" customHeight="1" x14ac:dyDescent="0.2">
      <c r="E153" s="654"/>
    </row>
    <row r="154" spans="1:26" ht="10.5" customHeight="1" x14ac:dyDescent="0.2">
      <c r="E154" s="654"/>
    </row>
    <row r="155" spans="1:26" ht="10.5" customHeight="1" x14ac:dyDescent="0.2">
      <c r="E155" s="654"/>
    </row>
    <row r="156" spans="1:26" ht="10.5" customHeight="1" x14ac:dyDescent="0.2">
      <c r="E156" s="654"/>
    </row>
    <row r="157" spans="1:26" ht="10.5" customHeight="1" x14ac:dyDescent="0.2">
      <c r="E157" s="654"/>
    </row>
    <row r="161" spans="5:5" ht="10.5" customHeight="1" x14ac:dyDescent="0.2">
      <c r="E161" s="654"/>
    </row>
    <row r="162" spans="5:5" ht="10.5" customHeight="1" x14ac:dyDescent="0.2">
      <c r="E162" s="654"/>
    </row>
    <row r="163" spans="5:5" ht="10.5" customHeight="1" x14ac:dyDescent="0.2">
      <c r="E163" s="654"/>
    </row>
    <row r="164" spans="5:5" ht="10.5" customHeight="1" x14ac:dyDescent="0.2">
      <c r="E164" s="654"/>
    </row>
    <row r="165" spans="5:5" ht="10.5" customHeight="1" x14ac:dyDescent="0.2">
      <c r="E165" s="654"/>
    </row>
    <row r="166" spans="5:5" ht="10.5" customHeight="1" x14ac:dyDescent="0.2">
      <c r="E166" s="654"/>
    </row>
  </sheetData>
  <phoneticPr fontId="10" type="noConversion"/>
  <pageMargins left="0.75" right="0.75" top="1" bottom="1" header="0.5" footer="0.5"/>
  <pageSetup scale="55" orientation="landscape"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FL65564"/>
  <sheetViews>
    <sheetView showGridLines="0" topLeftCell="A108" zoomScale="85" zoomScaleNormal="85" workbookViewId="0">
      <pane ySplit="6990" activePane="bottomLeft"/>
      <selection activeCell="DQ166" sqref="DQ166"/>
      <selection pane="bottomLeft" activeCell="A2" sqref="A2"/>
    </sheetView>
  </sheetViews>
  <sheetFormatPr defaultRowHeight="12.75" outlineLevelRow="3" outlineLevelCol="1" x14ac:dyDescent="0.2"/>
  <cols>
    <col min="1" max="1" width="8.42578125" style="185" customWidth="1"/>
    <col min="2" max="2" width="1.5703125" style="185" customWidth="1"/>
    <col min="3" max="3" width="1.5703125" style="185" hidden="1" customWidth="1" outlineLevel="1"/>
    <col min="4" max="4" width="7.85546875" style="185" hidden="1" customWidth="1" outlineLevel="1"/>
    <col min="5" max="5" width="7.140625" style="185" hidden="1" customWidth="1" outlineLevel="1"/>
    <col min="6" max="6" width="6.85546875" style="185" hidden="1" customWidth="1" outlineLevel="1"/>
    <col min="7" max="7" width="1.5703125" style="185" hidden="1" customWidth="1" outlineLevel="1"/>
    <col min="8" max="8" width="7.85546875" style="185" hidden="1" customWidth="1" outlineLevel="1"/>
    <col min="9" max="9" width="7.140625" style="185" hidden="1" customWidth="1" outlineLevel="1"/>
    <col min="10" max="10" width="6.85546875" style="185" hidden="1" customWidth="1" outlineLevel="1"/>
    <col min="11" max="11" width="1.5703125" style="185" hidden="1" customWidth="1" outlineLevel="1"/>
    <col min="12" max="12" width="7.85546875" style="185" hidden="1" customWidth="1" outlineLevel="1"/>
    <col min="13" max="13" width="7.140625" style="185" hidden="1" customWidth="1" outlineLevel="1"/>
    <col min="14" max="14" width="6.85546875" style="185" hidden="1" customWidth="1" outlineLevel="1"/>
    <col min="15" max="15" width="1.5703125" style="185" hidden="1" customWidth="1" outlineLevel="1"/>
    <col min="16" max="16" width="7.85546875" style="185" hidden="1" customWidth="1" outlineLevel="1"/>
    <col min="17" max="17" width="7.140625" style="185" hidden="1" customWidth="1" outlineLevel="1"/>
    <col min="18" max="18" width="6.85546875" style="185" hidden="1" customWidth="1" outlineLevel="1"/>
    <col min="19" max="19" width="1.5703125" style="185" hidden="1" customWidth="1" outlineLevel="1"/>
    <col min="20" max="20" width="7.85546875" style="185" hidden="1" customWidth="1" outlineLevel="1"/>
    <col min="21" max="21" width="7.140625" style="185" hidden="1" customWidth="1" outlineLevel="1"/>
    <col min="22" max="22" width="6.85546875" style="185" hidden="1" customWidth="1" outlineLevel="1"/>
    <col min="23" max="23" width="1.5703125" style="185" hidden="1" customWidth="1" outlineLevel="1"/>
    <col min="24" max="24" width="7.85546875" style="185" hidden="1" customWidth="1" outlineLevel="1"/>
    <col min="25" max="25" width="7.140625" style="185" hidden="1" customWidth="1" outlineLevel="1"/>
    <col min="26" max="26" width="6.85546875" style="185" hidden="1" customWidth="1" outlineLevel="1"/>
    <col min="27" max="27" width="1.5703125" style="185" hidden="1" customWidth="1" outlineLevel="1"/>
    <col min="28" max="28" width="10.28515625" style="185" hidden="1" customWidth="1" outlineLevel="1"/>
    <col min="29" max="29" width="7.140625" style="185" hidden="1" customWidth="1" outlineLevel="1"/>
    <col min="30" max="30" width="6.85546875" style="185" hidden="1" customWidth="1" outlineLevel="1"/>
    <col min="31" max="31" width="1.5703125" style="185" hidden="1" customWidth="1" outlineLevel="1"/>
    <col min="32" max="32" width="7.85546875" style="185" hidden="1" customWidth="1" outlineLevel="1"/>
    <col min="33" max="33" width="8.5703125" style="185" hidden="1" customWidth="1" outlineLevel="1"/>
    <col min="34" max="34" width="6.85546875" style="185" hidden="1" customWidth="1" outlineLevel="1"/>
    <col min="35" max="35" width="1.5703125" style="185" hidden="1" customWidth="1" outlineLevel="1"/>
    <col min="36" max="36" width="7.85546875" style="185" hidden="1" customWidth="1" outlineLevel="1"/>
    <col min="37" max="37" width="7.140625" style="185" hidden="1" customWidth="1" outlineLevel="1"/>
    <col min="38" max="38" width="6.85546875" style="185" hidden="1" customWidth="1" outlineLevel="1"/>
    <col min="39" max="39" width="1.5703125" style="185" hidden="1" customWidth="1" outlineLevel="1"/>
    <col min="40" max="40" width="7.85546875" style="185" hidden="1" customWidth="1" outlineLevel="1"/>
    <col min="41" max="41" width="7.140625" style="185" hidden="1" customWidth="1" outlineLevel="1"/>
    <col min="42" max="42" width="6.85546875" style="185" hidden="1" customWidth="1" outlineLevel="1"/>
    <col min="43" max="43" width="1.5703125" style="185" hidden="1" customWidth="1" outlineLevel="1"/>
    <col min="44" max="44" width="7.85546875" style="185" hidden="1" customWidth="1" outlineLevel="1"/>
    <col min="45" max="45" width="7.140625" style="185" hidden="1" customWidth="1" outlineLevel="1"/>
    <col min="46" max="46" width="6.85546875" style="185" hidden="1" customWidth="1" outlineLevel="1"/>
    <col min="47" max="47" width="1.5703125" style="185" hidden="1" customWidth="1" outlineLevel="1"/>
    <col min="48" max="48" width="7.85546875" style="185" hidden="1" customWidth="1" outlineLevel="1"/>
    <col min="49" max="49" width="7.140625" style="185" hidden="1" customWidth="1" outlineLevel="1"/>
    <col min="50" max="50" width="6.85546875" style="185" hidden="1" customWidth="1" outlineLevel="1"/>
    <col min="51" max="51" width="1.5703125" style="185" hidden="1" customWidth="1" outlineLevel="1"/>
    <col min="52" max="52" width="8.28515625" style="185" hidden="1" customWidth="1" outlineLevel="1" collapsed="1"/>
    <col min="53" max="53" width="7.140625" style="185" hidden="1" customWidth="1" outlineLevel="1"/>
    <col min="54" max="54" width="6.42578125" style="185" hidden="1" customWidth="1" outlineLevel="1"/>
    <col min="55" max="55" width="1.5703125" style="185" hidden="1" customWidth="1" outlineLevel="1"/>
    <col min="56" max="56" width="8.28515625" style="185" hidden="1" customWidth="1" outlineLevel="1"/>
    <col min="57" max="57" width="7.140625" style="185" hidden="1" customWidth="1" outlineLevel="1"/>
    <col min="58" max="58" width="6.85546875" style="185" hidden="1" customWidth="1" outlineLevel="1"/>
    <col min="59" max="59" width="1.5703125" style="185" hidden="1" customWidth="1" outlineLevel="1"/>
    <col min="60" max="60" width="8.28515625" style="185" hidden="1" customWidth="1" outlineLevel="1"/>
    <col min="61" max="61" width="7.140625" style="185" hidden="1" customWidth="1" outlineLevel="1"/>
    <col min="62" max="62" width="6.85546875" style="185" hidden="1" customWidth="1" outlineLevel="1"/>
    <col min="63" max="63" width="2" style="185" hidden="1" customWidth="1" outlineLevel="1"/>
    <col min="64" max="64" width="8.28515625" style="185" hidden="1" customWidth="1" outlineLevel="1"/>
    <col min="65" max="65" width="7.140625" style="185" hidden="1" customWidth="1" outlineLevel="1"/>
    <col min="66" max="66" width="6.85546875" style="185" hidden="1" customWidth="1" outlineLevel="1"/>
    <col min="67" max="67" width="2" style="185" hidden="1" customWidth="1" outlineLevel="1"/>
    <col min="68" max="68" width="8.28515625" style="185" hidden="1" customWidth="1" outlineLevel="1"/>
    <col min="69" max="69" width="7.140625" style="185" hidden="1" customWidth="1" outlineLevel="1"/>
    <col min="70" max="70" width="6.85546875" style="185" hidden="1" customWidth="1" outlineLevel="1"/>
    <col min="71" max="71" width="2" style="185" hidden="1" customWidth="1" outlineLevel="1"/>
    <col min="72" max="72" width="8" style="185" hidden="1" customWidth="1" outlineLevel="1" collapsed="1"/>
    <col min="73" max="73" width="7.140625" style="185" hidden="1" customWidth="1" outlineLevel="1"/>
    <col min="74" max="74" width="6.85546875" style="185" hidden="1" customWidth="1" outlineLevel="1"/>
    <col min="75" max="75" width="2" style="185" hidden="1" customWidth="1" outlineLevel="1"/>
    <col min="76" max="76" width="8.28515625" style="185" hidden="1" customWidth="1" outlineLevel="1"/>
    <col min="77" max="77" width="7.140625" style="185" hidden="1" customWidth="1" outlineLevel="1"/>
    <col min="78" max="78" width="7.85546875" style="185" hidden="1" customWidth="1" outlineLevel="1"/>
    <col min="79" max="79" width="2" style="185" hidden="1" customWidth="1" outlineLevel="1"/>
    <col min="80" max="80" width="8.28515625" style="185" hidden="1" customWidth="1" outlineLevel="1"/>
    <col min="81" max="81" width="7.140625" style="185" hidden="1" customWidth="1" outlineLevel="1"/>
    <col min="82" max="82" width="6.85546875" style="185" hidden="1" customWidth="1" outlineLevel="1"/>
    <col min="83" max="83" width="2" style="185" hidden="1" customWidth="1" outlineLevel="1"/>
    <col min="84" max="84" width="8.28515625" style="185" hidden="1" customWidth="1" outlineLevel="1"/>
    <col min="85" max="85" width="7.140625" style="185" hidden="1" customWidth="1" outlineLevel="1"/>
    <col min="86" max="86" width="6.85546875" style="185" hidden="1" customWidth="1" outlineLevel="1"/>
    <col min="87" max="87" width="2" style="185" hidden="1" customWidth="1" outlineLevel="1"/>
    <col min="88" max="88" width="9.85546875" style="185" customWidth="1" collapsed="1"/>
    <col min="89" max="89" width="7.140625" style="185" customWidth="1"/>
    <col min="90" max="90" width="7.5703125" style="185" customWidth="1"/>
    <col min="91" max="91" width="2" style="185" customWidth="1"/>
    <col min="92" max="92" width="8.7109375" style="185" customWidth="1"/>
    <col min="93" max="93" width="7.140625" style="185" customWidth="1"/>
    <col min="94" max="94" width="9.140625" style="185"/>
    <col min="95" max="95" width="2" style="185" customWidth="1"/>
    <col min="96" max="96" width="8" style="185" customWidth="1"/>
    <col min="97" max="97" width="8.7109375" style="185" customWidth="1"/>
    <col min="98" max="98" width="8.42578125" style="185" customWidth="1"/>
    <col min="99" max="99" width="2.28515625" style="185" customWidth="1"/>
    <col min="100" max="100" width="8.140625" style="185" customWidth="1"/>
    <col min="101" max="101" width="8.42578125" style="185" customWidth="1"/>
    <col min="102" max="102" width="8.140625" style="185" customWidth="1"/>
    <col min="103" max="103" width="6.7109375" style="185" customWidth="1"/>
    <col min="104" max="104" width="8" style="185" customWidth="1"/>
    <col min="105" max="105" width="8.7109375" style="185" customWidth="1"/>
    <col min="106" max="106" width="8.5703125" style="185" customWidth="1"/>
    <col min="107" max="107" width="9.7109375" style="185" customWidth="1"/>
    <col min="108" max="108" width="8.42578125" style="185" customWidth="1"/>
    <col min="109" max="109" width="9" style="185" customWidth="1"/>
    <col min="110" max="110" width="8.7109375" style="185" customWidth="1"/>
    <col min="111" max="111" width="8.140625" style="185" customWidth="1"/>
    <col min="112" max="112" width="8.5703125" style="185" customWidth="1"/>
    <col min="113" max="113" width="8.85546875" style="185" customWidth="1"/>
    <col min="114" max="115" width="9.42578125" style="185" customWidth="1"/>
    <col min="116" max="116" width="10.140625" style="185" customWidth="1"/>
    <col min="117" max="117" width="8" style="185" customWidth="1"/>
    <col min="118" max="118" width="10.7109375" style="185" bestFit="1" customWidth="1"/>
    <col min="119" max="119" width="9.42578125" style="185" customWidth="1"/>
    <col min="120" max="120" width="12.140625" style="12" bestFit="1" customWidth="1"/>
    <col min="121" max="121" width="10.28515625" style="12" bestFit="1" customWidth="1"/>
    <col min="122" max="122" width="10.7109375" style="12" bestFit="1" customWidth="1"/>
    <col min="123" max="123" width="13" style="185" customWidth="1"/>
    <col min="124" max="124" width="9.85546875" style="185" customWidth="1"/>
    <col min="125" max="125" width="10" style="185" customWidth="1"/>
    <col min="126" max="126" width="8.140625" style="185" customWidth="1"/>
    <col min="127" max="128" width="8.140625" style="185" hidden="1" customWidth="1" outlineLevel="1"/>
    <col min="129" max="129" width="9.7109375" style="185" hidden="1" customWidth="1" outlineLevel="1"/>
    <col min="130" max="130" width="11.85546875" style="185" hidden="1" customWidth="1" outlineLevel="1"/>
    <col min="131" max="131" width="19.42578125" style="185" hidden="1" customWidth="1" outlineLevel="1"/>
    <col min="132" max="132" width="11" style="185" hidden="1" customWidth="1" outlineLevel="1"/>
    <col min="133" max="135" width="11.42578125" style="185" hidden="1" customWidth="1" outlineLevel="1"/>
    <col min="136" max="136" width="9.140625" style="185" hidden="1" customWidth="1" outlineLevel="1"/>
    <col min="137" max="137" width="7" style="185" hidden="1" customWidth="1" outlineLevel="1"/>
    <col min="138" max="138" width="11" style="185" hidden="1" customWidth="1" outlineLevel="1"/>
    <col min="139" max="139" width="11" style="600" hidden="1" customWidth="1" outlineLevel="1"/>
    <col min="140" max="140" width="11.140625" style="185" hidden="1" customWidth="1" outlineLevel="1"/>
    <col min="141" max="145" width="9.140625" style="185" hidden="1" customWidth="1" outlineLevel="1"/>
    <col min="146" max="149" width="0" style="185" hidden="1" customWidth="1" outlineLevel="1"/>
    <col min="150" max="150" width="9.140625" style="185" collapsed="1"/>
    <col min="151" max="16384" width="9.140625" style="185"/>
  </cols>
  <sheetData>
    <row r="1" spans="1:139" x14ac:dyDescent="0.2">
      <c r="A1" s="281" t="s">
        <v>285</v>
      </c>
      <c r="DY1" s="185" t="s">
        <v>215</v>
      </c>
    </row>
    <row r="2" spans="1:139" x14ac:dyDescent="0.2">
      <c r="A2" s="329" t="s">
        <v>702</v>
      </c>
      <c r="B2" s="284"/>
      <c r="C2" s="284"/>
      <c r="D2" s="284"/>
      <c r="E2" s="284"/>
      <c r="F2" s="284"/>
      <c r="G2" s="284"/>
      <c r="H2" s="284"/>
      <c r="I2" s="284"/>
      <c r="J2" s="284"/>
      <c r="K2" s="284"/>
      <c r="L2" s="284"/>
      <c r="M2" s="284"/>
      <c r="N2" s="284"/>
      <c r="O2" s="284"/>
      <c r="P2" s="284"/>
      <c r="Q2" s="284"/>
      <c r="R2" s="284"/>
      <c r="S2" s="284"/>
      <c r="T2" s="284"/>
      <c r="U2" s="284"/>
      <c r="V2" s="284"/>
      <c r="W2" s="284"/>
      <c r="X2" s="284"/>
      <c r="Y2" s="284"/>
      <c r="Z2" s="284"/>
      <c r="AA2" s="284"/>
      <c r="AB2" s="284"/>
      <c r="AC2" s="284"/>
      <c r="AD2" s="284"/>
      <c r="AE2" s="284"/>
      <c r="AF2" s="284"/>
      <c r="AG2" s="284"/>
      <c r="AH2" s="284"/>
      <c r="AI2" s="284"/>
      <c r="AJ2" s="284"/>
      <c r="AK2" s="284"/>
      <c r="AL2" s="284"/>
      <c r="AM2" s="284"/>
      <c r="AN2" s="284"/>
      <c r="AO2" s="284"/>
      <c r="AP2" s="284"/>
      <c r="AQ2" s="284"/>
      <c r="AR2" s="284"/>
      <c r="AS2" s="284"/>
      <c r="AT2" s="284"/>
      <c r="AU2" s="284"/>
      <c r="AV2" s="284"/>
      <c r="AW2" s="284"/>
      <c r="AX2" s="284"/>
      <c r="AY2" s="284"/>
      <c r="AZ2" s="284"/>
      <c r="BA2" s="284"/>
      <c r="BB2" s="284"/>
      <c r="BC2" s="284"/>
      <c r="BD2" s="284"/>
      <c r="BE2" s="284"/>
      <c r="BF2" s="284"/>
      <c r="BG2" s="284"/>
      <c r="BH2" s="284"/>
      <c r="BI2" s="284"/>
      <c r="BJ2" s="284"/>
      <c r="BK2" s="284"/>
      <c r="BL2" s="284"/>
      <c r="BM2" s="284"/>
      <c r="BN2" s="284"/>
      <c r="BO2" s="284"/>
      <c r="BP2" s="284"/>
      <c r="BQ2" s="284"/>
      <c r="BR2" s="284"/>
      <c r="BS2" s="284"/>
      <c r="BT2" s="284"/>
      <c r="BU2" s="284"/>
      <c r="BV2" s="284"/>
      <c r="BW2" s="284"/>
      <c r="BX2" s="284"/>
      <c r="BY2" s="284"/>
      <c r="BZ2" s="284"/>
      <c r="CA2" s="284"/>
      <c r="CB2" s="284"/>
      <c r="CC2" s="284"/>
      <c r="CD2" s="284"/>
      <c r="CE2" s="284"/>
      <c r="CF2" s="284"/>
      <c r="CG2" s="284"/>
      <c r="CH2" s="284"/>
      <c r="CI2" s="284"/>
      <c r="CJ2" s="284"/>
      <c r="CK2" s="284"/>
      <c r="CL2" s="284"/>
      <c r="CM2" s="284"/>
      <c r="CN2" s="284"/>
      <c r="CO2" s="284"/>
      <c r="CP2" s="284"/>
      <c r="CQ2" s="284"/>
      <c r="CR2" s="284"/>
      <c r="CS2" s="284"/>
      <c r="CT2" s="284"/>
      <c r="CU2" s="284"/>
      <c r="CV2" s="284"/>
      <c r="CW2" s="284"/>
      <c r="CX2" s="284"/>
      <c r="CY2" s="284"/>
      <c r="CZ2" s="284"/>
      <c r="DA2" s="284"/>
      <c r="DB2" s="284"/>
      <c r="DD2" s="284"/>
      <c r="DE2" s="284"/>
      <c r="DF2" s="284"/>
      <c r="DH2" s="284"/>
      <c r="DI2" s="284"/>
      <c r="DJ2" s="284"/>
      <c r="DK2" s="261"/>
      <c r="DL2" s="284"/>
      <c r="DM2" s="284"/>
      <c r="DN2" s="284"/>
      <c r="DO2" s="261"/>
      <c r="DP2" s="1122"/>
      <c r="DQ2" s="1122"/>
      <c r="DR2" s="1122"/>
      <c r="DY2" s="185" t="s">
        <v>215</v>
      </c>
    </row>
    <row r="3" spans="1:139" x14ac:dyDescent="0.2">
      <c r="A3" s="285" t="s">
        <v>302</v>
      </c>
      <c r="CT3" s="619"/>
      <c r="CV3" s="504"/>
      <c r="CW3" s="620"/>
      <c r="CX3" s="619"/>
      <c r="CY3" s="290"/>
      <c r="CZ3" s="504"/>
      <c r="DA3" s="620"/>
      <c r="DB3" s="619"/>
      <c r="DC3" s="290"/>
      <c r="DD3" s="504"/>
      <c r="DE3" s="620"/>
      <c r="DF3" s="619"/>
      <c r="DG3" s="290"/>
      <c r="DH3" s="504"/>
      <c r="DI3" s="620"/>
      <c r="DJ3" s="619"/>
      <c r="DK3" s="619"/>
      <c r="DL3" s="504"/>
      <c r="DM3" s="620"/>
      <c r="DN3" s="619"/>
      <c r="DO3" s="619"/>
      <c r="DP3" s="1123"/>
      <c r="DQ3" s="1124"/>
      <c r="DR3" s="1125"/>
      <c r="DS3" s="290"/>
      <c r="DT3" s="290"/>
      <c r="DU3" s="290"/>
      <c r="DV3" s="290"/>
      <c r="DW3" s="290"/>
      <c r="DX3" s="290"/>
      <c r="DY3" s="185" t="s">
        <v>215</v>
      </c>
    </row>
    <row r="4" spans="1:139" ht="12.75" customHeight="1" x14ac:dyDescent="0.2">
      <c r="A4" s="285" t="s">
        <v>88</v>
      </c>
      <c r="CR4" s="621"/>
      <c r="CS4" s="621"/>
      <c r="CT4" s="619"/>
      <c r="CV4" s="602"/>
      <c r="CW4" s="621"/>
      <c r="CX4" s="619"/>
      <c r="CY4" s="290"/>
      <c r="CZ4" s="602"/>
      <c r="DA4" s="621"/>
      <c r="DB4" s="619"/>
      <c r="DC4" s="290"/>
      <c r="DD4" s="602"/>
      <c r="DE4" s="621"/>
      <c r="DF4" s="619"/>
      <c r="DG4" s="290"/>
      <c r="DH4" s="602"/>
      <c r="DI4" s="621"/>
      <c r="DJ4" s="619"/>
      <c r="DK4" s="619"/>
      <c r="DL4" s="602"/>
      <c r="DM4" s="621"/>
      <c r="DN4" s="619"/>
      <c r="DO4" s="619"/>
      <c r="DP4" s="1126"/>
      <c r="DQ4" s="1127"/>
      <c r="DR4" s="1125"/>
      <c r="DS4" s="290"/>
      <c r="DT4" s="290"/>
      <c r="DU4" s="290"/>
      <c r="DV4" s="290"/>
      <c r="DW4" s="290"/>
      <c r="DX4" s="290"/>
      <c r="DY4" s="185" t="s">
        <v>215</v>
      </c>
    </row>
    <row r="5" spans="1:139" x14ac:dyDescent="0.2">
      <c r="B5" s="525"/>
      <c r="C5" s="525"/>
      <c r="D5" s="525"/>
      <c r="E5" s="525"/>
      <c r="F5" s="525"/>
      <c r="G5" s="525"/>
      <c r="H5" s="525"/>
      <c r="I5" s="525"/>
      <c r="J5" s="525"/>
      <c r="K5" s="525"/>
      <c r="L5" s="525"/>
      <c r="M5" s="525"/>
      <c r="N5" s="525"/>
      <c r="O5" s="525"/>
      <c r="P5" s="525"/>
      <c r="Q5" s="525"/>
      <c r="R5" s="525"/>
      <c r="S5" s="525"/>
      <c r="T5" s="525"/>
      <c r="U5" s="525"/>
      <c r="V5" s="525"/>
      <c r="W5" s="525"/>
      <c r="X5" s="525"/>
      <c r="Y5" s="525"/>
      <c r="Z5" s="525"/>
      <c r="AA5" s="525"/>
      <c r="AB5" s="525"/>
      <c r="AC5" s="525"/>
      <c r="AD5" s="525"/>
      <c r="AE5" s="525"/>
      <c r="AF5" s="525"/>
      <c r="AG5" s="525"/>
      <c r="AH5" s="525"/>
      <c r="AI5" s="525"/>
      <c r="AJ5" s="525"/>
      <c r="AK5" s="525"/>
      <c r="AL5" s="525"/>
      <c r="AM5" s="525"/>
      <c r="AN5" s="525"/>
      <c r="AO5" s="525"/>
      <c r="AP5" s="525"/>
      <c r="AQ5" s="525"/>
      <c r="AR5" s="525"/>
      <c r="AS5" s="525"/>
      <c r="AT5" s="525"/>
      <c r="AU5" s="525"/>
      <c r="AV5" s="525"/>
      <c r="AW5" s="525"/>
      <c r="AX5" s="525"/>
      <c r="AY5" s="525"/>
      <c r="AZ5" s="525"/>
      <c r="BA5" s="525"/>
      <c r="BB5" s="525"/>
      <c r="BC5" s="525"/>
      <c r="BD5" s="525"/>
      <c r="BE5" s="525"/>
      <c r="BF5" s="525"/>
      <c r="BG5" s="525"/>
      <c r="BH5" s="525"/>
      <c r="BI5" s="525"/>
      <c r="BJ5" s="525"/>
      <c r="BK5" s="525"/>
      <c r="BL5" s="525"/>
      <c r="BM5" s="525"/>
      <c r="BN5" s="525"/>
      <c r="BO5" s="525"/>
      <c r="BP5" s="525"/>
      <c r="BQ5" s="525"/>
      <c r="BR5" s="525"/>
      <c r="BS5" s="525"/>
      <c r="BT5" s="525"/>
      <c r="BU5" s="525"/>
      <c r="BV5" s="525"/>
      <c r="CR5" s="286"/>
      <c r="CS5" s="621"/>
      <c r="CT5" s="619"/>
      <c r="CV5" s="286"/>
      <c r="CW5" s="621"/>
      <c r="CX5" s="619"/>
      <c r="CY5" s="290"/>
      <c r="CZ5" s="286"/>
      <c r="DA5" s="621"/>
      <c r="DB5" s="619"/>
      <c r="DC5" s="290"/>
      <c r="DD5" s="286"/>
      <c r="DE5" s="621"/>
      <c r="DF5" s="619"/>
      <c r="DG5" s="290"/>
      <c r="DH5" s="286"/>
      <c r="DI5" s="621"/>
      <c r="DJ5" s="619"/>
      <c r="DK5" s="619"/>
      <c r="DL5" s="286"/>
      <c r="DM5" s="621"/>
      <c r="DN5" s="619"/>
      <c r="DO5" s="619"/>
      <c r="DP5" s="1128"/>
      <c r="DQ5" s="1127"/>
      <c r="DR5" s="1125"/>
      <c r="DS5" s="290"/>
      <c r="DT5" s="290"/>
      <c r="DU5" s="290"/>
      <c r="DV5" s="290"/>
      <c r="DW5" s="290"/>
      <c r="DX5" s="290"/>
      <c r="DY5" s="185" t="s">
        <v>215</v>
      </c>
    </row>
    <row r="6" spans="1:139" x14ac:dyDescent="0.2">
      <c r="D6" s="603">
        <v>1990</v>
      </c>
      <c r="E6" s="541"/>
      <c r="F6" s="541"/>
      <c r="H6" s="603">
        <f>L6-1</f>
        <v>1991</v>
      </c>
      <c r="I6" s="541"/>
      <c r="J6" s="541"/>
      <c r="L6" s="603">
        <v>1992</v>
      </c>
      <c r="M6" s="541"/>
      <c r="N6" s="541"/>
      <c r="P6" s="603">
        <v>1993</v>
      </c>
      <c r="Q6" s="541"/>
      <c r="R6" s="541"/>
      <c r="T6" s="603">
        <v>1994</v>
      </c>
      <c r="U6" s="541"/>
      <c r="V6" s="541"/>
      <c r="X6" s="603" t="s">
        <v>292</v>
      </c>
      <c r="Y6" s="541"/>
      <c r="Z6" s="541"/>
      <c r="AB6" s="603">
        <v>1995</v>
      </c>
      <c r="AC6" s="541"/>
      <c r="AD6" s="541"/>
      <c r="AF6" s="603">
        <v>1996</v>
      </c>
      <c r="AG6" s="541"/>
      <c r="AH6" s="541"/>
      <c r="AJ6" s="603">
        <f>AF6+1</f>
        <v>1997</v>
      </c>
      <c r="AK6" s="541"/>
      <c r="AL6" s="541"/>
      <c r="AN6" s="603">
        <f>AJ6+1</f>
        <v>1998</v>
      </c>
      <c r="AO6" s="541"/>
      <c r="AP6" s="541"/>
      <c r="AR6" s="603">
        <f>AN6+1</f>
        <v>1999</v>
      </c>
      <c r="AS6" s="541"/>
      <c r="AT6" s="541"/>
      <c r="AV6" s="603">
        <f>AR6+1</f>
        <v>2000</v>
      </c>
      <c r="AW6" s="541"/>
      <c r="AX6" s="541"/>
      <c r="AZ6" s="603">
        <f>AV6+1</f>
        <v>2001</v>
      </c>
      <c r="BA6" s="541"/>
      <c r="BB6" s="541"/>
      <c r="BD6" s="603">
        <f>AZ6+1</f>
        <v>2002</v>
      </c>
      <c r="BE6" s="541"/>
      <c r="BF6" s="541"/>
      <c r="BH6" s="603">
        <f>BD6+1</f>
        <v>2003</v>
      </c>
      <c r="BI6" s="541"/>
      <c r="BJ6" s="541"/>
      <c r="BL6" s="603">
        <v>2004</v>
      </c>
      <c r="BM6" s="541"/>
      <c r="BN6" s="541"/>
      <c r="BP6" s="603">
        <f>BL6+1</f>
        <v>2005</v>
      </c>
      <c r="BQ6" s="541"/>
      <c r="BR6" s="541"/>
      <c r="BT6" s="603">
        <f>BP6+1</f>
        <v>2006</v>
      </c>
      <c r="BU6" s="541"/>
      <c r="BV6" s="541"/>
      <c r="BX6" s="603">
        <f>BT6+1</f>
        <v>2007</v>
      </c>
      <c r="BY6" s="541"/>
      <c r="BZ6" s="541"/>
      <c r="CB6" s="603">
        <f>BX6+1</f>
        <v>2008</v>
      </c>
      <c r="CC6" s="541"/>
      <c r="CD6" s="541"/>
      <c r="CF6" s="603">
        <f>CB6+1</f>
        <v>2009</v>
      </c>
      <c r="CG6" s="541"/>
      <c r="CH6" s="541"/>
      <c r="CJ6" s="603">
        <f>CF6+1</f>
        <v>2010</v>
      </c>
      <c r="CK6" s="541"/>
      <c r="CL6" s="541"/>
      <c r="CN6" s="603">
        <f>CJ6+1</f>
        <v>2011</v>
      </c>
      <c r="CO6" s="541"/>
      <c r="CP6" s="541"/>
      <c r="CR6" s="603">
        <v>2012</v>
      </c>
      <c r="CS6" s="622"/>
      <c r="CT6" s="622"/>
      <c r="CV6" s="603">
        <v>2013</v>
      </c>
      <c r="CW6" s="622"/>
      <c r="CX6" s="622"/>
      <c r="CY6" s="290"/>
      <c r="CZ6" s="603">
        <v>2014</v>
      </c>
      <c r="DA6" s="622"/>
      <c r="DB6" s="622"/>
      <c r="DC6" s="290"/>
      <c r="DD6" s="603">
        <v>2015</v>
      </c>
      <c r="DE6" s="622"/>
      <c r="DF6" s="622"/>
      <c r="DG6" s="290"/>
      <c r="DH6" s="1511">
        <v>2016</v>
      </c>
      <c r="DI6" s="1511"/>
      <c r="DJ6" s="1511"/>
      <c r="DK6" s="623"/>
      <c r="DL6" s="1511">
        <v>2017</v>
      </c>
      <c r="DM6" s="1511"/>
      <c r="DN6" s="1511"/>
      <c r="DO6" s="1433"/>
      <c r="DP6" s="1514">
        <v>2018</v>
      </c>
      <c r="DQ6" s="1514"/>
      <c r="DR6" s="1514"/>
      <c r="DS6" s="290"/>
      <c r="DT6" s="899" t="s">
        <v>650</v>
      </c>
      <c r="DU6" s="900"/>
      <c r="DV6" s="290"/>
      <c r="DW6" s="290"/>
      <c r="DX6" s="290"/>
      <c r="DY6" s="185" t="s">
        <v>215</v>
      </c>
    </row>
    <row r="7" spans="1:139" x14ac:dyDescent="0.2">
      <c r="AF7" s="624" t="s">
        <v>294</v>
      </c>
      <c r="AJ7" s="625" t="s">
        <v>295</v>
      </c>
      <c r="AN7" s="625" t="s">
        <v>295</v>
      </c>
      <c r="AR7" s="625" t="s">
        <v>295</v>
      </c>
      <c r="CY7" s="290"/>
      <c r="DC7" s="290"/>
      <c r="DG7" s="290"/>
      <c r="DS7" s="290"/>
      <c r="DT7" s="886"/>
      <c r="DU7" s="887"/>
      <c r="DV7" s="290"/>
      <c r="DW7" s="290"/>
      <c r="DX7" s="290"/>
    </row>
    <row r="8" spans="1:139" s="627" customFormat="1" x14ac:dyDescent="0.2">
      <c r="A8" s="626"/>
      <c r="D8" s="628"/>
      <c r="H8" s="628"/>
      <c r="L8" s="628"/>
      <c r="P8" s="628"/>
      <c r="T8" s="628"/>
      <c r="X8" s="628"/>
      <c r="AB8" s="628"/>
      <c r="AF8" s="628"/>
      <c r="AJ8" s="629"/>
      <c r="AN8" s="629"/>
      <c r="AR8" s="629"/>
      <c r="AV8" s="629"/>
      <c r="AZ8" s="629"/>
      <c r="BD8" s="629"/>
      <c r="BH8" s="629"/>
      <c r="BL8" s="629"/>
      <c r="BP8" s="629"/>
      <c r="BT8" s="629"/>
      <c r="BX8" s="629"/>
      <c r="CB8" s="629"/>
      <c r="CF8" s="629"/>
      <c r="CJ8" s="629"/>
      <c r="CN8" s="1510" t="s">
        <v>259</v>
      </c>
      <c r="CO8" s="1510"/>
      <c r="CP8" s="1510"/>
      <c r="CQ8" s="1510"/>
      <c r="CR8" s="1510"/>
      <c r="CS8" s="1510"/>
      <c r="CT8" s="1510"/>
      <c r="CU8" s="1510"/>
      <c r="CV8" s="1510"/>
      <c r="CW8" s="1510"/>
      <c r="CX8" s="1510"/>
      <c r="CY8" s="630"/>
      <c r="CZ8" s="631" t="str">
        <f>CN8</f>
        <v>1. Retail Sales (Year-to-Year % Increase/Comps)</v>
      </c>
      <c r="DA8" s="631"/>
      <c r="DB8" s="631"/>
      <c r="DC8" s="631"/>
      <c r="DD8" s="631"/>
      <c r="DE8" s="631"/>
      <c r="DF8" s="631"/>
      <c r="DG8" s="631"/>
      <c r="DH8" s="631"/>
      <c r="DI8" s="631"/>
      <c r="DJ8" s="631"/>
      <c r="DK8" s="632"/>
      <c r="DL8" s="631"/>
      <c r="DM8" s="631"/>
      <c r="DN8" s="631"/>
      <c r="DO8" s="1087"/>
      <c r="DP8" s="1129"/>
      <c r="DQ8" s="1129"/>
      <c r="DR8" s="1129"/>
      <c r="DT8" s="888"/>
      <c r="DU8" s="889"/>
      <c r="EI8" s="600"/>
    </row>
    <row r="9" spans="1:139" x14ac:dyDescent="0.2">
      <c r="DT9" s="890" t="s">
        <v>651</v>
      </c>
      <c r="DU9" s="891" t="s">
        <v>652</v>
      </c>
    </row>
    <row r="10" spans="1:139" x14ac:dyDescent="0.2">
      <c r="A10" s="604" t="s">
        <v>79</v>
      </c>
      <c r="D10" s="633">
        <v>1590.46</v>
      </c>
      <c r="E10" s="565"/>
      <c r="F10" s="566"/>
      <c r="H10" s="633">
        <v>1593.4190000000001</v>
      </c>
      <c r="I10" s="565">
        <f>(H10/D10-1)*100</f>
        <v>0.186046804069262</v>
      </c>
      <c r="J10" s="634">
        <v>2.9</v>
      </c>
      <c r="L10" s="633">
        <v>1571.7260000000001</v>
      </c>
      <c r="M10" s="565">
        <f>(L10/H10-1)*100</f>
        <v>-1.3614121583839567</v>
      </c>
      <c r="N10" s="634">
        <v>4.4000000000000004</v>
      </c>
      <c r="P10" s="633">
        <v>1590.259</v>
      </c>
      <c r="Q10" s="565">
        <f>(P10/L10-1)*100</f>
        <v>1.1791495464221979</v>
      </c>
      <c r="R10" s="634">
        <v>2</v>
      </c>
      <c r="T10" s="633">
        <v>1653.6310000000001</v>
      </c>
      <c r="U10" s="565">
        <f>(T10/P10-1)*100</f>
        <v>3.9850112465956933</v>
      </c>
      <c r="V10" s="634">
        <v>2.1</v>
      </c>
      <c r="X10" s="633">
        <v>2938</v>
      </c>
      <c r="Y10" s="565" t="s">
        <v>300</v>
      </c>
      <c r="Z10" s="634">
        <v>3.9</v>
      </c>
      <c r="AB10" s="633">
        <v>2988.0059999999999</v>
      </c>
      <c r="AC10" s="565">
        <f>(AB10/X10-1)*100</f>
        <v>1.7020422055820328</v>
      </c>
      <c r="AD10" s="634">
        <v>1.3</v>
      </c>
      <c r="AF10" s="635">
        <v>3300.7</v>
      </c>
      <c r="AG10" s="565">
        <f>(AF10/AB10-1)*100</f>
        <v>10.464972292558983</v>
      </c>
      <c r="AH10" s="566">
        <v>4.8470506256248669</v>
      </c>
      <c r="AJ10" s="635">
        <v>3408.6</v>
      </c>
      <c r="AK10" s="565">
        <f>(AJ10/AF10-1)*100</f>
        <v>3.2690035447026311</v>
      </c>
      <c r="AL10" s="566">
        <v>2.5</v>
      </c>
      <c r="AN10" s="635">
        <v>3357</v>
      </c>
      <c r="AO10" s="565">
        <f>(AN10/AJ10-1)*100</f>
        <v>-1.5138179897905224</v>
      </c>
      <c r="AP10" s="566">
        <v>2.4</v>
      </c>
      <c r="AR10" s="633">
        <v>3600</v>
      </c>
      <c r="AS10" s="565">
        <f>(AR10/AN10-1)*100</f>
        <v>7.2386058981233292</v>
      </c>
      <c r="AT10" s="566">
        <v>4</v>
      </c>
      <c r="AV10" s="635">
        <v>3573</v>
      </c>
      <c r="AW10" s="565">
        <f>(AV10/AR10-1)*100</f>
        <v>-0.74999999999999512</v>
      </c>
      <c r="AX10" s="566">
        <v>2.9</v>
      </c>
      <c r="AZ10" s="635">
        <v>3556</v>
      </c>
      <c r="BA10" s="565">
        <f>(AZ10/AV10-1)*100</f>
        <v>-0.47579065211307281</v>
      </c>
      <c r="BB10" s="566">
        <v>-1.5</v>
      </c>
      <c r="BD10" s="635">
        <v>3453</v>
      </c>
      <c r="BE10" s="565">
        <f>(BD10/AZ10-1)*100</f>
        <v>-2.8965129358830111</v>
      </c>
      <c r="BF10" s="566">
        <v>-2.9</v>
      </c>
      <c r="BH10" s="635">
        <v>3291</v>
      </c>
      <c r="BI10" s="565">
        <f>(BH10/BD10-1)*100</f>
        <v>-4.6915725456125106</v>
      </c>
      <c r="BJ10" s="566">
        <v>-5</v>
      </c>
      <c r="BL10" s="635">
        <v>3550</v>
      </c>
      <c r="BM10" s="565">
        <f>(BL10/BH10-1)*100</f>
        <v>7.8699483439683915</v>
      </c>
      <c r="BN10" s="566">
        <v>6.9</v>
      </c>
      <c r="BP10" s="635">
        <v>3641</v>
      </c>
      <c r="BQ10" s="565">
        <f>(BP10/BL10-1)*100</f>
        <v>2.5633802816901419</v>
      </c>
      <c r="BR10" s="566">
        <v>2.6</v>
      </c>
      <c r="BT10" s="635">
        <v>5930</v>
      </c>
      <c r="BU10" s="565">
        <f>(BT10/BP10-1)*100</f>
        <v>62.867344136226322</v>
      </c>
      <c r="BV10" s="566">
        <v>0</v>
      </c>
      <c r="BX10" s="635">
        <v>5921</v>
      </c>
      <c r="BY10" s="565">
        <f>(BX10/BT10-1)*100</f>
        <v>-0.15177065767284503</v>
      </c>
      <c r="BZ10" s="566">
        <v>0.6</v>
      </c>
      <c r="CB10" s="635">
        <v>5747</v>
      </c>
      <c r="CC10" s="565">
        <f>(CB10/BX10-1)*100</f>
        <v>-2.9386927883803371</v>
      </c>
      <c r="CD10" s="566">
        <v>-2.6</v>
      </c>
      <c r="CF10" s="635">
        <v>5288</v>
      </c>
      <c r="CG10" s="565">
        <f>(CF10/CB10-1)*100</f>
        <v>-7.9867757090655971</v>
      </c>
      <c r="CH10" s="566">
        <v>-9</v>
      </c>
      <c r="CJ10" s="635">
        <v>5574</v>
      </c>
      <c r="CK10" s="565">
        <f>(CJ10/CF10-1)*100</f>
        <v>5.4084720121028829</v>
      </c>
      <c r="CL10" s="566">
        <v>5.5</v>
      </c>
      <c r="CN10" s="635">
        <v>5889</v>
      </c>
      <c r="CO10" s="565">
        <f>(CN10/CJ10-1)*100</f>
        <v>5.6512378902045191</v>
      </c>
      <c r="CP10" s="566">
        <v>5.4</v>
      </c>
      <c r="CR10" s="635">
        <v>6143</v>
      </c>
      <c r="CS10" s="565">
        <f t="shared" ref="CS10:CS16" si="0">(CR10/CN10-1)*100</f>
        <v>4.313126167430803</v>
      </c>
      <c r="CT10" s="566">
        <v>4.4000000000000004</v>
      </c>
      <c r="CV10" s="633">
        <v>6387</v>
      </c>
      <c r="CW10" s="565">
        <f t="shared" ref="CW10:CW16" si="1">(CV10/CR10-1)*100</f>
        <v>3.9720006511476447</v>
      </c>
      <c r="CX10" s="566">
        <f>qtrSales!E95</f>
        <v>3.8</v>
      </c>
      <c r="CZ10" s="635">
        <f>qtrSales!R102</f>
        <v>6279</v>
      </c>
      <c r="DA10" s="565">
        <f t="shared" ref="DA10:DA16" si="2">(CZ10/CV10-1)*100</f>
        <v>-1.6909347111319861</v>
      </c>
      <c r="DB10" s="566">
        <f>qtrSales!E102</f>
        <v>-1.6</v>
      </c>
      <c r="DC10" s="636"/>
      <c r="DD10" s="635">
        <f>qtrSales!R109</f>
        <v>6232</v>
      </c>
      <c r="DE10" s="565">
        <f t="shared" ref="DE10:DE16" si="3">(DD10/CZ10-1)*100</f>
        <v>-0.74852683548335408</v>
      </c>
      <c r="DF10" s="566">
        <f>qtrSales!E109</f>
        <v>-0.7</v>
      </c>
      <c r="DG10" s="637"/>
      <c r="DH10" s="635">
        <f>qtrSales!R116</f>
        <v>5774</v>
      </c>
      <c r="DI10" s="565">
        <f t="shared" ref="DI10:DI16" si="4">(DH10/DD10-1)*100</f>
        <v>-7.3491655969191267</v>
      </c>
      <c r="DJ10" s="566">
        <f>qtrSales!$E116</f>
        <v>-6.1</v>
      </c>
      <c r="DK10" s="566"/>
      <c r="DL10" s="635">
        <f>qtrSales!R123</f>
        <v>5352</v>
      </c>
      <c r="DM10" s="565">
        <f t="shared" ref="DM10:DM16" si="5">(DL10/DH10-1)*100</f>
        <v>-7.3086248701073835</v>
      </c>
      <c r="DN10" s="566">
        <f>qtrSales!$E123</f>
        <v>-5.2</v>
      </c>
      <c r="DO10" s="566"/>
      <c r="DP10" s="1130">
        <f>qtrSales!R130</f>
        <v>5314.5360000000001</v>
      </c>
      <c r="DQ10" s="1131">
        <f t="shared" ref="DQ10:DQ16" si="6">(DP10/DL10-1)*100</f>
        <v>-0.70000000000000062</v>
      </c>
      <c r="DR10" s="1132">
        <f>qtrSales!$E130</f>
        <v>-0.5</v>
      </c>
      <c r="DS10" s="282"/>
      <c r="DT10" s="1456">
        <f>DN10+DR10</f>
        <v>-5.7</v>
      </c>
      <c r="DU10" s="1453">
        <f>DJ10+DN10+DR10</f>
        <v>-11.8</v>
      </c>
      <c r="DV10" s="637"/>
      <c r="DW10" s="637"/>
      <c r="DX10" s="637"/>
      <c r="DY10" s="638"/>
      <c r="DZ10" s="598"/>
    </row>
    <row r="11" spans="1:139" x14ac:dyDescent="0.2">
      <c r="A11" s="604" t="s">
        <v>80</v>
      </c>
      <c r="D11" s="639">
        <v>1525.692</v>
      </c>
      <c r="E11" s="565"/>
      <c r="F11" s="566"/>
      <c r="H11" s="639">
        <v>1495.7429999999999</v>
      </c>
      <c r="I11" s="565">
        <f>(H11/D11-1)*100</f>
        <v>-1.9629781109162359</v>
      </c>
      <c r="J11" s="634">
        <v>1.4</v>
      </c>
      <c r="L11" s="639">
        <v>1457.212</v>
      </c>
      <c r="M11" s="565">
        <f>(L11/H11-1)*100</f>
        <v>-2.5760441466214368</v>
      </c>
      <c r="N11" s="634">
        <v>1.7</v>
      </c>
      <c r="P11" s="639">
        <v>1502.288</v>
      </c>
      <c r="Q11" s="565">
        <f>(P11/L11-1)*100</f>
        <v>3.0933042000752087</v>
      </c>
      <c r="R11" s="634">
        <v>4</v>
      </c>
      <c r="T11" s="639">
        <v>1596.1</v>
      </c>
      <c r="U11" s="565">
        <f>(T11/P11-1)*100</f>
        <v>6.2446082242552547</v>
      </c>
      <c r="V11" s="634">
        <v>2.2000000000000002</v>
      </c>
      <c r="X11" s="639">
        <v>2930.8</v>
      </c>
      <c r="Y11" s="565" t="s">
        <v>300</v>
      </c>
      <c r="Z11" s="634">
        <v>0.8</v>
      </c>
      <c r="AB11" s="639">
        <v>3047</v>
      </c>
      <c r="AC11" s="565">
        <f>(AB11/X11-1)*100</f>
        <v>3.9647877712569946</v>
      </c>
      <c r="AD11" s="634">
        <v>6.2</v>
      </c>
      <c r="AF11" s="640">
        <v>3284.2</v>
      </c>
      <c r="AG11" s="565">
        <f>(AF11/AB11-1)*100</f>
        <v>7.7847062684607726</v>
      </c>
      <c r="AH11" s="566">
        <v>0.83184337129285657</v>
      </c>
      <c r="AJ11" s="640">
        <v>3452.8</v>
      </c>
      <c r="AK11" s="565">
        <f>(AJ11/AF11-1)*100</f>
        <v>5.1336703002253348</v>
      </c>
      <c r="AL11" s="566">
        <v>4.4000000000000004</v>
      </c>
      <c r="AN11" s="640">
        <v>3426</v>
      </c>
      <c r="AO11" s="565">
        <f>(AN11/AJ11-1)*100</f>
        <v>-0.77618164967563352</v>
      </c>
      <c r="AP11" s="566">
        <v>3.018796992481203</v>
      </c>
      <c r="AR11" s="639">
        <v>4006</v>
      </c>
      <c r="AS11" s="565">
        <f>(AR11/AN11-1)*100</f>
        <v>16.929363689433742</v>
      </c>
      <c r="AT11" s="566">
        <v>5.9</v>
      </c>
      <c r="AV11" s="640">
        <v>3679</v>
      </c>
      <c r="AW11" s="565">
        <f>(AV11/AR11-1)*100</f>
        <v>-8.1627558662006994</v>
      </c>
      <c r="AX11" s="566">
        <v>1.9</v>
      </c>
      <c r="AZ11" s="640">
        <v>3488</v>
      </c>
      <c r="BA11" s="565">
        <f>(AZ11/AV11-1)*100</f>
        <v>-5.1916281598260454</v>
      </c>
      <c r="BB11" s="566">
        <v>-4.8</v>
      </c>
      <c r="BD11" s="640">
        <v>3486</v>
      </c>
      <c r="BE11" s="565">
        <f>(BD11/AZ11-1)*100</f>
        <v>-5.7339449541282672E-2</v>
      </c>
      <c r="BF11" s="566">
        <v>-2.8</v>
      </c>
      <c r="BH11" s="640">
        <v>3434</v>
      </c>
      <c r="BI11" s="565">
        <f>(BH11/BD11-1)*100</f>
        <v>-1.4916810097532984</v>
      </c>
      <c r="BJ11" s="566">
        <v>-1.2</v>
      </c>
      <c r="BL11" s="640">
        <v>3581</v>
      </c>
      <c r="BM11" s="565">
        <f>(BL11/BH11-1)*100</f>
        <v>4.2807221898660375</v>
      </c>
      <c r="BN11" s="566">
        <v>3.3</v>
      </c>
      <c r="BP11" s="640">
        <v>3623</v>
      </c>
      <c r="BQ11" s="565">
        <f>(BP11/BL11-1)*100</f>
        <v>1.1728567439262871</v>
      </c>
      <c r="BR11" s="566">
        <v>1.1000000000000001</v>
      </c>
      <c r="BT11" s="640">
        <v>5995</v>
      </c>
      <c r="BU11" s="565">
        <f>(BT11/BP11-1)*100</f>
        <v>65.470604471432509</v>
      </c>
      <c r="BV11" s="566">
        <v>4.5999999999999996</v>
      </c>
      <c r="BX11" s="640">
        <v>5892</v>
      </c>
      <c r="BY11" s="565">
        <f>(BX11/BT11-1)*100</f>
        <v>-1.7180984153461254</v>
      </c>
      <c r="BZ11" s="566">
        <v>-2.6</v>
      </c>
      <c r="CB11" s="640">
        <v>5718</v>
      </c>
      <c r="CC11" s="565">
        <f>(CB11/BX11-1)*100</f>
        <v>-2.9531568228105876</v>
      </c>
      <c r="CD11" s="566">
        <v>-2.1</v>
      </c>
      <c r="CF11" s="640">
        <v>5285</v>
      </c>
      <c r="CG11" s="565">
        <f>(CF11/CB11-1)*100</f>
        <v>-7.5725778244141289</v>
      </c>
      <c r="CH11" s="566">
        <v>-9.5</v>
      </c>
      <c r="CJ11" s="640">
        <v>5537</v>
      </c>
      <c r="CK11" s="565">
        <f>(CJ11/CF11-1)*100</f>
        <v>4.7682119205298079</v>
      </c>
      <c r="CL11" s="566">
        <v>4.9000000000000004</v>
      </c>
      <c r="CN11" s="640">
        <v>5939</v>
      </c>
      <c r="CO11" s="565">
        <f>(CN11/CJ11-1)*100</f>
        <v>7.2602492324363332</v>
      </c>
      <c r="CP11" s="566">
        <v>6.4</v>
      </c>
      <c r="CR11" s="640">
        <v>6118</v>
      </c>
      <c r="CS11" s="565">
        <f t="shared" si="0"/>
        <v>3.0139754167368249</v>
      </c>
      <c r="CT11" s="566">
        <v>3</v>
      </c>
      <c r="CV11" s="468">
        <v>6066</v>
      </c>
      <c r="CW11" s="565">
        <f t="shared" si="1"/>
        <v>-0.84995096436744078</v>
      </c>
      <c r="CX11" s="566">
        <f>qtrSales!E96</f>
        <v>-0.8</v>
      </c>
      <c r="CZ11" s="640">
        <f>qtrSales!R103</f>
        <v>6267</v>
      </c>
      <c r="DA11" s="565">
        <f t="shared" si="2"/>
        <v>3.3135509396637008</v>
      </c>
      <c r="DB11" s="566">
        <f>qtrSales!E103</f>
        <v>3.4</v>
      </c>
      <c r="DC11" s="636"/>
      <c r="DD11" s="640">
        <f>qtrSales!R110</f>
        <v>6104</v>
      </c>
      <c r="DE11" s="565">
        <f t="shared" si="3"/>
        <v>-2.6009254826870887</v>
      </c>
      <c r="DF11" s="566">
        <f>qtrSales!E110</f>
        <v>-2.1</v>
      </c>
      <c r="DG11" s="637"/>
      <c r="DH11" s="640">
        <f>qtrSales!R117</f>
        <v>5968</v>
      </c>
      <c r="DI11" s="565">
        <f t="shared" si="4"/>
        <v>-2.2280471821756187</v>
      </c>
      <c r="DJ11" s="566">
        <f>qtrSales!$E117</f>
        <v>-2.6</v>
      </c>
      <c r="DK11" s="566"/>
      <c r="DL11" s="640">
        <f>qtrSales!R124</f>
        <v>5635</v>
      </c>
      <c r="DM11" s="565">
        <f t="shared" si="5"/>
        <v>-5.5797587131367283</v>
      </c>
      <c r="DN11" s="566">
        <f>qtrSales!$E124</f>
        <v>-2.8</v>
      </c>
      <c r="DO11" s="566"/>
      <c r="DP11" s="1133">
        <f>qtrSales!R131</f>
        <v>5471.585</v>
      </c>
      <c r="DQ11" s="1131">
        <f t="shared" si="6"/>
        <v>-2.9000000000000026</v>
      </c>
      <c r="DR11" s="1132">
        <f>qtrSales!$E131</f>
        <v>-1.5</v>
      </c>
      <c r="DS11" s="282"/>
      <c r="DT11" s="1456">
        <f t="shared" ref="DT11:DT14" si="7">DN11+DR11</f>
        <v>-4.3</v>
      </c>
      <c r="DU11" s="1453">
        <f t="shared" ref="DU11:DU14" si="8">DJ11+DN11+DR11</f>
        <v>-6.9</v>
      </c>
      <c r="DV11" s="637"/>
      <c r="DW11" s="637"/>
      <c r="DX11" s="637"/>
    </row>
    <row r="12" spans="1:139" x14ac:dyDescent="0.2">
      <c r="A12" s="604" t="s">
        <v>81</v>
      </c>
      <c r="D12" s="639">
        <v>1767.327</v>
      </c>
      <c r="E12" s="565"/>
      <c r="F12" s="566"/>
      <c r="H12" s="639">
        <v>1708.9010000000001</v>
      </c>
      <c r="I12" s="565">
        <f>(H12/D12-1)*100</f>
        <v>-3.3058964187159479</v>
      </c>
      <c r="J12" s="634">
        <v>1.8</v>
      </c>
      <c r="L12" s="639">
        <v>1788.9649999999999</v>
      </c>
      <c r="M12" s="565">
        <f>(L12/H12-1)*100</f>
        <v>4.6851163408529795</v>
      </c>
      <c r="N12" s="634">
        <v>5.7</v>
      </c>
      <c r="P12" s="639">
        <v>1789.3150000000001</v>
      </c>
      <c r="Q12" s="565">
        <f>(P12/L12-1)*100</f>
        <v>1.9564384993575601E-2</v>
      </c>
      <c r="R12" s="634">
        <v>0</v>
      </c>
      <c r="T12" s="639">
        <v>1926.8109999999999</v>
      </c>
      <c r="U12" s="565">
        <f>(T12/P12-1)*100</f>
        <v>7.6842814149548744</v>
      </c>
      <c r="V12" s="634">
        <v>3.4</v>
      </c>
      <c r="X12" s="639">
        <v>3352.6</v>
      </c>
      <c r="Y12" s="565" t="s">
        <v>300</v>
      </c>
      <c r="Z12" s="634">
        <v>3.7</v>
      </c>
      <c r="AB12" s="639">
        <v>3333.5279999999998</v>
      </c>
      <c r="AC12" s="565">
        <f>(AB12/X12-1)*100</f>
        <v>-0.56887192030066203</v>
      </c>
      <c r="AD12" s="634">
        <v>1.5</v>
      </c>
      <c r="AF12" s="640">
        <v>3609.1</v>
      </c>
      <c r="AG12" s="565">
        <f>(AF12/AB12-1)*100</f>
        <v>8.2666772260500121</v>
      </c>
      <c r="AH12" s="566">
        <v>0.9</v>
      </c>
      <c r="AJ12" s="640">
        <v>3746.1</v>
      </c>
      <c r="AK12" s="565">
        <f>(AJ12/AF12-1)*100</f>
        <v>3.7959602116871327</v>
      </c>
      <c r="AL12" s="566">
        <v>3.1</v>
      </c>
      <c r="AN12" s="640">
        <v>3548</v>
      </c>
      <c r="AO12" s="565">
        <f>(AN12/AJ12-1)*100</f>
        <v>-5.2881663596807353</v>
      </c>
      <c r="AP12" s="566">
        <v>-1.2479646871752175</v>
      </c>
      <c r="AR12" s="639">
        <v>4137</v>
      </c>
      <c r="AS12" s="565">
        <f>(AR12/AN12-1)*100</f>
        <v>16.60090191657271</v>
      </c>
      <c r="AT12" s="566">
        <v>3.9</v>
      </c>
      <c r="AV12" s="640">
        <v>3782</v>
      </c>
      <c r="AW12" s="565">
        <f>(AV12/AR12-1)*100</f>
        <v>-8.5810974135847253</v>
      </c>
      <c r="AX12" s="566">
        <v>1.9</v>
      </c>
      <c r="AZ12" s="640">
        <v>3475</v>
      </c>
      <c r="BA12" s="565">
        <f>(AZ12/AV12-1)*100</f>
        <v>-8.1173982020095181</v>
      </c>
      <c r="BB12" s="566">
        <v>-8.6</v>
      </c>
      <c r="BD12" s="640">
        <v>3479</v>
      </c>
      <c r="BE12" s="565">
        <f>(BD12/AZ12-1)*100</f>
        <v>0.11510791366906581</v>
      </c>
      <c r="BF12" s="566">
        <v>-2</v>
      </c>
      <c r="BH12" s="640">
        <v>3486</v>
      </c>
      <c r="BI12" s="565">
        <f>(BH12/BD12-1)*100</f>
        <v>0.2012072434607548</v>
      </c>
      <c r="BJ12" s="566">
        <v>0.2</v>
      </c>
      <c r="BL12" s="640">
        <v>3525</v>
      </c>
      <c r="BM12" s="565">
        <f>(BL12/BH12-1)*100</f>
        <v>1.1187607573149849</v>
      </c>
      <c r="BN12" s="566">
        <v>0.4</v>
      </c>
      <c r="BP12" s="640">
        <v>5555</v>
      </c>
      <c r="BQ12" s="565">
        <f>(BP12/BL12-1)*100</f>
        <v>57.588652482269495</v>
      </c>
      <c r="BR12" s="566">
        <v>0.6</v>
      </c>
      <c r="BT12" s="640">
        <v>5886</v>
      </c>
      <c r="BU12" s="565">
        <f>(BT12/BP12-1)*100</f>
        <v>5.9585958595859578</v>
      </c>
      <c r="BV12" s="566">
        <v>5.9</v>
      </c>
      <c r="BX12" s="640">
        <v>5906</v>
      </c>
      <c r="BY12" s="565">
        <f>(BX12/BT12-1)*100</f>
        <v>0.3397893306150257</v>
      </c>
      <c r="BZ12" s="566">
        <v>-0.8</v>
      </c>
      <c r="CB12" s="640">
        <v>5493</v>
      </c>
      <c r="CC12" s="565">
        <f>(CB12/BX12-1)*100</f>
        <v>-6.9928885878767328</v>
      </c>
      <c r="CD12" s="566">
        <v>-6</v>
      </c>
      <c r="CF12" s="640">
        <v>5385</v>
      </c>
      <c r="CG12" s="565">
        <f>(CF12/CB12-1)*100</f>
        <v>-1.9661387220098359</v>
      </c>
      <c r="CH12" s="566">
        <v>-3.6</v>
      </c>
      <c r="CJ12" s="640">
        <v>5623</v>
      </c>
      <c r="CK12" s="565">
        <f>(CJ12/CF12-1)*100</f>
        <v>4.4196843082636939</v>
      </c>
      <c r="CL12" s="566">
        <v>3.9</v>
      </c>
      <c r="CN12" s="640">
        <v>5853</v>
      </c>
      <c r="CO12" s="565">
        <f>(CN12/CJ12-1)*100</f>
        <v>4.0903432331495626</v>
      </c>
      <c r="CP12" s="566">
        <v>4</v>
      </c>
      <c r="CR12" s="640">
        <v>6075</v>
      </c>
      <c r="CS12" s="565">
        <f t="shared" si="0"/>
        <v>3.7929267042542181</v>
      </c>
      <c r="CT12" s="566">
        <v>3.7</v>
      </c>
      <c r="CV12" s="468">
        <v>6276</v>
      </c>
      <c r="CW12" s="565">
        <f t="shared" si="1"/>
        <v>3.308641975308646</v>
      </c>
      <c r="CX12" s="566">
        <f>qtrSales!E97</f>
        <v>3.5</v>
      </c>
      <c r="CZ12" s="640">
        <f>qtrSales!R104</f>
        <v>6195</v>
      </c>
      <c r="DA12" s="565">
        <f t="shared" si="2"/>
        <v>-1.2906309751434031</v>
      </c>
      <c r="DB12" s="566">
        <f>qtrSales!E104</f>
        <v>-1.4</v>
      </c>
      <c r="DC12" s="636"/>
      <c r="DD12" s="640">
        <f>qtrSales!R111</f>
        <v>5874</v>
      </c>
      <c r="DE12" s="565">
        <f t="shared" si="3"/>
        <v>-5.1815980629539959</v>
      </c>
      <c r="DF12" s="566">
        <f>qtrSales!E111</f>
        <v>-3.9</v>
      </c>
      <c r="DG12" s="637"/>
      <c r="DH12" s="640">
        <f>qtrSales!R118</f>
        <v>5635</v>
      </c>
      <c r="DI12" s="565">
        <f t="shared" si="4"/>
        <v>-4.0687776642832851</v>
      </c>
      <c r="DJ12" s="566">
        <f>qtrSales!$E118</f>
        <v>-3.3</v>
      </c>
      <c r="DK12" s="566"/>
      <c r="DL12" s="640">
        <f>qtrSales!R125</f>
        <v>5287</v>
      </c>
      <c r="DM12" s="565">
        <f t="shared" si="5"/>
        <v>-6.1756876663708997</v>
      </c>
      <c r="DN12" s="566">
        <f>qtrSales!$E125</f>
        <v>-4</v>
      </c>
      <c r="DO12" s="566"/>
      <c r="DP12" s="1133">
        <f>qtrSales!R132</f>
        <v>5297.5739999999996</v>
      </c>
      <c r="DQ12" s="1131">
        <f t="shared" si="6"/>
        <v>0.20000000000000018</v>
      </c>
      <c r="DR12" s="1132">
        <f>qtrSales!$E132</f>
        <v>2</v>
      </c>
      <c r="DS12" s="282"/>
      <c r="DT12" s="1456">
        <f t="shared" si="7"/>
        <v>-2</v>
      </c>
      <c r="DU12" s="1453">
        <f t="shared" si="8"/>
        <v>-5.3</v>
      </c>
      <c r="DV12" s="637"/>
      <c r="DW12" s="637"/>
      <c r="DX12" s="637"/>
    </row>
    <row r="13" spans="1:139" x14ac:dyDescent="0.2">
      <c r="A13" s="604" t="s">
        <v>82</v>
      </c>
      <c r="D13" s="641">
        <v>2258.5039999999999</v>
      </c>
      <c r="E13" s="565"/>
      <c r="F13" s="566"/>
      <c r="H13" s="641">
        <v>2134.2600000000002</v>
      </c>
      <c r="I13" s="565">
        <f>(H13/D13-1)*100</f>
        <v>-5.5011636021012</v>
      </c>
      <c r="J13" s="634">
        <v>-0.1</v>
      </c>
      <c r="L13" s="641">
        <v>2262.038</v>
      </c>
      <c r="M13" s="565">
        <f>(L13/H13-1)*100</f>
        <v>5.9869931498505169</v>
      </c>
      <c r="N13" s="634">
        <v>7.5</v>
      </c>
      <c r="P13" s="641">
        <v>2347.5439999999999</v>
      </c>
      <c r="Q13" s="565">
        <f>(P13/L13-1)*100</f>
        <v>3.7800425987538633</v>
      </c>
      <c r="R13" s="634">
        <v>2.1</v>
      </c>
      <c r="T13" s="641">
        <v>2530.9349999999999</v>
      </c>
      <c r="U13" s="565">
        <f>(T13/P13-1)*100</f>
        <v>7.8120367498969223</v>
      </c>
      <c r="V13" s="634">
        <v>4.0999999999999996</v>
      </c>
      <c r="X13" s="641">
        <v>4480.1000000000004</v>
      </c>
      <c r="Y13" s="565" t="s">
        <v>300</v>
      </c>
      <c r="Z13" s="634">
        <v>3.6</v>
      </c>
      <c r="AB13" s="641">
        <v>4629.5</v>
      </c>
      <c r="AC13" s="565">
        <f>(AB13/X13-1)*100</f>
        <v>3.3347469922546225</v>
      </c>
      <c r="AD13" s="634">
        <v>2.2000000000000002</v>
      </c>
      <c r="AF13" s="564">
        <v>5035.3999999999996</v>
      </c>
      <c r="AG13" s="565">
        <f>(AF13/AB13-1)*100</f>
        <v>8.7676854951938665</v>
      </c>
      <c r="AH13" s="566">
        <v>4.3417523930571544</v>
      </c>
      <c r="AJ13" s="564">
        <v>5060.116</v>
      </c>
      <c r="AK13" s="565">
        <f>(AJ13/AF13-1)*100</f>
        <v>0.49084481868373331</v>
      </c>
      <c r="AL13" s="566">
        <v>1.4</v>
      </c>
      <c r="AN13" s="564">
        <v>5034</v>
      </c>
      <c r="AO13" s="565">
        <f>(AN13/AJ13-1)*100</f>
        <v>-0.51611465033607473</v>
      </c>
      <c r="AP13" s="566">
        <v>4.0999999999999996</v>
      </c>
      <c r="AR13" s="641">
        <v>5973</v>
      </c>
      <c r="AS13" s="565">
        <f>(AR13/AN13-1)*100</f>
        <v>18.653158522050049</v>
      </c>
      <c r="AT13" s="566">
        <v>4.4000000000000004</v>
      </c>
      <c r="AV13" s="564">
        <v>5604</v>
      </c>
      <c r="AW13" s="565">
        <f>(AV13/AR13-1)*100</f>
        <v>-6.1778001004520355</v>
      </c>
      <c r="AX13" s="566">
        <v>1.6</v>
      </c>
      <c r="AZ13" s="564">
        <v>5132</v>
      </c>
      <c r="BA13" s="565">
        <f>(AZ13/AV13-1)*100</f>
        <v>-8.4225553176302643</v>
      </c>
      <c r="BB13" s="566">
        <v>-6</v>
      </c>
      <c r="BD13" s="564">
        <v>5017</v>
      </c>
      <c r="BE13" s="565">
        <f>(BD13/AZ13-1)*100</f>
        <v>-2.2408417770849565</v>
      </c>
      <c r="BF13" s="566">
        <v>-3.9</v>
      </c>
      <c r="BH13" s="564">
        <v>5053</v>
      </c>
      <c r="BI13" s="565">
        <f>(BH13/BD13-1)*100</f>
        <v>0.71756029499701057</v>
      </c>
      <c r="BJ13" s="566">
        <v>1.4</v>
      </c>
      <c r="BL13" s="564">
        <v>5120</v>
      </c>
      <c r="BM13" s="565">
        <f>(BL13/BH13-1)*100</f>
        <v>1.3259449831783066</v>
      </c>
      <c r="BN13" s="566">
        <v>0.8</v>
      </c>
      <c r="BP13" s="564">
        <v>9571</v>
      </c>
      <c r="BQ13" s="565">
        <f>(BP13/BL13-1)*100</f>
        <v>86.93359375</v>
      </c>
      <c r="BR13" s="566">
        <v>1.1000000000000001</v>
      </c>
      <c r="BT13" s="564">
        <v>9159</v>
      </c>
      <c r="BU13" s="565">
        <f>(BT13/BP13-1)*100</f>
        <v>-4.3046703583742518</v>
      </c>
      <c r="BV13" s="566">
        <v>6.1</v>
      </c>
      <c r="BX13" s="564">
        <v>8594</v>
      </c>
      <c r="BY13" s="565">
        <f>(BX13/BT13-1)*100</f>
        <v>-6.1687957200567745</v>
      </c>
      <c r="BZ13" s="566">
        <v>-2</v>
      </c>
      <c r="CB13" s="564">
        <v>7934</v>
      </c>
      <c r="CC13" s="565">
        <f>(CB13/BX13-1)*100</f>
        <v>-7.6797765883174325</v>
      </c>
      <c r="CD13" s="566">
        <v>-7</v>
      </c>
      <c r="CF13" s="564">
        <v>7937</v>
      </c>
      <c r="CG13" s="565">
        <f>(CF13/CB13-1)*100</f>
        <v>3.7811948575749987E-2</v>
      </c>
      <c r="CH13" s="566">
        <v>-0.8</v>
      </c>
      <c r="CJ13" s="564">
        <v>8269</v>
      </c>
      <c r="CK13" s="565">
        <f>(CJ13/CF13-1)*100</f>
        <v>4.182940657679235</v>
      </c>
      <c r="CL13" s="566">
        <v>4.3</v>
      </c>
      <c r="CN13" s="564">
        <v>8724</v>
      </c>
      <c r="CO13" s="565">
        <f>(CN13/CJ13-1)*100</f>
        <v>5.5024791389527206</v>
      </c>
      <c r="CP13" s="566">
        <v>5.2</v>
      </c>
      <c r="CR13" s="564">
        <v>9350</v>
      </c>
      <c r="CS13" s="565">
        <f t="shared" si="0"/>
        <v>7.175607519486471</v>
      </c>
      <c r="CT13" s="566">
        <v>3.9</v>
      </c>
      <c r="CV13" s="616">
        <f>qtrSales!R98</f>
        <v>9202</v>
      </c>
      <c r="CW13" s="565">
        <f t="shared" si="1"/>
        <v>-1.582887700534763</v>
      </c>
      <c r="CX13" s="566">
        <f>qtrSales!E98</f>
        <v>1.4</v>
      </c>
      <c r="CZ13" s="564">
        <f>qtrSales!R105</f>
        <v>9364</v>
      </c>
      <c r="DA13" s="565">
        <f>(CZ13/CV13-1)*100</f>
        <v>1.7604868506846394</v>
      </c>
      <c r="DB13" s="566">
        <f>qtrSales!E105</f>
        <v>2</v>
      </c>
      <c r="DC13" s="636"/>
      <c r="DD13" s="564">
        <f>qtrSales!R112</f>
        <v>8869</v>
      </c>
      <c r="DE13" s="565">
        <f t="shared" si="3"/>
        <v>-5.2862024775736867</v>
      </c>
      <c r="DF13" s="566">
        <f>qtrSales!E112</f>
        <v>-4.8</v>
      </c>
      <c r="DG13" s="637"/>
      <c r="DH13" s="564">
        <f>qtrSales!R119</f>
        <v>8533</v>
      </c>
      <c r="DI13" s="565">
        <f t="shared" si="4"/>
        <v>-3.7884767166535105</v>
      </c>
      <c r="DJ13" s="566">
        <f>qtrSales!$E119</f>
        <v>-2.7</v>
      </c>
      <c r="DK13" s="566"/>
      <c r="DL13" s="564">
        <f>qtrSales!R126</f>
        <v>8671</v>
      </c>
      <c r="DM13" s="565">
        <f t="shared" si="5"/>
        <v>1.6172506738544534</v>
      </c>
      <c r="DN13" s="566">
        <f>qtrSales!$E126</f>
        <v>1.3</v>
      </c>
      <c r="DO13" s="566"/>
      <c r="DP13" s="1134">
        <f>qtrSales!R133</f>
        <v>8471.5669999999991</v>
      </c>
      <c r="DQ13" s="1131">
        <f t="shared" si="6"/>
        <v>-2.3000000000000131</v>
      </c>
      <c r="DR13" s="1132">
        <f>qtrSales!$E133</f>
        <v>1</v>
      </c>
      <c r="DS13" s="282"/>
      <c r="DT13" s="1457">
        <f t="shared" si="7"/>
        <v>2.2999999999999998</v>
      </c>
      <c r="DU13" s="1454">
        <f t="shared" si="8"/>
        <v>-0.40000000000000013</v>
      </c>
      <c r="DV13" s="637"/>
      <c r="DW13" s="637"/>
      <c r="DX13" s="637"/>
    </row>
    <row r="14" spans="1:139" x14ac:dyDescent="0.2">
      <c r="A14" s="604" t="s">
        <v>83</v>
      </c>
      <c r="D14" s="633">
        <v>7141.9830000000002</v>
      </c>
      <c r="E14" s="642">
        <v>-5.7485721706094779</v>
      </c>
      <c r="F14" s="634">
        <v>-4.3</v>
      </c>
      <c r="H14" s="633">
        <v>6932.3230000000003</v>
      </c>
      <c r="I14" s="565">
        <f>(H14/D14-1)*100</f>
        <v>-2.935599258637267</v>
      </c>
      <c r="J14" s="634">
        <v>1.4</v>
      </c>
      <c r="L14" s="633">
        <v>7079.9410000000007</v>
      </c>
      <c r="M14" s="565">
        <f>(L14/H14-1)*100</f>
        <v>2.1294160701975429</v>
      </c>
      <c r="N14" s="634">
        <v>5.2</v>
      </c>
      <c r="P14" s="633">
        <v>7229.4059999999999</v>
      </c>
      <c r="Q14" s="565">
        <f>(P14/L14-1)*100</f>
        <v>2.1111051631644839</v>
      </c>
      <c r="R14" s="634">
        <v>1.9</v>
      </c>
      <c r="T14" s="633">
        <v>7707.476999999999</v>
      </c>
      <c r="U14" s="565">
        <f>(T14/P14-1)*100</f>
        <v>6.6128669492348191</v>
      </c>
      <c r="V14" s="634">
        <v>3.1</v>
      </c>
      <c r="X14" s="633">
        <v>13701.5</v>
      </c>
      <c r="Y14" s="565" t="s">
        <v>300</v>
      </c>
      <c r="Z14" s="634">
        <v>3.0898675327518883</v>
      </c>
      <c r="AB14" s="633">
        <f>SUM(AB10:AB13)</f>
        <v>13998.034</v>
      </c>
      <c r="AC14" s="565">
        <f>(AB14/X14-1)*100</f>
        <v>2.164244790716352</v>
      </c>
      <c r="AD14" s="634">
        <f>SUMPRODUCT(AD10:AD13,AB10:AB13)/AB14</f>
        <v>2.7118808112624961</v>
      </c>
      <c r="AF14" s="633">
        <v>14833</v>
      </c>
      <c r="AG14" s="565">
        <f>(AF14/AB14-1)*100</f>
        <v>5.9648804967897595</v>
      </c>
      <c r="AH14" s="634">
        <v>3.1</v>
      </c>
      <c r="AJ14" s="633">
        <v>15220</v>
      </c>
      <c r="AK14" s="565">
        <f>(AJ14/AF14-1)*100</f>
        <v>2.6090473943234604</v>
      </c>
      <c r="AL14" s="634">
        <v>2.7</v>
      </c>
      <c r="AN14" s="635">
        <f>SUM(AN10:AN13)</f>
        <v>15365</v>
      </c>
      <c r="AO14" s="565">
        <f>(AN14/AJ14-1)*100</f>
        <v>0.95269382391589552</v>
      </c>
      <c r="AP14" s="634">
        <v>2.2000000000000002</v>
      </c>
      <c r="AR14" s="633">
        <v>16029</v>
      </c>
      <c r="AS14" s="565">
        <f>(AR14/AN14-1)*100</f>
        <v>4.3215099251545652</v>
      </c>
      <c r="AT14" s="634">
        <v>4.5</v>
      </c>
      <c r="AV14" s="635">
        <f>SUM(AV10:AV13)</f>
        <v>16638</v>
      </c>
      <c r="AW14" s="565">
        <f>(AV14/AR14-1)*100</f>
        <v>3.7993636533782515</v>
      </c>
      <c r="AX14" s="634">
        <v>2</v>
      </c>
      <c r="AZ14" s="633">
        <v>15785</v>
      </c>
      <c r="BA14" s="565">
        <f>(AZ14/AV14-1)*100</f>
        <v>-5.126818127178745</v>
      </c>
      <c r="BB14" s="634">
        <v>-5.3</v>
      </c>
      <c r="BC14" s="488"/>
      <c r="BD14" s="643">
        <v>15571</v>
      </c>
      <c r="BE14" s="565">
        <f>(BD14/AZ14-1)*100</f>
        <v>-1.3557174532784266</v>
      </c>
      <c r="BF14" s="644">
        <v>-3</v>
      </c>
      <c r="BH14" s="633">
        <v>15412</v>
      </c>
      <c r="BI14" s="565">
        <f>(BH14/BD14-1)*100</f>
        <v>-1.0211290218996805</v>
      </c>
      <c r="BJ14" s="634">
        <v>-0.9</v>
      </c>
      <c r="BL14" s="635">
        <f>SUM(BL10:BL13)</f>
        <v>15776</v>
      </c>
      <c r="BM14" s="565">
        <f>(BL14/BH14-1)*100</f>
        <v>2.361796003114458</v>
      </c>
      <c r="BN14" s="634">
        <v>2.6</v>
      </c>
      <c r="BP14" s="635">
        <f>SUM(BP10:BP13)</f>
        <v>22390</v>
      </c>
      <c r="BQ14" s="565">
        <f>(BP14/BL14-1)*100</f>
        <v>41.924442190669374</v>
      </c>
      <c r="BR14" s="634">
        <v>1.3</v>
      </c>
      <c r="BT14" s="635">
        <f>SUM(BT10:BT13)</f>
        <v>26970</v>
      </c>
      <c r="BU14" s="565">
        <f>(BT14/BP14-1)*100</f>
        <v>20.455560518088433</v>
      </c>
      <c r="BV14" s="634">
        <v>4.4000000000000004</v>
      </c>
      <c r="BX14" s="635">
        <f>SUM(BX10:BX13)</f>
        <v>26313</v>
      </c>
      <c r="BY14" s="565">
        <f>(BX14/BT14-1)*100</f>
        <v>-2.4360400444938812</v>
      </c>
      <c r="BZ14" s="634">
        <v>-1.3</v>
      </c>
      <c r="CB14" s="635">
        <f>SUM(CB10:CB13)</f>
        <v>24892</v>
      </c>
      <c r="CC14" s="565">
        <f>(CB14/BX14-1)*100</f>
        <v>-5.4003724394785841</v>
      </c>
      <c r="CD14" s="634">
        <v>-4.5</v>
      </c>
      <c r="CF14" s="635">
        <f>SUM(CF10:CF13)</f>
        <v>23895</v>
      </c>
      <c r="CG14" s="565">
        <f>(CF14/CB14-1)*100</f>
        <v>-4.0053029085650005</v>
      </c>
      <c r="CH14" s="634">
        <v>-5.3</v>
      </c>
      <c r="CJ14" s="635">
        <f>SUM(CJ10:CJ13)</f>
        <v>25003</v>
      </c>
      <c r="CK14" s="565">
        <f>(CJ14/CF14-1)*100</f>
        <v>4.6369533375183014</v>
      </c>
      <c r="CL14" s="634">
        <v>4.5999999999999996</v>
      </c>
      <c r="CN14" s="635">
        <f>SUM(CN10:CN13)</f>
        <v>26405</v>
      </c>
      <c r="CO14" s="565">
        <f>(CN14/CJ14-1)*100</f>
        <v>5.60732712074552</v>
      </c>
      <c r="CP14" s="634">
        <v>5.3</v>
      </c>
      <c r="CR14" s="635">
        <f>SUM(CR10:CR13)</f>
        <v>27686</v>
      </c>
      <c r="CS14" s="565">
        <f t="shared" si="0"/>
        <v>4.8513539102442715</v>
      </c>
      <c r="CT14" s="566">
        <v>3.7</v>
      </c>
      <c r="CV14" s="635">
        <f>SUM(CV10:CV13)</f>
        <v>27931</v>
      </c>
      <c r="CW14" s="565">
        <f t="shared" si="1"/>
        <v>0.88492378819620132</v>
      </c>
      <c r="CX14" s="566">
        <f>SUMPRODUCT(CX10:CX13,CV10:CV13)/CV14</f>
        <v>1.9428806702230499</v>
      </c>
      <c r="CZ14" s="635">
        <f>SUM(CZ10:CZ13)</f>
        <v>28105</v>
      </c>
      <c r="DA14" s="565">
        <f t="shared" si="2"/>
        <v>0.6229637320539938</v>
      </c>
      <c r="DB14" s="566">
        <f>qtrSales!E106</f>
        <v>0.7</v>
      </c>
      <c r="DC14" s="261"/>
      <c r="DD14" s="635">
        <f>SUM(DD10:DD13)</f>
        <v>27079</v>
      </c>
      <c r="DE14" s="565">
        <f t="shared" si="3"/>
        <v>-3.6505959793631026</v>
      </c>
      <c r="DF14" s="566">
        <f>qtrSales!E113</f>
        <v>-3.052572103844307</v>
      </c>
      <c r="DG14" s="261"/>
      <c r="DH14" s="635">
        <f>SUM(DH10:DH13)</f>
        <v>25910</v>
      </c>
      <c r="DI14" s="565">
        <f t="shared" si="4"/>
        <v>-4.3169984120536187</v>
      </c>
      <c r="DJ14" s="566">
        <f>qtrSales!$E120</f>
        <v>-3.5</v>
      </c>
      <c r="DK14" s="566"/>
      <c r="DL14" s="635">
        <f>SUM(DL10:DL13)</f>
        <v>24945</v>
      </c>
      <c r="DM14" s="565">
        <f t="shared" si="5"/>
        <v>-3.7244307217290662</v>
      </c>
      <c r="DN14" s="566">
        <f>qtrSales!$E127</f>
        <v>-2.2000000000000002</v>
      </c>
      <c r="DO14" s="566"/>
      <c r="DP14" s="1130">
        <f>SUM(DP10:DP13)</f>
        <v>24555.261999999999</v>
      </c>
      <c r="DQ14" s="1131">
        <f t="shared" si="6"/>
        <v>-1.5623892563640052</v>
      </c>
      <c r="DR14" s="1132">
        <f>qtrSales!$E134</f>
        <v>0.33402492304907999</v>
      </c>
      <c r="DS14" s="261"/>
      <c r="DT14" s="1458">
        <f t="shared" si="7"/>
        <v>-1.8659750769509202</v>
      </c>
      <c r="DU14" s="1455">
        <f t="shared" si="8"/>
        <v>-5.36597507695092</v>
      </c>
      <c r="DV14" s="261"/>
      <c r="DW14" s="261"/>
      <c r="DX14" s="261"/>
    </row>
    <row r="15" spans="1:139" x14ac:dyDescent="0.2">
      <c r="A15" s="604" t="s">
        <v>413</v>
      </c>
      <c r="D15" s="385">
        <f>D10+D11</f>
        <v>3116.152</v>
      </c>
      <c r="E15" s="565"/>
      <c r="F15" s="566"/>
      <c r="H15" s="385">
        <f>H10+H11</f>
        <v>3089.1620000000003</v>
      </c>
      <c r="I15" s="565">
        <f>SUMPRODUCT(I10:I11,H10:H11)/H15</f>
        <v>-0.85449071821514822</v>
      </c>
      <c r="J15" s="566">
        <f>SUMPRODUCT(J10:J11,H10:H11)/H15</f>
        <v>2.1737141982194519</v>
      </c>
      <c r="L15" s="385">
        <f>L10+L11</f>
        <v>3028.9380000000001</v>
      </c>
      <c r="M15" s="565">
        <f>SUMPRODUCT(M10:M11,L10:L11)/L15</f>
        <v>-1.9457675690406009</v>
      </c>
      <c r="N15" s="566">
        <f>SUMPRODUCT(N10:N11,L10:L11)/L15</f>
        <v>3.1010389780180381</v>
      </c>
      <c r="P15" s="385">
        <f>P10+P11</f>
        <v>3092.547</v>
      </c>
      <c r="Q15" s="565">
        <f>SUMPRODUCT(Q10:Q11,P10:P11)/P15</f>
        <v>2.1090017253307396</v>
      </c>
      <c r="R15" s="566">
        <f>SUMPRODUCT(R10:R11,P10:P11)/P15</f>
        <v>2.9715538680576237</v>
      </c>
      <c r="T15" s="385">
        <f>T10+T11</f>
        <v>3249.7309999999998</v>
      </c>
      <c r="U15" s="565">
        <f>SUMPRODUCT(U10:U11,T10:T11)/T15</f>
        <v>5.0948085609095317</v>
      </c>
      <c r="V15" s="566">
        <f>SUMPRODUCT(V10:V11,T10:T11)/T15</f>
        <v>2.1491148344278344</v>
      </c>
      <c r="X15" s="385">
        <f>X10+X11</f>
        <v>5868.8</v>
      </c>
      <c r="Y15" s="565" t="s">
        <v>300</v>
      </c>
      <c r="Z15" s="566">
        <f>SUMPRODUCT(Z10:Z11,X10:X11)/X15</f>
        <v>2.351901581243184</v>
      </c>
      <c r="AB15" s="385">
        <f>AB10+AB11</f>
        <v>6035.0059999999994</v>
      </c>
      <c r="AC15" s="565">
        <f>SUMPRODUCT(AC10:AC11,AB10:AB11)/AB15</f>
        <v>2.8444744978799377</v>
      </c>
      <c r="AD15" s="566">
        <f>SUMPRODUCT(AD10:AD11,AB10:AB11)/AB15</f>
        <v>3.7739494873741641</v>
      </c>
      <c r="AF15" s="385">
        <f>AF10+AF11</f>
        <v>6584.9</v>
      </c>
      <c r="AG15" s="565">
        <f>SUMPRODUCT(AG10:AG11,AF10:AF11)/AF15</f>
        <v>9.1281972957718871</v>
      </c>
      <c r="AH15" s="566">
        <f>SUMPRODUCT(AH10:AH11,AF10:AF11)/AF15</f>
        <v>2.8444775167428511</v>
      </c>
      <c r="AJ15" s="640">
        <f>AJ10+AJ11</f>
        <v>6861.4</v>
      </c>
      <c r="AK15" s="565">
        <f>SUMPRODUCT(AK10:AK11,AJ10:AJ11)/AJ15</f>
        <v>4.2073428593423241</v>
      </c>
      <c r="AL15" s="566">
        <f>SUMPRODUCT(AL10:AL11,AJ10:AJ11)/AJ15</f>
        <v>3.456119742326639</v>
      </c>
      <c r="AN15" s="640">
        <f>AN10+AN11</f>
        <v>6783</v>
      </c>
      <c r="AO15" s="565">
        <f>SUMPRODUCT(AO10:AO11,AN10:AN11)/AN15</f>
        <v>-1.141248020568407</v>
      </c>
      <c r="AP15" s="566">
        <f>SUMPRODUCT(AP10:AP11,AN10:AN11)/AN15</f>
        <v>2.7125458493646764</v>
      </c>
      <c r="AR15" s="640">
        <f>AR10+AR11</f>
        <v>7606</v>
      </c>
      <c r="AS15" s="565">
        <f>SUMPRODUCT(AS10:AS11,AR10:AR11)/AR15</f>
        <v>12.342625844480091</v>
      </c>
      <c r="AT15" s="566">
        <f>SUMPRODUCT(AT10:AT11,AR10:AR11)/AR15</f>
        <v>5.0007099658164611</v>
      </c>
      <c r="AV15" s="640">
        <f>AV10+AV11</f>
        <v>7252</v>
      </c>
      <c r="AW15" s="565">
        <f>SUMPRODUCT(AW10:AW11,AV10:AV11)/AV15</f>
        <v>-4.5105527898169271</v>
      </c>
      <c r="AX15" s="566">
        <f>SUMPRODUCT(AX10:AX11,AV10:AV11)/AV15</f>
        <v>2.3926916712630999</v>
      </c>
      <c r="AZ15" s="640">
        <f>AZ10+AZ11</f>
        <v>7044</v>
      </c>
      <c r="BA15" s="565">
        <f>SUMPRODUCT(BA10:BA11,AZ10:AZ11)/AZ15</f>
        <v>-2.8109469875620858</v>
      </c>
      <c r="BB15" s="566">
        <f>SUMPRODUCT(BB10:BB11,AZ10:AZ11)/AZ15</f>
        <v>-3.1340715502555363</v>
      </c>
      <c r="BD15" s="640">
        <f>BD10+BD11</f>
        <v>6939</v>
      </c>
      <c r="BE15" s="565">
        <f>SUMPRODUCT(BE10:BE11,BD10:BD11)/BD15</f>
        <v>-1.4701750235920088</v>
      </c>
      <c r="BF15" s="566">
        <f>SUMPRODUCT(BF10:BF11,BD10:BD11)/BD15</f>
        <v>-2.8497622135754432</v>
      </c>
      <c r="BH15" s="640">
        <f>BH10+BH11</f>
        <v>6725</v>
      </c>
      <c r="BI15" s="565">
        <f>SUMPRODUCT(BI10:BI11,BH10:BH11)/BH15</f>
        <v>-3.0576056260377098</v>
      </c>
      <c r="BJ15" s="566">
        <f>SUMPRODUCT(BJ10:BJ11,BH10:BH11)/BH15</f>
        <v>-3.0595985130111525</v>
      </c>
      <c r="BL15" s="640">
        <f>BL10+BL11</f>
        <v>7131</v>
      </c>
      <c r="BM15" s="565">
        <f>SUMPRODUCT(BM10:BM11,BL10:BL11)/BL15</f>
        <v>6.0675336955543502</v>
      </c>
      <c r="BN15" s="566">
        <f>SUMPRODUCT(BN10:BN11,BL10:BL11)/BL15</f>
        <v>5.092175010517459</v>
      </c>
      <c r="BP15" s="640">
        <f>BP10+BP11</f>
        <v>7264</v>
      </c>
      <c r="BQ15" s="565">
        <f>SUMPRODUCT(BQ10:BQ11,BP10:BP11)/BP15</f>
        <v>1.8698413530945408</v>
      </c>
      <c r="BR15" s="566">
        <f>SUMPRODUCT(BR10:BR11,BP10:BP11)/BP15</f>
        <v>1.8518584801762117</v>
      </c>
      <c r="BT15" s="640">
        <f>BT10+BT11</f>
        <v>11925</v>
      </c>
      <c r="BU15" s="565">
        <f>SUMPRODUCT(BU10:BU11,BT10:BT11)/BT15</f>
        <v>64.176069143317406</v>
      </c>
      <c r="BV15" s="566">
        <f>SUMPRODUCT(BV10:BV11,BT10:BT11)/BT15</f>
        <v>2.3125366876310269</v>
      </c>
      <c r="BX15" s="640">
        <f>BX10+BX11</f>
        <v>11813</v>
      </c>
      <c r="BY15" s="565">
        <f>SUMPRODUCT(BY10:BY11,BX10:BX11)/BX15</f>
        <v>-0.93301192984849635</v>
      </c>
      <c r="BZ15" s="566">
        <f>SUMPRODUCT(BZ10:BZ11,BX10:BX11)/BX15</f>
        <v>-0.99607212393126221</v>
      </c>
      <c r="CB15" s="640">
        <f>CB10+CB11</f>
        <v>11465</v>
      </c>
      <c r="CC15" s="565">
        <f>SUMPRODUCT(CC10:CC11,CB10:CB11)/CB15</f>
        <v>-2.9459065126605086</v>
      </c>
      <c r="CD15" s="566">
        <f>SUMPRODUCT(CD10:CD11,CB10:CB11)/CB15</f>
        <v>-2.3506323593545573</v>
      </c>
      <c r="CF15" s="640">
        <f>CF10+CF11</f>
        <v>10573</v>
      </c>
      <c r="CG15" s="565">
        <f>SUMPRODUCT(CG10:CG11,CF10:CF11)/CF15</f>
        <v>-7.7797355293263548</v>
      </c>
      <c r="CH15" s="566">
        <f>SUMPRODUCT(CH10:CH11,CF10:CF11)/CF15</f>
        <v>-9.2499290645985059</v>
      </c>
      <c r="CJ15" s="640">
        <f>CJ10+CJ11</f>
        <v>11111</v>
      </c>
      <c r="CK15" s="565">
        <f>SUMPRODUCT(CK10:CK11,CJ10:CJ11)/CJ15</f>
        <v>5.0894080100292518</v>
      </c>
      <c r="CL15" s="566">
        <f>SUMPRODUCT(CL10:CL11,CJ10:CJ11)/CJ15</f>
        <v>5.2009990099900998</v>
      </c>
      <c r="CN15" s="640">
        <f>CN10+CN11</f>
        <v>11828</v>
      </c>
      <c r="CO15" s="565">
        <f>SUMPRODUCT(CO10:CO11,CN10:CN11)/CN15</f>
        <v>6.4591444138361345</v>
      </c>
      <c r="CP15" s="566">
        <f>SUMPRODUCT(CP10:CP11,CN10:CN11)/CN15</f>
        <v>5.9021136286777134</v>
      </c>
      <c r="CR15" s="640">
        <f>CR10+CR11</f>
        <v>12261</v>
      </c>
      <c r="CS15" s="565">
        <f t="shared" si="0"/>
        <v>3.6608048698004714</v>
      </c>
      <c r="CT15" s="566">
        <f>SUMPRODUCT(CT10:CT11,CR10:CR11)/CR15</f>
        <v>3.7014272897806051</v>
      </c>
      <c r="CV15" s="640">
        <f>CV10+CV11</f>
        <v>12453</v>
      </c>
      <c r="CW15" s="565">
        <f t="shared" si="1"/>
        <v>1.565940787863962</v>
      </c>
      <c r="CX15" s="566">
        <f>SUMPRODUCT(CX10:CX11,CV10:CV11)/CV15</f>
        <v>1.5592869188147434</v>
      </c>
      <c r="CZ15" s="640">
        <f>CZ10+CZ11</f>
        <v>12546</v>
      </c>
      <c r="DA15" s="565">
        <f t="shared" si="2"/>
        <v>0.74680799807276266</v>
      </c>
      <c r="DB15" s="566">
        <f>SUMPRODUCT(DB10:DB11,CZ10:CZ11)/CZ15</f>
        <v>0.8976087996174078</v>
      </c>
      <c r="DD15" s="640">
        <f>DD10+DD11</f>
        <v>12336</v>
      </c>
      <c r="DE15" s="565">
        <f t="shared" si="3"/>
        <v>-1.6738402678144415</v>
      </c>
      <c r="DF15" s="566">
        <f>SUMPRODUCT(DF10:DF11,DD10:DD11)/DD15</f>
        <v>-1.3927367055771724</v>
      </c>
      <c r="DH15" s="640">
        <f>DH10+DH11</f>
        <v>11742</v>
      </c>
      <c r="DI15" s="565">
        <f t="shared" si="4"/>
        <v>-4.8151750972762697</v>
      </c>
      <c r="DJ15" s="566">
        <f>SUMPRODUCT(DJ10:DJ11,DH10:DH11)/DH15</f>
        <v>-4.3210866973258391</v>
      </c>
      <c r="DK15" s="566"/>
      <c r="DL15" s="640">
        <f>DL10+DL11</f>
        <v>10987</v>
      </c>
      <c r="DM15" s="565">
        <f t="shared" si="5"/>
        <v>-6.4299097257707327</v>
      </c>
      <c r="DN15" s="566">
        <f>SUMPRODUCT(DN10:DN11,DL10:DL11)/DL15</f>
        <v>-3.9690907436060798</v>
      </c>
      <c r="DO15" s="566"/>
      <c r="DP15" s="1133">
        <f>DP10+DP11</f>
        <v>10786.120999999999</v>
      </c>
      <c r="DQ15" s="1131">
        <f t="shared" si="6"/>
        <v>-1.8283334850277666</v>
      </c>
      <c r="DR15" s="1132">
        <f>SUMPRODUCT(DR10:DR11,DP10:DP11)/DP15</f>
        <v>-1.0072801426944868</v>
      </c>
      <c r="DS15" s="282"/>
      <c r="DT15" s="892"/>
      <c r="DU15" s="893"/>
    </row>
    <row r="16" spans="1:139" x14ac:dyDescent="0.2">
      <c r="A16" s="604" t="s">
        <v>414</v>
      </c>
      <c r="D16" s="385">
        <f>D12+D13</f>
        <v>4025.8310000000001</v>
      </c>
      <c r="E16" s="565"/>
      <c r="F16" s="566"/>
      <c r="H16" s="385">
        <f>H12+H13</f>
        <v>3843.1610000000001</v>
      </c>
      <c r="I16" s="565">
        <f>SUMPRODUCT(I12:I13,H12:H13)/H16</f>
        <v>-4.525015508135259</v>
      </c>
      <c r="J16" s="566">
        <f>SUMPRODUCT(J12:J13,H12:H13)/H16</f>
        <v>0.74485450908770146</v>
      </c>
      <c r="L16" s="385">
        <f>L12+L13</f>
        <v>4051.0029999999997</v>
      </c>
      <c r="M16" s="565">
        <f>SUMPRODUCT(M12:M13,L12:L13)/L16</f>
        <v>5.4120708292281234</v>
      </c>
      <c r="N16" s="566">
        <f>SUMPRODUCT(N12:N13,L12:L13)/L16</f>
        <v>6.705101304541123</v>
      </c>
      <c r="P16" s="385">
        <f>P12+P13</f>
        <v>4136.8590000000004</v>
      </c>
      <c r="Q16" s="565">
        <f>SUMPRODUCT(Q12:Q13,P12:P13)/P16</f>
        <v>2.1535235235196115</v>
      </c>
      <c r="R16" s="566">
        <f>SUMPRODUCT(R12:R13,P12:P13)/P16</f>
        <v>1.1916873163914938</v>
      </c>
      <c r="T16" s="385">
        <f>T12+T13</f>
        <v>4457.7460000000001</v>
      </c>
      <c r="U16" s="565">
        <f>SUMPRODUCT(U12:U13,T12:T13)/T16</f>
        <v>7.7568159309729596</v>
      </c>
      <c r="V16" s="566">
        <f>SUMPRODUCT(V12:V13,T12:T13)/T16</f>
        <v>3.7974328057273783</v>
      </c>
      <c r="X16" s="385">
        <f>X12+X13</f>
        <v>7832.7000000000007</v>
      </c>
      <c r="Y16" s="565" t="s">
        <v>300</v>
      </c>
      <c r="Z16" s="566">
        <f>SUMPRODUCT(Z12:Z13,X12:X13)/X16</f>
        <v>3.6428026095726889</v>
      </c>
      <c r="AB16" s="385">
        <f>AB12+AB13</f>
        <v>7963.0280000000002</v>
      </c>
      <c r="AC16" s="565">
        <f>SUMPRODUCT(AC12:AC13,AB12:AB13)/AB16</f>
        <v>1.7005918760937107</v>
      </c>
      <c r="AD16" s="566">
        <f>SUMPRODUCT(AD12:AD13,AB12:AB13)/AB16</f>
        <v>1.9069620249985308</v>
      </c>
      <c r="AF16" s="385">
        <f>AF12+AF13</f>
        <v>8644.5</v>
      </c>
      <c r="AG16" s="565">
        <f>SUMPRODUCT(AG12:AG13,AF12:AF13)/AF16</f>
        <v>8.5585133112425584</v>
      </c>
      <c r="AH16" s="566">
        <f>SUMPRODUCT(AH12:AH13,AF12:AF13)/AF16</f>
        <v>2.9048123084041868</v>
      </c>
      <c r="AJ16" s="385">
        <f>AJ12+AJ13</f>
        <v>8806.2160000000003</v>
      </c>
      <c r="AK16" s="565">
        <f>SUMPRODUCT(AK12:AK13,AJ12:AJ13)/AJ16</f>
        <v>1.8968167791409871</v>
      </c>
      <c r="AL16" s="566">
        <f>SUMPRODUCT(AL12:AL13,AJ12:AJ13)/AJ16</f>
        <v>2.1231675898024753</v>
      </c>
      <c r="AN16" s="385">
        <f>AN12+AN13</f>
        <v>8582</v>
      </c>
      <c r="AO16" s="565">
        <f>SUMPRODUCT(AO12:AO13,AN12:AN13)/AN16</f>
        <v>-2.4889927049567762</v>
      </c>
      <c r="AP16" s="566">
        <f>SUMPRODUCT(AP12:AP13,AN12:AN13)/AN16</f>
        <v>1.8890260183992458</v>
      </c>
      <c r="AR16" s="385">
        <f>AR12+AR13</f>
        <v>10110</v>
      </c>
      <c r="AS16" s="565">
        <f>SUMPRODUCT(AS12:AS13,AR12:AR13)/AR16</f>
        <v>17.813377555001608</v>
      </c>
      <c r="AT16" s="566">
        <f>SUMPRODUCT(AT12:AT13,AR12:AR13)/AR16</f>
        <v>4.1954005934718097</v>
      </c>
      <c r="AV16" s="385">
        <f>AV12+AV13</f>
        <v>9386</v>
      </c>
      <c r="AW16" s="565">
        <f>SUMPRODUCT(AW12:AW13,AV12:AV13)/AV16</f>
        <v>-7.1461860410303251</v>
      </c>
      <c r="AX16" s="566">
        <f>SUMPRODUCT(AX12:AX13,AV12:AV13)/AV16</f>
        <v>1.720882164926486</v>
      </c>
      <c r="AZ16" s="385">
        <f>AZ12+AZ13</f>
        <v>8607</v>
      </c>
      <c r="BA16" s="565">
        <f>SUMPRODUCT(BA12:BA13,AZ12:AZ13)/AZ16</f>
        <v>-8.2993508356060879</v>
      </c>
      <c r="BB16" s="566">
        <f>SUMPRODUCT(BB12:BB13,AZ12:AZ13)/AZ16</f>
        <v>-7.0497269664226794</v>
      </c>
      <c r="BD16" s="385">
        <f>BD12+BD13</f>
        <v>8496</v>
      </c>
      <c r="BE16" s="565">
        <f>SUMPRODUCT(BE12:BE13,BD12:BD13)/BD16</f>
        <v>-1.2761114364383883</v>
      </c>
      <c r="BF16" s="566">
        <f>SUMPRODUCT(BF12:BF13,BD12:BD13)/BD16</f>
        <v>-3.1219750470809791</v>
      </c>
      <c r="BH16" s="385">
        <f>BH12+BH13</f>
        <v>8539</v>
      </c>
      <c r="BI16" s="565">
        <f>SUMPRODUCT(BI12:BI13,BH12:BH13)/BH16</f>
        <v>0.50676198867830957</v>
      </c>
      <c r="BJ16" s="566">
        <f>SUMPRODUCT(BJ12:BJ13,BH12:BH13)/BH16</f>
        <v>0.91010656985595495</v>
      </c>
      <c r="BL16" s="385">
        <f>BL12+BL13</f>
        <v>8645</v>
      </c>
      <c r="BM16" s="565">
        <f>SUMPRODUCT(BM12:BM13,BL12:BL13)/BL16</f>
        <v>1.2414655851253038</v>
      </c>
      <c r="BN16" s="566">
        <f>SUMPRODUCT(BN12:BN13,BL12:BL13)/BL16</f>
        <v>0.63689994216310009</v>
      </c>
      <c r="BP16" s="385">
        <f>BP12+BP13</f>
        <v>15126</v>
      </c>
      <c r="BQ16" s="565">
        <f>SUMPRODUCT(BQ12:BQ13,BP12:BP13)/BP16</f>
        <v>76.156709660204754</v>
      </c>
      <c r="BR16" s="566">
        <f>SUMPRODUCT(BR12:BR13,BP12:BP13)/BP16</f>
        <v>0.91637577680814497</v>
      </c>
      <c r="BT16" s="385">
        <f>BT12+BT13</f>
        <v>15045</v>
      </c>
      <c r="BU16" s="565">
        <f>SUMPRODUCT(BU12:BU13,BT12:BT13)/BT16</f>
        <v>-0.28941047409948994</v>
      </c>
      <c r="BV16" s="566">
        <f>SUMPRODUCT(BV12:BV13,BT12:BT13)/BT16</f>
        <v>6.0217547357926211</v>
      </c>
      <c r="BX16" s="385">
        <f>BX12+BX13</f>
        <v>14500</v>
      </c>
      <c r="BY16" s="565">
        <f>SUMPRODUCT(BY12:BY13,BX12:BX13)/BX16</f>
        <v>-3.5177816987279713</v>
      </c>
      <c r="BZ16" s="566">
        <f>SUMPRODUCT(BZ12:BZ13,BX12:BX13)/BX16</f>
        <v>-1.5112275862068965</v>
      </c>
      <c r="CB16" s="385">
        <f>CB12+CB13</f>
        <v>13427</v>
      </c>
      <c r="CC16" s="565">
        <f>SUMPRODUCT(CC12:CC13,CB12:CB13)/CB16</f>
        <v>-7.3987699757888885</v>
      </c>
      <c r="CD16" s="566">
        <f>SUMPRODUCT(CD12:CD13,CB12:CB13)/CB16</f>
        <v>-6.5908989349817535</v>
      </c>
      <c r="CF16" s="385">
        <f>CF12+CF13</f>
        <v>13322</v>
      </c>
      <c r="CG16" s="565">
        <f>SUMPRODUCT(CG12:CG13,CF12:CF13)/CF16</f>
        <v>-0.7722221574971655</v>
      </c>
      <c r="CH16" s="566">
        <f>SUMPRODUCT(CH12:CH13,CF12:CF13)/CF16</f>
        <v>-1.9318120402341989</v>
      </c>
      <c r="CJ16" s="385">
        <f>CJ12+CJ13</f>
        <v>13892</v>
      </c>
      <c r="CK16" s="565">
        <f>SUMPRODUCT(CK12:CK13,CJ12:CJ13)/CJ16</f>
        <v>4.2787662801408253</v>
      </c>
      <c r="CL16" s="566">
        <f>SUMPRODUCT(CL12:CL13,CJ12:CJ13)/CJ16</f>
        <v>4.1380938669737972</v>
      </c>
      <c r="CN16" s="385">
        <f>CN12+CN13</f>
        <v>14577</v>
      </c>
      <c r="CO16" s="565">
        <f>SUMPRODUCT(CO12:CO13,CN12:CN13)/CN16</f>
        <v>4.9354741683369641</v>
      </c>
      <c r="CP16" s="566">
        <f>SUMPRODUCT(CP12:CP13,CN12:CN13)/CN16</f>
        <v>4.7181724634698501</v>
      </c>
      <c r="CR16" s="385">
        <f>CR12+CR13</f>
        <v>15425</v>
      </c>
      <c r="CS16" s="565">
        <f t="shared" si="0"/>
        <v>5.8173835494271797</v>
      </c>
      <c r="CT16" s="566">
        <f>SUMPRODUCT(CT12:CT13,CR12:CR13)/CR16</f>
        <v>3.8212317666126419</v>
      </c>
      <c r="CV16" s="385">
        <f>CV12+CV13</f>
        <v>15478</v>
      </c>
      <c r="CW16" s="565">
        <f t="shared" si="1"/>
        <v>0.34359805510535413</v>
      </c>
      <c r="CX16" s="566">
        <f>SUMPRODUCT(CX12:CX13,CV12:CV13)/CV16</f>
        <v>2.251505362449929</v>
      </c>
      <c r="CZ16" s="385">
        <f>CZ12+CZ13</f>
        <v>15559</v>
      </c>
      <c r="DA16" s="565">
        <f t="shared" si="2"/>
        <v>0.52332342679932697</v>
      </c>
      <c r="DB16" s="566">
        <f>SUMPRODUCT(DB12:DB13,CZ12:CZ13)/CZ16</f>
        <v>0.6462497589819397</v>
      </c>
      <c r="DD16" s="385">
        <f>DD12+DD13</f>
        <v>14743</v>
      </c>
      <c r="DE16" s="565">
        <f t="shared" si="3"/>
        <v>-5.2445529918375255</v>
      </c>
      <c r="DF16" s="566">
        <f>SUMPRODUCT(DF12:DF13,DD12:DD13)/DD16</f>
        <v>-4.4414162653462661</v>
      </c>
      <c r="DH16" s="385">
        <f>DH12+DH13</f>
        <v>14168</v>
      </c>
      <c r="DI16" s="565">
        <f t="shared" si="4"/>
        <v>-3.9001560062402518</v>
      </c>
      <c r="DJ16" s="566">
        <f>SUMPRODUCT(DJ12:DJ13,DH12:DH13)/DH16</f>
        <v>-2.9386363636363639</v>
      </c>
      <c r="DK16" s="566"/>
      <c r="DL16" s="385">
        <f>DL12+DL13</f>
        <v>13958</v>
      </c>
      <c r="DM16" s="565">
        <f t="shared" si="5"/>
        <v>-1.4822134387351804</v>
      </c>
      <c r="DN16" s="566">
        <f>SUMPRODUCT(DN12:DN13,DL12:DL13)/DL16</f>
        <v>-0.70752973205330272</v>
      </c>
      <c r="DO16" s="566"/>
      <c r="DP16" s="1092">
        <f>DP12+DP13</f>
        <v>13769.141</v>
      </c>
      <c r="DQ16" s="1131">
        <f t="shared" si="6"/>
        <v>-1.3530520131824098</v>
      </c>
      <c r="DR16" s="1132">
        <f>SUMPRODUCT(DR12:DR13,DP12:DP13)/DP16</f>
        <v>1.3847425195224594</v>
      </c>
      <c r="DT16" s="894"/>
      <c r="DU16" s="895"/>
    </row>
    <row r="17" spans="1:140" x14ac:dyDescent="0.2">
      <c r="A17" s="604"/>
      <c r="D17" s="385"/>
      <c r="E17" s="565"/>
      <c r="F17" s="566"/>
      <c r="H17" s="385"/>
      <c r="I17" s="565"/>
      <c r="J17" s="566"/>
      <c r="L17" s="385"/>
      <c r="M17" s="565"/>
      <c r="N17" s="566"/>
      <c r="P17" s="385"/>
      <c r="Q17" s="565"/>
      <c r="R17" s="566"/>
      <c r="T17" s="385"/>
      <c r="U17" s="565"/>
      <c r="V17" s="566"/>
      <c r="X17" s="385"/>
      <c r="Y17" s="565"/>
      <c r="Z17" s="566"/>
      <c r="AB17" s="385"/>
      <c r="AC17" s="565"/>
      <c r="AD17" s="566"/>
      <c r="AF17" s="385"/>
      <c r="AG17" s="565"/>
      <c r="AH17" s="566"/>
      <c r="AJ17" s="385"/>
      <c r="AK17" s="565"/>
      <c r="AL17" s="566"/>
      <c r="AN17" s="385"/>
      <c r="AO17" s="565"/>
      <c r="AP17" s="566"/>
      <c r="AR17" s="385"/>
      <c r="AS17" s="565"/>
      <c r="AT17" s="566"/>
      <c r="AV17" s="385"/>
      <c r="AW17" s="565"/>
      <c r="AX17" s="566"/>
      <c r="AZ17" s="385"/>
      <c r="BA17" s="565"/>
      <c r="BB17" s="566"/>
      <c r="BD17" s="385"/>
      <c r="BE17" s="565"/>
      <c r="BF17" s="566"/>
      <c r="BH17" s="385"/>
      <c r="BI17" s="565"/>
      <c r="BJ17" s="566"/>
      <c r="BL17" s="385"/>
      <c r="BM17" s="565"/>
      <c r="BN17" s="566"/>
      <c r="BP17" s="385"/>
      <c r="BQ17" s="565"/>
      <c r="BR17" s="566"/>
      <c r="BT17" s="385"/>
      <c r="BU17" s="565"/>
      <c r="BV17" s="566"/>
      <c r="BX17" s="385"/>
      <c r="BY17" s="565"/>
      <c r="BZ17" s="566"/>
      <c r="CB17" s="385"/>
      <c r="CC17" s="565"/>
      <c r="CD17" s="566"/>
      <c r="CF17" s="385"/>
      <c r="CG17" s="565"/>
      <c r="CH17" s="566"/>
      <c r="CJ17" s="385"/>
      <c r="CK17" s="565"/>
      <c r="CL17" s="566"/>
      <c r="CN17" s="385"/>
      <c r="CO17" s="565"/>
      <c r="CP17" s="566"/>
      <c r="CR17" s="385"/>
      <c r="CS17" s="565"/>
      <c r="CT17" s="566"/>
      <c r="CV17" s="385"/>
      <c r="CW17" s="565"/>
      <c r="CX17" s="566"/>
      <c r="CZ17" s="385"/>
      <c r="DA17" s="565"/>
      <c r="DB17" s="566"/>
      <c r="DD17" s="385"/>
      <c r="DE17" s="565"/>
      <c r="DF17" s="566"/>
      <c r="DH17" s="385"/>
      <c r="DI17" s="565"/>
      <c r="DJ17" s="566"/>
      <c r="DK17" s="566"/>
      <c r="DL17" s="385"/>
      <c r="DM17" s="565"/>
      <c r="DN17" s="566"/>
      <c r="DO17" s="566"/>
      <c r="DP17" s="1092"/>
      <c r="DQ17" s="1131"/>
      <c r="DR17" s="1132"/>
      <c r="DT17" s="894"/>
      <c r="DU17" s="895"/>
      <c r="EI17" s="1473"/>
    </row>
    <row r="18" spans="1:140" x14ac:dyDescent="0.2">
      <c r="A18" s="604"/>
      <c r="D18" s="385"/>
      <c r="E18" s="565"/>
      <c r="F18" s="566"/>
      <c r="H18" s="385"/>
      <c r="I18" s="565"/>
      <c r="J18" s="566"/>
      <c r="L18" s="385"/>
      <c r="M18" s="565"/>
      <c r="N18" s="566"/>
      <c r="P18" s="385"/>
      <c r="Q18" s="565"/>
      <c r="R18" s="566"/>
      <c r="T18" s="385"/>
      <c r="U18" s="565"/>
      <c r="V18" s="566"/>
      <c r="X18" s="385"/>
      <c r="Y18" s="565"/>
      <c r="Z18" s="566"/>
      <c r="AB18" s="385"/>
      <c r="AC18" s="565"/>
      <c r="AD18" s="566"/>
      <c r="AF18" s="385"/>
      <c r="AG18" s="565"/>
      <c r="AH18" s="566"/>
      <c r="AJ18" s="385"/>
      <c r="AK18" s="565"/>
      <c r="AL18" s="566"/>
      <c r="AN18" s="385"/>
      <c r="AO18" s="565"/>
      <c r="AP18" s="566"/>
      <c r="AR18" s="385"/>
      <c r="AS18" s="565"/>
      <c r="AT18" s="566"/>
      <c r="AV18" s="385"/>
      <c r="AW18" s="565"/>
      <c r="AX18" s="566"/>
      <c r="AZ18" s="385"/>
      <c r="BA18" s="565"/>
      <c r="BB18" s="566"/>
      <c r="BD18" s="385"/>
      <c r="BE18" s="565"/>
      <c r="BF18" s="566"/>
      <c r="BH18" s="385"/>
      <c r="BI18" s="565"/>
      <c r="BJ18" s="566"/>
      <c r="BL18" s="385"/>
      <c r="BM18" s="565"/>
      <c r="BN18" s="566"/>
      <c r="BP18" s="385"/>
      <c r="BQ18" s="565"/>
      <c r="BR18" s="566"/>
      <c r="BT18" s="385"/>
      <c r="BU18" s="565"/>
      <c r="BV18" s="566"/>
      <c r="BX18" s="385"/>
      <c r="BY18" s="565"/>
      <c r="BZ18" s="566"/>
      <c r="CB18" s="385"/>
      <c r="CC18" s="565"/>
      <c r="CD18" s="566"/>
      <c r="CF18" s="385"/>
      <c r="CG18" s="565"/>
      <c r="CH18" s="566"/>
      <c r="CJ18" s="385"/>
      <c r="CK18" s="565"/>
      <c r="CL18" s="566"/>
      <c r="CN18" s="385"/>
      <c r="CO18" s="565"/>
      <c r="CP18" s="566"/>
      <c r="CR18" s="385"/>
      <c r="CS18" s="565"/>
      <c r="CT18" s="566"/>
      <c r="CV18" s="385"/>
      <c r="CW18" s="565"/>
      <c r="CX18" s="566"/>
      <c r="CZ18" s="505" t="s">
        <v>672</v>
      </c>
      <c r="DA18" s="565"/>
      <c r="DB18" s="566"/>
      <c r="DD18" s="385"/>
      <c r="DE18" s="565"/>
      <c r="DF18" s="566"/>
      <c r="DH18" s="385"/>
      <c r="DI18" s="565"/>
      <c r="DJ18" s="566"/>
      <c r="DK18" s="566"/>
      <c r="DL18" s="385"/>
      <c r="DM18" s="565"/>
      <c r="DN18" s="566"/>
      <c r="DO18" s="566"/>
      <c r="DP18" s="1092"/>
      <c r="DQ18" s="1131"/>
      <c r="DR18" s="1132"/>
      <c r="DT18" s="894"/>
      <c r="DU18" s="895"/>
      <c r="EI18" s="1473"/>
    </row>
    <row r="19" spans="1:140" x14ac:dyDescent="0.2">
      <c r="A19" s="604"/>
      <c r="D19" s="385"/>
      <c r="E19" s="565"/>
      <c r="F19" s="566"/>
      <c r="H19" s="385"/>
      <c r="I19" s="565"/>
      <c r="J19" s="566"/>
      <c r="L19" s="385"/>
      <c r="M19" s="565"/>
      <c r="N19" s="566"/>
      <c r="P19" s="385"/>
      <c r="Q19" s="565"/>
      <c r="R19" s="566"/>
      <c r="T19" s="385"/>
      <c r="U19" s="565"/>
      <c r="V19" s="566"/>
      <c r="X19" s="385"/>
      <c r="Y19" s="565"/>
      <c r="Z19" s="566"/>
      <c r="AB19" s="385"/>
      <c r="AC19" s="565"/>
      <c r="AD19" s="566"/>
      <c r="AF19" s="385"/>
      <c r="AG19" s="565"/>
      <c r="AH19" s="566"/>
      <c r="AJ19" s="385"/>
      <c r="AK19" s="565"/>
      <c r="AL19" s="566"/>
      <c r="AN19" s="385"/>
      <c r="AO19" s="565"/>
      <c r="AP19" s="566"/>
      <c r="AR19" s="385"/>
      <c r="AS19" s="565"/>
      <c r="AT19" s="566"/>
      <c r="AV19" s="385"/>
      <c r="AW19" s="565"/>
      <c r="AX19" s="566"/>
      <c r="AZ19" s="385"/>
      <c r="BA19" s="565"/>
      <c r="BB19" s="566"/>
      <c r="BD19" s="385"/>
      <c r="BE19" s="565"/>
      <c r="BF19" s="566"/>
      <c r="BH19" s="385"/>
      <c r="BI19" s="565"/>
      <c r="BJ19" s="566"/>
      <c r="BL19" s="385"/>
      <c r="BM19" s="565"/>
      <c r="BN19" s="566"/>
      <c r="BP19" s="385"/>
      <c r="BQ19" s="565"/>
      <c r="BR19" s="566"/>
      <c r="BT19" s="385"/>
      <c r="BU19" s="565"/>
      <c r="BV19" s="566"/>
      <c r="BX19" s="385"/>
      <c r="BY19" s="565"/>
      <c r="BZ19" s="566"/>
      <c r="CB19" s="385"/>
      <c r="CC19" s="565"/>
      <c r="CD19" s="566"/>
      <c r="CF19" s="385"/>
      <c r="CG19" s="565"/>
      <c r="CH19" s="566"/>
      <c r="CJ19" s="385"/>
      <c r="CK19" s="565"/>
      <c r="CL19" s="566"/>
      <c r="CN19" s="385"/>
      <c r="CO19" s="565"/>
      <c r="CP19" s="566"/>
      <c r="CR19" s="385"/>
      <c r="CS19" s="565"/>
      <c r="CT19" s="566"/>
      <c r="CV19" s="385"/>
      <c r="CW19" s="565"/>
      <c r="CX19" s="566"/>
      <c r="CZ19" s="385"/>
      <c r="DA19" s="565"/>
      <c r="DB19" s="566"/>
      <c r="DD19" s="385"/>
      <c r="DE19" s="565"/>
      <c r="DF19" s="566"/>
      <c r="DH19" s="635">
        <v>162</v>
      </c>
      <c r="DI19" s="565"/>
      <c r="DK19" s="566"/>
      <c r="DL19" s="635">
        <v>161</v>
      </c>
      <c r="DM19" s="565">
        <f t="shared" ref="DM19:DM25" si="9">(DL19/DH19-1)*100</f>
        <v>-0.61728395061728669</v>
      </c>
      <c r="DN19" s="566"/>
      <c r="DO19" s="566"/>
      <c r="DP19" s="1130">
        <v>150</v>
      </c>
      <c r="DQ19" s="1131">
        <f t="shared" ref="DQ19:DQ25" si="10">(DP19/DL19-1)*100</f>
        <v>-6.8322981366459645</v>
      </c>
      <c r="DR19" s="1132"/>
      <c r="DT19" s="894"/>
      <c r="DU19" s="895"/>
      <c r="EI19" s="1473"/>
    </row>
    <row r="20" spans="1:140" x14ac:dyDescent="0.2">
      <c r="A20" s="604"/>
      <c r="D20" s="385"/>
      <c r="E20" s="565"/>
      <c r="F20" s="566"/>
      <c r="H20" s="385"/>
      <c r="I20" s="565"/>
      <c r="J20" s="566"/>
      <c r="L20" s="385"/>
      <c r="M20" s="565"/>
      <c r="N20" s="566"/>
      <c r="P20" s="385"/>
      <c r="Q20" s="565"/>
      <c r="R20" s="566"/>
      <c r="T20" s="385"/>
      <c r="U20" s="565"/>
      <c r="V20" s="566"/>
      <c r="X20" s="385"/>
      <c r="Y20" s="565"/>
      <c r="Z20" s="566"/>
      <c r="AB20" s="385"/>
      <c r="AC20" s="565"/>
      <c r="AD20" s="566"/>
      <c r="AF20" s="385"/>
      <c r="AG20" s="565"/>
      <c r="AH20" s="566"/>
      <c r="AJ20" s="385"/>
      <c r="AK20" s="565"/>
      <c r="AL20" s="566"/>
      <c r="AN20" s="385"/>
      <c r="AO20" s="565"/>
      <c r="AP20" s="566"/>
      <c r="AR20" s="385"/>
      <c r="AS20" s="565"/>
      <c r="AT20" s="566"/>
      <c r="AV20" s="385"/>
      <c r="AW20" s="565"/>
      <c r="AX20" s="566"/>
      <c r="AZ20" s="385"/>
      <c r="BA20" s="565"/>
      <c r="BB20" s="566"/>
      <c r="BD20" s="385"/>
      <c r="BE20" s="565"/>
      <c r="BF20" s="566"/>
      <c r="BH20" s="385"/>
      <c r="BI20" s="565"/>
      <c r="BJ20" s="566"/>
      <c r="BL20" s="385"/>
      <c r="BM20" s="565"/>
      <c r="BN20" s="566"/>
      <c r="BP20" s="385"/>
      <c r="BQ20" s="565"/>
      <c r="BR20" s="566"/>
      <c r="BT20" s="385"/>
      <c r="BU20" s="565"/>
      <c r="BV20" s="566"/>
      <c r="BX20" s="385"/>
      <c r="BY20" s="565"/>
      <c r="BZ20" s="566"/>
      <c r="CB20" s="385"/>
      <c r="CC20" s="565"/>
      <c r="CD20" s="566"/>
      <c r="CF20" s="385"/>
      <c r="CG20" s="565"/>
      <c r="CH20" s="566"/>
      <c r="CJ20" s="385"/>
      <c r="CK20" s="565"/>
      <c r="CL20" s="566"/>
      <c r="CN20" s="385"/>
      <c r="CO20" s="565"/>
      <c r="CP20" s="566"/>
      <c r="CR20" s="385"/>
      <c r="CS20" s="565"/>
      <c r="CT20" s="566"/>
      <c r="CV20" s="385"/>
      <c r="CW20" s="565"/>
      <c r="CX20" s="566"/>
      <c r="CZ20" s="385"/>
      <c r="DA20" s="565"/>
      <c r="DB20" s="566"/>
      <c r="DD20" s="385"/>
      <c r="DE20" s="565"/>
      <c r="DF20" s="566"/>
      <c r="DH20" s="640">
        <v>157.5</v>
      </c>
      <c r="DI20" s="565"/>
      <c r="DK20" s="566"/>
      <c r="DL20" s="640">
        <v>167</v>
      </c>
      <c r="DM20" s="565">
        <f t="shared" si="9"/>
        <v>6.0317460317460325</v>
      </c>
      <c r="DN20" s="566"/>
      <c r="DO20" s="566"/>
      <c r="DP20" s="1133">
        <v>156</v>
      </c>
      <c r="DQ20" s="1131">
        <f t="shared" si="10"/>
        <v>-6.5868263473053856</v>
      </c>
      <c r="DR20" s="1132"/>
      <c r="DT20" s="894"/>
      <c r="DU20" s="895"/>
      <c r="EI20" s="1473"/>
    </row>
    <row r="21" spans="1:140" x14ac:dyDescent="0.2">
      <c r="A21" s="604"/>
      <c r="D21" s="385"/>
      <c r="E21" s="565"/>
      <c r="F21" s="566"/>
      <c r="H21" s="385"/>
      <c r="I21" s="565"/>
      <c r="J21" s="566"/>
      <c r="L21" s="385"/>
      <c r="M21" s="565"/>
      <c r="N21" s="566"/>
      <c r="P21" s="385"/>
      <c r="Q21" s="565"/>
      <c r="R21" s="566"/>
      <c r="T21" s="385"/>
      <c r="U21" s="565"/>
      <c r="V21" s="566"/>
      <c r="X21" s="385"/>
      <c r="Y21" s="565"/>
      <c r="Z21" s="566"/>
      <c r="AB21" s="385"/>
      <c r="AC21" s="565"/>
      <c r="AD21" s="566"/>
      <c r="AF21" s="385"/>
      <c r="AG21" s="565"/>
      <c r="AH21" s="566"/>
      <c r="AJ21" s="385"/>
      <c r="AK21" s="565"/>
      <c r="AL21" s="566"/>
      <c r="AN21" s="385"/>
      <c r="AO21" s="565"/>
      <c r="AP21" s="566"/>
      <c r="AR21" s="385"/>
      <c r="AS21" s="565"/>
      <c r="AT21" s="566"/>
      <c r="AV21" s="385"/>
      <c r="AW21" s="565"/>
      <c r="AX21" s="566"/>
      <c r="AZ21" s="385"/>
      <c r="BA21" s="565"/>
      <c r="BB21" s="566"/>
      <c r="BD21" s="385"/>
      <c r="BE21" s="565"/>
      <c r="BF21" s="566"/>
      <c r="BH21" s="385"/>
      <c r="BI21" s="565"/>
      <c r="BJ21" s="566"/>
      <c r="BL21" s="385"/>
      <c r="BM21" s="565"/>
      <c r="BN21" s="566"/>
      <c r="BP21" s="385"/>
      <c r="BQ21" s="565"/>
      <c r="BR21" s="566"/>
      <c r="BT21" s="385"/>
      <c r="BU21" s="565"/>
      <c r="BV21" s="566"/>
      <c r="BX21" s="385"/>
      <c r="BY21" s="565"/>
      <c r="BZ21" s="566"/>
      <c r="CB21" s="385"/>
      <c r="CC21" s="565"/>
      <c r="CD21" s="566"/>
      <c r="CF21" s="385"/>
      <c r="CG21" s="565"/>
      <c r="CH21" s="566"/>
      <c r="CJ21" s="385"/>
      <c r="CK21" s="565"/>
      <c r="CL21" s="566"/>
      <c r="CN21" s="385"/>
      <c r="CO21" s="565"/>
      <c r="CP21" s="566"/>
      <c r="CR21" s="385"/>
      <c r="CS21" s="565"/>
      <c r="CT21" s="566"/>
      <c r="CV21" s="385"/>
      <c r="CW21" s="565"/>
      <c r="CX21" s="566"/>
      <c r="CZ21" s="385"/>
      <c r="DA21" s="565"/>
      <c r="DB21" s="566"/>
      <c r="DD21" s="385"/>
      <c r="DE21" s="565"/>
      <c r="DF21" s="566"/>
      <c r="DH21" s="640">
        <v>146.5</v>
      </c>
      <c r="DI21" s="565"/>
      <c r="DK21" s="566"/>
      <c r="DL21" s="640">
        <v>145</v>
      </c>
      <c r="DM21" s="565">
        <f t="shared" si="9"/>
        <v>-1.0238907849829393</v>
      </c>
      <c r="DN21" s="566"/>
      <c r="DO21" s="566"/>
      <c r="DP21" s="1133">
        <v>135</v>
      </c>
      <c r="DQ21" s="1131">
        <f t="shared" si="10"/>
        <v>-6.8965517241379342</v>
      </c>
      <c r="DR21" s="1132"/>
      <c r="DT21" s="894"/>
      <c r="DU21" s="895"/>
      <c r="EI21" s="1473"/>
    </row>
    <row r="22" spans="1:140" x14ac:dyDescent="0.2">
      <c r="A22" s="604"/>
      <c r="D22" s="385"/>
      <c r="E22" s="565"/>
      <c r="F22" s="566"/>
      <c r="H22" s="385"/>
      <c r="I22" s="565"/>
      <c r="J22" s="566"/>
      <c r="L22" s="385"/>
      <c r="M22" s="565"/>
      <c r="N22" s="566"/>
      <c r="P22" s="385"/>
      <c r="Q22" s="565"/>
      <c r="R22" s="566"/>
      <c r="T22" s="385"/>
      <c r="U22" s="565"/>
      <c r="V22" s="566"/>
      <c r="X22" s="385"/>
      <c r="Y22" s="565"/>
      <c r="Z22" s="566"/>
      <c r="AB22" s="385"/>
      <c r="AC22" s="565"/>
      <c r="AD22" s="566"/>
      <c r="AF22" s="385"/>
      <c r="AG22" s="565"/>
      <c r="AH22" s="566"/>
      <c r="AJ22" s="385"/>
      <c r="AK22" s="565"/>
      <c r="AL22" s="566"/>
      <c r="AN22" s="385"/>
      <c r="AO22" s="565"/>
      <c r="AP22" s="566"/>
      <c r="AR22" s="385"/>
      <c r="AS22" s="565"/>
      <c r="AT22" s="566"/>
      <c r="AV22" s="385"/>
      <c r="AW22" s="565"/>
      <c r="AX22" s="566"/>
      <c r="AZ22" s="385"/>
      <c r="BA22" s="565"/>
      <c r="BB22" s="566"/>
      <c r="BD22" s="385"/>
      <c r="BE22" s="565"/>
      <c r="BF22" s="566"/>
      <c r="BH22" s="385"/>
      <c r="BI22" s="565"/>
      <c r="BJ22" s="566"/>
      <c r="BL22" s="385"/>
      <c r="BM22" s="565"/>
      <c r="BN22" s="566"/>
      <c r="BP22" s="385"/>
      <c r="BQ22" s="565"/>
      <c r="BR22" s="566"/>
      <c r="BT22" s="385"/>
      <c r="BU22" s="565"/>
      <c r="BV22" s="566"/>
      <c r="BX22" s="385"/>
      <c r="BY22" s="565"/>
      <c r="BZ22" s="566"/>
      <c r="CB22" s="385"/>
      <c r="CC22" s="565"/>
      <c r="CD22" s="566"/>
      <c r="CF22" s="385"/>
      <c r="CG22" s="565"/>
      <c r="CH22" s="566"/>
      <c r="CJ22" s="385"/>
      <c r="CK22" s="565"/>
      <c r="CL22" s="566"/>
      <c r="CN22" s="385"/>
      <c r="CO22" s="565"/>
      <c r="CP22" s="566"/>
      <c r="CR22" s="385"/>
      <c r="CS22" s="565"/>
      <c r="CT22" s="566"/>
      <c r="CV22" s="385"/>
      <c r="CW22" s="565"/>
      <c r="CX22" s="566"/>
      <c r="CZ22" s="385"/>
      <c r="DA22" s="565"/>
      <c r="DB22" s="566"/>
      <c r="DD22" s="385"/>
      <c r="DE22" s="565"/>
      <c r="DF22" s="566"/>
      <c r="DH22" s="564">
        <v>190</v>
      </c>
      <c r="DI22" s="565"/>
      <c r="DK22" s="566"/>
      <c r="DL22" s="1134">
        <v>229</v>
      </c>
      <c r="DM22" s="565">
        <f t="shared" si="9"/>
        <v>20.526315789473681</v>
      </c>
      <c r="DN22" s="566"/>
      <c r="DO22" s="566"/>
      <c r="DP22" s="1134">
        <v>215</v>
      </c>
      <c r="DQ22" s="1131">
        <f t="shared" si="10"/>
        <v>-6.1135371179039328</v>
      </c>
      <c r="DR22" s="1132"/>
      <c r="DT22" s="894"/>
      <c r="DU22" s="895"/>
      <c r="EI22" s="1473"/>
    </row>
    <row r="23" spans="1:140" x14ac:dyDescent="0.2">
      <c r="A23" s="604"/>
      <c r="D23" s="385"/>
      <c r="E23" s="565"/>
      <c r="F23" s="566"/>
      <c r="H23" s="385"/>
      <c r="I23" s="565"/>
      <c r="J23" s="566"/>
      <c r="L23" s="385"/>
      <c r="M23" s="565"/>
      <c r="N23" s="566"/>
      <c r="P23" s="385"/>
      <c r="Q23" s="565"/>
      <c r="R23" s="566"/>
      <c r="T23" s="385"/>
      <c r="U23" s="565"/>
      <c r="V23" s="566"/>
      <c r="X23" s="385"/>
      <c r="Y23" s="565"/>
      <c r="Z23" s="566"/>
      <c r="AB23" s="385"/>
      <c r="AC23" s="565"/>
      <c r="AD23" s="566"/>
      <c r="AF23" s="385"/>
      <c r="AG23" s="565"/>
      <c r="AH23" s="566"/>
      <c r="AJ23" s="385"/>
      <c r="AK23" s="565"/>
      <c r="AL23" s="566"/>
      <c r="AN23" s="385"/>
      <c r="AO23" s="565"/>
      <c r="AP23" s="566"/>
      <c r="AR23" s="385"/>
      <c r="AS23" s="565"/>
      <c r="AT23" s="566"/>
      <c r="AV23" s="385"/>
      <c r="AW23" s="565"/>
      <c r="AX23" s="566"/>
      <c r="AZ23" s="385"/>
      <c r="BA23" s="565"/>
      <c r="BB23" s="566"/>
      <c r="BD23" s="385"/>
      <c r="BE23" s="565"/>
      <c r="BF23" s="566"/>
      <c r="BH23" s="385"/>
      <c r="BI23" s="565"/>
      <c r="BJ23" s="566"/>
      <c r="BL23" s="385"/>
      <c r="BM23" s="565"/>
      <c r="BN23" s="566"/>
      <c r="BP23" s="385"/>
      <c r="BQ23" s="565"/>
      <c r="BR23" s="566"/>
      <c r="BT23" s="385"/>
      <c r="BU23" s="565"/>
      <c r="BV23" s="566"/>
      <c r="BX23" s="385"/>
      <c r="BY23" s="565"/>
      <c r="BZ23" s="566"/>
      <c r="CB23" s="385"/>
      <c r="CC23" s="565"/>
      <c r="CD23" s="566"/>
      <c r="CF23" s="385"/>
      <c r="CG23" s="565"/>
      <c r="CH23" s="566"/>
      <c r="CJ23" s="385"/>
      <c r="CK23" s="565"/>
      <c r="CL23" s="566"/>
      <c r="CN23" s="385"/>
      <c r="CO23" s="565"/>
      <c r="CP23" s="566"/>
      <c r="CR23" s="385"/>
      <c r="CS23" s="565"/>
      <c r="CT23" s="566"/>
      <c r="CV23" s="385"/>
      <c r="CW23" s="565"/>
      <c r="CX23" s="566"/>
      <c r="CZ23" s="385"/>
      <c r="DA23" s="565"/>
      <c r="DB23" s="566"/>
      <c r="DD23" s="385"/>
      <c r="DE23" s="565"/>
      <c r="DF23" s="566"/>
      <c r="DH23" s="635">
        <f>SUM(DH19:DH22)</f>
        <v>656</v>
      </c>
      <c r="DI23" s="565"/>
      <c r="DK23" s="566"/>
      <c r="DL23" s="635">
        <f>SUM(DL19:DL22)</f>
        <v>702</v>
      </c>
      <c r="DM23" s="565">
        <f t="shared" si="9"/>
        <v>7.0121951219512146</v>
      </c>
      <c r="DN23" s="566"/>
      <c r="DO23" s="566"/>
      <c r="DP23" s="1130">
        <f>SUM(DP19:DP22)</f>
        <v>656</v>
      </c>
      <c r="DQ23" s="1131">
        <f t="shared" si="10"/>
        <v>-6.5527065527065549</v>
      </c>
      <c r="DR23" s="1132"/>
      <c r="DT23" s="894"/>
      <c r="DU23" s="895"/>
      <c r="EI23" s="1473"/>
    </row>
    <row r="24" spans="1:140" x14ac:dyDescent="0.2">
      <c r="A24" s="604"/>
      <c r="D24" s="385"/>
      <c r="E24" s="565"/>
      <c r="F24" s="566"/>
      <c r="H24" s="385"/>
      <c r="I24" s="565"/>
      <c r="J24" s="566"/>
      <c r="L24" s="385"/>
      <c r="M24" s="565"/>
      <c r="N24" s="566"/>
      <c r="P24" s="385"/>
      <c r="Q24" s="565"/>
      <c r="R24" s="566"/>
      <c r="T24" s="385"/>
      <c r="U24" s="565"/>
      <c r="V24" s="566"/>
      <c r="X24" s="385"/>
      <c r="Y24" s="565"/>
      <c r="Z24" s="566"/>
      <c r="AB24" s="385"/>
      <c r="AC24" s="565"/>
      <c r="AD24" s="566"/>
      <c r="AF24" s="385"/>
      <c r="AG24" s="565"/>
      <c r="AH24" s="566"/>
      <c r="AJ24" s="385"/>
      <c r="AK24" s="565"/>
      <c r="AL24" s="566"/>
      <c r="AN24" s="385"/>
      <c r="AO24" s="565"/>
      <c r="AP24" s="566"/>
      <c r="AR24" s="385"/>
      <c r="AS24" s="565"/>
      <c r="AT24" s="566"/>
      <c r="AV24" s="385"/>
      <c r="AW24" s="565"/>
      <c r="AX24" s="566"/>
      <c r="AZ24" s="385"/>
      <c r="BA24" s="565"/>
      <c r="BB24" s="566"/>
      <c r="BD24" s="385"/>
      <c r="BE24" s="565"/>
      <c r="BF24" s="566"/>
      <c r="BH24" s="385"/>
      <c r="BI24" s="565"/>
      <c r="BJ24" s="566"/>
      <c r="BL24" s="385"/>
      <c r="BM24" s="565"/>
      <c r="BN24" s="566"/>
      <c r="BP24" s="385"/>
      <c r="BQ24" s="565"/>
      <c r="BR24" s="566"/>
      <c r="BT24" s="385"/>
      <c r="BU24" s="565"/>
      <c r="BV24" s="566"/>
      <c r="BX24" s="385"/>
      <c r="BY24" s="565"/>
      <c r="BZ24" s="566"/>
      <c r="CB24" s="385"/>
      <c r="CC24" s="565"/>
      <c r="CD24" s="566"/>
      <c r="CF24" s="385"/>
      <c r="CG24" s="565"/>
      <c r="CH24" s="566"/>
      <c r="CJ24" s="385"/>
      <c r="CK24" s="565"/>
      <c r="CL24" s="566"/>
      <c r="CN24" s="385"/>
      <c r="CO24" s="565"/>
      <c r="CP24" s="566"/>
      <c r="CR24" s="385"/>
      <c r="CS24" s="565"/>
      <c r="CT24" s="566"/>
      <c r="CV24" s="385"/>
      <c r="CW24" s="565"/>
      <c r="CX24" s="566"/>
      <c r="CZ24" s="385"/>
      <c r="DA24" s="565"/>
      <c r="DB24" s="566"/>
      <c r="DD24" s="385"/>
      <c r="DE24" s="565"/>
      <c r="DF24" s="566"/>
      <c r="DH24" s="640">
        <f>DH19+DH20</f>
        <v>319.5</v>
      </c>
      <c r="DI24" s="565"/>
      <c r="DK24" s="566"/>
      <c r="DL24" s="640">
        <f>DL19+DL20</f>
        <v>328</v>
      </c>
      <c r="DM24" s="565">
        <f t="shared" si="9"/>
        <v>2.6604068857589924</v>
      </c>
      <c r="DN24" s="566"/>
      <c r="DO24" s="566"/>
      <c r="DP24" s="1133">
        <f>DP19+DP20</f>
        <v>306</v>
      </c>
      <c r="DQ24" s="1131">
        <f t="shared" si="10"/>
        <v>-6.7073170731707261</v>
      </c>
      <c r="DR24" s="1132"/>
      <c r="DT24" s="894"/>
      <c r="DU24" s="895"/>
      <c r="EI24" s="1473"/>
    </row>
    <row r="25" spans="1:140" x14ac:dyDescent="0.2">
      <c r="A25" s="604"/>
      <c r="D25" s="385"/>
      <c r="E25" s="565"/>
      <c r="F25" s="566"/>
      <c r="H25" s="385"/>
      <c r="I25" s="565"/>
      <c r="J25" s="566"/>
      <c r="L25" s="385"/>
      <c r="M25" s="565"/>
      <c r="N25" s="566"/>
      <c r="P25" s="385"/>
      <c r="Q25" s="565"/>
      <c r="R25" s="566"/>
      <c r="T25" s="385"/>
      <c r="U25" s="565"/>
      <c r="V25" s="566"/>
      <c r="X25" s="385"/>
      <c r="Y25" s="565"/>
      <c r="Z25" s="566"/>
      <c r="AB25" s="385"/>
      <c r="AC25" s="565"/>
      <c r="AD25" s="566"/>
      <c r="AF25" s="385"/>
      <c r="AG25" s="565"/>
      <c r="AH25" s="566"/>
      <c r="AJ25" s="385"/>
      <c r="AK25" s="565"/>
      <c r="AL25" s="566"/>
      <c r="AN25" s="385"/>
      <c r="AO25" s="565"/>
      <c r="AP25" s="566"/>
      <c r="AR25" s="385"/>
      <c r="AS25" s="565"/>
      <c r="AT25" s="566"/>
      <c r="AV25" s="385"/>
      <c r="AW25" s="565"/>
      <c r="AX25" s="566"/>
      <c r="AZ25" s="385"/>
      <c r="BA25" s="565"/>
      <c r="BB25" s="566"/>
      <c r="BD25" s="385"/>
      <c r="BE25" s="565"/>
      <c r="BF25" s="566"/>
      <c r="BH25" s="385"/>
      <c r="BI25" s="565"/>
      <c r="BJ25" s="566"/>
      <c r="BL25" s="385"/>
      <c r="BM25" s="565"/>
      <c r="BN25" s="566"/>
      <c r="BP25" s="385"/>
      <c r="BQ25" s="565"/>
      <c r="BR25" s="566"/>
      <c r="BT25" s="385"/>
      <c r="BU25" s="565"/>
      <c r="BV25" s="566"/>
      <c r="BX25" s="385"/>
      <c r="BY25" s="565"/>
      <c r="BZ25" s="566"/>
      <c r="CB25" s="385"/>
      <c r="CC25" s="565"/>
      <c r="CD25" s="566"/>
      <c r="CF25" s="385"/>
      <c r="CG25" s="565"/>
      <c r="CH25" s="566"/>
      <c r="CJ25" s="385"/>
      <c r="CK25" s="565"/>
      <c r="CL25" s="566"/>
      <c r="CN25" s="385"/>
      <c r="CO25" s="565"/>
      <c r="CP25" s="566"/>
      <c r="CR25" s="385"/>
      <c r="CS25" s="565"/>
      <c r="CT25" s="566"/>
      <c r="CV25" s="385"/>
      <c r="CW25" s="565"/>
      <c r="CX25" s="566"/>
      <c r="CZ25" s="385"/>
      <c r="DA25" s="565"/>
      <c r="DB25" s="566"/>
      <c r="DD25" s="385"/>
      <c r="DE25" s="565"/>
      <c r="DF25" s="566"/>
      <c r="DH25" s="385">
        <f>DH21+DH22</f>
        <v>336.5</v>
      </c>
      <c r="DI25" s="565"/>
      <c r="DK25" s="566"/>
      <c r="DL25" s="385">
        <f>DL21+DL22</f>
        <v>374</v>
      </c>
      <c r="DM25" s="565">
        <f t="shared" si="9"/>
        <v>11.144130757800896</v>
      </c>
      <c r="DN25" s="566"/>
      <c r="DO25" s="566"/>
      <c r="DP25" s="1092">
        <f>DP21+DP22</f>
        <v>350</v>
      </c>
      <c r="DQ25" s="1131">
        <f t="shared" si="10"/>
        <v>-6.4171122994652441</v>
      </c>
      <c r="DR25" s="1132"/>
      <c r="DT25" s="894"/>
      <c r="DU25" s="895"/>
      <c r="EI25" s="1473"/>
    </row>
    <row r="26" spans="1:140" x14ac:dyDescent="0.2">
      <c r="A26" s="604"/>
      <c r="D26" s="385"/>
      <c r="E26" s="565"/>
      <c r="F26" s="566"/>
      <c r="H26" s="640"/>
      <c r="I26" s="565"/>
      <c r="J26" s="566"/>
      <c r="L26" s="640"/>
      <c r="M26" s="565"/>
      <c r="N26" s="566"/>
      <c r="P26" s="640"/>
      <c r="Q26" s="565"/>
      <c r="R26" s="566"/>
      <c r="T26" s="640"/>
      <c r="U26" s="565"/>
      <c r="V26" s="566"/>
      <c r="X26" s="640"/>
      <c r="Y26" s="565"/>
      <c r="Z26" s="566"/>
      <c r="AB26" s="640"/>
      <c r="AC26" s="565"/>
      <c r="AD26" s="566"/>
      <c r="AF26" s="640"/>
      <c r="AG26" s="565"/>
      <c r="AH26" s="566"/>
      <c r="AJ26" s="640"/>
      <c r="AK26" s="565"/>
      <c r="AL26" s="566"/>
      <c r="AN26" s="640"/>
      <c r="AO26" s="565"/>
      <c r="AP26" s="566"/>
      <c r="AR26" s="640"/>
      <c r="AS26" s="565"/>
      <c r="AT26" s="566"/>
      <c r="AV26" s="640"/>
      <c r="AW26" s="565"/>
      <c r="AX26" s="566"/>
      <c r="AZ26" s="640"/>
      <c r="BA26" s="565"/>
      <c r="BB26" s="566"/>
      <c r="BD26" s="640"/>
      <c r="BE26" s="565"/>
      <c r="BF26" s="566"/>
      <c r="BH26" s="640"/>
      <c r="BI26" s="565"/>
      <c r="BJ26" s="566"/>
      <c r="BL26" s="640"/>
      <c r="BM26" s="565"/>
      <c r="BN26" s="566"/>
      <c r="BP26" s="640"/>
      <c r="BQ26" s="565"/>
      <c r="BR26" s="566"/>
      <c r="BT26" s="640"/>
      <c r="BU26" s="565"/>
      <c r="BV26" s="566"/>
      <c r="BX26" s="640"/>
      <c r="BY26" s="565"/>
      <c r="BZ26" s="566"/>
      <c r="CB26" s="640"/>
      <c r="CC26" s="565"/>
      <c r="CD26" s="566"/>
      <c r="CF26" s="640"/>
      <c r="CG26" s="565"/>
      <c r="CH26" s="566"/>
      <c r="CJ26" s="640"/>
      <c r="CK26" s="565"/>
      <c r="CL26" s="566"/>
      <c r="CN26" s="640"/>
      <c r="CO26" s="565"/>
      <c r="CP26" s="566"/>
      <c r="CR26" s="645"/>
      <c r="CS26" s="565"/>
      <c r="CT26" s="566"/>
      <c r="CV26" s="992"/>
      <c r="CW26" s="565"/>
      <c r="CX26" s="566"/>
      <c r="CZ26" s="992"/>
      <c r="DA26" s="565"/>
      <c r="DB26" s="566"/>
      <c r="DC26" s="261"/>
      <c r="DD26" s="992"/>
      <c r="DE26" s="646"/>
      <c r="DF26" s="566"/>
      <c r="DG26" s="261"/>
      <c r="DH26" s="992"/>
      <c r="DI26" s="646"/>
      <c r="DJ26" s="566"/>
      <c r="DK26" s="566"/>
      <c r="DL26" s="992"/>
      <c r="DM26" s="646"/>
      <c r="DN26" s="566"/>
      <c r="DO26" s="566"/>
      <c r="DP26" s="1135"/>
      <c r="DQ26" s="1136"/>
      <c r="DR26" s="1132"/>
      <c r="DS26" s="261"/>
      <c r="DT26" s="896"/>
      <c r="DU26" s="895"/>
      <c r="DV26" s="261"/>
      <c r="DW26" s="261"/>
      <c r="DX26" s="261"/>
    </row>
    <row r="27" spans="1:140" s="627" customFormat="1" x14ac:dyDescent="0.2">
      <c r="D27" s="629"/>
      <c r="H27" s="629"/>
      <c r="L27" s="629"/>
      <c r="P27" s="629"/>
      <c r="T27" s="629"/>
      <c r="X27" s="629"/>
      <c r="AB27" s="629"/>
      <c r="AF27" s="629"/>
      <c r="AJ27" s="629"/>
      <c r="AN27" s="629"/>
      <c r="AR27" s="629"/>
      <c r="AV27" s="629"/>
      <c r="AZ27" s="629"/>
      <c r="BD27" s="629"/>
      <c r="BH27" s="629"/>
      <c r="BL27" s="629"/>
      <c r="BP27" s="629"/>
      <c r="BT27" s="629"/>
      <c r="BX27" s="629"/>
      <c r="CB27" s="629"/>
      <c r="CF27" s="629"/>
      <c r="CJ27" s="629"/>
      <c r="CN27" s="1510" t="s">
        <v>532</v>
      </c>
      <c r="CO27" s="1510"/>
      <c r="CP27" s="1510"/>
      <c r="CQ27" s="1510"/>
      <c r="CR27" s="1510"/>
      <c r="CS27" s="1510"/>
      <c r="CT27" s="1510"/>
      <c r="CU27" s="1510"/>
      <c r="CV27" s="1510"/>
      <c r="CW27" s="1510"/>
      <c r="CX27" s="1510"/>
      <c r="CZ27" s="631" t="str">
        <f>CN27</f>
        <v>2. Cost of Goods (% of Sales / bps change)</v>
      </c>
      <c r="DA27" s="647"/>
      <c r="DB27" s="647"/>
      <c r="DC27" s="631"/>
      <c r="DD27" s="647"/>
      <c r="DE27" s="647"/>
      <c r="DF27" s="647"/>
      <c r="DG27" s="631"/>
      <c r="DH27" s="647"/>
      <c r="DI27" s="647"/>
      <c r="DJ27" s="647"/>
      <c r="DK27" s="600"/>
      <c r="DL27" s="647"/>
      <c r="DM27" s="647"/>
      <c r="DN27" s="647"/>
      <c r="DO27" s="566"/>
      <c r="DP27" s="1137"/>
      <c r="DQ27" s="1137"/>
      <c r="DR27" s="1137"/>
      <c r="DS27" s="434"/>
      <c r="DT27" s="896"/>
      <c r="DU27" s="895"/>
      <c r="DV27" s="434"/>
      <c r="DW27" s="434"/>
      <c r="DX27" s="434"/>
      <c r="EC27" s="647"/>
      <c r="ED27" s="647"/>
      <c r="EE27" s="647"/>
      <c r="EF27" s="647"/>
      <c r="EG27" s="647"/>
      <c r="EH27" s="647"/>
      <c r="EI27" s="600"/>
      <c r="EJ27" s="647"/>
    </row>
    <row r="28" spans="1:140" x14ac:dyDescent="0.2">
      <c r="D28" s="385"/>
      <c r="H28" s="385"/>
      <c r="L28" s="385"/>
      <c r="P28" s="385"/>
      <c r="T28" s="385"/>
      <c r="X28" s="385"/>
      <c r="AB28" s="385"/>
      <c r="AF28" s="385"/>
      <c r="AJ28" s="385"/>
      <c r="AN28" s="385"/>
      <c r="AR28" s="385"/>
      <c r="AV28" s="385"/>
      <c r="AZ28" s="385"/>
      <c r="BD28" s="385"/>
      <c r="BH28" s="385"/>
      <c r="BL28" s="385"/>
      <c r="BP28" s="385"/>
      <c r="BT28" s="385"/>
      <c r="BX28" s="385"/>
      <c r="CB28" s="385"/>
      <c r="CF28" s="385"/>
      <c r="CJ28" s="385"/>
      <c r="CN28" s="385"/>
      <c r="CV28" s="543"/>
      <c r="CZ28" s="543"/>
      <c r="DD28" s="543"/>
      <c r="DH28" s="543"/>
      <c r="DI28" s="648"/>
      <c r="DL28" s="543"/>
      <c r="DM28" s="648"/>
      <c r="DP28" s="1117"/>
      <c r="DQ28" s="1109"/>
      <c r="DT28" s="896"/>
      <c r="DU28" s="895"/>
    </row>
    <row r="29" spans="1:140" x14ac:dyDescent="0.2">
      <c r="A29" s="604" t="s">
        <v>79</v>
      </c>
      <c r="D29" s="610">
        <v>955.19299999999998</v>
      </c>
      <c r="E29" s="609">
        <f>(1-D29/D$10)*100</f>
        <v>39.942343724457075</v>
      </c>
      <c r="F29" s="605"/>
      <c r="G29" s="387"/>
      <c r="H29" s="610">
        <v>954.02099999999996</v>
      </c>
      <c r="I29" s="609">
        <f>(1-H29/H$10)*100</f>
        <v>40.127424111297785</v>
      </c>
      <c r="J29" s="605">
        <f>(I29-E29)*100</f>
        <v>18.508038684070982</v>
      </c>
      <c r="K29" s="649"/>
      <c r="L29" s="610">
        <v>924.86599999999999</v>
      </c>
      <c r="M29" s="609">
        <f>(1-L29/L$10)*100</f>
        <v>41.156028468066317</v>
      </c>
      <c r="N29" s="605">
        <f>(M29-I29)*100</f>
        <v>102.86043567685326</v>
      </c>
      <c r="P29" s="610">
        <v>947.86799999999994</v>
      </c>
      <c r="Q29" s="609">
        <f>(1-P29/P$10)*100</f>
        <v>40.39536955929821</v>
      </c>
      <c r="R29" s="605">
        <f>(Q29-M29)*100</f>
        <v>-76.065890876810727</v>
      </c>
      <c r="S29" s="649"/>
      <c r="T29" s="610">
        <v>1002.9349999999999</v>
      </c>
      <c r="U29" s="609">
        <f>(1-T29/T$10)*100</f>
        <v>39.349528401439024</v>
      </c>
      <c r="V29" s="605">
        <f>(U29-Q29)*100</f>
        <v>-104.58411578591864</v>
      </c>
      <c r="W29" s="649"/>
      <c r="X29" s="610">
        <v>1781.979</v>
      </c>
      <c r="Y29" s="609">
        <f>(1-X29/X$10)*100</f>
        <v>39.347208985704562</v>
      </c>
      <c r="Z29" s="605"/>
      <c r="AA29" s="649"/>
      <c r="AB29" s="610">
        <v>1822.16</v>
      </c>
      <c r="AC29" s="609">
        <f>(1-AB29/AB$10)*100</f>
        <v>39.017525399882061</v>
      </c>
      <c r="AD29" s="605">
        <f>(AC29-Y29)*100</f>
        <v>-32.96835858225009</v>
      </c>
      <c r="AE29" s="649"/>
      <c r="AF29" s="610">
        <v>2014.6479999999999</v>
      </c>
      <c r="AG29" s="609">
        <f>(1-AF29/AF$10)*100</f>
        <v>38.963007846820375</v>
      </c>
      <c r="AH29" s="605">
        <f>(AG29-AC29)*100</f>
        <v>-5.4517553061685931</v>
      </c>
      <c r="AJ29" s="610">
        <v>2086.8649999999998</v>
      </c>
      <c r="AK29" s="609">
        <f>(1-AJ29/AJ$10)*100</f>
        <v>38.776477146042367</v>
      </c>
      <c r="AL29" s="605">
        <f>(AK29-AG29)*100</f>
        <v>-18.653070077800749</v>
      </c>
      <c r="AN29" s="610">
        <v>2022</v>
      </c>
      <c r="AO29" s="609">
        <f>(1-AN29/AN$10)*100</f>
        <v>39.767649687220732</v>
      </c>
      <c r="AP29" s="605">
        <f>(AO29-AK29)*100</f>
        <v>99.117254117836495</v>
      </c>
      <c r="AR29" s="610">
        <v>2174</v>
      </c>
      <c r="AS29" s="609">
        <f>(1-AR29/AR$10)*100</f>
        <v>39.611111111111107</v>
      </c>
      <c r="AT29" s="605">
        <f>(AS29-AO29)*100</f>
        <v>-15.653857610962518</v>
      </c>
      <c r="AV29" s="610">
        <v>2152</v>
      </c>
      <c r="AW29" s="609">
        <f>(1-AV29/AV$10)*100</f>
        <v>39.770500979568993</v>
      </c>
      <c r="AX29" s="605">
        <f>(AW29-AS29)*100</f>
        <v>15.938986845788605</v>
      </c>
      <c r="AZ29" s="610">
        <v>2158</v>
      </c>
      <c r="BA29" s="609">
        <f>(1-AZ29/AZ$10)*100</f>
        <v>39.313835770528684</v>
      </c>
      <c r="BB29" s="605">
        <f>(BA29-AW29)*100</f>
        <v>-45.666520904030961</v>
      </c>
      <c r="BD29" s="610">
        <v>2078</v>
      </c>
      <c r="BE29" s="609">
        <f>(1-BD29/BD$10)*100</f>
        <v>39.820445988995075</v>
      </c>
      <c r="BF29" s="605">
        <f>(BE29-BA29)*100</f>
        <v>50.661021846639187</v>
      </c>
      <c r="BH29" s="610">
        <v>2002</v>
      </c>
      <c r="BI29" s="609">
        <f>(1-BH29/BH$10)*100</f>
        <v>39.167426314190209</v>
      </c>
      <c r="BJ29" s="605">
        <f>(BI29-BE29)*100</f>
        <v>-65.301967480486667</v>
      </c>
      <c r="BL29" s="610">
        <v>2119</v>
      </c>
      <c r="BM29" s="609">
        <f>(1-BL29/BL$10)*100</f>
        <v>40.309859154929569</v>
      </c>
      <c r="BN29" s="605">
        <f>(BM29-BI29)*100</f>
        <v>114.24328407393602</v>
      </c>
      <c r="BP29" s="610">
        <v>2176</v>
      </c>
      <c r="BQ29" s="609">
        <f>(1-BP29/BP$10)*100</f>
        <v>40.236198846470749</v>
      </c>
      <c r="BR29" s="605">
        <f>(BQ29-BM29)*100</f>
        <v>-7.3660308458819657</v>
      </c>
      <c r="BT29" s="610">
        <v>3627</v>
      </c>
      <c r="BU29" s="609">
        <f>(1-BT29/BT$10)*100</f>
        <v>38.836424957841487</v>
      </c>
      <c r="BV29" s="605">
        <f>(BU29-BQ29)*100</f>
        <v>-139.97738886292623</v>
      </c>
      <c r="BX29" s="610">
        <v>3564</v>
      </c>
      <c r="BY29" s="609">
        <f>(1-BX29/BX$10)*100</f>
        <v>39.807464955244043</v>
      </c>
      <c r="BZ29" s="605">
        <f>(BY29-BU29)*100</f>
        <v>97.103999740255631</v>
      </c>
      <c r="CB29" s="610">
        <v>3527</v>
      </c>
      <c r="CC29" s="609">
        <f>(1-CB29/CB$10)*100</f>
        <v>38.628849834696368</v>
      </c>
      <c r="CD29" s="605">
        <f>(CC29-BY29)*100</f>
        <v>-117.86151205476756</v>
      </c>
      <c r="CF29" s="610">
        <v>3279</v>
      </c>
      <c r="CG29" s="609">
        <f>(1-CF29/CF$10)*100</f>
        <v>37.991679273827536</v>
      </c>
      <c r="CH29" s="605">
        <f>(CG29-CC29)*100</f>
        <v>-63.717056086883161</v>
      </c>
      <c r="CJ29" s="1000">
        <v>3378</v>
      </c>
      <c r="CK29" s="609">
        <f>(1-CJ29/CJ$10)*100</f>
        <v>39.397201291711511</v>
      </c>
      <c r="CL29" s="605">
        <f>(CK29-CG29)*100</f>
        <v>140.55220178839747</v>
      </c>
      <c r="CN29" s="1000">
        <v>3586</v>
      </c>
      <c r="CO29" s="609">
        <f>(1-CN29/CN$10)*100</f>
        <v>39.106809305484802</v>
      </c>
      <c r="CP29" s="605">
        <f>(CO29-CK29)*100</f>
        <v>-29.039198622670881</v>
      </c>
      <c r="CR29" s="1000">
        <v>3757</v>
      </c>
      <c r="CS29" s="609">
        <f>(1-CR29/CR10)*100</f>
        <v>38.840957187042157</v>
      </c>
      <c r="CT29" s="605">
        <f t="shared" ref="CT29:CT35" si="11">(CS29-CO29)*100</f>
        <v>-26.585211844264478</v>
      </c>
      <c r="CV29" s="1000">
        <v>3911</v>
      </c>
      <c r="CW29" s="609">
        <f>(1-CV29/CV10)*100</f>
        <v>38.766243932988885</v>
      </c>
      <c r="CX29" s="605">
        <f t="shared" ref="CX29:CX35" si="12">(CW29-CS29)*100</f>
        <v>-7.4713254053271783</v>
      </c>
      <c r="CZ29" s="1000">
        <v>3836</v>
      </c>
      <c r="DA29" s="609">
        <f>(1-CZ29/CZ10)*100</f>
        <v>38.907469342251957</v>
      </c>
      <c r="DB29" s="605">
        <f t="shared" ref="DB29:DB35" si="13">(DA29-CW29)*100</f>
        <v>14.122540926307181</v>
      </c>
      <c r="DC29" s="650"/>
      <c r="DD29" s="1000">
        <v>3800</v>
      </c>
      <c r="DE29" s="609">
        <f>(1-DD29/DD10)*100</f>
        <v>39.024390243902438</v>
      </c>
      <c r="DF29" s="605">
        <f t="shared" ref="DF29:DF35" si="14">(DE29-DA29)*100</f>
        <v>11.692090165048086</v>
      </c>
      <c r="DG29" s="650"/>
      <c r="DH29" s="1000">
        <f>3516-12</f>
        <v>3504</v>
      </c>
      <c r="DI29" s="609">
        <f>(1-DH29/(DH10+DH19))*100</f>
        <v>40.970350404312669</v>
      </c>
      <c r="DJ29" s="605">
        <f t="shared" ref="DJ29:DJ35" si="15">(DI29-DE29)*100</f>
        <v>194.59601604102303</v>
      </c>
      <c r="DK29" s="605"/>
      <c r="DL29" s="1000">
        <f>3306-2</f>
        <v>3304</v>
      </c>
      <c r="DM29" s="609">
        <f>(1-DL29/DL10)*100</f>
        <v>38.266068759342296</v>
      </c>
      <c r="DN29" s="605">
        <f t="shared" ref="DN29:DN35" si="16">(DM29-DI29)*100</f>
        <v>-270.42816449703719</v>
      </c>
      <c r="DO29" s="605"/>
      <c r="DP29" s="1380">
        <f>(1-DQ29%)*DP10</f>
        <v>3276.9428976000004</v>
      </c>
      <c r="DQ29" s="1139">
        <v>38.340000000000003</v>
      </c>
      <c r="DR29" s="1140">
        <f t="shared" ref="DR29:DR35" si="17">(DQ29-DM29)*100</f>
        <v>7.3931240657707065</v>
      </c>
      <c r="DS29" s="650"/>
      <c r="DT29" s="1459">
        <f t="shared" ref="DT29:DT33" si="18">DN29+DR29</f>
        <v>-263.03504043126645</v>
      </c>
      <c r="DU29" s="1453">
        <f t="shared" ref="DU29:DU33" si="19">DJ29+DN29+DR29</f>
        <v>-68.439024390243446</v>
      </c>
      <c r="DV29" s="650"/>
      <c r="DW29" s="650"/>
      <c r="DX29" s="650"/>
    </row>
    <row r="30" spans="1:140" x14ac:dyDescent="0.2">
      <c r="A30" s="604" t="s">
        <v>80</v>
      </c>
      <c r="D30" s="468">
        <v>949.21100000000001</v>
      </c>
      <c r="E30" s="609">
        <f>(1-D30/D$11)*100</f>
        <v>37.784887120074039</v>
      </c>
      <c r="F30" s="605"/>
      <c r="G30" s="387"/>
      <c r="H30" s="468">
        <v>897.43100000000004</v>
      </c>
      <c r="I30" s="609">
        <f>(1-H30/H$11)*100</f>
        <v>40.000989474796135</v>
      </c>
      <c r="J30" s="605">
        <f t="shared" ref="J30:J35" si="20">(I30-E30)*100</f>
        <v>221.61023547220964</v>
      </c>
      <c r="K30" s="649"/>
      <c r="L30" s="468">
        <v>867.78200000000004</v>
      </c>
      <c r="M30" s="609">
        <f>(1-L30/L$11)*100</f>
        <v>40.449159079118203</v>
      </c>
      <c r="N30" s="605">
        <f t="shared" ref="N30:N35" si="21">(M30-I30)*100</f>
        <v>44.816960432206798</v>
      </c>
      <c r="P30" s="468">
        <v>900.06400000000008</v>
      </c>
      <c r="Q30" s="609">
        <f>(1-P30/P$11)*100</f>
        <v>40.087120445613621</v>
      </c>
      <c r="R30" s="605">
        <f t="shared" ref="R30:R35" si="22">(Q30-M30)*100</f>
        <v>-36.203863350458221</v>
      </c>
      <c r="S30" s="649"/>
      <c r="T30" s="468">
        <v>974.73500000000001</v>
      </c>
      <c r="U30" s="609">
        <f>(1-T30/T$11)*100</f>
        <v>38.930204874381303</v>
      </c>
      <c r="V30" s="605">
        <f t="shared" ref="V30:V35" si="23">(U30-Q30)*100</f>
        <v>-115.6915571232318</v>
      </c>
      <c r="W30" s="649"/>
      <c r="X30" s="468">
        <v>1814.82</v>
      </c>
      <c r="Y30" s="609">
        <f>(1-X30/X$11)*100</f>
        <v>38.077657977344067</v>
      </c>
      <c r="Z30" s="605"/>
      <c r="AA30" s="649"/>
      <c r="AB30" s="468">
        <v>1862.915</v>
      </c>
      <c r="AC30" s="609">
        <f>(1-AB30/AB$11)*100</f>
        <v>38.860682638660982</v>
      </c>
      <c r="AD30" s="605">
        <f t="shared" ref="AD30:AD35" si="24">(AC30-Y30)*100</f>
        <v>78.302466131691517</v>
      </c>
      <c r="AE30" s="649"/>
      <c r="AF30" s="468">
        <v>1995.5730000000001</v>
      </c>
      <c r="AG30" s="609">
        <f>(1-AF30/AF$11)*100</f>
        <v>39.237165824249431</v>
      </c>
      <c r="AH30" s="605">
        <f t="shared" ref="AH30:AH35" si="25">(AG30-AC30)*100</f>
        <v>37.648318558844807</v>
      </c>
      <c r="AJ30" s="468">
        <v>2098.6709999999998</v>
      </c>
      <c r="AK30" s="609">
        <f>(1-AJ30/AJ$11)*100</f>
        <v>39.218286607970356</v>
      </c>
      <c r="AL30" s="605">
        <f t="shared" ref="AL30:AL35" si="26">(AK30-AG30)*100</f>
        <v>-1.887921627907474</v>
      </c>
      <c r="AN30" s="468">
        <v>2017</v>
      </c>
      <c r="AO30" s="609">
        <f>(1-AN30/AN$11)*100</f>
        <v>41.126678342089903</v>
      </c>
      <c r="AP30" s="605">
        <f t="shared" ref="AP30:AP35" si="27">(AO30-AK30)*100</f>
        <v>190.83917341195473</v>
      </c>
      <c r="AR30" s="468">
        <v>2319</v>
      </c>
      <c r="AS30" s="609">
        <f>(1-AR30/AR$11)*100</f>
        <v>42.111832251622559</v>
      </c>
      <c r="AT30" s="605">
        <f t="shared" ref="AT30:AT35" si="28">(AS30-AO30)*100</f>
        <v>98.51539095326558</v>
      </c>
      <c r="AV30" s="468">
        <v>2173</v>
      </c>
      <c r="AW30" s="609">
        <f>(1-AV30/AV$11)*100</f>
        <v>40.935036694754011</v>
      </c>
      <c r="AX30" s="605">
        <f t="shared" ref="AX30:AX35" si="29">(AW30-AS30)*100</f>
        <v>-117.6795556868548</v>
      </c>
      <c r="AZ30" s="468">
        <v>2128</v>
      </c>
      <c r="BA30" s="609">
        <f>(1-AZ30/AZ$11)*100</f>
        <v>38.990825688073393</v>
      </c>
      <c r="BB30" s="605">
        <f t="shared" ref="BB30:BB35" si="30">(BA30-AW30)*100</f>
        <v>-194.4211006680618</v>
      </c>
      <c r="BD30" s="468">
        <v>2051</v>
      </c>
      <c r="BE30" s="609">
        <f>(1-BD30/BD$11)*100</f>
        <v>41.164658634538156</v>
      </c>
      <c r="BF30" s="605">
        <f t="shared" ref="BF30:BF35" si="31">(BE30-BA30)*100</f>
        <v>217.38329464647634</v>
      </c>
      <c r="BH30" s="468">
        <v>2025</v>
      </c>
      <c r="BI30" s="609">
        <f>(1-BH30/BH$11)*100</f>
        <v>41.030867792661617</v>
      </c>
      <c r="BJ30" s="605">
        <f t="shared" ref="BJ30:BJ35" si="32">(BI30-BE30)*100</f>
        <v>-13.379084187653945</v>
      </c>
      <c r="BL30" s="468">
        <v>2098</v>
      </c>
      <c r="BM30" s="609">
        <f>(1-BL30/BL$11)*100</f>
        <v>41.413013124825468</v>
      </c>
      <c r="BN30" s="605">
        <f t="shared" ref="BN30:BN35" si="33">(BM30-BI30)*100</f>
        <v>38.214533216385149</v>
      </c>
      <c r="BP30" s="468">
        <v>2126</v>
      </c>
      <c r="BQ30" s="609">
        <f>(1-BP30/BP$11)*100</f>
        <v>41.319348606127512</v>
      </c>
      <c r="BR30" s="605">
        <f t="shared" ref="BR30:BR35" si="34">(BQ30-BM30)*100</f>
        <v>-9.3664518697956112</v>
      </c>
      <c r="BT30" s="468">
        <v>3470</v>
      </c>
      <c r="BU30" s="609">
        <f>(1-BT30/BT$11)*100</f>
        <v>42.118432026688915</v>
      </c>
      <c r="BV30" s="605">
        <f t="shared" ref="BV30:BV35" si="35">(BU30-BQ30)*100</f>
        <v>79.908342056140214</v>
      </c>
      <c r="BX30" s="468">
        <v>3507</v>
      </c>
      <c r="BY30" s="609">
        <f>(1-BX30/BX$11)*100</f>
        <v>40.478615071283095</v>
      </c>
      <c r="BZ30" s="605">
        <f t="shared" ref="BZ30:BZ35" si="36">(BY30-BU30)*100</f>
        <v>-163.981695540582</v>
      </c>
      <c r="CB30" s="468">
        <v>3346</v>
      </c>
      <c r="CC30" s="609">
        <f>(1-CB30/CB$11)*100</f>
        <v>41.483036026582724</v>
      </c>
      <c r="CD30" s="605">
        <f t="shared" ref="CD30:CD35" si="37">(CC30-BY30)*100</f>
        <v>100.44209552996293</v>
      </c>
      <c r="CF30" s="468">
        <v>3117</v>
      </c>
      <c r="CG30" s="609">
        <f>(1-CF30/CF$11)*100</f>
        <v>41.021759697256385</v>
      </c>
      <c r="CH30" s="605">
        <f t="shared" ref="CH30:CH35" si="38">(CG30-CC30)*100</f>
        <v>-46.127632932633844</v>
      </c>
      <c r="CJ30" s="1001">
        <v>3214</v>
      </c>
      <c r="CK30" s="609">
        <f>(1-CJ30/CJ$11)*100</f>
        <v>41.954126783456744</v>
      </c>
      <c r="CL30" s="605">
        <f t="shared" ref="CL30:CL35" si="39">(CK30-CG30)*100</f>
        <v>93.236708620035813</v>
      </c>
      <c r="CN30" s="1001">
        <v>3457</v>
      </c>
      <c r="CO30" s="609">
        <f>(1-CN30/CN$11)*100</f>
        <v>41.791547398551941</v>
      </c>
      <c r="CP30" s="605">
        <f t="shared" ref="CP30:CP35" si="40">(CO30-CK30)*100</f>
        <v>-16.257938490480228</v>
      </c>
      <c r="CR30" s="1001">
        <v>3555</v>
      </c>
      <c r="CS30" s="609">
        <f>(1-CR30/CR11)*100</f>
        <v>41.892775416802877</v>
      </c>
      <c r="CT30" s="605">
        <f t="shared" si="11"/>
        <v>10.122801825093575</v>
      </c>
      <c r="CV30" s="1001">
        <v>3533</v>
      </c>
      <c r="CW30" s="609">
        <f>(1-CV30/CV11)*100</f>
        <v>41.757335970985821</v>
      </c>
      <c r="CX30" s="605">
        <f t="shared" si="12"/>
        <v>-13.543944581705603</v>
      </c>
      <c r="CZ30" s="1001">
        <v>3672</v>
      </c>
      <c r="DA30" s="609">
        <f>(1-CZ30/CZ11)*100</f>
        <v>41.407371948300622</v>
      </c>
      <c r="DB30" s="605">
        <f t="shared" si="13"/>
        <v>-34.996402268519944</v>
      </c>
      <c r="DC30" s="650"/>
      <c r="DD30" s="1001">
        <v>3610</v>
      </c>
      <c r="DE30" s="609">
        <f>(1-DD30/DD11)*100</f>
        <v>40.858453473132371</v>
      </c>
      <c r="DF30" s="605">
        <f t="shared" si="14"/>
        <v>-54.89184751682501</v>
      </c>
      <c r="DG30" s="650"/>
      <c r="DH30" s="1001">
        <f>3468+109</f>
        <v>3577</v>
      </c>
      <c r="DI30" s="609">
        <f>(1-DH30/DH11)*100</f>
        <v>40.06367292225201</v>
      </c>
      <c r="DJ30" s="605">
        <f t="shared" si="15"/>
        <v>-79.478055088036115</v>
      </c>
      <c r="DK30" s="605"/>
      <c r="DL30" s="1001">
        <f>3313+90</f>
        <v>3403</v>
      </c>
      <c r="DM30" s="609">
        <f>(1-DL30/DL11)*100</f>
        <v>39.609582963620227</v>
      </c>
      <c r="DN30" s="605">
        <f t="shared" si="16"/>
        <v>-45.408995863178347</v>
      </c>
      <c r="DO30" s="605"/>
      <c r="DP30" s="1381">
        <f>(1-DQ30%)*DP11</f>
        <v>3303.1958644999995</v>
      </c>
      <c r="DQ30" s="1139">
        <v>39.630000000000003</v>
      </c>
      <c r="DR30" s="1140">
        <f t="shared" si="17"/>
        <v>2.0417036379775766</v>
      </c>
      <c r="DT30" s="1459">
        <f t="shared" si="18"/>
        <v>-43.367292225200771</v>
      </c>
      <c r="DU30" s="1453">
        <f t="shared" si="19"/>
        <v>-122.84534731323689</v>
      </c>
      <c r="DV30" s="650"/>
      <c r="DW30" s="650"/>
      <c r="DX30" s="650"/>
    </row>
    <row r="31" spans="1:140" x14ac:dyDescent="0.2">
      <c r="A31" s="604" t="s">
        <v>81</v>
      </c>
      <c r="C31" s="606"/>
      <c r="D31" s="468">
        <v>1068.867</v>
      </c>
      <c r="E31" s="609">
        <f>(1-D31/D$12)*100</f>
        <v>39.520699904431943</v>
      </c>
      <c r="F31" s="605"/>
      <c r="G31" s="387"/>
      <c r="H31" s="468">
        <v>1031.549</v>
      </c>
      <c r="I31" s="609">
        <f>(1-H31/H$12)*100</f>
        <v>39.636702184620411</v>
      </c>
      <c r="J31" s="605">
        <f t="shared" si="20"/>
        <v>11.600228018846792</v>
      </c>
      <c r="K31" s="649"/>
      <c r="L31" s="468">
        <v>1063.415</v>
      </c>
      <c r="M31" s="609">
        <f>(1-L31/L$12)*100</f>
        <v>40.556970091645169</v>
      </c>
      <c r="N31" s="605">
        <f t="shared" si="21"/>
        <v>92.026790702475836</v>
      </c>
      <c r="P31" s="468">
        <v>1077.3520000000001</v>
      </c>
      <c r="Q31" s="609">
        <f>(1-P31/P$12)*100</f>
        <v>39.789696056870923</v>
      </c>
      <c r="R31" s="605">
        <f t="shared" si="22"/>
        <v>-76.727403477424616</v>
      </c>
      <c r="S31" s="649"/>
      <c r="T31" s="468">
        <v>1182.5509999999999</v>
      </c>
      <c r="U31" s="609">
        <f>(1-T31/T$12)*100</f>
        <v>38.626518117241396</v>
      </c>
      <c r="V31" s="605">
        <f t="shared" si="23"/>
        <v>-116.31779396295272</v>
      </c>
      <c r="W31" s="649"/>
      <c r="X31" s="468">
        <v>2045.9162000000001</v>
      </c>
      <c r="Y31" s="609">
        <f>(1-X31/X$12)*100</f>
        <v>38.975237129392106</v>
      </c>
      <c r="Z31" s="605"/>
      <c r="AA31" s="649"/>
      <c r="AB31" s="468">
        <v>2039.616</v>
      </c>
      <c r="AC31" s="609">
        <f>(1-AB31/AB$12)*100</f>
        <v>38.815093198557207</v>
      </c>
      <c r="AD31" s="605">
        <f t="shared" si="24"/>
        <v>-16.014393083489864</v>
      </c>
      <c r="AE31" s="649"/>
      <c r="AF31" s="468">
        <v>2189.9029999999998</v>
      </c>
      <c r="AG31" s="609">
        <f>(1-AF31/AF$12)*100</f>
        <v>39.322739741209723</v>
      </c>
      <c r="AH31" s="605">
        <f t="shared" si="25"/>
        <v>50.764654265251608</v>
      </c>
      <c r="AJ31" s="468">
        <v>2286.9189999999999</v>
      </c>
      <c r="AK31" s="609">
        <f>(1-AJ31/AJ$12)*100</f>
        <v>38.952003416886896</v>
      </c>
      <c r="AL31" s="605">
        <f t="shared" si="26"/>
        <v>-37.073632432282722</v>
      </c>
      <c r="AN31" s="468">
        <v>2145</v>
      </c>
      <c r="AO31" s="609">
        <f>(1-AN31/AN$12)*100</f>
        <v>39.543404735062005</v>
      </c>
      <c r="AP31" s="605">
        <f t="shared" si="27"/>
        <v>59.140131817510877</v>
      </c>
      <c r="AR31" s="468">
        <v>2454</v>
      </c>
      <c r="AS31" s="609">
        <f>(1-AR31/AR$12)*100</f>
        <v>40.681653372008697</v>
      </c>
      <c r="AT31" s="605">
        <f t="shared" si="28"/>
        <v>113.82486369466918</v>
      </c>
      <c r="AV31" s="468">
        <v>2295</v>
      </c>
      <c r="AW31" s="609">
        <f>(1-AV31/AV$12)*100</f>
        <v>39.317821258593334</v>
      </c>
      <c r="AX31" s="605">
        <f t="shared" si="29"/>
        <v>-136.38321134153628</v>
      </c>
      <c r="AZ31" s="468">
        <v>2134</v>
      </c>
      <c r="BA31" s="609">
        <f>(1-AZ31/AZ$12)*100</f>
        <v>38.589928057553955</v>
      </c>
      <c r="BB31" s="605">
        <f t="shared" si="30"/>
        <v>-72.789320103937882</v>
      </c>
      <c r="BD31" s="468">
        <v>2112</v>
      </c>
      <c r="BE31" s="609">
        <f>(1-BD31/BD$12)*100</f>
        <v>39.292900258695028</v>
      </c>
      <c r="BF31" s="605">
        <f t="shared" si="31"/>
        <v>70.297220114107262</v>
      </c>
      <c r="BH31" s="468">
        <v>2091</v>
      </c>
      <c r="BI31" s="609">
        <f>(1-BH31/BH$12)*100</f>
        <v>40.017211703958687</v>
      </c>
      <c r="BJ31" s="605">
        <f t="shared" si="32"/>
        <v>72.431144526365898</v>
      </c>
      <c r="BL31" s="468">
        <v>2107</v>
      </c>
      <c r="BM31" s="609">
        <f>(1-BL31/BL$12)*100</f>
        <v>40.226950354609926</v>
      </c>
      <c r="BN31" s="605">
        <f t="shared" si="33"/>
        <v>20.973865065123931</v>
      </c>
      <c r="BP31" s="468">
        <v>3312</v>
      </c>
      <c r="BQ31" s="609">
        <f>(1-BP31/BP$12)*100</f>
        <v>40.378037803780373</v>
      </c>
      <c r="BR31" s="605">
        <f t="shared" si="34"/>
        <v>15.108744917044703</v>
      </c>
      <c r="BT31" s="468">
        <v>3513</v>
      </c>
      <c r="BU31" s="609">
        <f>(1-BT31/BT$12)*100</f>
        <v>40.316004077471966</v>
      </c>
      <c r="BV31" s="605">
        <f t="shared" si="35"/>
        <v>-6.2033726308406756</v>
      </c>
      <c r="BX31" s="468">
        <v>3585</v>
      </c>
      <c r="BY31" s="609">
        <f>(1-BX31/BX$12)*100</f>
        <v>39.299017947849649</v>
      </c>
      <c r="BZ31" s="605">
        <f t="shared" si="36"/>
        <v>-101.69861296223175</v>
      </c>
      <c r="CB31" s="468">
        <v>3324</v>
      </c>
      <c r="CC31" s="609">
        <f>(1-CB31/CB$12)*100</f>
        <v>39.486619333697433</v>
      </c>
      <c r="CD31" s="605">
        <f t="shared" si="37"/>
        <v>18.760138584778474</v>
      </c>
      <c r="CF31" s="468">
        <v>3241</v>
      </c>
      <c r="CG31" s="609">
        <f>(1-CF31/CF$12)*100</f>
        <v>39.814298978644381</v>
      </c>
      <c r="CH31" s="605">
        <f t="shared" si="38"/>
        <v>32.767964494694723</v>
      </c>
      <c r="CJ31" s="1001">
        <v>3377</v>
      </c>
      <c r="CK31" s="609">
        <f>(1-CJ31/CJ$12)*100</f>
        <v>39.94309087675618</v>
      </c>
      <c r="CL31" s="605">
        <f t="shared" si="39"/>
        <v>12.87918981117997</v>
      </c>
      <c r="CN31" s="1001">
        <v>3544</v>
      </c>
      <c r="CO31" s="609">
        <f>(1-CN31/CN$12)*100</f>
        <v>39.449854775328895</v>
      </c>
      <c r="CP31" s="605">
        <f t="shared" si="40"/>
        <v>-49.323610142728569</v>
      </c>
      <c r="CR31" s="1001">
        <v>3672</v>
      </c>
      <c r="CS31" s="609">
        <f>(1-CR31/CR12)*100</f>
        <v>39.555555555555557</v>
      </c>
      <c r="CT31" s="605">
        <f t="shared" si="11"/>
        <v>10.570078022666252</v>
      </c>
      <c r="CV31" s="1001">
        <v>3817</v>
      </c>
      <c r="CW31" s="609">
        <f>(1-CV31/CV12)*100</f>
        <v>39.181007010834925</v>
      </c>
      <c r="CX31" s="605">
        <f t="shared" si="12"/>
        <v>-37.454854472063204</v>
      </c>
      <c r="CZ31" s="1001">
        <v>3766</v>
      </c>
      <c r="DA31" s="609">
        <f>(1-CZ31/CZ12)*100</f>
        <v>39.209039548022595</v>
      </c>
      <c r="DB31" s="605">
        <f t="shared" si="13"/>
        <v>2.8032537187669959</v>
      </c>
      <c r="DC31" s="650"/>
      <c r="DD31" s="1001">
        <v>3537</v>
      </c>
      <c r="DE31" s="609">
        <f>(1-DD31/DD12)*100</f>
        <v>39.785495403472936</v>
      </c>
      <c r="DF31" s="605">
        <f>(DE31-DA31)*100</f>
        <v>57.645585545034095</v>
      </c>
      <c r="DG31" s="650"/>
      <c r="DH31" s="1001">
        <f>3386-25</f>
        <v>3361</v>
      </c>
      <c r="DI31" s="609">
        <f>(1-DH31/DH12)*100</f>
        <v>40.354924578527061</v>
      </c>
      <c r="DJ31" s="605">
        <f>(DI31-DE31)*100</f>
        <v>56.942917505412538</v>
      </c>
      <c r="DK31" s="605"/>
      <c r="DL31" s="1001">
        <f>3175-22</f>
        <v>3153</v>
      </c>
      <c r="DM31" s="609">
        <f>(1-DL31/DL12)*100</f>
        <v>40.36315490826555</v>
      </c>
      <c r="DN31" s="605">
        <f t="shared" si="16"/>
        <v>0.82303297384882512</v>
      </c>
      <c r="DO31" s="605"/>
      <c r="DP31" s="1382">
        <f>(1-DQ31%)*DP12</f>
        <v>3160.0028910000001</v>
      </c>
      <c r="DQ31" s="1139">
        <v>40.35</v>
      </c>
      <c r="DR31" s="1140">
        <f t="shared" si="17"/>
        <v>-1.3154908265548215</v>
      </c>
      <c r="DT31" s="1459">
        <f t="shared" si="18"/>
        <v>-0.4924578527059964</v>
      </c>
      <c r="DU31" s="1453">
        <f t="shared" si="19"/>
        <v>56.450459652706542</v>
      </c>
      <c r="DV31" s="650"/>
      <c r="DW31" s="650"/>
      <c r="DX31" s="650"/>
      <c r="DZ31" s="385"/>
    </row>
    <row r="32" spans="1:140" x14ac:dyDescent="0.2">
      <c r="A32" s="604" t="s">
        <v>82</v>
      </c>
      <c r="D32" s="616">
        <v>1421.7049999999999</v>
      </c>
      <c r="E32" s="609">
        <f>(1-D32/D13)*100</f>
        <v>37.051030239485961</v>
      </c>
      <c r="F32" s="605"/>
      <c r="G32" s="387"/>
      <c r="H32" s="616">
        <v>1319.222</v>
      </c>
      <c r="I32" s="609">
        <f>(1-H32/H13)*100</f>
        <v>38.188318199282193</v>
      </c>
      <c r="J32" s="605">
        <f t="shared" si="20"/>
        <v>113.72879597962324</v>
      </c>
      <c r="K32" s="649"/>
      <c r="L32" s="616">
        <v>1364.76</v>
      </c>
      <c r="M32" s="609">
        <f>(1-L32/L13)*100</f>
        <v>39.666796048519082</v>
      </c>
      <c r="N32" s="605">
        <f t="shared" si="21"/>
        <v>147.84778492368886</v>
      </c>
      <c r="P32" s="616">
        <v>1445.933</v>
      </c>
      <c r="Q32" s="609">
        <f>(1-P32/P13)*100</f>
        <v>38.406564477598714</v>
      </c>
      <c r="R32" s="605">
        <f t="shared" si="22"/>
        <v>-126.0231570920368</v>
      </c>
      <c r="S32" s="649"/>
      <c r="T32" s="616">
        <v>1578.105</v>
      </c>
      <c r="U32" s="609">
        <f>(1-T32/T13)*100</f>
        <v>37.647351670430098</v>
      </c>
      <c r="V32" s="605">
        <f t="shared" si="23"/>
        <v>-75.921280716861617</v>
      </c>
      <c r="W32" s="649"/>
      <c r="X32" s="616">
        <v>2767.1528000000003</v>
      </c>
      <c r="Y32" s="609">
        <f>(1-X32/X13)*100</f>
        <v>38.234575121091041</v>
      </c>
      <c r="Z32" s="605"/>
      <c r="AA32" s="649"/>
      <c r="AB32" s="616">
        <v>2854.1590000000001</v>
      </c>
      <c r="AC32" s="609">
        <f>(1-AB32/AB13)*100</f>
        <v>38.348439356301981</v>
      </c>
      <c r="AD32" s="605">
        <f t="shared" si="24"/>
        <v>11.386423521094002</v>
      </c>
      <c r="AE32" s="649"/>
      <c r="AF32" s="616">
        <v>3088.5619999999999</v>
      </c>
      <c r="AG32" s="609">
        <f>(1-AF32/AF13)*100</f>
        <v>38.663025777495328</v>
      </c>
      <c r="AH32" s="605">
        <f t="shared" si="25"/>
        <v>31.458642119334712</v>
      </c>
      <c r="AJ32" s="616">
        <v>3108.3119999999999</v>
      </c>
      <c r="AK32" s="609">
        <f>(1-AJ32/AJ13)*100</f>
        <v>38.572317314464733</v>
      </c>
      <c r="AL32" s="605">
        <f t="shared" si="26"/>
        <v>-9.0708463030594544</v>
      </c>
      <c r="AN32" s="616">
        <v>3034</v>
      </c>
      <c r="AO32" s="609">
        <f>(1-AN32/AN13)*100</f>
        <v>39.729837107667855</v>
      </c>
      <c r="AP32" s="605">
        <f t="shared" si="27"/>
        <v>115.75197932031216</v>
      </c>
      <c r="AR32" s="616">
        <v>3496</v>
      </c>
      <c r="AS32" s="609">
        <f>(1-AR32/AR13)*100</f>
        <v>41.46994809978235</v>
      </c>
      <c r="AT32" s="605">
        <f t="shared" si="28"/>
        <v>174.0110992114495</v>
      </c>
      <c r="AV32" s="616">
        <v>3335</v>
      </c>
      <c r="AW32" s="609">
        <f>(1-AV32/AV13)*100</f>
        <v>40.488936473947177</v>
      </c>
      <c r="AX32" s="605">
        <f t="shared" si="29"/>
        <v>-98.101162583517265</v>
      </c>
      <c r="AZ32" s="616">
        <v>3111</v>
      </c>
      <c r="BA32" s="609">
        <f>(1-AZ32/AZ13)*100</f>
        <v>39.380358534684333</v>
      </c>
      <c r="BB32" s="605">
        <f t="shared" si="30"/>
        <v>-110.85779392628439</v>
      </c>
      <c r="BD32" s="616">
        <v>3014</v>
      </c>
      <c r="BE32" s="609">
        <f>(1-BD32/BD13)*100</f>
        <v>39.924257524416987</v>
      </c>
      <c r="BF32" s="605">
        <f t="shared" si="31"/>
        <v>54.38989897326536</v>
      </c>
      <c r="BH32" s="616">
        <v>2981</v>
      </c>
      <c r="BI32" s="609">
        <f>(1-BH32/BH13)*100</f>
        <v>41.005343360379975</v>
      </c>
      <c r="BJ32" s="605">
        <f t="shared" si="32"/>
        <v>108.10858359629876</v>
      </c>
      <c r="BL32" s="616">
        <v>3022</v>
      </c>
      <c r="BM32" s="609">
        <f>(1-BL32/BL13)*100</f>
        <v>40.9765625</v>
      </c>
      <c r="BN32" s="605">
        <f t="shared" si="33"/>
        <v>-2.8780860379974627</v>
      </c>
      <c r="BP32" s="616">
        <v>5658</v>
      </c>
      <c r="BQ32" s="609">
        <f>(1-BP32/BP13)*100</f>
        <v>40.88392017553025</v>
      </c>
      <c r="BR32" s="605">
        <f t="shared" si="34"/>
        <v>-9.2642324469750292</v>
      </c>
      <c r="BT32" s="616">
        <v>5409</v>
      </c>
      <c r="BU32" s="609">
        <f>(1-BT32/BT13)*100</f>
        <v>40.943334425155584</v>
      </c>
      <c r="BV32" s="605">
        <f t="shared" si="35"/>
        <v>5.9414249625334037</v>
      </c>
      <c r="BX32" s="616">
        <v>5021</v>
      </c>
      <c r="BY32" s="609">
        <f>(1-BX32/BX13)*100</f>
        <v>41.575517803118458</v>
      </c>
      <c r="BZ32" s="605">
        <f t="shared" si="36"/>
        <v>63.218337796287472</v>
      </c>
      <c r="CB32" s="616">
        <v>4812</v>
      </c>
      <c r="CC32" s="609">
        <f>(1-CB32/CB13)*100</f>
        <v>39.349634484497095</v>
      </c>
      <c r="CD32" s="605">
        <f t="shared" si="37"/>
        <v>-222.58833186213636</v>
      </c>
      <c r="CF32" s="616">
        <v>4641</v>
      </c>
      <c r="CG32" s="609">
        <f>(1-CF32/CF13)*100</f>
        <v>41.527025324429886</v>
      </c>
      <c r="CH32" s="605">
        <f t="shared" si="38"/>
        <v>217.73908399327908</v>
      </c>
      <c r="CJ32" s="1002">
        <v>4855</v>
      </c>
      <c r="CK32" s="609">
        <f>(1-CJ32/CJ13)*100</f>
        <v>41.286733583262794</v>
      </c>
      <c r="CL32" s="605">
        <f t="shared" si="39"/>
        <v>-24.029174116709129</v>
      </c>
      <c r="CN32" s="1002">
        <v>5151</v>
      </c>
      <c r="CO32" s="609">
        <f>(1-CN32/CN13)*100</f>
        <v>40.95598349381018</v>
      </c>
      <c r="CP32" s="605">
        <f t="shared" si="40"/>
        <v>-33.07500894526143</v>
      </c>
      <c r="CR32" s="1002">
        <v>5554</v>
      </c>
      <c r="CS32" s="609">
        <f>(1-CR32/CR13)*100</f>
        <v>40.598930481283425</v>
      </c>
      <c r="CT32" s="605">
        <f t="shared" si="11"/>
        <v>-35.705301252675525</v>
      </c>
      <c r="CV32" s="1002">
        <v>5464</v>
      </c>
      <c r="CW32" s="609">
        <f>(1-CV32/CV13)*100</f>
        <v>40.621603999130627</v>
      </c>
      <c r="CX32" s="605">
        <f t="shared" si="12"/>
        <v>2.2673517847202618</v>
      </c>
      <c r="CZ32" s="1002">
        <v>5589</v>
      </c>
      <c r="DA32" s="609">
        <f>(1-CZ32/CZ13)*100</f>
        <v>40.313968389577106</v>
      </c>
      <c r="DB32" s="605">
        <f t="shared" si="13"/>
        <v>-30.763560955352176</v>
      </c>
      <c r="DC32" s="650"/>
      <c r="DD32" s="1002">
        <v>5549</v>
      </c>
      <c r="DE32" s="609">
        <f>(1-DD32/DD13)*100</f>
        <v>37.433758033600185</v>
      </c>
      <c r="DF32" s="605">
        <f t="shared" si="14"/>
        <v>-288.02103559769205</v>
      </c>
      <c r="DG32" s="650"/>
      <c r="DH32" s="1002">
        <f>5251-26</f>
        <v>5225</v>
      </c>
      <c r="DI32" s="609">
        <f>(1-DH32/DH13)*100</f>
        <v>38.767139341380521</v>
      </c>
      <c r="DJ32" s="605">
        <f>(DI32-DE32)*100</f>
        <v>133.33813077803356</v>
      </c>
      <c r="DK32" s="605"/>
      <c r="DL32" s="1002">
        <v>5322</v>
      </c>
      <c r="DM32" s="609">
        <f>(1-DL32/DL13)*100</f>
        <v>38.622996194210593</v>
      </c>
      <c r="DN32" s="605">
        <f t="shared" si="16"/>
        <v>-14.414314716992749</v>
      </c>
      <c r="DO32" s="605"/>
      <c r="DP32" s="1383">
        <f>(1-DQ32%)*DP13</f>
        <v>5202.3892946999995</v>
      </c>
      <c r="DQ32" s="1139">
        <v>38.590000000000003</v>
      </c>
      <c r="DR32" s="1140">
        <f t="shared" si="17"/>
        <v>-3.2996194210589636</v>
      </c>
      <c r="DT32" s="1460">
        <f t="shared" si="18"/>
        <v>-17.713934138051712</v>
      </c>
      <c r="DU32" s="1454">
        <f t="shared" si="19"/>
        <v>115.62419663998185</v>
      </c>
      <c r="DV32" s="650"/>
      <c r="DW32" s="650"/>
      <c r="DX32" s="650"/>
    </row>
    <row r="33" spans="1:147" x14ac:dyDescent="0.2">
      <c r="A33" s="604" t="s">
        <v>83</v>
      </c>
      <c r="D33" s="610">
        <v>4394.9759999999997</v>
      </c>
      <c r="E33" s="609">
        <f>(1-D33/D14)*100</f>
        <v>38.462805078085459</v>
      </c>
      <c r="F33" s="605"/>
      <c r="G33" s="387"/>
      <c r="H33" s="610">
        <v>4202.223</v>
      </c>
      <c r="I33" s="609">
        <f>(1-H33/H14)*100</f>
        <v>39.382181124566763</v>
      </c>
      <c r="J33" s="605">
        <f t="shared" si="20"/>
        <v>91.937604648130389</v>
      </c>
      <c r="K33" s="649"/>
      <c r="L33" s="610">
        <v>4220.8230000000003</v>
      </c>
      <c r="M33" s="609">
        <f>(1-L33/L14)*100</f>
        <v>40.383359126862786</v>
      </c>
      <c r="N33" s="605">
        <f t="shared" si="21"/>
        <v>100.11780022960224</v>
      </c>
      <c r="P33" s="610">
        <v>4371.2170000000006</v>
      </c>
      <c r="Q33" s="609">
        <f>(1-P33/P14)*100</f>
        <v>39.535599466954821</v>
      </c>
      <c r="R33" s="605">
        <f t="shared" si="22"/>
        <v>-84.775965990796465</v>
      </c>
      <c r="S33" s="649"/>
      <c r="T33" s="610">
        <v>4738.326</v>
      </c>
      <c r="U33" s="609">
        <f>(1-T33/T14)*100</f>
        <v>38.522995268101347</v>
      </c>
      <c r="V33" s="605">
        <f t="shared" si="23"/>
        <v>-101.26041988534737</v>
      </c>
      <c r="W33" s="649"/>
      <c r="X33" s="610">
        <v>8409.8680000000004</v>
      </c>
      <c r="Y33" s="609">
        <f>(1-X33/X14)*100</f>
        <v>38.620822537678357</v>
      </c>
      <c r="Z33" s="605"/>
      <c r="AA33" s="649"/>
      <c r="AB33" s="610">
        <f>SUM(AB29:AB32)</f>
        <v>8578.85</v>
      </c>
      <c r="AC33" s="609">
        <f>(1-AB33/AB14)*100</f>
        <v>38.713893679641011</v>
      </c>
      <c r="AD33" s="605">
        <f t="shared" si="24"/>
        <v>9.3071141962653314</v>
      </c>
      <c r="AE33" s="649"/>
      <c r="AF33" s="610">
        <v>9018</v>
      </c>
      <c r="AG33" s="609">
        <f>(1-AF33/AF14)*100</f>
        <v>39.203128160183375</v>
      </c>
      <c r="AH33" s="605">
        <f t="shared" si="25"/>
        <v>48.923448054236474</v>
      </c>
      <c r="AJ33" s="610">
        <v>9200</v>
      </c>
      <c r="AK33" s="609">
        <f>(1-AJ33/AJ14)*100</f>
        <v>39.553219448094609</v>
      </c>
      <c r="AL33" s="605">
        <f t="shared" si="26"/>
        <v>35.009128791123345</v>
      </c>
      <c r="AN33" s="610">
        <v>9218</v>
      </c>
      <c r="AO33" s="609">
        <f>(1-AN33/AN14)*100</f>
        <v>40.006508298080057</v>
      </c>
      <c r="AP33" s="605">
        <f t="shared" si="27"/>
        <v>45.328884998544794</v>
      </c>
      <c r="AR33" s="610">
        <v>9576</v>
      </c>
      <c r="AS33" s="609">
        <f>(1-AR33/AR14)*100</f>
        <v>40.25828186412128</v>
      </c>
      <c r="AT33" s="605">
        <f t="shared" si="28"/>
        <v>25.177356604122281</v>
      </c>
      <c r="AV33" s="610">
        <v>9955</v>
      </c>
      <c r="AW33" s="609">
        <f>(1-AV33/AV14)*100</f>
        <v>40.167087390311337</v>
      </c>
      <c r="AX33" s="605">
        <f t="shared" si="29"/>
        <v>-9.1194473809942167</v>
      </c>
      <c r="AZ33" s="610">
        <v>9603</v>
      </c>
      <c r="BA33" s="609">
        <f>(1-AZ33/AZ14)*100</f>
        <v>39.163763066202094</v>
      </c>
      <c r="BB33" s="605">
        <f t="shared" si="30"/>
        <v>-100.33243241092435</v>
      </c>
      <c r="BD33" s="610">
        <v>9324</v>
      </c>
      <c r="BE33" s="609">
        <f>(1-BD33/BD14)*100</f>
        <v>40.119452828976939</v>
      </c>
      <c r="BF33" s="605">
        <f t="shared" si="31"/>
        <v>95.568976277484552</v>
      </c>
      <c r="BH33" s="610">
        <v>9175</v>
      </c>
      <c r="BI33" s="609">
        <f>(1-BH33/BH14)*100</f>
        <v>40.468466130288085</v>
      </c>
      <c r="BJ33" s="605">
        <f t="shared" si="32"/>
        <v>34.901330131114605</v>
      </c>
      <c r="BL33" s="610">
        <v>9346</v>
      </c>
      <c r="BM33" s="609">
        <f>(1-BL33/BL14)*100</f>
        <v>40.75811359026369</v>
      </c>
      <c r="BN33" s="605">
        <f t="shared" si="33"/>
        <v>28.96474599756047</v>
      </c>
      <c r="BP33" s="610">
        <v>13272</v>
      </c>
      <c r="BQ33" s="609">
        <f>(1-BP33/BP14)*100</f>
        <v>40.723537293434561</v>
      </c>
      <c r="BR33" s="605">
        <f t="shared" si="34"/>
        <v>-3.457629682912966</v>
      </c>
      <c r="BT33" s="610">
        <v>16019</v>
      </c>
      <c r="BU33" s="609">
        <f>(1-BT33/BT14)*100</f>
        <v>40.604375231738963</v>
      </c>
      <c r="BV33" s="605">
        <f t="shared" si="35"/>
        <v>-11.916206169559729</v>
      </c>
      <c r="BX33" s="610">
        <v>15677</v>
      </c>
      <c r="BY33" s="609">
        <f>(1-BX33/BX14)*100</f>
        <v>40.421084634971308</v>
      </c>
      <c r="BZ33" s="605">
        <f t="shared" si="36"/>
        <v>-18.329059676765525</v>
      </c>
      <c r="CB33" s="610">
        <v>15009</v>
      </c>
      <c r="CC33" s="609">
        <f>(1-CB33/CB14)*100</f>
        <v>39.70351920295677</v>
      </c>
      <c r="CD33" s="605">
        <f t="shared" si="37"/>
        <v>-71.756543201453837</v>
      </c>
      <c r="CF33" s="610">
        <v>14278</v>
      </c>
      <c r="CG33" s="609">
        <f>(1-CF33/CF14)*100</f>
        <v>40.246913580246911</v>
      </c>
      <c r="CH33" s="605">
        <f t="shared" si="38"/>
        <v>54.339437729014151</v>
      </c>
      <c r="CJ33" s="543">
        <f>SUM(CJ29:CJ32)</f>
        <v>14824</v>
      </c>
      <c r="CK33" s="609">
        <f>(1-CJ33/CJ14)*100</f>
        <v>40.711114666240057</v>
      </c>
      <c r="CL33" s="605">
        <f t="shared" si="39"/>
        <v>46.420108599314602</v>
      </c>
      <c r="CN33" s="543">
        <f>SUM(CN29:CN32)</f>
        <v>15738</v>
      </c>
      <c r="CO33" s="609">
        <f>(1-CN33/CN14)*100</f>
        <v>40.397651959856084</v>
      </c>
      <c r="CP33" s="605">
        <f t="shared" si="40"/>
        <v>-31.3462706383973</v>
      </c>
      <c r="CR33" s="543">
        <f>SUM(CR29:CR32)</f>
        <v>16538</v>
      </c>
      <c r="CS33" s="609">
        <f>(1-CR33/CR14)*100</f>
        <v>40.265838329841799</v>
      </c>
      <c r="CT33" s="605">
        <f t="shared" si="11"/>
        <v>-13.181363001428537</v>
      </c>
      <c r="CV33" s="543">
        <f>SUM(CV29:CV32)</f>
        <v>16725</v>
      </c>
      <c r="CW33" s="609">
        <f>(1-CV33/CV14)*100</f>
        <v>40.120296444810421</v>
      </c>
      <c r="CX33" s="605">
        <f t="shared" si="12"/>
        <v>-14.554188503137766</v>
      </c>
      <c r="CZ33" s="543">
        <f>SUM(CZ29:CZ32)</f>
        <v>16863</v>
      </c>
      <c r="DA33" s="609">
        <f>(1-CZ33/CZ14)*100</f>
        <v>40</v>
      </c>
      <c r="DB33" s="605">
        <f t="shared" si="13"/>
        <v>-12.029644481042112</v>
      </c>
      <c r="DD33" s="543">
        <f>SUM(DD29:DD32)</f>
        <v>16496</v>
      </c>
      <c r="DE33" s="609">
        <f>(1-DD33/DD14)*100</f>
        <v>39.081945418959343</v>
      </c>
      <c r="DF33" s="605">
        <f>(DE33-DA33)*100</f>
        <v>-91.805458104065707</v>
      </c>
      <c r="DH33" s="543">
        <f>SUM(DH29:DH32)</f>
        <v>15667</v>
      </c>
      <c r="DI33" s="609">
        <f>(1-DH33/DH14)*100</f>
        <v>39.532998842145894</v>
      </c>
      <c r="DJ33" s="605">
        <f t="shared" si="15"/>
        <v>45.105342318655062</v>
      </c>
      <c r="DK33" s="605"/>
      <c r="DL33" s="543">
        <f>SUM(DL29:DL32)</f>
        <v>15182</v>
      </c>
      <c r="DM33" s="609">
        <f>(1-DL33/DL14)*100</f>
        <v>39.13810382842253</v>
      </c>
      <c r="DN33" s="605">
        <f t="shared" si="16"/>
        <v>-39.489501372336377</v>
      </c>
      <c r="DO33" s="605"/>
      <c r="DP33" s="1117">
        <f>SUM(DP29:DP32)</f>
        <v>14942.530947799998</v>
      </c>
      <c r="DQ33" s="1142">
        <f>(1-DP33/DP14)*100</f>
        <v>39.147336535036771</v>
      </c>
      <c r="DR33" s="1140">
        <f t="shared" si="17"/>
        <v>0.92327066142416925</v>
      </c>
      <c r="DT33" s="1461">
        <f t="shared" si="18"/>
        <v>-38.566230710912208</v>
      </c>
      <c r="DU33" s="1455">
        <f t="shared" si="19"/>
        <v>6.5391116077428535</v>
      </c>
      <c r="EB33" s="884"/>
      <c r="EC33" s="884"/>
      <c r="ED33" s="884"/>
      <c r="EE33" s="884"/>
      <c r="EF33" s="884"/>
      <c r="EG33" s="884"/>
      <c r="EH33" s="884"/>
      <c r="EI33" s="885"/>
      <c r="EJ33" s="884"/>
      <c r="EK33" s="884"/>
      <c r="EL33" s="884"/>
    </row>
    <row r="34" spans="1:147" x14ac:dyDescent="0.2">
      <c r="A34" s="604" t="s">
        <v>413</v>
      </c>
      <c r="D34" s="385">
        <f>D29+D30</f>
        <v>1904.404</v>
      </c>
      <c r="E34" s="609">
        <f>(1-D34/D$15)*100</f>
        <v>38.886036367930707</v>
      </c>
      <c r="F34" s="605"/>
      <c r="H34" s="385">
        <f>H29+H30</f>
        <v>1851.452</v>
      </c>
      <c r="I34" s="609">
        <f>(1-H34/H$15)*100</f>
        <v>40.066205657068167</v>
      </c>
      <c r="J34" s="605">
        <f t="shared" si="20"/>
        <v>118.016928913746</v>
      </c>
      <c r="L34" s="385">
        <f>L29+L30</f>
        <v>1792.6480000000001</v>
      </c>
      <c r="M34" s="609">
        <f>(1-L34/L$15)*100</f>
        <v>40.815955955519726</v>
      </c>
      <c r="N34" s="605">
        <f t="shared" si="21"/>
        <v>74.975029845155916</v>
      </c>
      <c r="P34" s="385">
        <f>P29+P30</f>
        <v>1847.932</v>
      </c>
      <c r="Q34" s="609">
        <f>(1-P34/P$15)*100</f>
        <v>40.245629249935412</v>
      </c>
      <c r="R34" s="605">
        <f t="shared" si="22"/>
        <v>-57.03267055843142</v>
      </c>
      <c r="T34" s="385">
        <f>T29+T30</f>
        <v>1977.67</v>
      </c>
      <c r="U34" s="609">
        <f>(1-T34/T$15)*100</f>
        <v>39.143578345407661</v>
      </c>
      <c r="V34" s="605">
        <f t="shared" si="23"/>
        <v>-110.20509045277507</v>
      </c>
      <c r="X34" s="385">
        <f>X29+X30</f>
        <v>3596.799</v>
      </c>
      <c r="Y34" s="609">
        <f>(1-X34/X$15)*100</f>
        <v>38.713212241003269</v>
      </c>
      <c r="Z34" s="605">
        <f>(Y34-U34)*100</f>
        <v>-43.036610440439205</v>
      </c>
      <c r="AB34" s="385">
        <f>AB29+AB30</f>
        <v>3685.0749999999998</v>
      </c>
      <c r="AC34" s="609">
        <f>(1-AB34/AB$15)*100</f>
        <v>38.938337426673641</v>
      </c>
      <c r="AD34" s="605">
        <f t="shared" si="24"/>
        <v>22.512518567037176</v>
      </c>
      <c r="AF34" s="385">
        <f>AF29+AF30</f>
        <v>4010.221</v>
      </c>
      <c r="AG34" s="609">
        <f>(1-AF34/AF$15)*100</f>
        <v>39.099743352214908</v>
      </c>
      <c r="AH34" s="605">
        <f t="shared" si="25"/>
        <v>16.140592554126698</v>
      </c>
      <c r="AJ34" s="385">
        <f>AJ29+AJ30</f>
        <v>4185.5360000000001</v>
      </c>
      <c r="AK34" s="609">
        <f>(1-AJ34/AJ$15)*100</f>
        <v>38.998804908619235</v>
      </c>
      <c r="AL34" s="605">
        <f t="shared" si="26"/>
        <v>-10.093844359567328</v>
      </c>
      <c r="AN34" s="385">
        <f>AN29+AN30</f>
        <v>4039</v>
      </c>
      <c r="AO34" s="609">
        <f>(1-AN34/AN$15)*100</f>
        <v>40.454076367389057</v>
      </c>
      <c r="AP34" s="605">
        <f t="shared" si="27"/>
        <v>145.52714587698219</v>
      </c>
      <c r="AR34" s="385">
        <f>AR29+AR30</f>
        <v>4493</v>
      </c>
      <c r="AS34" s="609">
        <f>(1-AR34/AR$15)*100</f>
        <v>40.928214567446751</v>
      </c>
      <c r="AT34" s="605">
        <f t="shared" si="28"/>
        <v>47.41382000576948</v>
      </c>
      <c r="AV34" s="385">
        <f>AV29+AV30</f>
        <v>4325</v>
      </c>
      <c r="AW34" s="609">
        <f>(1-AV34/AV$15)*100</f>
        <v>40.361279646993928</v>
      </c>
      <c r="AX34" s="605">
        <f t="shared" si="29"/>
        <v>-56.693492045282312</v>
      </c>
      <c r="AZ34" s="385">
        <f>AZ29+AZ30</f>
        <v>4286</v>
      </c>
      <c r="BA34" s="609">
        <f>(1-AZ34/AZ$15)*100</f>
        <v>39.15388983532084</v>
      </c>
      <c r="BB34" s="605">
        <f t="shared" si="30"/>
        <v>-120.73898116730888</v>
      </c>
      <c r="BD34" s="385">
        <f>BD29+BD30</f>
        <v>4129</v>
      </c>
      <c r="BE34" s="609">
        <f>(1-BD34/BD$15)*100</f>
        <v>40.495748666954889</v>
      </c>
      <c r="BF34" s="605">
        <f t="shared" si="31"/>
        <v>134.1858831634049</v>
      </c>
      <c r="BH34" s="385">
        <f>BH29+BH30</f>
        <v>4027</v>
      </c>
      <c r="BI34" s="609">
        <f>(1-BH34/BH$15)*100</f>
        <v>40.118959107806695</v>
      </c>
      <c r="BJ34" s="605">
        <f t="shared" si="32"/>
        <v>-37.678955914819312</v>
      </c>
      <c r="BL34" s="385">
        <f>BL29+BL30</f>
        <v>4217</v>
      </c>
      <c r="BM34" s="609">
        <f>(1-BL34/BL$15)*100</f>
        <v>40.863833964380866</v>
      </c>
      <c r="BN34" s="605">
        <f t="shared" si="33"/>
        <v>74.487485657417096</v>
      </c>
      <c r="BP34" s="385">
        <f>BP29+BP30</f>
        <v>4302</v>
      </c>
      <c r="BQ34" s="609">
        <f>(1-BP34/BP$15)*100</f>
        <v>40.77643171806168</v>
      </c>
      <c r="BR34" s="605">
        <f t="shared" si="34"/>
        <v>-8.7402246319186361</v>
      </c>
      <c r="BT34" s="385">
        <f>BT29+BT30</f>
        <v>7097</v>
      </c>
      <c r="BU34" s="609">
        <f>(1-BT34/BT$15)*100</f>
        <v>40.486373165618453</v>
      </c>
      <c r="BV34" s="605">
        <f t="shared" si="35"/>
        <v>-29.005855244322731</v>
      </c>
      <c r="BX34" s="385">
        <f>BX29+BX30</f>
        <v>7071</v>
      </c>
      <c r="BY34" s="609">
        <f>(1-BX34/BX$15)*100</f>
        <v>40.142216202488775</v>
      </c>
      <c r="BZ34" s="605">
        <f t="shared" si="36"/>
        <v>-34.415696312967725</v>
      </c>
      <c r="CB34" s="385">
        <f>CB29+CB30</f>
        <v>6873</v>
      </c>
      <c r="CC34" s="609">
        <f>(1-CB34/CB$15)*100</f>
        <v>40.052333187963363</v>
      </c>
      <c r="CD34" s="605">
        <f t="shared" si="37"/>
        <v>-8.9883014525412364</v>
      </c>
      <c r="CF34" s="385">
        <f>CF29+CF30</f>
        <v>6396</v>
      </c>
      <c r="CG34" s="609">
        <f>(1-CF34/CF$15)*100</f>
        <v>39.506289605599164</v>
      </c>
      <c r="CH34" s="605">
        <f t="shared" si="38"/>
        <v>-54.60435823641987</v>
      </c>
      <c r="CJ34" s="385">
        <f>CJ29+CJ30</f>
        <v>6592</v>
      </c>
      <c r="CK34" s="609">
        <f>(1-CJ34/CJ$15)*100</f>
        <v>40.671406714067139</v>
      </c>
      <c r="CL34" s="605">
        <f t="shared" si="39"/>
        <v>116.51171084679746</v>
      </c>
      <c r="CN34" s="385">
        <f>CN29+CN30</f>
        <v>7043</v>
      </c>
      <c r="CO34" s="609">
        <f>(1-CN34/CN$15)*100</f>
        <v>40.454852891444027</v>
      </c>
      <c r="CP34" s="605">
        <f t="shared" si="40"/>
        <v>-21.655382262311207</v>
      </c>
      <c r="CR34" s="385">
        <f>CR29+CR30</f>
        <v>7312</v>
      </c>
      <c r="CS34" s="609">
        <f>(1-CR34/CR$15)*100</f>
        <v>40.363754995514235</v>
      </c>
      <c r="CT34" s="605">
        <f t="shared" si="11"/>
        <v>-9.1097895929792116</v>
      </c>
      <c r="CV34" s="385">
        <f>CV29+CV30</f>
        <v>7444</v>
      </c>
      <c r="CW34" s="609">
        <f>(1-CV34/CV$15)*100</f>
        <v>40.223239380069067</v>
      </c>
      <c r="CX34" s="605">
        <f t="shared" si="12"/>
        <v>-14.051561544516744</v>
      </c>
      <c r="CZ34" s="385">
        <f>CZ29+CZ30</f>
        <v>7508</v>
      </c>
      <c r="DA34" s="609">
        <f>(1-CZ34/CZ$15)*100</f>
        <v>40.156225091662677</v>
      </c>
      <c r="DB34" s="605">
        <f t="shared" si="13"/>
        <v>-6.7014288406390676</v>
      </c>
      <c r="DD34" s="385">
        <f>DD29+DD30</f>
        <v>7410</v>
      </c>
      <c r="DE34" s="609">
        <f>(1-DD34/DD$15)*100</f>
        <v>39.931906614785994</v>
      </c>
      <c r="DF34" s="605">
        <f t="shared" si="14"/>
        <v>-22.431847687668238</v>
      </c>
      <c r="DH34" s="385">
        <f>DH29+DH30</f>
        <v>7081</v>
      </c>
      <c r="DI34" s="609">
        <f>(1-DH34/DH$15)*100</f>
        <v>39.695111565321071</v>
      </c>
      <c r="DJ34" s="605">
        <f t="shared" si="15"/>
        <v>-23.679504946492358</v>
      </c>
      <c r="DK34" s="605"/>
      <c r="DL34" s="385">
        <f>DL29+DL30</f>
        <v>6707</v>
      </c>
      <c r="DM34" s="609">
        <f>(1-DL34/DL$15)*100</f>
        <v>38.955128788568302</v>
      </c>
      <c r="DN34" s="605">
        <f t="shared" si="16"/>
        <v>-73.998277675276825</v>
      </c>
      <c r="DO34" s="605"/>
      <c r="DP34" s="1092">
        <f>DP29+DP30</f>
        <v>6580.1387620999994</v>
      </c>
      <c r="DQ34" s="1142">
        <f>(1-DP34/DP$15)*100</f>
        <v>38.99439138407589</v>
      </c>
      <c r="DR34" s="1140">
        <f t="shared" si="17"/>
        <v>3.926259550758715</v>
      </c>
      <c r="DT34" s="901"/>
      <c r="DU34" s="902"/>
      <c r="EB34" s="1508" t="s">
        <v>619</v>
      </c>
      <c r="EC34" s="1508"/>
      <c r="ED34" s="1508"/>
      <c r="EE34" s="1508"/>
      <c r="EF34" s="1508"/>
      <c r="EG34" s="1508"/>
      <c r="EH34" s="1508"/>
      <c r="EI34" s="1508"/>
      <c r="EJ34" s="1508"/>
      <c r="EK34" s="1508"/>
      <c r="EL34" s="1508"/>
    </row>
    <row r="35" spans="1:147" ht="12.75" customHeight="1" x14ac:dyDescent="0.2">
      <c r="A35" s="604" t="s">
        <v>414</v>
      </c>
      <c r="D35" s="385">
        <f>D31+D32</f>
        <v>2490.5720000000001</v>
      </c>
      <c r="E35" s="609">
        <f>(1-D35/D$16)*100</f>
        <v>38.135207364640991</v>
      </c>
      <c r="F35" s="605"/>
      <c r="H35" s="385">
        <f>H31+H32</f>
        <v>2350.7709999999997</v>
      </c>
      <c r="I35" s="609">
        <f>(1-H35/H$16)*100</f>
        <v>38.832357010283992</v>
      </c>
      <c r="J35" s="605">
        <f t="shared" si="20"/>
        <v>69.714964564300175</v>
      </c>
      <c r="L35" s="385">
        <f>L31+L32</f>
        <v>2428.1750000000002</v>
      </c>
      <c r="M35" s="609">
        <f>(1-L35/L$16)*100</f>
        <v>40.059906151637001</v>
      </c>
      <c r="N35" s="605">
        <f t="shared" si="21"/>
        <v>122.75491413530091</v>
      </c>
      <c r="P35" s="385">
        <f>P31+P32</f>
        <v>2523.2849999999999</v>
      </c>
      <c r="Q35" s="609">
        <f>(1-P35/P$16)*100</f>
        <v>39.004810171195118</v>
      </c>
      <c r="R35" s="605">
        <f t="shared" si="22"/>
        <v>-105.50959804418838</v>
      </c>
      <c r="T35" s="385">
        <f>T31+T32</f>
        <v>2760.6559999999999</v>
      </c>
      <c r="U35" s="609">
        <f>(1-T35/T$16)*100</f>
        <v>38.070585448340935</v>
      </c>
      <c r="V35" s="605">
        <f t="shared" si="23"/>
        <v>-93.422472285418223</v>
      </c>
      <c r="X35" s="385">
        <f>X31+X32</f>
        <v>4813.0690000000004</v>
      </c>
      <c r="Y35" s="609">
        <f>(1-X35/X$16)*100</f>
        <v>38.551597788757384</v>
      </c>
      <c r="Z35" s="605">
        <f>(Y35-U35)*100</f>
        <v>48.101234041644858</v>
      </c>
      <c r="AB35" s="385">
        <f>AB31+AB32</f>
        <v>4893.7749999999996</v>
      </c>
      <c r="AC35" s="609">
        <f>(1-AB35/AB$16)*100</f>
        <v>38.543792637675026</v>
      </c>
      <c r="AD35" s="605">
        <f t="shared" si="24"/>
        <v>-0.78051510823584636</v>
      </c>
      <c r="AF35" s="385">
        <f>AF31+AF32</f>
        <v>5278.4650000000001</v>
      </c>
      <c r="AG35" s="609">
        <f>(1-AF35/AF$16)*100</f>
        <v>38.938457979061823</v>
      </c>
      <c r="AH35" s="605">
        <f t="shared" si="25"/>
        <v>39.466534138679776</v>
      </c>
      <c r="AJ35" s="385">
        <f>AJ31+AJ32</f>
        <v>5395.2309999999998</v>
      </c>
      <c r="AK35" s="609">
        <f>(1-AJ35/AJ$16)*100</f>
        <v>38.73383301068246</v>
      </c>
      <c r="AL35" s="605">
        <f t="shared" si="26"/>
        <v>-20.462496837936328</v>
      </c>
      <c r="AN35" s="385">
        <f>AN31+AN32</f>
        <v>5179</v>
      </c>
      <c r="AO35" s="609">
        <f>(1-AN35/AN$16)*100</f>
        <v>39.652761594034025</v>
      </c>
      <c r="AP35" s="605">
        <f t="shared" si="27"/>
        <v>91.892858335156546</v>
      </c>
      <c r="AR35" s="385">
        <f>AR31+AR32</f>
        <v>5950</v>
      </c>
      <c r="AS35" s="609">
        <f>(1-AR35/AR$16)*100</f>
        <v>41.147378832838776</v>
      </c>
      <c r="AT35" s="605">
        <f t="shared" si="28"/>
        <v>149.46172388047501</v>
      </c>
      <c r="AV35" s="385">
        <f>AV31+AV32</f>
        <v>5630</v>
      </c>
      <c r="AW35" s="609">
        <f>(1-AV35/AV$16)*100</f>
        <v>40.017046665246113</v>
      </c>
      <c r="AX35" s="605">
        <f t="shared" si="29"/>
        <v>-113.03321675926625</v>
      </c>
      <c r="AZ35" s="385">
        <f>AZ31+AZ32</f>
        <v>5245</v>
      </c>
      <c r="BA35" s="609">
        <f>(1-AZ35/AZ$16)*100</f>
        <v>39.061229232020445</v>
      </c>
      <c r="BB35" s="605">
        <f t="shared" si="30"/>
        <v>-95.581743322566837</v>
      </c>
      <c r="BD35" s="385">
        <f>BD31+BD32</f>
        <v>5126</v>
      </c>
      <c r="BE35" s="609">
        <f>(1-BD35/BD$16)*100</f>
        <v>39.665725047080983</v>
      </c>
      <c r="BF35" s="605">
        <f t="shared" si="31"/>
        <v>60.449581506053818</v>
      </c>
      <c r="BH35" s="385">
        <f>BH31+BH32</f>
        <v>5072</v>
      </c>
      <c r="BI35" s="609">
        <f>(1-BH35/BH$16)*100</f>
        <v>40.601944021548185</v>
      </c>
      <c r="BJ35" s="605">
        <f t="shared" si="32"/>
        <v>93.621897446720226</v>
      </c>
      <c r="BL35" s="385">
        <f>BL31+BL32</f>
        <v>5129</v>
      </c>
      <c r="BM35" s="609">
        <f>(1-BL35/BL$16)*100</f>
        <v>40.670908039329092</v>
      </c>
      <c r="BN35" s="605">
        <f t="shared" si="33"/>
        <v>6.8964017780906772</v>
      </c>
      <c r="BP35" s="385">
        <f>BP31+BP32</f>
        <v>8970</v>
      </c>
      <c r="BQ35" s="609">
        <f>(1-BP35/BP$16)*100</f>
        <v>40.698135660452209</v>
      </c>
      <c r="BR35" s="605">
        <f t="shared" si="34"/>
        <v>2.7227621123117274</v>
      </c>
      <c r="BT35" s="385">
        <f>BT31+BT32</f>
        <v>8922</v>
      </c>
      <c r="BU35" s="609">
        <f>(1-BT35/BT$16)*100</f>
        <v>40.697906281156527</v>
      </c>
      <c r="BV35" s="605">
        <f t="shared" si="35"/>
        <v>-2.2937929568200843E-2</v>
      </c>
      <c r="BX35" s="385">
        <f>BX31+BX32</f>
        <v>8606</v>
      </c>
      <c r="BY35" s="609">
        <f>(1-BX35/BX$16)*100</f>
        <v>40.648275862068964</v>
      </c>
      <c r="BZ35" s="605">
        <f t="shared" si="36"/>
        <v>-4.9630419087563382</v>
      </c>
      <c r="CB35" s="385">
        <f>CB31+CB32</f>
        <v>8136</v>
      </c>
      <c r="CC35" s="609">
        <f>(1-CB35/CB$16)*100</f>
        <v>39.405675132196315</v>
      </c>
      <c r="CD35" s="605">
        <f t="shared" si="37"/>
        <v>-124.26007298726489</v>
      </c>
      <c r="CF35" s="385">
        <f>CF31+CF32</f>
        <v>7882</v>
      </c>
      <c r="CG35" s="609">
        <f>(1-CF35/CF$16)*100</f>
        <v>40.834709503077619</v>
      </c>
      <c r="CH35" s="605">
        <f t="shared" si="38"/>
        <v>142.9034370881304</v>
      </c>
      <c r="CJ35" s="385">
        <f>CJ31+CJ32</f>
        <v>8232</v>
      </c>
      <c r="CK35" s="609">
        <f>(1-CJ35/CJ$16)*100</f>
        <v>40.742873596314425</v>
      </c>
      <c r="CL35" s="605">
        <f t="shared" si="39"/>
        <v>-9.1835906763193975</v>
      </c>
      <c r="CN35" s="385">
        <f>CN31+CN32</f>
        <v>8695</v>
      </c>
      <c r="CO35" s="609">
        <f>(1-CN35/CN$16)*100</f>
        <v>40.351238252040886</v>
      </c>
      <c r="CP35" s="605">
        <f t="shared" si="40"/>
        <v>-39.163534427353852</v>
      </c>
      <c r="CR35" s="385">
        <f>CR31+CR32</f>
        <v>9226</v>
      </c>
      <c r="CS35" s="609">
        <f>(1-CR35/CR$16)*100</f>
        <v>40.188006482982175</v>
      </c>
      <c r="CT35" s="605">
        <f t="shared" si="11"/>
        <v>-16.323176905871151</v>
      </c>
      <c r="CV35" s="385">
        <f>CV31+CV32</f>
        <v>9281</v>
      </c>
      <c r="CW35" s="609">
        <f>(1-CV35/CV$16)*100</f>
        <v>40.037472541672045</v>
      </c>
      <c r="CX35" s="605">
        <f t="shared" si="12"/>
        <v>-15.053394131012965</v>
      </c>
      <c r="CZ35" s="385">
        <f>CZ31+CZ32</f>
        <v>9355</v>
      </c>
      <c r="DA35" s="609">
        <f>(1-CZ35/CZ$16)*100</f>
        <v>39.874027893823516</v>
      </c>
      <c r="DB35" s="605">
        <f t="shared" si="13"/>
        <v>-16.344464784852875</v>
      </c>
      <c r="DD35" s="385">
        <f>DD31+DD32</f>
        <v>9086</v>
      </c>
      <c r="DE35" s="609">
        <f>(1-DD35/DD$16)*100</f>
        <v>38.370752221393204</v>
      </c>
      <c r="DF35" s="605">
        <f t="shared" si="14"/>
        <v>-150.32756724303127</v>
      </c>
      <c r="DH35" s="385">
        <f>DH31+DH32</f>
        <v>8586</v>
      </c>
      <c r="DI35" s="609">
        <f>(1-DH35/DH$16)*100</f>
        <v>39.39864483342744</v>
      </c>
      <c r="DJ35" s="605">
        <f t="shared" si="15"/>
        <v>102.78926120342362</v>
      </c>
      <c r="DK35" s="605"/>
      <c r="DL35" s="385">
        <f>DL31+DL32</f>
        <v>8475</v>
      </c>
      <c r="DM35" s="609">
        <f>(1-DL35/DL$16)*100</f>
        <v>39.28213211061756</v>
      </c>
      <c r="DN35" s="605">
        <f t="shared" si="16"/>
        <v>-11.651272280987968</v>
      </c>
      <c r="DO35" s="605"/>
      <c r="DP35" s="1092">
        <f>DP31+DP32</f>
        <v>8362.3921856999987</v>
      </c>
      <c r="DQ35" s="1142">
        <f>(1-DP35/DP$16)*100</f>
        <v>39.267146834359536</v>
      </c>
      <c r="DR35" s="1140">
        <f t="shared" si="17"/>
        <v>-1.4985276258023816</v>
      </c>
      <c r="DT35" s="896"/>
      <c r="DU35" s="895"/>
      <c r="DV35" s="290"/>
      <c r="DW35" s="290"/>
      <c r="DX35" s="290"/>
      <c r="EB35" s="432" t="s">
        <v>505</v>
      </c>
      <c r="EC35" s="432" t="s">
        <v>620</v>
      </c>
      <c r="ED35" s="522" t="s">
        <v>622</v>
      </c>
      <c r="EE35" s="599" t="s">
        <v>145</v>
      </c>
      <c r="EF35" s="521" t="s">
        <v>623</v>
      </c>
      <c r="EG35" s="521" t="s">
        <v>624</v>
      </c>
      <c r="EH35" s="521" t="s">
        <v>625</v>
      </c>
      <c r="EI35" s="521" t="s">
        <v>626</v>
      </c>
      <c r="EJ35" s="540" t="str">
        <f>"Less Wage Pressure/Growth Initiatives"</f>
        <v>Less Wage Pressure/Growth Initiatives</v>
      </c>
      <c r="EK35" s="540" t="s">
        <v>627</v>
      </c>
      <c r="EL35" s="540" t="s">
        <v>628</v>
      </c>
      <c r="EN35" s="651" t="s">
        <v>553</v>
      </c>
      <c r="EO35" s="651" t="s">
        <v>619</v>
      </c>
    </row>
    <row r="36" spans="1:147" s="12" customFormat="1" ht="16.5" customHeight="1" x14ac:dyDescent="0.2">
      <c r="D36" s="1092"/>
      <c r="H36" s="1092"/>
      <c r="L36" s="1092"/>
      <c r="P36" s="1092"/>
      <c r="T36" s="1092"/>
      <c r="X36" s="1092"/>
      <c r="AB36" s="1092"/>
      <c r="AF36" s="1092"/>
      <c r="AJ36" s="1092"/>
      <c r="AN36" s="1092"/>
      <c r="AR36" s="1092"/>
      <c r="AV36" s="1092"/>
      <c r="AZ36" s="1092"/>
      <c r="BD36" s="1092"/>
      <c r="BH36" s="1092"/>
      <c r="BL36" s="1092"/>
      <c r="BP36" s="1092"/>
      <c r="BT36" s="1092"/>
      <c r="BX36" s="1092"/>
      <c r="CB36" s="1092"/>
      <c r="CF36" s="1092"/>
      <c r="CJ36" s="1092"/>
      <c r="CN36" s="1092"/>
      <c r="CR36" s="1092"/>
      <c r="DD36" s="1117"/>
      <c r="DH36" s="1117"/>
      <c r="DS36" s="1107"/>
      <c r="DT36" s="1143"/>
      <c r="DU36" s="1144"/>
      <c r="DV36" s="1107"/>
      <c r="DW36" s="1107"/>
      <c r="DX36" s="1107"/>
      <c r="DY36" s="12" t="s">
        <v>215</v>
      </c>
      <c r="EB36" s="1145" t="s">
        <v>202</v>
      </c>
      <c r="EC36" s="1146"/>
      <c r="ED36" s="1146"/>
      <c r="EE36" s="1146"/>
      <c r="EF36" s="1147">
        <v>36</v>
      </c>
      <c r="EG36" s="1148">
        <v>150</v>
      </c>
      <c r="EH36" s="1148">
        <v>400</v>
      </c>
      <c r="EI36" s="1148"/>
      <c r="EJ36" s="1148"/>
      <c r="EK36" s="1149"/>
      <c r="EL36" s="1150"/>
      <c r="EN36" s="1509">
        <v>14</v>
      </c>
      <c r="EO36" s="1509"/>
    </row>
    <row r="37" spans="1:147" s="1151" customFormat="1" ht="13.5" thickBot="1" x14ac:dyDescent="0.25">
      <c r="B37" s="1129"/>
      <c r="C37" s="1129"/>
      <c r="D37" s="1129"/>
      <c r="E37" s="1129"/>
      <c r="F37" s="1129"/>
      <c r="G37" s="1129"/>
      <c r="H37" s="1129"/>
      <c r="I37" s="1129"/>
      <c r="J37" s="1129"/>
      <c r="K37" s="1129"/>
      <c r="L37" s="1129"/>
      <c r="M37" s="1129"/>
      <c r="N37" s="1129"/>
      <c r="O37" s="1129"/>
      <c r="P37" s="1129"/>
      <c r="Q37" s="1129"/>
      <c r="R37" s="1129"/>
      <c r="S37" s="1129"/>
      <c r="T37" s="1129"/>
      <c r="U37" s="1129"/>
      <c r="V37" s="1129"/>
      <c r="W37" s="1129"/>
      <c r="X37" s="1129"/>
      <c r="Y37" s="1129"/>
      <c r="Z37" s="1129"/>
      <c r="AA37" s="1129"/>
      <c r="AB37" s="1129"/>
      <c r="AC37" s="1129"/>
      <c r="AD37" s="1129"/>
      <c r="AE37" s="1129"/>
      <c r="AF37" s="1129"/>
      <c r="AG37" s="1129"/>
      <c r="AH37" s="1129"/>
      <c r="AI37" s="1129"/>
      <c r="AJ37" s="1129"/>
      <c r="AK37" s="1129"/>
      <c r="AL37" s="1129"/>
      <c r="AM37" s="1129"/>
      <c r="AN37" s="1129"/>
      <c r="AO37" s="1129"/>
      <c r="AP37" s="1129"/>
      <c r="AQ37" s="1129"/>
      <c r="AR37" s="1129"/>
      <c r="AS37" s="1129"/>
      <c r="AT37" s="1129"/>
      <c r="AU37" s="1129"/>
      <c r="AV37" s="1129"/>
      <c r="AW37" s="1129"/>
      <c r="AX37" s="1129"/>
      <c r="AY37" s="1129"/>
      <c r="AZ37" s="1129"/>
      <c r="BA37" s="1129"/>
      <c r="BB37" s="1129"/>
      <c r="BC37" s="1129"/>
      <c r="BD37" s="1129"/>
      <c r="BE37" s="1129"/>
      <c r="BF37" s="1129"/>
      <c r="BG37" s="1129"/>
      <c r="BH37" s="1129"/>
      <c r="BI37" s="1129"/>
      <c r="BJ37" s="1129"/>
      <c r="BK37" s="1129"/>
      <c r="BL37" s="1129"/>
      <c r="BM37" s="1129"/>
      <c r="BN37" s="1129"/>
      <c r="BO37" s="1129"/>
      <c r="BP37" s="1129"/>
      <c r="BQ37" s="1129"/>
      <c r="BR37" s="1129"/>
      <c r="BS37" s="1129"/>
      <c r="BT37" s="1129"/>
      <c r="BU37" s="1129"/>
      <c r="BV37" s="1129"/>
      <c r="BW37" s="1129"/>
      <c r="BX37" s="1129"/>
      <c r="BY37" s="1129"/>
      <c r="BZ37" s="1129"/>
      <c r="CA37" s="1129"/>
      <c r="CB37" s="1129"/>
      <c r="CC37" s="1129"/>
      <c r="CD37" s="1129"/>
      <c r="CE37" s="1129"/>
      <c r="CF37" s="1129"/>
      <c r="CG37" s="1129"/>
      <c r="CH37" s="1129"/>
      <c r="CI37" s="1129"/>
      <c r="CJ37" s="1129"/>
      <c r="CK37" s="1129"/>
      <c r="CL37" s="1129"/>
      <c r="CM37" s="1129"/>
      <c r="CN37" s="1513" t="s">
        <v>309</v>
      </c>
      <c r="CO37" s="1513"/>
      <c r="CP37" s="1513"/>
      <c r="CQ37" s="1513"/>
      <c r="CR37" s="1513"/>
      <c r="CS37" s="1513"/>
      <c r="CT37" s="1513"/>
      <c r="CU37" s="1513"/>
      <c r="CV37" s="1513"/>
      <c r="CW37" s="1513"/>
      <c r="CX37" s="1513"/>
      <c r="CZ37" s="1129" t="str">
        <f>CN37</f>
        <v>3. Selling, General and Administrative Expense (% of Sales / % growth)</v>
      </c>
      <c r="DA37" s="1137"/>
      <c r="DB37" s="1137"/>
      <c r="DC37" s="1129"/>
      <c r="DD37" s="1137"/>
      <c r="DE37" s="1137"/>
      <c r="DF37" s="1137"/>
      <c r="DG37" s="1129"/>
      <c r="DH37" s="1152"/>
      <c r="DI37" s="1137"/>
      <c r="DJ37" s="1137"/>
      <c r="DK37" s="1153"/>
      <c r="DL37" s="1137"/>
      <c r="DM37" s="1137"/>
      <c r="DN37" s="1137"/>
      <c r="DO37" s="1153"/>
      <c r="DP37" s="1137"/>
      <c r="DQ37" s="1137"/>
      <c r="DR37" s="1137"/>
      <c r="DS37" s="12"/>
      <c r="DT37" s="1154"/>
      <c r="DU37" s="1144"/>
      <c r="DV37" s="12"/>
      <c r="DW37" s="12"/>
      <c r="DX37" s="12"/>
      <c r="DY37" s="12" t="s">
        <v>215</v>
      </c>
      <c r="DZ37" s="12"/>
      <c r="EB37" s="1155" t="s">
        <v>95</v>
      </c>
      <c r="EC37" s="1156">
        <f>DD39</f>
        <v>2023</v>
      </c>
      <c r="ED37" s="1156">
        <v>20</v>
      </c>
      <c r="EE37" s="1156">
        <f>EC37+ED37</f>
        <v>2043</v>
      </c>
      <c r="EF37" s="1157">
        <v>4</v>
      </c>
      <c r="EG37" s="1157">
        <v>10</v>
      </c>
      <c r="EH37" s="1153">
        <v>85</v>
      </c>
      <c r="EI37" s="1158">
        <f>EH37+EG37+EF37</f>
        <v>99</v>
      </c>
      <c r="EJ37" s="1159">
        <f>EE37*0.01</f>
        <v>20.43</v>
      </c>
      <c r="EK37" s="1092">
        <f>EE37-EI37+EJ37</f>
        <v>1964.43</v>
      </c>
      <c r="EL37" s="1160">
        <f>EK37/EC37-1</f>
        <v>-2.8952051408798751E-2</v>
      </c>
      <c r="EM37" s="1160">
        <f>(EK37+EI37)/EC37-1</f>
        <v>1.9985170538803887E-2</v>
      </c>
      <c r="EN37" s="1152">
        <f>DH39</f>
        <v>2142</v>
      </c>
      <c r="EO37" s="1151">
        <f>(EG37+EF37) -EN36</f>
        <v>0</v>
      </c>
      <c r="EP37" s="1153"/>
      <c r="EQ37" s="1161">
        <f>EK37-EN37</f>
        <v>-177.56999999999994</v>
      </c>
    </row>
    <row r="38" spans="1:147" s="12" customFormat="1" x14ac:dyDescent="0.2">
      <c r="D38" s="1092"/>
      <c r="H38" s="1092"/>
      <c r="L38" s="1092"/>
      <c r="P38" s="1092"/>
      <c r="T38" s="1092"/>
      <c r="X38" s="1092"/>
      <c r="AB38" s="1092"/>
      <c r="AF38" s="1092"/>
      <c r="AJ38" s="1092"/>
      <c r="AN38" s="1092"/>
      <c r="AR38" s="1092"/>
      <c r="AV38" s="1092"/>
      <c r="AZ38" s="1092"/>
      <c r="BD38" s="1092"/>
      <c r="BH38" s="1092"/>
      <c r="BL38" s="1092"/>
      <c r="BP38" s="1092"/>
      <c r="BT38" s="1092"/>
      <c r="BX38" s="1092"/>
      <c r="CB38" s="1092"/>
      <c r="CF38" s="1092"/>
      <c r="CJ38" s="1092"/>
      <c r="CN38" s="1092"/>
      <c r="CO38" s="1109"/>
      <c r="CS38" s="1109"/>
      <c r="CV38" s="1162"/>
      <c r="CW38" s="1109"/>
      <c r="CZ38" s="1163"/>
      <c r="DA38" s="1109"/>
      <c r="DD38" s="1164"/>
      <c r="DE38" s="1109"/>
      <c r="DH38" s="1164"/>
      <c r="DI38" s="1109"/>
      <c r="DL38" s="1164"/>
      <c r="DM38" s="1109"/>
      <c r="DP38" s="1164"/>
      <c r="DQ38" s="1109"/>
      <c r="DS38" s="1092"/>
      <c r="DT38" s="1165"/>
      <c r="DU38" s="1144"/>
      <c r="DY38" s="1166" t="s">
        <v>562</v>
      </c>
      <c r="DZ38" s="1167" t="s">
        <v>563</v>
      </c>
      <c r="EB38" s="1155" t="s">
        <v>96</v>
      </c>
      <c r="EC38" s="1156">
        <f>DD40</f>
        <v>2058</v>
      </c>
      <c r="ED38" s="1156">
        <v>0</v>
      </c>
      <c r="EE38" s="1156">
        <f>EC38</f>
        <v>2058</v>
      </c>
      <c r="EF38" s="1157">
        <v>11</v>
      </c>
      <c r="EG38" s="1157">
        <v>10</v>
      </c>
      <c r="EH38" s="1168">
        <f>$EH$41/3</f>
        <v>133.33333333333334</v>
      </c>
      <c r="EI38" s="1158">
        <f>EH38+EG38+EF38</f>
        <v>154.33333333333334</v>
      </c>
      <c r="EJ38" s="1159">
        <f>EE38*0.025</f>
        <v>51.45</v>
      </c>
      <c r="EK38" s="1092">
        <f>EE38-EI38+EJ38</f>
        <v>1955.1166666666668</v>
      </c>
      <c r="EL38" s="1160">
        <f>EK38/EC38-1</f>
        <v>-4.999190152251376E-2</v>
      </c>
      <c r="EM38" s="1160"/>
    </row>
    <row r="39" spans="1:147" x14ac:dyDescent="0.2">
      <c r="A39" s="604" t="s">
        <v>79</v>
      </c>
      <c r="D39" s="610">
        <v>608.81899999999996</v>
      </c>
      <c r="E39" s="609">
        <f t="shared" ref="E39:E45" si="41">(D39/D10)*100</f>
        <v>38.279428592985674</v>
      </c>
      <c r="F39" s="566"/>
      <c r="H39" s="610">
        <v>597.87800000000004</v>
      </c>
      <c r="I39" s="609">
        <f t="shared" ref="I39:I45" si="42">(H39/H10)*100</f>
        <v>37.521706468919973</v>
      </c>
      <c r="J39" s="566">
        <f>(H39/D39-1)*100</f>
        <v>-1.7970858333921758</v>
      </c>
      <c r="K39" s="649"/>
      <c r="L39" s="610">
        <v>562.19899999999996</v>
      </c>
      <c r="M39" s="609">
        <f>(L39/L10)*100</f>
        <v>35.76952980354082</v>
      </c>
      <c r="N39" s="566">
        <f>(L39/H39-1)*100</f>
        <v>-5.9676054312083888</v>
      </c>
      <c r="P39" s="610">
        <v>555.61</v>
      </c>
      <c r="Q39" s="609">
        <f>(P39/P10)*100</f>
        <v>34.938333944344919</v>
      </c>
      <c r="R39" s="566">
        <f>(P39/L39-1)*100</f>
        <v>-1.1720049306384261</v>
      </c>
      <c r="S39" s="649"/>
      <c r="T39" s="610">
        <v>542.08799999999997</v>
      </c>
      <c r="U39" s="609">
        <f>(T39/T10)*100</f>
        <v>32.7816786211676</v>
      </c>
      <c r="V39" s="566">
        <f>(T39/P39-1)*100</f>
        <v>-2.4337214952934727</v>
      </c>
      <c r="W39" s="649"/>
      <c r="X39" s="610">
        <v>1095.52</v>
      </c>
      <c r="Y39" s="609">
        <f>(X39/X10)*100</f>
        <v>37.287950987066033</v>
      </c>
      <c r="Z39" s="566"/>
      <c r="AA39" s="649"/>
      <c r="AB39" s="610">
        <v>1069.9590000000001</v>
      </c>
      <c r="AC39" s="609">
        <f>(AB39/AB10)*100</f>
        <v>35.808462232003549</v>
      </c>
      <c r="AD39" s="566">
        <f>(AB39/X39-1)*100</f>
        <v>-2.3332298817000052</v>
      </c>
      <c r="AE39" s="649"/>
      <c r="AF39" s="610">
        <v>1153.0650000000001</v>
      </c>
      <c r="AG39" s="609">
        <f>(AF39/AF10)*100</f>
        <v>34.933953403823438</v>
      </c>
      <c r="AH39" s="566">
        <f>(AF39/AB39-1)*100</f>
        <v>7.7672135100503858</v>
      </c>
      <c r="AJ39" s="610">
        <v>1174.1659999999999</v>
      </c>
      <c r="AK39" s="609">
        <f>(AJ39/AJ10)*100</f>
        <v>34.447163058147041</v>
      </c>
      <c r="AL39" s="566">
        <f>(AJ39/AF39-1)*100</f>
        <v>1.8299922380784928</v>
      </c>
      <c r="AN39" s="610">
        <v>1154</v>
      </c>
      <c r="AO39" s="609">
        <f>(AN39/AN10)*100</f>
        <v>34.375930890676202</v>
      </c>
      <c r="AP39" s="566">
        <f>(AN39/AJ39-1)*100</f>
        <v>-1.7174743605248288</v>
      </c>
      <c r="AR39" s="610">
        <v>1201</v>
      </c>
      <c r="AS39" s="609">
        <f>(AR39/AR10)*100</f>
        <v>33.361111111111114</v>
      </c>
      <c r="AT39" s="566">
        <f>(AR39/AN39-1)*100</f>
        <v>4.0727902946273931</v>
      </c>
      <c r="AV39" s="610">
        <v>1152</v>
      </c>
      <c r="AW39" s="609">
        <f t="shared" ref="AW39:AW45" si="43">(AV39/AV10)*100</f>
        <v>32.241813602015114</v>
      </c>
      <c r="AX39" s="566">
        <f>(AV39/AR39-1)*100</f>
        <v>-4.079933388842627</v>
      </c>
      <c r="AZ39" s="610">
        <v>1168</v>
      </c>
      <c r="BA39" s="609">
        <f t="shared" ref="BA39:BA45" si="44">(AZ39/AZ10)*100</f>
        <v>32.845894263217097</v>
      </c>
      <c r="BB39" s="566">
        <f>(AZ39/AV39-1)*100</f>
        <v>1.388888888888884</v>
      </c>
      <c r="BD39" s="610">
        <v>1154</v>
      </c>
      <c r="BE39" s="609">
        <f t="shared" ref="BE39:BE45" si="45">(BD39/BD10)*100</f>
        <v>33.420214306400233</v>
      </c>
      <c r="BF39" s="566">
        <f>(BD39/AZ39-1)*100</f>
        <v>-1.1986301369863006</v>
      </c>
      <c r="BH39" s="610">
        <v>1135</v>
      </c>
      <c r="BI39" s="609">
        <f t="shared" ref="BI39:BI45" si="46">(BH39/BH10)*100</f>
        <v>34.487997569127927</v>
      </c>
      <c r="BJ39" s="566">
        <f>(BH39/BD39-1)*100</f>
        <v>-1.6464471403812797</v>
      </c>
      <c r="BL39" s="610">
        <v>1195</v>
      </c>
      <c r="BM39" s="609">
        <f t="shared" ref="BM39:BM45" si="47">(BL39/BL10)*100</f>
        <v>33.661971830985912</v>
      </c>
      <c r="BN39" s="566">
        <f>(BL39/BH39-1)*100</f>
        <v>5.2863436123347984</v>
      </c>
      <c r="BP39" s="610">
        <v>1213</v>
      </c>
      <c r="BQ39" s="609">
        <f t="shared" ref="BQ39:BQ45" si="48">(BP39/BP10)*100</f>
        <v>33.31502334523482</v>
      </c>
      <c r="BR39" s="566">
        <f>(BP39/BL39-1)*100</f>
        <v>1.5062761506276168</v>
      </c>
      <c r="BT39" s="610">
        <v>2154</v>
      </c>
      <c r="BU39" s="609">
        <f t="shared" ref="BU39:BU45" si="49">(BT39/BT10)*100</f>
        <v>36.323777403035415</v>
      </c>
      <c r="BV39" s="566">
        <f>(BT39/BP39-1)*100</f>
        <v>77.576257213520194</v>
      </c>
      <c r="BX39" s="610">
        <v>2113</v>
      </c>
      <c r="BY39" s="609">
        <f t="shared" ref="BY39:BY45" si="50">(BX39/BX10)*100</f>
        <v>35.686539435906099</v>
      </c>
      <c r="BZ39" s="566">
        <f>(BX39/BT39-1)*100</f>
        <v>-1.9034354688950761</v>
      </c>
      <c r="CB39" s="610">
        <v>2080</v>
      </c>
      <c r="CC39" s="609">
        <f t="shared" ref="CC39:CC45" si="51">(CB39/CB10)*100</f>
        <v>36.192796241517314</v>
      </c>
      <c r="CD39" s="566">
        <f>(CB39/BX39-1)*100</f>
        <v>-1.5617605300520587</v>
      </c>
      <c r="CF39" s="610">
        <v>1985</v>
      </c>
      <c r="CG39" s="609">
        <f t="shared" ref="CG39:CG45" si="52">(CF39/CF10)*100</f>
        <v>37.537821482602119</v>
      </c>
      <c r="CH39" s="566">
        <f>(CF39/CB39-1)*100</f>
        <v>-4.5673076923076872</v>
      </c>
      <c r="CJ39" s="1000">
        <v>1993</v>
      </c>
      <c r="CK39" s="609">
        <f t="shared" ref="CK39:CK45" si="53">(CJ39/CJ10)*100</f>
        <v>35.755292429135274</v>
      </c>
      <c r="CL39" s="566">
        <f>(CJ39/CF39-1)*100</f>
        <v>0.40302267002518821</v>
      </c>
      <c r="CN39" s="1000">
        <v>1973</v>
      </c>
      <c r="CO39" s="609">
        <f t="shared" ref="CO39:CO45" si="54">(CN39/CN10)*100</f>
        <v>33.503141450161316</v>
      </c>
      <c r="CP39" s="566">
        <f>(CN39/CJ39-1)*100</f>
        <v>-1.003512293025588</v>
      </c>
      <c r="CR39" s="1000">
        <v>1995</v>
      </c>
      <c r="CS39" s="609">
        <f t="shared" ref="CS39:CS45" si="55">(CR39/CR10)*100</f>
        <v>32.47598893048999</v>
      </c>
      <c r="CT39" s="566">
        <f t="shared" ref="CT39:CT45" si="56">(CR39/CN39-1)*100</f>
        <v>1.1150532184490691</v>
      </c>
      <c r="CU39" s="654"/>
      <c r="CV39" s="1000">
        <v>2041</v>
      </c>
      <c r="CW39" s="609">
        <f t="shared" ref="CW39:CW45" si="57">(CV39/CV10)*100</f>
        <v>31.955534679818381</v>
      </c>
      <c r="CX39" s="566">
        <f t="shared" ref="CX39:CX45" si="58">(CV39/CR39-1)*100</f>
        <v>2.3057644110275666</v>
      </c>
      <c r="CY39" s="654"/>
      <c r="CZ39" s="1000">
        <v>2000</v>
      </c>
      <c r="DA39" s="609">
        <f t="shared" ref="DA39:DA45" si="59">(CZ39/CZ10)*100</f>
        <v>31.852205765249241</v>
      </c>
      <c r="DB39" s="566">
        <f t="shared" ref="DB39:DB45" si="60">(CZ39/CV39-1)*100</f>
        <v>-2.0088192062714394</v>
      </c>
      <c r="DD39" s="1000">
        <v>2023</v>
      </c>
      <c r="DE39" s="609">
        <f t="shared" ref="DE39:DE45" si="61">(DD39/DD10)*100</f>
        <v>32.4614890885751</v>
      </c>
      <c r="DF39" s="566">
        <f t="shared" ref="DF39:DF45" si="62">(DD39/CZ39-1)*100</f>
        <v>1.1500000000000066</v>
      </c>
      <c r="DH39" s="1000">
        <v>2142</v>
      </c>
      <c r="DI39" s="609">
        <f t="shared" ref="DI39:DI45" si="63">(DH39/DH10)*100</f>
        <v>37.097332871492902</v>
      </c>
      <c r="DJ39" s="566">
        <f t="shared" ref="DJ39:DJ45" si="64">(DH39/DD39-1)*100</f>
        <v>5.8823529411764719</v>
      </c>
      <c r="DK39" s="566"/>
      <c r="DL39" s="1000">
        <v>1990</v>
      </c>
      <c r="DM39" s="609">
        <f t="shared" ref="DM39:DM45" si="65">(DL39/DL10)*100</f>
        <v>37.182361733931238</v>
      </c>
      <c r="DN39" s="566">
        <f t="shared" ref="DN39:DN45" si="66">(DL39/DH39-1)*100</f>
        <v>-7.096171802054152</v>
      </c>
      <c r="DO39" s="566"/>
      <c r="DP39" s="1380">
        <f>sgadetail!AJ61</f>
        <v>1979</v>
      </c>
      <c r="DQ39" s="1142">
        <f t="shared" ref="DQ39:DQ45" si="67">(DP39/DP10)*100</f>
        <v>37.237493546002888</v>
      </c>
      <c r="DR39" s="1132">
        <f t="shared" ref="DR39:DR45" si="68">(DP39/DL39-1)*100</f>
        <v>-0.55276381909548089</v>
      </c>
      <c r="DS39" s="996"/>
      <c r="DT39" s="1456">
        <f t="shared" ref="DT39:DT43" si="69">DN39+DR39</f>
        <v>-7.6489356211496329</v>
      </c>
      <c r="DU39" s="1453">
        <f t="shared" ref="DU39:DU43" si="70">DJ39+DN39+DR39</f>
        <v>-1.766582679973161</v>
      </c>
      <c r="DY39" s="656">
        <f>DH39/CZ39-1</f>
        <v>7.0999999999999952E-2</v>
      </c>
      <c r="DZ39" s="657">
        <f>DH10/CZ10-1</f>
        <v>-8.0426819557254392E-2</v>
      </c>
      <c r="EB39" s="525" t="s">
        <v>97</v>
      </c>
      <c r="EC39" s="187">
        <f>DD41</f>
        <v>1968</v>
      </c>
      <c r="ED39" s="187">
        <v>78</v>
      </c>
      <c r="EE39" s="523">
        <f>EC39+ED39</f>
        <v>2046</v>
      </c>
      <c r="EF39" s="547">
        <v>9</v>
      </c>
      <c r="EG39" s="547">
        <v>32</v>
      </c>
      <c r="EH39" s="536">
        <f>$EH$41/3</f>
        <v>133.33333333333334</v>
      </c>
      <c r="EI39" s="537">
        <f>EH39+EG39+EF39</f>
        <v>174.33333333333334</v>
      </c>
      <c r="EJ39" s="524">
        <f>EE39*0.04</f>
        <v>81.84</v>
      </c>
      <c r="EK39" s="385">
        <f>EE39-EI39+EJ39</f>
        <v>1953.5066666666667</v>
      </c>
      <c r="EL39" s="282">
        <f>EK39/EC39-1</f>
        <v>-7.3644986449864502E-3</v>
      </c>
      <c r="EM39" s="282"/>
    </row>
    <row r="40" spans="1:147" x14ac:dyDescent="0.2">
      <c r="A40" s="604" t="s">
        <v>80</v>
      </c>
      <c r="D40" s="468">
        <v>616.54300000000001</v>
      </c>
      <c r="E40" s="609">
        <f t="shared" si="41"/>
        <v>40.410711991673288</v>
      </c>
      <c r="F40" s="566"/>
      <c r="H40" s="468">
        <v>589.803</v>
      </c>
      <c r="I40" s="609">
        <f t="shared" si="42"/>
        <v>39.432108323421872</v>
      </c>
      <c r="J40" s="566">
        <f t="shared" ref="J40:J45" si="71">(H40/D40-1)*100</f>
        <v>-4.3370859777825732</v>
      </c>
      <c r="K40" s="649"/>
      <c r="L40" s="468">
        <v>557.755</v>
      </c>
      <c r="M40" s="609">
        <f>(L40/L11)*100</f>
        <v>38.275487712151694</v>
      </c>
      <c r="N40" s="566">
        <f t="shared" ref="N40:N45" si="72">(L40/H40-1)*100</f>
        <v>-5.4336787028889333</v>
      </c>
      <c r="P40" s="468">
        <v>540.18899999999996</v>
      </c>
      <c r="Q40" s="609">
        <f>(P40/P11)*100</f>
        <v>35.957752441609067</v>
      </c>
      <c r="R40" s="566">
        <f t="shared" ref="R40:R45" si="73">(P40/L40-1)*100</f>
        <v>-3.149411479950881</v>
      </c>
      <c r="S40" s="649"/>
      <c r="T40" s="468">
        <v>534.79100000000005</v>
      </c>
      <c r="U40" s="609">
        <f>(T40/T11)*100</f>
        <v>33.50610863980954</v>
      </c>
      <c r="V40" s="566">
        <f t="shared" ref="V40:V45" si="74">(T40/P40-1)*100</f>
        <v>-0.99927988167103354</v>
      </c>
      <c r="W40" s="649"/>
      <c r="X40" s="468">
        <v>1083.9040000000002</v>
      </c>
      <c r="Y40" s="609">
        <f>(X40/X11)*100</f>
        <v>36.983212774669042</v>
      </c>
      <c r="Z40" s="566"/>
      <c r="AA40" s="649"/>
      <c r="AB40" s="468">
        <v>1067.8869999999999</v>
      </c>
      <c r="AC40" s="609">
        <f>(AB40/AB11)*100</f>
        <v>35.047161142106987</v>
      </c>
      <c r="AD40" s="566">
        <f t="shared" ref="AD40:AD45" si="75">(AB40/X40-1)*100</f>
        <v>-1.4777138934813694</v>
      </c>
      <c r="AE40" s="649"/>
      <c r="AF40" s="468">
        <v>1113.9839999999999</v>
      </c>
      <c r="AG40" s="609">
        <f>(AF40/AF11)*100</f>
        <v>33.919493331709397</v>
      </c>
      <c r="AH40" s="566">
        <f t="shared" ref="AH40:AH45" si="76">(AF40/AB40-1)*100</f>
        <v>4.3166552266297842</v>
      </c>
      <c r="AJ40" s="468">
        <v>1142.298</v>
      </c>
      <c r="AK40" s="609">
        <f>(AJ40/AJ11)*100</f>
        <v>33.083236793327153</v>
      </c>
      <c r="AL40" s="566">
        <f t="shared" ref="AL40:AL45" si="77">(AJ40/AF40-1)*100</f>
        <v>2.5416882109617456</v>
      </c>
      <c r="AN40" s="468">
        <v>1142</v>
      </c>
      <c r="AO40" s="609">
        <f>(AN40/AN11)*100</f>
        <v>33.333333333333329</v>
      </c>
      <c r="AP40" s="566">
        <f t="shared" ref="AP40:AP45" si="78">(AN40/AJ40-1)*100</f>
        <v>-2.6087763438265021E-2</v>
      </c>
      <c r="AR40" s="468">
        <v>1369</v>
      </c>
      <c r="AS40" s="609">
        <f>(AR40/AR11)*100</f>
        <v>34.173739390913632</v>
      </c>
      <c r="AT40" s="566">
        <f t="shared" ref="AT40:AT45" si="79">(AR40/AN40-1)*100</f>
        <v>19.877408056042036</v>
      </c>
      <c r="AV40" s="468">
        <v>1104</v>
      </c>
      <c r="AW40" s="609">
        <f t="shared" si="43"/>
        <v>30.008154389779833</v>
      </c>
      <c r="AX40" s="566">
        <f t="shared" ref="AX40:AX45" si="80">(AV40/AR40-1)*100</f>
        <v>-19.35719503287071</v>
      </c>
      <c r="AZ40" s="468">
        <v>1106</v>
      </c>
      <c r="BA40" s="609">
        <f t="shared" si="44"/>
        <v>31.708715596330272</v>
      </c>
      <c r="BB40" s="566">
        <f t="shared" ref="BB40:BB45" si="81">(AZ40/AV40-1)*100</f>
        <v>0.18115942028984477</v>
      </c>
      <c r="BD40" s="468">
        <v>1135</v>
      </c>
      <c r="BE40" s="609">
        <f t="shared" si="45"/>
        <v>32.5588066551922</v>
      </c>
      <c r="BF40" s="566">
        <f t="shared" ref="BF40:BF45" si="82">(BD40/AZ40-1)*100</f>
        <v>2.6220614828209809</v>
      </c>
      <c r="BH40" s="468">
        <v>1135</v>
      </c>
      <c r="BI40" s="609">
        <f t="shared" si="46"/>
        <v>33.051834595224229</v>
      </c>
      <c r="BJ40" s="566">
        <f t="shared" ref="BJ40:BJ45" si="83">(BH40/BD40-1)*100</f>
        <v>0</v>
      </c>
      <c r="BL40" s="468">
        <v>1207</v>
      </c>
      <c r="BM40" s="609">
        <f t="shared" si="47"/>
        <v>33.705668807595643</v>
      </c>
      <c r="BN40" s="566">
        <f t="shared" ref="BN40:BN45" si="84">(BL40/BH40-1)*100</f>
        <v>6.3436123348017626</v>
      </c>
      <c r="BP40" s="468">
        <v>1206</v>
      </c>
      <c r="BQ40" s="609">
        <f t="shared" si="48"/>
        <v>33.287330941208943</v>
      </c>
      <c r="BR40" s="566">
        <f t="shared" ref="BR40:BR45" si="85">(BP40/BL40-1)*100</f>
        <v>-8.2850041425019949E-2</v>
      </c>
      <c r="BT40" s="468">
        <v>2117</v>
      </c>
      <c r="BU40" s="609">
        <f t="shared" si="49"/>
        <v>35.312760633861551</v>
      </c>
      <c r="BV40" s="566">
        <f t="shared" ref="BV40:BV45" si="86">(BT40/BP40-1)*100</f>
        <v>75.538971807628513</v>
      </c>
      <c r="BX40" s="468">
        <v>2038</v>
      </c>
      <c r="BY40" s="609">
        <f t="shared" si="50"/>
        <v>34.589273591310246</v>
      </c>
      <c r="BZ40" s="566">
        <f t="shared" ref="BZ40:BZ45" si="87">(BX40/BT40-1)*100</f>
        <v>-3.7316957959376507</v>
      </c>
      <c r="CB40" s="468">
        <v>2037</v>
      </c>
      <c r="CC40" s="609">
        <f t="shared" si="51"/>
        <v>35.624344176285419</v>
      </c>
      <c r="CD40" s="566">
        <f t="shared" ref="CD40:CD45" si="88">(CB40/BX40-1)*100</f>
        <v>-4.906771344455052E-2</v>
      </c>
      <c r="CF40" s="468">
        <v>1886</v>
      </c>
      <c r="CG40" s="609">
        <f t="shared" si="52"/>
        <v>35.685903500473039</v>
      </c>
      <c r="CH40" s="566">
        <f t="shared" ref="CH40:CH45" si="89">(CF40/CB40-1)*100</f>
        <v>-7.4128620520373056</v>
      </c>
      <c r="CJ40" s="1001">
        <v>1953</v>
      </c>
      <c r="CK40" s="609">
        <f t="shared" si="53"/>
        <v>35.271807838179519</v>
      </c>
      <c r="CL40" s="566">
        <f t="shared" ref="CL40:CL45" si="90">(CJ40/CF40-1)*100</f>
        <v>3.5524920466595944</v>
      </c>
      <c r="CN40" s="1001">
        <v>1976</v>
      </c>
      <c r="CO40" s="609">
        <f t="shared" si="54"/>
        <v>33.271594544536114</v>
      </c>
      <c r="CP40" s="566">
        <f t="shared" ref="CP40:CP45" si="91">(CN40/CJ40-1)*100</f>
        <v>1.177675371223752</v>
      </c>
      <c r="CR40" s="1001">
        <v>2009</v>
      </c>
      <c r="CS40" s="609">
        <f t="shared" si="55"/>
        <v>32.837528604118994</v>
      </c>
      <c r="CT40" s="566">
        <f t="shared" si="56"/>
        <v>1.6700404858299489</v>
      </c>
      <c r="CU40" s="654"/>
      <c r="CV40" s="1001">
        <v>1999</v>
      </c>
      <c r="CW40" s="609">
        <f t="shared" si="57"/>
        <v>32.954170787998684</v>
      </c>
      <c r="CX40" s="566">
        <f t="shared" si="58"/>
        <v>-0.49776007964161817</v>
      </c>
      <c r="CY40" s="654"/>
      <c r="CZ40" s="1001">
        <v>2024</v>
      </c>
      <c r="DA40" s="609">
        <f t="shared" si="59"/>
        <v>32.296154459869157</v>
      </c>
      <c r="DB40" s="566">
        <f t="shared" si="60"/>
        <v>1.2506253126563172</v>
      </c>
      <c r="DC40" s="282"/>
      <c r="DD40" s="1001">
        <v>2058</v>
      </c>
      <c r="DE40" s="609">
        <f t="shared" si="61"/>
        <v>33.715596330275226</v>
      </c>
      <c r="DF40" s="566">
        <f t="shared" si="62"/>
        <v>1.679841897233203</v>
      </c>
      <c r="DH40" s="1001">
        <v>2201.75</v>
      </c>
      <c r="DI40" s="609">
        <f t="shared" si="63"/>
        <v>36.892593833780161</v>
      </c>
      <c r="DJ40" s="566">
        <f t="shared" si="64"/>
        <v>6.9849368318755989</v>
      </c>
      <c r="DK40" s="566"/>
      <c r="DL40" s="1001">
        <v>2116</v>
      </c>
      <c r="DM40" s="609">
        <f t="shared" si="65"/>
        <v>37.551020408163268</v>
      </c>
      <c r="DN40" s="566">
        <f t="shared" si="66"/>
        <v>-3.8946292721698694</v>
      </c>
      <c r="DO40" s="566"/>
      <c r="DP40" s="1381">
        <f>sgadetail!AJ62</f>
        <v>2080</v>
      </c>
      <c r="DQ40" s="1142">
        <f t="shared" si="67"/>
        <v>38.014578956554637</v>
      </c>
      <c r="DR40" s="1132">
        <f t="shared" si="68"/>
        <v>-1.7013232514177745</v>
      </c>
      <c r="DS40" s="391"/>
      <c r="DT40" s="1456">
        <f t="shared" si="69"/>
        <v>-5.5959525235876439</v>
      </c>
      <c r="DU40" s="1453">
        <f t="shared" si="70"/>
        <v>1.3889843082879549</v>
      </c>
      <c r="DY40" s="656">
        <f>DH40/CZ40-1</f>
        <v>8.7821146245059323E-2</v>
      </c>
      <c r="DZ40" s="657">
        <f>DH11/CZ11-1</f>
        <v>-4.771022817935211E-2</v>
      </c>
      <c r="EB40" s="526" t="s">
        <v>98</v>
      </c>
      <c r="EC40" s="187">
        <f>DD42</f>
        <v>2207</v>
      </c>
      <c r="ED40" s="187">
        <v>114</v>
      </c>
      <c r="EE40" s="187">
        <f>EC40+ED40</f>
        <v>2321</v>
      </c>
      <c r="EF40" s="600">
        <v>4</v>
      </c>
      <c r="EG40" s="600">
        <f>EG41-SUM(EG37:EG39)</f>
        <v>98</v>
      </c>
      <c r="EH40" s="536">
        <f>$EH$41/3</f>
        <v>133.33333333333334</v>
      </c>
      <c r="EI40" s="537">
        <f>EH40+EG40+EF40</f>
        <v>235.33333333333334</v>
      </c>
      <c r="EJ40" s="524">
        <f>EE40*0.04</f>
        <v>92.84</v>
      </c>
      <c r="EK40" s="385">
        <f>EE40-EI40+EJ40</f>
        <v>2178.5066666666667</v>
      </c>
      <c r="EL40" s="282">
        <f>EK40/EC40-1</f>
        <v>-1.2910436489956156E-2</v>
      </c>
      <c r="EM40" s="282"/>
    </row>
    <row r="41" spans="1:147" x14ac:dyDescent="0.2">
      <c r="A41" s="604" t="s">
        <v>81</v>
      </c>
      <c r="C41" s="606"/>
      <c r="D41" s="468">
        <v>656.14200000000005</v>
      </c>
      <c r="E41" s="609">
        <f t="shared" si="41"/>
        <v>37.126236401073484</v>
      </c>
      <c r="F41" s="566"/>
      <c r="H41" s="468">
        <v>624.08500000000004</v>
      </c>
      <c r="I41" s="609">
        <f t="shared" si="42"/>
        <v>36.519669659038179</v>
      </c>
      <c r="J41" s="566">
        <f t="shared" si="71"/>
        <v>-4.8856802338518186</v>
      </c>
      <c r="K41" s="649"/>
      <c r="L41" s="468">
        <v>614.78200000000004</v>
      </c>
      <c r="M41" s="609">
        <f>(L41/L12)*100</f>
        <v>34.365233528884026</v>
      </c>
      <c r="N41" s="566">
        <f t="shared" si="72"/>
        <v>-1.490662329650605</v>
      </c>
      <c r="P41" s="468">
        <v>604.58100000000002</v>
      </c>
      <c r="Q41" s="609">
        <f>(P41/P12)*100</f>
        <v>33.788405060036943</v>
      </c>
      <c r="R41" s="566">
        <f t="shared" si="73"/>
        <v>-1.6592873571444899</v>
      </c>
      <c r="S41" s="649"/>
      <c r="T41" s="468">
        <v>611.56299999999999</v>
      </c>
      <c r="U41" s="609">
        <f>(T41/T12)*100</f>
        <v>31.739646493610429</v>
      </c>
      <c r="V41" s="566">
        <f t="shared" si="74"/>
        <v>1.1548493915620961</v>
      </c>
      <c r="W41" s="649"/>
      <c r="X41" s="468">
        <v>1182.6087999999997</v>
      </c>
      <c r="Y41" s="609">
        <f>(X41/X12)*100</f>
        <v>35.274378094613127</v>
      </c>
      <c r="Z41" s="566"/>
      <c r="AA41" s="649"/>
      <c r="AB41" s="468">
        <v>1107.3150000000001</v>
      </c>
      <c r="AC41" s="609">
        <f>(AB41/AB12)*100</f>
        <v>33.217510097410312</v>
      </c>
      <c r="AD41" s="566">
        <f t="shared" si="75"/>
        <v>-6.3667545852863388</v>
      </c>
      <c r="AE41" s="649"/>
      <c r="AF41" s="468">
        <v>1187.6289999999999</v>
      </c>
      <c r="AG41" s="609">
        <f>(AF41/AF12)*100</f>
        <v>32.906514089385162</v>
      </c>
      <c r="AH41" s="566">
        <f t="shared" si="76"/>
        <v>7.2530400111982418</v>
      </c>
      <c r="AJ41" s="468">
        <v>1191.396</v>
      </c>
      <c r="AK41" s="609">
        <f>(AJ41/AJ12)*100</f>
        <v>31.803635781212456</v>
      </c>
      <c r="AL41" s="566">
        <f t="shared" si="77"/>
        <v>0.31718659615083133</v>
      </c>
      <c r="AN41" s="468">
        <v>1146</v>
      </c>
      <c r="AO41" s="609">
        <f>(AN41/AN12)*100</f>
        <v>32.299887260428413</v>
      </c>
      <c r="AP41" s="566">
        <f t="shared" si="78"/>
        <v>-3.8103199943595567</v>
      </c>
      <c r="AR41" s="468">
        <v>1381</v>
      </c>
      <c r="AS41" s="609">
        <f>(AR41/AR12)*100</f>
        <v>33.38167754411409</v>
      </c>
      <c r="AT41" s="566">
        <f t="shared" si="79"/>
        <v>20.506108202443272</v>
      </c>
      <c r="AV41" s="468">
        <v>1218</v>
      </c>
      <c r="AW41" s="609">
        <f t="shared" si="43"/>
        <v>32.20518244315177</v>
      </c>
      <c r="AX41" s="566">
        <f t="shared" si="80"/>
        <v>-11.803041274438808</v>
      </c>
      <c r="AZ41" s="468">
        <v>1185</v>
      </c>
      <c r="BA41" s="609">
        <f t="shared" si="44"/>
        <v>34.100719424460429</v>
      </c>
      <c r="BB41" s="566">
        <f t="shared" si="81"/>
        <v>-2.7093596059113323</v>
      </c>
      <c r="BD41" s="468">
        <v>1179</v>
      </c>
      <c r="BE41" s="609">
        <f t="shared" si="45"/>
        <v>33.889048577177348</v>
      </c>
      <c r="BF41" s="566">
        <f t="shared" si="82"/>
        <v>-0.50632911392405333</v>
      </c>
      <c r="BH41" s="468">
        <v>1193</v>
      </c>
      <c r="BI41" s="609">
        <f t="shared" si="46"/>
        <v>34.222604704532415</v>
      </c>
      <c r="BJ41" s="566">
        <f t="shared" si="83"/>
        <v>1.187446988973706</v>
      </c>
      <c r="BL41" s="468">
        <v>1207</v>
      </c>
      <c r="BM41" s="609">
        <f t="shared" si="47"/>
        <v>34.241134751773053</v>
      </c>
      <c r="BN41" s="566">
        <f t="shared" si="84"/>
        <v>1.1735121542330251</v>
      </c>
      <c r="BP41" s="468">
        <v>1973</v>
      </c>
      <c r="BQ41" s="609">
        <f t="shared" si="48"/>
        <v>35.517551755175518</v>
      </c>
      <c r="BR41" s="566">
        <f t="shared" si="85"/>
        <v>63.463131731565859</v>
      </c>
      <c r="BT41" s="468">
        <v>2094</v>
      </c>
      <c r="BU41" s="609">
        <f t="shared" si="49"/>
        <v>35.575942915392453</v>
      </c>
      <c r="BV41" s="566">
        <f t="shared" si="86"/>
        <v>6.1327927014698469</v>
      </c>
      <c r="BX41" s="468">
        <v>2121</v>
      </c>
      <c r="BY41" s="609">
        <f t="shared" si="50"/>
        <v>35.912631222485608</v>
      </c>
      <c r="BZ41" s="566">
        <f t="shared" si="87"/>
        <v>1.2893982808023008</v>
      </c>
      <c r="CB41" s="468">
        <v>2085</v>
      </c>
      <c r="CC41" s="609">
        <f t="shared" si="51"/>
        <v>37.95740032768979</v>
      </c>
      <c r="CD41" s="566">
        <f t="shared" si="88"/>
        <v>-1.6973125884017004</v>
      </c>
      <c r="CF41" s="468">
        <v>2056</v>
      </c>
      <c r="CG41" s="609">
        <f t="shared" si="52"/>
        <v>38.180129990714953</v>
      </c>
      <c r="CH41" s="566">
        <f t="shared" si="89"/>
        <v>-1.3908872901678637</v>
      </c>
      <c r="CJ41" s="1001">
        <v>2069</v>
      </c>
      <c r="CK41" s="609">
        <f t="shared" si="53"/>
        <v>36.795304997332387</v>
      </c>
      <c r="CL41" s="566">
        <f t="shared" si="90"/>
        <v>0.63229571984435573</v>
      </c>
      <c r="CN41" s="1001">
        <v>2018</v>
      </c>
      <c r="CO41" s="609">
        <f t="shared" si="54"/>
        <v>34.478045446779433</v>
      </c>
      <c r="CP41" s="566">
        <f t="shared" si="91"/>
        <v>-2.4649589173513786</v>
      </c>
      <c r="CR41" s="1001">
        <v>2078</v>
      </c>
      <c r="CS41" s="609">
        <f t="shared" si="55"/>
        <v>34.205761316872426</v>
      </c>
      <c r="CT41" s="566">
        <f t="shared" si="56"/>
        <v>2.9732408325074289</v>
      </c>
      <c r="CU41" s="654"/>
      <c r="CV41" s="1001">
        <v>2099</v>
      </c>
      <c r="CW41" s="609">
        <f t="shared" si="57"/>
        <v>33.444869343530911</v>
      </c>
      <c r="CX41" s="566">
        <f t="shared" si="58"/>
        <v>1.0105871029836289</v>
      </c>
      <c r="CZ41" s="1001">
        <f>2007</f>
        <v>2007</v>
      </c>
      <c r="DA41" s="609">
        <f t="shared" si="59"/>
        <v>32.397094430992738</v>
      </c>
      <c r="DB41" s="566">
        <f t="shared" si="60"/>
        <v>-4.3830395426393558</v>
      </c>
      <c r="DC41" s="385"/>
      <c r="DD41" s="1001">
        <f>1968</f>
        <v>1968</v>
      </c>
      <c r="DE41" s="609">
        <f t="shared" si="61"/>
        <v>33.503575076608783</v>
      </c>
      <c r="DF41" s="566">
        <f t="shared" si="62"/>
        <v>-1.9431988041853532</v>
      </c>
      <c r="DH41" s="1001">
        <v>2269.75</v>
      </c>
      <c r="DI41" s="609">
        <f t="shared" si="63"/>
        <v>40.279503105590067</v>
      </c>
      <c r="DJ41" s="566">
        <f t="shared" si="64"/>
        <v>15.332825203252032</v>
      </c>
      <c r="DK41" s="566"/>
      <c r="DL41" s="1001">
        <v>2123</v>
      </c>
      <c r="DM41" s="609">
        <f t="shared" si="65"/>
        <v>40.155097408738413</v>
      </c>
      <c r="DN41" s="566">
        <f t="shared" si="66"/>
        <v>-6.4654697653926618</v>
      </c>
      <c r="DO41" s="566"/>
      <c r="DP41" s="1382">
        <f>sgadetail!AJ63</f>
        <v>2108</v>
      </c>
      <c r="DQ41" s="1142">
        <f t="shared" si="67"/>
        <v>39.791799038578795</v>
      </c>
      <c r="DR41" s="1132">
        <f t="shared" si="68"/>
        <v>-0.7065473386716925</v>
      </c>
      <c r="DT41" s="1456">
        <f t="shared" si="69"/>
        <v>-7.1720171040643539</v>
      </c>
      <c r="DU41" s="1453">
        <f t="shared" si="70"/>
        <v>8.1608080991876779</v>
      </c>
      <c r="DV41" s="385"/>
      <c r="DW41" s="385"/>
      <c r="DX41" s="385"/>
      <c r="DY41" s="656">
        <f>DH41/CZ41-1</f>
        <v>0.13091679123069255</v>
      </c>
      <c r="DZ41" s="657">
        <f>DH12/CZ12-1</f>
        <v>-9.0395480225988756E-2</v>
      </c>
      <c r="EB41" s="526" t="s">
        <v>90</v>
      </c>
      <c r="EC41" s="523">
        <f>SUM(EC37:EC40)</f>
        <v>8256</v>
      </c>
      <c r="ED41" s="523">
        <f>SUM(ED37:ED40)</f>
        <v>212</v>
      </c>
      <c r="EE41" s="187">
        <f>SUM(EE37:EE40)</f>
        <v>8468</v>
      </c>
      <c r="EF41" s="600">
        <v>27</v>
      </c>
      <c r="EG41" s="600">
        <v>150</v>
      </c>
      <c r="EH41" s="600">
        <v>400</v>
      </c>
      <c r="EI41" s="600">
        <f>EH41+EG41+EF41</f>
        <v>577</v>
      </c>
      <c r="EJ41" s="600">
        <f>SUM(EJ37:EJ40)</f>
        <v>246.56</v>
      </c>
      <c r="EK41" s="385">
        <f>SUM(EK37:EK40)</f>
        <v>8051.5599999999995</v>
      </c>
      <c r="EL41" s="282">
        <f>EK41/EC41-1</f>
        <v>-2.4762596899224887E-2</v>
      </c>
    </row>
    <row r="42" spans="1:147" ht="13.5" thickBot="1" x14ac:dyDescent="0.25">
      <c r="A42" s="604" t="s">
        <v>82</v>
      </c>
      <c r="D42" s="616">
        <v>730.33</v>
      </c>
      <c r="E42" s="609">
        <f t="shared" si="41"/>
        <v>32.336892031185251</v>
      </c>
      <c r="F42" s="566"/>
      <c r="H42" s="616">
        <v>651.36199999999997</v>
      </c>
      <c r="I42" s="609">
        <f t="shared" si="42"/>
        <v>30.5193369130284</v>
      </c>
      <c r="J42" s="566">
        <f t="shared" si="71"/>
        <v>-10.812646337956821</v>
      </c>
      <c r="K42" s="649"/>
      <c r="L42" s="616">
        <v>685.94799999999998</v>
      </c>
      <c r="M42" s="609">
        <f>(L42/L13)*100</f>
        <v>30.324335842280281</v>
      </c>
      <c r="N42" s="566">
        <f t="shared" si="72"/>
        <v>5.3097970099575953</v>
      </c>
      <c r="P42" s="616">
        <v>647.16600000000005</v>
      </c>
      <c r="Q42" s="609">
        <f>(P42/P13)*100</f>
        <v>27.567789996694419</v>
      </c>
      <c r="R42" s="566">
        <f t="shared" si="73"/>
        <v>-5.6537813361945748</v>
      </c>
      <c r="S42" s="649"/>
      <c r="T42" s="616">
        <v>639.60500000000002</v>
      </c>
      <c r="U42" s="609">
        <f>(T42/T13)*100</f>
        <v>25.27149057561731</v>
      </c>
      <c r="V42" s="566">
        <f t="shared" si="74"/>
        <v>-1.1683246647691714</v>
      </c>
      <c r="W42" s="649"/>
      <c r="X42" s="616">
        <v>1246.7982</v>
      </c>
      <c r="Y42" s="609">
        <f>(X42/X13)*100</f>
        <v>27.829695765719514</v>
      </c>
      <c r="Z42" s="566"/>
      <c r="AA42" s="649"/>
      <c r="AB42" s="616">
        <v>1179.3720000000001</v>
      </c>
      <c r="AC42" s="609">
        <f>(AB42/AB13)*100</f>
        <v>25.475148504158117</v>
      </c>
      <c r="AD42" s="566">
        <f t="shared" si="75"/>
        <v>-5.4079481346700593</v>
      </c>
      <c r="AE42" s="649"/>
      <c r="AF42" s="616">
        <v>1283.8050000000001</v>
      </c>
      <c r="AG42" s="609">
        <f>(AF42/AF13)*100</f>
        <v>25.495591214203444</v>
      </c>
      <c r="AH42" s="566">
        <f t="shared" si="76"/>
        <v>8.8549668806788606</v>
      </c>
      <c r="AJ42" s="616">
        <v>1238.9000000000001</v>
      </c>
      <c r="AK42" s="609">
        <f>(AJ42/AJ13)*100</f>
        <v>24.483628438557538</v>
      </c>
      <c r="AL42" s="566">
        <f t="shared" si="77"/>
        <v>-3.4978053520589136</v>
      </c>
      <c r="AN42" s="616">
        <v>1250</v>
      </c>
      <c r="AO42" s="609">
        <f>(AN42/AN13)*100</f>
        <v>24.831148192292414</v>
      </c>
      <c r="AP42" s="566">
        <f t="shared" si="78"/>
        <v>0.89595609007990795</v>
      </c>
      <c r="AR42" s="616">
        <v>1621</v>
      </c>
      <c r="AS42" s="609">
        <f>(AR42/AR13)*100</f>
        <v>27.138791227189017</v>
      </c>
      <c r="AT42" s="566">
        <f t="shared" si="79"/>
        <v>29.679999999999996</v>
      </c>
      <c r="AV42" s="616">
        <v>1438</v>
      </c>
      <c r="AW42" s="609">
        <f t="shared" si="43"/>
        <v>25.660242683797286</v>
      </c>
      <c r="AX42" s="566">
        <f t="shared" si="80"/>
        <v>-11.28932757557064</v>
      </c>
      <c r="AZ42" s="616">
        <v>1285</v>
      </c>
      <c r="BA42" s="609">
        <f t="shared" si="44"/>
        <v>25.038971161340605</v>
      </c>
      <c r="BB42" s="566">
        <f t="shared" si="81"/>
        <v>-10.639777468706535</v>
      </c>
      <c r="BD42" s="616">
        <v>1301</v>
      </c>
      <c r="BE42" s="609">
        <f t="shared" si="45"/>
        <v>25.931831771975283</v>
      </c>
      <c r="BF42" s="566">
        <f t="shared" si="82"/>
        <v>1.2451361867704236</v>
      </c>
      <c r="BH42" s="616">
        <v>1302</v>
      </c>
      <c r="BI42" s="609">
        <f t="shared" si="46"/>
        <v>25.766871165644172</v>
      </c>
      <c r="BJ42" s="566">
        <f t="shared" si="83"/>
        <v>7.6863950807082304E-2</v>
      </c>
      <c r="BL42" s="616">
        <v>1322</v>
      </c>
      <c r="BM42" s="609">
        <f t="shared" si="47"/>
        <v>25.820312499999996</v>
      </c>
      <c r="BN42" s="566">
        <f t="shared" si="84"/>
        <v>1.5360983102918668</v>
      </c>
      <c r="BP42" s="616">
        <v>2588</v>
      </c>
      <c r="BQ42" s="609">
        <f t="shared" si="48"/>
        <v>27.040016717166441</v>
      </c>
      <c r="BR42" s="566">
        <f t="shared" si="85"/>
        <v>95.763993948562785</v>
      </c>
      <c r="BT42" s="616">
        <v>2313</v>
      </c>
      <c r="BU42" s="609">
        <f t="shared" si="49"/>
        <v>25.253848673435964</v>
      </c>
      <c r="BV42" s="566">
        <f t="shared" si="86"/>
        <v>-10.625965996908814</v>
      </c>
      <c r="BX42" s="616">
        <v>2282</v>
      </c>
      <c r="BY42" s="609">
        <f t="shared" si="50"/>
        <v>26.553409355364209</v>
      </c>
      <c r="BZ42" s="566">
        <f t="shared" si="87"/>
        <v>-1.3402507565931643</v>
      </c>
      <c r="CB42" s="616">
        <v>2256</v>
      </c>
      <c r="CC42" s="609">
        <f t="shared" si="51"/>
        <v>28.434585328963951</v>
      </c>
      <c r="CD42" s="566">
        <f t="shared" si="88"/>
        <v>-1.1393514460999121</v>
      </c>
      <c r="CF42" s="616">
        <v>2236</v>
      </c>
      <c r="CG42" s="609">
        <f t="shared" si="52"/>
        <v>28.171853345092607</v>
      </c>
      <c r="CH42" s="566">
        <f t="shared" si="89"/>
        <v>-0.88652482269503396</v>
      </c>
      <c r="CJ42" s="1002">
        <v>2245</v>
      </c>
      <c r="CK42" s="609">
        <f t="shared" si="53"/>
        <v>27.149594872415044</v>
      </c>
      <c r="CL42" s="566">
        <f t="shared" si="90"/>
        <v>0.4025044722719251</v>
      </c>
      <c r="CN42" s="1002">
        <v>2314</v>
      </c>
      <c r="CO42" s="609">
        <f t="shared" si="54"/>
        <v>26.524530032095367</v>
      </c>
      <c r="CP42" s="566">
        <f t="shared" si="91"/>
        <v>3.0734966592427693</v>
      </c>
      <c r="CR42" s="1002">
        <f>2400</f>
        <v>2400</v>
      </c>
      <c r="CS42" s="609">
        <f t="shared" si="55"/>
        <v>25.668449197860966</v>
      </c>
      <c r="CT42" s="566">
        <f t="shared" si="56"/>
        <v>3.7165082108902237</v>
      </c>
      <c r="CU42" s="654"/>
      <c r="CV42" s="1002">
        <f>2301</f>
        <v>2301</v>
      </c>
      <c r="CW42" s="609">
        <f t="shared" si="57"/>
        <v>25.005433601391005</v>
      </c>
      <c r="CX42" s="566">
        <f t="shared" si="58"/>
        <v>-4.1250000000000009</v>
      </c>
      <c r="CY42" s="385"/>
      <c r="CZ42" s="1002">
        <f>2324</f>
        <v>2324</v>
      </c>
      <c r="DA42" s="609">
        <f t="shared" si="59"/>
        <v>24.818453652285349</v>
      </c>
      <c r="DB42" s="566">
        <f t="shared" si="60"/>
        <v>0.99956540634507096</v>
      </c>
      <c r="DC42" s="385"/>
      <c r="DD42" s="1002">
        <f>2207</f>
        <v>2207</v>
      </c>
      <c r="DE42" s="609">
        <f t="shared" si="61"/>
        <v>24.884428909685422</v>
      </c>
      <c r="DF42" s="566">
        <f t="shared" si="62"/>
        <v>-5.0344234079173873</v>
      </c>
      <c r="DG42" s="385"/>
      <c r="DH42" s="1002">
        <v>2434.75</v>
      </c>
      <c r="DI42" s="609">
        <f t="shared" si="63"/>
        <v>28.533341146138518</v>
      </c>
      <c r="DJ42" s="566">
        <f t="shared" si="64"/>
        <v>10.319438151336646</v>
      </c>
      <c r="DK42" s="655"/>
      <c r="DL42" s="1002">
        <f>2548-368</f>
        <v>2180</v>
      </c>
      <c r="DM42" s="609">
        <f t="shared" si="65"/>
        <v>25.141275516088108</v>
      </c>
      <c r="DN42" s="566">
        <f t="shared" si="66"/>
        <v>-10.46308655919499</v>
      </c>
      <c r="DO42" s="655"/>
      <c r="DP42" s="1383">
        <f>sgadetail!AJ64</f>
        <v>2468</v>
      </c>
      <c r="DQ42" s="1142">
        <f t="shared" si="67"/>
        <v>29.132744862904353</v>
      </c>
      <c r="DR42" s="1132">
        <f t="shared" si="68"/>
        <v>13.211009174311927</v>
      </c>
      <c r="DT42" s="1457">
        <f t="shared" si="69"/>
        <v>2.7479226151169378</v>
      </c>
      <c r="DU42" s="1454">
        <f t="shared" si="70"/>
        <v>13.067360766453584</v>
      </c>
      <c r="DV42" s="385"/>
      <c r="DW42" s="385"/>
      <c r="DX42" s="385"/>
      <c r="DY42" s="658">
        <f>DH42/CZ42-1</f>
        <v>4.7654905335628328E-2</v>
      </c>
      <c r="DZ42" s="659">
        <f>DH13/CZ13-1</f>
        <v>-8.8744126441691606E-2</v>
      </c>
      <c r="EB42" s="525"/>
      <c r="EC42" s="543"/>
      <c r="EK42" s="433"/>
      <c r="EL42" s="433"/>
    </row>
    <row r="43" spans="1:147" x14ac:dyDescent="0.2">
      <c r="A43" s="604" t="s">
        <v>83</v>
      </c>
      <c r="D43" s="610">
        <v>2611.8340000000003</v>
      </c>
      <c r="E43" s="609">
        <f t="shared" si="41"/>
        <v>36.570151455135083</v>
      </c>
      <c r="F43" s="566"/>
      <c r="H43" s="610">
        <v>2463.1280000000002</v>
      </c>
      <c r="I43" s="609">
        <f t="shared" si="42"/>
        <v>35.531062242772009</v>
      </c>
      <c r="J43" s="566">
        <f t="shared" si="71"/>
        <v>-5.6935471396727388</v>
      </c>
      <c r="K43" s="649"/>
      <c r="L43" s="610">
        <v>2420.6839999999997</v>
      </c>
      <c r="M43" s="609">
        <f>(L43/L14)*100</f>
        <v>34.190736900208627</v>
      </c>
      <c r="N43" s="566">
        <f t="shared" si="72"/>
        <v>-1.7231747598988156</v>
      </c>
      <c r="P43" s="610">
        <v>2347.5460000000003</v>
      </c>
      <c r="Q43" s="609">
        <f>(P43/P14)*100</f>
        <v>32.472183745109909</v>
      </c>
      <c r="R43" s="566">
        <f t="shared" si="73"/>
        <v>-3.021377428858929</v>
      </c>
      <c r="S43" s="649"/>
      <c r="T43" s="610">
        <v>2328.047</v>
      </c>
      <c r="U43" s="609">
        <f>(T43/T14)*100</f>
        <v>30.205046346554138</v>
      </c>
      <c r="V43" s="566">
        <f t="shared" si="74"/>
        <v>-0.83061205190442244</v>
      </c>
      <c r="W43" s="649"/>
      <c r="X43" s="610">
        <v>4608.8310000000001</v>
      </c>
      <c r="Y43" s="609">
        <f>(X43/X14)*100</f>
        <v>33.637419260664892</v>
      </c>
      <c r="Z43" s="566"/>
      <c r="AA43" s="649"/>
      <c r="AB43" s="610">
        <f>SUM(AB39:AB42)</f>
        <v>4424.5330000000004</v>
      </c>
      <c r="AC43" s="609">
        <f>(AB43/AB14)*100</f>
        <v>31.608245843666332</v>
      </c>
      <c r="AD43" s="566">
        <f t="shared" si="75"/>
        <v>-3.9988014314258802</v>
      </c>
      <c r="AE43" s="649"/>
      <c r="AF43" s="610">
        <v>4922</v>
      </c>
      <c r="AG43" s="609">
        <f>(AF43/AF14)*100</f>
        <v>33.182768152093303</v>
      </c>
      <c r="AH43" s="566">
        <f t="shared" si="76"/>
        <v>11.243378679738614</v>
      </c>
      <c r="AJ43" s="610">
        <v>4679</v>
      </c>
      <c r="AK43" s="609">
        <f>(AJ43/AJ14)*100</f>
        <v>30.742444152431013</v>
      </c>
      <c r="AL43" s="566">
        <f t="shared" si="77"/>
        <v>-4.9370174725721245</v>
      </c>
      <c r="AN43" s="610">
        <v>4692</v>
      </c>
      <c r="AO43" s="609">
        <f>(AN43/AN14)*100</f>
        <v>30.536934591604297</v>
      </c>
      <c r="AP43" s="566">
        <f t="shared" si="78"/>
        <v>0.27783714468903042</v>
      </c>
      <c r="AR43" s="610">
        <v>4760</v>
      </c>
      <c r="AS43" s="609">
        <f>(AR43/AR14)*100</f>
        <v>29.696175681577142</v>
      </c>
      <c r="AT43" s="566">
        <f t="shared" si="79"/>
        <v>1.449275362318847</v>
      </c>
      <c r="AV43" s="610">
        <v>4912</v>
      </c>
      <c r="AW43" s="609">
        <f t="shared" si="43"/>
        <v>29.522779180189929</v>
      </c>
      <c r="AX43" s="566">
        <f t="shared" si="80"/>
        <v>3.1932773109243806</v>
      </c>
      <c r="AZ43" s="610">
        <v>4806</v>
      </c>
      <c r="BA43" s="609">
        <f t="shared" si="44"/>
        <v>30.44662654418752</v>
      </c>
      <c r="BB43" s="566">
        <f t="shared" si="81"/>
        <v>-2.157980456026054</v>
      </c>
      <c r="BD43" s="610">
        <v>4836</v>
      </c>
      <c r="BE43" s="609">
        <f t="shared" si="45"/>
        <v>31.05773553400552</v>
      </c>
      <c r="BF43" s="566">
        <f t="shared" si="82"/>
        <v>0.62421972534332237</v>
      </c>
      <c r="BH43" s="610">
        <v>4837</v>
      </c>
      <c r="BI43" s="609">
        <f t="shared" si="46"/>
        <v>31.384635349078639</v>
      </c>
      <c r="BJ43" s="566">
        <f t="shared" si="83"/>
        <v>2.0678246484706619E-2</v>
      </c>
      <c r="BL43" s="610">
        <v>4931</v>
      </c>
      <c r="BM43" s="609">
        <f t="shared" si="47"/>
        <v>31.25633874239351</v>
      </c>
      <c r="BN43" s="566">
        <f t="shared" si="84"/>
        <v>1.9433533181724139</v>
      </c>
      <c r="BP43" s="610">
        <v>6980</v>
      </c>
      <c r="BQ43" s="609">
        <f t="shared" si="48"/>
        <v>31.174631531933901</v>
      </c>
      <c r="BR43" s="566">
        <f t="shared" si="85"/>
        <v>41.55343743662543</v>
      </c>
      <c r="BT43" s="610">
        <v>8678</v>
      </c>
      <c r="BU43" s="609">
        <f t="shared" si="49"/>
        <v>32.176492398961813</v>
      </c>
      <c r="BV43" s="566">
        <f t="shared" si="86"/>
        <v>24.326647564469916</v>
      </c>
      <c r="BX43" s="610">
        <v>8554</v>
      </c>
      <c r="BY43" s="609">
        <f t="shared" si="50"/>
        <v>32.508645916467145</v>
      </c>
      <c r="BZ43" s="566">
        <f t="shared" si="87"/>
        <v>-1.4289006683567695</v>
      </c>
      <c r="CB43" s="610">
        <v>8458</v>
      </c>
      <c r="CC43" s="609">
        <f t="shared" si="51"/>
        <v>33.978788365740002</v>
      </c>
      <c r="CD43" s="566">
        <f t="shared" si="88"/>
        <v>-1.1222819733458067</v>
      </c>
      <c r="CF43" s="610">
        <v>8163</v>
      </c>
      <c r="CG43" s="609">
        <f t="shared" si="52"/>
        <v>34.161958568738235</v>
      </c>
      <c r="CH43" s="566">
        <f t="shared" si="89"/>
        <v>-3.4878221801844411</v>
      </c>
      <c r="CJ43" s="543">
        <f>SUM(CJ39:CJ42)</f>
        <v>8260</v>
      </c>
      <c r="CK43" s="609">
        <f t="shared" si="53"/>
        <v>33.036035675718914</v>
      </c>
      <c r="CL43" s="566">
        <f t="shared" si="90"/>
        <v>1.1882886193801401</v>
      </c>
      <c r="CN43" s="543">
        <f>SUM(CN39:CN42)</f>
        <v>8281</v>
      </c>
      <c r="CO43" s="609">
        <f t="shared" si="54"/>
        <v>31.361484567316793</v>
      </c>
      <c r="CP43" s="566">
        <f t="shared" si="91"/>
        <v>0.25423728813558366</v>
      </c>
      <c r="CR43" s="543">
        <f>SUM(CR39:CR42)</f>
        <v>8482</v>
      </c>
      <c r="CS43" s="609">
        <f t="shared" si="55"/>
        <v>30.636422740735391</v>
      </c>
      <c r="CT43" s="566">
        <f t="shared" si="56"/>
        <v>2.4272430865837524</v>
      </c>
      <c r="CU43" s="654"/>
      <c r="CV43" s="543">
        <f>SUM(CV39:CV42)</f>
        <v>8440</v>
      </c>
      <c r="CW43" s="609">
        <f t="shared" si="57"/>
        <v>30.217321255952168</v>
      </c>
      <c r="CX43" s="566">
        <f t="shared" si="58"/>
        <v>-0.49516623437868557</v>
      </c>
      <c r="CY43" s="654"/>
      <c r="CZ43" s="543">
        <f>SUM(CZ39:CZ42)</f>
        <v>8355</v>
      </c>
      <c r="DA43" s="609">
        <f t="shared" si="59"/>
        <v>29.727806440135208</v>
      </c>
      <c r="DB43" s="566">
        <v>3</v>
      </c>
      <c r="DC43" s="391"/>
      <c r="DD43" s="543">
        <f>SUM(DD39:DD42)</f>
        <v>8256</v>
      </c>
      <c r="DE43" s="609">
        <f t="shared" si="61"/>
        <v>30.488570478968942</v>
      </c>
      <c r="DF43" s="566">
        <f t="shared" si="62"/>
        <v>-1.1849192100538586</v>
      </c>
      <c r="DG43" s="395"/>
      <c r="DH43" s="543">
        <f>SUM(DH39:DH42)</f>
        <v>9048.25</v>
      </c>
      <c r="DI43" s="609">
        <f t="shared" si="63"/>
        <v>34.92184484754921</v>
      </c>
      <c r="DJ43" s="566">
        <f t="shared" si="64"/>
        <v>9.5960513565891414</v>
      </c>
      <c r="DK43" s="566"/>
      <c r="DL43" s="543">
        <f>SUM(DL39:DL42)</f>
        <v>8409</v>
      </c>
      <c r="DM43" s="609">
        <f t="shared" si="65"/>
        <v>33.710162357185808</v>
      </c>
      <c r="DN43" s="566">
        <f t="shared" si="66"/>
        <v>-7.0649020528831592</v>
      </c>
      <c r="DO43" s="566"/>
      <c r="DP43" s="1117">
        <f>SUM(DP39:DP42)</f>
        <v>8635</v>
      </c>
      <c r="DQ43" s="1142">
        <f t="shared" si="67"/>
        <v>35.16557876678327</v>
      </c>
      <c r="DR43" s="1132">
        <f t="shared" si="68"/>
        <v>2.6875966226661996</v>
      </c>
      <c r="DS43" s="543"/>
      <c r="DT43" s="1458">
        <f t="shared" si="69"/>
        <v>-4.3773054302169596</v>
      </c>
      <c r="DU43" s="1455">
        <f t="shared" si="70"/>
        <v>5.2187459263721818</v>
      </c>
      <c r="DV43" s="391"/>
      <c r="DW43" s="391"/>
      <c r="DX43" s="391"/>
      <c r="DY43" s="185" t="s">
        <v>215</v>
      </c>
      <c r="EB43" s="660"/>
      <c r="ED43" s="543"/>
      <c r="EF43" s="544"/>
      <c r="EG43" s="544"/>
      <c r="EH43" s="544"/>
      <c r="EI43" s="661">
        <v>422</v>
      </c>
    </row>
    <row r="44" spans="1:147" x14ac:dyDescent="0.2">
      <c r="A44" s="604" t="s">
        <v>413</v>
      </c>
      <c r="D44" s="385">
        <f>D39+D40</f>
        <v>1225.3620000000001</v>
      </c>
      <c r="E44" s="609">
        <f t="shared" si="41"/>
        <v>39.322921346583868</v>
      </c>
      <c r="F44" s="605"/>
      <c r="H44" s="385">
        <f>H39+H40</f>
        <v>1187.681</v>
      </c>
      <c r="I44" s="609">
        <f t="shared" si="42"/>
        <v>38.446704963999942</v>
      </c>
      <c r="J44" s="566">
        <f t="shared" si="71"/>
        <v>-3.0750912791485341</v>
      </c>
      <c r="L44" s="385">
        <f>L39+L40</f>
        <v>1119.954</v>
      </c>
      <c r="M44" s="609">
        <f>(1-L44/L$15)*100</f>
        <v>63.02486217941734</v>
      </c>
      <c r="N44" s="566">
        <f t="shared" si="72"/>
        <v>-5.7024571412694236</v>
      </c>
      <c r="P44" s="385">
        <f>P39+P40</f>
        <v>1095.799</v>
      </c>
      <c r="Q44" s="609">
        <f>(1-P44/P$15)*100</f>
        <v>64.566456063561844</v>
      </c>
      <c r="R44" s="566">
        <f t="shared" si="73"/>
        <v>-2.1567850108129449</v>
      </c>
      <c r="T44" s="385">
        <f>T39+T40</f>
        <v>1076.8789999999999</v>
      </c>
      <c r="U44" s="609">
        <f>(1-T44/T$15)*100</f>
        <v>66.862518774630885</v>
      </c>
      <c r="V44" s="566">
        <f t="shared" si="74"/>
        <v>-1.726594019523664</v>
      </c>
      <c r="X44" s="385">
        <f>X39+X40</f>
        <v>2179.424</v>
      </c>
      <c r="Y44" s="609">
        <f>(1-X44/X$15)*100</f>
        <v>62.864231188658671</v>
      </c>
      <c r="Z44" s="566">
        <f>(X44/T44-1)*100</f>
        <v>102.38336897645883</v>
      </c>
      <c r="AB44" s="385">
        <f>AB39+AB40</f>
        <v>2137.846</v>
      </c>
      <c r="AC44" s="609">
        <f>(1-AB44/AB$15)*100</f>
        <v>64.575909286585627</v>
      </c>
      <c r="AD44" s="566">
        <f t="shared" si="75"/>
        <v>-1.9077517729455096</v>
      </c>
      <c r="AF44" s="385">
        <f>AF39+AF40</f>
        <v>2267.049</v>
      </c>
      <c r="AG44" s="609">
        <f>(1-AF44/AF$15)*100</f>
        <v>65.572005649288528</v>
      </c>
      <c r="AH44" s="566">
        <f t="shared" si="76"/>
        <v>6.0436065086072688</v>
      </c>
      <c r="AJ44" s="385">
        <f>AJ39+AJ40</f>
        <v>2316.4639999999999</v>
      </c>
      <c r="AK44" s="609">
        <f>(1-AJ44/AJ$15)*100</f>
        <v>66.239193167575124</v>
      </c>
      <c r="AL44" s="566">
        <f t="shared" si="77"/>
        <v>2.1797058643196587</v>
      </c>
      <c r="AN44" s="385">
        <f>AN39+AN40</f>
        <v>2296</v>
      </c>
      <c r="AO44" s="609">
        <f>(1-AN44/AN$15)*100</f>
        <v>66.150670794633641</v>
      </c>
      <c r="AP44" s="566">
        <f t="shared" si="78"/>
        <v>-0.88341541245622324</v>
      </c>
      <c r="AR44" s="385">
        <f>AR39+AR40</f>
        <v>2570</v>
      </c>
      <c r="AS44" s="609">
        <f>(1-AR44/AR$15)*100</f>
        <v>66.210886142519058</v>
      </c>
      <c r="AT44" s="566">
        <f t="shared" si="79"/>
        <v>11.933797909407673</v>
      </c>
      <c r="AV44" s="385">
        <f>AV39+AV40</f>
        <v>2256</v>
      </c>
      <c r="AW44" s="609">
        <f t="shared" si="43"/>
        <v>31.108659680088252</v>
      </c>
      <c r="AX44" s="566">
        <f t="shared" si="80"/>
        <v>-12.217898832684826</v>
      </c>
      <c r="AZ44" s="385">
        <f>AZ39+AZ40</f>
        <v>2274</v>
      </c>
      <c r="BA44" s="609">
        <f t="shared" si="44"/>
        <v>32.282793867120951</v>
      </c>
      <c r="BB44" s="566">
        <f t="shared" si="81"/>
        <v>0.79787234042554278</v>
      </c>
      <c r="BD44" s="385">
        <f>BD39+BD40</f>
        <v>2289</v>
      </c>
      <c r="BE44" s="609">
        <f t="shared" si="45"/>
        <v>32.987462170341544</v>
      </c>
      <c r="BF44" s="566">
        <f t="shared" si="82"/>
        <v>0.65963060686016206</v>
      </c>
      <c r="BH44" s="385">
        <f>BH39+BH40</f>
        <v>2270</v>
      </c>
      <c r="BI44" s="609">
        <f t="shared" si="46"/>
        <v>33.754646840148702</v>
      </c>
      <c r="BJ44" s="566">
        <f t="shared" si="83"/>
        <v>-0.83005679335954596</v>
      </c>
      <c r="BL44" s="385">
        <f>BL39+BL40</f>
        <v>2402</v>
      </c>
      <c r="BM44" s="609">
        <f t="shared" si="47"/>
        <v>33.683915299397</v>
      </c>
      <c r="BN44" s="566">
        <f t="shared" si="84"/>
        <v>5.8149779735682916</v>
      </c>
      <c r="BP44" s="385">
        <f>BP39+BP40</f>
        <v>2419</v>
      </c>
      <c r="BQ44" s="609">
        <f t="shared" si="48"/>
        <v>33.301211453744493</v>
      </c>
      <c r="BR44" s="566">
        <f t="shared" si="85"/>
        <v>0.70774354704412623</v>
      </c>
      <c r="BT44" s="385">
        <f>BT39+BT40</f>
        <v>4271</v>
      </c>
      <c r="BU44" s="609">
        <f t="shared" si="49"/>
        <v>35.815513626834381</v>
      </c>
      <c r="BV44" s="566">
        <f t="shared" si="86"/>
        <v>76.560562215791634</v>
      </c>
      <c r="BX44" s="385">
        <f>BX39+BX40</f>
        <v>4151</v>
      </c>
      <c r="BY44" s="609">
        <f t="shared" si="50"/>
        <v>35.139253364936934</v>
      </c>
      <c r="BZ44" s="566">
        <f t="shared" si="87"/>
        <v>-2.8096464528213572</v>
      </c>
      <c r="CB44" s="385">
        <f>CB39+CB40</f>
        <v>4117</v>
      </c>
      <c r="CC44" s="609">
        <f t="shared" si="51"/>
        <v>35.9092891408635</v>
      </c>
      <c r="CD44" s="566">
        <f t="shared" si="88"/>
        <v>-0.81907973982172644</v>
      </c>
      <c r="CF44" s="385">
        <f>CF39+CF40</f>
        <v>3871</v>
      </c>
      <c r="CG44" s="609">
        <f t="shared" si="52"/>
        <v>36.61212522462877</v>
      </c>
      <c r="CH44" s="566">
        <f t="shared" si="89"/>
        <v>-5.9752246781637153</v>
      </c>
      <c r="CJ44" s="385">
        <f>CJ39+CJ40</f>
        <v>3946</v>
      </c>
      <c r="CK44" s="609">
        <f t="shared" si="53"/>
        <v>35.514355143551434</v>
      </c>
      <c r="CL44" s="566">
        <f t="shared" si="90"/>
        <v>1.9374838543012141</v>
      </c>
      <c r="CN44" s="385">
        <f>CN39+CN40</f>
        <v>3949</v>
      </c>
      <c r="CO44" s="609">
        <f t="shared" si="54"/>
        <v>33.386878593168753</v>
      </c>
      <c r="CP44" s="566">
        <f t="shared" si="91"/>
        <v>7.6026355803349155E-2</v>
      </c>
      <c r="CR44" s="385">
        <f>CR39+CR40</f>
        <v>4004</v>
      </c>
      <c r="CS44" s="609">
        <f t="shared" si="55"/>
        <v>32.656390180246305</v>
      </c>
      <c r="CT44" s="566">
        <f t="shared" si="56"/>
        <v>1.3927576601671321</v>
      </c>
      <c r="CV44" s="385">
        <f>CV39+CV40</f>
        <v>4040</v>
      </c>
      <c r="CW44" s="609">
        <f t="shared" si="57"/>
        <v>32.441981851762627</v>
      </c>
      <c r="CX44" s="566">
        <f t="shared" si="58"/>
        <v>0.89910089910090196</v>
      </c>
      <c r="CZ44" s="385">
        <f>CZ39+CZ40</f>
        <v>4024</v>
      </c>
      <c r="DA44" s="609">
        <f t="shared" si="59"/>
        <v>32.073967798501513</v>
      </c>
      <c r="DB44" s="566">
        <f t="shared" si="60"/>
        <v>-0.39603960396039639</v>
      </c>
      <c r="DC44" s="385"/>
      <c r="DD44" s="385">
        <f>DD39+DD40</f>
        <v>4081</v>
      </c>
      <c r="DE44" s="609">
        <f t="shared" si="61"/>
        <v>33.082036316472113</v>
      </c>
      <c r="DF44" s="566">
        <f t="shared" si="62"/>
        <v>1.4165009940357853</v>
      </c>
      <c r="DH44" s="385">
        <f>DH39+DH40</f>
        <v>4343.75</v>
      </c>
      <c r="DI44" s="609">
        <f t="shared" si="63"/>
        <v>36.993272014988925</v>
      </c>
      <c r="DJ44" s="566">
        <f t="shared" si="64"/>
        <v>6.438372947806914</v>
      </c>
      <c r="DK44" s="566"/>
      <c r="DL44" s="385">
        <f>DL39+DL40</f>
        <v>4106</v>
      </c>
      <c r="DM44" s="609">
        <f t="shared" si="65"/>
        <v>37.371438973332118</v>
      </c>
      <c r="DN44" s="566">
        <f t="shared" si="66"/>
        <v>-5.4733812949640299</v>
      </c>
      <c r="DO44" s="566"/>
      <c r="DP44" s="1092">
        <f>DP39+DP40</f>
        <v>4059</v>
      </c>
      <c r="DQ44" s="1142">
        <f t="shared" si="67"/>
        <v>37.631693543953389</v>
      </c>
      <c r="DR44" s="1132">
        <f t="shared" si="68"/>
        <v>-1.1446663419386272</v>
      </c>
      <c r="DS44" s="288"/>
      <c r="DT44" s="892"/>
      <c r="DU44" s="893"/>
      <c r="EB44" s="525"/>
      <c r="ED44" s="385"/>
      <c r="EE44" s="385"/>
      <c r="EF44" s="544"/>
      <c r="EG44" s="544"/>
      <c r="EI44" s="544"/>
      <c r="EJ44" s="544">
        <f>EJ37/$EC37</f>
        <v>1.0098863074641621E-2</v>
      </c>
      <c r="EK44" s="372">
        <f>EK37/EC37-1</f>
        <v>-2.8952051408798751E-2</v>
      </c>
    </row>
    <row r="45" spans="1:147" x14ac:dyDescent="0.2">
      <c r="A45" s="604" t="s">
        <v>414</v>
      </c>
      <c r="D45" s="385">
        <f>D41+D42</f>
        <v>1386.4720000000002</v>
      </c>
      <c r="E45" s="609">
        <f t="shared" si="41"/>
        <v>34.43939897129313</v>
      </c>
      <c r="F45" s="605"/>
      <c r="H45" s="385">
        <f>H41+H42</f>
        <v>1275.4470000000001</v>
      </c>
      <c r="I45" s="609">
        <f t="shared" si="42"/>
        <v>33.187446479603643</v>
      </c>
      <c r="J45" s="566">
        <f t="shared" si="71"/>
        <v>-8.0077347396846132</v>
      </c>
      <c r="L45" s="385">
        <f>L41+L42</f>
        <v>1300.73</v>
      </c>
      <c r="M45" s="609">
        <f>(1-L45/L$16)*100</f>
        <v>67.891161769072994</v>
      </c>
      <c r="N45" s="566">
        <f t="shared" si="72"/>
        <v>1.9822854262074419</v>
      </c>
      <c r="P45" s="385">
        <f>P41+P42</f>
        <v>1251.7470000000001</v>
      </c>
      <c r="Q45" s="609">
        <f>(1-P45/P$16)*100</f>
        <v>69.741608307172172</v>
      </c>
      <c r="R45" s="566">
        <f t="shared" si="73"/>
        <v>-3.7658084306504747</v>
      </c>
      <c r="T45" s="385">
        <f>T41+T42</f>
        <v>1251.1680000000001</v>
      </c>
      <c r="U45" s="609">
        <f>(1-T45/T$16)*100</f>
        <v>71.932721155489787</v>
      </c>
      <c r="V45" s="566">
        <f t="shared" si="74"/>
        <v>-4.6255353517921094E-2</v>
      </c>
      <c r="X45" s="385">
        <f>X41+X42</f>
        <v>2429.4069999999997</v>
      </c>
      <c r="Y45" s="609">
        <f>(1-X45/X$16)*100</f>
        <v>68.983785923117196</v>
      </c>
      <c r="Z45" s="566">
        <f>(X45/T45-1)*100</f>
        <v>94.171126499398923</v>
      </c>
      <c r="AB45" s="385">
        <f>AB41+AB42</f>
        <v>2286.6869999999999</v>
      </c>
      <c r="AC45" s="609">
        <f>(1-AB45/AB$16)*100</f>
        <v>71.283700120105081</v>
      </c>
      <c r="AD45" s="566">
        <f t="shared" si="75"/>
        <v>-5.8746846452652823</v>
      </c>
      <c r="AF45" s="385">
        <f>AF41+AF42</f>
        <v>2471.4340000000002</v>
      </c>
      <c r="AG45" s="609">
        <f>(1-AF45/AF$16)*100</f>
        <v>71.410330267800333</v>
      </c>
      <c r="AH45" s="566">
        <f t="shared" si="76"/>
        <v>8.0792430271392703</v>
      </c>
      <c r="AJ45" s="385">
        <f>AJ41+AJ42</f>
        <v>2430.2960000000003</v>
      </c>
      <c r="AK45" s="609">
        <f>(1-AJ45/AJ$16)*100</f>
        <v>72.402493874781172</v>
      </c>
      <c r="AL45" s="566">
        <f t="shared" si="77"/>
        <v>-1.6645396963867909</v>
      </c>
      <c r="AN45" s="385">
        <f>AN41+AN42</f>
        <v>2396</v>
      </c>
      <c r="AO45" s="609">
        <f>(1-AN45/AN$16)*100</f>
        <v>72.081099976695413</v>
      </c>
      <c r="AP45" s="566">
        <f t="shared" si="78"/>
        <v>-1.4111861271219772</v>
      </c>
      <c r="AR45" s="385">
        <f>AR41+AR42</f>
        <v>3002</v>
      </c>
      <c r="AS45" s="609">
        <f>(1-AR45/AR$16)*100</f>
        <v>70.306627101879329</v>
      </c>
      <c r="AT45" s="566">
        <f t="shared" si="79"/>
        <v>25.292153589315536</v>
      </c>
      <c r="AV45" s="385">
        <f>AV41+AV42</f>
        <v>2656</v>
      </c>
      <c r="AW45" s="609">
        <f t="shared" si="43"/>
        <v>28.29746430854464</v>
      </c>
      <c r="AX45" s="566">
        <f t="shared" si="80"/>
        <v>-11.525649566955366</v>
      </c>
      <c r="AZ45" s="385">
        <f>AZ41+AZ42</f>
        <v>2470</v>
      </c>
      <c r="BA45" s="609">
        <f t="shared" si="44"/>
        <v>28.697571743929362</v>
      </c>
      <c r="BB45" s="566">
        <f t="shared" si="81"/>
        <v>-7.0030120481927689</v>
      </c>
      <c r="BD45" s="385">
        <f>BD41+BD42</f>
        <v>2480</v>
      </c>
      <c r="BE45" s="609">
        <f t="shared" si="45"/>
        <v>29.190207156308851</v>
      </c>
      <c r="BF45" s="566">
        <f t="shared" si="82"/>
        <v>0.40485829959513442</v>
      </c>
      <c r="BH45" s="385">
        <f>BH41+BH42</f>
        <v>2495</v>
      </c>
      <c r="BI45" s="609">
        <f t="shared" si="46"/>
        <v>29.218878088769181</v>
      </c>
      <c r="BJ45" s="566">
        <f t="shared" si="83"/>
        <v>0.60483870967742437</v>
      </c>
      <c r="BL45" s="385">
        <f>BL41+BL42</f>
        <v>2529</v>
      </c>
      <c r="BM45" s="609">
        <f t="shared" si="47"/>
        <v>29.253903990746092</v>
      </c>
      <c r="BN45" s="566">
        <f t="shared" si="84"/>
        <v>1.3627254509018139</v>
      </c>
      <c r="BP45" s="385">
        <f>BP41+BP42</f>
        <v>4561</v>
      </c>
      <c r="BQ45" s="609">
        <f t="shared" si="48"/>
        <v>30.153378289038741</v>
      </c>
      <c r="BR45" s="566">
        <f t="shared" si="85"/>
        <v>80.347963621984974</v>
      </c>
      <c r="BT45" s="385">
        <f>BT41+BT42</f>
        <v>4407</v>
      </c>
      <c r="BU45" s="609">
        <f t="shared" si="49"/>
        <v>29.292123629112659</v>
      </c>
      <c r="BV45" s="566">
        <f t="shared" si="86"/>
        <v>-3.3764525323394023</v>
      </c>
      <c r="BX45" s="385">
        <f>BX41+BX42</f>
        <v>4403</v>
      </c>
      <c r="BY45" s="609">
        <f t="shared" si="50"/>
        <v>30.365517241379308</v>
      </c>
      <c r="BZ45" s="566">
        <f t="shared" si="87"/>
        <v>-9.0764692534606173E-2</v>
      </c>
      <c r="CB45" s="385">
        <f>CB41+CB42</f>
        <v>4341</v>
      </c>
      <c r="CC45" s="609">
        <f t="shared" si="51"/>
        <v>32.330379086914427</v>
      </c>
      <c r="CD45" s="566">
        <f t="shared" si="88"/>
        <v>-1.4081308198955256</v>
      </c>
      <c r="CF45" s="385">
        <f>CF41+CF42</f>
        <v>4292</v>
      </c>
      <c r="CG45" s="609">
        <f t="shared" si="52"/>
        <v>32.217384777060502</v>
      </c>
      <c r="CH45" s="566">
        <f t="shared" si="89"/>
        <v>-1.1287721723105326</v>
      </c>
      <c r="CJ45" s="385">
        <f>CJ41+CJ42</f>
        <v>4314</v>
      </c>
      <c r="CK45" s="609">
        <f t="shared" si="53"/>
        <v>31.053843938957677</v>
      </c>
      <c r="CL45" s="566">
        <f t="shared" si="90"/>
        <v>0.51258154706430581</v>
      </c>
      <c r="CN45" s="385">
        <f>CN41+CN42</f>
        <v>4332</v>
      </c>
      <c r="CO45" s="609">
        <f t="shared" si="54"/>
        <v>29.718048981271867</v>
      </c>
      <c r="CP45" s="566">
        <f t="shared" si="91"/>
        <v>0.41724617524339092</v>
      </c>
      <c r="CR45" s="385">
        <f>CR41+CR42</f>
        <v>4478</v>
      </c>
      <c r="CS45" s="609">
        <f t="shared" si="55"/>
        <v>29.030794165316042</v>
      </c>
      <c r="CT45" s="566">
        <f t="shared" si="56"/>
        <v>3.3702677746999088</v>
      </c>
      <c r="CV45" s="385">
        <f>CV41+CV42</f>
        <v>4400</v>
      </c>
      <c r="CW45" s="609">
        <f t="shared" si="57"/>
        <v>28.427445406383256</v>
      </c>
      <c r="CX45" s="566">
        <f t="shared" si="58"/>
        <v>-1.7418490397498876</v>
      </c>
      <c r="CZ45" s="385">
        <f>CZ41+CZ42</f>
        <v>4331</v>
      </c>
      <c r="DA45" s="609">
        <f t="shared" si="59"/>
        <v>27.835979176039594</v>
      </c>
      <c r="DB45" s="566">
        <f t="shared" si="60"/>
        <v>-1.568181818181813</v>
      </c>
      <c r="DC45" s="648"/>
      <c r="DD45" s="385">
        <f>DD41+DD42</f>
        <v>4175</v>
      </c>
      <c r="DE45" s="609">
        <f t="shared" si="61"/>
        <v>28.318524045309641</v>
      </c>
      <c r="DF45" s="566">
        <f t="shared" si="62"/>
        <v>-3.6019395058877857</v>
      </c>
      <c r="DG45" s="648"/>
      <c r="DH45" s="385">
        <f>DH41+DH42</f>
        <v>4704.5</v>
      </c>
      <c r="DI45" s="609">
        <f t="shared" si="63"/>
        <v>33.205110107284021</v>
      </c>
      <c r="DJ45" s="566">
        <f t="shared" si="64"/>
        <v>12.682634730538922</v>
      </c>
      <c r="DK45" s="566"/>
      <c r="DL45" s="385">
        <f>DL41+DL42</f>
        <v>4303</v>
      </c>
      <c r="DM45" s="609">
        <f t="shared" si="65"/>
        <v>30.82819888236137</v>
      </c>
      <c r="DN45" s="566">
        <f t="shared" si="66"/>
        <v>-8.5343819747050738</v>
      </c>
      <c r="DO45" s="566"/>
      <c r="DP45" s="1092">
        <f>DP41+DP42</f>
        <v>4576</v>
      </c>
      <c r="DQ45" s="1142">
        <f t="shared" si="67"/>
        <v>33.233736222179729</v>
      </c>
      <c r="DR45" s="1132">
        <f t="shared" si="68"/>
        <v>6.3444108761329332</v>
      </c>
      <c r="DS45" s="648"/>
      <c r="DT45" s="897"/>
      <c r="DU45" s="898"/>
      <c r="DV45" s="648"/>
      <c r="DW45" s="648"/>
      <c r="DX45" s="648"/>
      <c r="EB45" s="525"/>
      <c r="ED45" s="385"/>
      <c r="EE45" s="385"/>
      <c r="EF45" s="544"/>
      <c r="EG45" s="544"/>
      <c r="EI45" s="544"/>
      <c r="EJ45" s="544">
        <f>EJ38/$EC38</f>
        <v>2.5000000000000001E-2</v>
      </c>
      <c r="EK45" s="372">
        <f>EK38/EC38-1</f>
        <v>-4.999190152251376E-2</v>
      </c>
    </row>
    <row r="46" spans="1:147" x14ac:dyDescent="0.2">
      <c r="D46" s="353"/>
      <c r="H46" s="353"/>
      <c r="L46" s="353"/>
      <c r="P46" s="353"/>
      <c r="T46" s="353"/>
      <c r="X46" s="353"/>
      <c r="AF46" s="353"/>
      <c r="AJ46" s="385"/>
      <c r="AN46" s="385"/>
      <c r="AR46" s="385"/>
      <c r="AV46" s="385"/>
      <c r="AZ46" s="385"/>
      <c r="BD46" s="385"/>
      <c r="BH46" s="385"/>
      <c r="BL46" s="385"/>
      <c r="BP46" s="385"/>
      <c r="BT46" s="385"/>
      <c r="BX46" s="385"/>
      <c r="CB46" s="385"/>
      <c r="CF46" s="385"/>
      <c r="CJ46" s="385"/>
      <c r="CN46" s="385"/>
      <c r="CS46" s="648"/>
      <c r="DS46" s="543"/>
      <c r="DT46" s="385"/>
      <c r="DU46" s="385"/>
      <c r="DV46" s="385"/>
      <c r="DW46" s="385"/>
      <c r="DX46" s="385"/>
      <c r="DY46" s="282"/>
      <c r="EB46" s="525"/>
      <c r="EF46" s="544"/>
      <c r="EG46" s="544"/>
      <c r="EI46" s="544"/>
      <c r="EJ46" s="544">
        <f>EJ39/$EC39</f>
        <v>4.1585365853658539E-2</v>
      </c>
      <c r="EK46" s="372">
        <f>EK39/EC39-1</f>
        <v>-7.3644986449864502E-3</v>
      </c>
    </row>
    <row r="47" spans="1:147" s="627" customFormat="1" x14ac:dyDescent="0.2">
      <c r="B47" s="631"/>
      <c r="C47" s="631"/>
      <c r="D47" s="631"/>
      <c r="E47" s="631"/>
      <c r="F47" s="631"/>
      <c r="G47" s="631"/>
      <c r="H47" s="631"/>
      <c r="I47" s="631"/>
      <c r="J47" s="631"/>
      <c r="K47" s="631"/>
      <c r="L47" s="631"/>
      <c r="M47" s="631"/>
      <c r="N47" s="631"/>
      <c r="O47" s="631"/>
      <c r="P47" s="631"/>
      <c r="Q47" s="631"/>
      <c r="R47" s="631"/>
      <c r="S47" s="631"/>
      <c r="T47" s="631"/>
      <c r="U47" s="631"/>
      <c r="V47" s="631"/>
      <c r="W47" s="631"/>
      <c r="X47" s="631"/>
      <c r="Y47" s="631"/>
      <c r="Z47" s="631"/>
      <c r="AA47" s="631"/>
      <c r="AB47" s="631"/>
      <c r="AC47" s="631"/>
      <c r="AD47" s="631"/>
      <c r="AE47" s="631"/>
      <c r="AF47" s="631"/>
      <c r="AG47" s="631"/>
      <c r="AH47" s="631"/>
      <c r="AI47" s="631"/>
      <c r="AJ47" s="631"/>
      <c r="AK47" s="631"/>
      <c r="AL47" s="631"/>
      <c r="AM47" s="631"/>
      <c r="AN47" s="631"/>
      <c r="AO47" s="631"/>
      <c r="AP47" s="631"/>
      <c r="AQ47" s="631"/>
      <c r="AR47" s="631"/>
      <c r="AS47" s="631"/>
      <c r="AT47" s="631"/>
      <c r="AU47" s="631"/>
      <c r="AV47" s="631"/>
      <c r="AW47" s="631"/>
      <c r="AX47" s="631"/>
      <c r="AY47" s="631"/>
      <c r="AZ47" s="631"/>
      <c r="BA47" s="631"/>
      <c r="BB47" s="631"/>
      <c r="BC47" s="631"/>
      <c r="BD47" s="631"/>
      <c r="BE47" s="631"/>
      <c r="BF47" s="631"/>
      <c r="BG47" s="631"/>
      <c r="BH47" s="631"/>
      <c r="BI47" s="631"/>
      <c r="BJ47" s="631"/>
      <c r="BK47" s="631"/>
      <c r="BL47" s="631"/>
      <c r="BM47" s="631"/>
      <c r="BN47" s="631"/>
      <c r="BO47" s="631"/>
      <c r="BP47" s="631"/>
      <c r="BQ47" s="631"/>
      <c r="BR47" s="631"/>
      <c r="BS47" s="631"/>
      <c r="BT47" s="631"/>
      <c r="BU47" s="631"/>
      <c r="BV47" s="631"/>
      <c r="BW47" s="631"/>
      <c r="BX47" s="631"/>
      <c r="BY47" s="631"/>
      <c r="BZ47" s="631"/>
      <c r="CA47" s="631"/>
      <c r="CB47" s="631"/>
      <c r="CC47" s="631"/>
      <c r="CD47" s="631"/>
      <c r="CE47" s="631"/>
      <c r="CF47" s="631"/>
      <c r="CG47" s="631"/>
      <c r="CH47" s="631"/>
      <c r="CI47" s="631"/>
      <c r="CJ47" s="631"/>
      <c r="CK47" s="631"/>
      <c r="CL47" s="631"/>
      <c r="CM47" s="631"/>
      <c r="CN47" s="1510" t="s">
        <v>303</v>
      </c>
      <c r="CO47" s="1510"/>
      <c r="CP47" s="1510"/>
      <c r="CQ47" s="1510"/>
      <c r="CR47" s="1510"/>
      <c r="CS47" s="1510"/>
      <c r="CT47" s="1510"/>
      <c r="CU47" s="1510"/>
      <c r="CV47" s="1510"/>
      <c r="CW47" s="1510"/>
      <c r="CX47" s="1510"/>
      <c r="CZ47" s="631" t="s">
        <v>303</v>
      </c>
      <c r="DA47" s="647"/>
      <c r="DB47" s="647"/>
      <c r="DC47" s="631"/>
      <c r="DD47" s="647"/>
      <c r="DE47" s="647"/>
      <c r="DF47" s="647"/>
      <c r="DG47" s="631"/>
      <c r="DH47" s="647"/>
      <c r="DI47" s="647"/>
      <c r="DJ47" s="647"/>
      <c r="DK47" s="600"/>
      <c r="DL47" s="647"/>
      <c r="DM47" s="647"/>
      <c r="DN47" s="647"/>
      <c r="DO47" s="1088"/>
      <c r="DP47" s="1137"/>
      <c r="DQ47" s="1137"/>
      <c r="DR47" s="1137"/>
      <c r="DS47" s="543"/>
      <c r="DT47" s="288"/>
      <c r="DU47" s="185"/>
      <c r="DV47" s="185"/>
      <c r="DW47" s="185"/>
      <c r="DX47" s="185"/>
      <c r="DY47" s="185"/>
      <c r="DZ47" s="185"/>
      <c r="EB47" s="526"/>
      <c r="ED47" s="185"/>
      <c r="EE47" s="185"/>
      <c r="EF47" s="544"/>
      <c r="EG47" s="544"/>
      <c r="EH47" s="544"/>
      <c r="EI47" s="544"/>
      <c r="EJ47" s="544">
        <f>EJ40/$EC40</f>
        <v>4.2066153149071139E-2</v>
      </c>
      <c r="EK47" s="372">
        <f>EK40/EC40-1</f>
        <v>-1.2910436489956156E-2</v>
      </c>
    </row>
    <row r="48" spans="1:147" x14ac:dyDescent="0.2">
      <c r="D48" s="353"/>
      <c r="H48" s="353"/>
      <c r="L48" s="353"/>
      <c r="P48" s="353"/>
      <c r="T48" s="353"/>
      <c r="X48" s="353"/>
      <c r="AB48" s="353"/>
      <c r="AF48" s="353"/>
      <c r="AJ48" s="385"/>
      <c r="AN48" s="385"/>
      <c r="AR48" s="385"/>
      <c r="AV48" s="385"/>
      <c r="AZ48" s="385"/>
      <c r="BD48" s="385"/>
      <c r="BH48" s="385"/>
      <c r="BL48" s="385"/>
      <c r="BP48" s="385"/>
      <c r="BT48" s="385"/>
      <c r="BX48" s="385"/>
      <c r="CB48" s="385"/>
      <c r="CF48" s="385"/>
      <c r="CJ48" s="385"/>
      <c r="CN48" s="385"/>
      <c r="CS48" s="648"/>
      <c r="DT48" s="385"/>
      <c r="DY48" s="185" t="s">
        <v>215</v>
      </c>
      <c r="EB48" s="526"/>
      <c r="ED48" s="385"/>
      <c r="EE48" s="385"/>
      <c r="EJ48" s="544">
        <f>EJ41/$EC41</f>
        <v>2.9864341085271317E-2</v>
      </c>
      <c r="EK48" s="372">
        <f>EK41/EC41-1</f>
        <v>-2.4762596899224887E-2</v>
      </c>
    </row>
    <row r="49" spans="1:140" x14ac:dyDescent="0.2">
      <c r="A49" s="604" t="s">
        <v>79</v>
      </c>
      <c r="D49" s="543">
        <f t="shared" ref="D49:D55" si="92">D10-D29-D39</f>
        <v>26.448000000000093</v>
      </c>
      <c r="E49" s="609">
        <f t="shared" ref="E49:E55" si="93">D49/D10*100</f>
        <v>1.6629151314714041</v>
      </c>
      <c r="F49" s="566"/>
      <c r="H49" s="543">
        <f t="shared" ref="H49:H55" si="94">H10-H29-H39</f>
        <v>41.520000000000095</v>
      </c>
      <c r="I49" s="609">
        <f t="shared" ref="I49:I55" si="95">H49/H10*100</f>
        <v>2.6057176423778112</v>
      </c>
      <c r="J49" s="566">
        <f>(H49/D49-1)*100</f>
        <v>56.987295825771135</v>
      </c>
      <c r="L49" s="543">
        <f t="shared" ref="L49:L55" si="96">L10-L29-L39</f>
        <v>84.661000000000172</v>
      </c>
      <c r="M49" s="609">
        <f t="shared" ref="M49:M55" si="97">L49/L10*100</f>
        <v>5.3864986645255071</v>
      </c>
      <c r="N49" s="605">
        <f t="shared" ref="N49:N55" si="98">(M49-I49)*100</f>
        <v>278.07810221476956</v>
      </c>
      <c r="P49" s="543">
        <f t="shared" ref="P49:P55" si="99">P10-P29-P39</f>
        <v>86.781000000000063</v>
      </c>
      <c r="Q49" s="609">
        <f t="shared" ref="Q49:Q55" si="100">P49/P10*100</f>
        <v>5.4570356149532913</v>
      </c>
      <c r="R49" s="566">
        <f>(P49/L49-1)*100</f>
        <v>2.5041046054262051</v>
      </c>
      <c r="T49" s="543">
        <f t="shared" ref="T49:T55" si="101">T10-T29-T39</f>
        <v>108.60800000000017</v>
      </c>
      <c r="U49" s="609">
        <f t="shared" ref="U49:U55" si="102">T49/T10*100</f>
        <v>6.5678497802714242</v>
      </c>
      <c r="V49" s="566">
        <f>(T49/P49-1)*100</f>
        <v>25.151818946543703</v>
      </c>
      <c r="X49" s="543">
        <f t="shared" ref="X49:X55" si="103">X10-X29-X39</f>
        <v>60.500999999999976</v>
      </c>
      <c r="Y49" s="609">
        <f t="shared" ref="Y49:Y55" si="104">X49/X10*100</f>
        <v>2.0592579986385289</v>
      </c>
      <c r="Z49" s="566"/>
      <c r="AB49" s="543">
        <f t="shared" ref="AB49:AB55" si="105">AB10-AB29-AB39</f>
        <v>95.886999999999716</v>
      </c>
      <c r="AC49" s="609">
        <f t="shared" ref="AC49:AC55" si="106">AB49/AB10*100</f>
        <v>3.2090631678785022</v>
      </c>
      <c r="AD49" s="566">
        <f>(AB49/X49-1)*100</f>
        <v>58.488289449760742</v>
      </c>
      <c r="AF49" s="543">
        <f t="shared" ref="AF49:AF55" si="107">AF10-AF29-AF39</f>
        <v>132.98699999999985</v>
      </c>
      <c r="AG49" s="609">
        <f t="shared" ref="AG49:AG55" si="108">AF49/AF10*100</f>
        <v>4.0290544429969355</v>
      </c>
      <c r="AH49" s="566">
        <f>(AF49/AB49-1)*100</f>
        <v>38.691376307528898</v>
      </c>
      <c r="AJ49" s="543">
        <f t="shared" ref="AJ49:AJ55" si="109">AJ10-AJ29-AJ39</f>
        <v>147.56900000000019</v>
      </c>
      <c r="AK49" s="609">
        <f t="shared" ref="AK49:AK55" si="110">AJ49/AJ10*100</f>
        <v>4.3293140878953293</v>
      </c>
      <c r="AL49" s="566">
        <f>(AJ49/AF49-1)*100</f>
        <v>10.964981539549235</v>
      </c>
      <c r="AN49" s="543">
        <f t="shared" ref="AN49:AN55" si="111">AN10-AN29-AN39</f>
        <v>181</v>
      </c>
      <c r="AO49" s="609">
        <f t="shared" ref="AO49:AO55" si="112">AN49/AN10*100</f>
        <v>5.3917187965445343</v>
      </c>
      <c r="AP49" s="566">
        <f>(AN49/AJ49-1)*100</f>
        <v>22.654487053513783</v>
      </c>
      <c r="AR49" s="543">
        <f t="shared" ref="AR49:AR55" si="113">AR10-AR29-AR39</f>
        <v>225</v>
      </c>
      <c r="AS49" s="609">
        <f t="shared" ref="AS49:AS55" si="114">AR49/AR10*100</f>
        <v>6.25</v>
      </c>
      <c r="AT49" s="566">
        <f>(AR49/AN49-1)*100</f>
        <v>24.309392265193374</v>
      </c>
      <c r="AV49" s="543">
        <f t="shared" ref="AV49:AV55" si="115">AV10-AV29-AV39</f>
        <v>269</v>
      </c>
      <c r="AW49" s="609">
        <f t="shared" ref="AW49:AW55" si="116">AV49/AV10*100</f>
        <v>7.5286873775538758</v>
      </c>
      <c r="AX49" s="566">
        <f>(AV49/AR49-1)*100</f>
        <v>19.55555555555555</v>
      </c>
      <c r="AZ49" s="543">
        <f t="shared" ref="AZ49:AZ55" si="117">AZ10-AZ29-AZ39</f>
        <v>230</v>
      </c>
      <c r="BA49" s="609">
        <f t="shared" ref="BA49:BA55" si="118">AZ49/AZ10*100</f>
        <v>6.4679415073115862</v>
      </c>
      <c r="BB49" s="566">
        <f>(AZ49/AV49-1)*100</f>
        <v>-14.498141263940523</v>
      </c>
      <c r="BD49" s="543">
        <f t="shared" ref="BD49:BD55" si="119">BD10-BD29-BD39</f>
        <v>221</v>
      </c>
      <c r="BE49" s="609">
        <f t="shared" ref="BE49:BE55" si="120">BD49/BD10*100</f>
        <v>6.4002316825948453</v>
      </c>
      <c r="BF49" s="566">
        <f>(BD49/AZ49-1)*100</f>
        <v>-3.9130434782608692</v>
      </c>
      <c r="BH49" s="543">
        <f t="shared" ref="BH49:BH55" si="121">BH10-BH29-BH39</f>
        <v>154</v>
      </c>
      <c r="BI49" s="609">
        <f t="shared" ref="BI49:BI55" si="122">BH49/BH10*100</f>
        <v>4.6794287450622907</v>
      </c>
      <c r="BJ49" s="566">
        <f>(BH49/BD49-1)*100</f>
        <v>-30.316742081447966</v>
      </c>
      <c r="BL49" s="543">
        <f t="shared" ref="BL49:BL55" si="123">BL10-BL29-BL39</f>
        <v>236</v>
      </c>
      <c r="BM49" s="609">
        <f t="shared" ref="BM49:BM55" si="124">BL49/BL10*100</f>
        <v>6.647887323943662</v>
      </c>
      <c r="BN49" s="566">
        <f>(BL49/BH49-1)*100</f>
        <v>53.246753246753251</v>
      </c>
      <c r="BP49" s="543">
        <f t="shared" ref="BP49:BP55" si="125">BP10-BP29-BP39</f>
        <v>252</v>
      </c>
      <c r="BQ49" s="609">
        <f t="shared" ref="BQ49:BQ55" si="126">BP49/BP10*100</f>
        <v>6.9211755012359237</v>
      </c>
      <c r="BR49" s="566">
        <f>(BP49/BL49-1)*100</f>
        <v>6.7796610169491567</v>
      </c>
      <c r="BT49" s="543">
        <f t="shared" ref="BT49:BT55" si="127">BT10-BT29-BT39</f>
        <v>149</v>
      </c>
      <c r="BU49" s="609">
        <f t="shared" ref="BU49:BU55" si="128">BT49/BT10*100</f>
        <v>2.5126475548060707</v>
      </c>
      <c r="BV49" s="566">
        <f>(BT49/BP49-1)*100</f>
        <v>-40.873015873015873</v>
      </c>
      <c r="BX49" s="543">
        <f t="shared" ref="BX49:BX55" si="129">BX10-BX29-BX39</f>
        <v>244</v>
      </c>
      <c r="BY49" s="609">
        <f t="shared" ref="BY49:BY55" si="130">BX49/BX10*100</f>
        <v>4.1209255193379501</v>
      </c>
      <c r="BZ49" s="566">
        <f>(BX49/BT49-1)*100</f>
        <v>63.758389261744973</v>
      </c>
      <c r="CB49" s="543">
        <f t="shared" ref="CB49:CB55" si="131">CB10-CB29-CB39</f>
        <v>140</v>
      </c>
      <c r="CC49" s="609">
        <f t="shared" ref="CC49:CC55" si="132">CB49/CB10*100</f>
        <v>2.4360535931790497</v>
      </c>
      <c r="CD49" s="566">
        <f>(CB49/BX49-1)*100</f>
        <v>-42.622950819672134</v>
      </c>
      <c r="CF49" s="543">
        <f t="shared" ref="CF49:CF55" si="133">CF10-CF29-CF39</f>
        <v>24</v>
      </c>
      <c r="CG49" s="609">
        <f t="shared" ref="CG49:CG55" si="134">CF49/CF10*100</f>
        <v>0.45385779122541603</v>
      </c>
      <c r="CH49" s="566">
        <f>(CF49/CB49-1)*100</f>
        <v>-82.857142857142847</v>
      </c>
      <c r="CJ49" s="543">
        <f t="shared" ref="CJ49:CJ55" si="135">CJ10-CJ29-CJ39</f>
        <v>203</v>
      </c>
      <c r="CK49" s="609">
        <f t="shared" ref="CK49:CK55" si="136">CJ49/CJ10*100</f>
        <v>3.6419088625762472</v>
      </c>
      <c r="CL49" s="566">
        <f>(CJ49/CF49-1)*100</f>
        <v>745.83333333333337</v>
      </c>
      <c r="CN49" s="543">
        <f t="shared" ref="CN49:CN55" si="137">CN10-CN29-CN39</f>
        <v>330</v>
      </c>
      <c r="CO49" s="609">
        <f t="shared" ref="CO49:CO55" si="138">CN49/CN10*100</f>
        <v>5.6036678553234847</v>
      </c>
      <c r="CP49" s="566">
        <f>(CN49/CJ49-1)*100</f>
        <v>62.561576354679801</v>
      </c>
      <c r="CR49" s="543">
        <f t="shared" ref="CR49:CR55" si="139">CR10-CR29-CR39</f>
        <v>391</v>
      </c>
      <c r="CS49" s="609">
        <f t="shared" ref="CS49:CS55" si="140">CR49/CR10*100</f>
        <v>6.3649682565521726</v>
      </c>
      <c r="CT49" s="566">
        <f>(CR49/CN49-1)*100</f>
        <v>18.484848484848481</v>
      </c>
      <c r="CV49" s="543">
        <f t="shared" ref="CV49:CV55" si="141">CV10-CV29-CV39</f>
        <v>435</v>
      </c>
      <c r="CW49" s="609">
        <f t="shared" ref="CW49:CW55" si="142">CV49/CV10*100</f>
        <v>6.8107092531705025</v>
      </c>
      <c r="CX49" s="566">
        <f>(CV49/CR49-1)*100</f>
        <v>11.253196930946284</v>
      </c>
      <c r="CZ49" s="543">
        <f t="shared" ref="CZ49:CZ55" si="143">CZ10-CZ29-CZ39</f>
        <v>443</v>
      </c>
      <c r="DA49" s="609">
        <f t="shared" ref="DA49:DA55" si="144">CZ49/CZ10*100</f>
        <v>7.055263577002707</v>
      </c>
      <c r="DB49" s="566">
        <f>(CZ49/CV49-1)*100</f>
        <v>1.839080459770126</v>
      </c>
      <c r="DC49" s="648"/>
      <c r="DD49" s="543">
        <f t="shared" ref="DD49:DD55" si="145">DD10-DD29-DD39</f>
        <v>409</v>
      </c>
      <c r="DE49" s="609">
        <f t="shared" ref="DE49:DE55" si="146">DD49/DD10*100</f>
        <v>6.5629011553273431</v>
      </c>
      <c r="DF49" s="566">
        <f>(DD49/CZ49-1)*100</f>
        <v>-7.674943566591419</v>
      </c>
      <c r="DG49" s="648"/>
      <c r="DH49" s="543">
        <f>DH10-DH29-DH39+DH19</f>
        <v>290</v>
      </c>
      <c r="DI49" s="609">
        <f>DH49/(DH10+DH18)*100</f>
        <v>5.0225147211638381</v>
      </c>
      <c r="DJ49" s="566">
        <f>(DH49/DD49-1)*100</f>
        <v>-29.095354523227378</v>
      </c>
      <c r="DK49" s="566"/>
      <c r="DL49" s="543">
        <f t="shared" ref="DL49:DL53" si="147">DL10-DL29-DL39+DL19</f>
        <v>219</v>
      </c>
      <c r="DM49" s="609">
        <f t="shared" ref="DM49:DM55" si="148">DL49/DL10*100</f>
        <v>4.0919282511210762</v>
      </c>
      <c r="DN49" s="566">
        <f>(DL49/DH49-1)*100</f>
        <v>-24.482758620689658</v>
      </c>
      <c r="DO49" s="566"/>
      <c r="DP49" s="1117">
        <f t="shared" ref="DP49:DP53" si="149">DP10-DP29-DP39+DP19</f>
        <v>208.59310239999968</v>
      </c>
      <c r="DQ49" s="1142">
        <f t="shared" ref="DQ49:DQ55" si="150">DP49/DP10*100</f>
        <v>3.9249541709755977</v>
      </c>
      <c r="DR49" s="1132">
        <f>(DP49/DL49-1)*100</f>
        <v>-4.7520080365298316</v>
      </c>
      <c r="DS49" s="648"/>
      <c r="DT49" s="514"/>
      <c r="DU49" s="648"/>
      <c r="DV49" s="648"/>
      <c r="DW49" s="648"/>
      <c r="DX49" s="648"/>
      <c r="DY49" s="185" t="s">
        <v>215</v>
      </c>
      <c r="ED49" s="627"/>
      <c r="EE49" s="627"/>
    </row>
    <row r="50" spans="1:140" x14ac:dyDescent="0.2">
      <c r="A50" s="604" t="s">
        <v>80</v>
      </c>
      <c r="D50" s="385">
        <f t="shared" si="92"/>
        <v>-40.062000000000012</v>
      </c>
      <c r="E50" s="609">
        <f t="shared" si="93"/>
        <v>-2.6258248715992489</v>
      </c>
      <c r="F50" s="566"/>
      <c r="H50" s="385">
        <f t="shared" si="94"/>
        <v>8.5089999999999009</v>
      </c>
      <c r="I50" s="609">
        <f t="shared" si="95"/>
        <v>0.56888115137426021</v>
      </c>
      <c r="J50" s="566">
        <f t="shared" ref="J50:J55" si="151">(H50/D50-1)*100</f>
        <v>-121.23957865308745</v>
      </c>
      <c r="L50" s="385">
        <f t="shared" si="96"/>
        <v>31.674999999999955</v>
      </c>
      <c r="M50" s="609">
        <f t="shared" si="97"/>
        <v>2.1736713669665053</v>
      </c>
      <c r="N50" s="605">
        <f t="shared" si="98"/>
        <v>160.47902155922452</v>
      </c>
      <c r="P50" s="385">
        <f t="shared" si="99"/>
        <v>62.034999999999968</v>
      </c>
      <c r="Q50" s="609">
        <f t="shared" si="100"/>
        <v>4.1293680040045562</v>
      </c>
      <c r="R50" s="566">
        <f t="shared" ref="R50:R55" si="152">(P50/L50-1)*100</f>
        <v>95.848460931334031</v>
      </c>
      <c r="T50" s="385">
        <f t="shared" si="101"/>
        <v>86.573999999999842</v>
      </c>
      <c r="U50" s="609">
        <f t="shared" si="102"/>
        <v>5.4240962345717589</v>
      </c>
      <c r="V50" s="566">
        <f t="shared" ref="V50:V55" si="153">(T50/P50-1)*100</f>
        <v>39.556701861852005</v>
      </c>
      <c r="X50" s="385">
        <f t="shared" si="103"/>
        <v>32.076000000000022</v>
      </c>
      <c r="Y50" s="609">
        <f t="shared" si="104"/>
        <v>1.0944452026750382</v>
      </c>
      <c r="Z50" s="566"/>
      <c r="AB50" s="385">
        <f t="shared" si="105"/>
        <v>116.19800000000009</v>
      </c>
      <c r="AC50" s="609">
        <f t="shared" si="106"/>
        <v>3.8135214965539905</v>
      </c>
      <c r="AD50" s="566">
        <f t="shared" ref="AD50:AD55" si="154">(AB50/X50-1)*100</f>
        <v>262.25838633246042</v>
      </c>
      <c r="AF50" s="385">
        <f t="shared" si="107"/>
        <v>174.6429999999998</v>
      </c>
      <c r="AG50" s="609">
        <f t="shared" si="108"/>
        <v>5.3176724925400345</v>
      </c>
      <c r="AH50" s="566">
        <f t="shared" ref="AH50:AH55" si="155">(AF50/AB50-1)*100</f>
        <v>50.297767603572922</v>
      </c>
      <c r="AJ50" s="385">
        <f t="shared" si="109"/>
        <v>211.83100000000036</v>
      </c>
      <c r="AK50" s="609">
        <f t="shared" si="110"/>
        <v>6.1350498146431978</v>
      </c>
      <c r="AL50" s="566">
        <f t="shared" ref="AL50:AL55" si="156">(AJ50/AF50-1)*100</f>
        <v>21.29372491310879</v>
      </c>
      <c r="AN50" s="385">
        <f t="shared" si="111"/>
        <v>267</v>
      </c>
      <c r="AO50" s="609">
        <f t="shared" si="112"/>
        <v>7.7933450087565674</v>
      </c>
      <c r="AP50" s="566">
        <f t="shared" ref="AP50:AP55" si="157">(AN50/AJ50-1)*100</f>
        <v>26.043874598146431</v>
      </c>
      <c r="AR50" s="385">
        <f t="shared" si="113"/>
        <v>318</v>
      </c>
      <c r="AS50" s="609">
        <f t="shared" si="114"/>
        <v>7.9380928607089372</v>
      </c>
      <c r="AT50" s="566">
        <f t="shared" ref="AT50:AT55" si="158">(AR50/AN50-1)*100</f>
        <v>19.101123595505619</v>
      </c>
      <c r="AV50" s="385">
        <f t="shared" si="115"/>
        <v>402</v>
      </c>
      <c r="AW50" s="609">
        <f t="shared" si="116"/>
        <v>10.926882304974178</v>
      </c>
      <c r="AX50" s="566">
        <f t="shared" ref="AX50:AX55" si="159">(AV50/AR50-1)*100</f>
        <v>26.415094339622634</v>
      </c>
      <c r="AZ50" s="385">
        <f t="shared" si="117"/>
        <v>254</v>
      </c>
      <c r="BA50" s="609">
        <f t="shared" si="118"/>
        <v>7.2821100917431183</v>
      </c>
      <c r="BB50" s="566">
        <f t="shared" ref="BB50:BB55" si="160">(AZ50/AV50-1)*100</f>
        <v>-36.815920398009951</v>
      </c>
      <c r="BD50" s="385">
        <f t="shared" si="119"/>
        <v>300</v>
      </c>
      <c r="BE50" s="609">
        <f t="shared" si="120"/>
        <v>8.6058519793459549</v>
      </c>
      <c r="BF50" s="566">
        <f t="shared" ref="BF50:BF55" si="161">(BD50/AZ50-1)*100</f>
        <v>18.11023622047243</v>
      </c>
      <c r="BH50" s="385">
        <f t="shared" si="121"/>
        <v>274</v>
      </c>
      <c r="BI50" s="609">
        <f t="shared" si="122"/>
        <v>7.9790331974373903</v>
      </c>
      <c r="BJ50" s="566">
        <f t="shared" ref="BJ50:BJ55" si="162">(BH50/BD50-1)*100</f>
        <v>-8.6666666666666679</v>
      </c>
      <c r="BL50" s="385">
        <f t="shared" si="123"/>
        <v>276</v>
      </c>
      <c r="BM50" s="609">
        <f t="shared" si="124"/>
        <v>7.7073443172298237</v>
      </c>
      <c r="BN50" s="566">
        <f t="shared" ref="BN50:BN55" si="163">(BL50/BH50-1)*100</f>
        <v>0.72992700729928028</v>
      </c>
      <c r="BP50" s="385">
        <f t="shared" si="125"/>
        <v>291</v>
      </c>
      <c r="BQ50" s="609">
        <f t="shared" si="126"/>
        <v>8.0320176649185751</v>
      </c>
      <c r="BR50" s="566">
        <f t="shared" ref="BR50:BR55" si="164">(BP50/BL50-1)*100</f>
        <v>5.4347826086956541</v>
      </c>
      <c r="BT50" s="385">
        <f t="shared" si="127"/>
        <v>408</v>
      </c>
      <c r="BU50" s="609">
        <f t="shared" si="128"/>
        <v>6.8056713928273558</v>
      </c>
      <c r="BV50" s="566">
        <f t="shared" ref="BV50:BV55" si="165">(BT50/BP50-1)*100</f>
        <v>40.206185567010301</v>
      </c>
      <c r="BX50" s="385">
        <f t="shared" si="129"/>
        <v>347</v>
      </c>
      <c r="BY50" s="609">
        <f t="shared" si="130"/>
        <v>5.8893414799728445</v>
      </c>
      <c r="BZ50" s="566">
        <f t="shared" ref="BZ50:BZ55" si="166">(BX50/BT50-1)*100</f>
        <v>-14.950980392156865</v>
      </c>
      <c r="CB50" s="385">
        <f t="shared" si="131"/>
        <v>335</v>
      </c>
      <c r="CC50" s="609">
        <f t="shared" si="132"/>
        <v>5.8586918502973067</v>
      </c>
      <c r="CD50" s="566">
        <f t="shared" ref="CD50:CD55" si="167">(CB50/BX50-1)*100</f>
        <v>-3.458213256484155</v>
      </c>
      <c r="CF50" s="385">
        <f t="shared" si="133"/>
        <v>282</v>
      </c>
      <c r="CG50" s="609">
        <f t="shared" si="134"/>
        <v>5.3358561967833493</v>
      </c>
      <c r="CH50" s="566">
        <f t="shared" ref="CH50:CH55" si="168">(CF50/CB50-1)*100</f>
        <v>-15.820895522388057</v>
      </c>
      <c r="CJ50" s="385">
        <f t="shared" si="135"/>
        <v>370</v>
      </c>
      <c r="CK50" s="609">
        <f t="shared" si="136"/>
        <v>6.6823189452772258</v>
      </c>
      <c r="CL50" s="566">
        <f t="shared" ref="CL50:CL55" si="169">(CJ50/CF50-1)*100</f>
        <v>31.205673758865249</v>
      </c>
      <c r="CN50" s="385">
        <f t="shared" si="137"/>
        <v>506</v>
      </c>
      <c r="CO50" s="609">
        <f t="shared" si="138"/>
        <v>8.5199528540158269</v>
      </c>
      <c r="CP50" s="566">
        <f t="shared" ref="CP50:CP55" si="170">(CN50/CJ50-1)*100</f>
        <v>36.756756756756758</v>
      </c>
      <c r="CR50" s="385">
        <f t="shared" si="139"/>
        <v>554</v>
      </c>
      <c r="CS50" s="609">
        <f t="shared" si="140"/>
        <v>9.055246812683885</v>
      </c>
      <c r="CT50" s="566">
        <f t="shared" ref="CT50:CT55" si="171">(CR50/CN50-1)*100</f>
        <v>9.486166007905128</v>
      </c>
      <c r="CV50" s="385">
        <f t="shared" si="141"/>
        <v>534</v>
      </c>
      <c r="CW50" s="609">
        <f t="shared" si="142"/>
        <v>8.8031651829871418</v>
      </c>
      <c r="CX50" s="566">
        <f t="shared" ref="CX50:CX55" si="172">(CV50/CR50-1)*100</f>
        <v>-3.6101083032490933</v>
      </c>
      <c r="CZ50" s="385">
        <f t="shared" si="143"/>
        <v>571</v>
      </c>
      <c r="DA50" s="609">
        <f t="shared" si="144"/>
        <v>9.1112174884314676</v>
      </c>
      <c r="DB50" s="566">
        <f t="shared" ref="DB50:DB55" si="173">(CZ50/CV50-1)*100</f>
        <v>6.9288389513108672</v>
      </c>
      <c r="DC50" s="648"/>
      <c r="DD50" s="385">
        <f t="shared" si="145"/>
        <v>436</v>
      </c>
      <c r="DE50" s="609">
        <f t="shared" si="146"/>
        <v>7.1428571428571423</v>
      </c>
      <c r="DF50" s="566">
        <f t="shared" ref="DF50:DF55" si="174">(DD50/CZ50-1)*100</f>
        <v>-23.642732049036773</v>
      </c>
      <c r="DG50" s="648"/>
      <c r="DH50" s="385">
        <f t="shared" ref="DH50:DH53" si="175">DH11-DH30-DH40+DH20</f>
        <v>346.75</v>
      </c>
      <c r="DI50" s="609">
        <f t="shared" ref="DI50:DI55" si="176">DH50/DH11*100</f>
        <v>5.8101541554959786</v>
      </c>
      <c r="DJ50" s="566">
        <f t="shared" ref="DJ50:DJ55" si="177">(DH50/DD50-1)*100</f>
        <v>-20.470183486238536</v>
      </c>
      <c r="DK50" s="566"/>
      <c r="DL50" s="385">
        <f t="shared" si="147"/>
        <v>283</v>
      </c>
      <c r="DM50" s="609">
        <f t="shared" si="148"/>
        <v>5.0221827861579413</v>
      </c>
      <c r="DN50" s="566">
        <f t="shared" ref="DN50:DN55" si="178">(DL50/DH50-1)*100</f>
        <v>-18.385003604902671</v>
      </c>
      <c r="DO50" s="566"/>
      <c r="DP50" s="1092">
        <f t="shared" si="149"/>
        <v>244.38913550000052</v>
      </c>
      <c r="DQ50" s="1142">
        <f t="shared" si="150"/>
        <v>4.4665144651869708</v>
      </c>
      <c r="DR50" s="1132">
        <f t="shared" ref="DR50:DR55" si="179">(DP50/DL50-1)*100</f>
        <v>-13.64341501766766</v>
      </c>
      <c r="DS50" s="648"/>
      <c r="DU50" s="648"/>
      <c r="DV50" s="648"/>
      <c r="DW50" s="648"/>
      <c r="DX50" s="648"/>
      <c r="DY50" s="185" t="s">
        <v>215</v>
      </c>
    </row>
    <row r="51" spans="1:140" x14ac:dyDescent="0.2">
      <c r="A51" s="604" t="s">
        <v>81</v>
      </c>
      <c r="D51" s="385">
        <f t="shared" si="92"/>
        <v>42.317999999999984</v>
      </c>
      <c r="E51" s="609">
        <f t="shared" si="93"/>
        <v>2.3944635033584607</v>
      </c>
      <c r="F51" s="566"/>
      <c r="H51" s="385">
        <f t="shared" si="94"/>
        <v>53.267000000000053</v>
      </c>
      <c r="I51" s="609">
        <f t="shared" si="95"/>
        <v>3.1170325255822338</v>
      </c>
      <c r="J51" s="566">
        <f t="shared" si="151"/>
        <v>25.873150905052398</v>
      </c>
      <c r="L51" s="385">
        <f t="shared" si="96"/>
        <v>110.76799999999992</v>
      </c>
      <c r="M51" s="609">
        <f t="shared" si="97"/>
        <v>6.1917365627611449</v>
      </c>
      <c r="N51" s="605">
        <f t="shared" si="98"/>
        <v>307.47040371789114</v>
      </c>
      <c r="P51" s="385">
        <f t="shared" si="99"/>
        <v>107.38199999999995</v>
      </c>
      <c r="Q51" s="609">
        <f t="shared" si="100"/>
        <v>6.0012909968339807</v>
      </c>
      <c r="R51" s="566">
        <f t="shared" si="152"/>
        <v>-3.0568395204390919</v>
      </c>
      <c r="T51" s="385">
        <f t="shared" si="101"/>
        <v>132.697</v>
      </c>
      <c r="U51" s="609">
        <f t="shared" si="102"/>
        <v>6.8868716236309631</v>
      </c>
      <c r="V51" s="566">
        <f t="shared" si="153"/>
        <v>23.574714570412226</v>
      </c>
      <c r="X51" s="385">
        <f t="shared" si="103"/>
        <v>124.07500000000005</v>
      </c>
      <c r="Y51" s="609">
        <f t="shared" si="104"/>
        <v>3.7008590347789792</v>
      </c>
      <c r="Z51" s="566"/>
      <c r="AB51" s="385">
        <f t="shared" si="105"/>
        <v>186.59699999999975</v>
      </c>
      <c r="AC51" s="609">
        <f t="shared" si="106"/>
        <v>5.5975831011468857</v>
      </c>
      <c r="AD51" s="566">
        <f t="shared" si="154"/>
        <v>50.390489623211508</v>
      </c>
      <c r="AF51" s="385">
        <f t="shared" si="107"/>
        <v>231.56800000000021</v>
      </c>
      <c r="AG51" s="609">
        <f t="shared" si="108"/>
        <v>6.4162256518245604</v>
      </c>
      <c r="AH51" s="566">
        <f t="shared" si="155"/>
        <v>24.100601831755352</v>
      </c>
      <c r="AJ51" s="385">
        <f t="shared" si="109"/>
        <v>267.78500000000008</v>
      </c>
      <c r="AK51" s="609">
        <f t="shared" si="110"/>
        <v>7.148367635674437</v>
      </c>
      <c r="AL51" s="566">
        <f t="shared" si="156"/>
        <v>15.639898431562148</v>
      </c>
      <c r="AN51" s="385">
        <f t="shared" si="111"/>
        <v>257</v>
      </c>
      <c r="AO51" s="609">
        <f t="shared" si="112"/>
        <v>7.2435174746335971</v>
      </c>
      <c r="AP51" s="566">
        <f t="shared" si="157"/>
        <v>-4.0274847358888977</v>
      </c>
      <c r="AR51" s="385">
        <f t="shared" si="113"/>
        <v>302</v>
      </c>
      <c r="AS51" s="609">
        <f t="shared" si="114"/>
        <v>7.2999758278946096</v>
      </c>
      <c r="AT51" s="566">
        <f t="shared" si="158"/>
        <v>17.509727626459149</v>
      </c>
      <c r="AV51" s="385">
        <f t="shared" si="115"/>
        <v>269</v>
      </c>
      <c r="AW51" s="609">
        <f t="shared" si="116"/>
        <v>7.1126388154415663</v>
      </c>
      <c r="AX51" s="566">
        <f t="shared" si="159"/>
        <v>-10.927152317880795</v>
      </c>
      <c r="AZ51" s="385">
        <f t="shared" si="117"/>
        <v>156</v>
      </c>
      <c r="BA51" s="609">
        <f t="shared" si="118"/>
        <v>4.4892086330935248</v>
      </c>
      <c r="BB51" s="566">
        <f t="shared" si="160"/>
        <v>-42.007434944237922</v>
      </c>
      <c r="BD51" s="385">
        <f t="shared" si="119"/>
        <v>188</v>
      </c>
      <c r="BE51" s="609">
        <f t="shared" si="120"/>
        <v>5.4038516815176774</v>
      </c>
      <c r="BF51" s="566">
        <f t="shared" si="161"/>
        <v>20.512820512820507</v>
      </c>
      <c r="BH51" s="385">
        <f t="shared" si="121"/>
        <v>202</v>
      </c>
      <c r="BI51" s="609">
        <f t="shared" si="122"/>
        <v>5.7946069994262768</v>
      </c>
      <c r="BJ51" s="566">
        <f t="shared" si="162"/>
        <v>7.4468085106383031</v>
      </c>
      <c r="BL51" s="385">
        <f t="shared" si="123"/>
        <v>211</v>
      </c>
      <c r="BM51" s="609">
        <f t="shared" si="124"/>
        <v>5.9858156028368796</v>
      </c>
      <c r="BN51" s="566">
        <f t="shared" si="163"/>
        <v>4.4554455445544594</v>
      </c>
      <c r="BP51" s="385">
        <f t="shared" si="125"/>
        <v>270</v>
      </c>
      <c r="BQ51" s="609">
        <f t="shared" si="126"/>
        <v>4.8604860486048604</v>
      </c>
      <c r="BR51" s="566">
        <f t="shared" si="164"/>
        <v>27.96208530805686</v>
      </c>
      <c r="BT51" s="385">
        <f t="shared" si="127"/>
        <v>279</v>
      </c>
      <c r="BU51" s="609">
        <f t="shared" si="128"/>
        <v>4.7400611620795106</v>
      </c>
      <c r="BV51" s="566">
        <f t="shared" si="165"/>
        <v>3.3333333333333437</v>
      </c>
      <c r="BX51" s="385">
        <f t="shared" si="129"/>
        <v>200</v>
      </c>
      <c r="BY51" s="609">
        <f t="shared" si="130"/>
        <v>3.3863867253640363</v>
      </c>
      <c r="BZ51" s="566">
        <f t="shared" si="166"/>
        <v>-28.31541218637993</v>
      </c>
      <c r="CB51" s="385">
        <f t="shared" si="131"/>
        <v>84</v>
      </c>
      <c r="CC51" s="609">
        <f t="shared" si="132"/>
        <v>1.5292190060076463</v>
      </c>
      <c r="CD51" s="566">
        <f t="shared" si="167"/>
        <v>-58.000000000000007</v>
      </c>
      <c r="CF51" s="385">
        <f t="shared" si="133"/>
        <v>88</v>
      </c>
      <c r="CG51" s="609">
        <f t="shared" si="134"/>
        <v>1.6341689879294334</v>
      </c>
      <c r="CH51" s="566">
        <f t="shared" si="168"/>
        <v>4.7619047619047672</v>
      </c>
      <c r="CJ51" s="385">
        <f t="shared" si="135"/>
        <v>177</v>
      </c>
      <c r="CK51" s="609">
        <f t="shared" si="136"/>
        <v>3.147785879423795</v>
      </c>
      <c r="CL51" s="566">
        <f t="shared" si="169"/>
        <v>101.13636363636363</v>
      </c>
      <c r="CN51" s="385">
        <f t="shared" si="137"/>
        <v>291</v>
      </c>
      <c r="CO51" s="609">
        <f t="shared" si="138"/>
        <v>4.9718093285494618</v>
      </c>
      <c r="CP51" s="566">
        <f t="shared" si="170"/>
        <v>64.406779661016955</v>
      </c>
      <c r="CR51" s="385">
        <f t="shared" si="139"/>
        <v>325</v>
      </c>
      <c r="CS51" s="609">
        <f t="shared" si="140"/>
        <v>5.3497942386831276</v>
      </c>
      <c r="CT51" s="566">
        <f t="shared" si="171"/>
        <v>11.683848797250862</v>
      </c>
      <c r="CV51" s="385">
        <f t="shared" si="141"/>
        <v>360</v>
      </c>
      <c r="CW51" s="609">
        <f t="shared" si="142"/>
        <v>5.736137667304015</v>
      </c>
      <c r="CX51" s="566">
        <f t="shared" si="172"/>
        <v>10.769230769230775</v>
      </c>
      <c r="CZ51" s="385">
        <f t="shared" si="143"/>
        <v>422</v>
      </c>
      <c r="DA51" s="609">
        <f t="shared" si="144"/>
        <v>6.8119451170298637</v>
      </c>
      <c r="DB51" s="566">
        <f t="shared" si="173"/>
        <v>17.222222222222229</v>
      </c>
      <c r="DC51" s="648"/>
      <c r="DD51" s="385">
        <f t="shared" si="145"/>
        <v>369</v>
      </c>
      <c r="DE51" s="609">
        <f t="shared" si="146"/>
        <v>6.2819203268641477</v>
      </c>
      <c r="DF51" s="566">
        <f t="shared" si="174"/>
        <v>-12.559241706161139</v>
      </c>
      <c r="DG51" s="648"/>
      <c r="DH51" s="385">
        <f t="shared" si="175"/>
        <v>150.75</v>
      </c>
      <c r="DI51" s="609">
        <f t="shared" si="176"/>
        <v>2.6752440106477375</v>
      </c>
      <c r="DJ51" s="566">
        <f t="shared" si="177"/>
        <v>-59.146341463414643</v>
      </c>
      <c r="DK51" s="566"/>
      <c r="DL51" s="385">
        <f t="shared" si="147"/>
        <v>156</v>
      </c>
      <c r="DM51" s="609">
        <f t="shared" si="148"/>
        <v>2.9506336296576507</v>
      </c>
      <c r="DN51" s="566">
        <f t="shared" si="178"/>
        <v>3.4825870646766122</v>
      </c>
      <c r="DO51" s="566"/>
      <c r="DP51" s="1092">
        <f t="shared" si="149"/>
        <v>164.57110899999952</v>
      </c>
      <c r="DQ51" s="1142">
        <f t="shared" si="150"/>
        <v>3.1065372376110187</v>
      </c>
      <c r="DR51" s="1132">
        <f t="shared" si="179"/>
        <v>5.4943006410253403</v>
      </c>
      <c r="DS51" s="282"/>
      <c r="DT51" s="648"/>
      <c r="DU51" s="648"/>
      <c r="DV51" s="648"/>
      <c r="DW51" s="648"/>
      <c r="DX51" s="648"/>
      <c r="DY51" s="519"/>
      <c r="EJ51" s="543"/>
    </row>
    <row r="52" spans="1:140" x14ac:dyDescent="0.2">
      <c r="A52" s="604" t="s">
        <v>82</v>
      </c>
      <c r="D52" s="607">
        <f t="shared" si="92"/>
        <v>106.46899999999994</v>
      </c>
      <c r="E52" s="609">
        <f t="shared" si="93"/>
        <v>4.7141382083007128</v>
      </c>
      <c r="F52" s="566"/>
      <c r="H52" s="607">
        <f t="shared" si="94"/>
        <v>163.67600000000027</v>
      </c>
      <c r="I52" s="609">
        <f t="shared" si="95"/>
        <v>7.6689812862537954</v>
      </c>
      <c r="J52" s="566">
        <f t="shared" si="151"/>
        <v>53.731133005851817</v>
      </c>
      <c r="L52" s="607">
        <f t="shared" si="96"/>
        <v>211.33000000000004</v>
      </c>
      <c r="M52" s="609">
        <f t="shared" si="97"/>
        <v>9.3424602062388011</v>
      </c>
      <c r="N52" s="605">
        <f t="shared" si="98"/>
        <v>167.34789199850059</v>
      </c>
      <c r="P52" s="607">
        <f t="shared" si="99"/>
        <v>254.44499999999982</v>
      </c>
      <c r="Q52" s="609">
        <f t="shared" si="100"/>
        <v>10.838774480904291</v>
      </c>
      <c r="R52" s="566">
        <f t="shared" si="152"/>
        <v>20.401741352387148</v>
      </c>
      <c r="T52" s="607">
        <f t="shared" si="101"/>
        <v>313.22499999999991</v>
      </c>
      <c r="U52" s="609">
        <f t="shared" si="102"/>
        <v>12.375861094812784</v>
      </c>
      <c r="V52" s="566">
        <f t="shared" si="153"/>
        <v>23.101259604236724</v>
      </c>
      <c r="X52" s="607">
        <f t="shared" si="103"/>
        <v>466.14900000000011</v>
      </c>
      <c r="Y52" s="609">
        <f t="shared" si="104"/>
        <v>10.404879355371534</v>
      </c>
      <c r="Z52" s="566"/>
      <c r="AB52" s="607">
        <f t="shared" si="105"/>
        <v>595.96899999999982</v>
      </c>
      <c r="AC52" s="609">
        <f t="shared" si="106"/>
        <v>12.873290852143857</v>
      </c>
      <c r="AD52" s="566">
        <f t="shared" si="154"/>
        <v>27.849464441626971</v>
      </c>
      <c r="AF52" s="607">
        <f t="shared" si="107"/>
        <v>663.03299999999967</v>
      </c>
      <c r="AG52" s="609">
        <f t="shared" si="108"/>
        <v>13.167434563291888</v>
      </c>
      <c r="AH52" s="566">
        <f t="shared" si="155"/>
        <v>11.252934296918117</v>
      </c>
      <c r="AJ52" s="607">
        <f t="shared" si="109"/>
        <v>712.904</v>
      </c>
      <c r="AK52" s="609">
        <f t="shared" si="110"/>
        <v>14.088688875907193</v>
      </c>
      <c r="AL52" s="566">
        <f t="shared" si="156"/>
        <v>7.5216467355320615</v>
      </c>
      <c r="AN52" s="607">
        <f t="shared" si="111"/>
        <v>750</v>
      </c>
      <c r="AO52" s="609">
        <f t="shared" si="112"/>
        <v>14.898688915375446</v>
      </c>
      <c r="AP52" s="566">
        <f t="shared" si="157"/>
        <v>5.2035056613513264</v>
      </c>
      <c r="AR52" s="607">
        <f t="shared" si="113"/>
        <v>856</v>
      </c>
      <c r="AS52" s="609">
        <f t="shared" si="114"/>
        <v>14.331156872593336</v>
      </c>
      <c r="AT52" s="566">
        <f t="shared" si="158"/>
        <v>14.133333333333331</v>
      </c>
      <c r="AV52" s="607">
        <f t="shared" si="115"/>
        <v>831</v>
      </c>
      <c r="AW52" s="609">
        <f t="shared" si="116"/>
        <v>14.828693790149893</v>
      </c>
      <c r="AX52" s="566">
        <f t="shared" si="159"/>
        <v>-2.9205607476635476</v>
      </c>
      <c r="AZ52" s="607">
        <f t="shared" si="117"/>
        <v>736</v>
      </c>
      <c r="BA52" s="609">
        <f t="shared" si="118"/>
        <v>14.341387373343725</v>
      </c>
      <c r="BB52" s="566">
        <f t="shared" si="160"/>
        <v>-11.432009626955475</v>
      </c>
      <c r="BD52" s="607">
        <f t="shared" si="119"/>
        <v>702</v>
      </c>
      <c r="BE52" s="609">
        <f t="shared" si="120"/>
        <v>13.992425752441697</v>
      </c>
      <c r="BF52" s="566">
        <f t="shared" si="161"/>
        <v>-4.6195652173913082</v>
      </c>
      <c r="BH52" s="607">
        <f t="shared" si="121"/>
        <v>770</v>
      </c>
      <c r="BI52" s="609">
        <f t="shared" si="122"/>
        <v>15.238472194735801</v>
      </c>
      <c r="BJ52" s="566">
        <f t="shared" si="162"/>
        <v>9.6866096866096818</v>
      </c>
      <c r="BL52" s="607">
        <f t="shared" si="123"/>
        <v>776</v>
      </c>
      <c r="BM52" s="609">
        <f t="shared" si="124"/>
        <v>15.156249999999998</v>
      </c>
      <c r="BN52" s="566">
        <f t="shared" si="163"/>
        <v>0.77922077922076838</v>
      </c>
      <c r="BP52" s="607">
        <f t="shared" si="125"/>
        <v>1325</v>
      </c>
      <c r="BQ52" s="609">
        <f t="shared" si="126"/>
        <v>13.843903458363807</v>
      </c>
      <c r="BR52" s="566">
        <f t="shared" si="164"/>
        <v>70.74742268041237</v>
      </c>
      <c r="BT52" s="607">
        <f t="shared" si="127"/>
        <v>1437</v>
      </c>
      <c r="BU52" s="609">
        <f t="shared" si="128"/>
        <v>15.689485751719619</v>
      </c>
      <c r="BV52" s="566">
        <f t="shared" si="165"/>
        <v>8.4528301886792399</v>
      </c>
      <c r="BX52" s="607">
        <f t="shared" si="129"/>
        <v>1291</v>
      </c>
      <c r="BY52" s="609">
        <f t="shared" si="130"/>
        <v>15.022108447754249</v>
      </c>
      <c r="BZ52" s="566">
        <f t="shared" si="166"/>
        <v>-10.160055671537926</v>
      </c>
      <c r="CB52" s="607">
        <f t="shared" si="131"/>
        <v>866</v>
      </c>
      <c r="CC52" s="609">
        <f t="shared" si="132"/>
        <v>10.915049155533149</v>
      </c>
      <c r="CD52" s="566">
        <f t="shared" si="167"/>
        <v>-32.920216886134781</v>
      </c>
      <c r="CF52" s="607">
        <f t="shared" si="133"/>
        <v>1060</v>
      </c>
      <c r="CG52" s="609">
        <f t="shared" si="134"/>
        <v>13.35517197933728</v>
      </c>
      <c r="CH52" s="566">
        <f t="shared" si="168"/>
        <v>22.401847575057744</v>
      </c>
      <c r="CJ52" s="607">
        <f t="shared" si="135"/>
        <v>1169</v>
      </c>
      <c r="CK52" s="609">
        <f t="shared" si="136"/>
        <v>14.137138710847744</v>
      </c>
      <c r="CL52" s="566">
        <f t="shared" si="169"/>
        <v>10.283018867924532</v>
      </c>
      <c r="CN52" s="607">
        <f t="shared" si="137"/>
        <v>1259</v>
      </c>
      <c r="CO52" s="609">
        <f t="shared" si="138"/>
        <v>14.43145346171481</v>
      </c>
      <c r="CP52" s="566">
        <f t="shared" si="170"/>
        <v>7.6988879384088937</v>
      </c>
      <c r="CR52" s="607">
        <f t="shared" si="139"/>
        <v>1396</v>
      </c>
      <c r="CS52" s="609">
        <f t="shared" si="140"/>
        <v>14.930481283422459</v>
      </c>
      <c r="CT52" s="566">
        <f t="shared" si="171"/>
        <v>10.881652104845108</v>
      </c>
      <c r="CV52" s="607">
        <f t="shared" si="141"/>
        <v>1437</v>
      </c>
      <c r="CW52" s="609">
        <f t="shared" si="142"/>
        <v>15.616170397739621</v>
      </c>
      <c r="CX52" s="566">
        <f t="shared" si="172"/>
        <v>2.9369627507163321</v>
      </c>
      <c r="CZ52" s="607">
        <f t="shared" si="143"/>
        <v>1451</v>
      </c>
      <c r="DA52" s="609">
        <f t="shared" si="144"/>
        <v>15.495514737291755</v>
      </c>
      <c r="DB52" s="566">
        <f t="shared" si="173"/>
        <v>0.97425191370912323</v>
      </c>
      <c r="DC52" s="648"/>
      <c r="DD52" s="607">
        <f t="shared" si="145"/>
        <v>1113</v>
      </c>
      <c r="DE52" s="609">
        <f t="shared" si="146"/>
        <v>12.54932912391476</v>
      </c>
      <c r="DF52" s="566">
        <f t="shared" si="174"/>
        <v>-23.294279807029639</v>
      </c>
      <c r="DG52" s="648"/>
      <c r="DH52" s="607">
        <f t="shared" si="175"/>
        <v>1063.25</v>
      </c>
      <c r="DI52" s="609">
        <f t="shared" si="176"/>
        <v>12.460447673737256</v>
      </c>
      <c r="DJ52" s="566">
        <f t="shared" si="177"/>
        <v>-4.4699011680143785</v>
      </c>
      <c r="DK52" s="566"/>
      <c r="DL52" s="607">
        <f t="shared" si="147"/>
        <v>1398</v>
      </c>
      <c r="DM52" s="609">
        <f t="shared" si="148"/>
        <v>16.122707876830816</v>
      </c>
      <c r="DN52" s="566">
        <f t="shared" si="178"/>
        <v>31.483658593933693</v>
      </c>
      <c r="DO52" s="566"/>
      <c r="DP52" s="1102">
        <f t="shared" si="149"/>
        <v>1016.1777052999996</v>
      </c>
      <c r="DQ52" s="1142">
        <f t="shared" si="150"/>
        <v>11.995156330582049</v>
      </c>
      <c r="DR52" s="1132">
        <f t="shared" si="179"/>
        <v>-27.312038247496449</v>
      </c>
      <c r="DS52" s="282"/>
      <c r="DT52" s="648"/>
      <c r="DU52" s="648"/>
      <c r="DV52" s="648"/>
      <c r="DW52" s="648"/>
      <c r="DX52" s="648"/>
      <c r="DY52" s="185" t="s">
        <v>215</v>
      </c>
      <c r="ED52" s="385"/>
      <c r="EE52" s="385"/>
    </row>
    <row r="53" spans="1:140" x14ac:dyDescent="0.2">
      <c r="A53" s="604" t="s">
        <v>83</v>
      </c>
      <c r="D53" s="543">
        <f t="shared" si="92"/>
        <v>135.17300000000023</v>
      </c>
      <c r="E53" s="609">
        <f t="shared" si="93"/>
        <v>1.8926536229503799</v>
      </c>
      <c r="F53" s="566"/>
      <c r="H53" s="543">
        <f t="shared" si="94"/>
        <v>266.97200000000021</v>
      </c>
      <c r="I53" s="609">
        <f t="shared" si="95"/>
        <v>3.8511188817947488</v>
      </c>
      <c r="J53" s="566">
        <f t="shared" si="151"/>
        <v>97.503939396181011</v>
      </c>
      <c r="L53" s="543">
        <f t="shared" si="96"/>
        <v>438.43400000000065</v>
      </c>
      <c r="M53" s="609">
        <f t="shared" si="97"/>
        <v>6.1926222266541568</v>
      </c>
      <c r="N53" s="605">
        <f t="shared" si="98"/>
        <v>234.15033448594079</v>
      </c>
      <c r="P53" s="543">
        <f t="shared" si="99"/>
        <v>510.64299999999912</v>
      </c>
      <c r="Q53" s="609">
        <f t="shared" si="100"/>
        <v>7.0634157218449083</v>
      </c>
      <c r="R53" s="566">
        <f t="shared" si="152"/>
        <v>16.469753714355729</v>
      </c>
      <c r="T53" s="543">
        <f t="shared" si="101"/>
        <v>641.1039999999989</v>
      </c>
      <c r="U53" s="609">
        <f t="shared" si="102"/>
        <v>8.317948921547206</v>
      </c>
      <c r="V53" s="566">
        <f t="shared" si="153"/>
        <v>25.548377242026234</v>
      </c>
      <c r="X53" s="543">
        <f t="shared" si="103"/>
        <v>682.80099999999948</v>
      </c>
      <c r="Y53" s="609">
        <f t="shared" si="104"/>
        <v>4.983403277013462</v>
      </c>
      <c r="Z53" s="566"/>
      <c r="AB53" s="543">
        <f t="shared" si="105"/>
        <v>994.65099999999893</v>
      </c>
      <c r="AC53" s="609">
        <f t="shared" si="106"/>
        <v>7.1056478359746729</v>
      </c>
      <c r="AD53" s="566">
        <f t="shared" si="154"/>
        <v>45.672165096418958</v>
      </c>
      <c r="AF53" s="543">
        <f t="shared" si="107"/>
        <v>893</v>
      </c>
      <c r="AG53" s="609">
        <f t="shared" si="108"/>
        <v>6.0203600080900692</v>
      </c>
      <c r="AH53" s="566">
        <f t="shared" si="155"/>
        <v>-10.219765525797397</v>
      </c>
      <c r="AJ53" s="543">
        <f t="shared" si="109"/>
        <v>1341</v>
      </c>
      <c r="AK53" s="609">
        <f t="shared" si="110"/>
        <v>8.8107752956635998</v>
      </c>
      <c r="AL53" s="566">
        <f t="shared" si="156"/>
        <v>50.167973124300104</v>
      </c>
      <c r="AN53" s="543">
        <f t="shared" si="111"/>
        <v>1455</v>
      </c>
      <c r="AO53" s="609">
        <f t="shared" si="112"/>
        <v>9.4695737064757566</v>
      </c>
      <c r="AP53" s="566">
        <f t="shared" si="157"/>
        <v>8.5011185682326573</v>
      </c>
      <c r="AR53" s="543">
        <f t="shared" si="113"/>
        <v>1693</v>
      </c>
      <c r="AS53" s="609">
        <f t="shared" si="114"/>
        <v>10.562106182544138</v>
      </c>
      <c r="AT53" s="566">
        <f t="shared" si="158"/>
        <v>16.357388316151212</v>
      </c>
      <c r="AV53" s="543">
        <f t="shared" si="115"/>
        <v>1771</v>
      </c>
      <c r="AW53" s="609">
        <f t="shared" si="116"/>
        <v>10.644308210121409</v>
      </c>
      <c r="AX53" s="566">
        <f t="shared" si="159"/>
        <v>4.6072061429415223</v>
      </c>
      <c r="AZ53" s="543">
        <f t="shared" si="117"/>
        <v>1376</v>
      </c>
      <c r="BA53" s="609">
        <f t="shared" si="118"/>
        <v>8.7171365220145702</v>
      </c>
      <c r="BB53" s="566">
        <f t="shared" si="160"/>
        <v>-22.303783173348389</v>
      </c>
      <c r="BD53" s="543">
        <f t="shared" si="119"/>
        <v>1411</v>
      </c>
      <c r="BE53" s="609">
        <f t="shared" si="120"/>
        <v>9.0617172949714213</v>
      </c>
      <c r="BF53" s="566">
        <f t="shared" si="161"/>
        <v>2.5436046511627897</v>
      </c>
      <c r="BH53" s="543">
        <f t="shared" si="121"/>
        <v>1400</v>
      </c>
      <c r="BI53" s="609">
        <f t="shared" si="122"/>
        <v>9.0838307812094463</v>
      </c>
      <c r="BJ53" s="566">
        <f t="shared" si="162"/>
        <v>-0.7795889440113446</v>
      </c>
      <c r="BL53" s="543">
        <f t="shared" si="123"/>
        <v>1499</v>
      </c>
      <c r="BM53" s="609">
        <f t="shared" si="124"/>
        <v>9.5017748478701822</v>
      </c>
      <c r="BN53" s="566">
        <f t="shared" si="163"/>
        <v>7.071428571428573</v>
      </c>
      <c r="BP53" s="543">
        <f t="shared" si="125"/>
        <v>2138</v>
      </c>
      <c r="BQ53" s="609">
        <f t="shared" si="126"/>
        <v>9.5489057615006701</v>
      </c>
      <c r="BR53" s="566">
        <f t="shared" si="164"/>
        <v>42.628418945963986</v>
      </c>
      <c r="BT53" s="543">
        <f t="shared" si="127"/>
        <v>2273</v>
      </c>
      <c r="BU53" s="609">
        <f t="shared" si="128"/>
        <v>8.4278828327771595</v>
      </c>
      <c r="BV53" s="566">
        <f t="shared" si="165"/>
        <v>6.3143124415341534</v>
      </c>
      <c r="BX53" s="543">
        <f t="shared" si="129"/>
        <v>2082</v>
      </c>
      <c r="BY53" s="609">
        <f t="shared" si="130"/>
        <v>7.9124387185041609</v>
      </c>
      <c r="BZ53" s="566">
        <f t="shared" si="166"/>
        <v>-8.4029916410030765</v>
      </c>
      <c r="CB53" s="543">
        <f t="shared" si="131"/>
        <v>1425</v>
      </c>
      <c r="CC53" s="609">
        <f t="shared" si="132"/>
        <v>5.7247308372167769</v>
      </c>
      <c r="CD53" s="566">
        <f t="shared" si="167"/>
        <v>-31.556195965417867</v>
      </c>
      <c r="CF53" s="543">
        <f t="shared" si="133"/>
        <v>1454</v>
      </c>
      <c r="CG53" s="609">
        <f t="shared" si="134"/>
        <v>6.0849550115086837</v>
      </c>
      <c r="CH53" s="566">
        <f t="shared" si="168"/>
        <v>2.0350877192982564</v>
      </c>
      <c r="CJ53" s="543">
        <f t="shared" si="135"/>
        <v>1919</v>
      </c>
      <c r="CK53" s="609">
        <f t="shared" si="136"/>
        <v>7.6750789905211381</v>
      </c>
      <c r="CL53" s="566">
        <f t="shared" si="169"/>
        <v>31.980742778541948</v>
      </c>
      <c r="CN53" s="543">
        <f t="shared" si="137"/>
        <v>2386</v>
      </c>
      <c r="CO53" s="609">
        <f t="shared" si="138"/>
        <v>9.0361673925392925</v>
      </c>
      <c r="CP53" s="566">
        <f t="shared" si="170"/>
        <v>24.335591453882223</v>
      </c>
      <c r="CR53" s="543">
        <f t="shared" si="139"/>
        <v>2666</v>
      </c>
      <c r="CS53" s="609">
        <f t="shared" si="140"/>
        <v>9.6294155891064079</v>
      </c>
      <c r="CT53" s="566">
        <f t="shared" si="171"/>
        <v>11.735121542330251</v>
      </c>
      <c r="CV53" s="543">
        <f t="shared" si="141"/>
        <v>2766</v>
      </c>
      <c r="CW53" s="609">
        <f t="shared" si="142"/>
        <v>9.9029751888582584</v>
      </c>
      <c r="CX53" s="566">
        <f t="shared" si="172"/>
        <v>3.7509377344336015</v>
      </c>
      <c r="CZ53" s="543">
        <f t="shared" si="143"/>
        <v>2887</v>
      </c>
      <c r="DA53" s="609">
        <f t="shared" si="144"/>
        <v>10.272193559864792</v>
      </c>
      <c r="DB53" s="566">
        <f t="shared" si="173"/>
        <v>4.374548083875629</v>
      </c>
      <c r="DC53" s="648"/>
      <c r="DD53" s="543">
        <f t="shared" si="145"/>
        <v>2327</v>
      </c>
      <c r="DE53" s="609">
        <f t="shared" si="146"/>
        <v>8.5933749399903991</v>
      </c>
      <c r="DF53" s="566">
        <f t="shared" si="174"/>
        <v>-19.397298233460337</v>
      </c>
      <c r="DG53" s="648"/>
      <c r="DH53" s="543">
        <f t="shared" si="175"/>
        <v>1850.75</v>
      </c>
      <c r="DI53" s="609">
        <f t="shared" si="176"/>
        <v>7.1429949826321879</v>
      </c>
      <c r="DJ53" s="566">
        <f t="shared" si="177"/>
        <v>-20.466265577997422</v>
      </c>
      <c r="DK53" s="566"/>
      <c r="DL53" s="543">
        <f t="shared" si="147"/>
        <v>2056</v>
      </c>
      <c r="DM53" s="609">
        <f t="shared" si="148"/>
        <v>8.2421326919222277</v>
      </c>
      <c r="DN53" s="566">
        <f t="shared" si="178"/>
        <v>11.090098608672161</v>
      </c>
      <c r="DO53" s="566"/>
      <c r="DP53" s="1117">
        <f t="shared" si="149"/>
        <v>1633.7310522000007</v>
      </c>
      <c r="DQ53" s="1142">
        <f t="shared" si="150"/>
        <v>6.6532829183414979</v>
      </c>
      <c r="DR53" s="1132">
        <f t="shared" si="179"/>
        <v>-20.538372947470783</v>
      </c>
      <c r="DS53" s="648"/>
      <c r="DT53" s="648"/>
      <c r="DU53" s="662"/>
      <c r="DV53" s="648"/>
      <c r="DW53" s="648"/>
      <c r="DX53" s="648"/>
      <c r="DY53" s="185" t="s">
        <v>215</v>
      </c>
    </row>
    <row r="54" spans="1:140" x14ac:dyDescent="0.2">
      <c r="A54" s="604" t="s">
        <v>413</v>
      </c>
      <c r="D54" s="385">
        <f t="shared" si="92"/>
        <v>-13.614000000000033</v>
      </c>
      <c r="E54" s="609">
        <f t="shared" si="93"/>
        <v>-0.43688497865316045</v>
      </c>
      <c r="F54" s="566"/>
      <c r="H54" s="385">
        <f t="shared" si="94"/>
        <v>50.029000000000224</v>
      </c>
      <c r="I54" s="609">
        <f t="shared" si="95"/>
        <v>1.6195006930682245</v>
      </c>
      <c r="J54" s="566">
        <f t="shared" si="151"/>
        <v>-467.48200381959816</v>
      </c>
      <c r="L54" s="385">
        <f t="shared" si="96"/>
        <v>116.33600000000001</v>
      </c>
      <c r="M54" s="609">
        <f t="shared" si="97"/>
        <v>3.8408181349370643</v>
      </c>
      <c r="N54" s="605">
        <f t="shared" si="98"/>
        <v>222.13174418688396</v>
      </c>
      <c r="P54" s="385">
        <f t="shared" si="99"/>
        <v>148.81600000000003</v>
      </c>
      <c r="Q54" s="609">
        <f t="shared" si="100"/>
        <v>4.8120853134972572</v>
      </c>
      <c r="R54" s="566">
        <f t="shared" si="152"/>
        <v>27.919130793563475</v>
      </c>
      <c r="T54" s="385">
        <f t="shared" si="101"/>
        <v>195.18199999999979</v>
      </c>
      <c r="U54" s="609">
        <f t="shared" si="102"/>
        <v>6.0060971200385449</v>
      </c>
      <c r="V54" s="566">
        <f t="shared" si="153"/>
        <v>31.15659606493908</v>
      </c>
      <c r="X54" s="385">
        <f t="shared" si="103"/>
        <v>92.577000000000226</v>
      </c>
      <c r="Y54" s="609">
        <f t="shared" si="104"/>
        <v>1.5774434296619448</v>
      </c>
      <c r="Z54" s="566"/>
      <c r="AB54" s="385">
        <f t="shared" si="105"/>
        <v>212.08499999999958</v>
      </c>
      <c r="AC54" s="609">
        <f t="shared" si="106"/>
        <v>3.5142467132592676</v>
      </c>
      <c r="AD54" s="566">
        <f t="shared" si="154"/>
        <v>129.09037881979225</v>
      </c>
      <c r="AF54" s="385">
        <f t="shared" si="107"/>
        <v>307.62999999999965</v>
      </c>
      <c r="AG54" s="609">
        <f t="shared" si="108"/>
        <v>4.6717490015034349</v>
      </c>
      <c r="AH54" s="566">
        <f t="shared" si="155"/>
        <v>45.050333592663435</v>
      </c>
      <c r="AJ54" s="385">
        <f t="shared" si="109"/>
        <v>359.39999999999964</v>
      </c>
      <c r="AK54" s="609">
        <f t="shared" si="110"/>
        <v>5.2379980761943576</v>
      </c>
      <c r="AL54" s="566">
        <f t="shared" si="156"/>
        <v>16.828657803205171</v>
      </c>
      <c r="AN54" s="385">
        <f t="shared" si="111"/>
        <v>448</v>
      </c>
      <c r="AO54" s="609">
        <f t="shared" si="112"/>
        <v>6.6047471620227034</v>
      </c>
      <c r="AP54" s="566">
        <f t="shared" si="157"/>
        <v>24.652198107957823</v>
      </c>
      <c r="AR54" s="385">
        <f t="shared" si="113"/>
        <v>543</v>
      </c>
      <c r="AS54" s="609">
        <f t="shared" si="114"/>
        <v>7.1391007099658159</v>
      </c>
      <c r="AT54" s="566">
        <f t="shared" si="158"/>
        <v>21.205357142857139</v>
      </c>
      <c r="AV54" s="385">
        <f t="shared" si="115"/>
        <v>671</v>
      </c>
      <c r="AW54" s="609">
        <f t="shared" si="116"/>
        <v>9.2526199669056819</v>
      </c>
      <c r="AX54" s="566">
        <f t="shared" si="159"/>
        <v>23.572744014732972</v>
      </c>
      <c r="AZ54" s="385">
        <f t="shared" si="117"/>
        <v>484</v>
      </c>
      <c r="BA54" s="609">
        <f t="shared" si="118"/>
        <v>6.871095968199886</v>
      </c>
      <c r="BB54" s="566">
        <f t="shared" si="160"/>
        <v>-27.868852459016392</v>
      </c>
      <c r="BD54" s="385">
        <f t="shared" si="119"/>
        <v>521</v>
      </c>
      <c r="BE54" s="609">
        <f t="shared" si="120"/>
        <v>7.5082864966133451</v>
      </c>
      <c r="BF54" s="566">
        <f t="shared" si="161"/>
        <v>7.6446280991735449</v>
      </c>
      <c r="BH54" s="385">
        <f t="shared" si="121"/>
        <v>428</v>
      </c>
      <c r="BI54" s="609">
        <f t="shared" si="122"/>
        <v>6.3643122676579926</v>
      </c>
      <c r="BJ54" s="566">
        <f t="shared" si="162"/>
        <v>-17.850287907869479</v>
      </c>
      <c r="BL54" s="385">
        <f t="shared" si="123"/>
        <v>512</v>
      </c>
      <c r="BM54" s="609">
        <f t="shared" si="124"/>
        <v>7.1799186649838722</v>
      </c>
      <c r="BN54" s="566">
        <f t="shared" si="163"/>
        <v>19.626168224299057</v>
      </c>
      <c r="BP54" s="385">
        <f t="shared" si="125"/>
        <v>543</v>
      </c>
      <c r="BQ54" s="609">
        <f t="shared" si="126"/>
        <v>7.4752202643171808</v>
      </c>
      <c r="BR54" s="566">
        <f t="shared" si="164"/>
        <v>6.0546875</v>
      </c>
      <c r="BT54" s="385">
        <f t="shared" si="127"/>
        <v>557</v>
      </c>
      <c r="BU54" s="609">
        <f t="shared" si="128"/>
        <v>4.6708595387840663</v>
      </c>
      <c r="BV54" s="566">
        <f t="shared" si="165"/>
        <v>2.5782688766114115</v>
      </c>
      <c r="BX54" s="385">
        <f t="shared" si="129"/>
        <v>591</v>
      </c>
      <c r="BY54" s="609">
        <f t="shared" si="130"/>
        <v>5.0029628375518502</v>
      </c>
      <c r="BZ54" s="566">
        <f t="shared" si="166"/>
        <v>6.1041292639138156</v>
      </c>
      <c r="CB54" s="385">
        <f t="shared" si="131"/>
        <v>475</v>
      </c>
      <c r="CC54" s="609">
        <f t="shared" si="132"/>
        <v>4.1430440470998686</v>
      </c>
      <c r="CD54" s="566">
        <f t="shared" si="167"/>
        <v>-19.627749576988151</v>
      </c>
      <c r="CF54" s="385">
        <f t="shared" si="133"/>
        <v>306</v>
      </c>
      <c r="CG54" s="609">
        <f t="shared" si="134"/>
        <v>2.8941643809703965</v>
      </c>
      <c r="CH54" s="566">
        <f t="shared" si="168"/>
        <v>-35.578947368421055</v>
      </c>
      <c r="CJ54" s="385">
        <f t="shared" si="135"/>
        <v>573</v>
      </c>
      <c r="CK54" s="609">
        <f t="shared" si="136"/>
        <v>5.157051570515705</v>
      </c>
      <c r="CL54" s="566">
        <f t="shared" si="169"/>
        <v>87.254901960784309</v>
      </c>
      <c r="CN54" s="385">
        <f t="shared" si="137"/>
        <v>836</v>
      </c>
      <c r="CO54" s="609">
        <f t="shared" si="138"/>
        <v>7.0679742982752787</v>
      </c>
      <c r="CP54" s="566">
        <f t="shared" si="170"/>
        <v>45.898778359511347</v>
      </c>
      <c r="CR54" s="385">
        <f t="shared" si="139"/>
        <v>945</v>
      </c>
      <c r="CS54" s="609">
        <f t="shared" si="140"/>
        <v>7.7073648152679226</v>
      </c>
      <c r="CT54" s="566">
        <f t="shared" si="171"/>
        <v>13.038277511961716</v>
      </c>
      <c r="CV54" s="385">
        <f t="shared" si="141"/>
        <v>969</v>
      </c>
      <c r="CW54" s="609">
        <f t="shared" si="142"/>
        <v>7.7812575283064316</v>
      </c>
      <c r="CX54" s="566">
        <f t="shared" si="172"/>
        <v>2.5396825396825307</v>
      </c>
      <c r="CZ54" s="385">
        <f t="shared" si="143"/>
        <v>1014</v>
      </c>
      <c r="DA54" s="609">
        <f t="shared" si="144"/>
        <v>8.0822572931611667</v>
      </c>
      <c r="DB54" s="566">
        <f t="shared" si="173"/>
        <v>4.6439628482972228</v>
      </c>
      <c r="DD54" s="385">
        <f t="shared" si="145"/>
        <v>845</v>
      </c>
      <c r="DE54" s="609">
        <f t="shared" si="146"/>
        <v>6.8498702983138786</v>
      </c>
      <c r="DF54" s="566">
        <f t="shared" si="174"/>
        <v>-16.666666666666664</v>
      </c>
      <c r="DH54" s="385">
        <f>DH15-DH34-DH44</f>
        <v>317.25</v>
      </c>
      <c r="DI54" s="609">
        <f t="shared" si="176"/>
        <v>2.7018395503321408</v>
      </c>
      <c r="DJ54" s="566">
        <f t="shared" si="177"/>
        <v>-62.455621301775153</v>
      </c>
      <c r="DK54" s="566"/>
      <c r="DL54" s="385">
        <f>DL15-DL34-DL44</f>
        <v>174</v>
      </c>
      <c r="DM54" s="609">
        <f t="shared" si="148"/>
        <v>1.5836898152361882</v>
      </c>
      <c r="DN54" s="566">
        <f t="shared" si="178"/>
        <v>-45.153664302600468</v>
      </c>
      <c r="DO54" s="566"/>
      <c r="DP54" s="1092">
        <f>DP15-DP34-DP44</f>
        <v>146.98223789999975</v>
      </c>
      <c r="DQ54" s="1142">
        <f t="shared" si="150"/>
        <v>1.3626978401225034</v>
      </c>
      <c r="DR54" s="1132">
        <f t="shared" si="179"/>
        <v>-15.527449482758771</v>
      </c>
      <c r="DY54" s="185" t="s">
        <v>215</v>
      </c>
    </row>
    <row r="55" spans="1:140" x14ac:dyDescent="0.2">
      <c r="A55" s="604" t="s">
        <v>414</v>
      </c>
      <c r="D55" s="385">
        <f t="shared" si="92"/>
        <v>148.78699999999981</v>
      </c>
      <c r="E55" s="609">
        <f t="shared" si="93"/>
        <v>3.6958083933478525</v>
      </c>
      <c r="F55" s="566"/>
      <c r="H55" s="385">
        <f t="shared" si="94"/>
        <v>216.94300000000021</v>
      </c>
      <c r="I55" s="609">
        <f t="shared" si="95"/>
        <v>5.6449105306803489</v>
      </c>
      <c r="J55" s="566">
        <f t="shared" si="151"/>
        <v>45.807765463380875</v>
      </c>
      <c r="L55" s="385">
        <f t="shared" si="96"/>
        <v>322.0979999999995</v>
      </c>
      <c r="M55" s="609">
        <f t="shared" si="97"/>
        <v>7.9510679207099946</v>
      </c>
      <c r="N55" s="605">
        <f t="shared" si="98"/>
        <v>230.61573900296457</v>
      </c>
      <c r="P55" s="385">
        <f t="shared" si="99"/>
        <v>361.82700000000045</v>
      </c>
      <c r="Q55" s="609">
        <f t="shared" si="100"/>
        <v>8.7464184783672927</v>
      </c>
      <c r="R55" s="566">
        <f t="shared" si="152"/>
        <v>12.334444796304545</v>
      </c>
      <c r="T55" s="385">
        <f t="shared" si="101"/>
        <v>445.92200000000003</v>
      </c>
      <c r="U55" s="609">
        <f t="shared" si="102"/>
        <v>10.003306603830724</v>
      </c>
      <c r="V55" s="566">
        <f t="shared" si="153"/>
        <v>23.24177023826288</v>
      </c>
      <c r="X55" s="385">
        <f t="shared" si="103"/>
        <v>590.22400000000061</v>
      </c>
      <c r="Y55" s="609">
        <f t="shared" si="104"/>
        <v>7.5353837118745837</v>
      </c>
      <c r="Z55" s="566"/>
      <c r="AB55" s="385">
        <f t="shared" si="105"/>
        <v>782.56600000000071</v>
      </c>
      <c r="AC55" s="609">
        <f t="shared" si="106"/>
        <v>9.8274927577800888</v>
      </c>
      <c r="AD55" s="566">
        <f t="shared" si="154"/>
        <v>32.587966602510221</v>
      </c>
      <c r="AF55" s="385">
        <f t="shared" si="107"/>
        <v>894.60099999999966</v>
      </c>
      <c r="AG55" s="609">
        <f t="shared" si="108"/>
        <v>10.348788246862163</v>
      </c>
      <c r="AH55" s="566">
        <f t="shared" si="155"/>
        <v>14.316364370544953</v>
      </c>
      <c r="AJ55" s="385">
        <f t="shared" si="109"/>
        <v>980.68900000000031</v>
      </c>
      <c r="AK55" s="609">
        <f t="shared" si="110"/>
        <v>11.136326885463635</v>
      </c>
      <c r="AL55" s="566">
        <f t="shared" si="156"/>
        <v>9.6230610070859193</v>
      </c>
      <c r="AN55" s="385">
        <f t="shared" si="111"/>
        <v>1007</v>
      </c>
      <c r="AO55" s="609">
        <f t="shared" si="112"/>
        <v>11.733861570729434</v>
      </c>
      <c r="AP55" s="566">
        <f t="shared" si="157"/>
        <v>2.6829096686105114</v>
      </c>
      <c r="AR55" s="385">
        <f t="shared" si="113"/>
        <v>1158</v>
      </c>
      <c r="AS55" s="609">
        <f t="shared" si="114"/>
        <v>11.454005934718101</v>
      </c>
      <c r="AT55" s="566">
        <f t="shared" si="158"/>
        <v>14.995034756703074</v>
      </c>
      <c r="AV55" s="385">
        <f t="shared" si="115"/>
        <v>1100</v>
      </c>
      <c r="AW55" s="609">
        <f t="shared" si="116"/>
        <v>11.719582356701471</v>
      </c>
      <c r="AX55" s="566">
        <f t="shared" si="159"/>
        <v>-5.008635578583764</v>
      </c>
      <c r="AZ55" s="385">
        <f t="shared" si="117"/>
        <v>892</v>
      </c>
      <c r="BA55" s="609">
        <f t="shared" si="118"/>
        <v>10.363657488091087</v>
      </c>
      <c r="BB55" s="566">
        <f t="shared" si="160"/>
        <v>-18.90909090909091</v>
      </c>
      <c r="BD55" s="385">
        <f t="shared" si="119"/>
        <v>890</v>
      </c>
      <c r="BE55" s="609">
        <f t="shared" si="120"/>
        <v>10.475517890772128</v>
      </c>
      <c r="BF55" s="566">
        <f t="shared" si="161"/>
        <v>-0.22421524663677195</v>
      </c>
      <c r="BH55" s="385">
        <f t="shared" si="121"/>
        <v>972</v>
      </c>
      <c r="BI55" s="609">
        <f t="shared" si="122"/>
        <v>11.383065932779015</v>
      </c>
      <c r="BJ55" s="566">
        <f t="shared" si="162"/>
        <v>9.2134831460674249</v>
      </c>
      <c r="BL55" s="385">
        <f t="shared" si="123"/>
        <v>987</v>
      </c>
      <c r="BM55" s="609">
        <f t="shared" si="124"/>
        <v>11.417004048582996</v>
      </c>
      <c r="BN55" s="566">
        <f t="shared" si="163"/>
        <v>1.5432098765432167</v>
      </c>
      <c r="BP55" s="385">
        <f t="shared" si="125"/>
        <v>1595</v>
      </c>
      <c r="BQ55" s="609">
        <f t="shared" si="126"/>
        <v>10.544757371413461</v>
      </c>
      <c r="BR55" s="566">
        <f t="shared" si="164"/>
        <v>61.600810536980745</v>
      </c>
      <c r="BT55" s="385">
        <f t="shared" si="127"/>
        <v>1716</v>
      </c>
      <c r="BU55" s="609">
        <f t="shared" si="128"/>
        <v>11.405782652043868</v>
      </c>
      <c r="BV55" s="566">
        <f t="shared" si="165"/>
        <v>7.5862068965517171</v>
      </c>
      <c r="BX55" s="385">
        <f t="shared" si="129"/>
        <v>1491</v>
      </c>
      <c r="BY55" s="609">
        <f t="shared" si="130"/>
        <v>10.282758620689656</v>
      </c>
      <c r="BZ55" s="566">
        <f t="shared" si="166"/>
        <v>-13.111888111888115</v>
      </c>
      <c r="CB55" s="385">
        <f t="shared" si="131"/>
        <v>950</v>
      </c>
      <c r="CC55" s="609">
        <f t="shared" si="132"/>
        <v>7.0752960452818954</v>
      </c>
      <c r="CD55" s="566">
        <f t="shared" si="167"/>
        <v>-36.284372904091214</v>
      </c>
      <c r="CF55" s="385">
        <f t="shared" si="133"/>
        <v>1148</v>
      </c>
      <c r="CG55" s="609">
        <f t="shared" si="134"/>
        <v>8.6173247260171149</v>
      </c>
      <c r="CH55" s="566">
        <f t="shared" si="168"/>
        <v>20.842105263157883</v>
      </c>
      <c r="CJ55" s="385">
        <f t="shared" si="135"/>
        <v>1346</v>
      </c>
      <c r="CK55" s="609">
        <f t="shared" si="136"/>
        <v>9.6890296573567536</v>
      </c>
      <c r="CL55" s="566">
        <f t="shared" si="169"/>
        <v>17.247386759581886</v>
      </c>
      <c r="CN55" s="385">
        <f t="shared" si="137"/>
        <v>1550</v>
      </c>
      <c r="CO55" s="609">
        <f t="shared" si="138"/>
        <v>10.633189270769019</v>
      </c>
      <c r="CP55" s="566">
        <f t="shared" si="170"/>
        <v>15.156017830609203</v>
      </c>
      <c r="CR55" s="385">
        <f t="shared" si="139"/>
        <v>1721</v>
      </c>
      <c r="CS55" s="609">
        <f t="shared" si="140"/>
        <v>11.157212317666126</v>
      </c>
      <c r="CT55" s="566">
        <f t="shared" si="171"/>
        <v>11.032258064516132</v>
      </c>
      <c r="CV55" s="385">
        <f t="shared" si="141"/>
        <v>1797</v>
      </c>
      <c r="CW55" s="609">
        <f t="shared" si="142"/>
        <v>11.610027135288798</v>
      </c>
      <c r="CX55" s="566">
        <f t="shared" si="172"/>
        <v>4.4160371876815763</v>
      </c>
      <c r="CZ55" s="385">
        <f t="shared" si="143"/>
        <v>1873</v>
      </c>
      <c r="DA55" s="609">
        <f t="shared" si="144"/>
        <v>12.038048717783919</v>
      </c>
      <c r="DB55" s="566">
        <f t="shared" si="173"/>
        <v>4.2292710072342699</v>
      </c>
      <c r="DD55" s="385">
        <f t="shared" si="145"/>
        <v>1482</v>
      </c>
      <c r="DE55" s="609">
        <f t="shared" si="146"/>
        <v>10.052228176083565</v>
      </c>
      <c r="DF55" s="566">
        <f t="shared" si="174"/>
        <v>-20.875600640683402</v>
      </c>
      <c r="DH55" s="385">
        <f>DH16-DH35-DH45</f>
        <v>877.5</v>
      </c>
      <c r="DI55" s="609">
        <f t="shared" si="176"/>
        <v>6.1935347261434215</v>
      </c>
      <c r="DJ55" s="566">
        <f t="shared" si="177"/>
        <v>-40.789473684210535</v>
      </c>
      <c r="DK55" s="566"/>
      <c r="DL55" s="385">
        <f>DL16-DL35-DL45</f>
        <v>1180</v>
      </c>
      <c r="DM55" s="609">
        <f t="shared" si="148"/>
        <v>8.4539332282561972</v>
      </c>
      <c r="DN55" s="566">
        <f t="shared" si="178"/>
        <v>34.472934472934469</v>
      </c>
      <c r="DO55" s="566"/>
      <c r="DP55" s="1092">
        <f>DP16-DP35-DP45</f>
        <v>830.74881430000096</v>
      </c>
      <c r="DQ55" s="1142">
        <f t="shared" si="150"/>
        <v>6.0334106121798081</v>
      </c>
      <c r="DR55" s="1132">
        <f t="shared" si="179"/>
        <v>-29.597558110169409</v>
      </c>
      <c r="DY55" s="185" t="s">
        <v>215</v>
      </c>
    </row>
    <row r="56" spans="1:140" x14ac:dyDescent="0.2">
      <c r="A56" s="604"/>
      <c r="D56" s="385"/>
      <c r="E56" s="609"/>
      <c r="F56" s="566"/>
      <c r="H56" s="385"/>
      <c r="I56" s="609"/>
      <c r="J56" s="566"/>
      <c r="L56" s="385"/>
      <c r="M56" s="609"/>
      <c r="N56" s="605"/>
      <c r="P56" s="385"/>
      <c r="Q56" s="609"/>
      <c r="R56" s="566"/>
      <c r="T56" s="385"/>
      <c r="U56" s="609"/>
      <c r="V56" s="566"/>
      <c r="X56" s="385"/>
      <c r="Y56" s="609"/>
      <c r="Z56" s="566"/>
      <c r="AB56" s="385"/>
      <c r="AC56" s="609"/>
      <c r="AD56" s="566"/>
      <c r="AF56" s="385"/>
      <c r="AG56" s="609"/>
      <c r="AH56" s="566"/>
      <c r="AJ56" s="385"/>
      <c r="AK56" s="609"/>
      <c r="AL56" s="566"/>
      <c r="AN56" s="385"/>
      <c r="AO56" s="609"/>
      <c r="AP56" s="566"/>
      <c r="AR56" s="385"/>
      <c r="AS56" s="609"/>
      <c r="AT56" s="566"/>
      <c r="AV56" s="385"/>
      <c r="AW56" s="609"/>
      <c r="AX56" s="566"/>
      <c r="AZ56" s="385"/>
      <c r="BA56" s="609"/>
      <c r="BB56" s="566"/>
      <c r="BD56" s="385"/>
      <c r="BE56" s="609"/>
      <c r="BF56" s="566"/>
      <c r="BH56" s="385"/>
      <c r="BI56" s="609"/>
      <c r="BJ56" s="566"/>
      <c r="BL56" s="385"/>
      <c r="BM56" s="609"/>
      <c r="BN56" s="566"/>
      <c r="BP56" s="385"/>
      <c r="BQ56" s="609"/>
      <c r="BR56" s="566"/>
      <c r="BT56" s="385"/>
      <c r="BU56" s="609"/>
      <c r="BV56" s="566"/>
      <c r="BX56" s="385"/>
      <c r="BY56" s="609"/>
      <c r="BZ56" s="566"/>
      <c r="CB56" s="385"/>
      <c r="CC56" s="609"/>
      <c r="CD56" s="566"/>
      <c r="CF56" s="385"/>
      <c r="CG56" s="609"/>
      <c r="CH56" s="566"/>
      <c r="CJ56" s="385"/>
      <c r="CK56" s="609"/>
      <c r="CL56" s="566"/>
      <c r="CN56" s="385"/>
      <c r="CO56" s="609"/>
      <c r="CP56" s="566"/>
      <c r="CR56" s="385"/>
      <c r="CS56" s="609"/>
      <c r="CT56" s="566"/>
      <c r="CV56" s="385"/>
      <c r="CW56" s="609"/>
      <c r="CX56" s="566"/>
      <c r="CZ56" s="385"/>
      <c r="DA56" s="609"/>
      <c r="DB56" s="566"/>
      <c r="DD56" s="385"/>
      <c r="DE56" s="609"/>
      <c r="DF56" s="566"/>
      <c r="DH56" s="385"/>
      <c r="DI56" s="609"/>
      <c r="DJ56" s="566"/>
      <c r="DK56" s="566"/>
      <c r="DL56" s="385"/>
      <c r="DM56" s="609"/>
      <c r="DN56" s="566"/>
      <c r="DO56" s="566"/>
      <c r="DP56" s="1092"/>
      <c r="DQ56" s="1142"/>
      <c r="DR56" s="1132"/>
      <c r="EI56" s="1473"/>
    </row>
    <row r="57" spans="1:140" x14ac:dyDescent="0.2">
      <c r="A57" s="604"/>
      <c r="D57" s="385"/>
      <c r="E57" s="609"/>
      <c r="F57" s="566"/>
      <c r="H57" s="385"/>
      <c r="I57" s="609"/>
      <c r="J57" s="566"/>
      <c r="L57" s="385"/>
      <c r="M57" s="609"/>
      <c r="N57" s="605"/>
      <c r="P57" s="385"/>
      <c r="Q57" s="609"/>
      <c r="R57" s="566"/>
      <c r="T57" s="385"/>
      <c r="U57" s="609"/>
      <c r="V57" s="566"/>
      <c r="X57" s="385"/>
      <c r="Y57" s="609"/>
      <c r="Z57" s="566"/>
      <c r="AB57" s="385"/>
      <c r="AC57" s="609"/>
      <c r="AD57" s="566"/>
      <c r="AF57" s="385"/>
      <c r="AG57" s="609"/>
      <c r="AH57" s="566"/>
      <c r="AJ57" s="385"/>
      <c r="AK57" s="609"/>
      <c r="AL57" s="566"/>
      <c r="AN57" s="385"/>
      <c r="AO57" s="609"/>
      <c r="AP57" s="566"/>
      <c r="AR57" s="385"/>
      <c r="AS57" s="609"/>
      <c r="AT57" s="566"/>
      <c r="AV57" s="385"/>
      <c r="AW57" s="609"/>
      <c r="AX57" s="566"/>
      <c r="AZ57" s="385"/>
      <c r="BA57" s="609"/>
      <c r="BB57" s="566"/>
      <c r="BD57" s="385"/>
      <c r="BE57" s="609"/>
      <c r="BF57" s="566"/>
      <c r="BH57" s="385"/>
      <c r="BI57" s="609"/>
      <c r="BJ57" s="566"/>
      <c r="BL57" s="385"/>
      <c r="BM57" s="609"/>
      <c r="BN57" s="566"/>
      <c r="BP57" s="385"/>
      <c r="BQ57" s="609"/>
      <c r="BR57" s="566"/>
      <c r="BT57" s="385"/>
      <c r="BU57" s="609"/>
      <c r="BV57" s="566"/>
      <c r="BX57" s="385"/>
      <c r="BY57" s="609"/>
      <c r="BZ57" s="566"/>
      <c r="CB57" s="385"/>
      <c r="CC57" s="609"/>
      <c r="CD57" s="566"/>
      <c r="CF57" s="385"/>
      <c r="CG57" s="609"/>
      <c r="CH57" s="566"/>
      <c r="CJ57" s="385"/>
      <c r="CK57" s="609"/>
      <c r="CL57" s="566"/>
      <c r="CN57" s="385"/>
      <c r="CO57" s="609"/>
      <c r="CP57" s="566"/>
      <c r="CR57" s="385"/>
      <c r="CS57" s="609"/>
      <c r="CT57" s="566"/>
      <c r="CV57" s="385"/>
      <c r="CW57" s="609"/>
      <c r="CX57" s="566"/>
      <c r="CZ57" s="631" t="s">
        <v>673</v>
      </c>
      <c r="DA57" s="609"/>
      <c r="DB57" s="566"/>
      <c r="DD57" s="385"/>
      <c r="DE57" s="609"/>
      <c r="DF57" s="566"/>
      <c r="DH57" s="385"/>
      <c r="DI57" s="609"/>
      <c r="DJ57" s="566"/>
      <c r="DK57" s="566"/>
      <c r="DL57" s="385"/>
      <c r="DM57" s="609"/>
      <c r="DN57" s="566"/>
      <c r="DO57" s="566"/>
      <c r="DP57" s="1092"/>
      <c r="DQ57" s="1142"/>
      <c r="DR57" s="1132"/>
      <c r="EI57" s="1473"/>
    </row>
    <row r="58" spans="1:140" x14ac:dyDescent="0.2">
      <c r="A58" s="604"/>
      <c r="D58" s="385"/>
      <c r="E58" s="609"/>
      <c r="F58" s="566"/>
      <c r="H58" s="385"/>
      <c r="I58" s="609"/>
      <c r="J58" s="566"/>
      <c r="L58" s="385"/>
      <c r="M58" s="609"/>
      <c r="N58" s="605"/>
      <c r="P58" s="385"/>
      <c r="Q58" s="609"/>
      <c r="R58" s="566"/>
      <c r="T58" s="385"/>
      <c r="U58" s="609"/>
      <c r="V58" s="566"/>
      <c r="X58" s="385"/>
      <c r="Y58" s="609"/>
      <c r="Z58" s="566"/>
      <c r="AB58" s="385"/>
      <c r="AC58" s="609"/>
      <c r="AD58" s="566"/>
      <c r="AF58" s="385"/>
      <c r="AG58" s="609"/>
      <c r="AH58" s="566"/>
      <c r="AJ58" s="385"/>
      <c r="AK58" s="609"/>
      <c r="AL58" s="566"/>
      <c r="AN58" s="385"/>
      <c r="AO58" s="609"/>
      <c r="AP58" s="566"/>
      <c r="AR58" s="385"/>
      <c r="AS58" s="609"/>
      <c r="AT58" s="566"/>
      <c r="AV58" s="385"/>
      <c r="AW58" s="609"/>
      <c r="AX58" s="566"/>
      <c r="AZ58" s="385"/>
      <c r="BA58" s="609"/>
      <c r="BB58" s="566"/>
      <c r="BD58" s="385"/>
      <c r="BE58" s="609"/>
      <c r="BF58" s="566"/>
      <c r="BH58" s="385"/>
      <c r="BI58" s="609"/>
      <c r="BJ58" s="566"/>
      <c r="BL58" s="385"/>
      <c r="BM58" s="609"/>
      <c r="BN58" s="566"/>
      <c r="BP58" s="385"/>
      <c r="BQ58" s="609"/>
      <c r="BR58" s="566"/>
      <c r="BT58" s="385"/>
      <c r="BU58" s="609"/>
      <c r="BV58" s="566"/>
      <c r="BX58" s="385"/>
      <c r="BY58" s="609"/>
      <c r="BZ58" s="566"/>
      <c r="CB58" s="385"/>
      <c r="CC58" s="609"/>
      <c r="CD58" s="566"/>
      <c r="CF58" s="385"/>
      <c r="CG58" s="609"/>
      <c r="CH58" s="566"/>
      <c r="CJ58" s="385"/>
      <c r="CK58" s="609"/>
      <c r="CL58" s="566"/>
      <c r="CN58" s="385"/>
      <c r="CO58" s="609"/>
      <c r="CP58" s="566"/>
      <c r="CR58" s="385"/>
      <c r="CS58" s="609"/>
      <c r="CT58" s="566"/>
      <c r="CV58" s="385"/>
      <c r="CW58" s="609"/>
      <c r="CX58" s="566"/>
      <c r="CZ58" s="385"/>
      <c r="DA58" s="609"/>
      <c r="DB58" s="566"/>
      <c r="DD58" s="385"/>
      <c r="DE58" s="609"/>
      <c r="DF58" s="566"/>
      <c r="DH58" s="385"/>
      <c r="DI58" s="609"/>
      <c r="DJ58" s="566"/>
      <c r="DK58" s="566"/>
      <c r="DL58" s="385"/>
      <c r="DM58" s="609"/>
      <c r="DN58" s="566"/>
      <c r="DO58" s="566"/>
      <c r="DP58" s="1092"/>
      <c r="DQ58" s="1142"/>
      <c r="DR58" s="1132"/>
      <c r="EI58" s="1473"/>
    </row>
    <row r="59" spans="1:140" x14ac:dyDescent="0.2">
      <c r="A59" s="604"/>
      <c r="D59" s="385"/>
      <c r="E59" s="609"/>
      <c r="F59" s="566"/>
      <c r="H59" s="385"/>
      <c r="I59" s="609"/>
      <c r="J59" s="566"/>
      <c r="L59" s="385"/>
      <c r="M59" s="609"/>
      <c r="N59" s="605"/>
      <c r="P59" s="385"/>
      <c r="Q59" s="609"/>
      <c r="R59" s="566"/>
      <c r="T59" s="385"/>
      <c r="U59" s="609"/>
      <c r="V59" s="566"/>
      <c r="X59" s="385"/>
      <c r="Y59" s="609"/>
      <c r="Z59" s="566"/>
      <c r="AB59" s="385"/>
      <c r="AC59" s="609"/>
      <c r="AD59" s="566"/>
      <c r="AF59" s="385"/>
      <c r="AG59" s="609"/>
      <c r="AH59" s="566"/>
      <c r="AJ59" s="385"/>
      <c r="AK59" s="609"/>
      <c r="AL59" s="566"/>
      <c r="AN59" s="385"/>
      <c r="AO59" s="609"/>
      <c r="AP59" s="566"/>
      <c r="AR59" s="385"/>
      <c r="AS59" s="609"/>
      <c r="AT59" s="566"/>
      <c r="AV59" s="385"/>
      <c r="AW59" s="609"/>
      <c r="AX59" s="566"/>
      <c r="AZ59" s="385"/>
      <c r="BA59" s="609"/>
      <c r="BB59" s="566"/>
      <c r="BD59" s="385"/>
      <c r="BE59" s="609"/>
      <c r="BF59" s="566"/>
      <c r="BH59" s="385"/>
      <c r="BI59" s="609"/>
      <c r="BJ59" s="566"/>
      <c r="BL59" s="385"/>
      <c r="BM59" s="609"/>
      <c r="BN59" s="566"/>
      <c r="BP59" s="385"/>
      <c r="BQ59" s="609"/>
      <c r="BR59" s="566"/>
      <c r="BT59" s="385"/>
      <c r="BU59" s="609"/>
      <c r="BV59" s="566"/>
      <c r="BX59" s="385"/>
      <c r="BY59" s="609"/>
      <c r="BZ59" s="566"/>
      <c r="CB59" s="385"/>
      <c r="CC59" s="609"/>
      <c r="CD59" s="566"/>
      <c r="CF59" s="385"/>
      <c r="CG59" s="609"/>
      <c r="CH59" s="566"/>
      <c r="CJ59" s="385"/>
      <c r="CK59" s="609"/>
      <c r="CL59" s="566"/>
      <c r="CN59" s="385"/>
      <c r="CO59" s="609"/>
      <c r="CP59" s="566"/>
      <c r="CR59" s="385"/>
      <c r="CS59" s="609"/>
      <c r="CT59" s="566"/>
      <c r="CV59" s="385"/>
      <c r="CW59" s="609"/>
      <c r="CX59" s="566"/>
      <c r="CZ59" s="385"/>
      <c r="DA59" s="609"/>
      <c r="DB59" s="566"/>
      <c r="DD59" s="385"/>
      <c r="DE59" s="609"/>
      <c r="DF59" s="566"/>
      <c r="DH59" s="543">
        <v>11</v>
      </c>
      <c r="DI59" s="609">
        <f>DH59/DH10*100</f>
        <v>0.19050917907862833</v>
      </c>
      <c r="DJ59" s="566"/>
      <c r="DK59" s="566"/>
      <c r="DL59" s="543">
        <v>13</v>
      </c>
      <c r="DM59" s="609">
        <f>DL59/DL10*100</f>
        <v>0.2428998505231689</v>
      </c>
      <c r="DN59" s="566">
        <f>(DL59/DH59-1)*100</f>
        <v>18.181818181818187</v>
      </c>
      <c r="DO59" s="566"/>
      <c r="DP59" s="1117">
        <v>11</v>
      </c>
      <c r="DQ59" s="609">
        <f>DP59/DP10*100</f>
        <v>0.20697949924508929</v>
      </c>
      <c r="DR59" s="1132">
        <f>(DP59/DL59-1)*100</f>
        <v>-15.384615384615385</v>
      </c>
      <c r="EI59" s="1473"/>
    </row>
    <row r="60" spans="1:140" x14ac:dyDescent="0.2">
      <c r="A60" s="604"/>
      <c r="D60" s="385"/>
      <c r="E60" s="609"/>
      <c r="F60" s="566"/>
      <c r="H60" s="385"/>
      <c r="I60" s="609"/>
      <c r="J60" s="566"/>
      <c r="L60" s="385"/>
      <c r="M60" s="609"/>
      <c r="N60" s="605"/>
      <c r="P60" s="385"/>
      <c r="Q60" s="609"/>
      <c r="R60" s="566"/>
      <c r="T60" s="385"/>
      <c r="U60" s="609"/>
      <c r="V60" s="566"/>
      <c r="X60" s="385"/>
      <c r="Y60" s="609"/>
      <c r="Z60" s="566"/>
      <c r="AB60" s="385"/>
      <c r="AC60" s="609"/>
      <c r="AD60" s="566"/>
      <c r="AF60" s="385"/>
      <c r="AG60" s="609"/>
      <c r="AH60" s="566"/>
      <c r="AJ60" s="385"/>
      <c r="AK60" s="609"/>
      <c r="AL60" s="566"/>
      <c r="AN60" s="385"/>
      <c r="AO60" s="609"/>
      <c r="AP60" s="566"/>
      <c r="AR60" s="385"/>
      <c r="AS60" s="609"/>
      <c r="AT60" s="566"/>
      <c r="AV60" s="385"/>
      <c r="AW60" s="609"/>
      <c r="AX60" s="566"/>
      <c r="AZ60" s="385"/>
      <c r="BA60" s="609"/>
      <c r="BB60" s="566"/>
      <c r="BD60" s="385"/>
      <c r="BE60" s="609"/>
      <c r="BF60" s="566"/>
      <c r="BH60" s="385"/>
      <c r="BI60" s="609"/>
      <c r="BJ60" s="566"/>
      <c r="BL60" s="385"/>
      <c r="BM60" s="609"/>
      <c r="BN60" s="566"/>
      <c r="BP60" s="385"/>
      <c r="BQ60" s="609"/>
      <c r="BR60" s="566"/>
      <c r="BT60" s="385"/>
      <c r="BU60" s="609"/>
      <c r="BV60" s="566"/>
      <c r="BX60" s="385"/>
      <c r="BY60" s="609"/>
      <c r="BZ60" s="566"/>
      <c r="CB60" s="385"/>
      <c r="CC60" s="609"/>
      <c r="CD60" s="566"/>
      <c r="CF60" s="385"/>
      <c r="CG60" s="609"/>
      <c r="CH60" s="566"/>
      <c r="CJ60" s="385"/>
      <c r="CK60" s="609"/>
      <c r="CL60" s="566"/>
      <c r="CN60" s="385"/>
      <c r="CO60" s="609"/>
      <c r="CP60" s="566"/>
      <c r="CR60" s="385"/>
      <c r="CS60" s="609"/>
      <c r="CT60" s="566"/>
      <c r="CV60" s="385"/>
      <c r="CW60" s="609"/>
      <c r="CX60" s="566"/>
      <c r="CZ60" s="385"/>
      <c r="DA60" s="609"/>
      <c r="DB60" s="566"/>
      <c r="DD60" s="385"/>
      <c r="DE60" s="609"/>
      <c r="DF60" s="566"/>
      <c r="DH60" s="385">
        <v>15</v>
      </c>
      <c r="DI60" s="609">
        <f t="shared" ref="DI60:DI65" si="180">DH60/DH11*100</f>
        <v>0.25134048257372654</v>
      </c>
      <c r="DJ60" s="566"/>
      <c r="DK60" s="566"/>
      <c r="DL60" s="385">
        <v>14</v>
      </c>
      <c r="DM60" s="609">
        <f t="shared" ref="DM60:DM65" si="181">DL60/DL11*100</f>
        <v>0.2484472049689441</v>
      </c>
      <c r="DN60" s="566">
        <f t="shared" ref="DN60:DN65" si="182">(DL60/DH60-1)*100</f>
        <v>-6.6666666666666652</v>
      </c>
      <c r="DO60" s="566"/>
      <c r="DP60" s="1092">
        <v>11</v>
      </c>
      <c r="DQ60" s="609">
        <f t="shared" ref="DQ60:DQ65" si="183">DP60/DP11*100</f>
        <v>0.20103863871254857</v>
      </c>
      <c r="DR60" s="1132">
        <f t="shared" ref="DR60:DR65" si="184">(DP60/DL60-1)*100</f>
        <v>-21.428571428571431</v>
      </c>
      <c r="EI60" s="1473"/>
    </row>
    <row r="61" spans="1:140" x14ac:dyDescent="0.2">
      <c r="A61" s="604"/>
      <c r="D61" s="385"/>
      <c r="E61" s="609"/>
      <c r="F61" s="566"/>
      <c r="H61" s="385"/>
      <c r="I61" s="609"/>
      <c r="J61" s="566"/>
      <c r="L61" s="385"/>
      <c r="M61" s="609"/>
      <c r="N61" s="605"/>
      <c r="P61" s="385"/>
      <c r="Q61" s="609"/>
      <c r="R61" s="566"/>
      <c r="T61" s="385"/>
      <c r="U61" s="609"/>
      <c r="V61" s="566"/>
      <c r="X61" s="385"/>
      <c r="Y61" s="609"/>
      <c r="Z61" s="566"/>
      <c r="AB61" s="385"/>
      <c r="AC61" s="609"/>
      <c r="AD61" s="566"/>
      <c r="AF61" s="385"/>
      <c r="AG61" s="609"/>
      <c r="AH61" s="566"/>
      <c r="AJ61" s="385"/>
      <c r="AK61" s="609"/>
      <c r="AL61" s="566"/>
      <c r="AN61" s="385"/>
      <c r="AO61" s="609"/>
      <c r="AP61" s="566"/>
      <c r="AR61" s="385"/>
      <c r="AS61" s="609"/>
      <c r="AT61" s="566"/>
      <c r="AV61" s="385"/>
      <c r="AW61" s="609"/>
      <c r="AX61" s="566"/>
      <c r="AZ61" s="385"/>
      <c r="BA61" s="609"/>
      <c r="BB61" s="566"/>
      <c r="BD61" s="385"/>
      <c r="BE61" s="609"/>
      <c r="BF61" s="566"/>
      <c r="BH61" s="385"/>
      <c r="BI61" s="609"/>
      <c r="BJ61" s="566"/>
      <c r="BL61" s="385"/>
      <c r="BM61" s="609"/>
      <c r="BN61" s="566"/>
      <c r="BP61" s="385"/>
      <c r="BQ61" s="609"/>
      <c r="BR61" s="566"/>
      <c r="BT61" s="385"/>
      <c r="BU61" s="609"/>
      <c r="BV61" s="566"/>
      <c r="BX61" s="385"/>
      <c r="BY61" s="609"/>
      <c r="BZ61" s="566"/>
      <c r="CB61" s="385"/>
      <c r="CC61" s="609"/>
      <c r="CD61" s="566"/>
      <c r="CF61" s="385"/>
      <c r="CG61" s="609"/>
      <c r="CH61" s="566"/>
      <c r="CJ61" s="385"/>
      <c r="CK61" s="609"/>
      <c r="CL61" s="566"/>
      <c r="CN61" s="385"/>
      <c r="CO61" s="609"/>
      <c r="CP61" s="566"/>
      <c r="CR61" s="385"/>
      <c r="CS61" s="609"/>
      <c r="CT61" s="566"/>
      <c r="CV61" s="385"/>
      <c r="CW61" s="609"/>
      <c r="CX61" s="566"/>
      <c r="CZ61" s="385"/>
      <c r="DA61" s="609"/>
      <c r="DB61" s="566"/>
      <c r="DD61" s="385"/>
      <c r="DE61" s="609"/>
      <c r="DF61" s="566"/>
      <c r="DH61" s="385">
        <v>14</v>
      </c>
      <c r="DI61" s="609">
        <f t="shared" si="180"/>
        <v>0.2484472049689441</v>
      </c>
      <c r="DJ61" s="566"/>
      <c r="DK61" s="566"/>
      <c r="DL61" s="385">
        <v>16</v>
      </c>
      <c r="DM61" s="609">
        <f t="shared" si="181"/>
        <v>0.30262909022129753</v>
      </c>
      <c r="DN61" s="566">
        <f t="shared" si="182"/>
        <v>14.285714285714279</v>
      </c>
      <c r="DO61" s="566"/>
      <c r="DP61" s="1092">
        <v>12</v>
      </c>
      <c r="DQ61" s="609">
        <f t="shared" si="183"/>
        <v>0.22651878010576162</v>
      </c>
      <c r="DR61" s="1132">
        <f t="shared" si="184"/>
        <v>-25</v>
      </c>
      <c r="EI61" s="1473"/>
    </row>
    <row r="62" spans="1:140" x14ac:dyDescent="0.2">
      <c r="A62" s="604"/>
      <c r="D62" s="385"/>
      <c r="E62" s="609"/>
      <c r="F62" s="566"/>
      <c r="H62" s="385"/>
      <c r="I62" s="609"/>
      <c r="J62" s="566"/>
      <c r="L62" s="385"/>
      <c r="M62" s="609"/>
      <c r="N62" s="605"/>
      <c r="P62" s="385"/>
      <c r="Q62" s="609"/>
      <c r="R62" s="566"/>
      <c r="T62" s="385"/>
      <c r="U62" s="609"/>
      <c r="V62" s="566"/>
      <c r="X62" s="385"/>
      <c r="Y62" s="609"/>
      <c r="Z62" s="566"/>
      <c r="AB62" s="385"/>
      <c r="AC62" s="609"/>
      <c r="AD62" s="566"/>
      <c r="AF62" s="385"/>
      <c r="AG62" s="609"/>
      <c r="AH62" s="566"/>
      <c r="AJ62" s="385"/>
      <c r="AK62" s="609"/>
      <c r="AL62" s="566"/>
      <c r="AN62" s="385"/>
      <c r="AO62" s="609"/>
      <c r="AP62" s="566"/>
      <c r="AR62" s="385"/>
      <c r="AS62" s="609"/>
      <c r="AT62" s="566"/>
      <c r="AV62" s="385"/>
      <c r="AW62" s="609"/>
      <c r="AX62" s="566"/>
      <c r="AZ62" s="385"/>
      <c r="BA62" s="609"/>
      <c r="BB62" s="566"/>
      <c r="BD62" s="385"/>
      <c r="BE62" s="609"/>
      <c r="BF62" s="566"/>
      <c r="BH62" s="385"/>
      <c r="BI62" s="609"/>
      <c r="BJ62" s="566"/>
      <c r="BL62" s="385"/>
      <c r="BM62" s="609"/>
      <c r="BN62" s="566"/>
      <c r="BP62" s="385"/>
      <c r="BQ62" s="609"/>
      <c r="BR62" s="566"/>
      <c r="BT62" s="385"/>
      <c r="BU62" s="609"/>
      <c r="BV62" s="566"/>
      <c r="BX62" s="385"/>
      <c r="BY62" s="609"/>
      <c r="BZ62" s="566"/>
      <c r="CB62" s="385"/>
      <c r="CC62" s="609"/>
      <c r="CD62" s="566"/>
      <c r="CF62" s="385"/>
      <c r="CG62" s="609"/>
      <c r="CH62" s="566"/>
      <c r="CJ62" s="385"/>
      <c r="CK62" s="609"/>
      <c r="CL62" s="566"/>
      <c r="CN62" s="385"/>
      <c r="CO62" s="609"/>
      <c r="CP62" s="566"/>
      <c r="CR62" s="385"/>
      <c r="CS62" s="609"/>
      <c r="CT62" s="566"/>
      <c r="CV62" s="385"/>
      <c r="CW62" s="609"/>
      <c r="CX62" s="566"/>
      <c r="CZ62" s="385"/>
      <c r="DA62" s="609"/>
      <c r="DB62" s="566"/>
      <c r="DD62" s="385"/>
      <c r="DE62" s="609"/>
      <c r="DF62" s="566"/>
      <c r="DH62" s="607">
        <v>15</v>
      </c>
      <c r="DI62" s="609">
        <f t="shared" si="180"/>
        <v>0.17578811672330949</v>
      </c>
      <c r="DJ62" s="566"/>
      <c r="DK62" s="566"/>
      <c r="DL62" s="1383">
        <v>14</v>
      </c>
      <c r="DM62" s="609">
        <f t="shared" si="181"/>
        <v>0.16145773267212546</v>
      </c>
      <c r="DN62" s="566">
        <f t="shared" si="182"/>
        <v>-6.6666666666666652</v>
      </c>
      <c r="DO62" s="566"/>
      <c r="DP62" s="1102">
        <v>11</v>
      </c>
      <c r="DQ62" s="609">
        <f t="shared" si="183"/>
        <v>0.12984610757372281</v>
      </c>
      <c r="DR62" s="1132">
        <f t="shared" si="184"/>
        <v>-21.428571428571431</v>
      </c>
      <c r="EI62" s="1473"/>
    </row>
    <row r="63" spans="1:140" x14ac:dyDescent="0.2">
      <c r="A63" s="604"/>
      <c r="D63" s="385"/>
      <c r="E63" s="609"/>
      <c r="F63" s="566"/>
      <c r="H63" s="385"/>
      <c r="I63" s="609"/>
      <c r="J63" s="566"/>
      <c r="L63" s="385"/>
      <c r="M63" s="609"/>
      <c r="N63" s="605"/>
      <c r="P63" s="385"/>
      <c r="Q63" s="609"/>
      <c r="R63" s="566"/>
      <c r="T63" s="385"/>
      <c r="U63" s="609"/>
      <c r="V63" s="566"/>
      <c r="X63" s="385"/>
      <c r="Y63" s="609"/>
      <c r="Z63" s="566"/>
      <c r="AB63" s="385"/>
      <c r="AC63" s="609"/>
      <c r="AD63" s="566"/>
      <c r="AF63" s="385"/>
      <c r="AG63" s="609"/>
      <c r="AH63" s="566"/>
      <c r="AJ63" s="385"/>
      <c r="AK63" s="609"/>
      <c r="AL63" s="566"/>
      <c r="AN63" s="385"/>
      <c r="AO63" s="609"/>
      <c r="AP63" s="566"/>
      <c r="AR63" s="385"/>
      <c r="AS63" s="609"/>
      <c r="AT63" s="566"/>
      <c r="AV63" s="385"/>
      <c r="AW63" s="609"/>
      <c r="AX63" s="566"/>
      <c r="AZ63" s="385"/>
      <c r="BA63" s="609"/>
      <c r="BB63" s="566"/>
      <c r="BD63" s="385"/>
      <c r="BE63" s="609"/>
      <c r="BF63" s="566"/>
      <c r="BH63" s="385"/>
      <c r="BI63" s="609"/>
      <c r="BJ63" s="566"/>
      <c r="BL63" s="385"/>
      <c r="BM63" s="609"/>
      <c r="BN63" s="566"/>
      <c r="BP63" s="385"/>
      <c r="BQ63" s="609"/>
      <c r="BR63" s="566"/>
      <c r="BT63" s="385"/>
      <c r="BU63" s="609"/>
      <c r="BV63" s="566"/>
      <c r="BX63" s="385"/>
      <c r="BY63" s="609"/>
      <c r="BZ63" s="566"/>
      <c r="CB63" s="385"/>
      <c r="CC63" s="609"/>
      <c r="CD63" s="566"/>
      <c r="CF63" s="385"/>
      <c r="CG63" s="609"/>
      <c r="CH63" s="566"/>
      <c r="CJ63" s="385"/>
      <c r="CK63" s="609"/>
      <c r="CL63" s="566"/>
      <c r="CN63" s="385"/>
      <c r="CO63" s="609"/>
      <c r="CP63" s="566"/>
      <c r="CR63" s="385"/>
      <c r="CS63" s="609"/>
      <c r="CT63" s="566"/>
      <c r="CV63" s="385"/>
      <c r="CW63" s="609"/>
      <c r="CX63" s="566"/>
      <c r="CZ63" s="385"/>
      <c r="DA63" s="609"/>
      <c r="DB63" s="566"/>
      <c r="DD63" s="385"/>
      <c r="DE63" s="609"/>
      <c r="DF63" s="566"/>
      <c r="DH63" s="543">
        <f>SUM(DH59:DH62)</f>
        <v>55</v>
      </c>
      <c r="DI63" s="609">
        <f t="shared" si="180"/>
        <v>0.21227325357005017</v>
      </c>
      <c r="DJ63" s="566"/>
      <c r="DK63" s="566"/>
      <c r="DL63" s="543">
        <f>SUM(DL59:DL62)</f>
        <v>57</v>
      </c>
      <c r="DM63" s="609">
        <f t="shared" si="181"/>
        <v>0.2285027059530968</v>
      </c>
      <c r="DN63" s="566">
        <f t="shared" si="182"/>
        <v>3.6363636363636376</v>
      </c>
      <c r="DO63" s="566"/>
      <c r="DP63" s="1117">
        <f>SUM(DP59:DP62)</f>
        <v>45</v>
      </c>
      <c r="DQ63" s="609">
        <f t="shared" si="183"/>
        <v>0.18326010938103612</v>
      </c>
      <c r="DR63" s="1132">
        <f t="shared" si="184"/>
        <v>-21.052631578947366</v>
      </c>
      <c r="EI63" s="1473"/>
    </row>
    <row r="64" spans="1:140" x14ac:dyDescent="0.2">
      <c r="A64" s="604"/>
      <c r="D64" s="385"/>
      <c r="E64" s="609"/>
      <c r="F64" s="566"/>
      <c r="H64" s="385"/>
      <c r="I64" s="609"/>
      <c r="J64" s="566"/>
      <c r="L64" s="385"/>
      <c r="M64" s="609"/>
      <c r="N64" s="605"/>
      <c r="P64" s="385"/>
      <c r="Q64" s="609"/>
      <c r="R64" s="566"/>
      <c r="T64" s="385"/>
      <c r="U64" s="609"/>
      <c r="V64" s="566"/>
      <c r="X64" s="385"/>
      <c r="Y64" s="609"/>
      <c r="Z64" s="566"/>
      <c r="AB64" s="385"/>
      <c r="AC64" s="609"/>
      <c r="AD64" s="566"/>
      <c r="AF64" s="385"/>
      <c r="AG64" s="609"/>
      <c r="AH64" s="566"/>
      <c r="AJ64" s="385"/>
      <c r="AK64" s="609"/>
      <c r="AL64" s="566"/>
      <c r="AN64" s="385"/>
      <c r="AO64" s="609"/>
      <c r="AP64" s="566"/>
      <c r="AR64" s="385"/>
      <c r="AS64" s="609"/>
      <c r="AT64" s="566"/>
      <c r="AV64" s="385"/>
      <c r="AW64" s="609"/>
      <c r="AX64" s="566"/>
      <c r="AZ64" s="385"/>
      <c r="BA64" s="609"/>
      <c r="BB64" s="566"/>
      <c r="BD64" s="385"/>
      <c r="BE64" s="609"/>
      <c r="BF64" s="566"/>
      <c r="BH64" s="385"/>
      <c r="BI64" s="609"/>
      <c r="BJ64" s="566"/>
      <c r="BL64" s="385"/>
      <c r="BM64" s="609"/>
      <c r="BN64" s="566"/>
      <c r="BP64" s="385"/>
      <c r="BQ64" s="609"/>
      <c r="BR64" s="566"/>
      <c r="BT64" s="385"/>
      <c r="BU64" s="609"/>
      <c r="BV64" s="566"/>
      <c r="BX64" s="385"/>
      <c r="BY64" s="609"/>
      <c r="BZ64" s="566"/>
      <c r="CB64" s="385"/>
      <c r="CC64" s="609"/>
      <c r="CD64" s="566"/>
      <c r="CF64" s="385"/>
      <c r="CG64" s="609"/>
      <c r="CH64" s="566"/>
      <c r="CJ64" s="385"/>
      <c r="CK64" s="609"/>
      <c r="CL64" s="566"/>
      <c r="CN64" s="385"/>
      <c r="CO64" s="609"/>
      <c r="CP64" s="566"/>
      <c r="CR64" s="385"/>
      <c r="CS64" s="609"/>
      <c r="CT64" s="566"/>
      <c r="CV64" s="385"/>
      <c r="CW64" s="609"/>
      <c r="CX64" s="566"/>
      <c r="CZ64" s="385"/>
      <c r="DA64" s="609"/>
      <c r="DB64" s="566"/>
      <c r="DD64" s="385"/>
      <c r="DE64" s="609"/>
      <c r="DF64" s="566"/>
      <c r="DH64" s="385">
        <f>SUM(DH59:DH60)</f>
        <v>26</v>
      </c>
      <c r="DI64" s="609">
        <f t="shared" si="180"/>
        <v>0.22142735479475387</v>
      </c>
      <c r="DJ64" s="566"/>
      <c r="DK64" s="566"/>
      <c r="DL64" s="385">
        <f>SUM(DL59:DL60)</f>
        <v>27</v>
      </c>
      <c r="DM64" s="609">
        <f t="shared" si="181"/>
        <v>0.24574497132975334</v>
      </c>
      <c r="DN64" s="566">
        <f t="shared" si="182"/>
        <v>3.8461538461538547</v>
      </c>
      <c r="DO64" s="566"/>
      <c r="DP64" s="385">
        <f>SUM(DP59:DP60)</f>
        <v>22</v>
      </c>
      <c r="DQ64" s="609">
        <f t="shared" si="183"/>
        <v>0.203965818666414</v>
      </c>
      <c r="DR64" s="1132">
        <f t="shared" si="184"/>
        <v>-18.518518518518523</v>
      </c>
      <c r="EI64" s="1473"/>
    </row>
    <row r="65" spans="1:139" x14ac:dyDescent="0.2">
      <c r="A65" s="604"/>
      <c r="D65" s="385"/>
      <c r="E65" s="609"/>
      <c r="F65" s="566"/>
      <c r="H65" s="385"/>
      <c r="I65" s="609"/>
      <c r="J65" s="566"/>
      <c r="L65" s="385"/>
      <c r="M65" s="609"/>
      <c r="N65" s="605"/>
      <c r="P65" s="385"/>
      <c r="Q65" s="609"/>
      <c r="R65" s="566"/>
      <c r="T65" s="385"/>
      <c r="U65" s="609"/>
      <c r="V65" s="566"/>
      <c r="X65" s="385"/>
      <c r="Y65" s="609"/>
      <c r="Z65" s="566"/>
      <c r="AB65" s="385"/>
      <c r="AC65" s="609"/>
      <c r="AD65" s="566"/>
      <c r="AF65" s="385"/>
      <c r="AG65" s="609"/>
      <c r="AH65" s="566"/>
      <c r="AJ65" s="385"/>
      <c r="AK65" s="609"/>
      <c r="AL65" s="566"/>
      <c r="AN65" s="385"/>
      <c r="AO65" s="609"/>
      <c r="AP65" s="566"/>
      <c r="AR65" s="385"/>
      <c r="AS65" s="609"/>
      <c r="AT65" s="566"/>
      <c r="AV65" s="385"/>
      <c r="AW65" s="609"/>
      <c r="AX65" s="566"/>
      <c r="AZ65" s="385"/>
      <c r="BA65" s="609"/>
      <c r="BB65" s="566"/>
      <c r="BD65" s="385"/>
      <c r="BE65" s="609"/>
      <c r="BF65" s="566"/>
      <c r="BH65" s="385"/>
      <c r="BI65" s="609"/>
      <c r="BJ65" s="566"/>
      <c r="BL65" s="385"/>
      <c r="BM65" s="609"/>
      <c r="BN65" s="566"/>
      <c r="BP65" s="385"/>
      <c r="BQ65" s="609"/>
      <c r="BR65" s="566"/>
      <c r="BT65" s="385"/>
      <c r="BU65" s="609"/>
      <c r="BV65" s="566"/>
      <c r="BX65" s="385"/>
      <c r="BY65" s="609"/>
      <c r="BZ65" s="566"/>
      <c r="CB65" s="385"/>
      <c r="CC65" s="609"/>
      <c r="CD65" s="566"/>
      <c r="CF65" s="385"/>
      <c r="CG65" s="609"/>
      <c r="CH65" s="566"/>
      <c r="CJ65" s="385"/>
      <c r="CK65" s="609"/>
      <c r="CL65" s="566"/>
      <c r="CN65" s="385"/>
      <c r="CO65" s="609"/>
      <c r="CP65" s="566"/>
      <c r="CR65" s="385"/>
      <c r="CS65" s="609"/>
      <c r="CT65" s="566"/>
      <c r="CV65" s="385"/>
      <c r="CW65" s="609"/>
      <c r="CX65" s="566"/>
      <c r="CZ65" s="385"/>
      <c r="DA65" s="609"/>
      <c r="DB65" s="566"/>
      <c r="DD65" s="385"/>
      <c r="DE65" s="609"/>
      <c r="DF65" s="566"/>
      <c r="DH65" s="385">
        <f>SUM(DH61:DH62)</f>
        <v>29</v>
      </c>
      <c r="DI65" s="609">
        <f t="shared" si="180"/>
        <v>0.204686617730096</v>
      </c>
      <c r="DJ65" s="566"/>
      <c r="DK65" s="566"/>
      <c r="DL65" s="385">
        <f>SUM(DL61:DL62)</f>
        <v>30</v>
      </c>
      <c r="DM65" s="609">
        <f t="shared" si="181"/>
        <v>0.21493050580312367</v>
      </c>
      <c r="DN65" s="566">
        <f t="shared" si="182"/>
        <v>3.4482758620689724</v>
      </c>
      <c r="DO65" s="566"/>
      <c r="DP65" s="385">
        <f>SUM(DP61:DP62)</f>
        <v>23</v>
      </c>
      <c r="DQ65" s="609">
        <f t="shared" si="183"/>
        <v>0.1670401951726691</v>
      </c>
      <c r="DR65" s="1132">
        <f t="shared" si="184"/>
        <v>-23.333333333333329</v>
      </c>
      <c r="EI65" s="1473"/>
    </row>
    <row r="66" spans="1:139" x14ac:dyDescent="0.2">
      <c r="A66" s="604"/>
      <c r="D66" s="385"/>
      <c r="E66" s="609"/>
      <c r="F66" s="566"/>
      <c r="H66" s="385"/>
      <c r="I66" s="609"/>
      <c r="J66" s="566"/>
      <c r="L66" s="385"/>
      <c r="M66" s="609"/>
      <c r="N66" s="605"/>
      <c r="P66" s="385"/>
      <c r="Q66" s="609"/>
      <c r="R66" s="566"/>
      <c r="T66" s="385"/>
      <c r="U66" s="609"/>
      <c r="V66" s="566"/>
      <c r="X66" s="385"/>
      <c r="Y66" s="609"/>
      <c r="Z66" s="566"/>
      <c r="AB66" s="385"/>
      <c r="AC66" s="609"/>
      <c r="AD66" s="566"/>
      <c r="AF66" s="385"/>
      <c r="AG66" s="609"/>
      <c r="AH66" s="566"/>
      <c r="AJ66" s="385"/>
      <c r="AK66" s="609"/>
      <c r="AL66" s="566"/>
      <c r="AN66" s="385"/>
      <c r="AO66" s="609"/>
      <c r="AP66" s="566"/>
      <c r="AR66" s="385"/>
      <c r="AS66" s="609"/>
      <c r="AT66" s="566"/>
      <c r="AV66" s="385"/>
      <c r="AW66" s="609"/>
      <c r="AX66" s="566"/>
      <c r="AZ66" s="385"/>
      <c r="BA66" s="609"/>
      <c r="BB66" s="566"/>
      <c r="BD66" s="385"/>
      <c r="BE66" s="609"/>
      <c r="BF66" s="566"/>
      <c r="BH66" s="385"/>
      <c r="BI66" s="609"/>
      <c r="BJ66" s="566"/>
      <c r="BL66" s="385"/>
      <c r="BM66" s="609"/>
      <c r="BN66" s="566"/>
      <c r="BP66" s="385"/>
      <c r="BQ66" s="609"/>
      <c r="BR66" s="566"/>
      <c r="BT66" s="385"/>
      <c r="BU66" s="609"/>
      <c r="BV66" s="566"/>
      <c r="BX66" s="385"/>
      <c r="BY66" s="609"/>
      <c r="BZ66" s="566"/>
      <c r="CB66" s="385"/>
      <c r="CC66" s="609"/>
      <c r="CD66" s="566"/>
      <c r="CF66" s="385"/>
      <c r="CG66" s="609"/>
      <c r="CH66" s="566"/>
      <c r="CJ66" s="385"/>
      <c r="CK66" s="609"/>
      <c r="CL66" s="566"/>
      <c r="CN66" s="385"/>
      <c r="CO66" s="609"/>
      <c r="CP66" s="566"/>
      <c r="CR66" s="385"/>
      <c r="CS66" s="609"/>
      <c r="CT66" s="566"/>
      <c r="CV66" s="385"/>
      <c r="CW66" s="609"/>
      <c r="CX66" s="566"/>
      <c r="CZ66" s="385"/>
      <c r="DA66" s="609"/>
      <c r="DB66" s="566"/>
      <c r="DD66" s="385"/>
      <c r="DE66" s="609"/>
      <c r="DF66" s="566"/>
      <c r="DH66" s="385"/>
      <c r="DI66" s="609"/>
      <c r="DJ66" s="566"/>
      <c r="DK66" s="566"/>
      <c r="DL66" s="385"/>
      <c r="DM66" s="609"/>
      <c r="DN66" s="566"/>
      <c r="DO66" s="566"/>
      <c r="DP66" s="1092"/>
      <c r="DQ66" s="1142"/>
      <c r="DR66" s="1132"/>
      <c r="EI66" s="1473"/>
    </row>
    <row r="67" spans="1:139" x14ac:dyDescent="0.2">
      <c r="A67" s="604"/>
      <c r="D67" s="385"/>
      <c r="E67" s="609"/>
      <c r="F67" s="566"/>
      <c r="H67" s="385"/>
      <c r="I67" s="609"/>
      <c r="J67" s="566"/>
      <c r="L67" s="385"/>
      <c r="M67" s="609"/>
      <c r="N67" s="605"/>
      <c r="P67" s="385"/>
      <c r="Q67" s="609"/>
      <c r="R67" s="566"/>
      <c r="T67" s="385"/>
      <c r="U67" s="609"/>
      <c r="V67" s="566"/>
      <c r="X67" s="385"/>
      <c r="Y67" s="609"/>
      <c r="Z67" s="566"/>
      <c r="AB67" s="385"/>
      <c r="AC67" s="609"/>
      <c r="AD67" s="566"/>
      <c r="AF67" s="385"/>
      <c r="AG67" s="609"/>
      <c r="AH67" s="566"/>
      <c r="AJ67" s="385"/>
      <c r="AK67" s="609"/>
      <c r="AL67" s="566"/>
      <c r="AN67" s="385"/>
      <c r="AO67" s="609"/>
      <c r="AP67" s="566"/>
      <c r="AR67" s="385"/>
      <c r="AS67" s="609"/>
      <c r="AT67" s="566"/>
      <c r="AV67" s="385"/>
      <c r="AW67" s="609"/>
      <c r="AX67" s="566"/>
      <c r="AZ67" s="385"/>
      <c r="BA67" s="609"/>
      <c r="BB67" s="566"/>
      <c r="BD67" s="385"/>
      <c r="BE67" s="609"/>
      <c r="BF67" s="566"/>
      <c r="BH67" s="385"/>
      <c r="BI67" s="609"/>
      <c r="BJ67" s="566"/>
      <c r="BL67" s="385"/>
      <c r="BM67" s="609"/>
      <c r="BN67" s="566"/>
      <c r="BP67" s="385"/>
      <c r="BQ67" s="609"/>
      <c r="BR67" s="566"/>
      <c r="BT67" s="385"/>
      <c r="BU67" s="609"/>
      <c r="BV67" s="566"/>
      <c r="BX67" s="385"/>
      <c r="BY67" s="609"/>
      <c r="BZ67" s="566"/>
      <c r="CB67" s="385"/>
      <c r="CC67" s="609"/>
      <c r="CD67" s="566"/>
      <c r="CF67" s="385"/>
      <c r="CG67" s="609"/>
      <c r="CH67" s="566"/>
      <c r="CJ67" s="385"/>
      <c r="CK67" s="609"/>
      <c r="CL67" s="566"/>
      <c r="CN67" s="385"/>
      <c r="CO67" s="609"/>
      <c r="CP67" s="566"/>
      <c r="CR67" s="385"/>
      <c r="CS67" s="609"/>
      <c r="CT67" s="566"/>
      <c r="CV67" s="385"/>
      <c r="CW67" s="609"/>
      <c r="CX67" s="566"/>
      <c r="CZ67" s="631" t="s">
        <v>674</v>
      </c>
      <c r="DA67" s="609"/>
      <c r="DB67" s="566"/>
      <c r="DD67" s="385"/>
      <c r="DE67" s="609"/>
      <c r="DF67" s="566"/>
      <c r="DH67" s="385"/>
      <c r="DI67" s="609"/>
      <c r="DJ67" s="566"/>
      <c r="DK67" s="566"/>
      <c r="DL67" s="385"/>
      <c r="DM67" s="609"/>
      <c r="DN67" s="566"/>
      <c r="DO67" s="566"/>
      <c r="DP67" s="1092"/>
      <c r="DQ67" s="1142"/>
      <c r="DR67" s="1132"/>
      <c r="EI67" s="1473"/>
    </row>
    <row r="68" spans="1:139" x14ac:dyDescent="0.2">
      <c r="A68" s="604"/>
      <c r="D68" s="385"/>
      <c r="E68" s="609"/>
      <c r="F68" s="566"/>
      <c r="H68" s="385"/>
      <c r="I68" s="609"/>
      <c r="J68" s="566"/>
      <c r="L68" s="385"/>
      <c r="M68" s="609"/>
      <c r="N68" s="605"/>
      <c r="P68" s="385"/>
      <c r="Q68" s="609"/>
      <c r="R68" s="566"/>
      <c r="T68" s="385"/>
      <c r="U68" s="609"/>
      <c r="V68" s="566"/>
      <c r="X68" s="385"/>
      <c r="Y68" s="609"/>
      <c r="Z68" s="566"/>
      <c r="AB68" s="385"/>
      <c r="AC68" s="609"/>
      <c r="AD68" s="566"/>
      <c r="AF68" s="385"/>
      <c r="AG68" s="609"/>
      <c r="AH68" s="566"/>
      <c r="AJ68" s="385"/>
      <c r="AK68" s="609"/>
      <c r="AL68" s="566"/>
      <c r="AN68" s="385"/>
      <c r="AO68" s="609"/>
      <c r="AP68" s="566"/>
      <c r="AR68" s="385"/>
      <c r="AS68" s="609"/>
      <c r="AT68" s="566"/>
      <c r="AV68" s="385"/>
      <c r="AW68" s="609"/>
      <c r="AX68" s="566"/>
      <c r="AZ68" s="385"/>
      <c r="BA68" s="609"/>
      <c r="BB68" s="566"/>
      <c r="BD68" s="385"/>
      <c r="BE68" s="609"/>
      <c r="BF68" s="566"/>
      <c r="BH68" s="385"/>
      <c r="BI68" s="609"/>
      <c r="BJ68" s="566"/>
      <c r="BL68" s="385"/>
      <c r="BM68" s="609"/>
      <c r="BN68" s="566"/>
      <c r="BP68" s="385"/>
      <c r="BQ68" s="609"/>
      <c r="BR68" s="566"/>
      <c r="BT68" s="385"/>
      <c r="BU68" s="609"/>
      <c r="BV68" s="566"/>
      <c r="BX68" s="385"/>
      <c r="BY68" s="609"/>
      <c r="BZ68" s="566"/>
      <c r="CB68" s="385"/>
      <c r="CC68" s="609"/>
      <c r="CD68" s="566"/>
      <c r="CF68" s="385"/>
      <c r="CG68" s="609"/>
      <c r="CH68" s="566"/>
      <c r="CJ68" s="385"/>
      <c r="CK68" s="609"/>
      <c r="CL68" s="566"/>
      <c r="CN68" s="385"/>
      <c r="CO68" s="609"/>
      <c r="CP68" s="566"/>
      <c r="CR68" s="385"/>
      <c r="CS68" s="609"/>
      <c r="CT68" s="566"/>
      <c r="CV68" s="385"/>
      <c r="CW68" s="609"/>
      <c r="CX68" s="566"/>
      <c r="CZ68" s="385"/>
      <c r="DA68" s="609"/>
      <c r="DB68" s="566"/>
      <c r="DD68" s="385"/>
      <c r="DE68" s="609"/>
      <c r="DF68" s="566"/>
      <c r="DH68" s="543">
        <v>13</v>
      </c>
      <c r="DI68" s="609">
        <f t="shared" ref="DI68:DI74" si="185">DH68/DH29*100</f>
        <v>0.37100456621004563</v>
      </c>
      <c r="DJ68" s="566"/>
      <c r="DK68" s="566"/>
      <c r="DL68" s="543">
        <v>0</v>
      </c>
      <c r="DM68" s="609">
        <f t="shared" ref="DM68:DM74" si="186">DL68/DL29*100</f>
        <v>0</v>
      </c>
      <c r="DN68" s="566">
        <f>(DL68/DH68-1)*100</f>
        <v>-100</v>
      </c>
      <c r="DO68" s="566"/>
      <c r="DP68" s="1117">
        <f>DL68</f>
        <v>0</v>
      </c>
      <c r="DQ68" s="1142">
        <f t="shared" ref="DQ68:DQ74" si="187">DP68/DP29*100</f>
        <v>0</v>
      </c>
      <c r="DR68" s="1132" t="s">
        <v>680</v>
      </c>
      <c r="EI68" s="1473"/>
    </row>
    <row r="69" spans="1:139" x14ac:dyDescent="0.2">
      <c r="A69" s="604"/>
      <c r="D69" s="385"/>
      <c r="E69" s="609"/>
      <c r="F69" s="566"/>
      <c r="H69" s="385"/>
      <c r="I69" s="609"/>
      <c r="J69" s="566"/>
      <c r="L69" s="385"/>
      <c r="M69" s="609"/>
      <c r="N69" s="605"/>
      <c r="P69" s="385"/>
      <c r="Q69" s="609"/>
      <c r="R69" s="566"/>
      <c r="T69" s="385"/>
      <c r="U69" s="609"/>
      <c r="V69" s="566"/>
      <c r="X69" s="385"/>
      <c r="Y69" s="609"/>
      <c r="Z69" s="566"/>
      <c r="AB69" s="385"/>
      <c r="AC69" s="609"/>
      <c r="AD69" s="566"/>
      <c r="AF69" s="385"/>
      <c r="AG69" s="609"/>
      <c r="AH69" s="566"/>
      <c r="AJ69" s="385"/>
      <c r="AK69" s="609"/>
      <c r="AL69" s="566"/>
      <c r="AN69" s="385"/>
      <c r="AO69" s="609"/>
      <c r="AP69" s="566"/>
      <c r="AR69" s="385"/>
      <c r="AS69" s="609"/>
      <c r="AT69" s="566"/>
      <c r="AV69" s="385"/>
      <c r="AW69" s="609"/>
      <c r="AX69" s="566"/>
      <c r="AZ69" s="385"/>
      <c r="BA69" s="609"/>
      <c r="BB69" s="566"/>
      <c r="BD69" s="385"/>
      <c r="BE69" s="609"/>
      <c r="BF69" s="566"/>
      <c r="BH69" s="385"/>
      <c r="BI69" s="609"/>
      <c r="BJ69" s="566"/>
      <c r="BL69" s="385"/>
      <c r="BM69" s="609"/>
      <c r="BN69" s="566"/>
      <c r="BP69" s="385"/>
      <c r="BQ69" s="609"/>
      <c r="BR69" s="566"/>
      <c r="BT69" s="385"/>
      <c r="BU69" s="609"/>
      <c r="BV69" s="566"/>
      <c r="BX69" s="385"/>
      <c r="BY69" s="609"/>
      <c r="BZ69" s="566"/>
      <c r="CB69" s="385"/>
      <c r="CC69" s="609"/>
      <c r="CD69" s="566"/>
      <c r="CF69" s="385"/>
      <c r="CG69" s="609"/>
      <c r="CH69" s="566"/>
      <c r="CJ69" s="385"/>
      <c r="CK69" s="609"/>
      <c r="CL69" s="566"/>
      <c r="CN69" s="385"/>
      <c r="CO69" s="609"/>
      <c r="CP69" s="566"/>
      <c r="CR69" s="385"/>
      <c r="CS69" s="609"/>
      <c r="CT69" s="566"/>
      <c r="CV69" s="385"/>
      <c r="CW69" s="609"/>
      <c r="CX69" s="566"/>
      <c r="CZ69" s="385"/>
      <c r="DA69" s="609"/>
      <c r="DB69" s="566"/>
      <c r="DD69" s="385"/>
      <c r="DE69" s="609"/>
      <c r="DF69" s="566"/>
      <c r="DH69" s="385">
        <v>6</v>
      </c>
      <c r="DI69" s="609">
        <f t="shared" si="185"/>
        <v>0.16773832820799553</v>
      </c>
      <c r="DJ69" s="566"/>
      <c r="DK69" s="566"/>
      <c r="DL69" s="385">
        <v>51</v>
      </c>
      <c r="DM69" s="609">
        <f t="shared" si="186"/>
        <v>1.4986776373787833</v>
      </c>
      <c r="DN69" s="566">
        <f t="shared" ref="DN69:DN74" si="188">(DL69/DH69-1)*100</f>
        <v>750</v>
      </c>
      <c r="DO69" s="566"/>
      <c r="DP69" s="1092">
        <v>0</v>
      </c>
      <c r="DQ69" s="1142">
        <f t="shared" si="187"/>
        <v>0</v>
      </c>
      <c r="DR69" s="1132">
        <f t="shared" ref="DR69:DR74" si="189">(DP69/DL69-1)*100</f>
        <v>-100</v>
      </c>
      <c r="EI69" s="1473"/>
    </row>
    <row r="70" spans="1:139" x14ac:dyDescent="0.2">
      <c r="A70" s="604"/>
      <c r="D70" s="385"/>
      <c r="E70" s="609"/>
      <c r="F70" s="566"/>
      <c r="H70" s="385"/>
      <c r="I70" s="609"/>
      <c r="J70" s="566"/>
      <c r="L70" s="385"/>
      <c r="M70" s="609"/>
      <c r="N70" s="605"/>
      <c r="P70" s="385"/>
      <c r="Q70" s="609"/>
      <c r="R70" s="566"/>
      <c r="T70" s="385"/>
      <c r="U70" s="609"/>
      <c r="V70" s="566"/>
      <c r="X70" s="385"/>
      <c r="Y70" s="609"/>
      <c r="Z70" s="566"/>
      <c r="AB70" s="385"/>
      <c r="AC70" s="609"/>
      <c r="AD70" s="566"/>
      <c r="AF70" s="385"/>
      <c r="AG70" s="609"/>
      <c r="AH70" s="566"/>
      <c r="AJ70" s="385"/>
      <c r="AK70" s="609"/>
      <c r="AL70" s="566"/>
      <c r="AN70" s="385"/>
      <c r="AO70" s="609"/>
      <c r="AP70" s="566"/>
      <c r="AR70" s="385"/>
      <c r="AS70" s="609"/>
      <c r="AT70" s="566"/>
      <c r="AV70" s="385"/>
      <c r="AW70" s="609"/>
      <c r="AX70" s="566"/>
      <c r="AZ70" s="385"/>
      <c r="BA70" s="609"/>
      <c r="BB70" s="566"/>
      <c r="BD70" s="385"/>
      <c r="BE70" s="609"/>
      <c r="BF70" s="566"/>
      <c r="BH70" s="385"/>
      <c r="BI70" s="609"/>
      <c r="BJ70" s="566"/>
      <c r="BL70" s="385"/>
      <c r="BM70" s="609"/>
      <c r="BN70" s="566"/>
      <c r="BP70" s="385"/>
      <c r="BQ70" s="609"/>
      <c r="BR70" s="566"/>
      <c r="BT70" s="385"/>
      <c r="BU70" s="609"/>
      <c r="BV70" s="566"/>
      <c r="BX70" s="385"/>
      <c r="BY70" s="609"/>
      <c r="BZ70" s="566"/>
      <c r="CB70" s="385"/>
      <c r="CC70" s="609"/>
      <c r="CD70" s="566"/>
      <c r="CF70" s="385"/>
      <c r="CG70" s="609"/>
      <c r="CH70" s="566"/>
      <c r="CJ70" s="385"/>
      <c r="CK70" s="609"/>
      <c r="CL70" s="566"/>
      <c r="CN70" s="385"/>
      <c r="CO70" s="609"/>
      <c r="CP70" s="566"/>
      <c r="CR70" s="385"/>
      <c r="CS70" s="609"/>
      <c r="CT70" s="566"/>
      <c r="CV70" s="385"/>
      <c r="CW70" s="609"/>
      <c r="CX70" s="566"/>
      <c r="CZ70" s="385"/>
      <c r="DA70" s="609"/>
      <c r="DB70" s="566"/>
      <c r="DD70" s="385"/>
      <c r="DE70" s="609"/>
      <c r="DF70" s="566"/>
      <c r="DH70" s="385">
        <v>62</v>
      </c>
      <c r="DI70" s="609">
        <f t="shared" si="185"/>
        <v>1.8446890806307645</v>
      </c>
      <c r="DJ70" s="566"/>
      <c r="DK70" s="566"/>
      <c r="DL70" s="385">
        <v>22</v>
      </c>
      <c r="DM70" s="609">
        <f t="shared" si="186"/>
        <v>0.69774817633999364</v>
      </c>
      <c r="DN70" s="566">
        <f t="shared" si="188"/>
        <v>-64.516129032258064</v>
      </c>
      <c r="DO70" s="566"/>
      <c r="DP70" s="1092">
        <v>0</v>
      </c>
      <c r="DQ70" s="1142">
        <f t="shared" si="187"/>
        <v>0</v>
      </c>
      <c r="DR70" s="1132">
        <f t="shared" si="189"/>
        <v>-100</v>
      </c>
      <c r="EI70" s="1473"/>
    </row>
    <row r="71" spans="1:139" x14ac:dyDescent="0.2">
      <c r="A71" s="604"/>
      <c r="D71" s="385"/>
      <c r="E71" s="609"/>
      <c r="F71" s="566"/>
      <c r="H71" s="385"/>
      <c r="I71" s="609"/>
      <c r="J71" s="566"/>
      <c r="L71" s="385"/>
      <c r="M71" s="609"/>
      <c r="N71" s="605"/>
      <c r="P71" s="385"/>
      <c r="Q71" s="609"/>
      <c r="R71" s="566"/>
      <c r="T71" s="385"/>
      <c r="U71" s="609"/>
      <c r="V71" s="566"/>
      <c r="X71" s="385"/>
      <c r="Y71" s="609"/>
      <c r="Z71" s="566"/>
      <c r="AB71" s="385"/>
      <c r="AC71" s="609"/>
      <c r="AD71" s="566"/>
      <c r="AF71" s="385"/>
      <c r="AG71" s="609"/>
      <c r="AH71" s="566"/>
      <c r="AJ71" s="385"/>
      <c r="AK71" s="609"/>
      <c r="AL71" s="566"/>
      <c r="AN71" s="385"/>
      <c r="AO71" s="609"/>
      <c r="AP71" s="566"/>
      <c r="AR71" s="385"/>
      <c r="AS71" s="609"/>
      <c r="AT71" s="566"/>
      <c r="AV71" s="385"/>
      <c r="AW71" s="609"/>
      <c r="AX71" s="566"/>
      <c r="AZ71" s="385"/>
      <c r="BA71" s="609"/>
      <c r="BB71" s="566"/>
      <c r="BD71" s="385"/>
      <c r="BE71" s="609"/>
      <c r="BF71" s="566"/>
      <c r="BH71" s="385"/>
      <c r="BI71" s="609"/>
      <c r="BJ71" s="566"/>
      <c r="BL71" s="385"/>
      <c r="BM71" s="609"/>
      <c r="BN71" s="566"/>
      <c r="BP71" s="385"/>
      <c r="BQ71" s="609"/>
      <c r="BR71" s="566"/>
      <c r="BT71" s="385"/>
      <c r="BU71" s="609"/>
      <c r="BV71" s="566"/>
      <c r="BX71" s="385"/>
      <c r="BY71" s="609"/>
      <c r="BZ71" s="566"/>
      <c r="CB71" s="385"/>
      <c r="CC71" s="609"/>
      <c r="CD71" s="566"/>
      <c r="CF71" s="385"/>
      <c r="CG71" s="609"/>
      <c r="CH71" s="566"/>
      <c r="CJ71" s="385"/>
      <c r="CK71" s="609"/>
      <c r="CL71" s="566"/>
      <c r="CN71" s="385"/>
      <c r="CO71" s="609"/>
      <c r="CP71" s="566"/>
      <c r="CR71" s="385"/>
      <c r="CS71" s="609"/>
      <c r="CT71" s="566"/>
      <c r="CV71" s="385"/>
      <c r="CW71" s="609"/>
      <c r="CX71" s="566"/>
      <c r="CZ71" s="385"/>
      <c r="DA71" s="609"/>
      <c r="DB71" s="566"/>
      <c r="DD71" s="385"/>
      <c r="DE71" s="609"/>
      <c r="DF71" s="566"/>
      <c r="DH71" s="607">
        <v>17</v>
      </c>
      <c r="DI71" s="609">
        <f t="shared" si="185"/>
        <v>0.32535885167464118</v>
      </c>
      <c r="DJ71" s="566"/>
      <c r="DK71" s="566"/>
      <c r="DL71" s="1102">
        <v>32</v>
      </c>
      <c r="DM71" s="609">
        <f t="shared" si="186"/>
        <v>0.60127771514468242</v>
      </c>
      <c r="DN71" s="566">
        <f t="shared" si="188"/>
        <v>88.235294117647058</v>
      </c>
      <c r="DO71" s="566"/>
      <c r="DP71" s="1102">
        <v>0</v>
      </c>
      <c r="DQ71" s="1142">
        <f t="shared" si="187"/>
        <v>0</v>
      </c>
      <c r="DR71" s="1132">
        <f t="shared" si="189"/>
        <v>-100</v>
      </c>
      <c r="EI71" s="1473"/>
    </row>
    <row r="72" spans="1:139" x14ac:dyDescent="0.2">
      <c r="A72" s="604"/>
      <c r="D72" s="385"/>
      <c r="E72" s="609"/>
      <c r="F72" s="566"/>
      <c r="H72" s="385"/>
      <c r="I72" s="609"/>
      <c r="J72" s="566"/>
      <c r="L72" s="385"/>
      <c r="M72" s="609"/>
      <c r="N72" s="605"/>
      <c r="P72" s="385"/>
      <c r="Q72" s="609"/>
      <c r="R72" s="566"/>
      <c r="T72" s="385"/>
      <c r="U72" s="609"/>
      <c r="V72" s="566"/>
      <c r="X72" s="385"/>
      <c r="Y72" s="609"/>
      <c r="Z72" s="566"/>
      <c r="AB72" s="385"/>
      <c r="AC72" s="609"/>
      <c r="AD72" s="566"/>
      <c r="AF72" s="385"/>
      <c r="AG72" s="609"/>
      <c r="AH72" s="566"/>
      <c r="AJ72" s="385"/>
      <c r="AK72" s="609"/>
      <c r="AL72" s="566"/>
      <c r="AN72" s="385"/>
      <c r="AO72" s="609"/>
      <c r="AP72" s="566"/>
      <c r="AR72" s="385"/>
      <c r="AS72" s="609"/>
      <c r="AT72" s="566"/>
      <c r="AV72" s="385"/>
      <c r="AW72" s="609"/>
      <c r="AX72" s="566"/>
      <c r="AZ72" s="385"/>
      <c r="BA72" s="609"/>
      <c r="BB72" s="566"/>
      <c r="BD72" s="385"/>
      <c r="BE72" s="609"/>
      <c r="BF72" s="566"/>
      <c r="BH72" s="385"/>
      <c r="BI72" s="609"/>
      <c r="BJ72" s="566"/>
      <c r="BL72" s="385"/>
      <c r="BM72" s="609"/>
      <c r="BN72" s="566"/>
      <c r="BP72" s="385"/>
      <c r="BQ72" s="609"/>
      <c r="BR72" s="566"/>
      <c r="BT72" s="385"/>
      <c r="BU72" s="609"/>
      <c r="BV72" s="566"/>
      <c r="BX72" s="385"/>
      <c r="BY72" s="609"/>
      <c r="BZ72" s="566"/>
      <c r="CB72" s="385"/>
      <c r="CC72" s="609"/>
      <c r="CD72" s="566"/>
      <c r="CF72" s="385"/>
      <c r="CG72" s="609"/>
      <c r="CH72" s="566"/>
      <c r="CJ72" s="385"/>
      <c r="CK72" s="609"/>
      <c r="CL72" s="566"/>
      <c r="CN72" s="385"/>
      <c r="CO72" s="609"/>
      <c r="CP72" s="566"/>
      <c r="CR72" s="385"/>
      <c r="CS72" s="609"/>
      <c r="CT72" s="566"/>
      <c r="CV72" s="385"/>
      <c r="CW72" s="609"/>
      <c r="CX72" s="566"/>
      <c r="CZ72" s="385"/>
      <c r="DA72" s="609"/>
      <c r="DB72" s="566"/>
      <c r="DD72" s="385"/>
      <c r="DE72" s="609"/>
      <c r="DF72" s="566"/>
      <c r="DH72" s="543">
        <f>SUM(DH68:DH71)</f>
        <v>98</v>
      </c>
      <c r="DI72" s="609">
        <f t="shared" si="185"/>
        <v>0.62551860598710662</v>
      </c>
      <c r="DJ72" s="566"/>
      <c r="DK72" s="566"/>
      <c r="DL72" s="543">
        <f>SUM(DL68:DL71)</f>
        <v>105</v>
      </c>
      <c r="DM72" s="609">
        <f t="shared" si="186"/>
        <v>0.69160848373073369</v>
      </c>
      <c r="DN72" s="566">
        <f t="shared" si="188"/>
        <v>7.1428571428571397</v>
      </c>
      <c r="DO72" s="566"/>
      <c r="DP72" s="1117">
        <f>SUM(DP68:DP71)</f>
        <v>0</v>
      </c>
      <c r="DQ72" s="1142">
        <f t="shared" si="187"/>
        <v>0</v>
      </c>
      <c r="DR72" s="1132">
        <f t="shared" si="189"/>
        <v>-100</v>
      </c>
      <c r="EI72" s="1473"/>
    </row>
    <row r="73" spans="1:139" x14ac:dyDescent="0.2">
      <c r="A73" s="604"/>
      <c r="D73" s="385"/>
      <c r="E73" s="609"/>
      <c r="F73" s="566"/>
      <c r="H73" s="385"/>
      <c r="I73" s="609"/>
      <c r="J73" s="566"/>
      <c r="L73" s="385"/>
      <c r="M73" s="609"/>
      <c r="N73" s="605"/>
      <c r="P73" s="385"/>
      <c r="Q73" s="609"/>
      <c r="R73" s="566"/>
      <c r="T73" s="385"/>
      <c r="U73" s="609"/>
      <c r="V73" s="566"/>
      <c r="X73" s="385"/>
      <c r="Y73" s="609"/>
      <c r="Z73" s="566"/>
      <c r="AB73" s="385"/>
      <c r="AC73" s="609"/>
      <c r="AD73" s="566"/>
      <c r="AF73" s="385"/>
      <c r="AG73" s="609"/>
      <c r="AH73" s="566"/>
      <c r="AJ73" s="385"/>
      <c r="AK73" s="609"/>
      <c r="AL73" s="566"/>
      <c r="AN73" s="385"/>
      <c r="AO73" s="609"/>
      <c r="AP73" s="566"/>
      <c r="AR73" s="385"/>
      <c r="AS73" s="609"/>
      <c r="AT73" s="566"/>
      <c r="AV73" s="385"/>
      <c r="AW73" s="609"/>
      <c r="AX73" s="566"/>
      <c r="AZ73" s="385"/>
      <c r="BA73" s="609"/>
      <c r="BB73" s="566"/>
      <c r="BD73" s="385"/>
      <c r="BE73" s="609"/>
      <c r="BF73" s="566"/>
      <c r="BH73" s="385"/>
      <c r="BI73" s="609"/>
      <c r="BJ73" s="566"/>
      <c r="BL73" s="385"/>
      <c r="BM73" s="609"/>
      <c r="BN73" s="566"/>
      <c r="BP73" s="385"/>
      <c r="BQ73" s="609"/>
      <c r="BR73" s="566"/>
      <c r="BT73" s="385"/>
      <c r="BU73" s="609"/>
      <c r="BV73" s="566"/>
      <c r="BX73" s="385"/>
      <c r="BY73" s="609"/>
      <c r="BZ73" s="566"/>
      <c r="CB73" s="385"/>
      <c r="CC73" s="609"/>
      <c r="CD73" s="566"/>
      <c r="CF73" s="385"/>
      <c r="CG73" s="609"/>
      <c r="CH73" s="566"/>
      <c r="CJ73" s="385"/>
      <c r="CK73" s="609"/>
      <c r="CL73" s="566"/>
      <c r="CN73" s="385"/>
      <c r="CO73" s="609"/>
      <c r="CP73" s="566"/>
      <c r="CR73" s="385"/>
      <c r="CS73" s="609"/>
      <c r="CT73" s="566"/>
      <c r="CV73" s="385"/>
      <c r="CW73" s="609"/>
      <c r="CX73" s="566"/>
      <c r="CZ73" s="385"/>
      <c r="DA73" s="609"/>
      <c r="DB73" s="566"/>
      <c r="DD73" s="385"/>
      <c r="DE73" s="609"/>
      <c r="DF73" s="566"/>
      <c r="DH73" s="385">
        <f>SUM(DH68:DH69)</f>
        <v>19</v>
      </c>
      <c r="DI73" s="609">
        <f t="shared" si="185"/>
        <v>0.268323683095608</v>
      </c>
      <c r="DJ73" s="566"/>
      <c r="DK73" s="566"/>
      <c r="DL73" s="385">
        <f>SUM(DL68:DL69)</f>
        <v>51</v>
      </c>
      <c r="DM73" s="609">
        <f t="shared" si="186"/>
        <v>0.76039958252571938</v>
      </c>
      <c r="DN73" s="566">
        <f t="shared" si="188"/>
        <v>168.42105263157893</v>
      </c>
      <c r="DO73" s="566"/>
      <c r="DP73" s="385">
        <f>SUM(DP68:DP69)</f>
        <v>0</v>
      </c>
      <c r="DQ73" s="1142">
        <f t="shared" si="187"/>
        <v>0</v>
      </c>
      <c r="DR73" s="1132">
        <f t="shared" si="189"/>
        <v>-100</v>
      </c>
      <c r="EI73" s="1473"/>
    </row>
    <row r="74" spans="1:139" x14ac:dyDescent="0.2">
      <c r="A74" s="604"/>
      <c r="D74" s="353"/>
      <c r="E74" s="609"/>
      <c r="F74" s="605"/>
      <c r="H74" s="353"/>
      <c r="I74" s="609"/>
      <c r="J74" s="605"/>
      <c r="L74" s="353"/>
      <c r="M74" s="609"/>
      <c r="N74" s="605"/>
      <c r="P74" s="353"/>
      <c r="Q74" s="609"/>
      <c r="R74" s="605"/>
      <c r="T74" s="353"/>
      <c r="U74" s="609"/>
      <c r="V74" s="605"/>
      <c r="X74" s="353"/>
      <c r="Y74" s="609"/>
      <c r="Z74" s="605"/>
      <c r="AB74" s="353"/>
      <c r="AC74" s="609"/>
      <c r="AD74" s="605"/>
      <c r="AF74" s="353"/>
      <c r="AG74" s="609"/>
      <c r="AH74" s="605"/>
      <c r="AJ74" s="385"/>
      <c r="AK74" s="609"/>
      <c r="AL74" s="605"/>
      <c r="AN74" s="385"/>
      <c r="AO74" s="609"/>
      <c r="AP74" s="605"/>
      <c r="AR74" s="385"/>
      <c r="AS74" s="609"/>
      <c r="AT74" s="605"/>
      <c r="AV74" s="385"/>
      <c r="AW74" s="609"/>
      <c r="AX74" s="605"/>
      <c r="AZ74" s="385"/>
      <c r="BA74" s="609"/>
      <c r="BB74" s="605"/>
      <c r="BD74" s="385"/>
      <c r="BE74" s="609"/>
      <c r="BF74" s="605"/>
      <c r="BH74" s="385"/>
      <c r="BI74" s="609"/>
      <c r="BJ74" s="605"/>
      <c r="BL74" s="385"/>
      <c r="BM74" s="609"/>
      <c r="BN74" s="605"/>
      <c r="BP74" s="385"/>
      <c r="BQ74" s="609"/>
      <c r="BR74" s="605"/>
      <c r="BT74" s="385"/>
      <c r="BU74" s="609"/>
      <c r="BV74" s="605"/>
      <c r="BX74" s="385"/>
      <c r="BY74" s="609"/>
      <c r="BZ74" s="605"/>
      <c r="CB74" s="385"/>
      <c r="CC74" s="609"/>
      <c r="CD74" s="605"/>
      <c r="CF74" s="385"/>
      <c r="CG74" s="609"/>
      <c r="CH74" s="605"/>
      <c r="CJ74" s="385"/>
      <c r="CK74" s="609"/>
      <c r="CL74" s="605"/>
      <c r="CN74" s="385"/>
      <c r="CO74" s="609"/>
      <c r="CP74" s="605"/>
      <c r="CR74" s="385"/>
      <c r="CS74" s="609"/>
      <c r="CT74" s="605"/>
      <c r="CV74" s="385"/>
      <c r="CW74" s="609"/>
      <c r="CX74" s="605"/>
      <c r="CZ74" s="385"/>
      <c r="DA74" s="609"/>
      <c r="DB74" s="605"/>
      <c r="DD74" s="385"/>
      <c r="DE74" s="609"/>
      <c r="DF74" s="605"/>
      <c r="DH74" s="385">
        <f>SUM(DH70:DH71)</f>
        <v>79</v>
      </c>
      <c r="DI74" s="609">
        <f t="shared" si="185"/>
        <v>0.92010249242953646</v>
      </c>
      <c r="DJ74" s="566"/>
      <c r="DK74" s="566"/>
      <c r="DL74" s="385">
        <f>SUM(DL70:DL71)</f>
        <v>54</v>
      </c>
      <c r="DM74" s="609">
        <f t="shared" si="186"/>
        <v>0.63716814159292035</v>
      </c>
      <c r="DN74" s="566">
        <f t="shared" si="188"/>
        <v>-31.645569620253166</v>
      </c>
      <c r="DO74" s="566"/>
      <c r="DP74" s="385">
        <f>SUM(DP70:DP71)</f>
        <v>0</v>
      </c>
      <c r="DQ74" s="1142">
        <f t="shared" si="187"/>
        <v>0</v>
      </c>
      <c r="DR74" s="1132">
        <f t="shared" si="189"/>
        <v>-100</v>
      </c>
      <c r="DY74" s="185" t="s">
        <v>215</v>
      </c>
    </row>
    <row r="75" spans="1:139" x14ac:dyDescent="0.2">
      <c r="A75" s="604"/>
      <c r="D75" s="353"/>
      <c r="E75" s="609"/>
      <c r="F75" s="605"/>
      <c r="H75" s="353"/>
      <c r="I75" s="609"/>
      <c r="J75" s="605"/>
      <c r="L75" s="353"/>
      <c r="M75" s="609"/>
      <c r="N75" s="605"/>
      <c r="P75" s="353"/>
      <c r="Q75" s="609"/>
      <c r="R75" s="605"/>
      <c r="T75" s="353"/>
      <c r="U75" s="609"/>
      <c r="V75" s="605"/>
      <c r="X75" s="353"/>
      <c r="Y75" s="609"/>
      <c r="Z75" s="605"/>
      <c r="AB75" s="353"/>
      <c r="AC75" s="609"/>
      <c r="AD75" s="605"/>
      <c r="AF75" s="353"/>
      <c r="AG75" s="609"/>
      <c r="AH75" s="605"/>
      <c r="AJ75" s="385"/>
      <c r="AK75" s="609"/>
      <c r="AL75" s="605"/>
      <c r="AN75" s="385"/>
      <c r="AO75" s="609"/>
      <c r="AP75" s="605"/>
      <c r="AR75" s="385"/>
      <c r="AS75" s="609"/>
      <c r="AT75" s="605"/>
      <c r="AV75" s="385"/>
      <c r="AW75" s="609"/>
      <c r="AX75" s="605"/>
      <c r="AZ75" s="385"/>
      <c r="BA75" s="609"/>
      <c r="BB75" s="605"/>
      <c r="BD75" s="385"/>
      <c r="BE75" s="609"/>
      <c r="BF75" s="605"/>
      <c r="BH75" s="385"/>
      <c r="BI75" s="609"/>
      <c r="BJ75" s="605"/>
      <c r="BL75" s="385"/>
      <c r="BM75" s="609"/>
      <c r="BN75" s="605"/>
      <c r="BP75" s="385"/>
      <c r="BQ75" s="609"/>
      <c r="BR75" s="605"/>
      <c r="BT75" s="385"/>
      <c r="BU75" s="609"/>
      <c r="BV75" s="605"/>
      <c r="BX75" s="385"/>
      <c r="BY75" s="609"/>
      <c r="BZ75" s="605"/>
      <c r="CB75" s="385"/>
      <c r="CC75" s="609"/>
      <c r="CD75" s="605"/>
      <c r="CF75" s="385"/>
      <c r="CG75" s="609"/>
      <c r="CH75" s="605"/>
      <c r="CJ75" s="385"/>
      <c r="CK75" s="609"/>
      <c r="CL75" s="605"/>
      <c r="CN75" s="385"/>
      <c r="CO75" s="609"/>
      <c r="CP75" s="605"/>
      <c r="CR75" s="385"/>
      <c r="CS75" s="609"/>
      <c r="CT75" s="605"/>
      <c r="CV75" s="385"/>
      <c r="CW75" s="609"/>
      <c r="CX75" s="605"/>
      <c r="CZ75" s="385"/>
      <c r="DA75" s="609"/>
      <c r="DB75" s="605"/>
      <c r="DD75" s="385"/>
      <c r="DE75" s="609"/>
      <c r="DF75" s="605"/>
      <c r="DH75" s="385"/>
      <c r="DI75" s="609"/>
      <c r="DJ75" s="566"/>
      <c r="DK75" s="566"/>
      <c r="DL75" s="385"/>
      <c r="DM75" s="609"/>
      <c r="DN75" s="566"/>
      <c r="DO75" s="566"/>
      <c r="DP75" s="1092"/>
      <c r="DQ75" s="1142"/>
      <c r="DR75" s="1132"/>
      <c r="EI75" s="1473"/>
    </row>
    <row r="76" spans="1:139" s="627" customFormat="1" x14ac:dyDescent="0.2">
      <c r="A76" s="626" t="s">
        <v>304</v>
      </c>
      <c r="D76" s="628"/>
      <c r="H76" s="628"/>
      <c r="L76" s="628"/>
      <c r="P76" s="628"/>
      <c r="T76" s="628"/>
      <c r="X76" s="628"/>
      <c r="AB76" s="628"/>
      <c r="AF76" s="628"/>
      <c r="AJ76" s="629"/>
      <c r="AN76" s="629"/>
      <c r="AR76" s="629"/>
      <c r="AV76" s="629"/>
      <c r="AZ76" s="629"/>
      <c r="BD76" s="629"/>
      <c r="BH76" s="629"/>
      <c r="BL76" s="629"/>
      <c r="BP76" s="629"/>
      <c r="BT76" s="629"/>
      <c r="BX76" s="629"/>
      <c r="CB76" s="629"/>
      <c r="CF76" s="629"/>
      <c r="CJ76" s="629"/>
      <c r="CN76" s="629"/>
      <c r="CZ76" s="631" t="str">
        <f>A76</f>
        <v>5. Interest Expense (Income)  (% of Sales)</v>
      </c>
      <c r="DA76" s="663"/>
      <c r="DB76" s="663"/>
      <c r="DC76" s="663"/>
      <c r="DD76" s="663"/>
      <c r="DE76" s="663"/>
      <c r="DF76" s="663"/>
      <c r="DG76" s="663"/>
      <c r="DH76" s="994"/>
      <c r="DI76" s="663"/>
      <c r="DJ76" s="663"/>
      <c r="DK76" s="444"/>
      <c r="DL76" s="663"/>
      <c r="DM76" s="663"/>
      <c r="DN76" s="663"/>
      <c r="DO76" s="444"/>
      <c r="DP76" s="1169"/>
      <c r="DQ76" s="1169"/>
      <c r="DR76" s="1169"/>
      <c r="DY76" s="627" t="s">
        <v>215</v>
      </c>
      <c r="EI76" s="600"/>
    </row>
    <row r="77" spans="1:139" x14ac:dyDescent="0.2">
      <c r="D77" s="353"/>
      <c r="H77" s="353"/>
      <c r="L77" s="353"/>
      <c r="P77" s="353"/>
      <c r="T77" s="353"/>
      <c r="X77" s="353"/>
      <c r="AB77" s="353"/>
      <c r="AF77" s="353"/>
      <c r="AJ77" s="385"/>
      <c r="AN77" s="385"/>
      <c r="AR77" s="385"/>
      <c r="AV77" s="385"/>
      <c r="AZ77" s="385"/>
      <c r="BD77" s="385"/>
      <c r="BH77" s="385"/>
      <c r="BL77" s="385"/>
      <c r="BP77" s="385"/>
      <c r="BT77" s="385"/>
      <c r="BX77" s="385"/>
      <c r="CB77" s="385"/>
      <c r="CF77" s="385"/>
      <c r="CJ77" s="385"/>
      <c r="CN77" s="385"/>
      <c r="DY77" s="185" t="s">
        <v>215</v>
      </c>
      <c r="EB77" s="385"/>
      <c r="EC77" s="385"/>
    </row>
    <row r="78" spans="1:139" x14ac:dyDescent="0.2">
      <c r="A78" s="604" t="s">
        <v>79</v>
      </c>
      <c r="D78" s="610">
        <v>150.16</v>
      </c>
      <c r="E78" s="609">
        <f t="shared" ref="E78:E84" si="190">(D78/D10)*100</f>
        <v>9.4412937137683439</v>
      </c>
      <c r="F78" s="605"/>
      <c r="H78" s="610">
        <v>115.88100000000001</v>
      </c>
      <c r="I78" s="609">
        <f t="shared" ref="I78:I84" si="191">(H78/H10)*100</f>
        <v>7.2724750991421603</v>
      </c>
      <c r="J78" s="605"/>
      <c r="L78" s="610">
        <v>57.284999999999997</v>
      </c>
      <c r="M78" s="609">
        <f t="shared" ref="M78:M84" si="192">(L78/L10)*100</f>
        <v>3.6447192449574541</v>
      </c>
      <c r="N78" s="605"/>
      <c r="P78" s="610">
        <v>43.271999999999998</v>
      </c>
      <c r="Q78" s="609">
        <f t="shared" ref="Q78:Q84" si="193">(P78/P10)*100</f>
        <v>2.7210661911047191</v>
      </c>
      <c r="R78" s="605"/>
      <c r="T78" s="610">
        <v>45.338999999999999</v>
      </c>
      <c r="U78" s="609">
        <f t="shared" ref="U78:U84" si="194">(T78/T10)*100</f>
        <v>2.7417845940236969</v>
      </c>
      <c r="V78" s="605"/>
      <c r="X78" s="610">
        <v>103.04</v>
      </c>
      <c r="Y78" s="609">
        <f t="shared" ref="Y78:Y84" si="195">(X78/X10)*100</f>
        <v>3.5071477195370999</v>
      </c>
      <c r="Z78" s="605"/>
      <c r="AB78" s="610">
        <v>97.552000000000007</v>
      </c>
      <c r="AC78" s="609">
        <f t="shared" ref="AC78:AC84" si="196">(AB78/AB10)*100</f>
        <v>3.2647859475516454</v>
      </c>
      <c r="AD78" s="605"/>
      <c r="AF78" s="610">
        <v>112.28100000000001</v>
      </c>
      <c r="AG78" s="609">
        <f t="shared" ref="AG78:AG84" si="197">(AF78/AF10)*100</f>
        <v>3.4017329657345412</v>
      </c>
      <c r="AH78" s="605"/>
      <c r="AJ78" s="610">
        <v>104.377</v>
      </c>
      <c r="AK78" s="609">
        <f t="shared" ref="AK78:AK84" si="198">(AJ78/AJ10)*100</f>
        <v>3.0621662852784133</v>
      </c>
      <c r="AL78" s="605"/>
      <c r="AN78" s="610">
        <v>77</v>
      </c>
      <c r="AO78" s="609">
        <f t="shared" ref="AO78:AO84" si="199">(AN78/AN10)*100</f>
        <v>2.2937146261543044</v>
      </c>
      <c r="AP78" s="605"/>
      <c r="AR78" s="610">
        <v>75</v>
      </c>
      <c r="AS78" s="609">
        <f t="shared" ref="AS78:AS84" si="200">(AR78/AR10)*100</f>
        <v>2.083333333333333</v>
      </c>
      <c r="AT78" s="605"/>
      <c r="AV78" s="610">
        <v>69</v>
      </c>
      <c r="AW78" s="609">
        <f t="shared" ref="AW78:AW84" si="201">(AV78/AV10)*100</f>
        <v>1.9311502938706968</v>
      </c>
      <c r="AX78" s="605"/>
      <c r="AZ78" s="610">
        <v>78</v>
      </c>
      <c r="BA78" s="609">
        <f t="shared" ref="BA78:BA84" si="202">(AZ78/AZ10)*100</f>
        <v>2.1934758155230596</v>
      </c>
      <c r="BB78" s="605"/>
      <c r="BD78" s="610">
        <v>74</v>
      </c>
      <c r="BE78" s="609">
        <f t="shared" ref="BE78:BE84" si="203">(BD78/BD10)*100</f>
        <v>2.1430640023168261</v>
      </c>
      <c r="BF78" s="605"/>
      <c r="BH78" s="610">
        <v>70</v>
      </c>
      <c r="BI78" s="609">
        <f t="shared" ref="BI78:BI84" si="204">(BH78/BH10)*100</f>
        <v>2.1270130659374051</v>
      </c>
      <c r="BJ78" s="605"/>
      <c r="BL78" s="610">
        <v>60</v>
      </c>
      <c r="BM78" s="609">
        <f t="shared" ref="BM78:BM84" si="205">(BL78/BL10)*100</f>
        <v>1.6901408450704223</v>
      </c>
      <c r="BN78" s="605"/>
      <c r="BP78" s="610">
        <v>54</v>
      </c>
      <c r="BQ78" s="609">
        <f t="shared" ref="BQ78:BQ84" si="206">(BP78/BP10)*100</f>
        <v>1.4831090359791266</v>
      </c>
      <c r="BR78" s="605"/>
      <c r="BT78" s="610">
        <v>138</v>
      </c>
      <c r="BU78" s="609">
        <f t="shared" ref="BU78:BU84" si="207">(BT78/BT10)*100</f>
        <v>2.3271500843170321</v>
      </c>
      <c r="BV78" s="605"/>
      <c r="BX78" s="610">
        <v>125</v>
      </c>
      <c r="BY78" s="609">
        <f t="shared" ref="BY78:BY84" si="208">(BX78/BX10)*100</f>
        <v>2.1111298767100153</v>
      </c>
      <c r="BZ78" s="605"/>
      <c r="CB78" s="610">
        <v>136</v>
      </c>
      <c r="CC78" s="609">
        <f t="shared" ref="CC78:CC84" si="209">(CB78/CB10)*100</f>
        <v>2.3664520619453628</v>
      </c>
      <c r="CD78" s="605"/>
      <c r="CF78" s="610">
        <v>141</v>
      </c>
      <c r="CG78" s="609">
        <f t="shared" ref="CG78:CG84" si="210">(CF78/CF10)*100</f>
        <v>2.6664145234493191</v>
      </c>
      <c r="CH78" s="605"/>
      <c r="CJ78" s="1000">
        <v>162</v>
      </c>
      <c r="CK78" s="609">
        <f t="shared" ref="CK78:CK84" si="211">(CJ78/CJ10)*100</f>
        <v>2.9063509149623248</v>
      </c>
      <c r="CL78" s="605"/>
      <c r="CN78" s="1000">
        <v>116</v>
      </c>
      <c r="CO78" s="609">
        <f t="shared" ref="CO78:CO84" si="212">(CN78/CN10)*100</f>
        <v>1.9697741552046188</v>
      </c>
      <c r="CP78" s="605"/>
      <c r="CR78" s="1000">
        <v>112</v>
      </c>
      <c r="CS78" s="609">
        <f t="shared" ref="CS78:CS84" si="213">(CR78/CR10)*100</f>
        <v>1.8232134136415432</v>
      </c>
      <c r="CV78" s="1000">
        <v>97</v>
      </c>
      <c r="CW78" s="609">
        <f t="shared" ref="CW78:CW84" si="214">(CV78/CV10)*100</f>
        <v>1.5187098794426179</v>
      </c>
      <c r="CZ78" s="1000">
        <v>100</v>
      </c>
      <c r="DA78" s="609">
        <f t="shared" ref="DA78:DA84" si="215">(CZ78/CZ10)*100</f>
        <v>1.592610288262462</v>
      </c>
      <c r="DD78" s="1000">
        <v>95</v>
      </c>
      <c r="DE78" s="609">
        <f t="shared" ref="DE78:DE84" si="216">(DD78/DD10)*100</f>
        <v>1.524390243902439</v>
      </c>
      <c r="DH78" s="1000">
        <v>98</v>
      </c>
      <c r="DI78" s="609">
        <f t="shared" ref="DI78:DI84" si="217">(DH78/DH10)*100</f>
        <v>1.6972635954277795</v>
      </c>
      <c r="DL78" s="1000">
        <f>84</f>
        <v>84</v>
      </c>
      <c r="DM78" s="609">
        <f t="shared" ref="DM78:DM84" si="218">(DL78/DL10)*100</f>
        <v>1.5695067264573992</v>
      </c>
      <c r="DP78" s="1138">
        <v>69</v>
      </c>
      <c r="DQ78" s="1142">
        <f t="shared" ref="DQ78:DQ84" si="219">(DP78/DP10)*100</f>
        <v>1.2983259498101059</v>
      </c>
      <c r="DY78" s="185" t="s">
        <v>215</v>
      </c>
      <c r="EA78" s="385"/>
      <c r="EB78" s="385"/>
      <c r="EC78" s="385"/>
    </row>
    <row r="79" spans="1:139" x14ac:dyDescent="0.2">
      <c r="A79" s="604" t="s">
        <v>80</v>
      </c>
      <c r="D79" s="468">
        <v>137.041</v>
      </c>
      <c r="E79" s="609">
        <f t="shared" si="190"/>
        <v>8.9822192159361123</v>
      </c>
      <c r="F79" s="605"/>
      <c r="H79" s="468">
        <v>110.38500000000001</v>
      </c>
      <c r="I79" s="609">
        <f t="shared" si="191"/>
        <v>7.3799442818719534</v>
      </c>
      <c r="J79" s="605"/>
      <c r="L79" s="468">
        <v>49.753999999999998</v>
      </c>
      <c r="M79" s="609">
        <f t="shared" si="192"/>
        <v>3.4143281828587737</v>
      </c>
      <c r="N79" s="605"/>
      <c r="P79" s="468">
        <v>40.268999999999998</v>
      </c>
      <c r="Q79" s="609">
        <f t="shared" si="193"/>
        <v>2.6805113267229714</v>
      </c>
      <c r="R79" s="605"/>
      <c r="T79" s="468">
        <v>48.698</v>
      </c>
      <c r="U79" s="609">
        <f t="shared" si="194"/>
        <v>3.0510619635361191</v>
      </c>
      <c r="V79" s="605"/>
      <c r="X79" s="468">
        <v>109.76</v>
      </c>
      <c r="Y79" s="609">
        <f t="shared" si="195"/>
        <v>3.7450525453801009</v>
      </c>
      <c r="Z79" s="605"/>
      <c r="AB79" s="468">
        <v>103.21599999999999</v>
      </c>
      <c r="AC79" s="609">
        <f t="shared" si="196"/>
        <v>3.3874630784378073</v>
      </c>
      <c r="AD79" s="605"/>
      <c r="AF79" s="468">
        <v>115.614</v>
      </c>
      <c r="AG79" s="609">
        <f t="shared" si="197"/>
        <v>3.5203093599658981</v>
      </c>
      <c r="AH79" s="605"/>
      <c r="AJ79" s="468">
        <v>99.263000000000005</v>
      </c>
      <c r="AK79" s="609">
        <f t="shared" si="198"/>
        <v>2.8748551899907322</v>
      </c>
      <c r="AL79" s="605"/>
      <c r="AN79" s="468">
        <v>74</v>
      </c>
      <c r="AO79" s="609">
        <f t="shared" si="199"/>
        <v>2.1599532983070637</v>
      </c>
      <c r="AP79" s="605"/>
      <c r="AR79" s="468">
        <v>85</v>
      </c>
      <c r="AS79" s="609">
        <f t="shared" si="200"/>
        <v>2.1218172740888668</v>
      </c>
      <c r="AT79" s="605"/>
      <c r="AV79" s="468">
        <v>78</v>
      </c>
      <c r="AW79" s="609">
        <f t="shared" si="201"/>
        <v>2.1201413427561837</v>
      </c>
      <c r="AX79" s="605"/>
      <c r="AZ79" s="468">
        <v>78</v>
      </c>
      <c r="BA79" s="609">
        <f t="shared" si="202"/>
        <v>2.2362385321100917</v>
      </c>
      <c r="BB79" s="605"/>
      <c r="BD79" s="468">
        <v>78</v>
      </c>
      <c r="BE79" s="609">
        <f t="shared" si="203"/>
        <v>2.2375215146299485</v>
      </c>
      <c r="BF79" s="605"/>
      <c r="BH79" s="468">
        <v>65</v>
      </c>
      <c r="BI79" s="609">
        <f t="shared" si="204"/>
        <v>1.8928363424577752</v>
      </c>
      <c r="BJ79" s="605"/>
      <c r="BL79" s="468">
        <v>60</v>
      </c>
      <c r="BM79" s="609">
        <f t="shared" si="205"/>
        <v>1.6755096341803963</v>
      </c>
      <c r="BN79" s="605"/>
      <c r="BP79" s="468">
        <v>54</v>
      </c>
      <c r="BQ79" s="609">
        <f t="shared" si="206"/>
        <v>1.4904775048302512</v>
      </c>
      <c r="BR79" s="605"/>
      <c r="BT79" s="468">
        <v>116</v>
      </c>
      <c r="BU79" s="609">
        <f t="shared" si="207"/>
        <v>1.9349457881567971</v>
      </c>
      <c r="BV79" s="605"/>
      <c r="BX79" s="468">
        <v>137</v>
      </c>
      <c r="BY79" s="609">
        <f t="shared" si="208"/>
        <v>2.3251866938221317</v>
      </c>
      <c r="BZ79" s="605"/>
      <c r="CB79" s="468">
        <v>138</v>
      </c>
      <c r="CC79" s="609">
        <f t="shared" si="209"/>
        <v>2.4134312696747111</v>
      </c>
      <c r="CD79" s="605"/>
      <c r="CF79" s="468">
        <v>139</v>
      </c>
      <c r="CG79" s="609">
        <f t="shared" si="210"/>
        <v>2.6300851466414379</v>
      </c>
      <c r="CH79" s="605"/>
      <c r="CJ79" s="1001">
        <v>130</v>
      </c>
      <c r="CK79" s="609">
        <f t="shared" si="211"/>
        <v>2.3478417915838903</v>
      </c>
      <c r="CL79" s="605"/>
      <c r="CN79" s="1001">
        <v>111</v>
      </c>
      <c r="CO79" s="609">
        <f t="shared" si="212"/>
        <v>1.869001515406634</v>
      </c>
      <c r="CP79" s="605"/>
      <c r="CR79" s="1001">
        <v>105</v>
      </c>
      <c r="CS79" s="609">
        <f t="shared" si="213"/>
        <v>1.7162471395881007</v>
      </c>
      <c r="CV79" s="1001">
        <v>96</v>
      </c>
      <c r="CW79" s="609">
        <f t="shared" si="214"/>
        <v>1.5825914935707219</v>
      </c>
      <c r="CZ79" s="1001">
        <v>100</v>
      </c>
      <c r="DA79" s="609">
        <f t="shared" si="215"/>
        <v>1.5956598053295037</v>
      </c>
      <c r="DD79" s="1001">
        <v>93</v>
      </c>
      <c r="DE79" s="609">
        <f t="shared" si="216"/>
        <v>1.5235910878112713</v>
      </c>
      <c r="DH79" s="1001">
        <v>97</v>
      </c>
      <c r="DI79" s="609">
        <f t="shared" si="217"/>
        <v>1.6253351206434317</v>
      </c>
      <c r="DL79" s="1001">
        <v>79</v>
      </c>
      <c r="DM79" s="609">
        <f t="shared" si="218"/>
        <v>1.401952085181899</v>
      </c>
      <c r="DP79" s="1141">
        <v>64</v>
      </c>
      <c r="DQ79" s="1142">
        <f t="shared" si="219"/>
        <v>1.1696793525093734</v>
      </c>
      <c r="DY79" s="185" t="s">
        <v>215</v>
      </c>
    </row>
    <row r="80" spans="1:139" x14ac:dyDescent="0.2">
      <c r="A80" s="604" t="s">
        <v>81</v>
      </c>
      <c r="C80" s="606"/>
      <c r="D80" s="468">
        <v>134.49700000000001</v>
      </c>
      <c r="E80" s="609">
        <f t="shared" si="190"/>
        <v>7.6101932466374365</v>
      </c>
      <c r="F80" s="605"/>
      <c r="H80" s="468">
        <v>109.601</v>
      </c>
      <c r="I80" s="609">
        <f t="shared" si="191"/>
        <v>6.4135371212258638</v>
      </c>
      <c r="J80" s="605"/>
      <c r="L80" s="468">
        <v>43.933</v>
      </c>
      <c r="M80" s="609">
        <f t="shared" si="192"/>
        <v>2.4557775026342048</v>
      </c>
      <c r="N80" s="605"/>
      <c r="P80" s="468">
        <v>39.991999999999997</v>
      </c>
      <c r="Q80" s="609">
        <f t="shared" si="193"/>
        <v>2.2350452547483255</v>
      </c>
      <c r="R80" s="605"/>
      <c r="T80" s="468">
        <v>50.985999999999997</v>
      </c>
      <c r="U80" s="609">
        <f t="shared" si="194"/>
        <v>2.6461339487889575</v>
      </c>
      <c r="V80" s="605"/>
      <c r="X80" s="468">
        <v>114.24</v>
      </c>
      <c r="Y80" s="609">
        <f t="shared" si="195"/>
        <v>3.4075046232774562</v>
      </c>
      <c r="Z80" s="605"/>
      <c r="AB80" s="468">
        <v>104.617</v>
      </c>
      <c r="AC80" s="609">
        <f t="shared" si="196"/>
        <v>3.1383267217194519</v>
      </c>
      <c r="AD80" s="605"/>
      <c r="AF80" s="468">
        <v>113.361</v>
      </c>
      <c r="AG80" s="609">
        <f t="shared" si="197"/>
        <v>3.1409769748690808</v>
      </c>
      <c r="AH80" s="605"/>
      <c r="AJ80" s="468">
        <v>91.878</v>
      </c>
      <c r="AK80" s="609">
        <f t="shared" si="198"/>
        <v>2.4526307359654038</v>
      </c>
      <c r="AL80" s="605"/>
      <c r="AN80" s="468">
        <v>72</v>
      </c>
      <c r="AO80" s="609">
        <f t="shared" si="199"/>
        <v>2.029312288613303</v>
      </c>
      <c r="AP80" s="605"/>
      <c r="AR80" s="468">
        <v>91</v>
      </c>
      <c r="AS80" s="609">
        <f t="shared" si="200"/>
        <v>2.1996615905245349</v>
      </c>
      <c r="AT80" s="605"/>
      <c r="AV80" s="468">
        <v>84</v>
      </c>
      <c r="AW80" s="609">
        <f t="shared" si="201"/>
        <v>2.2210470650449499</v>
      </c>
      <c r="AX80" s="605"/>
      <c r="AZ80" s="468">
        <v>80</v>
      </c>
      <c r="BA80" s="609">
        <f t="shared" si="202"/>
        <v>2.3021582733812949</v>
      </c>
      <c r="BB80" s="605"/>
      <c r="BD80" s="468">
        <v>73</v>
      </c>
      <c r="BE80" s="609">
        <f t="shared" si="203"/>
        <v>2.098304110376545</v>
      </c>
      <c r="BF80" s="605"/>
      <c r="BH80" s="468">
        <v>61</v>
      </c>
      <c r="BI80" s="609">
        <f t="shared" si="204"/>
        <v>1.7498565691336776</v>
      </c>
      <c r="BJ80" s="605"/>
      <c r="BL80" s="468">
        <v>55</v>
      </c>
      <c r="BM80" s="609">
        <f t="shared" si="205"/>
        <v>1.5602836879432624</v>
      </c>
      <c r="BN80" s="605"/>
      <c r="BP80" s="468">
        <v>145</v>
      </c>
      <c r="BQ80" s="609">
        <f t="shared" si="206"/>
        <v>2.6102610261026102</v>
      </c>
      <c r="BR80" s="605"/>
      <c r="BT80" s="468">
        <v>104</v>
      </c>
      <c r="BU80" s="609">
        <f t="shared" si="207"/>
        <v>1.766904519198097</v>
      </c>
      <c r="BV80" s="605"/>
      <c r="BX80" s="468">
        <v>145</v>
      </c>
      <c r="BY80" s="609">
        <f t="shared" si="208"/>
        <v>2.4551303758889262</v>
      </c>
      <c r="BZ80" s="605"/>
      <c r="CB80" s="468">
        <v>143</v>
      </c>
      <c r="CC80" s="609">
        <f t="shared" si="209"/>
        <v>2.6033133078463502</v>
      </c>
      <c r="CD80" s="605"/>
      <c r="CF80" s="468">
        <v>137</v>
      </c>
      <c r="CG80" s="609">
        <f t="shared" si="210"/>
        <v>2.5441039925719591</v>
      </c>
      <c r="CH80" s="605"/>
      <c r="CJ80" s="1001">
        <v>164</v>
      </c>
      <c r="CK80" s="609">
        <f t="shared" si="211"/>
        <v>2.9165925662457761</v>
      </c>
      <c r="CL80" s="605"/>
      <c r="CN80" s="1001">
        <v>108</v>
      </c>
      <c r="CO80" s="609">
        <f t="shared" si="212"/>
        <v>1.8452075858534085</v>
      </c>
      <c r="CP80" s="605"/>
      <c r="CR80" s="1001">
        <v>103</v>
      </c>
      <c r="CS80" s="609">
        <f t="shared" si="213"/>
        <v>1.6954732510288066</v>
      </c>
      <c r="CV80" s="1001">
        <v>96</v>
      </c>
      <c r="CW80" s="609">
        <f t="shared" si="214"/>
        <v>1.5296367112810707</v>
      </c>
      <c r="CZ80" s="1001">
        <v>96</v>
      </c>
      <c r="DA80" s="609">
        <f t="shared" si="215"/>
        <v>1.549636803874092</v>
      </c>
      <c r="DD80" s="1001">
        <v>80</v>
      </c>
      <c r="DE80" s="609">
        <f t="shared" si="216"/>
        <v>1.3619339462036091</v>
      </c>
      <c r="DH80" s="1001">
        <v>81</v>
      </c>
      <c r="DI80" s="609">
        <f t="shared" si="217"/>
        <v>1.4374445430346052</v>
      </c>
      <c r="DL80" s="1472">
        <v>74</v>
      </c>
      <c r="DM80" s="609">
        <f t="shared" si="218"/>
        <v>1.399659542273501</v>
      </c>
      <c r="DN80" s="1435"/>
      <c r="DO80" s="1435"/>
      <c r="DP80" s="1436">
        <v>63</v>
      </c>
      <c r="DQ80" s="1142">
        <f t="shared" si="219"/>
        <v>1.1892235955552486</v>
      </c>
      <c r="DY80" s="185" t="s">
        <v>215</v>
      </c>
    </row>
    <row r="81" spans="1:139" x14ac:dyDescent="0.2">
      <c r="A81" s="604" t="s">
        <v>82</v>
      </c>
      <c r="D81" s="616">
        <v>134.244</v>
      </c>
      <c r="E81" s="609">
        <f t="shared" si="190"/>
        <v>5.9439345690775847</v>
      </c>
      <c r="F81" s="605"/>
      <c r="H81" s="616">
        <v>101.13</v>
      </c>
      <c r="I81" s="609">
        <f t="shared" si="191"/>
        <v>4.7384105029377857</v>
      </c>
      <c r="J81" s="605"/>
      <c r="L81" s="616">
        <v>46.881999999999998</v>
      </c>
      <c r="M81" s="609">
        <f t="shared" si="192"/>
        <v>2.0725558102914272</v>
      </c>
      <c r="N81" s="605"/>
      <c r="P81" s="616">
        <v>40.606000000000002</v>
      </c>
      <c r="Q81" s="609">
        <f t="shared" si="193"/>
        <v>1.7297226377865551</v>
      </c>
      <c r="R81" s="605"/>
      <c r="T81" s="616">
        <v>54.424999999999997</v>
      </c>
      <c r="U81" s="609">
        <f t="shared" si="194"/>
        <v>2.150391061011049</v>
      </c>
      <c r="V81" s="605"/>
      <c r="X81" s="616">
        <v>120.96</v>
      </c>
      <c r="Y81" s="609">
        <f t="shared" si="195"/>
        <v>2.6999397334880912</v>
      </c>
      <c r="Z81" s="605"/>
      <c r="AB81" s="616">
        <v>107.88</v>
      </c>
      <c r="AC81" s="609">
        <f t="shared" si="196"/>
        <v>2.330273247650934</v>
      </c>
      <c r="AD81" s="605"/>
      <c r="AF81" s="616">
        <v>110.508</v>
      </c>
      <c r="AG81" s="609">
        <f t="shared" si="197"/>
        <v>2.1946220757040154</v>
      </c>
      <c r="AH81" s="605"/>
      <c r="AJ81" s="616">
        <v>86.977000000000004</v>
      </c>
      <c r="AK81" s="609">
        <f t="shared" si="198"/>
        <v>1.7188736384699483</v>
      </c>
      <c r="AL81" s="605"/>
      <c r="AN81" s="616">
        <v>69</v>
      </c>
      <c r="AO81" s="609">
        <f t="shared" si="199"/>
        <v>1.3706793802145412</v>
      </c>
      <c r="AP81" s="605"/>
      <c r="AR81" s="616">
        <v>104</v>
      </c>
      <c r="AS81" s="609">
        <f t="shared" si="200"/>
        <v>1.7411685919973212</v>
      </c>
      <c r="AT81" s="605"/>
      <c r="AV81" s="616">
        <v>90</v>
      </c>
      <c r="AW81" s="609">
        <f t="shared" si="201"/>
        <v>1.6059957173447537</v>
      </c>
      <c r="AX81" s="605"/>
      <c r="AZ81" s="616">
        <v>88</v>
      </c>
      <c r="BA81" s="609">
        <f t="shared" si="202"/>
        <v>1.7147310989867499</v>
      </c>
      <c r="BB81" s="605"/>
      <c r="BD81" s="616">
        <v>70</v>
      </c>
      <c r="BE81" s="609">
        <f t="shared" si="203"/>
        <v>1.3952561291608532</v>
      </c>
      <c r="BF81" s="605"/>
      <c r="BH81" s="616">
        <v>61</v>
      </c>
      <c r="BI81" s="609">
        <f t="shared" si="204"/>
        <v>1.207203641401148</v>
      </c>
      <c r="BJ81" s="605"/>
      <c r="BL81" s="616">
        <v>50</v>
      </c>
      <c r="BM81" s="609">
        <f t="shared" si="205"/>
        <v>0.9765625</v>
      </c>
      <c r="BN81" s="605"/>
      <c r="BP81" s="616">
        <v>144</v>
      </c>
      <c r="BQ81" s="609">
        <f t="shared" si="206"/>
        <v>1.5045449796259536</v>
      </c>
      <c r="BR81" s="605"/>
      <c r="BT81" s="616">
        <v>103</v>
      </c>
      <c r="BU81" s="609">
        <f t="shared" si="207"/>
        <v>1.1245769188776067</v>
      </c>
      <c r="BV81" s="605"/>
      <c r="BX81" s="616">
        <v>136</v>
      </c>
      <c r="BY81" s="609">
        <f t="shared" si="208"/>
        <v>1.5824994181987435</v>
      </c>
      <c r="BZ81" s="605"/>
      <c r="CB81" s="616">
        <v>143</v>
      </c>
      <c r="CC81" s="609">
        <f t="shared" si="209"/>
        <v>1.8023695487774136</v>
      </c>
      <c r="CD81" s="605"/>
      <c r="CF81" s="616">
        <v>139</v>
      </c>
      <c r="CG81" s="609">
        <f t="shared" si="210"/>
        <v>1.7512914199319642</v>
      </c>
      <c r="CH81" s="605"/>
      <c r="CJ81" s="1002">
        <v>118</v>
      </c>
      <c r="CK81" s="609">
        <f t="shared" si="211"/>
        <v>1.4270165679042206</v>
      </c>
      <c r="CL81" s="605"/>
      <c r="CN81" s="1002">
        <v>108</v>
      </c>
      <c r="CO81" s="609">
        <f t="shared" si="212"/>
        <v>1.2379642365887207</v>
      </c>
      <c r="CP81" s="605"/>
      <c r="CR81" s="1002">
        <f>106</f>
        <v>106</v>
      </c>
      <c r="CS81" s="609">
        <f t="shared" si="213"/>
        <v>1.1336898395721926</v>
      </c>
      <c r="CV81" s="1002">
        <v>99</v>
      </c>
      <c r="CW81" s="609">
        <f t="shared" si="214"/>
        <v>1.0758530754183875</v>
      </c>
      <c r="CZ81" s="1002">
        <v>97</v>
      </c>
      <c r="DA81" s="609">
        <f t="shared" si="215"/>
        <v>1.0358821016659547</v>
      </c>
      <c r="DD81" s="1002">
        <v>93</v>
      </c>
      <c r="DE81" s="609">
        <f t="shared" si="216"/>
        <v>1.04859623407374</v>
      </c>
      <c r="DH81" s="1002">
        <v>87</v>
      </c>
      <c r="DI81" s="609">
        <f t="shared" si="217"/>
        <v>1.0195710769951951</v>
      </c>
      <c r="DL81" s="1002">
        <v>73</v>
      </c>
      <c r="DM81" s="609">
        <f t="shared" si="218"/>
        <v>0.84188674893322568</v>
      </c>
      <c r="DN81" s="1435"/>
      <c r="DO81" s="1435"/>
      <c r="DP81" s="1181">
        <v>59</v>
      </c>
      <c r="DQ81" s="1142">
        <f t="shared" si="219"/>
        <v>0.69644730425905865</v>
      </c>
      <c r="DY81" s="185" t="s">
        <v>215</v>
      </c>
      <c r="EA81" s="385"/>
      <c r="EB81" s="385"/>
      <c r="EC81" s="385"/>
    </row>
    <row r="82" spans="1:139" x14ac:dyDescent="0.2">
      <c r="A82" s="604" t="s">
        <v>83</v>
      </c>
      <c r="D82" s="610">
        <v>555.94200000000001</v>
      </c>
      <c r="E82" s="609">
        <f t="shared" si="190"/>
        <v>7.7841406231294581</v>
      </c>
      <c r="F82" s="605"/>
      <c r="H82" s="610">
        <v>436.99700000000001</v>
      </c>
      <c r="I82" s="609">
        <f t="shared" si="191"/>
        <v>6.3037599373254833</v>
      </c>
      <c r="J82" s="605"/>
      <c r="L82" s="610">
        <v>197.85400000000001</v>
      </c>
      <c r="M82" s="609">
        <f t="shared" si="192"/>
        <v>2.7945713106931258</v>
      </c>
      <c r="N82" s="605"/>
      <c r="P82" s="610">
        <v>164.13899999999998</v>
      </c>
      <c r="Q82" s="609">
        <f t="shared" si="193"/>
        <v>2.2704354963602813</v>
      </c>
      <c r="R82" s="605"/>
      <c r="T82" s="610">
        <v>199.44799999999998</v>
      </c>
      <c r="U82" s="609">
        <f t="shared" si="194"/>
        <v>2.5877209883337962</v>
      </c>
      <c r="V82" s="605"/>
      <c r="X82" s="610">
        <v>448</v>
      </c>
      <c r="Y82" s="609">
        <f t="shared" si="195"/>
        <v>3.2697149947086084</v>
      </c>
      <c r="Z82" s="605"/>
      <c r="AB82" s="610">
        <f>SUM(AB78:AB81)</f>
        <v>413.26499999999999</v>
      </c>
      <c r="AC82" s="609">
        <f t="shared" si="196"/>
        <v>2.9523074454598413</v>
      </c>
      <c r="AD82" s="605"/>
      <c r="AF82" s="610">
        <v>451.76400000000001</v>
      </c>
      <c r="AG82" s="609">
        <f t="shared" si="197"/>
        <v>3.0456684419874605</v>
      </c>
      <c r="AH82" s="605"/>
      <c r="AJ82" s="610">
        <v>383</v>
      </c>
      <c r="AK82" s="609">
        <f t="shared" si="198"/>
        <v>2.5164257555847569</v>
      </c>
      <c r="AL82" s="605"/>
      <c r="AN82" s="610">
        <v>292</v>
      </c>
      <c r="AO82" s="609">
        <f t="shared" si="199"/>
        <v>1.9004230393752035</v>
      </c>
      <c r="AP82" s="605"/>
      <c r="AR82" s="610">
        <v>307</v>
      </c>
      <c r="AS82" s="609">
        <f t="shared" si="200"/>
        <v>1.9152785576143239</v>
      </c>
      <c r="AT82" s="605"/>
      <c r="AV82" s="610">
        <v>321</v>
      </c>
      <c r="AW82" s="609">
        <f t="shared" si="201"/>
        <v>1.9293184276956366</v>
      </c>
      <c r="AX82" s="605"/>
      <c r="AZ82" s="610">
        <v>324</v>
      </c>
      <c r="BA82" s="609">
        <f t="shared" si="202"/>
        <v>2.0525815647766867</v>
      </c>
      <c r="BB82" s="605"/>
      <c r="BD82" s="610">
        <v>295</v>
      </c>
      <c r="BE82" s="609">
        <f t="shared" si="203"/>
        <v>1.8945475563547622</v>
      </c>
      <c r="BF82" s="605"/>
      <c r="BH82" s="610">
        <v>257</v>
      </c>
      <c r="BI82" s="609">
        <f t="shared" si="204"/>
        <v>1.6675317934077343</v>
      </c>
      <c r="BJ82" s="605"/>
      <c r="BL82" s="610">
        <v>225</v>
      </c>
      <c r="BM82" s="609">
        <f t="shared" si="205"/>
        <v>1.4262170385395538</v>
      </c>
      <c r="BN82" s="605"/>
      <c r="BP82" s="610">
        <v>397</v>
      </c>
      <c r="BQ82" s="609">
        <f t="shared" si="206"/>
        <v>1.7731129968736044</v>
      </c>
      <c r="BR82" s="605"/>
      <c r="BT82" s="610">
        <v>461</v>
      </c>
      <c r="BU82" s="609">
        <f t="shared" si="207"/>
        <v>1.7093066370040786</v>
      </c>
      <c r="BV82" s="605"/>
      <c r="BX82" s="610">
        <v>543</v>
      </c>
      <c r="BY82" s="609">
        <f t="shared" si="208"/>
        <v>2.0636187435868205</v>
      </c>
      <c r="BZ82" s="605"/>
      <c r="CB82" s="610">
        <v>560</v>
      </c>
      <c r="CC82" s="609">
        <f t="shared" si="209"/>
        <v>2.2497187851518561</v>
      </c>
      <c r="CD82" s="605"/>
      <c r="CF82" s="610">
        <v>556</v>
      </c>
      <c r="CG82" s="609">
        <f t="shared" si="210"/>
        <v>2.3268466206319314</v>
      </c>
      <c r="CH82" s="605"/>
      <c r="CJ82" s="543">
        <f>SUM(CJ78:CJ81)</f>
        <v>574</v>
      </c>
      <c r="CK82" s="609">
        <f t="shared" si="211"/>
        <v>2.2957245130584329</v>
      </c>
      <c r="CL82" s="605"/>
      <c r="CN82" s="543">
        <f>SUM(CN78:CN81)</f>
        <v>443</v>
      </c>
      <c r="CO82" s="609">
        <f t="shared" si="212"/>
        <v>1.677712554440447</v>
      </c>
      <c r="CP82" s="605"/>
      <c r="CR82" s="543">
        <v>422</v>
      </c>
      <c r="CS82" s="609">
        <f t="shared" si="213"/>
        <v>1.5242360759950879</v>
      </c>
      <c r="CV82" s="543">
        <f>SUM(CV78:CV81)</f>
        <v>388</v>
      </c>
      <c r="CW82" s="609">
        <f t="shared" si="214"/>
        <v>1.3891375174537253</v>
      </c>
      <c r="CZ82" s="543">
        <f>SUM(CZ78:CZ81)</f>
        <v>393</v>
      </c>
      <c r="DA82" s="609">
        <f t="shared" si="215"/>
        <v>1.3983276996975627</v>
      </c>
      <c r="DD82" s="543">
        <f>SUM(DD78:DD81)</f>
        <v>361</v>
      </c>
      <c r="DE82" s="609">
        <f t="shared" si="216"/>
        <v>1.3331363787436759</v>
      </c>
      <c r="DH82" s="543">
        <f>SUM(DH78:DH81)</f>
        <v>363</v>
      </c>
      <c r="DI82" s="609">
        <f t="shared" si="217"/>
        <v>1.4010034735623311</v>
      </c>
      <c r="DL82" s="543">
        <f>SUM(DL78:DL81)</f>
        <v>310</v>
      </c>
      <c r="DM82" s="609">
        <f t="shared" si="218"/>
        <v>1.2427340148326318</v>
      </c>
      <c r="DP82" s="1117">
        <f>SUM(DP78:DP81)</f>
        <v>255</v>
      </c>
      <c r="DQ82" s="1142">
        <f t="shared" si="219"/>
        <v>1.0384739531592049</v>
      </c>
      <c r="DY82" s="185" t="s">
        <v>215</v>
      </c>
      <c r="EA82" s="627"/>
      <c r="EB82" s="627"/>
      <c r="EC82" s="627"/>
    </row>
    <row r="83" spans="1:139" x14ac:dyDescent="0.2">
      <c r="A83" s="604" t="s">
        <v>413</v>
      </c>
      <c r="D83" s="385">
        <f>D78+D79</f>
        <v>287.20100000000002</v>
      </c>
      <c r="E83" s="609">
        <f t="shared" si="190"/>
        <v>9.2165273067552551</v>
      </c>
      <c r="F83" s="605"/>
      <c r="H83" s="385">
        <f>H78+H79</f>
        <v>226.26600000000002</v>
      </c>
      <c r="I83" s="609">
        <f t="shared" si="191"/>
        <v>7.3245106601725647</v>
      </c>
      <c r="J83" s="605"/>
      <c r="L83" s="385">
        <f>L78+L79</f>
        <v>107.03899999999999</v>
      </c>
      <c r="M83" s="609">
        <f t="shared" si="192"/>
        <v>3.5338788710762645</v>
      </c>
      <c r="N83" s="605"/>
      <c r="P83" s="385">
        <f>P78+P79</f>
        <v>83.540999999999997</v>
      </c>
      <c r="Q83" s="609">
        <f t="shared" si="193"/>
        <v>2.7013655734254001</v>
      </c>
      <c r="R83" s="605"/>
      <c r="T83" s="385">
        <f>T78+T79</f>
        <v>94.037000000000006</v>
      </c>
      <c r="U83" s="609">
        <f t="shared" si="194"/>
        <v>2.8936856619824844</v>
      </c>
      <c r="V83" s="605"/>
      <c r="X83" s="385">
        <f>X78+X79</f>
        <v>212.8</v>
      </c>
      <c r="Y83" s="609">
        <f t="shared" si="195"/>
        <v>3.6259541984732824</v>
      </c>
      <c r="Z83" s="605"/>
      <c r="AB83" s="385">
        <f>AB78+AB79</f>
        <v>200.768</v>
      </c>
      <c r="AC83" s="609">
        <f t="shared" si="196"/>
        <v>3.3267241159329419</v>
      </c>
      <c r="AD83" s="605"/>
      <c r="AF83" s="385">
        <f>AF78+AF79</f>
        <v>227.89500000000001</v>
      </c>
      <c r="AG83" s="609">
        <f t="shared" si="197"/>
        <v>3.4608726024692857</v>
      </c>
      <c r="AH83" s="605"/>
      <c r="AJ83" s="385">
        <f>AJ78+AJ79</f>
        <v>203.64</v>
      </c>
      <c r="AK83" s="609">
        <f t="shared" si="198"/>
        <v>2.9679074241408459</v>
      </c>
      <c r="AL83" s="605"/>
      <c r="AN83" s="385">
        <f>AN78+AN79</f>
        <v>151</v>
      </c>
      <c r="AO83" s="609">
        <f t="shared" si="199"/>
        <v>2.2261536193424738</v>
      </c>
      <c r="AP83" s="605"/>
      <c r="AR83" s="385">
        <f>AR78+AR79</f>
        <v>160</v>
      </c>
      <c r="AS83" s="609">
        <f t="shared" si="200"/>
        <v>2.1036024191427818</v>
      </c>
      <c r="AT83" s="605"/>
      <c r="AV83" s="385">
        <f>AV78+AV79</f>
        <v>147</v>
      </c>
      <c r="AW83" s="609">
        <f t="shared" si="201"/>
        <v>2.0270270270270272</v>
      </c>
      <c r="AX83" s="605"/>
      <c r="AZ83" s="385">
        <f>AZ78+AZ79</f>
        <v>156</v>
      </c>
      <c r="BA83" s="609">
        <f t="shared" si="202"/>
        <v>2.2146507666098807</v>
      </c>
      <c r="BB83" s="605"/>
      <c r="BD83" s="385">
        <f>BD78+BD79</f>
        <v>152</v>
      </c>
      <c r="BE83" s="609">
        <f t="shared" si="203"/>
        <v>2.1905173656146419</v>
      </c>
      <c r="BF83" s="605"/>
      <c r="BH83" s="385">
        <f>BH78+BH79</f>
        <v>135</v>
      </c>
      <c r="BI83" s="609">
        <f t="shared" si="204"/>
        <v>2.0074349442379185</v>
      </c>
      <c r="BJ83" s="605"/>
      <c r="BL83" s="385">
        <f>BL78+BL79</f>
        <v>120</v>
      </c>
      <c r="BM83" s="609">
        <f t="shared" si="205"/>
        <v>1.6827934371055953</v>
      </c>
      <c r="BN83" s="605"/>
      <c r="BP83" s="385">
        <f>BP78+BP79</f>
        <v>108</v>
      </c>
      <c r="BQ83" s="609">
        <f t="shared" si="206"/>
        <v>1.4867841409691629</v>
      </c>
      <c r="BR83" s="605"/>
      <c r="BT83" s="385">
        <f>BT78+BT79</f>
        <v>254</v>
      </c>
      <c r="BU83" s="609">
        <f t="shared" si="207"/>
        <v>2.1299790356394128</v>
      </c>
      <c r="BV83" s="605"/>
      <c r="BX83" s="385">
        <f>BX78+BX79</f>
        <v>262</v>
      </c>
      <c r="BY83" s="609">
        <f t="shared" si="208"/>
        <v>2.2178955388131718</v>
      </c>
      <c r="BZ83" s="605"/>
      <c r="CB83" s="385">
        <f>CB78+CB79</f>
        <v>274</v>
      </c>
      <c r="CC83" s="609">
        <f t="shared" si="209"/>
        <v>2.3898822503270822</v>
      </c>
      <c r="CD83" s="605"/>
      <c r="CF83" s="385">
        <f>CF78+CF79</f>
        <v>280</v>
      </c>
      <c r="CG83" s="609">
        <f t="shared" si="210"/>
        <v>2.6482549891232385</v>
      </c>
      <c r="CH83" s="605"/>
      <c r="CJ83" s="385">
        <f>CJ78+CJ79</f>
        <v>292</v>
      </c>
      <c r="CK83" s="609">
        <f t="shared" si="211"/>
        <v>2.6280262802628025</v>
      </c>
      <c r="CL83" s="605"/>
      <c r="CN83" s="385">
        <f>CN78+CN79</f>
        <v>227</v>
      </c>
      <c r="CO83" s="609">
        <f t="shared" si="212"/>
        <v>1.9191748393642203</v>
      </c>
      <c r="CP83" s="605"/>
      <c r="CR83" s="385">
        <f>CR78+CR79</f>
        <v>217</v>
      </c>
      <c r="CS83" s="609">
        <f t="shared" si="213"/>
        <v>1.7698393279504117</v>
      </c>
      <c r="CV83" s="385">
        <f>CV78+CV79</f>
        <v>193</v>
      </c>
      <c r="CW83" s="609">
        <f t="shared" si="214"/>
        <v>1.5498273508391553</v>
      </c>
      <c r="CZ83" s="385">
        <f>CZ78+CZ79</f>
        <v>200</v>
      </c>
      <c r="DA83" s="609">
        <f t="shared" si="215"/>
        <v>1.5941335883947076</v>
      </c>
      <c r="DD83" s="385">
        <f>DD78+DD79</f>
        <v>188</v>
      </c>
      <c r="DE83" s="609">
        <f t="shared" si="216"/>
        <v>1.523994811932555</v>
      </c>
      <c r="DH83" s="385">
        <f>DH78+DH79</f>
        <v>195</v>
      </c>
      <c r="DI83" s="609">
        <f t="shared" si="217"/>
        <v>1.660705160960654</v>
      </c>
      <c r="DL83" s="385">
        <f>DL78+DL79</f>
        <v>163</v>
      </c>
      <c r="DM83" s="609">
        <f t="shared" si="218"/>
        <v>1.4835714935833257</v>
      </c>
      <c r="DP83" s="1092">
        <f>DP78+DP79</f>
        <v>133</v>
      </c>
      <c r="DQ83" s="1142">
        <f t="shared" si="219"/>
        <v>1.2330660855742301</v>
      </c>
      <c r="DY83" s="185" t="s">
        <v>215</v>
      </c>
      <c r="EA83" s="385"/>
      <c r="EB83" s="385"/>
    </row>
    <row r="84" spans="1:139" x14ac:dyDescent="0.2">
      <c r="A84" s="604" t="s">
        <v>414</v>
      </c>
      <c r="D84" s="385">
        <f>D80+D81</f>
        <v>268.74099999999999</v>
      </c>
      <c r="E84" s="609">
        <f t="shared" si="190"/>
        <v>6.6754168269855336</v>
      </c>
      <c r="F84" s="605"/>
      <c r="H84" s="385">
        <f>H80+H81</f>
        <v>210.73099999999999</v>
      </c>
      <c r="I84" s="609">
        <f t="shared" si="191"/>
        <v>5.4832727538606889</v>
      </c>
      <c r="J84" s="605"/>
      <c r="L84" s="385">
        <f>L80+L81</f>
        <v>90.814999999999998</v>
      </c>
      <c r="M84" s="609">
        <f t="shared" si="192"/>
        <v>2.2417904899107706</v>
      </c>
      <c r="N84" s="605"/>
      <c r="P84" s="385">
        <f>P80+P81</f>
        <v>80.597999999999999</v>
      </c>
      <c r="Q84" s="609">
        <f t="shared" si="193"/>
        <v>1.9482897531678016</v>
      </c>
      <c r="R84" s="605"/>
      <c r="T84" s="385">
        <f>T80+T81</f>
        <v>105.411</v>
      </c>
      <c r="U84" s="609">
        <f t="shared" si="194"/>
        <v>2.3646703962047186</v>
      </c>
      <c r="V84" s="605"/>
      <c r="X84" s="385">
        <f>X80+X81</f>
        <v>235.2</v>
      </c>
      <c r="Y84" s="609">
        <f t="shared" si="195"/>
        <v>3.0027959707380592</v>
      </c>
      <c r="Z84" s="605"/>
      <c r="AB84" s="385">
        <f>AB80+AB81</f>
        <v>212.49700000000001</v>
      </c>
      <c r="AC84" s="609">
        <f t="shared" si="196"/>
        <v>2.6685451815565639</v>
      </c>
      <c r="AD84" s="605"/>
      <c r="AF84" s="385">
        <f>AF80+AF81</f>
        <v>223.869</v>
      </c>
      <c r="AG84" s="609">
        <f t="shared" si="197"/>
        <v>2.5897275724449069</v>
      </c>
      <c r="AH84" s="605"/>
      <c r="AJ84" s="385">
        <f>AJ80+AJ81</f>
        <v>178.85500000000002</v>
      </c>
      <c r="AK84" s="609">
        <f t="shared" si="198"/>
        <v>2.0310085512324476</v>
      </c>
      <c r="AL84" s="605"/>
      <c r="AN84" s="385">
        <f>AN80+AN81</f>
        <v>141</v>
      </c>
      <c r="AO84" s="609">
        <f t="shared" si="199"/>
        <v>1.6429736658121652</v>
      </c>
      <c r="AP84" s="605"/>
      <c r="AR84" s="385">
        <f>AR80+AR81</f>
        <v>195</v>
      </c>
      <c r="AS84" s="609">
        <f t="shared" si="200"/>
        <v>1.9287833827893175</v>
      </c>
      <c r="AT84" s="605"/>
      <c r="AV84" s="385">
        <f>AV80+AV81</f>
        <v>174</v>
      </c>
      <c r="AW84" s="609">
        <f t="shared" si="201"/>
        <v>1.8538248455145963</v>
      </c>
      <c r="AX84" s="605"/>
      <c r="AZ84" s="385">
        <f>AZ80+AZ81</f>
        <v>168</v>
      </c>
      <c r="BA84" s="609">
        <f t="shared" si="202"/>
        <v>1.9518996165911469</v>
      </c>
      <c r="BB84" s="605"/>
      <c r="BD84" s="385">
        <f>BD80+BD81</f>
        <v>143</v>
      </c>
      <c r="BE84" s="609">
        <f t="shared" si="203"/>
        <v>1.6831450094161957</v>
      </c>
      <c r="BF84" s="605"/>
      <c r="BH84" s="385">
        <f>BH80+BH81</f>
        <v>122</v>
      </c>
      <c r="BI84" s="609">
        <f t="shared" si="204"/>
        <v>1.4287387281883124</v>
      </c>
      <c r="BJ84" s="605"/>
      <c r="BL84" s="385">
        <f>BL80+BL81</f>
        <v>105</v>
      </c>
      <c r="BM84" s="609">
        <f t="shared" si="205"/>
        <v>1.214574898785425</v>
      </c>
      <c r="BN84" s="605"/>
      <c r="BP84" s="385">
        <f>BP80+BP81</f>
        <v>289</v>
      </c>
      <c r="BQ84" s="609">
        <f t="shared" si="206"/>
        <v>1.910617479836044</v>
      </c>
      <c r="BR84" s="605"/>
      <c r="BT84" s="385">
        <f>BT80+BT81</f>
        <v>207</v>
      </c>
      <c r="BU84" s="609">
        <f t="shared" si="207"/>
        <v>1.3758723828514456</v>
      </c>
      <c r="BV84" s="605"/>
      <c r="BX84" s="385">
        <f>BX80+BX81</f>
        <v>281</v>
      </c>
      <c r="BY84" s="609">
        <f t="shared" si="208"/>
        <v>1.9379310344827587</v>
      </c>
      <c r="BZ84" s="605"/>
      <c r="CB84" s="385">
        <f>CB80+CB81</f>
        <v>286</v>
      </c>
      <c r="CC84" s="609">
        <f t="shared" si="209"/>
        <v>2.1300364936322334</v>
      </c>
      <c r="CD84" s="605"/>
      <c r="CF84" s="385">
        <f>CF80+CF81</f>
        <v>276</v>
      </c>
      <c r="CG84" s="609">
        <f t="shared" si="210"/>
        <v>2.0717609968473201</v>
      </c>
      <c r="CH84" s="605"/>
      <c r="CJ84" s="385">
        <f>CJ80+CJ81</f>
        <v>282</v>
      </c>
      <c r="CK84" s="609">
        <f t="shared" si="211"/>
        <v>2.0299452922545349</v>
      </c>
      <c r="CL84" s="605"/>
      <c r="CN84" s="385">
        <f>CN80+CN81</f>
        <v>216</v>
      </c>
      <c r="CO84" s="609">
        <f t="shared" si="212"/>
        <v>1.4817863757974892</v>
      </c>
      <c r="CP84" s="605"/>
      <c r="CR84" s="385">
        <f>CR80+CR81</f>
        <v>209</v>
      </c>
      <c r="CS84" s="609">
        <f t="shared" si="213"/>
        <v>1.3549432739059968</v>
      </c>
      <c r="CV84" s="385">
        <f>CV80+CV81</f>
        <v>195</v>
      </c>
      <c r="CW84" s="609">
        <f t="shared" si="214"/>
        <v>1.2598526941465304</v>
      </c>
      <c r="CZ84" s="385">
        <f>CZ80+CZ81</f>
        <v>193</v>
      </c>
      <c r="DA84" s="609">
        <f t="shared" si="215"/>
        <v>1.2404396169419629</v>
      </c>
      <c r="DD84" s="385">
        <f>DD80+DD81</f>
        <v>173</v>
      </c>
      <c r="DE84" s="609">
        <f t="shared" si="216"/>
        <v>1.1734382418775013</v>
      </c>
      <c r="DH84" s="385">
        <f>DH80+DH81</f>
        <v>168</v>
      </c>
      <c r="DI84" s="609">
        <f t="shared" si="217"/>
        <v>1.1857707509881421</v>
      </c>
      <c r="DL84" s="385">
        <f>DL80+DL81</f>
        <v>147</v>
      </c>
      <c r="DM84" s="609">
        <f t="shared" si="218"/>
        <v>1.053159478435306</v>
      </c>
      <c r="DP84" s="1092">
        <f>DP80+DP81</f>
        <v>122</v>
      </c>
      <c r="DQ84" s="1142">
        <f t="shared" si="219"/>
        <v>0.88603929613328836</v>
      </c>
      <c r="DY84" s="185" t="s">
        <v>215</v>
      </c>
    </row>
    <row r="85" spans="1:139" x14ac:dyDescent="0.2">
      <c r="D85" s="353"/>
      <c r="H85" s="353"/>
      <c r="L85" s="353"/>
      <c r="P85" s="353"/>
      <c r="T85" s="353"/>
      <c r="X85" s="353"/>
      <c r="AB85" s="353"/>
      <c r="AF85" s="353"/>
      <c r="AJ85" s="385"/>
      <c r="AN85" s="385"/>
      <c r="AR85" s="385"/>
      <c r="AV85" s="385"/>
      <c r="AZ85" s="385"/>
      <c r="BD85" s="385"/>
      <c r="BH85" s="385"/>
      <c r="BL85" s="385"/>
      <c r="BP85" s="385"/>
      <c r="BT85" s="385"/>
      <c r="BX85" s="385"/>
      <c r="CB85" s="385"/>
      <c r="CF85" s="385"/>
      <c r="CJ85" s="385"/>
      <c r="CN85" s="385"/>
      <c r="CR85" s="488"/>
      <c r="CV85" s="488"/>
      <c r="CZ85" s="488"/>
      <c r="DD85" s="488"/>
      <c r="DH85" s="488"/>
      <c r="DL85" s="488"/>
      <c r="DP85" s="1170"/>
      <c r="DY85" s="185" t="s">
        <v>215</v>
      </c>
      <c r="EC85" s="385"/>
    </row>
    <row r="86" spans="1:139" s="627" customFormat="1" ht="12.75" hidden="1" customHeight="1" outlineLevel="1" collapsed="1" x14ac:dyDescent="0.2">
      <c r="A86" s="626" t="s">
        <v>305</v>
      </c>
      <c r="D86" s="628"/>
      <c r="H86" s="628"/>
      <c r="L86" s="628"/>
      <c r="P86" s="628"/>
      <c r="T86" s="628"/>
      <c r="X86" s="628"/>
      <c r="AB86" s="628"/>
      <c r="AF86" s="628"/>
      <c r="AJ86" s="629"/>
      <c r="AN86" s="629"/>
      <c r="AR86" s="629"/>
      <c r="AV86" s="629"/>
      <c r="AZ86" s="629"/>
      <c r="BD86" s="629"/>
      <c r="BH86" s="629"/>
      <c r="BL86" s="629"/>
      <c r="BP86" s="629"/>
      <c r="BT86" s="629"/>
      <c r="BX86" s="629"/>
      <c r="CB86" s="629"/>
      <c r="CF86" s="629"/>
      <c r="CJ86" s="629"/>
      <c r="CN86" s="629"/>
      <c r="CZ86" s="626" t="s">
        <v>305</v>
      </c>
      <c r="DB86" s="626"/>
      <c r="DC86" s="600"/>
      <c r="DP86" s="1151"/>
      <c r="DQ86" s="1151"/>
      <c r="DR86" s="1151"/>
      <c r="DY86" s="627" t="s">
        <v>215</v>
      </c>
      <c r="EI86" s="600"/>
    </row>
    <row r="87" spans="1:139" ht="12.75" hidden="1" customHeight="1" outlineLevel="1" x14ac:dyDescent="0.2">
      <c r="D87" s="353"/>
      <c r="H87" s="353"/>
      <c r="L87" s="353"/>
      <c r="P87" s="353"/>
      <c r="T87" s="353"/>
      <c r="X87" s="353"/>
      <c r="AB87" s="353"/>
      <c r="AF87" s="353"/>
      <c r="AJ87" s="385"/>
      <c r="AN87" s="385"/>
      <c r="AR87" s="385"/>
      <c r="AV87" s="385"/>
      <c r="AZ87" s="385"/>
      <c r="BD87" s="385"/>
      <c r="BH87" s="385"/>
      <c r="BL87" s="385"/>
      <c r="BP87" s="385"/>
      <c r="BT87" s="385"/>
      <c r="BX87" s="385"/>
      <c r="CB87" s="385"/>
      <c r="CF87" s="385"/>
      <c r="CJ87" s="385"/>
      <c r="CN87" s="385"/>
      <c r="DY87" s="185" t="s">
        <v>215</v>
      </c>
    </row>
    <row r="88" spans="1:139" ht="12.75" hidden="1" customHeight="1" outlineLevel="1" x14ac:dyDescent="0.2">
      <c r="A88" s="604" t="s">
        <v>79</v>
      </c>
      <c r="D88" s="610">
        <v>0</v>
      </c>
      <c r="E88" s="664"/>
      <c r="F88" s="665"/>
      <c r="G88" s="666"/>
      <c r="H88" s="610">
        <v>0</v>
      </c>
      <c r="I88" s="664"/>
      <c r="J88" s="665"/>
      <c r="K88" s="666"/>
      <c r="L88" s="610">
        <v>4.4000000000000004</v>
      </c>
      <c r="M88" s="664"/>
      <c r="N88" s="665"/>
      <c r="O88" s="488"/>
      <c r="P88" s="610">
        <v>3.85</v>
      </c>
      <c r="Q88" s="664"/>
      <c r="R88" s="665"/>
      <c r="S88" s="488"/>
      <c r="T88" s="610">
        <v>5.2009999999999996</v>
      </c>
      <c r="U88" s="664"/>
      <c r="V88" s="665"/>
      <c r="W88" s="488"/>
      <c r="X88" s="610">
        <v>10.201000000000001</v>
      </c>
      <c r="Y88" s="664"/>
      <c r="Z88" s="665"/>
      <c r="AA88" s="488"/>
      <c r="AB88" s="610">
        <v>1.7609999999999999</v>
      </c>
      <c r="AC88" s="664"/>
      <c r="AD88" s="665"/>
      <c r="AE88" s="488"/>
      <c r="AF88" s="610">
        <v>0</v>
      </c>
      <c r="AG88" s="664"/>
      <c r="AH88" s="665"/>
      <c r="AI88" s="488"/>
      <c r="AJ88" s="610">
        <v>0</v>
      </c>
      <c r="AK88" s="664"/>
      <c r="AL88" s="665"/>
      <c r="AM88" s="488"/>
      <c r="AN88" s="610">
        <v>0</v>
      </c>
      <c r="AO88" s="664"/>
      <c r="AP88" s="665"/>
      <c r="AQ88" s="488"/>
      <c r="AR88" s="610">
        <v>0</v>
      </c>
      <c r="AS88" s="664"/>
      <c r="AT88" s="665"/>
      <c r="AU88" s="488"/>
      <c r="AV88" s="610">
        <v>0</v>
      </c>
      <c r="AW88" s="664"/>
      <c r="AX88" s="665"/>
      <c r="AY88" s="488"/>
      <c r="AZ88" s="610">
        <v>0</v>
      </c>
      <c r="BA88" s="664"/>
      <c r="BB88" s="665"/>
      <c r="BC88" s="488"/>
      <c r="BD88" s="610">
        <v>0</v>
      </c>
      <c r="BE88" s="664"/>
      <c r="BF88" s="665"/>
      <c r="BG88" s="488"/>
      <c r="BH88" s="610">
        <v>0</v>
      </c>
      <c r="BI88" s="664"/>
      <c r="BJ88" s="665"/>
      <c r="BK88" s="488"/>
      <c r="BL88" s="610">
        <v>0</v>
      </c>
      <c r="BM88" s="664"/>
      <c r="BN88" s="665"/>
      <c r="BO88" s="488"/>
      <c r="BP88" s="610">
        <v>0</v>
      </c>
      <c r="BQ88" s="664"/>
      <c r="BR88" s="665"/>
      <c r="BS88" s="488"/>
      <c r="BT88" s="610">
        <v>0</v>
      </c>
      <c r="BU88" s="664"/>
      <c r="BV88" s="665"/>
      <c r="BW88" s="488"/>
      <c r="BX88" s="610">
        <v>0</v>
      </c>
      <c r="BY88" s="664"/>
      <c r="BZ88" s="665"/>
      <c r="CA88" s="488"/>
      <c r="CB88" s="610">
        <v>0</v>
      </c>
      <c r="CC88" s="664"/>
      <c r="CD88" s="665"/>
      <c r="CE88" s="488"/>
      <c r="CF88" s="610">
        <v>0</v>
      </c>
      <c r="CG88" s="664"/>
      <c r="CH88" s="665"/>
      <c r="CI88" s="488"/>
      <c r="CJ88" s="610">
        <v>0</v>
      </c>
      <c r="CK88" s="664"/>
      <c r="CL88" s="665"/>
      <c r="CM88" s="488"/>
      <c r="CN88" s="610">
        <v>0</v>
      </c>
      <c r="CO88" s="664"/>
      <c r="CP88" s="665"/>
      <c r="CQ88" s="488"/>
      <c r="CR88" s="610">
        <v>0</v>
      </c>
      <c r="CS88" s="667"/>
      <c r="CT88" s="668"/>
      <c r="CU88" s="488"/>
      <c r="CV88" s="610">
        <v>0</v>
      </c>
      <c r="CW88" s="667"/>
      <c r="CX88" s="668"/>
      <c r="CY88" s="488"/>
      <c r="CZ88" s="610">
        <v>0</v>
      </c>
      <c r="DA88" s="667"/>
      <c r="DB88" s="668"/>
      <c r="DD88" s="610">
        <v>0</v>
      </c>
      <c r="DE88" s="667"/>
      <c r="DF88" s="668"/>
      <c r="DH88" s="610">
        <v>0</v>
      </c>
      <c r="DI88" s="667"/>
      <c r="DJ88" s="668"/>
      <c r="DK88" s="668"/>
      <c r="DL88" s="610">
        <v>0</v>
      </c>
      <c r="DM88" s="667"/>
      <c r="DN88" s="668"/>
      <c r="DO88" s="668"/>
      <c r="DP88" s="1162">
        <v>0</v>
      </c>
      <c r="DQ88" s="1171"/>
      <c r="DR88" s="1172"/>
      <c r="DY88" s="185" t="s">
        <v>215</v>
      </c>
    </row>
    <row r="89" spans="1:139" ht="12.75" hidden="1" customHeight="1" outlineLevel="1" x14ac:dyDescent="0.2">
      <c r="A89" s="604" t="s">
        <v>80</v>
      </c>
      <c r="D89" s="468">
        <v>0</v>
      </c>
      <c r="E89" s="664"/>
      <c r="F89" s="665"/>
      <c r="G89" s="666"/>
      <c r="H89" s="468">
        <v>0</v>
      </c>
      <c r="I89" s="664"/>
      <c r="J89" s="665"/>
      <c r="K89" s="666"/>
      <c r="L89" s="468">
        <v>4.4000000000000004</v>
      </c>
      <c r="M89" s="664"/>
      <c r="N89" s="665"/>
      <c r="O89" s="488"/>
      <c r="P89" s="468">
        <v>3.6749999999999998</v>
      </c>
      <c r="Q89" s="664"/>
      <c r="R89" s="665"/>
      <c r="S89" s="488"/>
      <c r="T89" s="468">
        <v>0.60399999999999998</v>
      </c>
      <c r="U89" s="664"/>
      <c r="V89" s="665"/>
      <c r="W89" s="488"/>
      <c r="X89" s="468">
        <v>2.2759999999999998</v>
      </c>
      <c r="Y89" s="664"/>
      <c r="Z89" s="665"/>
      <c r="AA89" s="488"/>
      <c r="AB89" s="468">
        <v>0</v>
      </c>
      <c r="AC89" s="664"/>
      <c r="AD89" s="665"/>
      <c r="AE89" s="488"/>
      <c r="AF89" s="468">
        <v>0</v>
      </c>
      <c r="AG89" s="664"/>
      <c r="AH89" s="665"/>
      <c r="AI89" s="488"/>
      <c r="AJ89" s="468">
        <v>0</v>
      </c>
      <c r="AK89" s="664"/>
      <c r="AL89" s="665"/>
      <c r="AM89" s="488"/>
      <c r="AN89" s="468">
        <v>0</v>
      </c>
      <c r="AO89" s="664"/>
      <c r="AP89" s="665"/>
      <c r="AQ89" s="488"/>
      <c r="AR89" s="468">
        <v>0</v>
      </c>
      <c r="AS89" s="664"/>
      <c r="AT89" s="665"/>
      <c r="AU89" s="488"/>
      <c r="AV89" s="468">
        <v>0</v>
      </c>
      <c r="AW89" s="664"/>
      <c r="AX89" s="665"/>
      <c r="AY89" s="488"/>
      <c r="AZ89" s="468">
        <v>0</v>
      </c>
      <c r="BA89" s="664"/>
      <c r="BB89" s="665"/>
      <c r="BC89" s="488"/>
      <c r="BD89" s="468">
        <v>0</v>
      </c>
      <c r="BE89" s="664"/>
      <c r="BF89" s="665"/>
      <c r="BG89" s="488"/>
      <c r="BH89" s="468">
        <v>0</v>
      </c>
      <c r="BI89" s="664"/>
      <c r="BJ89" s="665"/>
      <c r="BK89" s="488"/>
      <c r="BL89" s="468">
        <v>0</v>
      </c>
      <c r="BM89" s="664"/>
      <c r="BN89" s="665"/>
      <c r="BO89" s="488"/>
      <c r="BP89" s="468">
        <v>0</v>
      </c>
      <c r="BQ89" s="664"/>
      <c r="BR89" s="665"/>
      <c r="BS89" s="488"/>
      <c r="BT89" s="468">
        <v>0</v>
      </c>
      <c r="BU89" s="664"/>
      <c r="BV89" s="665"/>
      <c r="BW89" s="488"/>
      <c r="BX89" s="468">
        <v>0</v>
      </c>
      <c r="BY89" s="664"/>
      <c r="BZ89" s="665"/>
      <c r="CA89" s="488"/>
      <c r="CB89" s="468">
        <v>0</v>
      </c>
      <c r="CC89" s="664"/>
      <c r="CD89" s="665"/>
      <c r="CE89" s="488"/>
      <c r="CF89" s="468">
        <v>0</v>
      </c>
      <c r="CG89" s="664"/>
      <c r="CH89" s="665"/>
      <c r="CI89" s="488"/>
      <c r="CJ89" s="468">
        <v>0</v>
      </c>
      <c r="CK89" s="664"/>
      <c r="CL89" s="665"/>
      <c r="CM89" s="488"/>
      <c r="CN89" s="468">
        <v>0</v>
      </c>
      <c r="CO89" s="664"/>
      <c r="CP89" s="665"/>
      <c r="CQ89" s="488"/>
      <c r="CR89" s="468">
        <v>0</v>
      </c>
      <c r="CS89" s="667"/>
      <c r="CT89" s="668"/>
      <c r="CU89" s="488"/>
      <c r="CV89" s="468">
        <v>0</v>
      </c>
      <c r="CW89" s="667"/>
      <c r="CX89" s="668"/>
      <c r="CY89" s="488"/>
      <c r="CZ89" s="468">
        <v>0</v>
      </c>
      <c r="DA89" s="667"/>
      <c r="DB89" s="668"/>
      <c r="DD89" s="468">
        <v>0</v>
      </c>
      <c r="DE89" s="667"/>
      <c r="DF89" s="668"/>
      <c r="DH89" s="468">
        <v>0</v>
      </c>
      <c r="DI89" s="667"/>
      <c r="DJ89" s="668"/>
      <c r="DK89" s="668"/>
      <c r="DL89" s="468">
        <v>0</v>
      </c>
      <c r="DM89" s="667"/>
      <c r="DN89" s="668"/>
      <c r="DO89" s="668"/>
      <c r="DP89" s="1173">
        <v>0</v>
      </c>
      <c r="DQ89" s="1171"/>
      <c r="DR89" s="1172"/>
      <c r="DY89" s="185" t="s">
        <v>215</v>
      </c>
    </row>
    <row r="90" spans="1:139" ht="12.75" hidden="1" customHeight="1" outlineLevel="1" x14ac:dyDescent="0.2">
      <c r="A90" s="604" t="s">
        <v>81</v>
      </c>
      <c r="D90" s="468">
        <v>0</v>
      </c>
      <c r="E90" s="664"/>
      <c r="F90" s="665"/>
      <c r="G90" s="666"/>
      <c r="H90" s="468">
        <v>0</v>
      </c>
      <c r="I90" s="664"/>
      <c r="J90" s="665"/>
      <c r="K90" s="666"/>
      <c r="L90" s="468">
        <v>11.3</v>
      </c>
      <c r="M90" s="664"/>
      <c r="N90" s="665"/>
      <c r="O90" s="488"/>
      <c r="P90" s="468">
        <v>4.375</v>
      </c>
      <c r="Q90" s="664"/>
      <c r="R90" s="665"/>
      <c r="S90" s="488"/>
      <c r="T90" s="468">
        <v>3.375</v>
      </c>
      <c r="U90" s="664"/>
      <c r="V90" s="665"/>
      <c r="W90" s="488"/>
      <c r="X90" s="468">
        <v>5.875</v>
      </c>
      <c r="Y90" s="664"/>
      <c r="Z90" s="665"/>
      <c r="AA90" s="488"/>
      <c r="AB90" s="468">
        <v>0</v>
      </c>
      <c r="AC90" s="664"/>
      <c r="AD90" s="665"/>
      <c r="AE90" s="488"/>
      <c r="AF90" s="468">
        <v>0</v>
      </c>
      <c r="AG90" s="664"/>
      <c r="AH90" s="665"/>
      <c r="AI90" s="488"/>
      <c r="AJ90" s="468">
        <v>0</v>
      </c>
      <c r="AK90" s="664"/>
      <c r="AL90" s="665"/>
      <c r="AM90" s="488"/>
      <c r="AN90" s="468">
        <v>0</v>
      </c>
      <c r="AO90" s="664"/>
      <c r="AP90" s="665"/>
      <c r="AQ90" s="488"/>
      <c r="AR90" s="468">
        <v>0</v>
      </c>
      <c r="AS90" s="664"/>
      <c r="AT90" s="665"/>
      <c r="AU90" s="665"/>
      <c r="AV90" s="468">
        <v>0</v>
      </c>
      <c r="AW90" s="664"/>
      <c r="AX90" s="665"/>
      <c r="AY90" s="488"/>
      <c r="AZ90" s="468">
        <v>0</v>
      </c>
      <c r="BA90" s="664"/>
      <c r="BB90" s="665"/>
      <c r="BC90" s="488"/>
      <c r="BD90" s="468">
        <v>0</v>
      </c>
      <c r="BE90" s="664"/>
      <c r="BF90" s="665"/>
      <c r="BG90" s="488"/>
      <c r="BH90" s="468">
        <v>0</v>
      </c>
      <c r="BI90" s="664"/>
      <c r="BJ90" s="665"/>
      <c r="BK90" s="488"/>
      <c r="BL90" s="468">
        <v>0</v>
      </c>
      <c r="BM90" s="664"/>
      <c r="BN90" s="665"/>
      <c r="BO90" s="488"/>
      <c r="BP90" s="468">
        <v>0</v>
      </c>
      <c r="BQ90" s="664"/>
      <c r="BR90" s="665"/>
      <c r="BS90" s="488"/>
      <c r="BT90" s="468">
        <v>0</v>
      </c>
      <c r="BU90" s="664"/>
      <c r="BV90" s="665"/>
      <c r="BW90" s="488"/>
      <c r="BX90" s="468">
        <v>0</v>
      </c>
      <c r="BY90" s="664"/>
      <c r="BZ90" s="665"/>
      <c r="CA90" s="488"/>
      <c r="CB90" s="468">
        <v>0</v>
      </c>
      <c r="CC90" s="664"/>
      <c r="CD90" s="665"/>
      <c r="CE90" s="488"/>
      <c r="CF90" s="468">
        <v>0</v>
      </c>
      <c r="CG90" s="664"/>
      <c r="CH90" s="665"/>
      <c r="CI90" s="488"/>
      <c r="CJ90" s="468">
        <v>0</v>
      </c>
      <c r="CK90" s="664"/>
      <c r="CL90" s="665"/>
      <c r="CM90" s="488"/>
      <c r="CN90" s="468">
        <v>0</v>
      </c>
      <c r="CO90" s="664"/>
      <c r="CP90" s="665"/>
      <c r="CQ90" s="488"/>
      <c r="CR90" s="468">
        <v>0</v>
      </c>
      <c r="CS90" s="667"/>
      <c r="CT90" s="668"/>
      <c r="CU90" s="488"/>
      <c r="CV90" s="468">
        <v>0</v>
      </c>
      <c r="CW90" s="667"/>
      <c r="CX90" s="668"/>
      <c r="CY90" s="488"/>
      <c r="CZ90" s="468">
        <v>0</v>
      </c>
      <c r="DA90" s="667"/>
      <c r="DB90" s="668"/>
      <c r="DD90" s="468">
        <v>0</v>
      </c>
      <c r="DE90" s="667"/>
      <c r="DF90" s="668"/>
      <c r="DH90" s="468">
        <v>0</v>
      </c>
      <c r="DI90" s="667"/>
      <c r="DJ90" s="668"/>
      <c r="DK90" s="668"/>
      <c r="DL90" s="468">
        <v>0</v>
      </c>
      <c r="DM90" s="667"/>
      <c r="DN90" s="668"/>
      <c r="DO90" s="668"/>
      <c r="DP90" s="1173">
        <v>0</v>
      </c>
      <c r="DQ90" s="1171"/>
      <c r="DR90" s="1172"/>
      <c r="DY90" s="185" t="s">
        <v>215</v>
      </c>
    </row>
    <row r="91" spans="1:139" ht="12.75" hidden="1" customHeight="1" outlineLevel="1" x14ac:dyDescent="0.2">
      <c r="A91" s="604" t="s">
        <v>82</v>
      </c>
      <c r="D91" s="616">
        <v>0</v>
      </c>
      <c r="E91" s="664"/>
      <c r="F91" s="665"/>
      <c r="G91" s="666"/>
      <c r="H91" s="616">
        <v>10.055999999999999</v>
      </c>
      <c r="I91" s="664"/>
      <c r="J91" s="665"/>
      <c r="K91" s="666"/>
      <c r="L91" s="616">
        <v>-11.526999999999999</v>
      </c>
      <c r="M91" s="664"/>
      <c r="N91" s="665"/>
      <c r="O91" s="488"/>
      <c r="P91" s="616">
        <v>-9.1760000000000002</v>
      </c>
      <c r="Q91" s="664"/>
      <c r="R91" s="665"/>
      <c r="S91" s="488"/>
      <c r="T91" s="616">
        <v>-20.451000000000001</v>
      </c>
      <c r="U91" s="664"/>
      <c r="V91" s="665"/>
      <c r="W91" s="488"/>
      <c r="X91" s="616">
        <v>-20.451000000000001</v>
      </c>
      <c r="Y91" s="664"/>
      <c r="Z91" s="665"/>
      <c r="AA91" s="488"/>
      <c r="AB91" s="616">
        <v>-2</v>
      </c>
      <c r="AC91" s="664"/>
      <c r="AD91" s="665"/>
      <c r="AE91" s="488"/>
      <c r="AF91" s="616">
        <v>0</v>
      </c>
      <c r="AG91" s="664"/>
      <c r="AH91" s="665"/>
      <c r="AI91" s="488"/>
      <c r="AJ91" s="616">
        <v>0</v>
      </c>
      <c r="AK91" s="664"/>
      <c r="AL91" s="665"/>
      <c r="AM91" s="488"/>
      <c r="AN91" s="616">
        <v>0</v>
      </c>
      <c r="AO91" s="664"/>
      <c r="AP91" s="665"/>
      <c r="AQ91" s="488"/>
      <c r="AR91" s="616">
        <v>0</v>
      </c>
      <c r="AS91" s="664"/>
      <c r="AT91" s="665"/>
      <c r="AU91" s="665"/>
      <c r="AV91" s="616">
        <v>0</v>
      </c>
      <c r="AW91" s="664"/>
      <c r="AX91" s="665"/>
      <c r="AY91" s="488"/>
      <c r="AZ91" s="616">
        <v>0</v>
      </c>
      <c r="BA91" s="664"/>
      <c r="BB91" s="665"/>
      <c r="BC91" s="488"/>
      <c r="BD91" s="616">
        <v>0</v>
      </c>
      <c r="BE91" s="664"/>
      <c r="BF91" s="665"/>
      <c r="BG91" s="488"/>
      <c r="BH91" s="616">
        <v>0</v>
      </c>
      <c r="BI91" s="664"/>
      <c r="BJ91" s="665"/>
      <c r="BK91" s="488"/>
      <c r="BL91" s="616">
        <v>0</v>
      </c>
      <c r="BM91" s="664"/>
      <c r="BN91" s="665"/>
      <c r="BO91" s="488"/>
      <c r="BP91" s="616">
        <v>0</v>
      </c>
      <c r="BQ91" s="664"/>
      <c r="BR91" s="665"/>
      <c r="BS91" s="488"/>
      <c r="BT91" s="616">
        <v>0</v>
      </c>
      <c r="BU91" s="664"/>
      <c r="BV91" s="665"/>
      <c r="BW91" s="488"/>
      <c r="BX91" s="616">
        <v>0</v>
      </c>
      <c r="BY91" s="664"/>
      <c r="BZ91" s="665"/>
      <c r="CA91" s="488"/>
      <c r="CB91" s="616">
        <v>0</v>
      </c>
      <c r="CC91" s="664"/>
      <c r="CD91" s="665"/>
      <c r="CE91" s="488"/>
      <c r="CF91" s="616">
        <v>0</v>
      </c>
      <c r="CG91" s="664"/>
      <c r="CH91" s="665"/>
      <c r="CI91" s="488"/>
      <c r="CJ91" s="616">
        <v>0</v>
      </c>
      <c r="CK91" s="664"/>
      <c r="CL91" s="665"/>
      <c r="CM91" s="488"/>
      <c r="CN91" s="616">
        <v>0</v>
      </c>
      <c r="CO91" s="664"/>
      <c r="CP91" s="665"/>
      <c r="CQ91" s="488"/>
      <c r="CR91" s="616">
        <v>0</v>
      </c>
      <c r="CS91" s="667"/>
      <c r="CT91" s="668"/>
      <c r="CU91" s="488"/>
      <c r="CV91" s="616">
        <v>0</v>
      </c>
      <c r="CW91" s="667"/>
      <c r="CX91" s="668"/>
      <c r="CY91" s="488"/>
      <c r="CZ91" s="616">
        <v>0</v>
      </c>
      <c r="DA91" s="667"/>
      <c r="DB91" s="668"/>
      <c r="DD91" s="616">
        <v>0</v>
      </c>
      <c r="DE91" s="667"/>
      <c r="DF91" s="668"/>
      <c r="DH91" s="616">
        <v>0</v>
      </c>
      <c r="DI91" s="667"/>
      <c r="DJ91" s="668"/>
      <c r="DK91" s="668"/>
      <c r="DL91" s="616">
        <v>0</v>
      </c>
      <c r="DM91" s="667"/>
      <c r="DN91" s="668"/>
      <c r="DO91" s="668"/>
      <c r="DP91" s="1174">
        <v>0</v>
      </c>
      <c r="DQ91" s="1171"/>
      <c r="DR91" s="1172"/>
      <c r="DY91" s="185" t="s">
        <v>215</v>
      </c>
    </row>
    <row r="92" spans="1:139" ht="12.75" hidden="1" customHeight="1" outlineLevel="1" x14ac:dyDescent="0.2">
      <c r="A92" s="604" t="s">
        <v>83</v>
      </c>
      <c r="D92" s="610">
        <v>0</v>
      </c>
      <c r="E92" s="664"/>
      <c r="F92" s="665"/>
      <c r="G92" s="666"/>
      <c r="H92" s="610">
        <v>23.248000000000001</v>
      </c>
      <c r="I92" s="664"/>
      <c r="J92" s="665"/>
      <c r="K92" s="666"/>
      <c r="L92" s="610">
        <v>8.5730000000000022</v>
      </c>
      <c r="M92" s="664"/>
      <c r="N92" s="665"/>
      <c r="O92" s="488"/>
      <c r="P92" s="610">
        <v>2.7240000000000002</v>
      </c>
      <c r="Q92" s="664"/>
      <c r="R92" s="665"/>
      <c r="S92" s="488"/>
      <c r="T92" s="610">
        <v>-11.271000000000001</v>
      </c>
      <c r="U92" s="664"/>
      <c r="V92" s="665"/>
      <c r="W92" s="488"/>
      <c r="X92" s="610">
        <v>-2.0990000000000002</v>
      </c>
      <c r="Y92" s="664"/>
      <c r="Z92" s="665"/>
      <c r="AA92" s="488"/>
      <c r="AB92" s="610">
        <v>-0.2390000000000001</v>
      </c>
      <c r="AC92" s="664"/>
      <c r="AD92" s="665"/>
      <c r="AE92" s="488"/>
      <c r="AF92" s="610">
        <v>0</v>
      </c>
      <c r="AG92" s="664"/>
      <c r="AH92" s="665"/>
      <c r="AI92" s="488"/>
      <c r="AJ92" s="610">
        <v>0</v>
      </c>
      <c r="AK92" s="664"/>
      <c r="AL92" s="665"/>
      <c r="AM92" s="488"/>
      <c r="AN92" s="610">
        <v>0</v>
      </c>
      <c r="AO92" s="664"/>
      <c r="AP92" s="665"/>
      <c r="AQ92" s="488"/>
      <c r="AR92" s="610">
        <v>0</v>
      </c>
      <c r="AS92" s="664"/>
      <c r="AT92" s="665"/>
      <c r="AU92" s="665"/>
      <c r="AV92" s="610">
        <v>0</v>
      </c>
      <c r="AW92" s="664"/>
      <c r="AX92" s="665"/>
      <c r="AY92" s="488"/>
      <c r="AZ92" s="610">
        <v>0</v>
      </c>
      <c r="BA92" s="664"/>
      <c r="BB92" s="665"/>
      <c r="BC92" s="488"/>
      <c r="BD92" s="610">
        <v>0</v>
      </c>
      <c r="BE92" s="664"/>
      <c r="BF92" s="665"/>
      <c r="BG92" s="488"/>
      <c r="BH92" s="610">
        <v>0</v>
      </c>
      <c r="BI92" s="664"/>
      <c r="BJ92" s="665"/>
      <c r="BK92" s="488"/>
      <c r="BL92" s="610">
        <v>0</v>
      </c>
      <c r="BM92" s="664"/>
      <c r="BN92" s="665"/>
      <c r="BO92" s="488"/>
      <c r="BP92" s="610">
        <v>0</v>
      </c>
      <c r="BQ92" s="664"/>
      <c r="BR92" s="665"/>
      <c r="BS92" s="488"/>
      <c r="BT92" s="610">
        <v>0</v>
      </c>
      <c r="BU92" s="664"/>
      <c r="BV92" s="665"/>
      <c r="BW92" s="488"/>
      <c r="BX92" s="610">
        <v>0</v>
      </c>
      <c r="BY92" s="664"/>
      <c r="BZ92" s="665"/>
      <c r="CA92" s="488"/>
      <c r="CB92" s="610">
        <v>0</v>
      </c>
      <c r="CC92" s="664"/>
      <c r="CD92" s="665"/>
      <c r="CE92" s="488"/>
      <c r="CF92" s="610">
        <v>0</v>
      </c>
      <c r="CG92" s="664"/>
      <c r="CH92" s="665"/>
      <c r="CI92" s="488"/>
      <c r="CJ92" s="610">
        <v>0</v>
      </c>
      <c r="CK92" s="664"/>
      <c r="CL92" s="665"/>
      <c r="CM92" s="488"/>
      <c r="CN92" s="610">
        <v>0</v>
      </c>
      <c r="CO92" s="664"/>
      <c r="CP92" s="665"/>
      <c r="CQ92" s="488"/>
      <c r="CR92" s="543">
        <f>SUM(CR88:CR91)</f>
        <v>0</v>
      </c>
      <c r="CS92" s="667"/>
      <c r="CT92" s="668"/>
      <c r="CU92" s="488"/>
      <c r="CV92" s="543">
        <f>SUM(CV88:CV91)</f>
        <v>0</v>
      </c>
      <c r="CW92" s="667"/>
      <c r="CX92" s="668"/>
      <c r="CY92" s="488"/>
      <c r="CZ92" s="543">
        <f>SUM(CZ88:CZ91)</f>
        <v>0</v>
      </c>
      <c r="DA92" s="667"/>
      <c r="DB92" s="668"/>
      <c r="DD92" s="543">
        <f>SUM(DD88:DD91)</f>
        <v>0</v>
      </c>
      <c r="DE92" s="667"/>
      <c r="DF92" s="668"/>
      <c r="DH92" s="543">
        <f>SUM(DH88:DH91)</f>
        <v>0</v>
      </c>
      <c r="DI92" s="667"/>
      <c r="DJ92" s="668"/>
      <c r="DK92" s="668"/>
      <c r="DL92" s="543">
        <f>SUM(DL88:DL91)</f>
        <v>0</v>
      </c>
      <c r="DM92" s="667"/>
      <c r="DN92" s="668"/>
      <c r="DO92" s="668"/>
      <c r="DP92" s="1117">
        <f>SUM(DP88:DP91)</f>
        <v>0</v>
      </c>
      <c r="DQ92" s="1171"/>
      <c r="DR92" s="1172"/>
      <c r="DY92" s="185" t="s">
        <v>215</v>
      </c>
    </row>
    <row r="93" spans="1:139" ht="12.75" hidden="1" customHeight="1" outlineLevel="1" x14ac:dyDescent="0.2">
      <c r="A93" s="604" t="s">
        <v>413</v>
      </c>
      <c r="D93" s="385">
        <f>D88+D89</f>
        <v>0</v>
      </c>
      <c r="E93" s="609"/>
      <c r="F93" s="605"/>
      <c r="H93" s="385">
        <f>H88+H89</f>
        <v>0</v>
      </c>
      <c r="I93" s="609"/>
      <c r="J93" s="605"/>
      <c r="L93" s="385">
        <f>L88+L89</f>
        <v>8.8000000000000007</v>
      </c>
      <c r="M93" s="609"/>
      <c r="N93" s="605"/>
      <c r="P93" s="385">
        <f>P88+P89</f>
        <v>7.5250000000000004</v>
      </c>
      <c r="Q93" s="609"/>
      <c r="R93" s="605"/>
      <c r="T93" s="385">
        <f>T88+T89</f>
        <v>5.8049999999999997</v>
      </c>
      <c r="U93" s="609"/>
      <c r="V93" s="605"/>
      <c r="X93" s="385">
        <f>X88+X89</f>
        <v>12.477</v>
      </c>
      <c r="Y93" s="609"/>
      <c r="Z93" s="605"/>
      <c r="AB93" s="385">
        <f>AB88+AB89</f>
        <v>1.7609999999999999</v>
      </c>
      <c r="AC93" s="609"/>
      <c r="AD93" s="605"/>
      <c r="AF93" s="385">
        <f>AF88+AF89</f>
        <v>0</v>
      </c>
      <c r="AG93" s="609"/>
      <c r="AH93" s="605"/>
      <c r="AJ93" s="385">
        <f>AJ88+AJ89</f>
        <v>0</v>
      </c>
      <c r="AK93" s="609"/>
      <c r="AL93" s="605"/>
      <c r="AN93" s="385">
        <f>AN88+AN89</f>
        <v>0</v>
      </c>
      <c r="AO93" s="609"/>
      <c r="AP93" s="605"/>
      <c r="AR93" s="385">
        <f>AR88+AR89</f>
        <v>0</v>
      </c>
      <c r="AS93" s="609"/>
      <c r="AT93" s="605"/>
      <c r="AU93" s="605"/>
      <c r="AV93" s="385">
        <f>AV88+AV89</f>
        <v>0</v>
      </c>
      <c r="AW93" s="609"/>
      <c r="AX93" s="605"/>
      <c r="AZ93" s="385">
        <f>AZ88+AZ89</f>
        <v>0</v>
      </c>
      <c r="BA93" s="609"/>
      <c r="BB93" s="605"/>
      <c r="BD93" s="385">
        <f>BD88+BD89</f>
        <v>0</v>
      </c>
      <c r="BE93" s="609"/>
      <c r="BF93" s="605"/>
      <c r="BH93" s="385">
        <f>BH88+BH89</f>
        <v>0</v>
      </c>
      <c r="BI93" s="609"/>
      <c r="BJ93" s="605"/>
      <c r="BL93" s="385">
        <f>BL88+BL89</f>
        <v>0</v>
      </c>
      <c r="BM93" s="609"/>
      <c r="BN93" s="605"/>
      <c r="BP93" s="385">
        <f>BP88+BP89</f>
        <v>0</v>
      </c>
      <c r="BQ93" s="609"/>
      <c r="BR93" s="605"/>
      <c r="BT93" s="385">
        <f>BT88+BT89</f>
        <v>0</v>
      </c>
      <c r="BU93" s="609"/>
      <c r="BV93" s="605"/>
      <c r="BX93" s="385">
        <f>BX88+BX89</f>
        <v>0</v>
      </c>
      <c r="BY93" s="609"/>
      <c r="BZ93" s="605"/>
      <c r="CB93" s="385">
        <f>CB88+CB89</f>
        <v>0</v>
      </c>
      <c r="CC93" s="609"/>
      <c r="CD93" s="605"/>
      <c r="CF93" s="385">
        <f>CF88+CF89</f>
        <v>0</v>
      </c>
      <c r="CG93" s="609"/>
      <c r="CH93" s="605"/>
      <c r="CJ93" s="385">
        <f>CJ88+CJ89</f>
        <v>0</v>
      </c>
      <c r="CK93" s="609"/>
      <c r="CL93" s="605"/>
      <c r="CN93" s="385">
        <f>CN88+CN89</f>
        <v>0</v>
      </c>
      <c r="CO93" s="609"/>
      <c r="CP93" s="605"/>
      <c r="CR93" s="385">
        <f>CR88+CR89</f>
        <v>0</v>
      </c>
      <c r="CS93" s="667"/>
      <c r="CT93" s="668"/>
      <c r="CV93" s="385">
        <f>CV88+CV89</f>
        <v>0</v>
      </c>
      <c r="CW93" s="667"/>
      <c r="CX93" s="668"/>
      <c r="CZ93" s="385">
        <f>CZ88+CZ89</f>
        <v>0</v>
      </c>
      <c r="DA93" s="667"/>
      <c r="DB93" s="668"/>
      <c r="DD93" s="385">
        <f>DD88+DD89</f>
        <v>0</v>
      </c>
      <c r="DE93" s="667"/>
      <c r="DF93" s="668"/>
      <c r="DH93" s="385">
        <f>DH88+DH89</f>
        <v>0</v>
      </c>
      <c r="DI93" s="667"/>
      <c r="DJ93" s="668"/>
      <c r="DK93" s="668"/>
      <c r="DL93" s="385">
        <f>DL88+DL89</f>
        <v>0</v>
      </c>
      <c r="DM93" s="667"/>
      <c r="DN93" s="668"/>
      <c r="DO93" s="668"/>
      <c r="DP93" s="1092">
        <f>DP88+DP89</f>
        <v>0</v>
      </c>
      <c r="DQ93" s="1171"/>
      <c r="DR93" s="1172"/>
      <c r="DY93" s="185" t="s">
        <v>215</v>
      </c>
    </row>
    <row r="94" spans="1:139" ht="12.75" hidden="1" customHeight="1" outlineLevel="1" x14ac:dyDescent="0.2">
      <c r="A94" s="604" t="s">
        <v>414</v>
      </c>
      <c r="D94" s="385">
        <f>D90+D91</f>
        <v>0</v>
      </c>
      <c r="E94" s="609"/>
      <c r="F94" s="605"/>
      <c r="H94" s="385">
        <f>H90+H91</f>
        <v>10.055999999999999</v>
      </c>
      <c r="I94" s="609"/>
      <c r="J94" s="605"/>
      <c r="L94" s="385">
        <f>L90+L91</f>
        <v>-0.22699999999999854</v>
      </c>
      <c r="M94" s="609"/>
      <c r="N94" s="605"/>
      <c r="P94" s="385">
        <f>P90+P91</f>
        <v>-4.8010000000000002</v>
      </c>
      <c r="Q94" s="609"/>
      <c r="R94" s="605"/>
      <c r="T94" s="385">
        <f>T90+T91</f>
        <v>-17.076000000000001</v>
      </c>
      <c r="U94" s="609"/>
      <c r="V94" s="605"/>
      <c r="X94" s="385">
        <f>X90+X91</f>
        <v>-14.576000000000001</v>
      </c>
      <c r="Y94" s="609"/>
      <c r="Z94" s="605"/>
      <c r="AB94" s="385">
        <f>AB90+AB91</f>
        <v>-2</v>
      </c>
      <c r="AC94" s="609"/>
      <c r="AD94" s="605"/>
      <c r="AF94" s="385">
        <f>AF90+AF91</f>
        <v>0</v>
      </c>
      <c r="AG94" s="609"/>
      <c r="AH94" s="605"/>
      <c r="AJ94" s="385">
        <f>AJ90+AJ91</f>
        <v>0</v>
      </c>
      <c r="AK94" s="609"/>
      <c r="AL94" s="605"/>
      <c r="AN94" s="385">
        <f>AN90+AN91</f>
        <v>0</v>
      </c>
      <c r="AO94" s="609"/>
      <c r="AP94" s="605"/>
      <c r="AR94" s="385">
        <f>AR90+AR91</f>
        <v>0</v>
      </c>
      <c r="AS94" s="609"/>
      <c r="AT94" s="605"/>
      <c r="AU94" s="605"/>
      <c r="AV94" s="385">
        <f>AV90+AV91</f>
        <v>0</v>
      </c>
      <c r="AW94" s="609"/>
      <c r="AX94" s="605"/>
      <c r="AZ94" s="385">
        <f>AZ90+AZ91</f>
        <v>0</v>
      </c>
      <c r="BA94" s="609"/>
      <c r="BB94" s="605"/>
      <c r="BD94" s="385">
        <f>BD90+BD91</f>
        <v>0</v>
      </c>
      <c r="BE94" s="609"/>
      <c r="BF94" s="605"/>
      <c r="BH94" s="385">
        <f>BH90+BH91</f>
        <v>0</v>
      </c>
      <c r="BI94" s="609"/>
      <c r="BJ94" s="605"/>
      <c r="BL94" s="385">
        <f>BL90+BL91</f>
        <v>0</v>
      </c>
      <c r="BM94" s="609"/>
      <c r="BN94" s="605"/>
      <c r="BP94" s="385">
        <f>BP90+BP91</f>
        <v>0</v>
      </c>
      <c r="BQ94" s="609"/>
      <c r="BR94" s="605"/>
      <c r="BT94" s="385">
        <f>BT90+BT91</f>
        <v>0</v>
      </c>
      <c r="BU94" s="609"/>
      <c r="BV94" s="605"/>
      <c r="BX94" s="385">
        <f>BX90+BX91</f>
        <v>0</v>
      </c>
      <c r="BY94" s="609"/>
      <c r="BZ94" s="605"/>
      <c r="CB94" s="385">
        <f>CB90+CB91</f>
        <v>0</v>
      </c>
      <c r="CC94" s="609"/>
      <c r="CD94" s="605"/>
      <c r="CF94" s="385">
        <f>CF90+CF91</f>
        <v>0</v>
      </c>
      <c r="CG94" s="609"/>
      <c r="CH94" s="605"/>
      <c r="CJ94" s="385">
        <f>CJ90+CJ91</f>
        <v>0</v>
      </c>
      <c r="CK94" s="609"/>
      <c r="CL94" s="605"/>
      <c r="CN94" s="385">
        <f>CN90+CN91</f>
        <v>0</v>
      </c>
      <c r="CO94" s="609"/>
      <c r="CP94" s="605"/>
      <c r="CR94" s="385">
        <f>CR90+CR91</f>
        <v>0</v>
      </c>
      <c r="CS94" s="667"/>
      <c r="CT94" s="668"/>
      <c r="CV94" s="385">
        <f>CV90+CV91</f>
        <v>0</v>
      </c>
      <c r="CW94" s="667"/>
      <c r="CX94" s="668"/>
      <c r="CZ94" s="385">
        <f>CZ90+CZ91</f>
        <v>0</v>
      </c>
      <c r="DA94" s="667"/>
      <c r="DB94" s="668"/>
      <c r="DD94" s="385">
        <f>DD90+DD91</f>
        <v>0</v>
      </c>
      <c r="DE94" s="667"/>
      <c r="DF94" s="668"/>
      <c r="DH94" s="385">
        <f>DH90+DH91</f>
        <v>0</v>
      </c>
      <c r="DI94" s="667"/>
      <c r="DJ94" s="668"/>
      <c r="DK94" s="668"/>
      <c r="DL94" s="385">
        <f>DL90+DL91</f>
        <v>0</v>
      </c>
      <c r="DM94" s="667"/>
      <c r="DN94" s="668"/>
      <c r="DO94" s="668"/>
      <c r="DP94" s="1092">
        <f>DP90+DP91</f>
        <v>0</v>
      </c>
      <c r="DQ94" s="1171"/>
      <c r="DR94" s="1172"/>
      <c r="DY94" s="185" t="s">
        <v>215</v>
      </c>
    </row>
    <row r="95" spans="1:139" ht="12.75" hidden="1" customHeight="1" outlineLevel="1" x14ac:dyDescent="0.2">
      <c r="D95" s="353"/>
      <c r="H95" s="353"/>
      <c r="L95" s="353"/>
      <c r="P95" s="353"/>
      <c r="T95" s="353"/>
      <c r="X95" s="353"/>
      <c r="AB95" s="353"/>
      <c r="AF95" s="353"/>
      <c r="AJ95" s="385"/>
      <c r="AN95" s="385"/>
      <c r="AR95" s="385"/>
      <c r="AU95" s="605"/>
      <c r="AV95" s="385"/>
      <c r="AZ95" s="385"/>
      <c r="BD95" s="385"/>
      <c r="BH95" s="385"/>
      <c r="BL95" s="385"/>
      <c r="BP95" s="385"/>
      <c r="BT95" s="385"/>
      <c r="BX95" s="385"/>
      <c r="CB95" s="385"/>
      <c r="CF95" s="385"/>
      <c r="CJ95" s="385"/>
      <c r="CN95" s="385"/>
      <c r="DY95" s="185" t="s">
        <v>215</v>
      </c>
    </row>
    <row r="96" spans="1:139" s="627" customFormat="1" ht="12.75" hidden="1" customHeight="1" outlineLevel="1" x14ac:dyDescent="0.2">
      <c r="A96" s="669" t="s">
        <v>306</v>
      </c>
      <c r="D96" s="628"/>
      <c r="H96" s="628"/>
      <c r="L96" s="628"/>
      <c r="P96" s="628"/>
      <c r="T96" s="628"/>
      <c r="X96" s="628"/>
      <c r="AB96" s="628"/>
      <c r="AF96" s="628"/>
      <c r="AJ96" s="629"/>
      <c r="AN96" s="629"/>
      <c r="AR96" s="629"/>
      <c r="AU96" s="670"/>
      <c r="AV96" s="629"/>
      <c r="AZ96" s="629"/>
      <c r="BD96" s="629"/>
      <c r="BH96" s="629"/>
      <c r="BL96" s="629"/>
      <c r="BP96" s="629"/>
      <c r="BT96" s="629"/>
      <c r="BX96" s="629"/>
      <c r="CB96" s="629"/>
      <c r="CF96" s="629"/>
      <c r="CJ96" s="629"/>
      <c r="CN96" s="629"/>
      <c r="DP96" s="1151"/>
      <c r="DQ96" s="1151"/>
      <c r="DR96" s="1151"/>
      <c r="DY96" s="627" t="s">
        <v>215</v>
      </c>
      <c r="EI96" s="600"/>
    </row>
    <row r="97" spans="1:139" ht="12.75" hidden="1" customHeight="1" outlineLevel="1" x14ac:dyDescent="0.2">
      <c r="D97" s="353"/>
      <c r="H97" s="353"/>
      <c r="L97" s="353"/>
      <c r="P97" s="353"/>
      <c r="T97" s="353"/>
      <c r="X97" s="353"/>
      <c r="AB97" s="353"/>
      <c r="AF97" s="353"/>
      <c r="AJ97" s="385"/>
      <c r="AN97" s="385"/>
      <c r="AR97" s="385"/>
      <c r="AV97" s="385"/>
      <c r="AZ97" s="385"/>
      <c r="BD97" s="385"/>
      <c r="BH97" s="385"/>
      <c r="BL97" s="385"/>
      <c r="BP97" s="385"/>
      <c r="BT97" s="385"/>
      <c r="BX97" s="385"/>
      <c r="CB97" s="385"/>
      <c r="CF97" s="385"/>
      <c r="CJ97" s="385"/>
      <c r="CN97" s="385"/>
      <c r="DY97" s="185" t="s">
        <v>215</v>
      </c>
    </row>
    <row r="98" spans="1:139" ht="12.75" hidden="1" customHeight="1" outlineLevel="1" x14ac:dyDescent="0.2">
      <c r="A98" s="604" t="s">
        <v>79</v>
      </c>
      <c r="D98" s="610">
        <v>19.689</v>
      </c>
      <c r="E98" s="671"/>
      <c r="F98" s="665"/>
      <c r="G98" s="666"/>
      <c r="H98" s="610">
        <v>10.657</v>
      </c>
      <c r="I98" s="671"/>
      <c r="J98" s="665"/>
      <c r="K98" s="666"/>
      <c r="L98" s="610">
        <v>0</v>
      </c>
      <c r="M98" s="671"/>
      <c r="N98" s="665"/>
      <c r="O98" s="488"/>
      <c r="P98" s="610">
        <v>0</v>
      </c>
      <c r="Q98" s="671"/>
      <c r="R98" s="665"/>
      <c r="S98" s="488"/>
      <c r="T98" s="610">
        <v>0</v>
      </c>
      <c r="U98" s="671"/>
      <c r="V98" s="665"/>
      <c r="W98" s="488"/>
      <c r="X98" s="610">
        <v>0</v>
      </c>
      <c r="Y98" s="671"/>
      <c r="Z98" s="665"/>
      <c r="AA98" s="488"/>
      <c r="AB98" s="610">
        <v>83.322000000000003</v>
      </c>
      <c r="AC98" s="671"/>
      <c r="AD98" s="665"/>
      <c r="AE98" s="488"/>
      <c r="AF98" s="610">
        <v>77.7</v>
      </c>
      <c r="AG98" s="671"/>
      <c r="AH98" s="665"/>
      <c r="AI98" s="488"/>
      <c r="AJ98" s="610">
        <v>0</v>
      </c>
      <c r="AK98" s="671"/>
      <c r="AL98" s="665"/>
      <c r="AM98" s="488"/>
      <c r="AN98" s="610">
        <v>0</v>
      </c>
      <c r="AO98" s="671"/>
      <c r="AP98" s="665"/>
      <c r="AQ98" s="488"/>
      <c r="AR98" s="610">
        <v>0</v>
      </c>
      <c r="AS98" s="671"/>
      <c r="AT98" s="665"/>
      <c r="AU98" s="488"/>
      <c r="AV98" s="610">
        <v>0</v>
      </c>
      <c r="AW98" s="671"/>
      <c r="AX98" s="665"/>
      <c r="AY98" s="488"/>
      <c r="AZ98" s="610">
        <v>52</v>
      </c>
      <c r="BA98" s="671"/>
      <c r="BB98" s="665"/>
      <c r="BC98" s="488"/>
      <c r="BD98" s="610">
        <v>0</v>
      </c>
      <c r="BE98" s="671"/>
      <c r="BF98" s="665"/>
      <c r="BG98" s="488"/>
      <c r="BH98" s="610">
        <v>8</v>
      </c>
      <c r="BI98" s="671"/>
      <c r="BJ98" s="665"/>
      <c r="BK98" s="488"/>
      <c r="BL98" s="610">
        <v>19</v>
      </c>
      <c r="BM98" s="671"/>
      <c r="BN98" s="665"/>
      <c r="BO98" s="488"/>
      <c r="BP98" s="610">
        <v>0</v>
      </c>
      <c r="BQ98" s="671"/>
      <c r="BR98" s="665"/>
      <c r="BS98" s="488"/>
      <c r="BT98" s="610">
        <v>129</v>
      </c>
      <c r="BU98" s="671"/>
      <c r="BV98" s="665"/>
      <c r="BW98" s="488"/>
      <c r="BX98" s="610">
        <v>36</v>
      </c>
      <c r="BY98" s="671"/>
      <c r="BZ98" s="665"/>
      <c r="CA98" s="488"/>
      <c r="CB98" s="610">
        <v>110</v>
      </c>
      <c r="CC98" s="671"/>
      <c r="CD98" s="665"/>
      <c r="CE98" s="488"/>
      <c r="CF98" s="610">
        <v>138</v>
      </c>
      <c r="CG98" s="671"/>
      <c r="CH98" s="665"/>
      <c r="CI98" s="488"/>
      <c r="CJ98" s="610">
        <v>0</v>
      </c>
      <c r="CK98" s="671"/>
      <c r="CL98" s="665"/>
      <c r="CM98" s="488"/>
      <c r="CN98" s="610">
        <v>0</v>
      </c>
      <c r="CO98" s="671"/>
      <c r="CP98" s="665"/>
      <c r="CR98" s="610">
        <v>0</v>
      </c>
      <c r="CS98" s="667"/>
      <c r="CT98" s="668"/>
      <c r="CV98" s="610">
        <v>0</v>
      </c>
      <c r="CW98" s="667"/>
      <c r="CX98" s="668"/>
      <c r="CZ98" s="610">
        <v>0</v>
      </c>
      <c r="DA98" s="667"/>
      <c r="DB98" s="668"/>
      <c r="DD98" s="610">
        <v>0</v>
      </c>
      <c r="DE98" s="610"/>
      <c r="DF98" s="668"/>
      <c r="DH98" s="610">
        <v>0</v>
      </c>
      <c r="DI98" s="667"/>
      <c r="DJ98" s="668"/>
      <c r="DK98" s="668"/>
      <c r="DL98" s="610">
        <v>0</v>
      </c>
      <c r="DM98" s="667"/>
      <c r="DN98" s="668"/>
      <c r="DO98" s="668"/>
      <c r="DP98" s="1162">
        <v>0</v>
      </c>
      <c r="DQ98" s="1171"/>
      <c r="DR98" s="1172"/>
      <c r="DY98" s="185" t="s">
        <v>215</v>
      </c>
    </row>
    <row r="99" spans="1:139" ht="12.75" hidden="1" customHeight="1" outlineLevel="1" x14ac:dyDescent="0.2">
      <c r="A99" s="604" t="s">
        <v>80</v>
      </c>
      <c r="D99" s="468">
        <v>9.3439999999999994</v>
      </c>
      <c r="E99" s="671"/>
      <c r="F99" s="665"/>
      <c r="G99" s="666"/>
      <c r="H99" s="468">
        <v>108.504</v>
      </c>
      <c r="I99" s="671"/>
      <c r="J99" s="665"/>
      <c r="K99" s="666"/>
      <c r="L99" s="468">
        <v>0</v>
      </c>
      <c r="M99" s="671"/>
      <c r="N99" s="665"/>
      <c r="O99" s="488"/>
      <c r="P99" s="468">
        <v>0</v>
      </c>
      <c r="Q99" s="671"/>
      <c r="R99" s="665"/>
      <c r="S99" s="488"/>
      <c r="T99" s="468">
        <v>27.004999999999999</v>
      </c>
      <c r="U99" s="671"/>
      <c r="V99" s="665"/>
      <c r="W99" s="488"/>
      <c r="X99" s="468">
        <v>7.5049999999999999</v>
      </c>
      <c r="Y99" s="671"/>
      <c r="Z99" s="665"/>
      <c r="AA99" s="488"/>
      <c r="AB99" s="468">
        <v>114.604</v>
      </c>
      <c r="AC99" s="671"/>
      <c r="AD99" s="665"/>
      <c r="AE99" s="488"/>
      <c r="AF99" s="468">
        <v>98.917000000000002</v>
      </c>
      <c r="AG99" s="671"/>
      <c r="AH99" s="665"/>
      <c r="AI99" s="488"/>
      <c r="AJ99" s="468">
        <v>0</v>
      </c>
      <c r="AK99" s="671"/>
      <c r="AL99" s="665"/>
      <c r="AM99" s="488"/>
      <c r="AN99" s="468">
        <v>0</v>
      </c>
      <c r="AO99" s="671"/>
      <c r="AP99" s="665"/>
      <c r="AQ99" s="488"/>
      <c r="AR99" s="468">
        <v>0</v>
      </c>
      <c r="AS99" s="671"/>
      <c r="AT99" s="665"/>
      <c r="AU99" s="488"/>
      <c r="AV99" s="468">
        <v>0</v>
      </c>
      <c r="AW99" s="671"/>
      <c r="AX99" s="665"/>
      <c r="AY99" s="488"/>
      <c r="AZ99" s="468">
        <v>41</v>
      </c>
      <c r="BA99" s="671"/>
      <c r="BB99" s="665"/>
      <c r="BC99" s="488"/>
      <c r="BD99" s="468">
        <v>0</v>
      </c>
      <c r="BE99" s="671"/>
      <c r="BF99" s="665"/>
      <c r="BG99" s="488"/>
      <c r="BH99" s="468">
        <v>10</v>
      </c>
      <c r="BI99" s="671"/>
      <c r="BJ99" s="665"/>
      <c r="BK99" s="488"/>
      <c r="BL99" s="468">
        <v>90</v>
      </c>
      <c r="BM99" s="671"/>
      <c r="BN99" s="665"/>
      <c r="BO99" s="488"/>
      <c r="BP99" s="468">
        <v>0</v>
      </c>
      <c r="BQ99" s="671"/>
      <c r="BR99" s="665"/>
      <c r="BS99" s="488"/>
      <c r="BT99" s="468">
        <v>-14</v>
      </c>
      <c r="BU99" s="671"/>
      <c r="BV99" s="665"/>
      <c r="BW99" s="488"/>
      <c r="BX99" s="468">
        <v>97</v>
      </c>
      <c r="BY99" s="671"/>
      <c r="BZ99" s="665"/>
      <c r="CA99" s="488"/>
      <c r="CB99" s="468">
        <v>76</v>
      </c>
      <c r="CC99" s="671"/>
      <c r="CD99" s="665"/>
      <c r="CE99" s="488"/>
      <c r="CF99" s="468">
        <v>34</v>
      </c>
      <c r="CG99" s="671"/>
      <c r="CH99" s="665"/>
      <c r="CI99" s="488"/>
      <c r="CJ99" s="468">
        <v>0</v>
      </c>
      <c r="CK99" s="671"/>
      <c r="CL99" s="665"/>
      <c r="CM99" s="488"/>
      <c r="CN99" s="468">
        <v>0</v>
      </c>
      <c r="CO99" s="671"/>
      <c r="CP99" s="665"/>
      <c r="CR99" s="468">
        <v>0</v>
      </c>
      <c r="CS99" s="667"/>
      <c r="CT99" s="668"/>
      <c r="CV99" s="468">
        <v>0</v>
      </c>
      <c r="CW99" s="667"/>
      <c r="CX99" s="668"/>
      <c r="CZ99" s="468">
        <v>0</v>
      </c>
      <c r="DA99" s="667"/>
      <c r="DB99" s="668"/>
      <c r="DD99" s="468">
        <v>0</v>
      </c>
      <c r="DE99" s="468"/>
      <c r="DF99" s="668"/>
      <c r="DH99" s="468">
        <v>0</v>
      </c>
      <c r="DI99" s="667"/>
      <c r="DJ99" s="668"/>
      <c r="DK99" s="668"/>
      <c r="DL99" s="468">
        <v>0</v>
      </c>
      <c r="DM99" s="667"/>
      <c r="DN99" s="668"/>
      <c r="DO99" s="668"/>
      <c r="DP99" s="1173">
        <v>0</v>
      </c>
      <c r="DQ99" s="1171"/>
      <c r="DR99" s="1172"/>
      <c r="DY99" s="185" t="s">
        <v>215</v>
      </c>
    </row>
    <row r="100" spans="1:139" ht="12.75" hidden="1" customHeight="1" outlineLevel="1" x14ac:dyDescent="0.2">
      <c r="A100" s="604" t="s">
        <v>81</v>
      </c>
      <c r="D100" s="468">
        <v>29.286000000000001</v>
      </c>
      <c r="E100" s="671"/>
      <c r="F100" s="665"/>
      <c r="G100" s="666"/>
      <c r="H100" s="468">
        <v>23.658000000000001</v>
      </c>
      <c r="I100" s="671"/>
      <c r="J100" s="665"/>
      <c r="K100" s="666"/>
      <c r="L100" s="468">
        <v>0</v>
      </c>
      <c r="M100" s="671"/>
      <c r="N100" s="665"/>
      <c r="O100" s="488"/>
      <c r="P100" s="468">
        <v>0</v>
      </c>
      <c r="Q100" s="671"/>
      <c r="R100" s="665"/>
      <c r="S100" s="488"/>
      <c r="T100" s="468">
        <v>0</v>
      </c>
      <c r="U100" s="671"/>
      <c r="V100" s="665"/>
      <c r="W100" s="488"/>
      <c r="X100" s="468">
        <v>80</v>
      </c>
      <c r="Y100" s="671"/>
      <c r="Z100" s="665"/>
      <c r="AA100" s="488"/>
      <c r="AB100" s="468">
        <v>39</v>
      </c>
      <c r="AC100" s="671"/>
      <c r="AD100" s="665"/>
      <c r="AE100" s="488"/>
      <c r="AF100" s="468">
        <v>44.304000000000002</v>
      </c>
      <c r="AG100" s="671"/>
      <c r="AH100" s="665"/>
      <c r="AI100" s="488"/>
      <c r="AJ100" s="468">
        <v>0</v>
      </c>
      <c r="AK100" s="671"/>
      <c r="AL100" s="665"/>
      <c r="AM100" s="488"/>
      <c r="AN100" s="468">
        <v>0</v>
      </c>
      <c r="AO100" s="671"/>
      <c r="AP100" s="665"/>
      <c r="AQ100" s="488"/>
      <c r="AR100" s="468">
        <v>0</v>
      </c>
      <c r="AS100" s="671"/>
      <c r="AT100" s="665"/>
      <c r="AU100" s="488"/>
      <c r="AV100" s="468">
        <v>0</v>
      </c>
      <c r="AW100" s="671"/>
      <c r="AX100" s="665"/>
      <c r="AY100" s="488"/>
      <c r="AZ100" s="468">
        <v>30</v>
      </c>
      <c r="BA100" s="671"/>
      <c r="BB100" s="665"/>
      <c r="BC100" s="488"/>
      <c r="BD100" s="468">
        <v>0</v>
      </c>
      <c r="BE100" s="671"/>
      <c r="BF100" s="665"/>
      <c r="BG100" s="488"/>
      <c r="BH100" s="468">
        <v>29</v>
      </c>
      <c r="BI100" s="671"/>
      <c r="BJ100" s="665"/>
      <c r="BK100" s="488"/>
      <c r="BL100" s="468">
        <v>36</v>
      </c>
      <c r="BM100" s="671"/>
      <c r="BN100" s="665"/>
      <c r="BO100" s="488"/>
      <c r="BP100" s="468">
        <v>-417</v>
      </c>
      <c r="BQ100" s="671"/>
      <c r="BR100" s="665"/>
      <c r="BS100" s="488"/>
      <c r="BT100" s="468">
        <v>145</v>
      </c>
      <c r="BU100" s="671"/>
      <c r="BV100" s="665"/>
      <c r="BW100" s="488"/>
      <c r="BX100" s="468">
        <v>17</v>
      </c>
      <c r="BY100" s="671"/>
      <c r="BZ100" s="665"/>
      <c r="CA100" s="488"/>
      <c r="CB100" s="468">
        <v>16</v>
      </c>
      <c r="CC100" s="671"/>
      <c r="CD100" s="665"/>
      <c r="CE100" s="488"/>
      <c r="CF100" s="468">
        <v>33</v>
      </c>
      <c r="CG100" s="671"/>
      <c r="CH100" s="665"/>
      <c r="CI100" s="488"/>
      <c r="CJ100" s="468">
        <v>0</v>
      </c>
      <c r="CK100" s="671"/>
      <c r="CL100" s="665"/>
      <c r="CM100" s="488"/>
      <c r="CN100" s="468">
        <v>0</v>
      </c>
      <c r="CO100" s="671"/>
      <c r="CP100" s="665"/>
      <c r="CR100" s="468">
        <v>0</v>
      </c>
      <c r="CS100" s="667"/>
      <c r="CT100" s="668"/>
      <c r="CV100" s="468">
        <v>0</v>
      </c>
      <c r="CW100" s="667"/>
      <c r="CX100" s="668"/>
      <c r="CZ100" s="468">
        <v>0</v>
      </c>
      <c r="DA100" s="667"/>
      <c r="DB100" s="668"/>
      <c r="DD100" s="468">
        <v>0</v>
      </c>
      <c r="DE100" s="468"/>
      <c r="DF100" s="668"/>
      <c r="DH100" s="468">
        <v>0</v>
      </c>
      <c r="DI100" s="667"/>
      <c r="DJ100" s="668"/>
      <c r="DK100" s="668"/>
      <c r="DL100" s="468">
        <v>0</v>
      </c>
      <c r="DM100" s="667"/>
      <c r="DN100" s="668"/>
      <c r="DO100" s="668"/>
      <c r="DP100" s="1173">
        <v>0</v>
      </c>
      <c r="DQ100" s="1171"/>
      <c r="DR100" s="1172"/>
      <c r="DY100" s="185" t="s">
        <v>215</v>
      </c>
    </row>
    <row r="101" spans="1:139" ht="12.75" hidden="1" customHeight="1" outlineLevel="1" x14ac:dyDescent="0.2">
      <c r="A101" s="604" t="s">
        <v>82</v>
      </c>
      <c r="D101" s="616">
        <v>68.712999999999994</v>
      </c>
      <c r="E101" s="671"/>
      <c r="F101" s="665"/>
      <c r="G101" s="666"/>
      <c r="H101" s="616">
        <v>1537.117</v>
      </c>
      <c r="I101" s="671"/>
      <c r="J101" s="665"/>
      <c r="K101" s="666"/>
      <c r="L101" s="616">
        <v>0</v>
      </c>
      <c r="M101" s="671"/>
      <c r="N101" s="665"/>
      <c r="O101" s="488"/>
      <c r="P101" s="616">
        <v>-24</v>
      </c>
      <c r="Q101" s="671"/>
      <c r="R101" s="665"/>
      <c r="S101" s="488"/>
      <c r="T101" s="616">
        <v>-1.8</v>
      </c>
      <c r="U101" s="671"/>
      <c r="V101" s="665"/>
      <c r="W101" s="488"/>
      <c r="X101" s="616">
        <v>57.1</v>
      </c>
      <c r="Y101" s="671"/>
      <c r="Z101" s="665"/>
      <c r="AA101" s="488"/>
      <c r="AB101" s="616">
        <v>40</v>
      </c>
      <c r="AC101" s="671"/>
      <c r="AD101" s="665"/>
      <c r="AE101" s="488"/>
      <c r="AF101" s="616">
        <v>87.721999999999994</v>
      </c>
      <c r="AG101" s="671"/>
      <c r="AH101" s="665"/>
      <c r="AI101" s="488"/>
      <c r="AJ101" s="616">
        <v>0</v>
      </c>
      <c r="AK101" s="671"/>
      <c r="AL101" s="665"/>
      <c r="AM101" s="488"/>
      <c r="AN101" s="616">
        <v>0</v>
      </c>
      <c r="AO101" s="671"/>
      <c r="AP101" s="665"/>
      <c r="AQ101" s="488"/>
      <c r="AR101" s="616">
        <v>0</v>
      </c>
      <c r="AS101" s="671"/>
      <c r="AT101" s="665"/>
      <c r="AU101" s="488"/>
      <c r="AV101" s="616">
        <v>80</v>
      </c>
      <c r="AW101" s="671"/>
      <c r="AX101" s="665"/>
      <c r="AY101" s="488"/>
      <c r="AZ101" s="616">
        <v>149</v>
      </c>
      <c r="BA101" s="671"/>
      <c r="BB101" s="665"/>
      <c r="BC101" s="488"/>
      <c r="BD101" s="616">
        <v>68</v>
      </c>
      <c r="BE101" s="671"/>
      <c r="BF101" s="665"/>
      <c r="BG101" s="488"/>
      <c r="BH101" s="616">
        <v>12</v>
      </c>
      <c r="BI101" s="671"/>
      <c r="BJ101" s="665"/>
      <c r="BK101" s="488"/>
      <c r="BL101" s="616">
        <v>13</v>
      </c>
      <c r="BM101" s="671"/>
      <c r="BN101" s="665"/>
      <c r="BO101" s="488"/>
      <c r="BP101" s="616">
        <v>114</v>
      </c>
      <c r="BQ101" s="671"/>
      <c r="BR101" s="665"/>
      <c r="BS101" s="488"/>
      <c r="BT101" s="616">
        <v>177</v>
      </c>
      <c r="BU101" s="671"/>
      <c r="BV101" s="665"/>
      <c r="BW101" s="488"/>
      <c r="BX101" s="616">
        <v>69</v>
      </c>
      <c r="BY101" s="671"/>
      <c r="BZ101" s="665"/>
      <c r="CA101" s="488"/>
      <c r="CB101" s="616">
        <v>219</v>
      </c>
      <c r="CC101" s="671"/>
      <c r="CD101" s="665"/>
      <c r="CE101" s="488"/>
      <c r="CF101" s="616">
        <v>186</v>
      </c>
      <c r="CG101" s="671"/>
      <c r="CH101" s="665"/>
      <c r="CI101" s="488"/>
      <c r="CJ101" s="616">
        <v>25</v>
      </c>
      <c r="CK101" s="671"/>
      <c r="CL101" s="665"/>
      <c r="CM101" s="488"/>
      <c r="CN101" s="616">
        <v>-25</v>
      </c>
      <c r="CO101" s="671"/>
      <c r="CP101" s="665"/>
      <c r="CR101" s="616">
        <v>0</v>
      </c>
      <c r="CS101" s="667"/>
      <c r="CT101" s="668"/>
      <c r="CV101" s="616">
        <v>0</v>
      </c>
      <c r="CW101" s="667"/>
      <c r="CX101" s="668"/>
      <c r="CZ101" s="616">
        <v>0</v>
      </c>
      <c r="DA101" s="667"/>
      <c r="DB101" s="668"/>
      <c r="DD101" s="616">
        <v>0</v>
      </c>
      <c r="DE101" s="616"/>
      <c r="DF101" s="668"/>
      <c r="DH101" s="616">
        <v>0</v>
      </c>
      <c r="DI101" s="667"/>
      <c r="DJ101" s="668"/>
      <c r="DK101" s="668"/>
      <c r="DL101" s="616">
        <v>0</v>
      </c>
      <c r="DM101" s="667"/>
      <c r="DN101" s="668"/>
      <c r="DO101" s="668"/>
      <c r="DP101" s="1174">
        <v>0</v>
      </c>
      <c r="DQ101" s="1171"/>
      <c r="DR101" s="1172"/>
      <c r="DY101" s="185" t="s">
        <v>215</v>
      </c>
    </row>
    <row r="102" spans="1:139" ht="12.75" hidden="1" customHeight="1" outlineLevel="1" x14ac:dyDescent="0.2">
      <c r="A102" s="604" t="s">
        <v>83</v>
      </c>
      <c r="D102" s="610">
        <v>127.032</v>
      </c>
      <c r="E102" s="671"/>
      <c r="F102" s="665"/>
      <c r="G102" s="666"/>
      <c r="H102" s="610">
        <v>1679.9359999999999</v>
      </c>
      <c r="I102" s="671"/>
      <c r="J102" s="665"/>
      <c r="K102" s="666"/>
      <c r="L102" s="610">
        <v>0</v>
      </c>
      <c r="M102" s="671"/>
      <c r="N102" s="665"/>
      <c r="O102" s="488"/>
      <c r="P102" s="610">
        <v>-24</v>
      </c>
      <c r="Q102" s="671"/>
      <c r="R102" s="665"/>
      <c r="S102" s="488"/>
      <c r="T102" s="610">
        <v>25.204999999999998</v>
      </c>
      <c r="U102" s="671"/>
      <c r="V102" s="665"/>
      <c r="W102" s="488"/>
      <c r="X102" s="610">
        <v>144.60499999999999</v>
      </c>
      <c r="Y102" s="671"/>
      <c r="Z102" s="665"/>
      <c r="AA102" s="488"/>
      <c r="AB102" s="610">
        <f>SUM(AB98:AB101)</f>
        <v>276.92599999999999</v>
      </c>
      <c r="AC102" s="671"/>
      <c r="AD102" s="665"/>
      <c r="AE102" s="488"/>
      <c r="AF102" s="610">
        <v>0</v>
      </c>
      <c r="AG102" s="671"/>
      <c r="AH102" s="665"/>
      <c r="AI102" s="488"/>
      <c r="AJ102" s="610">
        <v>0</v>
      </c>
      <c r="AK102" s="671"/>
      <c r="AL102" s="665"/>
      <c r="AM102" s="488"/>
      <c r="AN102" s="610">
        <v>0</v>
      </c>
      <c r="AO102" s="671"/>
      <c r="AP102" s="665"/>
      <c r="AQ102" s="488"/>
      <c r="AR102" s="610">
        <v>0</v>
      </c>
      <c r="AS102" s="671"/>
      <c r="AT102" s="665"/>
      <c r="AU102" s="488"/>
      <c r="AV102" s="610">
        <v>80</v>
      </c>
      <c r="AW102" s="671"/>
      <c r="AX102" s="665"/>
      <c r="AY102" s="488"/>
      <c r="AZ102" s="610">
        <v>272</v>
      </c>
      <c r="BA102" s="671"/>
      <c r="BB102" s="665"/>
      <c r="BC102" s="488"/>
      <c r="BD102" s="610">
        <v>68</v>
      </c>
      <c r="BE102" s="671"/>
      <c r="BF102" s="665"/>
      <c r="BG102" s="488"/>
      <c r="BH102" s="610">
        <v>59</v>
      </c>
      <c r="BI102" s="671"/>
      <c r="BJ102" s="665"/>
      <c r="BK102" s="488"/>
      <c r="BL102" s="610">
        <v>158</v>
      </c>
      <c r="BM102" s="671"/>
      <c r="BN102" s="665"/>
      <c r="BO102" s="488"/>
      <c r="BP102" s="610">
        <v>-303</v>
      </c>
      <c r="BQ102" s="671"/>
      <c r="BR102" s="665"/>
      <c r="BS102" s="488"/>
      <c r="BT102" s="610">
        <v>437</v>
      </c>
      <c r="BU102" s="671"/>
      <c r="BV102" s="665"/>
      <c r="BW102" s="488"/>
      <c r="BX102" s="610">
        <v>219</v>
      </c>
      <c r="BY102" s="671"/>
      <c r="BZ102" s="665"/>
      <c r="CA102" s="488"/>
      <c r="CB102" s="610">
        <v>421</v>
      </c>
      <c r="CC102" s="671"/>
      <c r="CD102" s="665"/>
      <c r="CE102" s="488"/>
      <c r="CF102" s="610">
        <v>391</v>
      </c>
      <c r="CG102" s="671"/>
      <c r="CH102" s="665"/>
      <c r="CI102" s="488"/>
      <c r="CJ102" s="610">
        <v>25</v>
      </c>
      <c r="CK102" s="671"/>
      <c r="CL102" s="665"/>
      <c r="CM102" s="488"/>
      <c r="CN102" s="610">
        <v>-25</v>
      </c>
      <c r="CO102" s="671"/>
      <c r="CP102" s="665"/>
      <c r="CR102" s="543">
        <f>SUM(CR98:CR101)</f>
        <v>0</v>
      </c>
      <c r="CS102" s="667"/>
      <c r="CT102" s="668"/>
      <c r="CV102" s="543">
        <f>SUM(CV98:CV101)</f>
        <v>0</v>
      </c>
      <c r="CW102" s="667"/>
      <c r="CX102" s="668"/>
      <c r="CZ102" s="543">
        <f>SUM(CZ98:CZ101)</f>
        <v>0</v>
      </c>
      <c r="DA102" s="667"/>
      <c r="DB102" s="668"/>
      <c r="DD102" s="543">
        <f>SUM(DD98:DD101)</f>
        <v>0</v>
      </c>
      <c r="DE102" s="543"/>
      <c r="DF102" s="668"/>
      <c r="DH102" s="543">
        <f>SUM(DH98:DH101)</f>
        <v>0</v>
      </c>
      <c r="DI102" s="667"/>
      <c r="DJ102" s="668"/>
      <c r="DK102" s="668"/>
      <c r="DL102" s="543">
        <f>SUM(DL98:DL101)</f>
        <v>0</v>
      </c>
      <c r="DM102" s="667"/>
      <c r="DN102" s="668"/>
      <c r="DO102" s="668"/>
      <c r="DP102" s="1117">
        <f>SUM(DP98:DP101)</f>
        <v>0</v>
      </c>
      <c r="DQ102" s="1171"/>
      <c r="DR102" s="1172"/>
      <c r="DY102" s="185" t="s">
        <v>215</v>
      </c>
    </row>
    <row r="103" spans="1:139" ht="12.75" hidden="1" customHeight="1" outlineLevel="1" x14ac:dyDescent="0.2">
      <c r="A103" s="604" t="s">
        <v>413</v>
      </c>
      <c r="D103" s="385">
        <f>D98+D99</f>
        <v>29.033000000000001</v>
      </c>
      <c r="E103" s="609"/>
      <c r="F103" s="605"/>
      <c r="H103" s="385">
        <f>H98+H99</f>
        <v>119.161</v>
      </c>
      <c r="I103" s="609"/>
      <c r="J103" s="605"/>
      <c r="L103" s="385">
        <f>L98+L99</f>
        <v>0</v>
      </c>
      <c r="M103" s="609"/>
      <c r="N103" s="605"/>
      <c r="P103" s="385">
        <f>P98+P99</f>
        <v>0</v>
      </c>
      <c r="Q103" s="609"/>
      <c r="R103" s="605"/>
      <c r="T103" s="385">
        <f>T98+T99</f>
        <v>27.004999999999999</v>
      </c>
      <c r="U103" s="609"/>
      <c r="V103" s="605"/>
      <c r="X103" s="385">
        <f>X98+X99</f>
        <v>7.5049999999999999</v>
      </c>
      <c r="Y103" s="609"/>
      <c r="Z103" s="605"/>
      <c r="AB103" s="385">
        <f>AB98+AB99</f>
        <v>197.92599999999999</v>
      </c>
      <c r="AC103" s="609"/>
      <c r="AD103" s="605"/>
      <c r="AF103" s="385">
        <f>AF98+AF99</f>
        <v>176.61700000000002</v>
      </c>
      <c r="AG103" s="609"/>
      <c r="AH103" s="605"/>
      <c r="AJ103" s="385">
        <f>AJ98+AJ99</f>
        <v>0</v>
      </c>
      <c r="AK103" s="609"/>
      <c r="AL103" s="605"/>
      <c r="AN103" s="385">
        <f>AN98+AN99</f>
        <v>0</v>
      </c>
      <c r="AO103" s="609"/>
      <c r="AP103" s="605"/>
      <c r="AR103" s="385">
        <f>AR98+AR99</f>
        <v>0</v>
      </c>
      <c r="AS103" s="609"/>
      <c r="AT103" s="605"/>
      <c r="AU103" s="605"/>
      <c r="AV103" s="385">
        <f>AV98+AV99</f>
        <v>0</v>
      </c>
      <c r="AW103" s="609"/>
      <c r="AX103" s="605"/>
      <c r="AZ103" s="385">
        <f>AZ98+AZ99</f>
        <v>93</v>
      </c>
      <c r="BA103" s="609"/>
      <c r="BB103" s="605"/>
      <c r="BD103" s="385">
        <f>BD98+BD99</f>
        <v>0</v>
      </c>
      <c r="BE103" s="609"/>
      <c r="BF103" s="605"/>
      <c r="BH103" s="385">
        <f>BH98+BH99</f>
        <v>18</v>
      </c>
      <c r="BI103" s="609"/>
      <c r="BJ103" s="605"/>
      <c r="BL103" s="385">
        <f>BL98+BL99</f>
        <v>109</v>
      </c>
      <c r="BM103" s="609"/>
      <c r="BN103" s="605"/>
      <c r="BP103" s="385">
        <f>BP98+BP99</f>
        <v>0</v>
      </c>
      <c r="BQ103" s="609"/>
      <c r="BR103" s="605"/>
      <c r="BT103" s="385">
        <f>BT98+BT99</f>
        <v>115</v>
      </c>
      <c r="BU103" s="609"/>
      <c r="BV103" s="605"/>
      <c r="BX103" s="385">
        <f>BX98+BX99</f>
        <v>133</v>
      </c>
      <c r="BY103" s="609"/>
      <c r="BZ103" s="605"/>
      <c r="CB103" s="385">
        <f>CB98+CB99</f>
        <v>186</v>
      </c>
      <c r="CC103" s="609"/>
      <c r="CD103" s="605"/>
      <c r="CF103" s="385">
        <f>CF98+CF99</f>
        <v>172</v>
      </c>
      <c r="CG103" s="609"/>
      <c r="CH103" s="605"/>
      <c r="CJ103" s="385">
        <f>CJ98+CJ99</f>
        <v>0</v>
      </c>
      <c r="CK103" s="609"/>
      <c r="CL103" s="605"/>
      <c r="CN103" s="385">
        <f>CN98+CN99</f>
        <v>0</v>
      </c>
      <c r="CO103" s="609"/>
      <c r="CP103" s="605"/>
      <c r="CR103" s="385">
        <f>CR98+CR99</f>
        <v>0</v>
      </c>
      <c r="CS103" s="667"/>
      <c r="CT103" s="668"/>
      <c r="CV103" s="385">
        <f>CV98+CV99</f>
        <v>0</v>
      </c>
      <c r="CW103" s="667"/>
      <c r="CX103" s="668"/>
      <c r="CZ103" s="385">
        <f>CZ98+CZ99</f>
        <v>0</v>
      </c>
      <c r="DA103" s="667"/>
      <c r="DB103" s="668"/>
      <c r="DD103" s="385">
        <f>DD98+DD99</f>
        <v>0</v>
      </c>
      <c r="DE103" s="667"/>
      <c r="DF103" s="668"/>
      <c r="DH103" s="385">
        <f>DH98+DH99</f>
        <v>0</v>
      </c>
      <c r="DI103" s="667"/>
      <c r="DJ103" s="668"/>
      <c r="DK103" s="668"/>
      <c r="DL103" s="385">
        <f>DL98+DL99</f>
        <v>0</v>
      </c>
      <c r="DM103" s="667"/>
      <c r="DN103" s="668"/>
      <c r="DO103" s="668"/>
      <c r="DP103" s="1092">
        <f>DP98+DP99</f>
        <v>0</v>
      </c>
      <c r="DQ103" s="1171"/>
      <c r="DR103" s="1172"/>
      <c r="DY103" s="185" t="s">
        <v>215</v>
      </c>
    </row>
    <row r="104" spans="1:139" ht="10.5" hidden="1" customHeight="1" outlineLevel="1" x14ac:dyDescent="0.2">
      <c r="A104" s="604" t="s">
        <v>414</v>
      </c>
      <c r="D104" s="385">
        <f>D100+D101</f>
        <v>97.998999999999995</v>
      </c>
      <c r="E104" s="609"/>
      <c r="F104" s="605"/>
      <c r="H104" s="385">
        <f>H100+H101</f>
        <v>1560.7749999999999</v>
      </c>
      <c r="I104" s="609"/>
      <c r="J104" s="605"/>
      <c r="L104" s="385">
        <f>L100+L101</f>
        <v>0</v>
      </c>
      <c r="M104" s="609"/>
      <c r="N104" s="605"/>
      <c r="P104" s="385">
        <f>P100+P101</f>
        <v>-24</v>
      </c>
      <c r="Q104" s="609"/>
      <c r="R104" s="605"/>
      <c r="T104" s="385">
        <f>T100+T101</f>
        <v>-1.8</v>
      </c>
      <c r="U104" s="609"/>
      <c r="V104" s="605"/>
      <c r="X104" s="385">
        <f>X100+X101</f>
        <v>137.1</v>
      </c>
      <c r="Y104" s="609"/>
      <c r="Z104" s="605"/>
      <c r="AB104" s="385">
        <f>AB100+AB101</f>
        <v>79</v>
      </c>
      <c r="AC104" s="609"/>
      <c r="AD104" s="605"/>
      <c r="AF104" s="385">
        <f>AF100+AF101</f>
        <v>132.02600000000001</v>
      </c>
      <c r="AG104" s="609"/>
      <c r="AH104" s="605"/>
      <c r="AJ104" s="385">
        <f>AJ100+AJ101</f>
        <v>0</v>
      </c>
      <c r="AK104" s="609"/>
      <c r="AL104" s="605"/>
      <c r="AN104" s="385">
        <f>AN100+AN101</f>
        <v>0</v>
      </c>
      <c r="AO104" s="609"/>
      <c r="AP104" s="605"/>
      <c r="AR104" s="385">
        <f>AR100+AR101</f>
        <v>0</v>
      </c>
      <c r="AS104" s="609"/>
      <c r="AT104" s="605"/>
      <c r="AU104" s="605"/>
      <c r="AV104" s="385">
        <f>AV100+AV101</f>
        <v>80</v>
      </c>
      <c r="AW104" s="609"/>
      <c r="AX104" s="605"/>
      <c r="AZ104" s="385">
        <f>AZ100+AZ101</f>
        <v>179</v>
      </c>
      <c r="BA104" s="609"/>
      <c r="BB104" s="605"/>
      <c r="BD104" s="385">
        <f>BD100+BD101</f>
        <v>68</v>
      </c>
      <c r="BE104" s="609"/>
      <c r="BF104" s="605"/>
      <c r="BH104" s="385">
        <f>BH100+BH101</f>
        <v>41</v>
      </c>
      <c r="BI104" s="609"/>
      <c r="BJ104" s="605"/>
      <c r="BL104" s="385">
        <f>BL100+BL101</f>
        <v>49</v>
      </c>
      <c r="BM104" s="609"/>
      <c r="BN104" s="605"/>
      <c r="BP104" s="385">
        <f>BP100+BP101</f>
        <v>-303</v>
      </c>
      <c r="BQ104" s="609"/>
      <c r="BR104" s="605"/>
      <c r="BT104" s="385">
        <f>BT100+BT101</f>
        <v>322</v>
      </c>
      <c r="BU104" s="609"/>
      <c r="BV104" s="605"/>
      <c r="BX104" s="385">
        <f>BX100+BX101</f>
        <v>86</v>
      </c>
      <c r="BY104" s="609"/>
      <c r="BZ104" s="605"/>
      <c r="CB104" s="385">
        <f>CB100+CB101</f>
        <v>235</v>
      </c>
      <c r="CC104" s="609"/>
      <c r="CD104" s="605"/>
      <c r="CF104" s="385">
        <f>CF100+CF101</f>
        <v>219</v>
      </c>
      <c r="CG104" s="609"/>
      <c r="CH104" s="605"/>
      <c r="CJ104" s="385">
        <f>CJ100+CJ101</f>
        <v>25</v>
      </c>
      <c r="CK104" s="609"/>
      <c r="CL104" s="605"/>
      <c r="CN104" s="385">
        <f>CN100+CN101</f>
        <v>-25</v>
      </c>
      <c r="CO104" s="609"/>
      <c r="CP104" s="605"/>
      <c r="CR104" s="385">
        <f>CR100+CR101</f>
        <v>0</v>
      </c>
      <c r="CS104" s="667"/>
      <c r="CT104" s="668"/>
      <c r="CV104" s="385">
        <f>CV100+CV101</f>
        <v>0</v>
      </c>
      <c r="CW104" s="667"/>
      <c r="CX104" s="668"/>
      <c r="CZ104" s="385">
        <f>CZ100+CZ101</f>
        <v>0</v>
      </c>
      <c r="DA104" s="667"/>
      <c r="DB104" s="668"/>
      <c r="DD104" s="385">
        <f>DD100+DD101</f>
        <v>0</v>
      </c>
      <c r="DE104" s="667"/>
      <c r="DF104" s="668"/>
      <c r="DH104" s="385">
        <f>DH100+DH101</f>
        <v>0</v>
      </c>
      <c r="DI104" s="667"/>
      <c r="DJ104" s="668"/>
      <c r="DK104" s="668"/>
      <c r="DL104" s="385">
        <f>DL100+DL101</f>
        <v>0</v>
      </c>
      <c r="DM104" s="667"/>
      <c r="DN104" s="668"/>
      <c r="DO104" s="668"/>
      <c r="DP104" s="1092">
        <f>DP100+DP101</f>
        <v>0</v>
      </c>
      <c r="DQ104" s="1171"/>
      <c r="DR104" s="1172"/>
      <c r="DY104" s="185" t="s">
        <v>215</v>
      </c>
    </row>
    <row r="105" spans="1:139" collapsed="1" x14ac:dyDescent="0.2">
      <c r="D105" s="353"/>
      <c r="H105" s="353"/>
      <c r="L105" s="353"/>
      <c r="P105" s="353"/>
      <c r="T105" s="353"/>
      <c r="X105" s="353"/>
      <c r="AB105" s="353"/>
      <c r="AF105" s="353"/>
      <c r="AJ105" s="385"/>
      <c r="AN105" s="385"/>
      <c r="AR105" s="385"/>
      <c r="AV105" s="385"/>
      <c r="AZ105" s="385"/>
      <c r="BD105" s="385"/>
      <c r="BH105" s="385"/>
      <c r="BL105" s="385"/>
      <c r="BP105" s="385"/>
      <c r="BT105" s="385"/>
      <c r="BX105" s="385"/>
      <c r="CB105" s="385"/>
      <c r="CF105" s="385"/>
      <c r="CJ105" s="385"/>
      <c r="CN105" s="385"/>
      <c r="DY105" s="185" t="s">
        <v>215</v>
      </c>
    </row>
    <row r="106" spans="1:139" s="627" customFormat="1" collapsed="1" x14ac:dyDescent="0.2">
      <c r="D106" s="628"/>
      <c r="H106" s="628"/>
      <c r="L106" s="628"/>
      <c r="P106" s="628"/>
      <c r="T106" s="628"/>
      <c r="X106" s="628"/>
      <c r="AB106" s="628"/>
      <c r="AF106" s="628"/>
      <c r="AJ106" s="629"/>
      <c r="AN106" s="629"/>
      <c r="AR106" s="629"/>
      <c r="AV106" s="629"/>
      <c r="AZ106" s="629"/>
      <c r="BD106" s="629"/>
      <c r="BH106" s="629"/>
      <c r="BL106" s="629"/>
      <c r="BP106" s="629"/>
      <c r="BT106" s="629"/>
      <c r="BX106" s="629"/>
      <c r="CB106" s="629"/>
      <c r="CF106" s="629"/>
      <c r="CJ106" s="629"/>
      <c r="CN106" s="1510" t="s">
        <v>329</v>
      </c>
      <c r="CO106" s="1510"/>
      <c r="CP106" s="1510"/>
      <c r="CQ106" s="1510"/>
      <c r="CR106" s="1510"/>
      <c r="CS106" s="1510"/>
      <c r="CT106" s="1510"/>
      <c r="CU106" s="1510"/>
      <c r="CV106" s="1510"/>
      <c r="CW106" s="1510"/>
      <c r="CZ106" s="663" t="s">
        <v>329</v>
      </c>
      <c r="DA106" s="663"/>
      <c r="DB106" s="663"/>
      <c r="DC106" s="663"/>
      <c r="DD106" s="663"/>
      <c r="DE106" s="663"/>
      <c r="DF106" s="663"/>
      <c r="DG106" s="663"/>
      <c r="DH106" s="663"/>
      <c r="DI106" s="663"/>
      <c r="DJ106" s="663"/>
      <c r="DK106" s="444"/>
      <c r="DL106" s="663"/>
      <c r="DM106" s="663"/>
      <c r="DN106" s="663"/>
      <c r="DO106" s="444"/>
      <c r="DP106" s="1169"/>
      <c r="DQ106" s="1169"/>
      <c r="DR106" s="1169"/>
      <c r="DY106" s="627" t="s">
        <v>215</v>
      </c>
      <c r="EI106" s="600"/>
    </row>
    <row r="107" spans="1:139" x14ac:dyDescent="0.2">
      <c r="D107" s="353"/>
      <c r="H107" s="353"/>
      <c r="L107" s="353"/>
      <c r="P107" s="353"/>
      <c r="T107" s="353"/>
      <c r="X107" s="353"/>
      <c r="AB107" s="353"/>
      <c r="AF107" s="353"/>
      <c r="AJ107" s="385"/>
      <c r="AN107" s="385"/>
      <c r="AR107" s="385"/>
      <c r="AV107" s="385"/>
      <c r="AZ107" s="385"/>
      <c r="BD107" s="385"/>
      <c r="BH107" s="385"/>
      <c r="BL107" s="385"/>
      <c r="BP107" s="385"/>
      <c r="BT107" s="385"/>
      <c r="BX107" s="385"/>
      <c r="CB107" s="385"/>
      <c r="CF107" s="385"/>
      <c r="CJ107" s="385"/>
      <c r="CN107" s="385"/>
      <c r="CR107" s="385"/>
      <c r="CV107" s="385"/>
      <c r="CZ107" s="385"/>
      <c r="DD107" s="385"/>
      <c r="DH107" s="385"/>
      <c r="DL107" s="385"/>
      <c r="DP107" s="1092"/>
      <c r="DY107" s="185" t="s">
        <v>215</v>
      </c>
    </row>
    <row r="108" spans="1:139" x14ac:dyDescent="0.2">
      <c r="A108" s="604" t="s">
        <v>79</v>
      </c>
      <c r="D108" s="543">
        <f>D49-D98-D88-D78</f>
        <v>-143.4009999999999</v>
      </c>
      <c r="E108" s="672">
        <f t="shared" ref="E108:E114" si="220">D108/D10*100</f>
        <v>-9.0163223218439885</v>
      </c>
      <c r="F108" s="566"/>
      <c r="H108" s="543">
        <f>H49-H98-H88-H78</f>
        <v>-85.017999999999915</v>
      </c>
      <c r="I108" s="672">
        <f t="shared" ref="I108:I114" si="221">H108/H10*100</f>
        <v>-5.3355708699343936</v>
      </c>
      <c r="J108" s="566"/>
      <c r="L108" s="543">
        <f>L49-L98-L88-L78</f>
        <v>22.97600000000017</v>
      </c>
      <c r="M108" s="672">
        <f t="shared" ref="M108:M114" si="222">L108/L10*100</f>
        <v>1.4618324059028207</v>
      </c>
      <c r="N108" s="566"/>
      <c r="P108" s="543">
        <f>P49-P98-P88-P78</f>
        <v>39.65900000000007</v>
      </c>
      <c r="Q108" s="672">
        <f t="shared" ref="Q108:Q114" si="223">P108/P10*100</f>
        <v>2.4938704953092592</v>
      </c>
      <c r="R108" s="566"/>
      <c r="T108" s="543">
        <f>T49-T98-T88-T78</f>
        <v>58.068000000000183</v>
      </c>
      <c r="U108" s="672">
        <f t="shared" ref="U108:U114" si="224">T108/T10*100</f>
        <v>3.5115451996243525</v>
      </c>
      <c r="V108" s="566"/>
      <c r="X108" s="543">
        <f>X49-X98-X88-X78</f>
        <v>-52.74000000000003</v>
      </c>
      <c r="Y108" s="672">
        <f t="shared" ref="Y108:Y114" si="225">X108/X10*100</f>
        <v>-1.7950987066031325</v>
      </c>
      <c r="Z108" s="566"/>
      <c r="AB108" s="543">
        <f>AB49-AB98-AB88-AB78</f>
        <v>-86.748000000000289</v>
      </c>
      <c r="AC108" s="672">
        <f t="shared" ref="AC108:AC114" si="226">AB108/AB10*100</f>
        <v>-2.9032070216726571</v>
      </c>
      <c r="AD108" s="566"/>
      <c r="AF108" s="543">
        <f>AF49-AF98-AF88-AF78</f>
        <v>-56.994000000000156</v>
      </c>
      <c r="AG108" s="672">
        <f t="shared" ref="AG108:AG114" si="227">AF108/AF10*100</f>
        <v>-1.7267246341685145</v>
      </c>
      <c r="AH108" s="566"/>
      <c r="AJ108" s="543">
        <f>AJ49-AJ98-AJ88-AJ78</f>
        <v>43.192000000000192</v>
      </c>
      <c r="AK108" s="672">
        <f t="shared" ref="AK108:AK114" si="228">AJ108/AJ10*100</f>
        <v>1.2671478026169158</v>
      </c>
      <c r="AL108" s="566"/>
      <c r="AN108" s="543">
        <f>AN49-AN98-AN88-AN78</f>
        <v>104</v>
      </c>
      <c r="AO108" s="672">
        <f t="shared" ref="AO108:AO114" si="229">AN108/AN10*100</f>
        <v>3.0980041703902295</v>
      </c>
      <c r="AP108" s="566"/>
      <c r="AR108" s="543">
        <f>AR49-AR98-AR88-AR78</f>
        <v>150</v>
      </c>
      <c r="AS108" s="672">
        <f t="shared" ref="AS108:AS114" si="230">AR108/AR10*100</f>
        <v>4.1666666666666661</v>
      </c>
      <c r="AT108" s="566"/>
      <c r="AV108" s="543">
        <f>AV49-AV98-AV88-AV78</f>
        <v>200</v>
      </c>
      <c r="AW108" s="672">
        <f t="shared" ref="AW108:AW114" si="231">AV108/AV10*100</f>
        <v>5.5975370836831795</v>
      </c>
      <c r="AX108" s="566"/>
      <c r="AZ108" s="543">
        <f>AZ49-AZ98-AZ88-AZ78</f>
        <v>100</v>
      </c>
      <c r="BA108" s="672">
        <f t="shared" ref="BA108:BA114" si="232">AZ108/AZ10*100</f>
        <v>2.8121484814398201</v>
      </c>
      <c r="BB108" s="566"/>
      <c r="BD108" s="543">
        <f>BD49-BD98-BD88-BD78</f>
        <v>147</v>
      </c>
      <c r="BE108" s="672">
        <f t="shared" ref="BE108:BE114" si="233">BD108/BD10*100</f>
        <v>4.2571676802780196</v>
      </c>
      <c r="BF108" s="566"/>
      <c r="BH108" s="543">
        <f>BH49-BH98-BH88-BH78</f>
        <v>76</v>
      </c>
      <c r="BI108" s="672">
        <f t="shared" ref="BI108:BI114" si="234">BH108/BH10*100</f>
        <v>2.3093284715891826</v>
      </c>
      <c r="BJ108" s="566"/>
      <c r="BL108" s="543">
        <f>BL49-BL98-BL88-BL78</f>
        <v>157</v>
      </c>
      <c r="BM108" s="672">
        <f t="shared" ref="BM108:BM114" si="235">BL108/BL10*100</f>
        <v>4.422535211267606</v>
      </c>
      <c r="BN108" s="566"/>
      <c r="BP108" s="543">
        <f>BP49-BP98-BP88-BP78</f>
        <v>198</v>
      </c>
      <c r="BQ108" s="672">
        <f t="shared" ref="BQ108:BQ114" si="236">BP108/BP10*100</f>
        <v>5.4380664652567976</v>
      </c>
      <c r="BR108" s="566"/>
      <c r="BT108" s="543">
        <f>BT49-BT98-BT88-BT78</f>
        <v>-118</v>
      </c>
      <c r="BU108" s="672">
        <f t="shared" ref="BU108:BU114" si="237">BT108/BT10*100</f>
        <v>-1.9898819561551433</v>
      </c>
      <c r="BV108" s="566"/>
      <c r="BX108" s="543">
        <f>BX49-BX98-BX88-BX78</f>
        <v>83</v>
      </c>
      <c r="BY108" s="672">
        <f t="shared" ref="BY108:BY114" si="238">BX108/BX10*100</f>
        <v>1.4017902381354501</v>
      </c>
      <c r="BZ108" s="566"/>
      <c r="CB108" s="543">
        <f>CB49-CB98-CB88-CB78</f>
        <v>-106</v>
      </c>
      <c r="CC108" s="672">
        <f t="shared" ref="CC108:CC114" si="239">CB108/CB10*100</f>
        <v>-1.8444405776927093</v>
      </c>
      <c r="CD108" s="566"/>
      <c r="CF108" s="543">
        <f>CF49-CF98-CF88-CF78</f>
        <v>-255</v>
      </c>
      <c r="CG108" s="672">
        <f t="shared" ref="CG108:CG114" si="240">CF108/CF10*100</f>
        <v>-4.822239031770045</v>
      </c>
      <c r="CH108" s="566"/>
      <c r="CJ108" s="543">
        <f>CJ49-CJ98-CJ88-CJ78</f>
        <v>41</v>
      </c>
      <c r="CK108" s="672">
        <f t="shared" ref="CK108:CK114" si="241">CJ108/CJ10*100</f>
        <v>0.73555794761392179</v>
      </c>
      <c r="CL108" s="566"/>
      <c r="CN108" s="543">
        <f>CN49-CN98-CN88-CN78</f>
        <v>214</v>
      </c>
      <c r="CO108" s="672">
        <f t="shared" ref="CO108:CO114" si="242">CN108/CN10*100</f>
        <v>3.6338937001188656</v>
      </c>
      <c r="CP108" s="566"/>
      <c r="CR108" s="543">
        <f>CR49-CR98-CR88-CR78</f>
        <v>279</v>
      </c>
      <c r="CS108" s="672">
        <f t="shared" ref="CS108:CS114" si="243">CR108/CR10*100</f>
        <v>4.5417548429106303</v>
      </c>
      <c r="CT108" s="566"/>
      <c r="CV108" s="543">
        <f>CV49-CV98-CV88-CV78</f>
        <v>338</v>
      </c>
      <c r="CW108" s="672">
        <f t="shared" ref="CW108:CW114" si="244">CV108/CV10*100</f>
        <v>5.2919993737278848</v>
      </c>
      <c r="CX108" s="566"/>
      <c r="CZ108" s="543">
        <f>CZ49-CZ98-CZ88-CZ78</f>
        <v>343</v>
      </c>
      <c r="DA108" s="672">
        <f t="shared" ref="DA108:DA114" si="245">CZ108/CZ10*100</f>
        <v>5.4626532887402455</v>
      </c>
      <c r="DB108" s="566"/>
      <c r="DD108" s="543">
        <f>DD49-DD98-DD88-DD78</f>
        <v>314</v>
      </c>
      <c r="DE108" s="672">
        <f t="shared" ref="DE108:DE114" si="246">DD108/DD10*100</f>
        <v>5.038510911424904</v>
      </c>
      <c r="DF108" s="566"/>
      <c r="DH108" s="543">
        <f>DH49-DH98-DH88-DH78+DH59</f>
        <v>203</v>
      </c>
      <c r="DI108" s="672">
        <f t="shared" ref="DI108:DI114" si="247">DH108/DH10*100</f>
        <v>3.5157603048146866</v>
      </c>
      <c r="DJ108" s="566"/>
      <c r="DK108" s="566"/>
      <c r="DL108" s="543">
        <f>DL49-DL98-DL88-DL78+DL59</f>
        <v>148</v>
      </c>
      <c r="DM108" s="672">
        <f t="shared" ref="DM108:DM114" si="248">DL108/DL10*100</f>
        <v>2.7653213751868457</v>
      </c>
      <c r="DN108" s="566"/>
      <c r="DO108" s="566"/>
      <c r="DP108" s="1117">
        <f t="shared" ref="DP108:DP111" si="249">DP49-DP98-DP88-DP78+DP59</f>
        <v>150.59310239999968</v>
      </c>
      <c r="DQ108" s="1175">
        <f t="shared" ref="DQ108:DQ114" si="250">DP108/DP10*100</f>
        <v>2.8336077204105812</v>
      </c>
      <c r="DR108" s="1132"/>
      <c r="DY108" s="185" t="s">
        <v>215</v>
      </c>
    </row>
    <row r="109" spans="1:139" x14ac:dyDescent="0.2">
      <c r="A109" s="604" t="s">
        <v>80</v>
      </c>
      <c r="D109" s="385">
        <f>D50-D99-D89-D79</f>
        <v>-186.447</v>
      </c>
      <c r="E109" s="672">
        <f t="shared" si="220"/>
        <v>-12.220487490266711</v>
      </c>
      <c r="F109" s="566"/>
      <c r="H109" s="385">
        <f>H50-H99-H89-H79</f>
        <v>-210.38000000000011</v>
      </c>
      <c r="I109" s="672">
        <f t="shared" si="221"/>
        <v>-14.065250514292904</v>
      </c>
      <c r="J109" s="566"/>
      <c r="L109" s="385">
        <f>L50-L99-L89-L79</f>
        <v>-22.479000000000042</v>
      </c>
      <c r="M109" s="672">
        <f t="shared" si="222"/>
        <v>-1.5426032725505996</v>
      </c>
      <c r="N109" s="566"/>
      <c r="P109" s="385">
        <f>P50-P99-P89-P79</f>
        <v>18.090999999999973</v>
      </c>
      <c r="Q109" s="672">
        <f t="shared" si="223"/>
        <v>1.204229814789173</v>
      </c>
      <c r="R109" s="566"/>
      <c r="T109" s="385">
        <f>T50-T99-T89-T79</f>
        <v>10.266999999999847</v>
      </c>
      <c r="U109" s="672">
        <f t="shared" si="224"/>
        <v>0.64325543512310301</v>
      </c>
      <c r="V109" s="566"/>
      <c r="X109" s="385">
        <f>X50-X99-X89-X79</f>
        <v>-87.464999999999975</v>
      </c>
      <c r="Y109" s="672">
        <f t="shared" si="225"/>
        <v>-2.9843387470997671</v>
      </c>
      <c r="Z109" s="566"/>
      <c r="AB109" s="385">
        <f>AB50-AB99-AB89-AB79</f>
        <v>-101.6219999999999</v>
      </c>
      <c r="AC109" s="672">
        <f t="shared" si="226"/>
        <v>-3.3351493272070853</v>
      </c>
      <c r="AD109" s="566"/>
      <c r="AF109" s="385">
        <f>AF50-AF99-AF89-AF79</f>
        <v>-39.888000000000204</v>
      </c>
      <c r="AG109" s="672">
        <f t="shared" si="227"/>
        <v>-1.2145423543024239</v>
      </c>
      <c r="AH109" s="566"/>
      <c r="AJ109" s="385">
        <f>AJ50-AJ99-AJ89-AJ79</f>
        <v>112.56800000000035</v>
      </c>
      <c r="AK109" s="672">
        <f t="shared" si="228"/>
        <v>3.260194624652466</v>
      </c>
      <c r="AL109" s="566"/>
      <c r="AN109" s="385">
        <f>AN50-AN99-AN89-AN79</f>
        <v>193</v>
      </c>
      <c r="AO109" s="672">
        <f t="shared" si="229"/>
        <v>5.6333917104495033</v>
      </c>
      <c r="AP109" s="566"/>
      <c r="AR109" s="385">
        <f>AR50-AR99-AR89-AR79</f>
        <v>233</v>
      </c>
      <c r="AS109" s="672">
        <f t="shared" si="230"/>
        <v>5.8162755866200699</v>
      </c>
      <c r="AT109" s="566"/>
      <c r="AV109" s="385">
        <f>AV50-AV99-AV89-AV79</f>
        <v>324</v>
      </c>
      <c r="AW109" s="672">
        <f t="shared" si="231"/>
        <v>8.8067409622179937</v>
      </c>
      <c r="AX109" s="566"/>
      <c r="AZ109" s="385">
        <f>AZ50-AZ99-AZ89-AZ79</f>
        <v>135</v>
      </c>
      <c r="BA109" s="672">
        <f t="shared" si="232"/>
        <v>3.8704128440366969</v>
      </c>
      <c r="BB109" s="566"/>
      <c r="BD109" s="385">
        <f>BD50-BD99-BD89-BD79</f>
        <v>222</v>
      </c>
      <c r="BE109" s="672">
        <f t="shared" si="233"/>
        <v>6.3683304647160073</v>
      </c>
      <c r="BF109" s="566"/>
      <c r="BH109" s="385">
        <f>BH50-BH99-BH89-BH79</f>
        <v>199</v>
      </c>
      <c r="BI109" s="672">
        <f t="shared" si="234"/>
        <v>5.7949912638322658</v>
      </c>
      <c r="BJ109" s="566"/>
      <c r="BL109" s="385">
        <f>BL50-BL99-BL89-BL79</f>
        <v>126</v>
      </c>
      <c r="BM109" s="672">
        <f t="shared" si="235"/>
        <v>3.518570231778833</v>
      </c>
      <c r="BN109" s="566"/>
      <c r="BP109" s="385">
        <f>BP50-BP99-BP89-BP79</f>
        <v>237</v>
      </c>
      <c r="BQ109" s="672">
        <f t="shared" si="236"/>
        <v>6.5415401600883243</v>
      </c>
      <c r="BR109" s="566"/>
      <c r="BT109" s="385">
        <f>BT50-BT99-BT89-BT79</f>
        <v>306</v>
      </c>
      <c r="BU109" s="672">
        <f t="shared" si="237"/>
        <v>5.1042535446205166</v>
      </c>
      <c r="BV109" s="566"/>
      <c r="BX109" s="385">
        <f>BX50-BX99-BX89-BX79</f>
        <v>113</v>
      </c>
      <c r="BY109" s="672">
        <f t="shared" si="238"/>
        <v>1.9178547182620502</v>
      </c>
      <c r="BZ109" s="566"/>
      <c r="CB109" s="385">
        <f>CB50-CB99-CB89-CB79</f>
        <v>121</v>
      </c>
      <c r="CC109" s="672">
        <f t="shared" si="239"/>
        <v>2.1161245190626095</v>
      </c>
      <c r="CD109" s="566"/>
      <c r="CF109" s="385">
        <f>CF50-CF99-CF89-CF79</f>
        <v>109</v>
      </c>
      <c r="CG109" s="672">
        <f t="shared" si="240"/>
        <v>2.0624408703878903</v>
      </c>
      <c r="CH109" s="566"/>
      <c r="CJ109" s="385">
        <f>CJ50-CJ99-CJ89-CJ79</f>
        <v>240</v>
      </c>
      <c r="CK109" s="672">
        <f t="shared" si="241"/>
        <v>4.334477153693336</v>
      </c>
      <c r="CL109" s="566"/>
      <c r="CN109" s="385">
        <f>CN50-CN99-CN89-CN79</f>
        <v>395</v>
      </c>
      <c r="CO109" s="672">
        <f t="shared" si="242"/>
        <v>6.6509513386091932</v>
      </c>
      <c r="CP109" s="566"/>
      <c r="CR109" s="385">
        <f>CR50-CR99-CR89-CR79</f>
        <v>449</v>
      </c>
      <c r="CS109" s="672">
        <f t="shared" si="243"/>
        <v>7.3389996730957838</v>
      </c>
      <c r="CT109" s="566"/>
      <c r="CV109" s="385">
        <f>CV50-CV99-CV89-CV79</f>
        <v>438</v>
      </c>
      <c r="CW109" s="672">
        <f t="shared" si="244"/>
        <v>7.220573689416419</v>
      </c>
      <c r="CX109" s="566"/>
      <c r="CZ109" s="385">
        <f>CZ50-CZ99-CZ89-CZ79</f>
        <v>471</v>
      </c>
      <c r="DA109" s="672">
        <f t="shared" si="245"/>
        <v>7.5155576831019628</v>
      </c>
      <c r="DB109" s="566"/>
      <c r="DD109" s="385">
        <f>DD50-DD99-DD89-DD79</f>
        <v>343</v>
      </c>
      <c r="DE109" s="672">
        <f t="shared" si="246"/>
        <v>5.6192660550458715</v>
      </c>
      <c r="DF109" s="566"/>
      <c r="DH109" s="385">
        <f t="shared" ref="DH109:DH112" si="251">DH50-DH99-DH89-DH79+DH60</f>
        <v>264.75</v>
      </c>
      <c r="DI109" s="672">
        <f t="shared" si="247"/>
        <v>4.4361595174262733</v>
      </c>
      <c r="DJ109" s="566"/>
      <c r="DK109" s="566"/>
      <c r="DL109" s="385">
        <f t="shared" ref="DL109:DL112" si="252">DL50-DL99-DL89-DL79+DL60</f>
        <v>218</v>
      </c>
      <c r="DM109" s="672">
        <f t="shared" si="248"/>
        <v>3.8686779059449865</v>
      </c>
      <c r="DN109" s="566"/>
      <c r="DO109" s="566"/>
      <c r="DP109" s="1092">
        <f t="shared" si="249"/>
        <v>191.38913550000052</v>
      </c>
      <c r="DQ109" s="1175">
        <f t="shared" si="250"/>
        <v>3.4978737513901459</v>
      </c>
      <c r="DR109" s="1132"/>
      <c r="DY109" s="185" t="s">
        <v>215</v>
      </c>
    </row>
    <row r="110" spans="1:139" x14ac:dyDescent="0.2">
      <c r="A110" s="604" t="s">
        <v>81</v>
      </c>
      <c r="D110" s="385">
        <f>D51-D100-D90-D80</f>
        <v>-121.46500000000003</v>
      </c>
      <c r="E110" s="672">
        <f t="shared" si="220"/>
        <v>-6.8728084842250485</v>
      </c>
      <c r="F110" s="566"/>
      <c r="H110" s="385">
        <f>H51-H100-H90-H80</f>
        <v>-79.991999999999948</v>
      </c>
      <c r="I110" s="672">
        <f t="shared" si="221"/>
        <v>-4.6809031067335054</v>
      </c>
      <c r="J110" s="566"/>
      <c r="L110" s="385">
        <f>L51-L100-L90-L80</f>
        <v>55.534999999999918</v>
      </c>
      <c r="M110" s="672">
        <f t="shared" si="222"/>
        <v>3.1043089160492197</v>
      </c>
      <c r="N110" s="566"/>
      <c r="P110" s="385">
        <f>P51-P100-P90-P80</f>
        <v>63.014999999999951</v>
      </c>
      <c r="Q110" s="672">
        <f t="shared" si="223"/>
        <v>3.5217387659523305</v>
      </c>
      <c r="R110" s="566"/>
      <c r="T110" s="385">
        <f>T51-T100-T90-T80</f>
        <v>78.336000000000013</v>
      </c>
      <c r="U110" s="672">
        <f t="shared" si="224"/>
        <v>4.0655777863007847</v>
      </c>
      <c r="V110" s="566"/>
      <c r="X110" s="385">
        <f>X51-X100-X90-X80</f>
        <v>-76.039999999999949</v>
      </c>
      <c r="Y110" s="672">
        <f t="shared" si="225"/>
        <v>-2.268090437272563</v>
      </c>
      <c r="Z110" s="566"/>
      <c r="AB110" s="385">
        <f>AB51-AB100-AB90-AB80</f>
        <v>42.979999999999748</v>
      </c>
      <c r="AC110" s="672">
        <f t="shared" si="226"/>
        <v>1.2893247034373116</v>
      </c>
      <c r="AD110" s="566"/>
      <c r="AF110" s="385">
        <f>AF51-AF100-AF90-AF80</f>
        <v>73.903000000000205</v>
      </c>
      <c r="AG110" s="672">
        <f t="shared" si="227"/>
        <v>2.0476850184256521</v>
      </c>
      <c r="AH110" s="566"/>
      <c r="AJ110" s="385">
        <f>AJ51-AJ100-AJ90-AJ80</f>
        <v>175.9070000000001</v>
      </c>
      <c r="AK110" s="672">
        <f t="shared" si="228"/>
        <v>4.6957368997090336</v>
      </c>
      <c r="AL110" s="566"/>
      <c r="AN110" s="385">
        <f>AN51-AN100-AN90-AN80</f>
        <v>185</v>
      </c>
      <c r="AO110" s="672">
        <f t="shared" si="229"/>
        <v>5.2142051860202931</v>
      </c>
      <c r="AP110" s="566"/>
      <c r="AR110" s="385">
        <f>AR51-AR100-AR90-AR80</f>
        <v>211</v>
      </c>
      <c r="AS110" s="672">
        <f t="shared" si="230"/>
        <v>5.1003142373700756</v>
      </c>
      <c r="AT110" s="566"/>
      <c r="AV110" s="385">
        <f>AV51-AV100-AV90-AV80</f>
        <v>185</v>
      </c>
      <c r="AW110" s="672">
        <f t="shared" si="231"/>
        <v>4.891591750396616</v>
      </c>
      <c r="AX110" s="566"/>
      <c r="AZ110" s="385">
        <f>AZ51-AZ100-AZ90-AZ80</f>
        <v>46</v>
      </c>
      <c r="BA110" s="672">
        <f t="shared" si="232"/>
        <v>1.3237410071942446</v>
      </c>
      <c r="BB110" s="566"/>
      <c r="BD110" s="385">
        <f>BD51-BD100-BD90-BD80</f>
        <v>115</v>
      </c>
      <c r="BE110" s="672">
        <f t="shared" si="233"/>
        <v>3.3055475711411328</v>
      </c>
      <c r="BF110" s="566"/>
      <c r="BH110" s="385">
        <f>BH51-BH100-BH90-BH80</f>
        <v>112</v>
      </c>
      <c r="BI110" s="672">
        <f t="shared" si="234"/>
        <v>3.2128514056224895</v>
      </c>
      <c r="BJ110" s="566"/>
      <c r="BL110" s="385">
        <f>BL51-BL100-BL90-BL80</f>
        <v>120</v>
      </c>
      <c r="BM110" s="672">
        <f t="shared" si="235"/>
        <v>3.4042553191489362</v>
      </c>
      <c r="BN110" s="566"/>
      <c r="BP110" s="385">
        <f>BP51-BP100-BP90-BP80</f>
        <v>542</v>
      </c>
      <c r="BQ110" s="672">
        <f t="shared" si="236"/>
        <v>9.7569756975697572</v>
      </c>
      <c r="BR110" s="566"/>
      <c r="BT110" s="385">
        <f>BT51-BT100-BT90-BT80</f>
        <v>30</v>
      </c>
      <c r="BU110" s="672">
        <f t="shared" si="237"/>
        <v>0.509683995922528</v>
      </c>
      <c r="BV110" s="566"/>
      <c r="BX110" s="385">
        <f>BX51-BX100-BX90-BX80</f>
        <v>38</v>
      </c>
      <c r="BY110" s="672">
        <f t="shared" si="238"/>
        <v>0.64341347781916691</v>
      </c>
      <c r="BZ110" s="566"/>
      <c r="CB110" s="385">
        <f>CB51-CB100-CB90-CB80</f>
        <v>-75</v>
      </c>
      <c r="CC110" s="672">
        <f t="shared" si="239"/>
        <v>-1.3653741125068268</v>
      </c>
      <c r="CD110" s="566"/>
      <c r="CF110" s="385">
        <f>CF51-CF100-CF90-CF80</f>
        <v>-82</v>
      </c>
      <c r="CG110" s="672">
        <f t="shared" si="240"/>
        <v>-1.5227483751160631</v>
      </c>
      <c r="CH110" s="566"/>
      <c r="CJ110" s="385">
        <f>CJ51-CJ100-CJ90-CJ80</f>
        <v>13</v>
      </c>
      <c r="CK110" s="672">
        <f t="shared" si="241"/>
        <v>0.23119331317801886</v>
      </c>
      <c r="CL110" s="566"/>
      <c r="CN110" s="385">
        <f>CN51-CN100-CN90-CN80</f>
        <v>183</v>
      </c>
      <c r="CO110" s="672">
        <f t="shared" si="242"/>
        <v>3.1266017426960535</v>
      </c>
      <c r="CP110" s="566"/>
      <c r="CR110" s="385">
        <f>CR51-CR100-CR90-CR80</f>
        <v>222</v>
      </c>
      <c r="CS110" s="672">
        <f t="shared" si="243"/>
        <v>3.6543209876543212</v>
      </c>
      <c r="CT110" s="566"/>
      <c r="CV110" s="385">
        <f>CV51-CV100-CV90-CV80</f>
        <v>264</v>
      </c>
      <c r="CW110" s="672">
        <f t="shared" si="244"/>
        <v>4.2065009560229445</v>
      </c>
      <c r="CX110" s="566"/>
      <c r="CZ110" s="385">
        <f>CZ51-CZ100-CZ90-CZ80</f>
        <v>326</v>
      </c>
      <c r="DA110" s="672">
        <f t="shared" si="245"/>
        <v>5.2623083131557706</v>
      </c>
      <c r="DB110" s="566"/>
      <c r="DD110" s="385">
        <f>DD51-DD100-DD90-DD80</f>
        <v>289</v>
      </c>
      <c r="DE110" s="672">
        <f t="shared" si="246"/>
        <v>4.9199863806605375</v>
      </c>
      <c r="DF110" s="566"/>
      <c r="DH110" s="385">
        <f t="shared" si="251"/>
        <v>83.75</v>
      </c>
      <c r="DI110" s="672">
        <f t="shared" si="247"/>
        <v>1.4862466725820762</v>
      </c>
      <c r="DJ110" s="566"/>
      <c r="DK110" s="566"/>
      <c r="DL110" s="385">
        <f t="shared" si="252"/>
        <v>98</v>
      </c>
      <c r="DM110" s="672">
        <f t="shared" si="248"/>
        <v>1.8536031776054471</v>
      </c>
      <c r="DN110" s="566"/>
      <c r="DO110" s="566"/>
      <c r="DP110" s="1092">
        <f t="shared" si="249"/>
        <v>113.57110899999952</v>
      </c>
      <c r="DQ110" s="1175">
        <f t="shared" si="250"/>
        <v>2.1438324221615312</v>
      </c>
      <c r="DR110" s="1132"/>
    </row>
    <row r="111" spans="1:139" x14ac:dyDescent="0.2">
      <c r="A111" s="604" t="s">
        <v>82</v>
      </c>
      <c r="D111" s="607">
        <f>D52-D101-D91-D81</f>
        <v>-96.488000000000056</v>
      </c>
      <c r="E111" s="672">
        <f t="shared" si="220"/>
        <v>-4.2722085061616033</v>
      </c>
      <c r="F111" s="566"/>
      <c r="H111" s="607">
        <f>H52-H101-H91-H81</f>
        <v>-1484.627</v>
      </c>
      <c r="I111" s="672">
        <f t="shared" si="221"/>
        <v>-69.561674772520675</v>
      </c>
      <c r="J111" s="566"/>
      <c r="L111" s="607">
        <f>L52-L101-L91-L81</f>
        <v>175.97500000000002</v>
      </c>
      <c r="M111" s="672">
        <f t="shared" si="222"/>
        <v>7.7794891155674675</v>
      </c>
      <c r="N111" s="566"/>
      <c r="P111" s="607">
        <f>P52-P101-P91-P81</f>
        <v>247.01499999999982</v>
      </c>
      <c r="Q111" s="672">
        <f t="shared" si="223"/>
        <v>10.522273490933497</v>
      </c>
      <c r="R111" s="566"/>
      <c r="T111" s="607">
        <f>T52-T101-T91-T81</f>
        <v>281.05099999999993</v>
      </c>
      <c r="U111" s="672">
        <f t="shared" si="224"/>
        <v>11.104631292387989</v>
      </c>
      <c r="V111" s="566"/>
      <c r="X111" s="607">
        <f>X52-X101-X91-X81</f>
        <v>308.54000000000013</v>
      </c>
      <c r="Y111" s="672">
        <f t="shared" si="225"/>
        <v>6.8868998459855835</v>
      </c>
      <c r="Z111" s="566"/>
      <c r="AB111" s="607">
        <f>AB52-AB101-AB91-AB81</f>
        <v>450.08899999999983</v>
      </c>
      <c r="AC111" s="672">
        <f t="shared" si="226"/>
        <v>9.7221946214493968</v>
      </c>
      <c r="AD111" s="566"/>
      <c r="AF111" s="607">
        <f>AF52-AF101-AF91-AF81</f>
        <v>464.80299999999971</v>
      </c>
      <c r="AG111" s="672">
        <f t="shared" si="227"/>
        <v>9.2307065972911726</v>
      </c>
      <c r="AH111" s="566"/>
      <c r="AJ111" s="607">
        <f>AJ52-AJ101-AJ91-AJ81</f>
        <v>625.92700000000002</v>
      </c>
      <c r="AK111" s="672">
        <f t="shared" si="228"/>
        <v>12.369815237437246</v>
      </c>
      <c r="AL111" s="566"/>
      <c r="AN111" s="607">
        <f>AN52-AN101-AN91-AN81</f>
        <v>681</v>
      </c>
      <c r="AO111" s="672">
        <f t="shared" si="229"/>
        <v>13.528009535160907</v>
      </c>
      <c r="AP111" s="566"/>
      <c r="AR111" s="607">
        <f>AR52-AR101-AR91-AR81</f>
        <v>752</v>
      </c>
      <c r="AS111" s="672">
        <f t="shared" si="230"/>
        <v>12.589988280596016</v>
      </c>
      <c r="AT111" s="566"/>
      <c r="AV111" s="607">
        <f>AV52-AV101-AV91-AV81</f>
        <v>661</v>
      </c>
      <c r="AW111" s="672">
        <f t="shared" si="231"/>
        <v>11.795146324054247</v>
      </c>
      <c r="AX111" s="566"/>
      <c r="AZ111" s="607">
        <f>AZ52-AZ101-AZ91-AZ81</f>
        <v>499</v>
      </c>
      <c r="BA111" s="672">
        <f t="shared" si="232"/>
        <v>9.7233047544816831</v>
      </c>
      <c r="BB111" s="566"/>
      <c r="BD111" s="607">
        <f>BD52-BD101-BD91-BD81</f>
        <v>564</v>
      </c>
      <c r="BE111" s="672">
        <f t="shared" si="233"/>
        <v>11.241777954953159</v>
      </c>
      <c r="BF111" s="566"/>
      <c r="BH111" s="607">
        <f>BH52-BH101-BH91-BH81</f>
        <v>697</v>
      </c>
      <c r="BI111" s="672">
        <f t="shared" si="234"/>
        <v>13.793785869780329</v>
      </c>
      <c r="BJ111" s="566"/>
      <c r="BL111" s="607">
        <f>BL52-BL101-BL91-BL81</f>
        <v>713</v>
      </c>
      <c r="BM111" s="672">
        <f t="shared" si="235"/>
        <v>13.92578125</v>
      </c>
      <c r="BN111" s="566"/>
      <c r="BP111" s="607">
        <f>BP52-BP101-BP91-BP81</f>
        <v>1067</v>
      </c>
      <c r="BQ111" s="672">
        <f t="shared" si="236"/>
        <v>11.148260369867307</v>
      </c>
      <c r="BR111" s="566"/>
      <c r="BT111" s="607">
        <f>BT52-BT101-BT91-BT81</f>
        <v>1157</v>
      </c>
      <c r="BU111" s="672">
        <f t="shared" si="237"/>
        <v>12.632383447974671</v>
      </c>
      <c r="BV111" s="566"/>
      <c r="BX111" s="607">
        <f>BX52-BX101-BX91-BX81</f>
        <v>1086</v>
      </c>
      <c r="BY111" s="672">
        <f t="shared" si="238"/>
        <v>12.636723295322319</v>
      </c>
      <c r="BZ111" s="566"/>
      <c r="CB111" s="607">
        <f>CB52-CB101-CB91-CB81</f>
        <v>504</v>
      </c>
      <c r="CC111" s="672">
        <f t="shared" si="239"/>
        <v>6.3524073607259899</v>
      </c>
      <c r="CD111" s="566"/>
      <c r="CF111" s="607">
        <f>CF52-CF101-CF91-CF81</f>
        <v>735</v>
      </c>
      <c r="CG111" s="672">
        <f t="shared" si="240"/>
        <v>9.2604258535970772</v>
      </c>
      <c r="CH111" s="566"/>
      <c r="CJ111" s="607">
        <f>CJ52-CJ101-CJ91-CJ81</f>
        <v>1026</v>
      </c>
      <c r="CK111" s="672">
        <f t="shared" si="241"/>
        <v>12.407788124319749</v>
      </c>
      <c r="CL111" s="566"/>
      <c r="CN111" s="607">
        <f>CN52-CN101-CN91-CN81</f>
        <v>1176</v>
      </c>
      <c r="CO111" s="672">
        <f t="shared" si="242"/>
        <v>13.480055020632737</v>
      </c>
      <c r="CP111" s="566"/>
      <c r="CR111" s="607">
        <f>CR52-CR101-CR91-CR81</f>
        <v>1290</v>
      </c>
      <c r="CS111" s="672">
        <f t="shared" si="243"/>
        <v>13.796791443850267</v>
      </c>
      <c r="CT111" s="566"/>
      <c r="CV111" s="607">
        <f>CV52-CV101-CV91-CV81</f>
        <v>1338</v>
      </c>
      <c r="CW111" s="672">
        <f t="shared" si="244"/>
        <v>14.540317322321233</v>
      </c>
      <c r="CX111" s="566"/>
      <c r="CZ111" s="607">
        <f>CZ52-CZ101-CZ91-CZ81</f>
        <v>1354</v>
      </c>
      <c r="DA111" s="672">
        <f t="shared" si="245"/>
        <v>14.459632635625802</v>
      </c>
      <c r="DB111" s="566"/>
      <c r="DD111" s="607">
        <f>DD52-DD101-DD91-DD81</f>
        <v>1020</v>
      </c>
      <c r="DE111" s="672">
        <f t="shared" si="246"/>
        <v>11.50073288984102</v>
      </c>
      <c r="DF111" s="566"/>
      <c r="DH111" s="607">
        <f t="shared" si="251"/>
        <v>991.25</v>
      </c>
      <c r="DI111" s="672">
        <f t="shared" si="247"/>
        <v>11.61666471346537</v>
      </c>
      <c r="DJ111" s="566"/>
      <c r="DK111" s="566"/>
      <c r="DL111" s="607">
        <f t="shared" si="252"/>
        <v>1339</v>
      </c>
      <c r="DM111" s="672">
        <f t="shared" si="248"/>
        <v>15.442278860569717</v>
      </c>
      <c r="DN111" s="566"/>
      <c r="DO111" s="566"/>
      <c r="DP111" s="1102">
        <f t="shared" si="249"/>
        <v>968.17770529999962</v>
      </c>
      <c r="DQ111" s="1175">
        <f t="shared" si="250"/>
        <v>11.428555133896714</v>
      </c>
      <c r="DR111" s="1132"/>
      <c r="DS111" s="385"/>
    </row>
    <row r="112" spans="1:139" x14ac:dyDescent="0.2">
      <c r="A112" s="604" t="s">
        <v>83</v>
      </c>
      <c r="D112" s="543">
        <f>D53-D102-D92-D82</f>
        <v>-547.80099999999982</v>
      </c>
      <c r="E112" s="672">
        <f t="shared" si="220"/>
        <v>-7.6701526732841545</v>
      </c>
      <c r="F112" s="566"/>
      <c r="H112" s="543">
        <f>H53-H102-H92-H82</f>
        <v>-1873.2089999999998</v>
      </c>
      <c r="I112" s="672">
        <f t="shared" si="221"/>
        <v>-27.021375085956034</v>
      </c>
      <c r="J112" s="566"/>
      <c r="L112" s="543">
        <f>L53-L102-L92-L82</f>
        <v>232.00700000000066</v>
      </c>
      <c r="M112" s="672">
        <f t="shared" si="222"/>
        <v>3.2769623362680655</v>
      </c>
      <c r="N112" s="566"/>
      <c r="P112" s="543">
        <f>P53-P102-P92-P82</f>
        <v>367.77999999999906</v>
      </c>
      <c r="Q112" s="672">
        <f t="shared" si="223"/>
        <v>5.0872782632487246</v>
      </c>
      <c r="R112" s="566"/>
      <c r="T112" s="543">
        <f>T53-T102-T92-T82</f>
        <v>427.72199999999884</v>
      </c>
      <c r="U112" s="672">
        <f t="shared" si="224"/>
        <v>5.5494424440059813</v>
      </c>
      <c r="V112" s="566"/>
      <c r="X112" s="543">
        <f>X53-X102-X92-X82</f>
        <v>92.294999999999504</v>
      </c>
      <c r="Y112" s="672">
        <f t="shared" si="225"/>
        <v>0.67361237820676212</v>
      </c>
      <c r="Z112" s="566"/>
      <c r="AB112" s="543">
        <f>AB53-AB102-AB92-AB82</f>
        <v>304.69899999999905</v>
      </c>
      <c r="AC112" s="672">
        <f t="shared" si="226"/>
        <v>2.176727103248921</v>
      </c>
      <c r="AD112" s="566"/>
      <c r="AF112" s="543">
        <f>AF53-AF102-AF92-AF82</f>
        <v>441.23599999999999</v>
      </c>
      <c r="AG112" s="672">
        <f t="shared" si="227"/>
        <v>2.9746915661026092</v>
      </c>
      <c r="AH112" s="566"/>
      <c r="AJ112" s="543">
        <f>AJ53-AJ102-AJ92-AJ82</f>
        <v>958</v>
      </c>
      <c r="AK112" s="672">
        <f t="shared" si="228"/>
        <v>6.2943495400788434</v>
      </c>
      <c r="AL112" s="566"/>
      <c r="AN112" s="543">
        <f>AN53-AN102-AN92-AN82</f>
        <v>1163</v>
      </c>
      <c r="AO112" s="672">
        <f t="shared" si="229"/>
        <v>7.5691506671005531</v>
      </c>
      <c r="AP112" s="566"/>
      <c r="AR112" s="543">
        <f>AR53-AR102-AR92-AR82</f>
        <v>1386</v>
      </c>
      <c r="AS112" s="672">
        <f t="shared" si="230"/>
        <v>8.6468276249298146</v>
      </c>
      <c r="AT112" s="566"/>
      <c r="AV112" s="543">
        <f>AV53-AV102-AV92-AV82</f>
        <v>1370</v>
      </c>
      <c r="AW112" s="672">
        <f t="shared" si="231"/>
        <v>8.2341627599471092</v>
      </c>
      <c r="AX112" s="566"/>
      <c r="AZ112" s="543">
        <f>AZ53-AZ102-AZ92-AZ82</f>
        <v>780</v>
      </c>
      <c r="BA112" s="672">
        <f t="shared" si="232"/>
        <v>4.9414000633512831</v>
      </c>
      <c r="BB112" s="566"/>
      <c r="BD112" s="543">
        <f>BD53-BD102-BD92-BD82</f>
        <v>1048</v>
      </c>
      <c r="BE112" s="672">
        <f t="shared" si="233"/>
        <v>6.7304604713891214</v>
      </c>
      <c r="BF112" s="566"/>
      <c r="BH112" s="543">
        <f>BH53-BH102-BH92-BH82</f>
        <v>1084</v>
      </c>
      <c r="BI112" s="672">
        <f t="shared" si="234"/>
        <v>7.0334804048793149</v>
      </c>
      <c r="BJ112" s="566"/>
      <c r="BL112" s="543">
        <f>BL53-BL102-BL92-BL82</f>
        <v>1116</v>
      </c>
      <c r="BM112" s="672">
        <f t="shared" si="235"/>
        <v>7.0740365111561871</v>
      </c>
      <c r="BN112" s="566"/>
      <c r="BP112" s="543">
        <f>BP53-BP102-BP92-BP82</f>
        <v>2044</v>
      </c>
      <c r="BQ112" s="672">
        <f t="shared" si="236"/>
        <v>9.1290754801250547</v>
      </c>
      <c r="BR112" s="566"/>
      <c r="BT112" s="543">
        <f>BT53-BT102-BT92-BT82</f>
        <v>1375</v>
      </c>
      <c r="BU112" s="672">
        <f t="shared" si="237"/>
        <v>5.0982573229514276</v>
      </c>
      <c r="BV112" s="566"/>
      <c r="BX112" s="543">
        <f>BX53-BX102-BX92-BX82</f>
        <v>1320</v>
      </c>
      <c r="BY112" s="672">
        <f t="shared" si="238"/>
        <v>5.0165317523657507</v>
      </c>
      <c r="BZ112" s="566"/>
      <c r="CB112" s="543">
        <f>CB53-CB102-CB92-CB82</f>
        <v>444</v>
      </c>
      <c r="CC112" s="672">
        <f t="shared" si="239"/>
        <v>1.7837056082275431</v>
      </c>
      <c r="CD112" s="566"/>
      <c r="CF112" s="543">
        <f>CF53-CF102-CF92-CF82</f>
        <v>507</v>
      </c>
      <c r="CG112" s="672">
        <f t="shared" si="240"/>
        <v>2.1217827997489014</v>
      </c>
      <c r="CH112" s="566"/>
      <c r="CJ112" s="543">
        <f>CJ53-CJ102-CJ92-CJ82</f>
        <v>1320</v>
      </c>
      <c r="CK112" s="672">
        <f t="shared" si="241"/>
        <v>5.2793664760228776</v>
      </c>
      <c r="CL112" s="566"/>
      <c r="CN112" s="543">
        <f>CN53-CN102-CN92-CN82</f>
        <v>1968</v>
      </c>
      <c r="CO112" s="672">
        <f t="shared" si="242"/>
        <v>7.4531338761598178</v>
      </c>
      <c r="CP112" s="566"/>
      <c r="CR112" s="543">
        <f>CR53-CR102-CR92-CR82</f>
        <v>2244</v>
      </c>
      <c r="CS112" s="672">
        <f t="shared" si="243"/>
        <v>8.1051795131113202</v>
      </c>
      <c r="CT112" s="566"/>
      <c r="CV112" s="543">
        <f>CV53-CV102-CV92-CV82</f>
        <v>2378</v>
      </c>
      <c r="CW112" s="672">
        <f t="shared" si="244"/>
        <v>8.5138376714045325</v>
      </c>
      <c r="CX112" s="566"/>
      <c r="CZ112" s="543">
        <f>CZ53-CZ102-CZ92-CZ82</f>
        <v>2494</v>
      </c>
      <c r="DA112" s="672">
        <f t="shared" si="245"/>
        <v>8.8738658601672302</v>
      </c>
      <c r="DB112" s="566"/>
      <c r="DD112" s="543">
        <f>DD53-DD102-DD92-DD82</f>
        <v>1966</v>
      </c>
      <c r="DE112" s="672">
        <f t="shared" si="246"/>
        <v>7.2602385612467222</v>
      </c>
      <c r="DF112" s="566"/>
      <c r="DH112" s="543">
        <f t="shared" si="251"/>
        <v>1542.75</v>
      </c>
      <c r="DI112" s="672">
        <f t="shared" si="247"/>
        <v>5.9542647626399079</v>
      </c>
      <c r="DJ112" s="566"/>
      <c r="DK112" s="566"/>
      <c r="DL112" s="543">
        <f t="shared" si="252"/>
        <v>1803</v>
      </c>
      <c r="DM112" s="672">
        <f t="shared" si="248"/>
        <v>7.2279013830426937</v>
      </c>
      <c r="DN112" s="566"/>
      <c r="DO112" s="566"/>
      <c r="DP112" s="1117">
        <f>DP53-DP102-DP92-DP82+DP63</f>
        <v>1423.7310522000007</v>
      </c>
      <c r="DQ112" s="1175">
        <f t="shared" si="250"/>
        <v>5.7980690745633297</v>
      </c>
      <c r="DR112" s="1132"/>
      <c r="DU112" s="290"/>
    </row>
    <row r="113" spans="1:168" x14ac:dyDescent="0.2">
      <c r="A113" s="604" t="s">
        <v>413</v>
      </c>
      <c r="D113" s="385">
        <f>D108+D109</f>
        <v>-329.8479999999999</v>
      </c>
      <c r="E113" s="672">
        <f t="shared" si="220"/>
        <v>-10.585106246421866</v>
      </c>
      <c r="F113" s="605"/>
      <c r="H113" s="385">
        <f>H108+H109</f>
        <v>-295.39800000000002</v>
      </c>
      <c r="I113" s="672">
        <f t="shared" si="221"/>
        <v>-9.5623991231278911</v>
      </c>
      <c r="J113" s="605"/>
      <c r="L113" s="385">
        <f>L108+L109</f>
        <v>0.49700000000012778</v>
      </c>
      <c r="M113" s="672">
        <f t="shared" si="222"/>
        <v>1.6408391323960009E-2</v>
      </c>
      <c r="N113" s="605"/>
      <c r="P113" s="385">
        <f>P108+P109</f>
        <v>57.750000000000043</v>
      </c>
      <c r="Q113" s="672">
        <f t="shared" si="223"/>
        <v>1.8673927995273811</v>
      </c>
      <c r="R113" s="605"/>
      <c r="T113" s="385">
        <f>T108+T109</f>
        <v>68.335000000000036</v>
      </c>
      <c r="U113" s="672">
        <f t="shared" si="224"/>
        <v>2.1027894308790493</v>
      </c>
      <c r="V113" s="605"/>
      <c r="X113" s="385">
        <f>X108+X109</f>
        <v>-140.20500000000001</v>
      </c>
      <c r="Y113" s="672">
        <f t="shared" si="225"/>
        <v>-2.3889892311886589</v>
      </c>
      <c r="Z113" s="605"/>
      <c r="AB113" s="385">
        <f>AB108+AB109</f>
        <v>-188.37000000000018</v>
      </c>
      <c r="AC113" s="672">
        <f t="shared" si="226"/>
        <v>-3.121289357458803</v>
      </c>
      <c r="AD113" s="605"/>
      <c r="AF113" s="385">
        <f>AF108+AF109</f>
        <v>-96.88200000000036</v>
      </c>
      <c r="AG113" s="672">
        <f t="shared" si="227"/>
        <v>-1.4712751902079055</v>
      </c>
      <c r="AH113" s="605"/>
      <c r="AJ113" s="385">
        <f>AJ108+AJ109</f>
        <v>155.76000000000056</v>
      </c>
      <c r="AK113" s="672">
        <f t="shared" si="228"/>
        <v>2.2700906520535251</v>
      </c>
      <c r="AL113" s="605"/>
      <c r="AN113" s="385">
        <f>AN108+AN109</f>
        <v>297</v>
      </c>
      <c r="AO113" s="672">
        <f t="shared" si="229"/>
        <v>4.37859354268023</v>
      </c>
      <c r="AP113" s="605"/>
      <c r="AR113" s="385">
        <f>AR108+AR109</f>
        <v>383</v>
      </c>
      <c r="AS113" s="672">
        <f t="shared" si="230"/>
        <v>5.0354982908230346</v>
      </c>
      <c r="AT113" s="605"/>
      <c r="AU113" s="605"/>
      <c r="AV113" s="385">
        <f>AV108+AV109</f>
        <v>524</v>
      </c>
      <c r="AW113" s="672">
        <f t="shared" si="231"/>
        <v>7.2255929398786538</v>
      </c>
      <c r="AX113" s="605"/>
      <c r="AZ113" s="385">
        <f>AZ108+AZ109</f>
        <v>235</v>
      </c>
      <c r="BA113" s="672">
        <f t="shared" si="232"/>
        <v>3.3361726291879612</v>
      </c>
      <c r="BB113" s="605"/>
      <c r="BD113" s="385">
        <f>BD108+BD109</f>
        <v>369</v>
      </c>
      <c r="BE113" s="672">
        <f t="shared" si="233"/>
        <v>5.3177691309987027</v>
      </c>
      <c r="BF113" s="605"/>
      <c r="BH113" s="385">
        <f>BH108+BH109</f>
        <v>275</v>
      </c>
      <c r="BI113" s="672">
        <f t="shared" si="234"/>
        <v>4.0892193308550189</v>
      </c>
      <c r="BJ113" s="605"/>
      <c r="BL113" s="385">
        <f>BL108+BL109</f>
        <v>283</v>
      </c>
      <c r="BM113" s="672">
        <f t="shared" si="235"/>
        <v>3.9685878558406955</v>
      </c>
      <c r="BN113" s="605"/>
      <c r="BP113" s="385">
        <f>BP108+BP109</f>
        <v>435</v>
      </c>
      <c r="BQ113" s="672">
        <f t="shared" si="236"/>
        <v>5.9884361233480181</v>
      </c>
      <c r="BR113" s="605"/>
      <c r="BT113" s="385">
        <f>BT108+BT109</f>
        <v>188</v>
      </c>
      <c r="BU113" s="672">
        <f t="shared" si="237"/>
        <v>1.5765199161425576</v>
      </c>
      <c r="BV113" s="605"/>
      <c r="BX113" s="385">
        <f>BX108+BX109</f>
        <v>196</v>
      </c>
      <c r="BY113" s="672">
        <f t="shared" si="238"/>
        <v>1.659189029035808</v>
      </c>
      <c r="BZ113" s="605"/>
      <c r="CB113" s="385">
        <f>CB108+CB109</f>
        <v>15</v>
      </c>
      <c r="CC113" s="672">
        <f t="shared" si="239"/>
        <v>0.13083296990841692</v>
      </c>
      <c r="CD113" s="605"/>
      <c r="CF113" s="385">
        <f>CF108+CF109</f>
        <v>-146</v>
      </c>
      <c r="CG113" s="672">
        <f t="shared" si="240"/>
        <v>-1.3808758157571173</v>
      </c>
      <c r="CH113" s="605"/>
      <c r="CJ113" s="385">
        <f>CJ108+CJ109</f>
        <v>281</v>
      </c>
      <c r="CK113" s="672">
        <f t="shared" si="241"/>
        <v>2.5290252902529025</v>
      </c>
      <c r="CL113" s="605"/>
      <c r="CN113" s="385">
        <f>CN108+CN109</f>
        <v>609</v>
      </c>
      <c r="CO113" s="672">
        <f t="shared" si="242"/>
        <v>5.1487994589110579</v>
      </c>
      <c r="CP113" s="605"/>
      <c r="CR113" s="385">
        <f>CR108+CR109</f>
        <v>728</v>
      </c>
      <c r="CS113" s="672">
        <f t="shared" si="243"/>
        <v>5.9375254873175107</v>
      </c>
      <c r="CT113" s="668"/>
      <c r="CV113" s="385">
        <f>CV108+CV109</f>
        <v>776</v>
      </c>
      <c r="CW113" s="672">
        <f t="shared" si="244"/>
        <v>6.2314301774672769</v>
      </c>
      <c r="CX113" s="668"/>
      <c r="CZ113" s="385">
        <f>CZ108+CZ109</f>
        <v>814</v>
      </c>
      <c r="DA113" s="672">
        <f t="shared" si="245"/>
        <v>6.4881237047664593</v>
      </c>
      <c r="DB113" s="668"/>
      <c r="DD113" s="385">
        <f>DD108+DD109</f>
        <v>657</v>
      </c>
      <c r="DE113" s="672">
        <f t="shared" si="246"/>
        <v>5.3258754863813227</v>
      </c>
      <c r="DF113" s="668"/>
      <c r="DH113" s="385">
        <f>DH108+DH109</f>
        <v>467.75</v>
      </c>
      <c r="DI113" s="672">
        <f t="shared" si="247"/>
        <v>3.9835632771248513</v>
      </c>
      <c r="DJ113" s="668"/>
      <c r="DK113" s="668"/>
      <c r="DL113" s="385">
        <f>DL108+DL109</f>
        <v>366</v>
      </c>
      <c r="DM113" s="672">
        <f t="shared" si="248"/>
        <v>3.3312096113588785</v>
      </c>
      <c r="DN113" s="668"/>
      <c r="DO113" s="668"/>
      <c r="DP113" s="1092">
        <f>DP108+DP109</f>
        <v>341.9822379000002</v>
      </c>
      <c r="DQ113" s="1175">
        <f t="shared" si="250"/>
        <v>3.1705766873929955</v>
      </c>
      <c r="DR113" s="1172"/>
    </row>
    <row r="114" spans="1:168" x14ac:dyDescent="0.2">
      <c r="A114" s="604" t="s">
        <v>414</v>
      </c>
      <c r="D114" s="385">
        <f>D110+D111</f>
        <v>-217.95300000000009</v>
      </c>
      <c r="E114" s="672">
        <f t="shared" si="220"/>
        <v>-5.4138636221937801</v>
      </c>
      <c r="F114" s="605"/>
      <c r="H114" s="385">
        <f>H110+H111</f>
        <v>-1564.6189999999999</v>
      </c>
      <c r="I114" s="672">
        <f t="shared" si="221"/>
        <v>-40.711773459399694</v>
      </c>
      <c r="J114" s="605"/>
      <c r="L114" s="385">
        <f>L110+L111</f>
        <v>231.50999999999993</v>
      </c>
      <c r="M114" s="672">
        <f t="shared" si="222"/>
        <v>5.7148809813273393</v>
      </c>
      <c r="N114" s="605"/>
      <c r="P114" s="385">
        <f>P110+P111</f>
        <v>310.02999999999975</v>
      </c>
      <c r="Q114" s="672">
        <f t="shared" si="223"/>
        <v>7.4943332610562683</v>
      </c>
      <c r="R114" s="605"/>
      <c r="T114" s="385">
        <f>T110+T111</f>
        <v>359.38699999999994</v>
      </c>
      <c r="U114" s="672">
        <f t="shared" si="224"/>
        <v>8.062078907142757</v>
      </c>
      <c r="V114" s="605"/>
      <c r="X114" s="385">
        <f>X110+X111</f>
        <v>232.50000000000017</v>
      </c>
      <c r="Y114" s="672">
        <f t="shared" si="225"/>
        <v>2.9683250986249972</v>
      </c>
      <c r="Z114" s="605"/>
      <c r="AB114" s="385">
        <f>AB110+AB111</f>
        <v>493.06899999999956</v>
      </c>
      <c r="AC114" s="672">
        <f t="shared" si="226"/>
        <v>6.1919787296992999</v>
      </c>
      <c r="AD114" s="605"/>
      <c r="AF114" s="385">
        <f>AF110+AF111</f>
        <v>538.7059999999999</v>
      </c>
      <c r="AG114" s="672">
        <f t="shared" si="227"/>
        <v>6.2317774307363054</v>
      </c>
      <c r="AH114" s="605"/>
      <c r="AJ114" s="385">
        <f>AJ110+AJ111</f>
        <v>801.83400000000006</v>
      </c>
      <c r="AK114" s="672">
        <f t="shared" si="228"/>
        <v>9.1053183342311836</v>
      </c>
      <c r="AL114" s="605"/>
      <c r="AN114" s="385">
        <f>AN110+AN111</f>
        <v>866</v>
      </c>
      <c r="AO114" s="672">
        <f t="shared" si="229"/>
        <v>10.090887904917269</v>
      </c>
      <c r="AP114" s="605"/>
      <c r="AR114" s="385">
        <f>AR110+AR111</f>
        <v>963</v>
      </c>
      <c r="AS114" s="672">
        <f t="shared" si="230"/>
        <v>9.525222551928783</v>
      </c>
      <c r="AT114" s="605"/>
      <c r="AU114" s="605"/>
      <c r="AV114" s="385">
        <f>AV110+AV111</f>
        <v>846</v>
      </c>
      <c r="AW114" s="672">
        <f t="shared" si="231"/>
        <v>9.0134242488813126</v>
      </c>
      <c r="AX114" s="605"/>
      <c r="AZ114" s="385">
        <f>AZ110+AZ111</f>
        <v>545</v>
      </c>
      <c r="BA114" s="672">
        <f t="shared" si="232"/>
        <v>6.3320553038224698</v>
      </c>
      <c r="BB114" s="605"/>
      <c r="BD114" s="385">
        <f>BD110+BD111</f>
        <v>679</v>
      </c>
      <c r="BE114" s="672">
        <f t="shared" si="233"/>
        <v>7.9919962335216574</v>
      </c>
      <c r="BF114" s="605"/>
      <c r="BH114" s="385">
        <f>BH110+BH111</f>
        <v>809</v>
      </c>
      <c r="BI114" s="672">
        <f t="shared" si="234"/>
        <v>9.4741773041339741</v>
      </c>
      <c r="BJ114" s="605"/>
      <c r="BL114" s="385">
        <f>BL110+BL111</f>
        <v>833</v>
      </c>
      <c r="BM114" s="672">
        <f t="shared" si="235"/>
        <v>9.6356275303643724</v>
      </c>
      <c r="BN114" s="605"/>
      <c r="BP114" s="385">
        <f>BP110+BP111</f>
        <v>1609</v>
      </c>
      <c r="BQ114" s="672">
        <f t="shared" si="236"/>
        <v>10.637313235488563</v>
      </c>
      <c r="BR114" s="605"/>
      <c r="BT114" s="385">
        <f>BT110+BT111</f>
        <v>1187</v>
      </c>
      <c r="BU114" s="672">
        <f t="shared" si="237"/>
        <v>7.8896643403123967</v>
      </c>
      <c r="BV114" s="605"/>
      <c r="BX114" s="385">
        <f>BX110+BX111</f>
        <v>1124</v>
      </c>
      <c r="BY114" s="672">
        <f t="shared" si="238"/>
        <v>7.7517241379310349</v>
      </c>
      <c r="BZ114" s="605"/>
      <c r="CB114" s="385">
        <f>CB110+CB111</f>
        <v>429</v>
      </c>
      <c r="CC114" s="672">
        <f t="shared" si="239"/>
        <v>3.1950547404483505</v>
      </c>
      <c r="CD114" s="605"/>
      <c r="CF114" s="385">
        <f>CF110+CF111</f>
        <v>653</v>
      </c>
      <c r="CG114" s="672">
        <f t="shared" si="240"/>
        <v>4.9016664164539856</v>
      </c>
      <c r="CH114" s="605"/>
      <c r="CJ114" s="385">
        <f>CJ110+CJ111</f>
        <v>1039</v>
      </c>
      <c r="CK114" s="672">
        <f t="shared" si="241"/>
        <v>7.4791246760725603</v>
      </c>
      <c r="CL114" s="605"/>
      <c r="CN114" s="385">
        <f>CN110+CN111</f>
        <v>1359</v>
      </c>
      <c r="CO114" s="672">
        <f t="shared" si="242"/>
        <v>9.3229059477258698</v>
      </c>
      <c r="CP114" s="605"/>
      <c r="CR114" s="385">
        <f>CR110+CR111</f>
        <v>1512</v>
      </c>
      <c r="CS114" s="672">
        <f t="shared" si="243"/>
        <v>9.8022690437601305</v>
      </c>
      <c r="CT114" s="668"/>
      <c r="CV114" s="385">
        <f>CV110+CV111</f>
        <v>1602</v>
      </c>
      <c r="CW114" s="672">
        <f t="shared" si="244"/>
        <v>10.350174441142267</v>
      </c>
      <c r="CX114" s="668"/>
      <c r="CZ114" s="385">
        <f>CZ110+CZ111</f>
        <v>1680</v>
      </c>
      <c r="DA114" s="672">
        <f t="shared" si="245"/>
        <v>10.797609100841957</v>
      </c>
      <c r="DB114" s="668"/>
      <c r="DD114" s="385">
        <f>DD110+DD111</f>
        <v>1309</v>
      </c>
      <c r="DE114" s="672">
        <f t="shared" si="246"/>
        <v>8.878789934206063</v>
      </c>
      <c r="DF114" s="668"/>
      <c r="DH114" s="385">
        <f>DH110+DH111</f>
        <v>1075</v>
      </c>
      <c r="DI114" s="672">
        <f t="shared" si="247"/>
        <v>7.587521174477696</v>
      </c>
      <c r="DJ114" s="668"/>
      <c r="DK114" s="668"/>
      <c r="DL114" s="385">
        <f>DL110+DL111</f>
        <v>1437</v>
      </c>
      <c r="DM114" s="672">
        <f t="shared" si="248"/>
        <v>10.295171227969622</v>
      </c>
      <c r="DN114" s="668"/>
      <c r="DO114" s="668"/>
      <c r="DP114" s="1092">
        <f>DP110+DP111</f>
        <v>1081.7488142999991</v>
      </c>
      <c r="DQ114" s="1175">
        <f t="shared" si="250"/>
        <v>7.8563275247163142</v>
      </c>
      <c r="DR114" s="1172"/>
    </row>
    <row r="115" spans="1:168" x14ac:dyDescent="0.2">
      <c r="D115" s="353"/>
      <c r="E115" s="546"/>
      <c r="F115" s="566"/>
      <c r="H115" s="353"/>
      <c r="I115" s="546"/>
      <c r="J115" s="566"/>
      <c r="L115" s="353"/>
      <c r="M115" s="546"/>
      <c r="N115" s="566"/>
      <c r="P115" s="353"/>
      <c r="Q115" s="546"/>
      <c r="R115" s="566"/>
      <c r="T115" s="353"/>
      <c r="U115" s="546"/>
      <c r="V115" s="566"/>
      <c r="X115" s="353"/>
      <c r="Y115" s="546"/>
      <c r="Z115" s="566"/>
      <c r="AB115" s="353"/>
      <c r="AC115" s="546"/>
      <c r="AD115" s="566"/>
      <c r="AF115" s="353"/>
      <c r="AG115" s="546"/>
      <c r="AH115" s="566"/>
      <c r="AJ115" s="385"/>
      <c r="AK115" s="546"/>
      <c r="AL115" s="566"/>
      <c r="AN115" s="385"/>
      <c r="AO115" s="546"/>
      <c r="AP115" s="566"/>
      <c r="AR115" s="385"/>
      <c r="AS115" s="546"/>
      <c r="AT115" s="566"/>
      <c r="AV115" s="385"/>
      <c r="AW115" s="546"/>
      <c r="AX115" s="566"/>
      <c r="AZ115" s="385"/>
      <c r="BA115" s="546"/>
      <c r="BB115" s="566"/>
      <c r="BD115" s="385"/>
      <c r="BE115" s="546"/>
      <c r="BF115" s="566"/>
      <c r="BH115" s="385"/>
      <c r="BI115" s="546"/>
      <c r="BJ115" s="566"/>
      <c r="BL115" s="385"/>
      <c r="BM115" s="546"/>
      <c r="BN115" s="566"/>
      <c r="BP115" s="385"/>
      <c r="BQ115" s="546"/>
      <c r="BR115" s="566"/>
      <c r="BT115" s="385"/>
      <c r="BU115" s="546"/>
      <c r="BV115" s="566"/>
      <c r="BX115" s="385"/>
      <c r="BY115" s="546"/>
      <c r="BZ115" s="566"/>
      <c r="CB115" s="385"/>
      <c r="CC115" s="546"/>
      <c r="CD115" s="566"/>
      <c r="CF115" s="385"/>
      <c r="CG115" s="546"/>
      <c r="CH115" s="566"/>
      <c r="CJ115" s="385"/>
      <c r="CK115" s="546"/>
      <c r="CL115" s="566"/>
      <c r="CN115" s="385"/>
      <c r="CO115" s="546"/>
      <c r="CP115" s="566"/>
      <c r="CR115" s="385"/>
      <c r="CS115" s="546"/>
      <c r="CT115" s="566"/>
      <c r="CV115" s="385"/>
      <c r="CW115" s="546"/>
      <c r="CX115" s="566"/>
      <c r="CZ115" s="385"/>
      <c r="DA115" s="546"/>
      <c r="DB115" s="566"/>
      <c r="DD115" s="385"/>
      <c r="DE115" s="546"/>
      <c r="DF115" s="566"/>
      <c r="DH115" s="385"/>
      <c r="DI115" s="546"/>
      <c r="DJ115" s="566"/>
      <c r="DK115" s="566"/>
      <c r="DL115" s="385"/>
      <c r="DM115" s="546"/>
      <c r="DN115" s="566"/>
      <c r="DO115" s="566"/>
      <c r="DP115" s="1092"/>
      <c r="DQ115" s="1176"/>
      <c r="DR115" s="1132"/>
    </row>
    <row r="116" spans="1:168" s="627" customFormat="1" x14ac:dyDescent="0.2">
      <c r="A116" s="626" t="s">
        <v>310</v>
      </c>
      <c r="D116" s="628"/>
      <c r="E116" s="673"/>
      <c r="F116" s="674"/>
      <c r="H116" s="628"/>
      <c r="I116" s="673"/>
      <c r="J116" s="674"/>
      <c r="L116" s="628"/>
      <c r="M116" s="673"/>
      <c r="N116" s="674"/>
      <c r="P116" s="628"/>
      <c r="Q116" s="673"/>
      <c r="R116" s="674"/>
      <c r="T116" s="628"/>
      <c r="U116" s="673"/>
      <c r="V116" s="674"/>
      <c r="X116" s="628"/>
      <c r="Y116" s="673"/>
      <c r="Z116" s="674"/>
      <c r="AB116" s="628"/>
      <c r="AC116" s="673"/>
      <c r="AD116" s="674"/>
      <c r="AF116" s="628"/>
      <c r="AG116" s="673"/>
      <c r="AH116" s="674"/>
      <c r="AJ116" s="629"/>
      <c r="AK116" s="673"/>
      <c r="AL116" s="674"/>
      <c r="AN116" s="629"/>
      <c r="AO116" s="673"/>
      <c r="AP116" s="674"/>
      <c r="AR116" s="629"/>
      <c r="AS116" s="673"/>
      <c r="AT116" s="674"/>
      <c r="AV116" s="629"/>
      <c r="AW116" s="673"/>
      <c r="AX116" s="674"/>
      <c r="AZ116" s="629"/>
      <c r="BA116" s="673"/>
      <c r="BB116" s="674"/>
      <c r="BD116" s="629"/>
      <c r="BE116" s="673"/>
      <c r="BF116" s="674"/>
      <c r="BH116" s="629"/>
      <c r="BI116" s="673"/>
      <c r="BJ116" s="674"/>
      <c r="BL116" s="629"/>
      <c r="BM116" s="673"/>
      <c r="BN116" s="674"/>
      <c r="BP116" s="629"/>
      <c r="BQ116" s="673"/>
      <c r="BR116" s="674"/>
      <c r="BT116" s="629"/>
      <c r="BU116" s="673"/>
      <c r="BV116" s="674"/>
      <c r="BX116" s="629"/>
      <c r="BY116" s="673"/>
      <c r="BZ116" s="674"/>
      <c r="CB116" s="629"/>
      <c r="CC116" s="673"/>
      <c r="CD116" s="674"/>
      <c r="CF116" s="629"/>
      <c r="CG116" s="673"/>
      <c r="CH116" s="674"/>
      <c r="CJ116" s="629"/>
      <c r="CK116" s="673"/>
      <c r="CL116" s="674"/>
      <c r="CN116" s="1510" t="s">
        <v>310</v>
      </c>
      <c r="CO116" s="1510"/>
      <c r="CP116" s="1510"/>
      <c r="CQ116" s="1510"/>
      <c r="CR116" s="1510"/>
      <c r="CS116" s="1510"/>
      <c r="CT116" s="1510"/>
      <c r="CU116" s="1510"/>
      <c r="CV116" s="1510"/>
      <c r="CW116" s="1510"/>
      <c r="CX116" s="674"/>
      <c r="CZ116" s="631" t="s">
        <v>310</v>
      </c>
      <c r="DA116" s="631"/>
      <c r="DB116" s="631"/>
      <c r="DC116" s="631"/>
      <c r="DD116" s="631"/>
      <c r="DE116" s="631"/>
      <c r="DF116" s="631"/>
      <c r="DG116" s="631"/>
      <c r="DH116" s="631"/>
      <c r="DI116" s="631"/>
      <c r="DJ116" s="674"/>
      <c r="DK116" s="674"/>
      <c r="DL116" s="631"/>
      <c r="DM116" s="631"/>
      <c r="DN116" s="674"/>
      <c r="DO116" s="674"/>
      <c r="DP116" s="1129"/>
      <c r="DQ116" s="1129"/>
      <c r="DR116" s="1177"/>
      <c r="EI116" s="600"/>
    </row>
    <row r="117" spans="1:168" x14ac:dyDescent="0.2">
      <c r="D117" s="353"/>
      <c r="E117" s="675"/>
      <c r="F117" s="566"/>
      <c r="H117" s="353"/>
      <c r="I117" s="675"/>
      <c r="J117" s="566"/>
      <c r="L117" s="353"/>
      <c r="M117" s="675"/>
      <c r="N117" s="566"/>
      <c r="P117" s="353"/>
      <c r="Q117" s="675"/>
      <c r="R117" s="566"/>
      <c r="T117" s="353"/>
      <c r="U117" s="675"/>
      <c r="V117" s="566"/>
      <c r="X117" s="353"/>
      <c r="Y117" s="675"/>
      <c r="Z117" s="566"/>
      <c r="AB117" s="353"/>
      <c r="AC117" s="675"/>
      <c r="AD117" s="566"/>
      <c r="AF117" s="353"/>
      <c r="AG117" s="675"/>
      <c r="AH117" s="566"/>
      <c r="AJ117" s="385"/>
      <c r="AK117" s="675"/>
      <c r="AL117" s="566"/>
      <c r="AN117" s="385"/>
      <c r="AO117" s="675"/>
      <c r="AP117" s="566"/>
      <c r="AR117" s="385"/>
      <c r="AS117" s="675"/>
      <c r="AT117" s="566"/>
      <c r="AV117" s="385"/>
      <c r="AW117" s="675"/>
      <c r="AX117" s="566"/>
      <c r="AZ117" s="385"/>
      <c r="BA117" s="675"/>
      <c r="BB117" s="566"/>
      <c r="BD117" s="385"/>
      <c r="BE117" s="675"/>
      <c r="BF117" s="566"/>
      <c r="BH117" s="385"/>
      <c r="BI117" s="675"/>
      <c r="BJ117" s="566"/>
      <c r="BL117" s="385"/>
      <c r="BM117" s="675"/>
      <c r="BN117" s="566"/>
      <c r="BP117" s="385"/>
      <c r="BQ117" s="675"/>
      <c r="BR117" s="566"/>
      <c r="BT117" s="385"/>
      <c r="BU117" s="675"/>
      <c r="BV117" s="566"/>
      <c r="BX117" s="385"/>
      <c r="BY117" s="675"/>
      <c r="BZ117" s="566"/>
      <c r="CB117" s="385"/>
      <c r="CC117" s="675"/>
      <c r="CD117" s="566"/>
      <c r="CF117" s="385"/>
      <c r="CG117" s="675"/>
      <c r="CH117" s="566"/>
      <c r="CJ117" s="385"/>
      <c r="CK117" s="675"/>
      <c r="CL117" s="566"/>
      <c r="CN117" s="385"/>
      <c r="CO117" s="675"/>
      <c r="CP117" s="566"/>
      <c r="CR117" s="385"/>
      <c r="CS117" s="546"/>
      <c r="CT117" s="566"/>
      <c r="CV117" s="385"/>
      <c r="CW117" s="546"/>
      <c r="CX117" s="566"/>
      <c r="CZ117" s="385"/>
      <c r="DA117" s="546"/>
      <c r="DB117" s="566"/>
      <c r="DD117" s="385"/>
      <c r="DE117" s="546"/>
      <c r="DF117" s="566"/>
      <c r="DH117" s="385"/>
      <c r="DI117" s="546"/>
      <c r="DJ117" s="566"/>
      <c r="DK117" s="566"/>
      <c r="DL117" s="385"/>
      <c r="DM117" s="546"/>
      <c r="DN117" s="566"/>
      <c r="DO117" s="566"/>
      <c r="DP117" s="1092"/>
      <c r="DQ117" s="1176"/>
      <c r="DR117" s="1132"/>
    </row>
    <row r="118" spans="1:168" x14ac:dyDescent="0.2">
      <c r="A118" s="604" t="s">
        <v>79</v>
      </c>
      <c r="D118" s="610">
        <v>-43.960999999999999</v>
      </c>
      <c r="E118" s="672">
        <f>D118/D108*100</f>
        <v>30.655992636034636</v>
      </c>
      <c r="F118" s="566"/>
      <c r="G118" s="649"/>
      <c r="H118" s="610">
        <v>-20.856999999999999</v>
      </c>
      <c r="I118" s="672">
        <f>H118/H108*100</f>
        <v>24.532451951351504</v>
      </c>
      <c r="J118" s="566"/>
      <c r="K118" s="649"/>
      <c r="L118" s="610">
        <v>11.164</v>
      </c>
      <c r="M118" s="672">
        <f>L118/L10*100</f>
        <v>0.71030192285423788</v>
      </c>
      <c r="N118" s="605"/>
      <c r="P118" s="610">
        <v>17.959</v>
      </c>
      <c r="Q118" s="672">
        <f>P118/P108*100</f>
        <v>45.28354219723132</v>
      </c>
      <c r="R118" s="566"/>
      <c r="T118" s="610">
        <v>25.846</v>
      </c>
      <c r="U118" s="672">
        <f>T118/T108*100</f>
        <v>44.509884962457669</v>
      </c>
      <c r="V118" s="566"/>
      <c r="X118" s="610">
        <v>-15.693600000000016</v>
      </c>
      <c r="Y118" s="672">
        <f>X118/X108*100</f>
        <v>29.756541524459628</v>
      </c>
      <c r="Z118" s="566"/>
      <c r="AB118" s="610">
        <v>-29.748999999999999</v>
      </c>
      <c r="AC118" s="672">
        <f>AB118/AB108*100</f>
        <v>34.293586019274102</v>
      </c>
      <c r="AD118" s="566"/>
      <c r="AF118" s="610">
        <v>-19.071000000000002</v>
      </c>
      <c r="AG118" s="672">
        <f>AF118/AF108*100</f>
        <v>33.461416991262148</v>
      </c>
      <c r="AH118" s="566"/>
      <c r="AJ118" s="610">
        <v>19.623999999999999</v>
      </c>
      <c r="AK118" s="672">
        <f>AJ118/AJ108*100</f>
        <v>45.434339692535453</v>
      </c>
      <c r="AL118" s="566"/>
      <c r="AN118" s="610">
        <v>43.765999999999998</v>
      </c>
      <c r="AO118" s="672">
        <f>AN118/AN108*100</f>
        <v>42.082692307692305</v>
      </c>
      <c r="AP118" s="566"/>
      <c r="AR118" s="610">
        <v>63</v>
      </c>
      <c r="AS118" s="672">
        <f>AR118/AR108*100</f>
        <v>42</v>
      </c>
      <c r="AT118" s="566"/>
      <c r="AV118" s="610">
        <v>82</v>
      </c>
      <c r="AW118" s="672">
        <f>AV118/AV108*100</f>
        <v>41</v>
      </c>
      <c r="AX118" s="566"/>
      <c r="AZ118" s="610">
        <v>42</v>
      </c>
      <c r="BA118" s="672">
        <f>AZ118/AZ108*100</f>
        <v>42</v>
      </c>
      <c r="BB118" s="566"/>
      <c r="BD118" s="610">
        <v>58</v>
      </c>
      <c r="BE118" s="672">
        <f>BD118/BD108*100</f>
        <v>39.455782312925166</v>
      </c>
      <c r="BF118" s="566"/>
      <c r="BH118" s="610">
        <v>30</v>
      </c>
      <c r="BI118" s="672">
        <f>BH118/BH108*100</f>
        <v>39.473684210526315</v>
      </c>
      <c r="BJ118" s="566"/>
      <c r="BL118" s="610">
        <v>60</v>
      </c>
      <c r="BM118" s="672">
        <f>BL118/BL108*100</f>
        <v>38.216560509554142</v>
      </c>
      <c r="BN118" s="566"/>
      <c r="BP118" s="610">
        <v>74.646000000000001</v>
      </c>
      <c r="BQ118" s="672">
        <f>BP118/BP108*100</f>
        <v>37.700000000000003</v>
      </c>
      <c r="BR118" s="566"/>
      <c r="BT118" s="610">
        <v>-44</v>
      </c>
      <c r="BU118" s="672">
        <f>BT118/BT108*100</f>
        <v>37.288135593220339</v>
      </c>
      <c r="BV118" s="566"/>
      <c r="BX118" s="610">
        <v>31</v>
      </c>
      <c r="BY118" s="672">
        <f>BX118/BX108*100</f>
        <v>37.349397590361441</v>
      </c>
      <c r="BZ118" s="566"/>
      <c r="CB118" s="610">
        <v>-47</v>
      </c>
      <c r="CC118" s="672">
        <f>CB118/CB108*100</f>
        <v>44.339622641509436</v>
      </c>
      <c r="CD118" s="566"/>
      <c r="CF118" s="610">
        <v>-167</v>
      </c>
      <c r="CG118" s="672">
        <f>CF118/CF108*100</f>
        <v>65.490196078431367</v>
      </c>
      <c r="CH118" s="566"/>
      <c r="CJ118" s="1000">
        <v>18</v>
      </c>
      <c r="CK118" s="672">
        <f>CJ118/CJ108*100</f>
        <v>43.902439024390247</v>
      </c>
      <c r="CL118" s="566"/>
      <c r="CN118" s="1000">
        <v>83</v>
      </c>
      <c r="CO118" s="672">
        <f>CN118/CN108*100</f>
        <v>38.785046728971963</v>
      </c>
      <c r="CP118" s="566"/>
      <c r="CR118" s="1000">
        <v>98</v>
      </c>
      <c r="CS118" s="672">
        <f t="shared" ref="CS118:CS124" si="253">CR118/CR108*100</f>
        <v>35.12544802867383</v>
      </c>
      <c r="CT118" s="676"/>
      <c r="CV118" s="1000">
        <v>121</v>
      </c>
      <c r="CW118" s="672">
        <f t="shared" ref="CW118:CW124" si="254">CV118/CV108*100</f>
        <v>35.798816568047336</v>
      </c>
      <c r="CX118" s="676"/>
      <c r="CZ118" s="1000">
        <v>119</v>
      </c>
      <c r="DA118" s="672">
        <f t="shared" ref="DA118:DA124" si="255">CZ118/CZ108*100</f>
        <v>34.693877551020407</v>
      </c>
      <c r="DB118" s="676"/>
      <c r="DD118" s="1000">
        <v>121</v>
      </c>
      <c r="DE118" s="672">
        <f t="shared" ref="DE118:DE124" si="256">DD118/DD108*100</f>
        <v>38.535031847133759</v>
      </c>
      <c r="DF118" s="676"/>
      <c r="DH118" s="1000">
        <f>68-(-4)</f>
        <v>72</v>
      </c>
      <c r="DI118" s="672">
        <f t="shared" ref="DI118:DI124" si="257">DH118/DH108*100</f>
        <v>35.467980295566505</v>
      </c>
      <c r="DJ118" s="676"/>
      <c r="DK118" s="676"/>
      <c r="DL118" s="1008">
        <f>67-(3*0.16)</f>
        <v>66.52</v>
      </c>
      <c r="DM118" s="672">
        <f>DL118/DL108*100</f>
        <v>44.945945945945944</v>
      </c>
      <c r="DN118" s="676"/>
      <c r="DO118" s="676"/>
      <c r="DP118" s="1382">
        <f>DP108*(DQ118%)</f>
        <v>35.012896307999924</v>
      </c>
      <c r="DQ118" s="1386">
        <v>23.25</v>
      </c>
      <c r="DR118" s="1178"/>
    </row>
    <row r="119" spans="1:168" x14ac:dyDescent="0.2">
      <c r="A119" s="604" t="s">
        <v>80</v>
      </c>
      <c r="D119" s="468">
        <v>-60.075000000000003</v>
      </c>
      <c r="E119" s="672">
        <f t="shared" ref="E119:E124" si="258">D119/D109*100</f>
        <v>32.220952871325366</v>
      </c>
      <c r="F119" s="566"/>
      <c r="G119" s="649"/>
      <c r="H119" s="468">
        <v>-66.552000000000007</v>
      </c>
      <c r="I119" s="672">
        <f t="shared" ref="I119:I124" si="259">H119/H109*100</f>
        <v>31.634185759102561</v>
      </c>
      <c r="J119" s="566"/>
      <c r="K119" s="649"/>
      <c r="L119" s="468">
        <v>-6.69</v>
      </c>
      <c r="M119" s="672">
        <f>L119/L11*100</f>
        <v>-0.45909586251005347</v>
      </c>
      <c r="N119" s="605"/>
      <c r="P119" s="468">
        <v>9.2379999999999995</v>
      </c>
      <c r="Q119" s="672">
        <f t="shared" ref="Q119:Q124" si="260">P119/P109*100</f>
        <v>51.064065004698541</v>
      </c>
      <c r="R119" s="566"/>
      <c r="T119" s="468">
        <v>6.4950000000000001</v>
      </c>
      <c r="U119" s="672">
        <f t="shared" ref="U119:U124" si="261">T119/T109*100</f>
        <v>63.260933086589041</v>
      </c>
      <c r="V119" s="566"/>
      <c r="X119" s="468">
        <v>-29.236349999999991</v>
      </c>
      <c r="Y119" s="672">
        <f t="shared" ref="Y119:Y124" si="262">X119/X109*100</f>
        <v>33.426341965357572</v>
      </c>
      <c r="Z119" s="566"/>
      <c r="AB119" s="468">
        <v>-34.447000000000003</v>
      </c>
      <c r="AC119" s="672">
        <f t="shared" ref="AC119:AC124" si="263">AB119/AB109*100</f>
        <v>33.897187616854652</v>
      </c>
      <c r="AD119" s="566"/>
      <c r="AF119" s="468">
        <v>-12.667</v>
      </c>
      <c r="AG119" s="672">
        <f t="shared" ref="AG119:AG124" si="264">AF119/AF109*100</f>
        <v>31.756417970316726</v>
      </c>
      <c r="AH119" s="566"/>
      <c r="AJ119" s="468">
        <v>46.226999999999997</v>
      </c>
      <c r="AK119" s="672">
        <f t="shared" ref="AK119:AK124" si="265">AJ119/AJ109*100</f>
        <v>41.065844645014437</v>
      </c>
      <c r="AL119" s="566"/>
      <c r="AN119" s="468">
        <v>86</v>
      </c>
      <c r="AO119" s="672">
        <f t="shared" ref="AO119:AO124" si="266">AN119/AN109*100</f>
        <v>44.559585492227974</v>
      </c>
      <c r="AP119" s="566"/>
      <c r="AR119" s="468">
        <v>96</v>
      </c>
      <c r="AS119" s="672">
        <f t="shared" ref="AS119:AS124" si="267">AR119/AR109*100</f>
        <v>41.201716738197426</v>
      </c>
      <c r="AT119" s="566"/>
      <c r="AV119" s="468">
        <v>130</v>
      </c>
      <c r="AW119" s="672">
        <f t="shared" ref="AW119:AW124" si="268">AV119/AV109*100</f>
        <v>40.123456790123456</v>
      </c>
      <c r="AX119" s="566"/>
      <c r="AZ119" s="468">
        <v>55</v>
      </c>
      <c r="BA119" s="672">
        <f t="shared" ref="BA119:BA124" si="269">AZ119/AZ109*100</f>
        <v>40.74074074074074</v>
      </c>
      <c r="BB119" s="566"/>
      <c r="BD119" s="468">
        <v>89</v>
      </c>
      <c r="BE119" s="672">
        <f t="shared" ref="BE119:BE124" si="270">BD119/BD109*100</f>
        <v>40.090090090090094</v>
      </c>
      <c r="BF119" s="566"/>
      <c r="BH119" s="468">
        <v>79</v>
      </c>
      <c r="BI119" s="672">
        <f t="shared" ref="BI119:BI124" si="271">BH119/BH109*100</f>
        <v>39.698492462311556</v>
      </c>
      <c r="BJ119" s="566"/>
      <c r="BL119" s="468">
        <v>48</v>
      </c>
      <c r="BM119" s="672">
        <f t="shared" ref="BM119:BM124" si="272">BL119/BL109*100</f>
        <v>38.095238095238095</v>
      </c>
      <c r="BN119" s="566"/>
      <c r="BP119" s="468">
        <v>89</v>
      </c>
      <c r="BQ119" s="672">
        <f t="shared" ref="BQ119:BQ124" si="273">BP119/BP109*100</f>
        <v>37.552742616033754</v>
      </c>
      <c r="BR119" s="566"/>
      <c r="BT119" s="468">
        <v>114.75</v>
      </c>
      <c r="BU119" s="672">
        <f t="shared" ref="BU119:BU124" si="274">BT119/BT109*100</f>
        <v>37.5</v>
      </c>
      <c r="BV119" s="566"/>
      <c r="BX119" s="468">
        <v>39</v>
      </c>
      <c r="BY119" s="672">
        <f t="shared" ref="BY119:BY124" si="275">BX119/BX109*100</f>
        <v>34.513274336283182</v>
      </c>
      <c r="BZ119" s="566"/>
      <c r="CB119" s="468">
        <v>48</v>
      </c>
      <c r="CC119" s="672">
        <f t="shared" ref="CC119:CC124" si="276">CB119/CB109*100</f>
        <v>39.669421487603309</v>
      </c>
      <c r="CD119" s="566"/>
      <c r="CF119" s="468">
        <v>102</v>
      </c>
      <c r="CG119" s="672">
        <f t="shared" ref="CG119:CG124" si="277">CF119/CF109*100</f>
        <v>93.577981651376149</v>
      </c>
      <c r="CH119" s="566"/>
      <c r="CJ119" s="1001">
        <v>93</v>
      </c>
      <c r="CK119" s="672">
        <f t="shared" ref="CK119:CK124" si="278">CJ119/CJ109*100</f>
        <v>38.75</v>
      </c>
      <c r="CL119" s="566"/>
      <c r="CN119" s="1001">
        <v>154</v>
      </c>
      <c r="CO119" s="672">
        <f t="shared" ref="CO119:CO124" si="279">CN119/CN109*100</f>
        <v>38.9873417721519</v>
      </c>
      <c r="CP119" s="566"/>
      <c r="CR119" s="1001">
        <v>170</v>
      </c>
      <c r="CS119" s="672">
        <f t="shared" si="253"/>
        <v>37.861915367483299</v>
      </c>
      <c r="CT119" s="676"/>
      <c r="CV119" s="1001">
        <v>157</v>
      </c>
      <c r="CW119" s="672">
        <f t="shared" si="254"/>
        <v>35.844748858447488</v>
      </c>
      <c r="CX119" s="676"/>
      <c r="CZ119" s="1001">
        <v>179</v>
      </c>
      <c r="DA119" s="672">
        <f t="shared" si="255"/>
        <v>38.004246284501065</v>
      </c>
      <c r="DB119" s="676"/>
      <c r="DD119" s="1001">
        <v>126</v>
      </c>
      <c r="DE119" s="672">
        <f t="shared" si="256"/>
        <v>36.734693877551024</v>
      </c>
      <c r="DF119" s="676"/>
      <c r="DH119" s="1474">
        <f>7+(248.2-154)+(6-3)-5</f>
        <v>99.199999999999989</v>
      </c>
      <c r="DI119" s="672">
        <f t="shared" si="257"/>
        <v>37.469310670443811</v>
      </c>
      <c r="DJ119" s="988"/>
      <c r="DK119" s="676"/>
      <c r="DL119" s="1001">
        <f>61-(2*0.355)+(51*0.355)</f>
        <v>78.394999999999996</v>
      </c>
      <c r="DM119" s="672">
        <f>DL119/DL109*100</f>
        <v>35.961009174311926</v>
      </c>
      <c r="DN119" s="676"/>
      <c r="DO119" s="676"/>
      <c r="DP119" s="1382">
        <f>DP109*(DQ119%)</f>
        <v>44.497974003750123</v>
      </c>
      <c r="DQ119" s="1386">
        <v>23.25</v>
      </c>
      <c r="DR119" s="1178"/>
    </row>
    <row r="120" spans="1:168" x14ac:dyDescent="0.2">
      <c r="A120" s="604" t="s">
        <v>81</v>
      </c>
      <c r="C120" s="606"/>
      <c r="D120" s="468">
        <v>-34.662999999999997</v>
      </c>
      <c r="E120" s="672">
        <f t="shared" si="258"/>
        <v>28.537438768369476</v>
      </c>
      <c r="F120" s="566"/>
      <c r="G120" s="649"/>
      <c r="H120" s="468">
        <v>-18.997</v>
      </c>
      <c r="I120" s="672">
        <f t="shared" si="259"/>
        <v>23.748624862486263</v>
      </c>
      <c r="J120" s="566"/>
      <c r="K120" s="649"/>
      <c r="L120" s="468">
        <v>23.952999999999999</v>
      </c>
      <c r="M120" s="672">
        <f>L120/L12*100</f>
        <v>1.3389306107162522</v>
      </c>
      <c r="N120" s="605"/>
      <c r="P120" s="468">
        <v>28.490999999999996</v>
      </c>
      <c r="Q120" s="672">
        <f t="shared" si="260"/>
        <v>45.213044513211173</v>
      </c>
      <c r="R120" s="566"/>
      <c r="T120" s="468">
        <v>33.993000000000002</v>
      </c>
      <c r="U120" s="672">
        <f t="shared" si="261"/>
        <v>43.393841911764703</v>
      </c>
      <c r="V120" s="566"/>
      <c r="X120" s="468">
        <v>-24.780599999999986</v>
      </c>
      <c r="Y120" s="672">
        <f t="shared" si="262"/>
        <v>32.588900578642821</v>
      </c>
      <c r="Z120" s="566"/>
      <c r="AB120" s="468">
        <v>21.084</v>
      </c>
      <c r="AC120" s="672">
        <f t="shared" si="263"/>
        <v>49.055374592834163</v>
      </c>
      <c r="AD120" s="566"/>
      <c r="AF120" s="468">
        <v>32.15</v>
      </c>
      <c r="AG120" s="672">
        <f t="shared" si="264"/>
        <v>43.502970109467689</v>
      </c>
      <c r="AH120" s="566"/>
      <c r="AJ120" s="468">
        <v>70.968999999999994</v>
      </c>
      <c r="AK120" s="672">
        <f t="shared" si="265"/>
        <v>40.344613915307498</v>
      </c>
      <c r="AL120" s="566"/>
      <c r="AN120" s="468">
        <v>75</v>
      </c>
      <c r="AO120" s="672">
        <f t="shared" si="266"/>
        <v>40.54054054054054</v>
      </c>
      <c r="AP120" s="566"/>
      <c r="AR120" s="468">
        <v>88</v>
      </c>
      <c r="AS120" s="672">
        <f t="shared" si="267"/>
        <v>41.706161137440759</v>
      </c>
      <c r="AT120" s="566"/>
      <c r="AV120" s="468">
        <v>76</v>
      </c>
      <c r="AW120" s="672">
        <f t="shared" si="268"/>
        <v>41.081081081081081</v>
      </c>
      <c r="AX120" s="566"/>
      <c r="AZ120" s="468">
        <v>20</v>
      </c>
      <c r="BA120" s="672">
        <f t="shared" si="269"/>
        <v>43.478260869565219</v>
      </c>
      <c r="BB120" s="566"/>
      <c r="BD120" s="468">
        <v>40</v>
      </c>
      <c r="BE120" s="672">
        <f t="shared" si="270"/>
        <v>34.782608695652172</v>
      </c>
      <c r="BF120" s="566"/>
      <c r="BH120" s="468">
        <v>45</v>
      </c>
      <c r="BI120" s="672">
        <f t="shared" si="271"/>
        <v>40.178571428571431</v>
      </c>
      <c r="BJ120" s="566"/>
      <c r="BL120" s="468">
        <v>46</v>
      </c>
      <c r="BM120" s="672">
        <f t="shared" si="272"/>
        <v>38.333333333333336</v>
      </c>
      <c r="BN120" s="566"/>
      <c r="BP120" s="468">
        <v>202.76258992805757</v>
      </c>
      <c r="BQ120" s="672">
        <f t="shared" si="273"/>
        <v>37.410071942446045</v>
      </c>
      <c r="BR120" s="566"/>
      <c r="BT120" s="468">
        <v>10</v>
      </c>
      <c r="BU120" s="672">
        <f t="shared" si="274"/>
        <v>33.333333333333329</v>
      </c>
      <c r="BV120" s="566"/>
      <c r="BX120" s="468">
        <v>5</v>
      </c>
      <c r="BY120" s="672">
        <f t="shared" si="275"/>
        <v>13.157894736842104</v>
      </c>
      <c r="BZ120" s="566"/>
      <c r="CB120" s="468">
        <v>-31</v>
      </c>
      <c r="CC120" s="672">
        <f t="shared" si="276"/>
        <v>41.333333333333336</v>
      </c>
      <c r="CD120" s="566"/>
      <c r="CF120" s="468">
        <v>-47</v>
      </c>
      <c r="CG120" s="672">
        <f t="shared" si="277"/>
        <v>57.317073170731703</v>
      </c>
      <c r="CH120" s="566"/>
      <c r="CJ120" s="1001">
        <v>3</v>
      </c>
      <c r="CK120" s="672">
        <f t="shared" si="278"/>
        <v>23.076923076923077</v>
      </c>
      <c r="CL120" s="566"/>
      <c r="CN120" s="1001">
        <v>44</v>
      </c>
      <c r="CO120" s="672">
        <f t="shared" si="279"/>
        <v>24.043715846994534</v>
      </c>
      <c r="CP120" s="566"/>
      <c r="CR120" s="1001">
        <v>77</v>
      </c>
      <c r="CS120" s="672">
        <f t="shared" si="253"/>
        <v>34.684684684684683</v>
      </c>
      <c r="CT120" s="676"/>
      <c r="CV120" s="1001">
        <v>87</v>
      </c>
      <c r="CW120" s="672">
        <f t="shared" si="254"/>
        <v>32.954545454545453</v>
      </c>
      <c r="CX120" s="676"/>
      <c r="CZ120" s="1001">
        <v>109</v>
      </c>
      <c r="DA120" s="672">
        <f t="shared" si="255"/>
        <v>33.435582822085891</v>
      </c>
      <c r="DB120" s="676"/>
      <c r="DD120" s="1001">
        <f>61+(111*0.38)</f>
        <v>103.18</v>
      </c>
      <c r="DE120" s="672">
        <f t="shared" si="256"/>
        <v>35.702422145328718</v>
      </c>
      <c r="DF120" s="676"/>
      <c r="DH120" s="1001">
        <f>10+(62*0.412)</f>
        <v>35.543999999999997</v>
      </c>
      <c r="DI120" s="672">
        <f t="shared" si="257"/>
        <v>42.440597014925366</v>
      </c>
      <c r="DJ120" s="676"/>
      <c r="DK120" s="676"/>
      <c r="DL120" s="1472">
        <f>11+((22+33)*0.43)</f>
        <v>34.65</v>
      </c>
      <c r="DM120" s="672">
        <f>DL120/DL110*100</f>
        <v>35.357142857142854</v>
      </c>
      <c r="DN120" s="676"/>
      <c r="DO120" s="676"/>
      <c r="DP120" s="1382">
        <f>DP110*(DQ120%)</f>
        <v>26.40528284249989</v>
      </c>
      <c r="DQ120" s="1386">
        <v>23.25</v>
      </c>
      <c r="DR120" s="1178"/>
    </row>
    <row r="121" spans="1:168" x14ac:dyDescent="0.2">
      <c r="A121" s="604" t="s">
        <v>82</v>
      </c>
      <c r="D121" s="616">
        <v>-137.65600000000001</v>
      </c>
      <c r="E121" s="672">
        <f t="shared" si="258"/>
        <v>142.66644556836076</v>
      </c>
      <c r="F121" s="566"/>
      <c r="G121" s="649"/>
      <c r="H121" s="616">
        <v>-507.58300000000003</v>
      </c>
      <c r="I121" s="672">
        <f t="shared" si="259"/>
        <v>34.189261006299901</v>
      </c>
      <c r="J121" s="566"/>
      <c r="K121" s="649"/>
      <c r="L121" s="616">
        <v>70.872</v>
      </c>
      <c r="M121" s="672">
        <f>L121/L13*100</f>
        <v>3.133103864744978</v>
      </c>
      <c r="N121" s="605"/>
      <c r="P121" s="616">
        <v>101.057</v>
      </c>
      <c r="Q121" s="672">
        <f t="shared" si="260"/>
        <v>40.911280691456014</v>
      </c>
      <c r="R121" s="566"/>
      <c r="T121" s="616">
        <v>114.535</v>
      </c>
      <c r="U121" s="672">
        <f t="shared" si="261"/>
        <v>40.752390135598176</v>
      </c>
      <c r="V121" s="566"/>
      <c r="X121" s="616">
        <v>125.20560000000003</v>
      </c>
      <c r="Y121" s="672">
        <f t="shared" si="262"/>
        <v>40.580022039281772</v>
      </c>
      <c r="Z121" s="566"/>
      <c r="AB121" s="616">
        <v>198.82</v>
      </c>
      <c r="AC121" s="672">
        <f t="shared" si="263"/>
        <v>44.173485688386087</v>
      </c>
      <c r="AD121" s="566"/>
      <c r="AF121" s="616">
        <v>175.15899999999999</v>
      </c>
      <c r="AG121" s="672">
        <f t="shared" si="264"/>
        <v>37.684567440399505</v>
      </c>
      <c r="AH121" s="566"/>
      <c r="AJ121" s="616">
        <v>246.84700000000001</v>
      </c>
      <c r="AK121" s="672">
        <f t="shared" si="265"/>
        <v>39.4370270015513</v>
      </c>
      <c r="AL121" s="566"/>
      <c r="AN121" s="616">
        <v>273</v>
      </c>
      <c r="AO121" s="672">
        <f t="shared" si="266"/>
        <v>40.08810572687225</v>
      </c>
      <c r="AP121" s="566"/>
      <c r="AR121" s="616">
        <v>304</v>
      </c>
      <c r="AS121" s="672">
        <f t="shared" si="267"/>
        <v>40.425531914893611</v>
      </c>
      <c r="AT121" s="566"/>
      <c r="AV121" s="616">
        <v>261</v>
      </c>
      <c r="AW121" s="672">
        <f t="shared" si="268"/>
        <v>39.485627836611201</v>
      </c>
      <c r="AX121" s="566"/>
      <c r="AZ121" s="616">
        <v>189</v>
      </c>
      <c r="BA121" s="672">
        <f t="shared" si="269"/>
        <v>37.875751503006008</v>
      </c>
      <c r="BB121" s="566"/>
      <c r="BD121" s="616">
        <v>223</v>
      </c>
      <c r="BE121" s="672">
        <f t="shared" si="270"/>
        <v>39.539007092198581</v>
      </c>
      <c r="BF121" s="566"/>
      <c r="BH121" s="616">
        <v>275</v>
      </c>
      <c r="BI121" s="672">
        <f t="shared" si="271"/>
        <v>39.454806312769009</v>
      </c>
      <c r="BJ121" s="566"/>
      <c r="BL121" s="616">
        <v>273</v>
      </c>
      <c r="BM121" s="672">
        <f t="shared" si="272"/>
        <v>38.288920056100984</v>
      </c>
      <c r="BN121" s="566"/>
      <c r="BP121" s="616">
        <v>399</v>
      </c>
      <c r="BQ121" s="672">
        <f t="shared" si="273"/>
        <v>37.39456419868791</v>
      </c>
      <c r="BR121" s="566"/>
      <c r="BT121" s="616">
        <v>431</v>
      </c>
      <c r="BU121" s="672">
        <f t="shared" si="274"/>
        <v>37.251512532411404</v>
      </c>
      <c r="BV121" s="566"/>
      <c r="BX121" s="616">
        <v>414</v>
      </c>
      <c r="BY121" s="672">
        <f t="shared" si="275"/>
        <v>38.121546961325969</v>
      </c>
      <c r="BZ121" s="566"/>
      <c r="CB121" s="616">
        <v>-105</v>
      </c>
      <c r="CC121" s="672">
        <f t="shared" si="276"/>
        <v>-20.833333333333336</v>
      </c>
      <c r="CD121" s="566"/>
      <c r="CF121" s="616">
        <v>290</v>
      </c>
      <c r="CG121" s="672">
        <f t="shared" si="277"/>
        <v>39.455782312925166</v>
      </c>
      <c r="CH121" s="566"/>
      <c r="CJ121" s="1002">
        <v>359</v>
      </c>
      <c r="CK121" s="672">
        <f t="shared" si="278"/>
        <v>34.990253411306043</v>
      </c>
      <c r="CL121" s="566"/>
      <c r="CN121" s="1002">
        <v>431</v>
      </c>
      <c r="CO121" s="672">
        <f t="shared" si="279"/>
        <v>36.64965986394558</v>
      </c>
      <c r="CP121" s="566"/>
      <c r="CR121" s="1002">
        <f>422+(133-85)+(5-3)</f>
        <v>472</v>
      </c>
      <c r="CS121" s="672">
        <f t="shared" si="253"/>
        <v>36.589147286821706</v>
      </c>
      <c r="CT121" s="676"/>
      <c r="CV121" s="1002">
        <f>439+88*38%</f>
        <v>472.44</v>
      </c>
      <c r="CW121" s="672">
        <f t="shared" si="254"/>
        <v>35.309417040358746</v>
      </c>
      <c r="CX121" s="676"/>
      <c r="CZ121" s="1002">
        <f>457+(87+17)*0.38</f>
        <v>496.52</v>
      </c>
      <c r="DA121" s="672">
        <f t="shared" si="255"/>
        <v>36.670605612998521</v>
      </c>
      <c r="DB121" s="676"/>
      <c r="DD121" s="1002">
        <f>300+(177*0.35)</f>
        <v>361.95</v>
      </c>
      <c r="DE121" s="672">
        <f t="shared" si="256"/>
        <v>35.485294117647058</v>
      </c>
      <c r="DF121" s="676"/>
      <c r="DH121" s="1002">
        <f>256+230*0.41+17*0.495</f>
        <v>358.71500000000003</v>
      </c>
      <c r="DI121" s="672">
        <f t="shared" si="257"/>
        <v>36.188146279949564</v>
      </c>
      <c r="DJ121" s="676"/>
      <c r="DK121" s="676"/>
      <c r="DL121" s="1434">
        <f>-167-3+570+(152+11+32)*0.313</f>
        <v>461.03499999999997</v>
      </c>
      <c r="DM121" s="1437">
        <v>35.700000000000003</v>
      </c>
      <c r="DN121" s="676"/>
      <c r="DO121" s="676"/>
      <c r="DP121" s="1383">
        <f>DP111*(DQ121%)</f>
        <v>225.10131648224993</v>
      </c>
      <c r="DQ121" s="1386">
        <v>23.25</v>
      </c>
      <c r="DR121" s="1178"/>
      <c r="EA121" s="282"/>
    </row>
    <row r="122" spans="1:168" x14ac:dyDescent="0.2">
      <c r="A122" s="604" t="s">
        <v>83</v>
      </c>
      <c r="D122" s="610">
        <v>-276.35500000000002</v>
      </c>
      <c r="E122" s="672">
        <f t="shared" si="258"/>
        <v>50.448064169287775</v>
      </c>
      <c r="F122" s="566"/>
      <c r="G122" s="649"/>
      <c r="H122" s="610">
        <v>-613.98900000000003</v>
      </c>
      <c r="I122" s="672">
        <f t="shared" si="259"/>
        <v>32.777388961936452</v>
      </c>
      <c r="J122" s="566"/>
      <c r="K122" s="649"/>
      <c r="L122" s="610">
        <v>99.299000000000007</v>
      </c>
      <c r="M122" s="672">
        <f>L122/L14*100</f>
        <v>1.4025399364203741</v>
      </c>
      <c r="N122" s="605"/>
      <c r="P122" s="610">
        <v>156.745</v>
      </c>
      <c r="Q122" s="672">
        <f t="shared" si="260"/>
        <v>42.619228886834634</v>
      </c>
      <c r="R122" s="566"/>
      <c r="T122" s="610">
        <v>180.869</v>
      </c>
      <c r="U122" s="672">
        <f t="shared" si="261"/>
        <v>42.286578665581963</v>
      </c>
      <c r="V122" s="566"/>
      <c r="X122" s="610">
        <v>55.495050000000049</v>
      </c>
      <c r="Y122" s="672">
        <f t="shared" si="262"/>
        <v>60.127905086949831</v>
      </c>
      <c r="Z122" s="566"/>
      <c r="AB122" s="610">
        <f>SUM(AB118:AB121)</f>
        <v>155.708</v>
      </c>
      <c r="AC122" s="672">
        <f t="shared" si="263"/>
        <v>51.102235320759334</v>
      </c>
      <c r="AD122" s="566"/>
      <c r="AF122" s="610">
        <v>175</v>
      </c>
      <c r="AG122" s="672">
        <f t="shared" si="264"/>
        <v>39.661315033224852</v>
      </c>
      <c r="AH122" s="566"/>
      <c r="AJ122" s="610">
        <v>383</v>
      </c>
      <c r="AK122" s="672">
        <f t="shared" si="265"/>
        <v>39.979123173277664</v>
      </c>
      <c r="AL122" s="566"/>
      <c r="AN122" s="610">
        <v>477.76599999999996</v>
      </c>
      <c r="AO122" s="672">
        <f t="shared" si="266"/>
        <v>41.080481513327598</v>
      </c>
      <c r="AP122" s="566"/>
      <c r="AR122" s="610">
        <v>561</v>
      </c>
      <c r="AS122" s="672">
        <f t="shared" si="267"/>
        <v>40.476190476190474</v>
      </c>
      <c r="AT122" s="566"/>
      <c r="AV122" s="610">
        <v>549</v>
      </c>
      <c r="AW122" s="672">
        <f t="shared" si="268"/>
        <v>40.072992700729927</v>
      </c>
      <c r="AX122" s="566"/>
      <c r="AZ122" s="610">
        <v>306</v>
      </c>
      <c r="BA122" s="672">
        <f t="shared" si="269"/>
        <v>39.230769230769234</v>
      </c>
      <c r="BB122" s="566"/>
      <c r="BD122" s="610">
        <v>410</v>
      </c>
      <c r="BE122" s="672">
        <f t="shared" si="270"/>
        <v>39.122137404580151</v>
      </c>
      <c r="BF122" s="566"/>
      <c r="BH122" s="610">
        <v>429</v>
      </c>
      <c r="BI122" s="672">
        <f t="shared" si="271"/>
        <v>39.575645756457568</v>
      </c>
      <c r="BJ122" s="566"/>
      <c r="BL122" s="610">
        <v>427</v>
      </c>
      <c r="BM122" s="672">
        <f t="shared" si="272"/>
        <v>38.261648745519707</v>
      </c>
      <c r="BN122" s="566"/>
      <c r="BP122" s="610">
        <v>765.40858992805761</v>
      </c>
      <c r="BQ122" s="672">
        <f t="shared" si="273"/>
        <v>37.446604203916714</v>
      </c>
      <c r="BR122" s="566"/>
      <c r="BT122" s="610">
        <v>511.75</v>
      </c>
      <c r="BU122" s="672">
        <f t="shared" si="274"/>
        <v>37.218181818181819</v>
      </c>
      <c r="BV122" s="566"/>
      <c r="BX122" s="610">
        <v>489</v>
      </c>
      <c r="BY122" s="672">
        <f t="shared" si="275"/>
        <v>37.045454545454547</v>
      </c>
      <c r="BZ122" s="566"/>
      <c r="CB122" s="610">
        <v>-135</v>
      </c>
      <c r="CC122" s="672">
        <f t="shared" si="276"/>
        <v>-30.405405405405407</v>
      </c>
      <c r="CD122" s="566"/>
      <c r="CF122" s="610">
        <v>178</v>
      </c>
      <c r="CG122" s="672">
        <f t="shared" si="277"/>
        <v>35.108481262327416</v>
      </c>
      <c r="CH122" s="566"/>
      <c r="CJ122" s="543">
        <f>SUM(CJ118:CJ121)</f>
        <v>473</v>
      </c>
      <c r="CK122" s="672">
        <f t="shared" si="278"/>
        <v>35.833333333333336</v>
      </c>
      <c r="CL122" s="566"/>
      <c r="CN122" s="543">
        <f>SUM(CN118:CN121)</f>
        <v>712</v>
      </c>
      <c r="CO122" s="672">
        <f t="shared" si="279"/>
        <v>36.178861788617887</v>
      </c>
      <c r="CP122" s="566"/>
      <c r="CR122" s="543">
        <f>SUM(CR118:CR121)</f>
        <v>817</v>
      </c>
      <c r="CS122" s="672">
        <f t="shared" si="253"/>
        <v>36.408199643493759</v>
      </c>
      <c r="CT122" s="676"/>
      <c r="CV122" s="543">
        <f>SUM(CV118:CV121)</f>
        <v>837.44</v>
      </c>
      <c r="CW122" s="672">
        <f t="shared" si="254"/>
        <v>35.216148023549202</v>
      </c>
      <c r="CX122" s="676"/>
      <c r="CZ122" s="543">
        <f>SUM(CZ118:CZ121)</f>
        <v>903.52</v>
      </c>
      <c r="DA122" s="672">
        <f t="shared" si="255"/>
        <v>36.22774659182037</v>
      </c>
      <c r="DB122" s="676"/>
      <c r="DD122" s="543">
        <f>SUM(DD118:DD121)</f>
        <v>712.13</v>
      </c>
      <c r="DE122" s="672">
        <f t="shared" si="256"/>
        <v>36.222278738555438</v>
      </c>
      <c r="DF122" s="676"/>
      <c r="DH122" s="543">
        <f>SUM(DH118:DH121)</f>
        <v>565.45900000000006</v>
      </c>
      <c r="DI122" s="672">
        <f t="shared" si="257"/>
        <v>36.652665694376928</v>
      </c>
      <c r="DJ122" s="676"/>
      <c r="DK122" s="676"/>
      <c r="DL122" s="543">
        <f>SUM(DL118:DL121)</f>
        <v>640.59999999999991</v>
      </c>
      <c r="DM122" s="672">
        <f>DL122/DL112*100</f>
        <v>35.529672767609533</v>
      </c>
      <c r="DN122" s="676"/>
      <c r="DO122" s="676"/>
      <c r="DP122" s="1117">
        <f>SUM(DP118:DP121)</f>
        <v>331.01746963649987</v>
      </c>
      <c r="DQ122" s="1175">
        <f>DP122/DP112*100</f>
        <v>23.249999999999979</v>
      </c>
      <c r="DR122" s="1178"/>
      <c r="EA122" s="282"/>
    </row>
    <row r="123" spans="1:168" x14ac:dyDescent="0.2">
      <c r="A123" s="604" t="s">
        <v>413</v>
      </c>
      <c r="D123" s="385">
        <f>D118+D119</f>
        <v>-104.036</v>
      </c>
      <c r="E123" s="672">
        <f t="shared" si="258"/>
        <v>31.540588392229157</v>
      </c>
      <c r="F123" s="605"/>
      <c r="H123" s="385">
        <f>H118+H119</f>
        <v>-87.409000000000006</v>
      </c>
      <c r="I123" s="672">
        <f t="shared" si="259"/>
        <v>29.590247733566237</v>
      </c>
      <c r="J123" s="605"/>
      <c r="L123" s="385">
        <f>L118+L119</f>
        <v>4.4739999999999993</v>
      </c>
      <c r="M123" s="672">
        <f>L123/L113*100</f>
        <v>900.20120724322919</v>
      </c>
      <c r="N123" s="605"/>
      <c r="P123" s="385">
        <f>P118+P119</f>
        <v>27.196999999999999</v>
      </c>
      <c r="Q123" s="672">
        <f t="shared" si="260"/>
        <v>47.094372294372263</v>
      </c>
      <c r="R123" s="605"/>
      <c r="T123" s="385">
        <f>T118+T119</f>
        <v>32.341000000000001</v>
      </c>
      <c r="U123" s="672">
        <f t="shared" si="261"/>
        <v>47.327138362478941</v>
      </c>
      <c r="V123" s="605"/>
      <c r="X123" s="385">
        <f>X118+X119</f>
        <v>-44.929950000000005</v>
      </c>
      <c r="Y123" s="672">
        <f t="shared" si="262"/>
        <v>32.045897079276777</v>
      </c>
      <c r="Z123" s="605"/>
      <c r="AB123" s="385">
        <f>AB118+AB119</f>
        <v>-64.195999999999998</v>
      </c>
      <c r="AC123" s="672">
        <f t="shared" si="263"/>
        <v>34.079736688432313</v>
      </c>
      <c r="AD123" s="605"/>
      <c r="AF123" s="385">
        <f>AF118+AF119</f>
        <v>-31.738</v>
      </c>
      <c r="AG123" s="672">
        <f t="shared" si="264"/>
        <v>32.75943931793303</v>
      </c>
      <c r="AH123" s="605"/>
      <c r="AJ123" s="385">
        <f>AJ118+AJ119</f>
        <v>65.850999999999999</v>
      </c>
      <c r="AK123" s="672">
        <f t="shared" si="265"/>
        <v>42.277221366204266</v>
      </c>
      <c r="AL123" s="605"/>
      <c r="AN123" s="385">
        <f>AN118+AN119</f>
        <v>129.76599999999999</v>
      </c>
      <c r="AO123" s="672">
        <f t="shared" si="266"/>
        <v>43.692255892255886</v>
      </c>
      <c r="AP123" s="605"/>
      <c r="AR123" s="385">
        <f>AR118+AR119</f>
        <v>159</v>
      </c>
      <c r="AS123" s="672">
        <f t="shared" si="267"/>
        <v>41.514360313315926</v>
      </c>
      <c r="AT123" s="605"/>
      <c r="AU123" s="605"/>
      <c r="AV123" s="385">
        <f>AV118+AV119</f>
        <v>212</v>
      </c>
      <c r="AW123" s="672">
        <f t="shared" si="268"/>
        <v>40.458015267175576</v>
      </c>
      <c r="AX123" s="605"/>
      <c r="AZ123" s="385">
        <f>AZ118+AZ119</f>
        <v>97</v>
      </c>
      <c r="BA123" s="672">
        <f t="shared" si="269"/>
        <v>41.276595744680847</v>
      </c>
      <c r="BB123" s="605"/>
      <c r="BD123" s="385">
        <f>BD118+BD119</f>
        <v>147</v>
      </c>
      <c r="BE123" s="672">
        <f t="shared" si="270"/>
        <v>39.837398373983739</v>
      </c>
      <c r="BF123" s="605"/>
      <c r="BH123" s="385">
        <f>BH118+BH119</f>
        <v>109</v>
      </c>
      <c r="BI123" s="672">
        <f t="shared" si="271"/>
        <v>39.636363636363633</v>
      </c>
      <c r="BJ123" s="605"/>
      <c r="BL123" s="385">
        <f>BL118+BL119</f>
        <v>108</v>
      </c>
      <c r="BM123" s="672">
        <f t="shared" si="272"/>
        <v>38.162544169611309</v>
      </c>
      <c r="BN123" s="605"/>
      <c r="BP123" s="385">
        <f>BP118+BP119</f>
        <v>163.64600000000002</v>
      </c>
      <c r="BQ123" s="672">
        <f t="shared" si="273"/>
        <v>37.619770114942533</v>
      </c>
      <c r="BR123" s="605"/>
      <c r="BT123" s="385">
        <f>BT118+BT119</f>
        <v>70.75</v>
      </c>
      <c r="BU123" s="672">
        <f t="shared" si="274"/>
        <v>37.63297872340425</v>
      </c>
      <c r="BV123" s="605"/>
      <c r="BX123" s="385">
        <f>BX118+BX119</f>
        <v>70</v>
      </c>
      <c r="BY123" s="672">
        <f t="shared" si="275"/>
        <v>35.714285714285715</v>
      </c>
      <c r="BZ123" s="605"/>
      <c r="CB123" s="385">
        <f>CB118+CB119</f>
        <v>1</v>
      </c>
      <c r="CC123" s="672">
        <f t="shared" si="276"/>
        <v>6.666666666666667</v>
      </c>
      <c r="CD123" s="605"/>
      <c r="CF123" s="385">
        <f>CF118+CF119</f>
        <v>-65</v>
      </c>
      <c r="CG123" s="672">
        <f t="shared" si="277"/>
        <v>44.520547945205479</v>
      </c>
      <c r="CH123" s="605"/>
      <c r="CJ123" s="385">
        <f>CJ118+CJ119</f>
        <v>111</v>
      </c>
      <c r="CK123" s="672">
        <f t="shared" si="278"/>
        <v>39.501779359430607</v>
      </c>
      <c r="CL123" s="605"/>
      <c r="CN123" s="385">
        <f>CN118+CN119</f>
        <v>237</v>
      </c>
      <c r="CO123" s="672">
        <f t="shared" si="279"/>
        <v>38.916256157635473</v>
      </c>
      <c r="CP123" s="605"/>
      <c r="CR123" s="385">
        <f>CR118+CR119</f>
        <v>268</v>
      </c>
      <c r="CS123" s="672">
        <f t="shared" si="253"/>
        <v>36.813186813186817</v>
      </c>
      <c r="CT123" s="668"/>
      <c r="CV123" s="385">
        <f>CV118+CV119</f>
        <v>278</v>
      </c>
      <c r="CW123" s="672">
        <f t="shared" si="254"/>
        <v>35.824742268041234</v>
      </c>
      <c r="CX123" s="668"/>
      <c r="CZ123" s="385">
        <f>CZ118+CZ119</f>
        <v>298</v>
      </c>
      <c r="DA123" s="672">
        <f t="shared" si="255"/>
        <v>36.609336609336609</v>
      </c>
      <c r="DB123" s="668"/>
      <c r="DD123" s="385">
        <f>DD118+DD119</f>
        <v>247</v>
      </c>
      <c r="DE123" s="672">
        <f t="shared" si="256"/>
        <v>37.595129375951295</v>
      </c>
      <c r="DF123" s="668"/>
      <c r="DH123" s="385">
        <f>DH118+DH119</f>
        <v>171.2</v>
      </c>
      <c r="DI123" s="672">
        <f t="shared" si="257"/>
        <v>36.600748262960977</v>
      </c>
      <c r="DJ123" s="668"/>
      <c r="DK123" s="668"/>
      <c r="DL123" s="385">
        <f>DL118+DL119</f>
        <v>144.91499999999999</v>
      </c>
      <c r="DM123" s="672">
        <f>DL123/DL113*100</f>
        <v>39.594262295081968</v>
      </c>
      <c r="DN123" s="668"/>
      <c r="DO123" s="668"/>
      <c r="DP123" s="1092">
        <f>DP118+DP119</f>
        <v>79.51087031175004</v>
      </c>
      <c r="DQ123" s="1175">
        <f>DP123/DP113*100</f>
        <v>23.25</v>
      </c>
      <c r="DR123" s="1172"/>
    </row>
    <row r="124" spans="1:168" x14ac:dyDescent="0.2">
      <c r="A124" s="604" t="s">
        <v>414</v>
      </c>
      <c r="D124" s="385">
        <f>D120+D121</f>
        <v>-172.31900000000002</v>
      </c>
      <c r="E124" s="672">
        <f t="shared" si="258"/>
        <v>79.062458419934543</v>
      </c>
      <c r="F124" s="605"/>
      <c r="H124" s="385">
        <f>H120+H121</f>
        <v>-526.58000000000004</v>
      </c>
      <c r="I124" s="672">
        <f t="shared" si="259"/>
        <v>33.655477787244052</v>
      </c>
      <c r="J124" s="605"/>
      <c r="L124" s="385">
        <f>L120+L121</f>
        <v>94.825000000000003</v>
      </c>
      <c r="M124" s="672">
        <f>L124/L114*100</f>
        <v>40.959353807610917</v>
      </c>
      <c r="N124" s="605"/>
      <c r="P124" s="385">
        <f>P120+P121</f>
        <v>129.548</v>
      </c>
      <c r="Q124" s="672">
        <f t="shared" si="260"/>
        <v>41.785633648356644</v>
      </c>
      <c r="R124" s="605"/>
      <c r="T124" s="385">
        <f>T120+T121</f>
        <v>148.52799999999999</v>
      </c>
      <c r="U124" s="672">
        <f t="shared" si="261"/>
        <v>41.328150433933345</v>
      </c>
      <c r="V124" s="605"/>
      <c r="X124" s="385">
        <f>X120+X121</f>
        <v>100.42500000000004</v>
      </c>
      <c r="Y124" s="672">
        <f t="shared" si="262"/>
        <v>43.193548387096762</v>
      </c>
      <c r="Z124" s="605"/>
      <c r="AB124" s="385">
        <f>AB120+AB121</f>
        <v>219.904</v>
      </c>
      <c r="AC124" s="672">
        <f t="shared" si="263"/>
        <v>44.599031778513798</v>
      </c>
      <c r="AD124" s="605"/>
      <c r="AF124" s="385">
        <f>AF120+AF121</f>
        <v>207.309</v>
      </c>
      <c r="AG124" s="672">
        <f t="shared" si="264"/>
        <v>38.482771678800688</v>
      </c>
      <c r="AH124" s="605"/>
      <c r="AJ124" s="385">
        <f>AJ120+AJ121</f>
        <v>317.81600000000003</v>
      </c>
      <c r="AK124" s="672">
        <f t="shared" si="265"/>
        <v>39.636134162432626</v>
      </c>
      <c r="AL124" s="605"/>
      <c r="AN124" s="385">
        <f>AN120+AN121</f>
        <v>348</v>
      </c>
      <c r="AO124" s="672">
        <f t="shared" si="266"/>
        <v>40.184757505773675</v>
      </c>
      <c r="AP124" s="605"/>
      <c r="AR124" s="385">
        <f>AR120+AR121</f>
        <v>392</v>
      </c>
      <c r="AS124" s="672">
        <f t="shared" si="267"/>
        <v>40.706126687435102</v>
      </c>
      <c r="AT124" s="605"/>
      <c r="AU124" s="605"/>
      <c r="AV124" s="385">
        <f>AV120+AV121</f>
        <v>337</v>
      </c>
      <c r="AW124" s="672">
        <f t="shared" si="268"/>
        <v>39.83451536643026</v>
      </c>
      <c r="AX124" s="605"/>
      <c r="AZ124" s="385">
        <f>AZ120+AZ121</f>
        <v>209</v>
      </c>
      <c r="BA124" s="672">
        <f t="shared" si="269"/>
        <v>38.348623853211009</v>
      </c>
      <c r="BB124" s="605"/>
      <c r="BD124" s="385">
        <f>BD120+BD121</f>
        <v>263</v>
      </c>
      <c r="BE124" s="672">
        <f t="shared" si="270"/>
        <v>38.733431516936676</v>
      </c>
      <c r="BF124" s="605"/>
      <c r="BH124" s="385">
        <f>BH120+BH121</f>
        <v>320</v>
      </c>
      <c r="BI124" s="672">
        <f t="shared" si="271"/>
        <v>39.555006180469718</v>
      </c>
      <c r="BJ124" s="605"/>
      <c r="BL124" s="385">
        <f>BL120+BL121</f>
        <v>319</v>
      </c>
      <c r="BM124" s="672">
        <f t="shared" si="272"/>
        <v>38.295318127250901</v>
      </c>
      <c r="BN124" s="605"/>
      <c r="BP124" s="385">
        <f>BP120+BP121</f>
        <v>601.76258992805754</v>
      </c>
      <c r="BQ124" s="672">
        <f t="shared" si="273"/>
        <v>37.399788062651183</v>
      </c>
      <c r="BR124" s="605"/>
      <c r="BT124" s="385">
        <f>BT120+BT121</f>
        <v>441</v>
      </c>
      <c r="BU124" s="672">
        <f t="shared" si="274"/>
        <v>37.1524852569503</v>
      </c>
      <c r="BV124" s="605"/>
      <c r="BX124" s="385">
        <f>BX120+BX121</f>
        <v>419</v>
      </c>
      <c r="BY124" s="672">
        <f t="shared" si="275"/>
        <v>37.277580071174377</v>
      </c>
      <c r="BZ124" s="605"/>
      <c r="CB124" s="385">
        <f>CB120+CB121</f>
        <v>-136</v>
      </c>
      <c r="CC124" s="672">
        <f t="shared" si="276"/>
        <v>-31.701631701631701</v>
      </c>
      <c r="CD124" s="605"/>
      <c r="CF124" s="385">
        <f>CF120+CF121</f>
        <v>243</v>
      </c>
      <c r="CG124" s="672">
        <f t="shared" si="277"/>
        <v>37.212863705972438</v>
      </c>
      <c r="CH124" s="605"/>
      <c r="CJ124" s="385">
        <f>CJ120+CJ121</f>
        <v>362</v>
      </c>
      <c r="CK124" s="672">
        <f t="shared" si="278"/>
        <v>34.841193455245431</v>
      </c>
      <c r="CL124" s="605"/>
      <c r="CN124" s="385">
        <f>CN120+CN121</f>
        <v>475</v>
      </c>
      <c r="CO124" s="672">
        <f t="shared" si="279"/>
        <v>34.952170713760118</v>
      </c>
      <c r="CP124" s="605"/>
      <c r="CR124" s="385">
        <f>CR120+CR121</f>
        <v>549</v>
      </c>
      <c r="CS124" s="672">
        <f t="shared" si="253"/>
        <v>36.30952380952381</v>
      </c>
      <c r="CT124" s="668"/>
      <c r="CV124" s="385">
        <f>CV120+CV121</f>
        <v>559.44000000000005</v>
      </c>
      <c r="CW124" s="672">
        <f t="shared" si="254"/>
        <v>34.921348314606746</v>
      </c>
      <c r="CX124" s="668"/>
      <c r="CZ124" s="385">
        <f>CZ120+CZ121</f>
        <v>605.52</v>
      </c>
      <c r="DA124" s="672">
        <f t="shared" si="255"/>
        <v>36.042857142857144</v>
      </c>
      <c r="DB124" s="668"/>
      <c r="DD124" s="385">
        <f>DD120+DD121</f>
        <v>465.13</v>
      </c>
      <c r="DE124" s="672">
        <f t="shared" si="256"/>
        <v>35.533231474407941</v>
      </c>
      <c r="DF124" s="668"/>
      <c r="DH124" s="385">
        <f>DH120+DH121</f>
        <v>394.25900000000001</v>
      </c>
      <c r="DI124" s="672">
        <f t="shared" si="257"/>
        <v>36.675255813953491</v>
      </c>
      <c r="DJ124" s="668"/>
      <c r="DK124" s="668"/>
      <c r="DL124" s="385">
        <f>DL120+DL121</f>
        <v>495.68499999999995</v>
      </c>
      <c r="DM124" s="672">
        <f>DL124/DL114*100</f>
        <v>34.494432846207374</v>
      </c>
      <c r="DN124" s="668"/>
      <c r="DO124" s="668"/>
      <c r="DP124" s="1092">
        <f>DP120+DP121</f>
        <v>251.50659932474983</v>
      </c>
      <c r="DQ124" s="1175">
        <f>DP124/DP114*100</f>
        <v>23.250000000000004</v>
      </c>
      <c r="DR124" s="1172"/>
    </row>
    <row r="125" spans="1:168" x14ac:dyDescent="0.2">
      <c r="D125" s="353"/>
      <c r="H125" s="353"/>
      <c r="L125" s="353"/>
      <c r="P125" s="353"/>
      <c r="T125" s="353"/>
      <c r="X125" s="353"/>
      <c r="AB125" s="353"/>
      <c r="AF125" s="353"/>
      <c r="AJ125" s="385"/>
      <c r="AN125" s="385"/>
      <c r="AR125" s="385"/>
      <c r="AV125" s="385"/>
      <c r="AZ125" s="385"/>
      <c r="BD125" s="385"/>
      <c r="BH125" s="385"/>
      <c r="BL125" s="385"/>
      <c r="BP125" s="385"/>
      <c r="BT125" s="385"/>
      <c r="BX125" s="385"/>
      <c r="CB125" s="385"/>
      <c r="CF125" s="385"/>
      <c r="CJ125" s="385"/>
      <c r="CN125" s="385"/>
    </row>
    <row r="126" spans="1:168" s="627" customFormat="1" outlineLevel="1" x14ac:dyDescent="0.2">
      <c r="A126" s="626" t="s">
        <v>307</v>
      </c>
      <c r="D126" s="628"/>
      <c r="H126" s="628"/>
      <c r="L126" s="628"/>
      <c r="P126" s="628"/>
      <c r="T126" s="628"/>
      <c r="X126" s="628"/>
      <c r="AB126" s="628"/>
      <c r="AF126" s="628"/>
      <c r="AJ126" s="629"/>
      <c r="AN126" s="629"/>
      <c r="AR126" s="629"/>
      <c r="AV126" s="629"/>
      <c r="AZ126" s="629"/>
      <c r="BD126" s="629"/>
      <c r="BH126" s="629"/>
      <c r="BL126" s="629"/>
      <c r="BP126" s="629"/>
      <c r="BT126" s="629"/>
      <c r="BX126" s="629"/>
      <c r="CB126" s="629"/>
      <c r="CF126" s="629"/>
      <c r="CJ126" s="629"/>
      <c r="CN126" s="1510" t="s">
        <v>307</v>
      </c>
      <c r="CO126" s="1510"/>
      <c r="CP126" s="1510"/>
      <c r="CQ126" s="1510"/>
      <c r="CR126" s="1510"/>
      <c r="CS126" s="1510"/>
      <c r="CT126" s="1510"/>
      <c r="CU126" s="1510"/>
      <c r="CV126" s="1510"/>
      <c r="CW126" s="1510"/>
      <c r="CX126" s="1510"/>
      <c r="CZ126" s="663" t="s">
        <v>307</v>
      </c>
      <c r="DA126" s="663"/>
      <c r="DB126" s="663"/>
      <c r="DC126" s="663"/>
      <c r="DD126" s="663"/>
      <c r="DE126" s="663"/>
      <c r="DF126" s="663"/>
      <c r="DG126" s="663"/>
      <c r="DH126" s="663"/>
      <c r="DI126" s="663"/>
      <c r="DL126" s="663"/>
      <c r="DM126" s="663"/>
      <c r="DP126" s="1169"/>
      <c r="DQ126" s="1169"/>
      <c r="DR126" s="1151"/>
      <c r="EI126" s="600"/>
      <c r="FL126" s="1475" t="s">
        <v>675</v>
      </c>
    </row>
    <row r="127" spans="1:168" outlineLevel="1" x14ac:dyDescent="0.2">
      <c r="D127" s="353"/>
      <c r="H127" s="353"/>
      <c r="L127" s="353"/>
      <c r="P127" s="353"/>
      <c r="T127" s="353"/>
      <c r="X127" s="353"/>
      <c r="AB127" s="353"/>
      <c r="AF127" s="353"/>
      <c r="AJ127" s="385"/>
      <c r="AN127" s="385"/>
      <c r="AR127" s="385"/>
      <c r="AV127" s="385"/>
      <c r="AZ127" s="385"/>
      <c r="BD127" s="385"/>
      <c r="BH127" s="385"/>
      <c r="BL127" s="385"/>
      <c r="BP127" s="385"/>
      <c r="BT127" s="385"/>
      <c r="BX127" s="385"/>
      <c r="CB127" s="385"/>
      <c r="CF127" s="385"/>
      <c r="CJ127" s="385"/>
      <c r="CN127" s="385"/>
    </row>
    <row r="128" spans="1:168" outlineLevel="1" x14ac:dyDescent="0.2">
      <c r="A128" s="604" t="s">
        <v>79</v>
      </c>
      <c r="D128" s="543">
        <f>D108-D118</f>
        <v>-99.439999999999898</v>
      </c>
      <c r="E128" s="672">
        <f t="shared" ref="E128:E134" si="280">D128/D10*100</f>
        <v>-6.2522792148183477</v>
      </c>
      <c r="F128" s="566"/>
      <c r="H128" s="543">
        <f>H108-H118</f>
        <v>-64.160999999999916</v>
      </c>
      <c r="I128" s="672">
        <f t="shared" ref="I128:I134" si="281">H128/H10*100</f>
        <v>-4.0266245099374309</v>
      </c>
      <c r="J128" s="566">
        <f>(H128/D128-1)*100</f>
        <v>-35.477674979887382</v>
      </c>
      <c r="L128" s="543">
        <f>L108-L118</f>
        <v>11.81200000000017</v>
      </c>
      <c r="M128" s="672">
        <f t="shared" ref="M128:M134" si="282">L128/L10*100</f>
        <v>0.75153048304858283</v>
      </c>
      <c r="N128" s="605">
        <f>(M128-I128)*100</f>
        <v>477.81549929860142</v>
      </c>
      <c r="P128" s="543">
        <f>P108-P118</f>
        <v>21.70000000000007</v>
      </c>
      <c r="Q128" s="672">
        <f t="shared" ref="Q128:Q134" si="283">P128/P10*100</f>
        <v>1.3645575972215891</v>
      </c>
      <c r="R128" s="566">
        <f>(P128/L128-1)*100</f>
        <v>83.711479850996938</v>
      </c>
      <c r="T128" s="543">
        <f>T108-T118</f>
        <v>32.222000000000179</v>
      </c>
      <c r="U128" s="672">
        <f t="shared" ref="U128:U134" si="284">T128/T10*100</f>
        <v>1.9485604708668485</v>
      </c>
      <c r="V128" s="566">
        <f>(T128/P128-1)*100</f>
        <v>48.488479262673145</v>
      </c>
      <c r="X128" s="543">
        <f>X108-X118</f>
        <v>-37.046400000000013</v>
      </c>
      <c r="Y128" s="672">
        <f t="shared" ref="Y128:Y134" si="285">X128/X10*100</f>
        <v>-1.2609394145677335</v>
      </c>
      <c r="Z128" s="566"/>
      <c r="AB128" s="543">
        <f>AB108-AB118</f>
        <v>-56.999000000000294</v>
      </c>
      <c r="AC128" s="672">
        <f t="shared" ref="AC128:AC134" si="286">AB128/AB10*100</f>
        <v>-1.9075932243777387</v>
      </c>
      <c r="AD128" s="566">
        <f>(AB128/X128-1)*100</f>
        <v>53.858404595319051</v>
      </c>
      <c r="AF128" s="543">
        <f>AF108-AF118</f>
        <v>-37.923000000000158</v>
      </c>
      <c r="AG128" s="672">
        <f t="shared" ref="AG128:AG134" si="287">AF128/AF10*100</f>
        <v>-1.148938104038542</v>
      </c>
      <c r="AH128" s="566">
        <f>(AF128/AB128-1)*100</f>
        <v>-33.467253811470442</v>
      </c>
      <c r="AJ128" s="543">
        <f>AJ108-AJ118</f>
        <v>23.568000000000193</v>
      </c>
      <c r="AK128" s="672">
        <f t="shared" ref="AK128:AK134" si="288">AJ128/AJ10*100</f>
        <v>0.69142756556944773</v>
      </c>
      <c r="AL128" s="566">
        <f>(AJ128/AF128-1)*100</f>
        <v>-162.14698204256018</v>
      </c>
      <c r="AN128" s="543">
        <f>AN108-AN118</f>
        <v>60.234000000000002</v>
      </c>
      <c r="AO128" s="672">
        <f t="shared" ref="AO128:AO134" si="289">AN128/AN10*100</f>
        <v>1.7942806076854334</v>
      </c>
      <c r="AP128" s="566">
        <f>(AN128/AJ128-1)*100</f>
        <v>155.57535641547653</v>
      </c>
      <c r="AR128" s="543">
        <f>AR108-AR118</f>
        <v>87</v>
      </c>
      <c r="AS128" s="672">
        <f t="shared" ref="AS128:AS134" si="290">AR128/AR10*100</f>
        <v>2.4166666666666665</v>
      </c>
      <c r="AT128" s="566">
        <f>(AR128/AN128-1)*100</f>
        <v>44.436696882159566</v>
      </c>
      <c r="AV128" s="543">
        <f>AV108-AV118</f>
        <v>118</v>
      </c>
      <c r="AW128" s="672">
        <f t="shared" ref="AW128:AW134" si="291">AV128/AV10*100</f>
        <v>3.3025468793730757</v>
      </c>
      <c r="AX128" s="566">
        <f>(AV128/AR128-1)*100</f>
        <v>35.632183908045967</v>
      </c>
      <c r="AZ128" s="543">
        <f>AZ108-AZ118</f>
        <v>58</v>
      </c>
      <c r="BA128" s="672">
        <f t="shared" ref="BA128:BA134" si="292">AZ128/AZ10*100</f>
        <v>1.6310461192350956</v>
      </c>
      <c r="BB128" s="566">
        <f>(AZ128/AV128-1)*100</f>
        <v>-50.847457627118644</v>
      </c>
      <c r="BC128" s="566">
        <f>(BA128/AW128-1)*100</f>
        <v>-50.612476406550876</v>
      </c>
      <c r="BD128" s="543">
        <f>BD108-BD118</f>
        <v>89</v>
      </c>
      <c r="BE128" s="672">
        <f t="shared" ref="BE128:BE134" si="293">BD128/BD10*100</f>
        <v>2.5774688676513176</v>
      </c>
      <c r="BF128" s="566">
        <f>(BD128/AZ128-1)*100</f>
        <v>53.448275862068975</v>
      </c>
      <c r="BH128" s="543">
        <f>BH108-BH118</f>
        <v>46</v>
      </c>
      <c r="BI128" s="672">
        <f t="shared" ref="BI128:BI134" si="294">BH128/BH10*100</f>
        <v>1.3977514433302947</v>
      </c>
      <c r="BJ128" s="566">
        <f>(BH128/BD128-1)*100</f>
        <v>-48.31460674157303</v>
      </c>
      <c r="BL128" s="543">
        <f>BL108-BL118</f>
        <v>97</v>
      </c>
      <c r="BM128" s="672">
        <f t="shared" ref="BM128:BM134" si="295">BL128/BL10*100</f>
        <v>2.732394366197183</v>
      </c>
      <c r="BN128" s="566">
        <f>(BL128/BH128-1)*100</f>
        <v>110.86956521739131</v>
      </c>
      <c r="BP128" s="543">
        <f>BP108-BP118</f>
        <v>123.354</v>
      </c>
      <c r="BQ128" s="672">
        <f t="shared" ref="BQ128:BQ134" si="296">BP128/BP10*100</f>
        <v>3.3879154078549849</v>
      </c>
      <c r="BR128" s="566">
        <f>(BP128/BL128-1)*100</f>
        <v>27.16907216494846</v>
      </c>
      <c r="BT128" s="543">
        <f>BT108-BT118</f>
        <v>-74</v>
      </c>
      <c r="BU128" s="672">
        <f t="shared" ref="BU128:BU134" si="297">BT128/BT10*100</f>
        <v>-1.2478920741989883</v>
      </c>
      <c r="BV128" s="566">
        <f>(BT128/BP128-1)*100</f>
        <v>-159.98994763039707</v>
      </c>
      <c r="BX128" s="543">
        <f>BX108-BX118</f>
        <v>52</v>
      </c>
      <c r="BY128" s="672">
        <f t="shared" ref="BY128:BY134" si="298">BX128/BX10*100</f>
        <v>0.87823002871136624</v>
      </c>
      <c r="BZ128" s="566">
        <f>(BX128/BT128-1)*100</f>
        <v>-170.27027027027026</v>
      </c>
      <c r="CB128" s="543">
        <f>CB108-CB118</f>
        <v>-59</v>
      </c>
      <c r="CC128" s="672">
        <f t="shared" ref="CC128:CC134" si="299">CB128/CB10*100</f>
        <v>-1.0266225856968854</v>
      </c>
      <c r="CD128" s="566">
        <f>(CB128/BX128-1)*100</f>
        <v>-213.46153846153845</v>
      </c>
      <c r="CF128" s="543">
        <f>CF108-CF118</f>
        <v>-88</v>
      </c>
      <c r="CG128" s="672">
        <f t="shared" ref="CG128:CG134" si="300">CF128/CF10*100</f>
        <v>-1.6641452344931922</v>
      </c>
      <c r="CH128" s="566">
        <f>(CF128/CB128-1)*100</f>
        <v>49.152542372881356</v>
      </c>
      <c r="CJ128" s="543">
        <f>CJ108-CJ118</f>
        <v>23</v>
      </c>
      <c r="CK128" s="672">
        <f t="shared" ref="CK128:CK134" si="301">CJ128/CJ10*100</f>
        <v>0.41263006817366343</v>
      </c>
      <c r="CL128" s="566"/>
      <c r="CN128" s="543">
        <f>CN108-CN118</f>
        <v>131</v>
      </c>
      <c r="CO128" s="672">
        <f t="shared" ref="CO128:CO134" si="302">CN128/CN10*100</f>
        <v>2.2244863304465952</v>
      </c>
      <c r="CP128" s="566">
        <f>(CN128/CJ128-1)*100</f>
        <v>469.56521739130437</v>
      </c>
      <c r="CR128" s="543">
        <f>CR108-CR118</f>
        <v>181</v>
      </c>
      <c r="CS128" s="672">
        <f t="shared" ref="CS128:CS134" si="303">CR128/CR10*100</f>
        <v>2.9464431059742795</v>
      </c>
      <c r="CT128" s="566">
        <f>(CR128/CN128-1)*100</f>
        <v>38.167938931297705</v>
      </c>
      <c r="CV128" s="543">
        <f>CV108-CV118</f>
        <v>217</v>
      </c>
      <c r="CW128" s="672">
        <f t="shared" ref="CW128:CW134" si="304">CV128/CV10*100</f>
        <v>3.3975262251448255</v>
      </c>
      <c r="CX128" s="566">
        <f>(CV128/CR128-1)*100</f>
        <v>19.889502762430933</v>
      </c>
      <c r="CZ128" s="543">
        <f>CZ108-CZ118</f>
        <v>224</v>
      </c>
      <c r="DA128" s="672">
        <f t="shared" ref="DA128:DA134" si="305">CZ128/CZ10*100</f>
        <v>3.5674470457079153</v>
      </c>
      <c r="DB128" s="566">
        <f>(CZ128/CV128-1)*100</f>
        <v>3.2258064516129004</v>
      </c>
      <c r="DD128" s="543">
        <f>DD108-DD118</f>
        <v>193</v>
      </c>
      <c r="DE128" s="672">
        <f t="shared" ref="DE128:DE134" si="306">DD128/DD10*100</f>
        <v>3.0969191270860077</v>
      </c>
      <c r="DF128" s="566">
        <f>(DD128/CZ128-1)*100</f>
        <v>-13.83928571428571</v>
      </c>
      <c r="DH128" s="543">
        <f>DH108-DH118</f>
        <v>131</v>
      </c>
      <c r="DI128" s="672">
        <f t="shared" ref="DI128:DI134" si="307">DH128/DH10*100</f>
        <v>2.2687911326636647</v>
      </c>
      <c r="DJ128" s="566">
        <f>(DH128/DD128-1)*100</f>
        <v>-32.124352331606218</v>
      </c>
      <c r="DK128" s="566"/>
      <c r="DL128" s="543">
        <f>DL108-DL118</f>
        <v>81.48</v>
      </c>
      <c r="DM128" s="672">
        <f t="shared" ref="DM128:DM134" si="308">DL128/DL10*100</f>
        <v>1.5224215246636772</v>
      </c>
      <c r="DN128" s="566">
        <f>(DL128/DH128-1)*100</f>
        <v>-37.801526717557245</v>
      </c>
      <c r="DO128" s="566"/>
      <c r="DP128" s="1117">
        <f>DP108-DP118</f>
        <v>115.58020609199976</v>
      </c>
      <c r="DQ128" s="1175">
        <f t="shared" ref="DQ128:DQ134" si="309">DP128/DP10*100</f>
        <v>2.1747939254151212</v>
      </c>
      <c r="DR128" s="1132">
        <f>(DP128/DL128-1)*100</f>
        <v>41.851013858615296</v>
      </c>
    </row>
    <row r="129" spans="1:139" outlineLevel="1" x14ac:dyDescent="0.2">
      <c r="A129" s="604" t="s">
        <v>80</v>
      </c>
      <c r="D129" s="385">
        <f>D109-D119</f>
        <v>-126.372</v>
      </c>
      <c r="E129" s="672">
        <f t="shared" si="280"/>
        <v>-8.2829299753816628</v>
      </c>
      <c r="F129" s="566"/>
      <c r="H129" s="385">
        <f>H109-H119</f>
        <v>-143.82800000000009</v>
      </c>
      <c r="I129" s="672">
        <f t="shared" si="281"/>
        <v>-9.6158230391183572</v>
      </c>
      <c r="J129" s="566">
        <f t="shared" ref="J129:J134" si="310">(H129/D129-1)*100</f>
        <v>13.813186465356321</v>
      </c>
      <c r="L129" s="385">
        <f>L109-L119</f>
        <v>-15.789000000000041</v>
      </c>
      <c r="M129" s="672">
        <f t="shared" si="282"/>
        <v>-1.083507410040546</v>
      </c>
      <c r="N129" s="605">
        <f>(M129-I129)*100</f>
        <v>853.23156290778104</v>
      </c>
      <c r="P129" s="385">
        <f>P109-P119</f>
        <v>8.8529999999999731</v>
      </c>
      <c r="Q129" s="672">
        <f t="shared" si="283"/>
        <v>0.58930111935926888</v>
      </c>
      <c r="R129" s="566">
        <f t="shared" ref="R129:R134" si="311">(P129/L129-1)*100</f>
        <v>-156.07068212046329</v>
      </c>
      <c r="T129" s="385">
        <f>T109-T119</f>
        <v>3.7719999999998466</v>
      </c>
      <c r="U129" s="672">
        <f t="shared" si="284"/>
        <v>0.23632604473402963</v>
      </c>
      <c r="V129" s="566">
        <f t="shared" ref="V129:V134" si="312">(T129/P129-1)*100</f>
        <v>-57.392974133063831</v>
      </c>
      <c r="X129" s="385">
        <f>X109-X119</f>
        <v>-58.228649999999988</v>
      </c>
      <c r="Y129" s="672">
        <f t="shared" si="285"/>
        <v>-1.9867834720895312</v>
      </c>
      <c r="Z129" s="566"/>
      <c r="AB129" s="385">
        <f>AB109-AB119</f>
        <v>-67.174999999999898</v>
      </c>
      <c r="AC129" s="672">
        <f t="shared" si="286"/>
        <v>-2.2046275024614341</v>
      </c>
      <c r="AD129" s="566">
        <f t="shared" ref="AD129:AD134" si="313">(AB129/X129-1)*100</f>
        <v>15.364172104281849</v>
      </c>
      <c r="AF129" s="385">
        <f>AF109-AF119</f>
        <v>-27.221000000000203</v>
      </c>
      <c r="AG129" s="672">
        <f t="shared" si="287"/>
        <v>-0.82884720784362109</v>
      </c>
      <c r="AH129" s="566">
        <f t="shared" ref="AH129:AH134" si="314">(AF129/AB129-1)*100</f>
        <v>-59.477484183103471</v>
      </c>
      <c r="AJ129" s="385">
        <f>AJ109-AJ119</f>
        <v>66.341000000000349</v>
      </c>
      <c r="AK129" s="672">
        <f t="shared" si="288"/>
        <v>1.9213681649675727</v>
      </c>
      <c r="AL129" s="566">
        <f t="shared" ref="AL129:AL134" si="315">(AJ129/AF129-1)*100</f>
        <v>-343.71257485029889</v>
      </c>
      <c r="AN129" s="385">
        <f>AN109-AN119</f>
        <v>107</v>
      </c>
      <c r="AO129" s="672">
        <f t="shared" si="289"/>
        <v>3.1231757151196731</v>
      </c>
      <c r="AP129" s="566">
        <f t="shared" ref="AP129:AP134" si="316">(AN129/AJ129-1)*100</f>
        <v>61.287891349240198</v>
      </c>
      <c r="AR129" s="385">
        <f>AR109-AR119</f>
        <v>137</v>
      </c>
      <c r="AS129" s="672">
        <f t="shared" si="290"/>
        <v>3.4198701947079377</v>
      </c>
      <c r="AT129" s="566">
        <f t="shared" ref="AT129:AT134" si="317">(AR129/AN129-1)*100</f>
        <v>28.037383177570096</v>
      </c>
      <c r="AV129" s="385">
        <f>AV109-AV119</f>
        <v>194</v>
      </c>
      <c r="AW129" s="672">
        <f t="shared" si="291"/>
        <v>5.2731720576243539</v>
      </c>
      <c r="AX129" s="566">
        <f t="shared" ref="AX129:AX134" si="318">(AV129/AR129-1)*100</f>
        <v>41.605839416058402</v>
      </c>
      <c r="AZ129" s="385">
        <f>AZ109-AZ119</f>
        <v>80</v>
      </c>
      <c r="BA129" s="672">
        <f t="shared" si="292"/>
        <v>2.2935779816513762</v>
      </c>
      <c r="BB129" s="566">
        <f t="shared" ref="BB129:BB134" si="319">(AZ129/AV129-1)*100</f>
        <v>-58.762886597938149</v>
      </c>
      <c r="BC129" s="566">
        <f>(BA129/AW129-1)*100</f>
        <v>-56.504776317033944</v>
      </c>
      <c r="BD129" s="385">
        <f>BD109-BD119</f>
        <v>133</v>
      </c>
      <c r="BE129" s="672">
        <f t="shared" si="293"/>
        <v>3.8152610441767072</v>
      </c>
      <c r="BF129" s="566">
        <f t="shared" ref="BF129:BF134" si="320">(BD129/AZ129-1)*100</f>
        <v>66.250000000000014</v>
      </c>
      <c r="BH129" s="385">
        <f>BH109-BH119</f>
        <v>120</v>
      </c>
      <c r="BI129" s="672">
        <f t="shared" si="294"/>
        <v>3.4944670937682005</v>
      </c>
      <c r="BJ129" s="566">
        <f t="shared" ref="BJ129:BJ134" si="321">(BH129/BD129-1)*100</f>
        <v>-9.7744360902255689</v>
      </c>
      <c r="BL129" s="385">
        <f>BL109-BL119</f>
        <v>78</v>
      </c>
      <c r="BM129" s="672">
        <f t="shared" si="295"/>
        <v>2.1781625244345153</v>
      </c>
      <c r="BN129" s="566">
        <f t="shared" ref="BN129:BN134" si="322">(BL129/BH129-1)*100</f>
        <v>-35</v>
      </c>
      <c r="BP129" s="385">
        <f>BP109-BP119</f>
        <v>148</v>
      </c>
      <c r="BQ129" s="672">
        <f t="shared" si="296"/>
        <v>4.0850124206458736</v>
      </c>
      <c r="BR129" s="566">
        <f t="shared" ref="BR129:BR134" si="323">(BP129/BL129-1)*100</f>
        <v>89.743589743589737</v>
      </c>
      <c r="BT129" s="385">
        <f>BT109-BT119</f>
        <v>191.25</v>
      </c>
      <c r="BU129" s="672">
        <f t="shared" si="297"/>
        <v>3.1901584653878232</v>
      </c>
      <c r="BV129" s="566">
        <f t="shared" ref="BV129:BV134" si="324">(BT129/BP129-1)*100</f>
        <v>29.222972972972983</v>
      </c>
      <c r="BX129" s="385">
        <f>BX109-BX119</f>
        <v>74</v>
      </c>
      <c r="BY129" s="672">
        <f t="shared" si="298"/>
        <v>1.2559402579769179</v>
      </c>
      <c r="BZ129" s="566">
        <f t="shared" ref="BZ129:BZ134" si="325">(BX129/BT129-1)*100</f>
        <v>-61.307189542483663</v>
      </c>
      <c r="CB129" s="385">
        <f>CB109-CB119</f>
        <v>73</v>
      </c>
      <c r="CC129" s="672">
        <f t="shared" si="299"/>
        <v>1.2766701643931444</v>
      </c>
      <c r="CD129" s="566">
        <f t="shared" ref="CD129:CD134" si="326">(CB129/BX129-1)*100</f>
        <v>-1.3513513513513487</v>
      </c>
      <c r="CF129" s="385">
        <f>CF109-CF119</f>
        <v>7</v>
      </c>
      <c r="CG129" s="672">
        <f t="shared" si="300"/>
        <v>0.13245033112582782</v>
      </c>
      <c r="CH129" s="566">
        <f t="shared" ref="CH129:CH134" si="327">(CF129/CB129-1)*100</f>
        <v>-90.410958904109592</v>
      </c>
      <c r="CJ129" s="385">
        <f>CJ109-CJ119</f>
        <v>147</v>
      </c>
      <c r="CK129" s="672">
        <f t="shared" si="301"/>
        <v>2.6548672566371683</v>
      </c>
      <c r="CL129" s="566"/>
      <c r="CN129" s="385">
        <f>CN109-CN119</f>
        <v>241</v>
      </c>
      <c r="CO129" s="672">
        <f t="shared" si="302"/>
        <v>4.057922209126116</v>
      </c>
      <c r="CP129" s="566">
        <f t="shared" ref="CP129:CP134" si="328">(CN129/CJ129-1)*100</f>
        <v>63.945578231292522</v>
      </c>
      <c r="CR129" s="385">
        <f>CR109-CR119</f>
        <v>279</v>
      </c>
      <c r="CS129" s="672">
        <f t="shared" si="303"/>
        <v>4.5603138280483817</v>
      </c>
      <c r="CT129" s="566">
        <f t="shared" ref="CT129:CT134" si="329">(CR129/CN129-1)*100</f>
        <v>15.767634854771796</v>
      </c>
      <c r="CV129" s="385">
        <f>CV109-CV119</f>
        <v>281</v>
      </c>
      <c r="CW129" s="672">
        <f t="shared" si="304"/>
        <v>4.6323771843059678</v>
      </c>
      <c r="CX129" s="566">
        <f t="shared" ref="CX129:CX134" si="330">(CV129/CR129-1)*100</f>
        <v>0.71684587813620748</v>
      </c>
      <c r="CZ129" s="385">
        <f>CZ109-CZ119</f>
        <v>292</v>
      </c>
      <c r="DA129" s="672">
        <f t="shared" si="305"/>
        <v>4.6593266315621511</v>
      </c>
      <c r="DB129" s="566">
        <f t="shared" ref="DB129:DB134" si="331">(CZ129/CV129-1)*100</f>
        <v>3.9145907473309594</v>
      </c>
      <c r="DD129" s="385">
        <f>DD109-DD119</f>
        <v>217</v>
      </c>
      <c r="DE129" s="672">
        <f t="shared" si="306"/>
        <v>3.5550458715596331</v>
      </c>
      <c r="DF129" s="566">
        <f t="shared" ref="DF129:DF134" si="332">(DD129/CZ129-1)*100</f>
        <v>-25.684931506849317</v>
      </c>
      <c r="DH129" s="385">
        <f>DH109-DH119</f>
        <v>165.55</v>
      </c>
      <c r="DI129" s="672">
        <f t="shared" si="307"/>
        <v>2.773961126005362</v>
      </c>
      <c r="DJ129" s="566">
        <f t="shared" ref="DJ129:DJ134" si="333">(DH129/DD129-1)*100</f>
        <v>-23.709677419354836</v>
      </c>
      <c r="DK129" s="566"/>
      <c r="DL129" s="385">
        <f>DL109-DL119</f>
        <v>139.60500000000002</v>
      </c>
      <c r="DM129" s="672">
        <f t="shared" si="308"/>
        <v>2.4774622892635318</v>
      </c>
      <c r="DN129" s="566">
        <f t="shared" ref="DN129:DN134" si="334">(DL129/DH129-1)*100</f>
        <v>-15.672002416188457</v>
      </c>
      <c r="DO129" s="566"/>
      <c r="DP129" s="1092">
        <f>DP109-DP119</f>
        <v>146.89116149625039</v>
      </c>
      <c r="DQ129" s="1175">
        <f t="shared" si="309"/>
        <v>2.6846181041919368</v>
      </c>
      <c r="DR129" s="1132">
        <f t="shared" ref="DR129:DR134" si="335">(DP129/DL129-1)*100</f>
        <v>5.2191264612659882</v>
      </c>
    </row>
    <row r="130" spans="1:139" outlineLevel="1" x14ac:dyDescent="0.2">
      <c r="A130" s="604" t="s">
        <v>81</v>
      </c>
      <c r="D130" s="385">
        <f>D110-D120</f>
        <v>-86.802000000000035</v>
      </c>
      <c r="E130" s="672">
        <f t="shared" si="280"/>
        <v>-4.9114849713720234</v>
      </c>
      <c r="F130" s="566"/>
      <c r="H130" s="385">
        <f>H110-H120</f>
        <v>-60.994999999999948</v>
      </c>
      <c r="I130" s="672">
        <f t="shared" si="281"/>
        <v>-3.5692529877389001</v>
      </c>
      <c r="J130" s="566">
        <f t="shared" si="310"/>
        <v>-29.730881776917673</v>
      </c>
      <c r="L130" s="385">
        <f>L110-L120</f>
        <v>31.581999999999919</v>
      </c>
      <c r="M130" s="672">
        <f t="shared" si="282"/>
        <v>1.7653783053329672</v>
      </c>
      <c r="N130" s="605">
        <f>(M130-I130)*100</f>
        <v>533.4631293071867</v>
      </c>
      <c r="P130" s="385">
        <f>P110-P120</f>
        <v>34.523999999999958</v>
      </c>
      <c r="Q130" s="672">
        <f t="shared" si="283"/>
        <v>1.9294534500632898</v>
      </c>
      <c r="R130" s="566">
        <f t="shared" si="311"/>
        <v>9.315432841492143</v>
      </c>
      <c r="T130" s="385">
        <f>T110-T120</f>
        <v>44.343000000000011</v>
      </c>
      <c r="U130" s="672">
        <f t="shared" si="284"/>
        <v>2.301367388913599</v>
      </c>
      <c r="V130" s="566">
        <f t="shared" si="312"/>
        <v>28.44108446298246</v>
      </c>
      <c r="X130" s="385">
        <f>X110-X120</f>
        <v>-51.259399999999964</v>
      </c>
      <c r="Y130" s="672">
        <f t="shared" si="285"/>
        <v>-1.5289446996361022</v>
      </c>
      <c r="Z130" s="566"/>
      <c r="AB130" s="385">
        <f>AB110-AB120</f>
        <v>21.895999999999749</v>
      </c>
      <c r="AC130" s="672">
        <f t="shared" si="286"/>
        <v>0.65684164044819038</v>
      </c>
      <c r="AD130" s="566">
        <f t="shared" si="313"/>
        <v>-142.71606768709694</v>
      </c>
      <c r="AF130" s="385">
        <f>AF110-AF120</f>
        <v>41.753000000000206</v>
      </c>
      <c r="AG130" s="672">
        <f t="shared" si="287"/>
        <v>1.1568812169238927</v>
      </c>
      <c r="AH130" s="566">
        <f t="shared" si="314"/>
        <v>90.68779685787672</v>
      </c>
      <c r="AJ130" s="385">
        <f>AJ110-AJ120</f>
        <v>104.9380000000001</v>
      </c>
      <c r="AK130" s="672">
        <f t="shared" si="288"/>
        <v>2.8012599770427937</v>
      </c>
      <c r="AL130" s="566">
        <f t="shared" si="315"/>
        <v>151.330443321437</v>
      </c>
      <c r="AN130" s="385">
        <f>AN110-AN120</f>
        <v>110</v>
      </c>
      <c r="AO130" s="672">
        <f t="shared" si="289"/>
        <v>3.1003382187147688</v>
      </c>
      <c r="AP130" s="566">
        <f t="shared" si="316"/>
        <v>4.8238007204252975</v>
      </c>
      <c r="AR130" s="385">
        <f>AR110-AR120</f>
        <v>123</v>
      </c>
      <c r="AS130" s="672">
        <f t="shared" si="290"/>
        <v>2.9731689630166791</v>
      </c>
      <c r="AT130" s="566">
        <f t="shared" si="317"/>
        <v>11.818181818181817</v>
      </c>
      <c r="AV130" s="385">
        <f>AV110-AV120</f>
        <v>109</v>
      </c>
      <c r="AW130" s="672">
        <f t="shared" si="291"/>
        <v>2.8820729772607088</v>
      </c>
      <c r="AX130" s="566">
        <f t="shared" si="318"/>
        <v>-11.382113821138207</v>
      </c>
      <c r="AZ130" s="385">
        <f>AZ110-AZ120</f>
        <v>26</v>
      </c>
      <c r="BA130" s="672">
        <f t="shared" si="292"/>
        <v>0.74820143884892087</v>
      </c>
      <c r="BB130" s="566">
        <f t="shared" si="319"/>
        <v>-76.146788990825684</v>
      </c>
      <c r="BC130" s="566">
        <f>(BA130/AW130-1)*100</f>
        <v>-74.039469341957613</v>
      </c>
      <c r="BD130" s="385">
        <f>BD110-BD120</f>
        <v>75</v>
      </c>
      <c r="BE130" s="672">
        <f t="shared" si="293"/>
        <v>2.1557918942224776</v>
      </c>
      <c r="BF130" s="566">
        <f t="shared" si="320"/>
        <v>188.46153846153845</v>
      </c>
      <c r="BH130" s="385">
        <f>BH110-BH120</f>
        <v>67</v>
      </c>
      <c r="BI130" s="672">
        <f t="shared" si="294"/>
        <v>1.9219736087205965</v>
      </c>
      <c r="BJ130" s="566">
        <f t="shared" si="321"/>
        <v>-10.666666666666668</v>
      </c>
      <c r="BL130" s="385">
        <f>BL110-BL120</f>
        <v>74</v>
      </c>
      <c r="BM130" s="672">
        <f t="shared" si="295"/>
        <v>2.0992907801418439</v>
      </c>
      <c r="BN130" s="566">
        <f t="shared" si="322"/>
        <v>10.447761194029859</v>
      </c>
      <c r="BP130" s="385">
        <f>BP110-BP120</f>
        <v>339.23741007194246</v>
      </c>
      <c r="BQ130" s="672">
        <f t="shared" si="296"/>
        <v>6.106884069701934</v>
      </c>
      <c r="BR130" s="566">
        <f t="shared" si="323"/>
        <v>358.42893252965195</v>
      </c>
      <c r="BT130" s="385">
        <f>BT110-BT120</f>
        <v>20</v>
      </c>
      <c r="BU130" s="672">
        <f t="shared" si="297"/>
        <v>0.33978933061501865</v>
      </c>
      <c r="BV130" s="566">
        <f t="shared" si="324"/>
        <v>-94.104423802858719</v>
      </c>
      <c r="BX130" s="385">
        <f>BX110-BX120</f>
        <v>33</v>
      </c>
      <c r="BY130" s="672">
        <f t="shared" si="298"/>
        <v>0.55875380968506605</v>
      </c>
      <c r="BZ130" s="566">
        <f t="shared" si="325"/>
        <v>64.999999999999986</v>
      </c>
      <c r="CB130" s="385">
        <f>CB110-CB120</f>
        <v>-44</v>
      </c>
      <c r="CC130" s="672">
        <f t="shared" si="299"/>
        <v>-0.80101947933733841</v>
      </c>
      <c r="CD130" s="566">
        <f t="shared" si="326"/>
        <v>-233.33333333333331</v>
      </c>
      <c r="CF130" s="385">
        <f>CF110-CF120</f>
        <v>-35</v>
      </c>
      <c r="CG130" s="672">
        <f t="shared" si="300"/>
        <v>-0.64995357474466109</v>
      </c>
      <c r="CH130" s="566">
        <f t="shared" si="327"/>
        <v>-20.45454545454546</v>
      </c>
      <c r="CJ130" s="385">
        <f>CJ110-CJ120</f>
        <v>10</v>
      </c>
      <c r="CK130" s="672">
        <f t="shared" si="301"/>
        <v>0.17784101013693759</v>
      </c>
      <c r="CL130" s="566"/>
      <c r="CN130" s="385">
        <f>CN110-CN120</f>
        <v>139</v>
      </c>
      <c r="CO130" s="672">
        <f t="shared" si="302"/>
        <v>2.3748505040150349</v>
      </c>
      <c r="CP130" s="566">
        <f t="shared" si="328"/>
        <v>1290</v>
      </c>
      <c r="CR130" s="385">
        <f>CR110-CR120</f>
        <v>145</v>
      </c>
      <c r="CS130" s="672">
        <f t="shared" si="303"/>
        <v>2.3868312757201648</v>
      </c>
      <c r="CT130" s="566">
        <f t="shared" si="329"/>
        <v>4.3165467625899234</v>
      </c>
      <c r="CV130" s="385">
        <f>CV110-CV120</f>
        <v>177</v>
      </c>
      <c r="CW130" s="672">
        <f t="shared" si="304"/>
        <v>2.820267686424474</v>
      </c>
      <c r="CX130" s="566">
        <f t="shared" si="330"/>
        <v>22.068965517241381</v>
      </c>
      <c r="CZ130" s="385">
        <f>CZ110-CZ120</f>
        <v>217</v>
      </c>
      <c r="DA130" s="672">
        <f t="shared" si="305"/>
        <v>3.5028248587570623</v>
      </c>
      <c r="DB130" s="566">
        <f t="shared" si="331"/>
        <v>22.598870056497166</v>
      </c>
      <c r="DD130" s="385">
        <f>DD110-DD120</f>
        <v>185.82</v>
      </c>
      <c r="DE130" s="672">
        <f t="shared" si="306"/>
        <v>3.163432073544433</v>
      </c>
      <c r="DF130" s="566">
        <f t="shared" si="332"/>
        <v>-14.368663594470055</v>
      </c>
      <c r="DH130" s="385">
        <f>DH110-DH120</f>
        <v>48.206000000000003</v>
      </c>
      <c r="DI130" s="672">
        <f t="shared" si="307"/>
        <v>0.85547471162378008</v>
      </c>
      <c r="DJ130" s="566">
        <f t="shared" si="333"/>
        <v>-74.057690237864591</v>
      </c>
      <c r="DK130" s="566"/>
      <c r="DL130" s="385">
        <f>DL110-DL120</f>
        <v>63.35</v>
      </c>
      <c r="DM130" s="672">
        <f t="shared" si="308"/>
        <v>1.19822205409495</v>
      </c>
      <c r="DN130" s="566">
        <f t="shared" si="334"/>
        <v>31.4151765340414</v>
      </c>
      <c r="DO130" s="566"/>
      <c r="DP130" s="1092">
        <f>DP110-DP120</f>
        <v>87.165826157499637</v>
      </c>
      <c r="DQ130" s="1175">
        <f t="shared" si="309"/>
        <v>1.6453913840089756</v>
      </c>
      <c r="DR130" s="1132">
        <f t="shared" si="335"/>
        <v>37.594042868981269</v>
      </c>
    </row>
    <row r="131" spans="1:139" outlineLevel="1" x14ac:dyDescent="0.2">
      <c r="A131" s="604" t="s">
        <v>82</v>
      </c>
      <c r="D131" s="607">
        <f>D111-D121</f>
        <v>41.16799999999995</v>
      </c>
      <c r="E131" s="672">
        <f t="shared" si="280"/>
        <v>1.8227995168483186</v>
      </c>
      <c r="F131" s="566"/>
      <c r="H131" s="607">
        <f>H111-H121</f>
        <v>-977.04399999999987</v>
      </c>
      <c r="I131" s="672">
        <f t="shared" si="281"/>
        <v>-45.77905222419011</v>
      </c>
      <c r="J131" s="566">
        <f t="shared" si="310"/>
        <v>-2473.3093664982539</v>
      </c>
      <c r="L131" s="607">
        <f>L111-L121</f>
        <v>105.10300000000002</v>
      </c>
      <c r="M131" s="672">
        <f t="shared" si="282"/>
        <v>4.6463852508224894</v>
      </c>
      <c r="N131" s="605">
        <f>(M131-I131)*100</f>
        <v>5042.5437475012604</v>
      </c>
      <c r="P131" s="607">
        <f>P111-P121</f>
        <v>145.9579999999998</v>
      </c>
      <c r="Q131" s="672">
        <f t="shared" si="283"/>
        <v>6.2174766479350252</v>
      </c>
      <c r="R131" s="566">
        <f t="shared" si="311"/>
        <v>38.871392824181768</v>
      </c>
      <c r="T131" s="607">
        <f>T111-T121</f>
        <v>166.51599999999993</v>
      </c>
      <c r="U131" s="672">
        <f t="shared" si="284"/>
        <v>6.5792286249943182</v>
      </c>
      <c r="V131" s="566">
        <f t="shared" si="312"/>
        <v>14.084873730799385</v>
      </c>
      <c r="X131" s="607">
        <f>X111-X121</f>
        <v>183.3344000000001</v>
      </c>
      <c r="Y131" s="672">
        <f t="shared" si="285"/>
        <v>4.092194370661371</v>
      </c>
      <c r="Z131" s="566"/>
      <c r="AB131" s="607">
        <f>AB111-AB121</f>
        <v>251.26899999999983</v>
      </c>
      <c r="AC131" s="672">
        <f t="shared" si="286"/>
        <v>5.4275623717464052</v>
      </c>
      <c r="AD131" s="566">
        <f t="shared" si="313"/>
        <v>37.055020770788083</v>
      </c>
      <c r="AF131" s="607">
        <f>AF111-AF121</f>
        <v>289.64399999999972</v>
      </c>
      <c r="AG131" s="672">
        <f t="shared" si="287"/>
        <v>5.7521547444095749</v>
      </c>
      <c r="AH131" s="566">
        <f t="shared" si="314"/>
        <v>15.272476907218913</v>
      </c>
      <c r="AJ131" s="607">
        <f>AJ111-AJ121</f>
        <v>379.08000000000004</v>
      </c>
      <c r="AK131" s="672">
        <f t="shared" si="288"/>
        <v>7.4915278622071115</v>
      </c>
      <c r="AL131" s="566">
        <f t="shared" si="315"/>
        <v>30.877905290632768</v>
      </c>
      <c r="AN131" s="607">
        <f>AN111-AN121</f>
        <v>408</v>
      </c>
      <c r="AO131" s="672">
        <f t="shared" si="289"/>
        <v>8.104886769964244</v>
      </c>
      <c r="AP131" s="566">
        <f t="shared" si="316"/>
        <v>7.6289965178854002</v>
      </c>
      <c r="AR131" s="607">
        <f>AR111-AR121</f>
        <v>448</v>
      </c>
      <c r="AS131" s="672">
        <f t="shared" si="290"/>
        <v>7.5004185501423066</v>
      </c>
      <c r="AT131" s="566">
        <f t="shared" si="317"/>
        <v>9.8039215686274606</v>
      </c>
      <c r="AV131" s="607">
        <f>AV111-AV121</f>
        <v>400</v>
      </c>
      <c r="AW131" s="672">
        <f t="shared" si="291"/>
        <v>7.1377587437544614</v>
      </c>
      <c r="AX131" s="566">
        <f t="shared" si="318"/>
        <v>-10.71428571428571</v>
      </c>
      <c r="AZ131" s="607">
        <f>AZ111-AZ121</f>
        <v>310</v>
      </c>
      <c r="BA131" s="672">
        <f t="shared" si="292"/>
        <v>6.0405300077942323</v>
      </c>
      <c r="BB131" s="566">
        <f t="shared" si="319"/>
        <v>-22.499999999999996</v>
      </c>
      <c r="BC131" s="566">
        <f>(BA131/AW131-1)*100</f>
        <v>-15.372174590802812</v>
      </c>
      <c r="BD131" s="607">
        <f>BD111-BD121</f>
        <v>341</v>
      </c>
      <c r="BE131" s="672">
        <f t="shared" si="293"/>
        <v>6.7968905720550126</v>
      </c>
      <c r="BF131" s="566">
        <f t="shared" si="320"/>
        <v>10.000000000000009</v>
      </c>
      <c r="BH131" s="607">
        <f>BH111-BH121</f>
        <v>422</v>
      </c>
      <c r="BI131" s="672">
        <f t="shared" si="294"/>
        <v>8.3514743716603999</v>
      </c>
      <c r="BJ131" s="566">
        <f t="shared" si="321"/>
        <v>23.75366568914956</v>
      </c>
      <c r="BL131" s="607">
        <f>BL111-BL121</f>
        <v>440</v>
      </c>
      <c r="BM131" s="672">
        <f t="shared" si="295"/>
        <v>8.59375</v>
      </c>
      <c r="BN131" s="566">
        <f t="shared" si="322"/>
        <v>4.2654028436019065</v>
      </c>
      <c r="BP131" s="607">
        <f>BP111-BP121</f>
        <v>668</v>
      </c>
      <c r="BQ131" s="672">
        <f t="shared" si="296"/>
        <v>6.9794169888203941</v>
      </c>
      <c r="BR131" s="566">
        <f t="shared" si="323"/>
        <v>51.818181818181806</v>
      </c>
      <c r="BT131" s="607">
        <f>BT111-BT121</f>
        <v>726</v>
      </c>
      <c r="BU131" s="672">
        <f t="shared" si="297"/>
        <v>7.9266295447101216</v>
      </c>
      <c r="BV131" s="566">
        <f t="shared" si="324"/>
        <v>8.6826347305389184</v>
      </c>
      <c r="BX131" s="607">
        <f>BX111-BX121</f>
        <v>672</v>
      </c>
      <c r="BY131" s="672">
        <f t="shared" si="298"/>
        <v>7.8194088899232019</v>
      </c>
      <c r="BZ131" s="566">
        <f t="shared" si="325"/>
        <v>-7.4380165289256173</v>
      </c>
      <c r="CB131" s="607">
        <f>CB111-CB121</f>
        <v>609</v>
      </c>
      <c r="CC131" s="672">
        <f t="shared" si="299"/>
        <v>7.6758255608772377</v>
      </c>
      <c r="CD131" s="566">
        <f t="shared" si="326"/>
        <v>-9.375</v>
      </c>
      <c r="CF131" s="607">
        <f>CF111-CF121</f>
        <v>445</v>
      </c>
      <c r="CG131" s="672">
        <f t="shared" si="300"/>
        <v>5.6066523875519723</v>
      </c>
      <c r="CH131" s="566">
        <f t="shared" si="327"/>
        <v>-26.929392446633827</v>
      </c>
      <c r="CJ131" s="607">
        <f>CJ111-CJ121</f>
        <v>667</v>
      </c>
      <c r="CK131" s="672">
        <f t="shared" si="301"/>
        <v>8.0662716168823305</v>
      </c>
      <c r="CL131" s="566"/>
      <c r="CN131" s="607">
        <f>CN111-CN121</f>
        <v>745</v>
      </c>
      <c r="CO131" s="672">
        <f t="shared" si="302"/>
        <v>8.53966070609812</v>
      </c>
      <c r="CP131" s="566">
        <f t="shared" si="328"/>
        <v>11.694152923538237</v>
      </c>
      <c r="CR131" s="607">
        <f>CR111-CR121</f>
        <v>818</v>
      </c>
      <c r="CS131" s="672">
        <f t="shared" si="303"/>
        <v>8.7486631016042793</v>
      </c>
      <c r="CT131" s="566">
        <f t="shared" si="329"/>
        <v>9.7986577181208077</v>
      </c>
      <c r="CV131" s="607">
        <f>CV111-CV121</f>
        <v>865.56</v>
      </c>
      <c r="CW131" s="672">
        <f t="shared" si="304"/>
        <v>9.4062160399913051</v>
      </c>
      <c r="CX131" s="566">
        <f t="shared" si="330"/>
        <v>5.8141809290953583</v>
      </c>
      <c r="CZ131" s="607">
        <f>CZ111-CZ121</f>
        <v>857.48</v>
      </c>
      <c r="DA131" s="672">
        <f t="shared" si="305"/>
        <v>9.1571977787270402</v>
      </c>
      <c r="DB131" s="566">
        <f t="shared" si="331"/>
        <v>-0.93349969961642465</v>
      </c>
      <c r="DD131" s="607">
        <f>DD111-DD121</f>
        <v>658.05</v>
      </c>
      <c r="DE131" s="672">
        <f t="shared" si="306"/>
        <v>7.4196639981959631</v>
      </c>
      <c r="DF131" s="566">
        <f t="shared" si="332"/>
        <v>-23.257685310444565</v>
      </c>
      <c r="DH131" s="607">
        <f>DH111-DH121</f>
        <v>632.53499999999997</v>
      </c>
      <c r="DI131" s="672">
        <f t="shared" si="307"/>
        <v>7.4128090941052385</v>
      </c>
      <c r="DJ131" s="566">
        <f t="shared" si="333"/>
        <v>-3.8773649418737177</v>
      </c>
      <c r="DK131" s="566"/>
      <c r="DL131" s="607">
        <f>DL111-DL121</f>
        <v>877.96500000000003</v>
      </c>
      <c r="DM131" s="672">
        <f t="shared" si="308"/>
        <v>10.125302733248761</v>
      </c>
      <c r="DN131" s="566">
        <f t="shared" si="334"/>
        <v>38.801014963598867</v>
      </c>
      <c r="DO131" s="566"/>
      <c r="DP131" s="1102">
        <f>DP111-DP121</f>
        <v>743.07638881774972</v>
      </c>
      <c r="DQ131" s="1175">
        <f t="shared" si="309"/>
        <v>8.7714160652657274</v>
      </c>
      <c r="DR131" s="1132">
        <f t="shared" si="335"/>
        <v>-15.363780011987982</v>
      </c>
    </row>
    <row r="132" spans="1:139" outlineLevel="1" x14ac:dyDescent="0.2">
      <c r="A132" s="604" t="s">
        <v>83</v>
      </c>
      <c r="D132" s="543">
        <f>SUM(D128:D131)</f>
        <v>-271.44599999999997</v>
      </c>
      <c r="E132" s="672">
        <f t="shared" si="280"/>
        <v>-3.8007091307834253</v>
      </c>
      <c r="F132" s="566"/>
      <c r="H132" s="543">
        <f>SUM(H128:H131)</f>
        <v>-1246.0279999999998</v>
      </c>
      <c r="I132" s="672">
        <f t="shared" si="281"/>
        <v>-17.974176910106465</v>
      </c>
      <c r="J132" s="566">
        <f t="shared" si="310"/>
        <v>359.03347258754962</v>
      </c>
      <c r="L132" s="543">
        <f>SUM(L128:L131)</f>
        <v>132.70800000000008</v>
      </c>
      <c r="M132" s="672">
        <f t="shared" si="282"/>
        <v>1.8744223998476834</v>
      </c>
      <c r="N132" s="605">
        <f>(M132-I132)*100</f>
        <v>1984.859930995415</v>
      </c>
      <c r="P132" s="543">
        <f>SUM(P128:P131)</f>
        <v>211.0349999999998</v>
      </c>
      <c r="Q132" s="672">
        <f t="shared" si="283"/>
        <v>2.919119496124575</v>
      </c>
      <c r="R132" s="566">
        <f t="shared" si="311"/>
        <v>59.022063477710219</v>
      </c>
      <c r="T132" s="543">
        <f>SUM(T128:T131)</f>
        <v>246.85299999999998</v>
      </c>
      <c r="U132" s="672">
        <f t="shared" si="284"/>
        <v>3.2027730994202126</v>
      </c>
      <c r="V132" s="566">
        <f t="shared" si="312"/>
        <v>16.972540099983526</v>
      </c>
      <c r="X132" s="543">
        <f>SUM(X128:X131)</f>
        <v>36.799950000000138</v>
      </c>
      <c r="Y132" s="672">
        <f t="shared" si="285"/>
        <v>0.26858336678465961</v>
      </c>
      <c r="Z132" s="566"/>
      <c r="AB132" s="543">
        <f>SUM(AB128:AB131)</f>
        <v>148.99099999999939</v>
      </c>
      <c r="AC132" s="672">
        <f t="shared" si="286"/>
        <v>1.0643708966559118</v>
      </c>
      <c r="AD132" s="566">
        <f t="shared" si="313"/>
        <v>304.867397917657</v>
      </c>
      <c r="AF132" s="543">
        <f>SUM(AF128:AF131)</f>
        <v>266.25299999999959</v>
      </c>
      <c r="AG132" s="672">
        <f t="shared" si="287"/>
        <v>1.7950043821209436</v>
      </c>
      <c r="AH132" s="566">
        <f t="shared" si="314"/>
        <v>78.704082796947915</v>
      </c>
      <c r="AJ132" s="543">
        <f>AJ112-AJ122</f>
        <v>575</v>
      </c>
      <c r="AK132" s="672">
        <f t="shared" si="288"/>
        <v>3.7779237844940869</v>
      </c>
      <c r="AL132" s="566">
        <f t="shared" si="315"/>
        <v>115.96000796235195</v>
      </c>
      <c r="AN132" s="543">
        <f>SUM(AN128:AN131)</f>
        <v>685.23400000000004</v>
      </c>
      <c r="AO132" s="672">
        <f t="shared" si="289"/>
        <v>4.4597071265863981</v>
      </c>
      <c r="AP132" s="566">
        <f t="shared" si="316"/>
        <v>19.171130434782626</v>
      </c>
      <c r="AR132" s="543">
        <f>AR112-AR122</f>
        <v>825</v>
      </c>
      <c r="AS132" s="672">
        <f t="shared" si="290"/>
        <v>5.1469212053153663</v>
      </c>
      <c r="AT132" s="566">
        <f t="shared" si="317"/>
        <v>20.396827944906406</v>
      </c>
      <c r="AV132" s="543">
        <f>AV112-AV122</f>
        <v>821</v>
      </c>
      <c r="AW132" s="672">
        <f t="shared" si="291"/>
        <v>4.9344873181872817</v>
      </c>
      <c r="AX132" s="566">
        <f t="shared" si="318"/>
        <v>-0.48484848484848797</v>
      </c>
      <c r="AZ132" s="543">
        <f>AZ112-AZ122</f>
        <v>474</v>
      </c>
      <c r="BA132" s="672">
        <f t="shared" si="292"/>
        <v>3.0028508077288567</v>
      </c>
      <c r="BB132" s="566">
        <f t="shared" si="319"/>
        <v>-42.265529841656516</v>
      </c>
      <c r="BC132" s="566">
        <f>(BA132/AW132-1)*100</f>
        <v>-39.145637345928478</v>
      </c>
      <c r="BD132" s="543">
        <f>BD112-BD122</f>
        <v>638</v>
      </c>
      <c r="BE132" s="672">
        <f t="shared" si="293"/>
        <v>4.097360477811316</v>
      </c>
      <c r="BF132" s="566">
        <f t="shared" si="320"/>
        <v>34.599156118143462</v>
      </c>
      <c r="BH132" s="543">
        <f>BH112-BH122</f>
        <v>655</v>
      </c>
      <c r="BI132" s="672">
        <f t="shared" si="294"/>
        <v>4.24993511549442</v>
      </c>
      <c r="BJ132" s="566">
        <f t="shared" si="321"/>
        <v>2.6645768025078453</v>
      </c>
      <c r="BL132" s="543">
        <f>BL112-BL122</f>
        <v>689</v>
      </c>
      <c r="BM132" s="672">
        <f t="shared" si="295"/>
        <v>4.3673935091277896</v>
      </c>
      <c r="BN132" s="566">
        <f t="shared" si="322"/>
        <v>5.1908396946564794</v>
      </c>
      <c r="BP132" s="543">
        <f>BP112-BP122</f>
        <v>1278.5914100719424</v>
      </c>
      <c r="BQ132" s="672">
        <f t="shared" si="296"/>
        <v>5.7105467176058164</v>
      </c>
      <c r="BR132" s="566">
        <f t="shared" si="323"/>
        <v>85.572047905942284</v>
      </c>
      <c r="BT132" s="543">
        <f>SUM(BT128:BT131)</f>
        <v>863.25</v>
      </c>
      <c r="BU132" s="672">
        <f t="shared" si="297"/>
        <v>3.2007786429365961</v>
      </c>
      <c r="BV132" s="566">
        <f t="shared" si="324"/>
        <v>-32.484295358168602</v>
      </c>
      <c r="BX132" s="543">
        <f>BX112-BX122</f>
        <v>831</v>
      </c>
      <c r="BY132" s="672">
        <f t="shared" si="298"/>
        <v>3.1581347622848019</v>
      </c>
      <c r="BZ132" s="566">
        <f t="shared" si="325"/>
        <v>-3.7358818418766315</v>
      </c>
      <c r="CB132" s="543">
        <f>SUM(CB128:CB131)</f>
        <v>579</v>
      </c>
      <c r="CC132" s="672">
        <f t="shared" si="299"/>
        <v>2.3260485296480797</v>
      </c>
      <c r="CD132" s="566">
        <f t="shared" si="326"/>
        <v>-30.324909747292416</v>
      </c>
      <c r="CF132" s="543">
        <f>SUM(CF128:CF131)</f>
        <v>329</v>
      </c>
      <c r="CG132" s="672">
        <f t="shared" si="300"/>
        <v>1.3768570830717723</v>
      </c>
      <c r="CH132" s="566">
        <f t="shared" si="327"/>
        <v>-43.177892918825563</v>
      </c>
      <c r="CJ132" s="543">
        <f>SUM(CJ128:CJ131)</f>
        <v>847</v>
      </c>
      <c r="CK132" s="672">
        <f t="shared" si="301"/>
        <v>3.3875934887813464</v>
      </c>
      <c r="CL132" s="566"/>
      <c r="CN132" s="543">
        <f>CN112-CN122</f>
        <v>1256</v>
      </c>
      <c r="CO132" s="672">
        <f t="shared" si="302"/>
        <v>4.7566748721832992</v>
      </c>
      <c r="CP132" s="566">
        <f t="shared" si="328"/>
        <v>48.288075560802838</v>
      </c>
      <c r="CR132" s="543">
        <f>CR112-CR122</f>
        <v>1427</v>
      </c>
      <c r="CS132" s="672">
        <f t="shared" si="303"/>
        <v>5.1542295745141953</v>
      </c>
      <c r="CT132" s="566">
        <f t="shared" si="329"/>
        <v>13.614649681528658</v>
      </c>
      <c r="CV132" s="543">
        <f>CV112-CV122</f>
        <v>1540.56</v>
      </c>
      <c r="CW132" s="672">
        <f t="shared" si="304"/>
        <v>5.5155919945580179</v>
      </c>
      <c r="CX132" s="566">
        <f t="shared" si="330"/>
        <v>7.9579537491240249</v>
      </c>
      <c r="CZ132" s="543">
        <f>CZ112-CZ122</f>
        <v>1590.48</v>
      </c>
      <c r="DA132" s="672">
        <f t="shared" si="305"/>
        <v>5.6590642234477855</v>
      </c>
      <c r="DB132" s="566">
        <f t="shared" si="331"/>
        <v>3.2403801215142636</v>
      </c>
      <c r="DD132" s="543">
        <f>DD112-DD122</f>
        <v>1253.8699999999999</v>
      </c>
      <c r="DE132" s="672">
        <f t="shared" si="306"/>
        <v>4.6304147125078474</v>
      </c>
      <c r="DF132" s="566">
        <f t="shared" si="332"/>
        <v>-21.164051104069216</v>
      </c>
      <c r="DH132" s="543">
        <f>DH112-DH122</f>
        <v>977.29099999999994</v>
      </c>
      <c r="DI132" s="672">
        <f t="shared" si="307"/>
        <v>3.7718680046314166</v>
      </c>
      <c r="DJ132" s="566">
        <f t="shared" si="333"/>
        <v>-22.058028344246218</v>
      </c>
      <c r="DK132" s="566"/>
      <c r="DL132" s="543">
        <f>DL112-DL122</f>
        <v>1162.4000000000001</v>
      </c>
      <c r="DM132" s="672">
        <f t="shared" si="308"/>
        <v>4.659851673682101</v>
      </c>
      <c r="DN132" s="566">
        <f t="shared" si="334"/>
        <v>18.941031893264149</v>
      </c>
      <c r="DO132" s="566"/>
      <c r="DP132" s="1117">
        <f>DP112-DP122</f>
        <v>1092.7135825635009</v>
      </c>
      <c r="DQ132" s="1175">
        <f t="shared" si="309"/>
        <v>4.4500180147273571</v>
      </c>
      <c r="DR132" s="1132">
        <f t="shared" si="335"/>
        <v>-5.9950462350739091</v>
      </c>
      <c r="DS132" s="543"/>
      <c r="DU132" s="290"/>
    </row>
    <row r="133" spans="1:139" outlineLevel="1" x14ac:dyDescent="0.2">
      <c r="A133" s="604" t="s">
        <v>413</v>
      </c>
      <c r="D133" s="385">
        <f>D128+D129</f>
        <v>-225.8119999999999</v>
      </c>
      <c r="E133" s="672">
        <f t="shared" si="280"/>
        <v>-7.2465014543578068</v>
      </c>
      <c r="F133" s="605"/>
      <c r="H133" s="385">
        <f>H128+H129</f>
        <v>-207.989</v>
      </c>
      <c r="I133" s="672">
        <f t="shared" si="281"/>
        <v>-6.732861533321981</v>
      </c>
      <c r="J133" s="566">
        <f t="shared" si="310"/>
        <v>-7.892848918569384</v>
      </c>
      <c r="L133" s="385">
        <f>L128+L129</f>
        <v>-3.9769999999998706</v>
      </c>
      <c r="M133" s="672">
        <f t="shared" si="282"/>
        <v>-0.13130014546352123</v>
      </c>
      <c r="N133" s="566">
        <f>(L133/H133-1)*100</f>
        <v>-98.087879647481429</v>
      </c>
      <c r="P133" s="385">
        <f>P128+P129</f>
        <v>30.553000000000043</v>
      </c>
      <c r="Q133" s="672">
        <f t="shared" si="283"/>
        <v>0.98795588231965581</v>
      </c>
      <c r="R133" s="566">
        <f t="shared" si="311"/>
        <v>-868.24239376416995</v>
      </c>
      <c r="T133" s="385">
        <f>T128+T129</f>
        <v>35.994000000000028</v>
      </c>
      <c r="U133" s="672">
        <f t="shared" si="284"/>
        <v>1.1075993674553379</v>
      </c>
      <c r="V133" s="566">
        <f t="shared" si="312"/>
        <v>17.808398520603475</v>
      </c>
      <c r="X133" s="385">
        <f>X128+X129</f>
        <v>-95.275049999999993</v>
      </c>
      <c r="Y133" s="672">
        <f t="shared" si="285"/>
        <v>-1.6234162009269355</v>
      </c>
      <c r="Z133" s="566">
        <f>(X133/T133-1)*100</f>
        <v>-364.69703283880625</v>
      </c>
      <c r="AB133" s="385">
        <f>AB128+AB129</f>
        <v>-124.17400000000019</v>
      </c>
      <c r="AC133" s="672">
        <f t="shared" si="286"/>
        <v>-2.0575621631527823</v>
      </c>
      <c r="AD133" s="566">
        <f t="shared" si="313"/>
        <v>30.332127876081081</v>
      </c>
      <c r="AF133" s="385">
        <f>AF128+AF129</f>
        <v>-65.144000000000361</v>
      </c>
      <c r="AG133" s="672">
        <f t="shared" si="287"/>
        <v>-0.98929368707194287</v>
      </c>
      <c r="AH133" s="566">
        <f t="shared" si="314"/>
        <v>-47.538131976097844</v>
      </c>
      <c r="AJ133" s="385">
        <f>AJ128+AJ129</f>
        <v>89.909000000000546</v>
      </c>
      <c r="AK133" s="672">
        <f t="shared" si="288"/>
        <v>1.3103594018713463</v>
      </c>
      <c r="AL133" s="566">
        <f t="shared" si="315"/>
        <v>-238.01578042490493</v>
      </c>
      <c r="AN133" s="385">
        <f>AN128+AN129</f>
        <v>167.23400000000001</v>
      </c>
      <c r="AO133" s="672">
        <f t="shared" si="289"/>
        <v>2.4654872475305916</v>
      </c>
      <c r="AP133" s="566">
        <f t="shared" si="316"/>
        <v>86.003625888397139</v>
      </c>
      <c r="AR133" s="385">
        <f>AR128+AR129</f>
        <v>224</v>
      </c>
      <c r="AS133" s="672">
        <f t="shared" si="290"/>
        <v>2.9450433867998949</v>
      </c>
      <c r="AT133" s="566">
        <f t="shared" si="317"/>
        <v>33.944054438690685</v>
      </c>
      <c r="AV133" s="385">
        <f>AV128+AV129</f>
        <v>312</v>
      </c>
      <c r="AW133" s="672">
        <f t="shared" si="291"/>
        <v>4.3022614451185879</v>
      </c>
      <c r="AX133" s="566">
        <f t="shared" si="318"/>
        <v>39.285714285714278</v>
      </c>
      <c r="AZ133" s="385">
        <f>AZ128+AZ129</f>
        <v>138</v>
      </c>
      <c r="BA133" s="672">
        <f t="shared" si="292"/>
        <v>1.9591141396933562</v>
      </c>
      <c r="BB133" s="566">
        <f t="shared" si="319"/>
        <v>-55.769230769230774</v>
      </c>
      <c r="BD133" s="385">
        <f>BD128+BD129</f>
        <v>222</v>
      </c>
      <c r="BE133" s="672">
        <f t="shared" si="293"/>
        <v>3.1993082576740162</v>
      </c>
      <c r="BF133" s="566">
        <f t="shared" si="320"/>
        <v>60.869565217391312</v>
      </c>
      <c r="BH133" s="385">
        <f>BH128+BH129</f>
        <v>166</v>
      </c>
      <c r="BI133" s="672">
        <f t="shared" si="294"/>
        <v>2.4684014869888475</v>
      </c>
      <c r="BJ133" s="566">
        <f t="shared" si="321"/>
        <v>-25.225225225225223</v>
      </c>
      <c r="BL133" s="385">
        <f>BL128+BL129</f>
        <v>175</v>
      </c>
      <c r="BM133" s="672">
        <f t="shared" si="295"/>
        <v>2.4540737624456597</v>
      </c>
      <c r="BN133" s="566">
        <f t="shared" si="322"/>
        <v>5.4216867469879526</v>
      </c>
      <c r="BP133" s="385">
        <f>BP128+BP129</f>
        <v>271.35399999999998</v>
      </c>
      <c r="BQ133" s="672">
        <f t="shared" si="296"/>
        <v>3.7356002202643173</v>
      </c>
      <c r="BR133" s="566">
        <f t="shared" si="323"/>
        <v>55.059428571428562</v>
      </c>
      <c r="BT133" s="385">
        <f>BT128+BT129</f>
        <v>117.25</v>
      </c>
      <c r="BU133" s="672">
        <f t="shared" si="297"/>
        <v>0.98322851153039825</v>
      </c>
      <c r="BV133" s="566">
        <f t="shared" si="324"/>
        <v>-56.790760408912334</v>
      </c>
      <c r="BX133" s="385">
        <f>BX128+BX129</f>
        <v>126</v>
      </c>
      <c r="BY133" s="672">
        <f t="shared" si="298"/>
        <v>1.0666215186658767</v>
      </c>
      <c r="BZ133" s="566">
        <f t="shared" si="325"/>
        <v>7.4626865671641784</v>
      </c>
      <c r="CB133" s="385">
        <f>CB128+CB129</f>
        <v>14</v>
      </c>
      <c r="CC133" s="672">
        <f t="shared" si="299"/>
        <v>0.12211077191452246</v>
      </c>
      <c r="CD133" s="566">
        <f t="shared" si="326"/>
        <v>-88.888888888888886</v>
      </c>
      <c r="CF133" s="385">
        <f>CF128+CF129</f>
        <v>-81</v>
      </c>
      <c r="CG133" s="672">
        <f t="shared" si="300"/>
        <v>-0.76610233613922252</v>
      </c>
      <c r="CH133" s="566">
        <f t="shared" si="327"/>
        <v>-678.57142857142856</v>
      </c>
      <c r="CJ133" s="385">
        <f>CJ128+CJ129</f>
        <v>170</v>
      </c>
      <c r="CK133" s="672">
        <f t="shared" si="301"/>
        <v>1.5300153001530017</v>
      </c>
      <c r="CL133" s="566"/>
      <c r="CN133" s="385">
        <f>CN128+CN129</f>
        <v>372</v>
      </c>
      <c r="CO133" s="672">
        <f t="shared" si="302"/>
        <v>3.1450794724382822</v>
      </c>
      <c r="CP133" s="566">
        <f t="shared" si="328"/>
        <v>118.82352941176472</v>
      </c>
      <c r="CR133" s="385">
        <f>CR128+CR129</f>
        <v>460</v>
      </c>
      <c r="CS133" s="672">
        <f t="shared" si="303"/>
        <v>3.751733137590735</v>
      </c>
      <c r="CT133" s="566">
        <f t="shared" si="329"/>
        <v>23.655913978494624</v>
      </c>
      <c r="CV133" s="385">
        <f>CV128+CV129</f>
        <v>498</v>
      </c>
      <c r="CW133" s="672">
        <f t="shared" si="304"/>
        <v>3.9990363767766803</v>
      </c>
      <c r="CX133" s="566">
        <f t="shared" si="330"/>
        <v>8.2608695652173871</v>
      </c>
      <c r="CZ133" s="385">
        <f>CZ128+CZ129</f>
        <v>516</v>
      </c>
      <c r="DA133" s="672">
        <f t="shared" si="305"/>
        <v>4.1128646580583457</v>
      </c>
      <c r="DB133" s="566">
        <f t="shared" si="331"/>
        <v>3.6144578313253017</v>
      </c>
      <c r="DD133" s="385">
        <f>DD128+DD129</f>
        <v>410</v>
      </c>
      <c r="DE133" s="672">
        <f t="shared" si="306"/>
        <v>3.3236057068741895</v>
      </c>
      <c r="DF133" s="566">
        <f t="shared" si="332"/>
        <v>-20.542635658914733</v>
      </c>
      <c r="DH133" s="385">
        <f>DH128+DH129</f>
        <v>296.55</v>
      </c>
      <c r="DI133" s="672">
        <f t="shared" si="307"/>
        <v>2.5255493101686257</v>
      </c>
      <c r="DJ133" s="566">
        <f t="shared" si="333"/>
        <v>-27.670731707317074</v>
      </c>
      <c r="DK133" s="566"/>
      <c r="DL133" s="385">
        <f>DL128+DL129</f>
        <v>221.08500000000004</v>
      </c>
      <c r="DM133" s="672">
        <f t="shared" si="308"/>
        <v>2.0122417402384638</v>
      </c>
      <c r="DN133" s="566">
        <f t="shared" si="334"/>
        <v>-25.447647951441567</v>
      </c>
      <c r="DO133" s="566"/>
      <c r="DP133" s="1092">
        <f>DP128+DP129</f>
        <v>262.47136758825013</v>
      </c>
      <c r="DQ133" s="1175">
        <f t="shared" si="309"/>
        <v>2.4334176075741238</v>
      </c>
      <c r="DR133" s="1132">
        <f t="shared" si="335"/>
        <v>18.719663291607347</v>
      </c>
    </row>
    <row r="134" spans="1:139" outlineLevel="1" x14ac:dyDescent="0.2">
      <c r="A134" s="604" t="s">
        <v>414</v>
      </c>
      <c r="D134" s="385">
        <f>D130+D131</f>
        <v>-45.634000000000086</v>
      </c>
      <c r="E134" s="672">
        <f t="shared" si="280"/>
        <v>-1.1335299469848605</v>
      </c>
      <c r="F134" s="605"/>
      <c r="H134" s="385">
        <f>H130+H131</f>
        <v>-1038.0389999999998</v>
      </c>
      <c r="I134" s="672">
        <f t="shared" si="281"/>
        <v>-27.010031585978307</v>
      </c>
      <c r="J134" s="566">
        <f t="shared" si="310"/>
        <v>2174.7052636192266</v>
      </c>
      <c r="L134" s="385">
        <f>L130+L131</f>
        <v>136.68499999999995</v>
      </c>
      <c r="M134" s="672">
        <f t="shared" si="282"/>
        <v>3.3741026605016078</v>
      </c>
      <c r="N134" s="566">
        <f>(L134/H134-1)*100</f>
        <v>-113.16761701631634</v>
      </c>
      <c r="P134" s="385">
        <f>P130+P131</f>
        <v>180.48199999999974</v>
      </c>
      <c r="Q134" s="672">
        <f t="shared" si="283"/>
        <v>4.3627786202043568</v>
      </c>
      <c r="R134" s="566">
        <f t="shared" si="311"/>
        <v>32.042287010278983</v>
      </c>
      <c r="T134" s="385">
        <f>T130+T131</f>
        <v>210.85899999999995</v>
      </c>
      <c r="U134" s="672">
        <f t="shared" si="284"/>
        <v>4.7301708082963891</v>
      </c>
      <c r="V134" s="566">
        <f t="shared" si="312"/>
        <v>16.83104132268052</v>
      </c>
      <c r="X134" s="385">
        <f>X130+X131</f>
        <v>132.07500000000013</v>
      </c>
      <c r="Y134" s="672">
        <f t="shared" si="285"/>
        <v>1.6862001608640713</v>
      </c>
      <c r="Z134" s="566">
        <f>(X134/T134-1)*100</f>
        <v>-37.363356555802618</v>
      </c>
      <c r="AB134" s="385">
        <f>AB130+AB131</f>
        <v>273.16499999999957</v>
      </c>
      <c r="AC134" s="672">
        <f t="shared" si="286"/>
        <v>3.4304161683218939</v>
      </c>
      <c r="AD134" s="566">
        <f t="shared" si="313"/>
        <v>106.82566723452531</v>
      </c>
      <c r="AF134" s="385">
        <f>AF130+AF131</f>
        <v>331.39699999999993</v>
      </c>
      <c r="AG134" s="672">
        <f t="shared" si="287"/>
        <v>3.8336167505350218</v>
      </c>
      <c r="AH134" s="566">
        <f t="shared" si="314"/>
        <v>21.317518715794659</v>
      </c>
      <c r="AJ134" s="385">
        <f>AJ130+AJ131</f>
        <v>484.01800000000014</v>
      </c>
      <c r="AK134" s="672">
        <f t="shared" si="288"/>
        <v>5.4963221433587384</v>
      </c>
      <c r="AL134" s="566">
        <f t="shared" si="315"/>
        <v>46.05382667917943</v>
      </c>
      <c r="AN134" s="385">
        <f>AN130+AN131</f>
        <v>518</v>
      </c>
      <c r="AO134" s="672">
        <f t="shared" si="289"/>
        <v>6.0358890701468191</v>
      </c>
      <c r="AP134" s="566">
        <f t="shared" si="316"/>
        <v>7.0208132755393171</v>
      </c>
      <c r="AR134" s="385">
        <f>AR130+AR131</f>
        <v>571</v>
      </c>
      <c r="AS134" s="672">
        <f t="shared" si="290"/>
        <v>5.6478733926805145</v>
      </c>
      <c r="AT134" s="566">
        <f t="shared" si="317"/>
        <v>10.231660231660221</v>
      </c>
      <c r="AV134" s="385">
        <f>AV130+AV131</f>
        <v>509</v>
      </c>
      <c r="AW134" s="672">
        <f t="shared" si="291"/>
        <v>5.4229703814191348</v>
      </c>
      <c r="AX134" s="566">
        <f t="shared" si="318"/>
        <v>-10.858143607705784</v>
      </c>
      <c r="AZ134" s="385">
        <f>AZ130+AZ131</f>
        <v>336</v>
      </c>
      <c r="BA134" s="672">
        <f t="shared" si="292"/>
        <v>3.9037992331822937</v>
      </c>
      <c r="BB134" s="566">
        <f t="shared" si="319"/>
        <v>-33.988212180746558</v>
      </c>
      <c r="BD134" s="385">
        <f>BD130+BD131</f>
        <v>416</v>
      </c>
      <c r="BE134" s="672">
        <f t="shared" si="293"/>
        <v>4.8964218455743875</v>
      </c>
      <c r="BF134" s="566">
        <f t="shared" si="320"/>
        <v>23.809523809523814</v>
      </c>
      <c r="BH134" s="385">
        <f>BH130+BH131</f>
        <v>489</v>
      </c>
      <c r="BI134" s="672">
        <f t="shared" si="294"/>
        <v>5.7266658859351214</v>
      </c>
      <c r="BJ134" s="566">
        <f t="shared" si="321"/>
        <v>17.548076923076916</v>
      </c>
      <c r="BL134" s="385">
        <f>BL130+BL131</f>
        <v>514</v>
      </c>
      <c r="BM134" s="672">
        <f t="shared" si="295"/>
        <v>5.9456333140543665</v>
      </c>
      <c r="BN134" s="566">
        <f t="shared" si="322"/>
        <v>5.112474437627812</v>
      </c>
      <c r="BP134" s="385">
        <f>BP130+BP131</f>
        <v>1007.2374100719425</v>
      </c>
      <c r="BQ134" s="672">
        <f t="shared" si="296"/>
        <v>6.6589806298554972</v>
      </c>
      <c r="BR134" s="566">
        <f t="shared" si="323"/>
        <v>95.96058561710943</v>
      </c>
      <c r="BT134" s="385">
        <f>BT130+BT131</f>
        <v>746</v>
      </c>
      <c r="BU134" s="672">
        <f t="shared" si="297"/>
        <v>4.958457959454968</v>
      </c>
      <c r="BV134" s="566">
        <f t="shared" si="324"/>
        <v>-25.936031312943729</v>
      </c>
      <c r="BX134" s="385">
        <f>BX130+BX131</f>
        <v>705</v>
      </c>
      <c r="BY134" s="672">
        <f t="shared" si="298"/>
        <v>4.8620689655172411</v>
      </c>
      <c r="BZ134" s="566">
        <f t="shared" si="325"/>
        <v>-5.4959785522788245</v>
      </c>
      <c r="CB134" s="385">
        <f>CB130+CB131</f>
        <v>565</v>
      </c>
      <c r="CC134" s="672">
        <f t="shared" si="299"/>
        <v>4.2079392269308107</v>
      </c>
      <c r="CD134" s="566">
        <f t="shared" si="326"/>
        <v>-19.858156028368789</v>
      </c>
      <c r="CF134" s="385">
        <f>CF130+CF131</f>
        <v>410</v>
      </c>
      <c r="CG134" s="672">
        <f t="shared" si="300"/>
        <v>3.077615973577541</v>
      </c>
      <c r="CH134" s="566">
        <f t="shared" si="327"/>
        <v>-27.43362831858407</v>
      </c>
      <c r="CJ134" s="385">
        <f>CJ130+CJ131</f>
        <v>677</v>
      </c>
      <c r="CK134" s="672">
        <f t="shared" si="301"/>
        <v>4.8733083789231211</v>
      </c>
      <c r="CL134" s="566"/>
      <c r="CN134" s="385">
        <f>CN130+CN131</f>
        <v>884</v>
      </c>
      <c r="CO134" s="672">
        <f t="shared" si="302"/>
        <v>6.0643479453934281</v>
      </c>
      <c r="CP134" s="566">
        <f t="shared" si="328"/>
        <v>30.57607090103398</v>
      </c>
      <c r="CR134" s="385">
        <f>CR130+CR131</f>
        <v>963</v>
      </c>
      <c r="CS134" s="672">
        <f t="shared" si="303"/>
        <v>6.2431118314424632</v>
      </c>
      <c r="CT134" s="566">
        <f t="shared" si="329"/>
        <v>8.9366515837103968</v>
      </c>
      <c r="CV134" s="385">
        <f>CV130+CV131</f>
        <v>1042.56</v>
      </c>
      <c r="CW134" s="672">
        <f t="shared" si="304"/>
        <v>6.7357539733815734</v>
      </c>
      <c r="CX134" s="566">
        <f t="shared" si="330"/>
        <v>8.2616822429906414</v>
      </c>
      <c r="CZ134" s="385">
        <f>CZ130+CZ131</f>
        <v>1074.48</v>
      </c>
      <c r="DA134" s="672">
        <f t="shared" si="305"/>
        <v>6.9058422777813488</v>
      </c>
      <c r="DB134" s="566">
        <f t="shared" si="331"/>
        <v>3.0616942909760692</v>
      </c>
      <c r="DD134" s="385">
        <f>DD130+DD131</f>
        <v>843.86999999999989</v>
      </c>
      <c r="DE134" s="672">
        <f t="shared" si="306"/>
        <v>5.7238689547581902</v>
      </c>
      <c r="DF134" s="566">
        <f t="shared" si="332"/>
        <v>-21.462474871565796</v>
      </c>
      <c r="DH134" s="385">
        <f>DH130+DH131</f>
        <v>680.74099999999999</v>
      </c>
      <c r="DI134" s="672">
        <f t="shared" si="307"/>
        <v>4.8047783738001133</v>
      </c>
      <c r="DJ134" s="566">
        <f t="shared" si="333"/>
        <v>-19.331058101366317</v>
      </c>
      <c r="DK134" s="566"/>
      <c r="DL134" s="385">
        <f>DL130+DL131</f>
        <v>941.31500000000005</v>
      </c>
      <c r="DM134" s="672">
        <f t="shared" si="308"/>
        <v>6.7439103023355793</v>
      </c>
      <c r="DN134" s="566">
        <f t="shared" si="334"/>
        <v>38.277994126988091</v>
      </c>
      <c r="DO134" s="566"/>
      <c r="DP134" s="1092">
        <f>DP130+DP131</f>
        <v>830.24221497524934</v>
      </c>
      <c r="DQ134" s="1175">
        <f t="shared" si="309"/>
        <v>6.0297313752197716</v>
      </c>
      <c r="DR134" s="1132">
        <f t="shared" si="335"/>
        <v>-11.799746633672115</v>
      </c>
    </row>
    <row r="135" spans="1:139" x14ac:dyDescent="0.2">
      <c r="W135" s="261"/>
      <c r="X135" s="261"/>
    </row>
    <row r="136" spans="1:139" s="627" customFormat="1" x14ac:dyDescent="0.2">
      <c r="A136" s="626"/>
      <c r="B136" s="626"/>
      <c r="D136" s="628"/>
      <c r="H136" s="628"/>
      <c r="L136" s="628"/>
      <c r="P136" s="628"/>
      <c r="T136" s="628"/>
      <c r="X136" s="628"/>
      <c r="AB136" s="628"/>
      <c r="AF136" s="628"/>
      <c r="AJ136" s="629"/>
      <c r="AN136" s="629"/>
      <c r="AR136" s="629"/>
      <c r="AV136" s="629"/>
      <c r="AZ136" s="629"/>
      <c r="BD136" s="629"/>
      <c r="BH136" s="629"/>
      <c r="BL136" s="629"/>
      <c r="BP136" s="629"/>
      <c r="BT136" s="629"/>
      <c r="BX136" s="629"/>
      <c r="CB136" s="629"/>
      <c r="CF136" s="629"/>
      <c r="CJ136" s="629"/>
      <c r="CL136" s="626"/>
      <c r="CN136" s="1510" t="s">
        <v>640</v>
      </c>
      <c r="CO136" s="1510"/>
      <c r="CP136" s="1510"/>
      <c r="CQ136" s="1510"/>
      <c r="CR136" s="1510"/>
      <c r="CS136" s="1510"/>
      <c r="CT136" s="1510"/>
      <c r="CU136" s="1510"/>
      <c r="CV136" s="1510"/>
      <c r="CW136" s="1510"/>
      <c r="CX136" s="1510"/>
      <c r="CZ136" s="631"/>
      <c r="DA136" s="631" t="s">
        <v>640</v>
      </c>
      <c r="DB136" s="631"/>
      <c r="DC136" s="631"/>
      <c r="DD136" s="631"/>
      <c r="DE136" s="631"/>
      <c r="DF136" s="631"/>
      <c r="DG136" s="631"/>
      <c r="DH136" s="631"/>
      <c r="DI136" s="631"/>
      <c r="DJ136" s="631"/>
      <c r="DK136" s="632"/>
      <c r="DL136" s="631"/>
      <c r="DM136" s="631"/>
      <c r="DN136" s="631"/>
      <c r="DO136" s="1087"/>
      <c r="DP136" s="1129"/>
      <c r="DQ136" s="1129"/>
      <c r="DR136" s="1129"/>
      <c r="EI136" s="600"/>
    </row>
    <row r="137" spans="1:139" outlineLevel="1" x14ac:dyDescent="0.2">
      <c r="D137" s="353"/>
      <c r="H137" s="353"/>
      <c r="L137" s="353"/>
      <c r="P137" s="353"/>
      <c r="T137" s="353"/>
      <c r="X137" s="353"/>
      <c r="AB137" s="353"/>
      <c r="AF137" s="353"/>
      <c r="AJ137" s="385"/>
      <c r="AN137" s="385"/>
      <c r="AR137" s="385"/>
      <c r="AV137" s="385"/>
      <c r="AZ137" s="385"/>
      <c r="BD137" s="385"/>
      <c r="BH137" s="385"/>
      <c r="BL137" s="385"/>
      <c r="BP137" s="385"/>
      <c r="BT137" s="385"/>
      <c r="BX137" s="385"/>
      <c r="CB137" s="385"/>
      <c r="CF137" s="385"/>
      <c r="CJ137" s="385"/>
      <c r="CN137" s="385"/>
    </row>
    <row r="138" spans="1:139" outlineLevel="1" x14ac:dyDescent="0.2">
      <c r="A138" s="604" t="s">
        <v>79</v>
      </c>
      <c r="D138" s="610">
        <v>0</v>
      </c>
      <c r="E138" s="664"/>
      <c r="F138" s="665"/>
      <c r="G138" s="666"/>
      <c r="H138" s="610">
        <v>0</v>
      </c>
      <c r="I138" s="664"/>
      <c r="J138" s="665"/>
      <c r="K138" s="488"/>
      <c r="L138" s="610">
        <v>0</v>
      </c>
      <c r="M138" s="664">
        <f>L138/L10*100</f>
        <v>0</v>
      </c>
      <c r="N138" s="665"/>
      <c r="O138" s="488"/>
      <c r="P138" s="610">
        <v>-3.5449999999999999</v>
      </c>
      <c r="Q138" s="664"/>
      <c r="R138" s="665"/>
      <c r="S138" s="488"/>
      <c r="T138" s="610">
        <v>0</v>
      </c>
      <c r="U138" s="664"/>
      <c r="V138" s="665"/>
      <c r="W138" s="488"/>
      <c r="X138" s="610">
        <v>0</v>
      </c>
      <c r="Y138" s="664"/>
      <c r="Z138" s="665"/>
      <c r="AA138" s="488"/>
      <c r="AB138" s="610">
        <v>0</v>
      </c>
      <c r="AC138" s="664"/>
      <c r="AD138" s="665"/>
      <c r="AE138" s="488"/>
      <c r="AF138" s="610">
        <v>0</v>
      </c>
      <c r="AG138" s="664"/>
      <c r="AH138" s="665"/>
      <c r="AI138" s="488"/>
      <c r="AJ138" s="610">
        <v>0</v>
      </c>
      <c r="AK138" s="664"/>
      <c r="AL138" s="665"/>
      <c r="AM138" s="488"/>
      <c r="AN138" s="610">
        <v>0</v>
      </c>
      <c r="AO138" s="664"/>
      <c r="AP138" s="665"/>
      <c r="AQ138" s="488"/>
      <c r="AR138" s="610">
        <v>0</v>
      </c>
      <c r="AS138" s="664"/>
      <c r="AT138" s="665"/>
      <c r="AU138" s="488"/>
      <c r="AV138" s="610">
        <v>29</v>
      </c>
      <c r="AW138" s="664"/>
      <c r="AX138" s="665"/>
      <c r="AY138" s="488"/>
      <c r="AZ138" s="610">
        <v>0</v>
      </c>
      <c r="BA138" s="664"/>
      <c r="BB138" s="665"/>
      <c r="BC138" s="488"/>
      <c r="BD138" s="610">
        <v>0</v>
      </c>
      <c r="BE138" s="664"/>
      <c r="BF138" s="665"/>
      <c r="BG138" s="488"/>
      <c r="BH138" s="610">
        <v>0</v>
      </c>
      <c r="BI138" s="664"/>
      <c r="BJ138" s="665"/>
      <c r="BK138" s="488"/>
      <c r="BL138" s="610">
        <v>0</v>
      </c>
      <c r="BM138" s="664"/>
      <c r="BN138" s="665"/>
      <c r="BO138" s="488"/>
      <c r="BP138" s="610">
        <v>0</v>
      </c>
      <c r="BQ138" s="664"/>
      <c r="BR138" s="665"/>
      <c r="BS138" s="488"/>
      <c r="BT138" s="610">
        <v>-22</v>
      </c>
      <c r="BU138" s="664"/>
      <c r="BV138" s="665"/>
      <c r="BW138" s="488"/>
      <c r="BX138" s="610">
        <v>16</v>
      </c>
      <c r="BY138" s="664"/>
      <c r="BZ138" s="665"/>
      <c r="CA138" s="488"/>
      <c r="CB138" s="610">
        <v>0</v>
      </c>
      <c r="CC138" s="664"/>
      <c r="CD138" s="665"/>
      <c r="CE138" s="488"/>
      <c r="CF138" s="610">
        <v>0</v>
      </c>
      <c r="CG138" s="664"/>
      <c r="CH138" s="665"/>
      <c r="CI138" s="488"/>
      <c r="CJ138" s="1000">
        <v>-17</v>
      </c>
      <c r="CK138" s="664"/>
      <c r="CL138" s="665"/>
      <c r="CM138" s="488"/>
      <c r="CN138" s="1000">
        <v>0</v>
      </c>
      <c r="CO138" s="664"/>
      <c r="CP138" s="665"/>
      <c r="CQ138" s="488"/>
      <c r="CR138" s="1000">
        <v>0</v>
      </c>
      <c r="CS138" s="664"/>
      <c r="CT138" s="665"/>
      <c r="CU138" s="488"/>
      <c r="CV138" s="1000">
        <v>0</v>
      </c>
      <c r="CW138" s="664"/>
      <c r="CX138" s="665"/>
      <c r="CY138" s="488"/>
      <c r="CZ138" s="1000">
        <v>0</v>
      </c>
      <c r="DA138" s="664"/>
      <c r="DB138" s="665"/>
      <c r="DD138" s="1000">
        <v>0</v>
      </c>
      <c r="DE138" s="664"/>
      <c r="DF138" s="665"/>
      <c r="DH138" s="1000">
        <f>-1*4</f>
        <v>-4</v>
      </c>
      <c r="DI138" s="664"/>
      <c r="DJ138" s="665"/>
      <c r="DK138" s="665"/>
      <c r="DL138" s="1000">
        <f>(3*(1+0.3168))-1</f>
        <v>2.9504000000000001</v>
      </c>
      <c r="DM138" s="664"/>
      <c r="DN138" s="665"/>
      <c r="DO138" s="665"/>
      <c r="DP138" s="1141">
        <v>0</v>
      </c>
      <c r="DQ138" s="1179"/>
      <c r="DR138" s="1180"/>
    </row>
    <row r="139" spans="1:139" outlineLevel="1" x14ac:dyDescent="0.2">
      <c r="A139" s="604" t="s">
        <v>80</v>
      </c>
      <c r="D139" s="468">
        <v>0</v>
      </c>
      <c r="E139" s="664"/>
      <c r="F139" s="665"/>
      <c r="G139" s="666"/>
      <c r="H139" s="468">
        <v>0</v>
      </c>
      <c r="I139" s="664"/>
      <c r="J139" s="665"/>
      <c r="K139" s="488"/>
      <c r="L139" s="468">
        <v>-13.574</v>
      </c>
      <c r="M139" s="664">
        <f>L139/L11*100</f>
        <v>-0.93150481879095159</v>
      </c>
      <c r="N139" s="665"/>
      <c r="O139" s="488"/>
      <c r="P139" s="468">
        <v>0</v>
      </c>
      <c r="Q139" s="664"/>
      <c r="R139" s="665"/>
      <c r="S139" s="488"/>
      <c r="T139" s="468">
        <v>0</v>
      </c>
      <c r="U139" s="664"/>
      <c r="V139" s="665"/>
      <c r="W139" s="488"/>
      <c r="X139" s="468">
        <v>0</v>
      </c>
      <c r="Y139" s="664"/>
      <c r="Z139" s="665"/>
      <c r="AA139" s="488"/>
      <c r="AB139" s="468">
        <v>0</v>
      </c>
      <c r="AC139" s="664"/>
      <c r="AD139" s="665"/>
      <c r="AE139" s="488"/>
      <c r="AF139" s="468">
        <v>0</v>
      </c>
      <c r="AG139" s="664"/>
      <c r="AH139" s="665"/>
      <c r="AI139" s="488"/>
      <c r="AJ139" s="468">
        <v>-38.673000000000002</v>
      </c>
      <c r="AK139" s="664"/>
      <c r="AL139" s="665"/>
      <c r="AM139" s="488"/>
      <c r="AN139" s="468">
        <v>0</v>
      </c>
      <c r="AO139" s="664"/>
      <c r="AP139" s="665"/>
      <c r="AQ139" s="488"/>
      <c r="AR139" s="468">
        <v>0</v>
      </c>
      <c r="AS139" s="664"/>
      <c r="AT139" s="665"/>
      <c r="AU139" s="488"/>
      <c r="AV139" s="468">
        <v>131</v>
      </c>
      <c r="AW139" s="664"/>
      <c r="AX139" s="665"/>
      <c r="AY139" s="488"/>
      <c r="AZ139" s="468">
        <v>-30</v>
      </c>
      <c r="BA139" s="664"/>
      <c r="BB139" s="665"/>
      <c r="BC139" s="488"/>
      <c r="BD139" s="468">
        <v>-149</v>
      </c>
      <c r="BE139" s="664"/>
      <c r="BF139" s="665"/>
      <c r="BG139" s="488"/>
      <c r="BH139" s="468">
        <v>0</v>
      </c>
      <c r="BI139" s="664"/>
      <c r="BJ139" s="665"/>
      <c r="BK139" s="488"/>
      <c r="BL139" s="468">
        <v>0</v>
      </c>
      <c r="BM139" s="664"/>
      <c r="BN139" s="665"/>
      <c r="BO139" s="488"/>
      <c r="BP139" s="468">
        <v>0</v>
      </c>
      <c r="BQ139" s="664"/>
      <c r="BR139" s="665"/>
      <c r="BS139" s="488"/>
      <c r="BT139" s="468">
        <v>-125.625</v>
      </c>
      <c r="BU139" s="664"/>
      <c r="BV139" s="665"/>
      <c r="BW139" s="488"/>
      <c r="BX139" s="468">
        <v>0</v>
      </c>
      <c r="BY139" s="664"/>
      <c r="BZ139" s="665"/>
      <c r="CA139" s="488"/>
      <c r="CB139" s="468">
        <v>0</v>
      </c>
      <c r="CC139" s="664"/>
      <c r="CD139" s="665"/>
      <c r="CE139" s="488"/>
      <c r="CF139" s="468">
        <v>0</v>
      </c>
      <c r="CG139" s="664"/>
      <c r="CH139" s="665"/>
      <c r="CI139" s="488"/>
      <c r="CJ139" s="1001">
        <v>0</v>
      </c>
      <c r="CK139" s="664"/>
      <c r="CL139" s="665"/>
      <c r="CM139" s="488"/>
      <c r="CN139" s="1001">
        <v>0</v>
      </c>
      <c r="CO139" s="664"/>
      <c r="CP139" s="665"/>
      <c r="CQ139" s="488"/>
      <c r="CR139" s="1001">
        <v>0</v>
      </c>
      <c r="CS139" s="664"/>
      <c r="CT139" s="665"/>
      <c r="CU139" s="488"/>
      <c r="CV139" s="1001">
        <v>0</v>
      </c>
      <c r="CW139" s="664"/>
      <c r="CX139" s="665"/>
      <c r="CY139" s="488"/>
      <c r="CZ139" s="1001">
        <v>0</v>
      </c>
      <c r="DA139" s="664"/>
      <c r="DB139" s="665"/>
      <c r="DD139" s="1001">
        <v>0</v>
      </c>
      <c r="DE139" s="664"/>
      <c r="DF139" s="665"/>
      <c r="DH139" s="1001">
        <f>(249*(1-0.37)-2)</f>
        <v>154.87</v>
      </c>
      <c r="DI139" s="664"/>
      <c r="DJ139" s="665"/>
      <c r="DK139" s="665"/>
      <c r="DL139" s="1001">
        <f>-3-2*(0.39)-51*(0.3552)</f>
        <v>-21.895200000000003</v>
      </c>
      <c r="DM139" s="664"/>
      <c r="DN139" s="665"/>
      <c r="DO139" s="665"/>
      <c r="DP139" s="1141">
        <v>0</v>
      </c>
      <c r="DQ139" s="1179"/>
      <c r="DR139" s="1180"/>
    </row>
    <row r="140" spans="1:139" outlineLevel="1" x14ac:dyDescent="0.2">
      <c r="A140" s="604" t="s">
        <v>81</v>
      </c>
      <c r="C140" s="606"/>
      <c r="D140" s="468">
        <v>0</v>
      </c>
      <c r="E140" s="664"/>
      <c r="F140" s="665"/>
      <c r="G140" s="666"/>
      <c r="H140" s="468">
        <v>0</v>
      </c>
      <c r="I140" s="664"/>
      <c r="J140" s="665"/>
      <c r="K140" s="488"/>
      <c r="L140" s="468">
        <v>0</v>
      </c>
      <c r="M140" s="664">
        <f>L140/L12*100</f>
        <v>0</v>
      </c>
      <c r="N140" s="665"/>
      <c r="O140" s="488"/>
      <c r="P140" s="468">
        <v>-14.242000000000001</v>
      </c>
      <c r="Q140" s="664"/>
      <c r="R140" s="665"/>
      <c r="S140" s="488"/>
      <c r="T140" s="468">
        <v>0</v>
      </c>
      <c r="U140" s="664"/>
      <c r="V140" s="665"/>
      <c r="W140" s="488"/>
      <c r="X140" s="468">
        <v>0</v>
      </c>
      <c r="Y140" s="664"/>
      <c r="Z140" s="665"/>
      <c r="AA140" s="488"/>
      <c r="AB140" s="468">
        <v>0</v>
      </c>
      <c r="AC140" s="664"/>
      <c r="AD140" s="665"/>
      <c r="AE140" s="488"/>
      <c r="AF140" s="468">
        <v>0</v>
      </c>
      <c r="AG140" s="664"/>
      <c r="AH140" s="665"/>
      <c r="AI140" s="488"/>
      <c r="AJ140" s="468">
        <v>0</v>
      </c>
      <c r="AK140" s="664"/>
      <c r="AL140" s="665"/>
      <c r="AM140" s="488"/>
      <c r="AN140" s="468">
        <v>23</v>
      </c>
      <c r="AO140" s="664"/>
      <c r="AP140" s="665"/>
      <c r="AQ140" s="488"/>
      <c r="AR140" s="468">
        <v>0</v>
      </c>
      <c r="AS140" s="664"/>
      <c r="AT140" s="665"/>
      <c r="AU140" s="488"/>
      <c r="AV140" s="468">
        <v>777</v>
      </c>
      <c r="AW140" s="664"/>
      <c r="AX140" s="665"/>
      <c r="AY140" s="488"/>
      <c r="AZ140" s="468">
        <v>23</v>
      </c>
      <c r="BA140" s="664"/>
      <c r="BB140" s="665"/>
      <c r="BC140" s="488"/>
      <c r="BD140" s="468">
        <v>-31</v>
      </c>
      <c r="BE140" s="664"/>
      <c r="BF140" s="665"/>
      <c r="BG140" s="488"/>
      <c r="BH140" s="468">
        <v>0</v>
      </c>
      <c r="BI140" s="664"/>
      <c r="BJ140" s="665"/>
      <c r="BK140" s="488"/>
      <c r="BL140" s="468">
        <v>0</v>
      </c>
      <c r="BM140" s="664"/>
      <c r="BN140" s="665"/>
      <c r="BO140" s="488"/>
      <c r="BP140" s="468">
        <v>-97</v>
      </c>
      <c r="BQ140" s="664"/>
      <c r="BR140" s="665"/>
      <c r="BS140" s="488"/>
      <c r="BT140" s="468">
        <v>23</v>
      </c>
      <c r="BU140" s="664"/>
      <c r="BV140" s="665"/>
      <c r="BW140" s="488"/>
      <c r="BX140" s="468">
        <v>0</v>
      </c>
      <c r="BY140" s="664"/>
      <c r="BZ140" s="665"/>
      <c r="CA140" s="488"/>
      <c r="CB140" s="468">
        <v>0</v>
      </c>
      <c r="CC140" s="664"/>
      <c r="CD140" s="665"/>
      <c r="CE140" s="488"/>
      <c r="CF140" s="468">
        <v>0</v>
      </c>
      <c r="CG140" s="664"/>
      <c r="CH140" s="665"/>
      <c r="CI140" s="488"/>
      <c r="CJ140" s="1001">
        <v>-24.4</v>
      </c>
      <c r="CK140" s="664"/>
      <c r="CL140" s="665"/>
      <c r="CM140" s="488"/>
      <c r="CN140" s="1001">
        <v>0</v>
      </c>
      <c r="CO140" s="664"/>
      <c r="CP140" s="665"/>
      <c r="CQ140" s="488"/>
      <c r="CR140" s="1001">
        <v>0</v>
      </c>
      <c r="CS140" s="664"/>
      <c r="CT140" s="665"/>
      <c r="CU140" s="488"/>
      <c r="CV140" s="1001">
        <v>0</v>
      </c>
      <c r="CW140" s="664"/>
      <c r="CX140" s="665"/>
      <c r="CY140" s="488"/>
      <c r="CZ140" s="1001">
        <v>0</v>
      </c>
      <c r="DA140" s="664"/>
      <c r="DB140" s="665"/>
      <c r="DD140" s="1001">
        <f>111*(1-0.35)</f>
        <v>72.150000000000006</v>
      </c>
      <c r="DE140" s="664"/>
      <c r="DF140" s="665"/>
      <c r="DH140" s="1474">
        <f>-2-(62*0.39)</f>
        <v>-26.18</v>
      </c>
      <c r="DI140" s="664"/>
      <c r="DJ140" s="665"/>
      <c r="DK140" s="665"/>
      <c r="DL140" s="1001">
        <f>2+(22+33)*(0.1791)</f>
        <v>11.8505</v>
      </c>
      <c r="DM140" s="664"/>
      <c r="DN140" s="665"/>
      <c r="DO140" s="665"/>
      <c r="DP140" s="1141">
        <v>0</v>
      </c>
      <c r="DQ140" s="1179"/>
      <c r="DR140" s="1180"/>
    </row>
    <row r="141" spans="1:139" outlineLevel="1" x14ac:dyDescent="0.2">
      <c r="A141" s="604" t="s">
        <v>82</v>
      </c>
      <c r="D141" s="616">
        <v>0</v>
      </c>
      <c r="E141" s="664"/>
      <c r="F141" s="665"/>
      <c r="G141" s="666"/>
      <c r="H141" s="616">
        <v>2165.5149999999999</v>
      </c>
      <c r="I141" s="664"/>
      <c r="J141" s="665"/>
      <c r="K141" s="488"/>
      <c r="L141" s="616">
        <v>-6.125</v>
      </c>
      <c r="M141" s="664">
        <f>L141/L13*100</f>
        <v>-0.27077352369854091</v>
      </c>
      <c r="N141" s="665"/>
      <c r="O141" s="488"/>
      <c r="P141" s="616">
        <v>0</v>
      </c>
      <c r="Q141" s="664"/>
      <c r="R141" s="665"/>
      <c r="S141" s="488"/>
      <c r="T141" s="616">
        <v>0</v>
      </c>
      <c r="U141" s="664"/>
      <c r="V141" s="665"/>
      <c r="W141" s="488"/>
      <c r="X141" s="616">
        <v>0</v>
      </c>
      <c r="Y141" s="664"/>
      <c r="Z141" s="665"/>
      <c r="AA141" s="488"/>
      <c r="AB141" s="616">
        <v>0</v>
      </c>
      <c r="AC141" s="664"/>
      <c r="AD141" s="665"/>
      <c r="AE141" s="488"/>
      <c r="AF141" s="616">
        <v>0</v>
      </c>
      <c r="AG141" s="664"/>
      <c r="AH141" s="665"/>
      <c r="AI141" s="488"/>
      <c r="AJ141" s="616">
        <v>0</v>
      </c>
      <c r="AK141" s="664"/>
      <c r="AL141" s="665"/>
      <c r="AM141" s="488"/>
      <c r="AN141" s="616">
        <v>0</v>
      </c>
      <c r="AO141" s="664"/>
      <c r="AP141" s="665"/>
      <c r="AQ141" s="488"/>
      <c r="AR141" s="616">
        <v>0</v>
      </c>
      <c r="AS141" s="664"/>
      <c r="AT141" s="665"/>
      <c r="AU141" s="488"/>
      <c r="AV141" s="616">
        <v>68</v>
      </c>
      <c r="AW141" s="664"/>
      <c r="AX141" s="665"/>
      <c r="AY141" s="488"/>
      <c r="AZ141" s="616">
        <v>757</v>
      </c>
      <c r="BA141" s="664"/>
      <c r="BB141" s="665"/>
      <c r="BC141" s="488"/>
      <c r="BD141" s="616">
        <v>0</v>
      </c>
      <c r="BE141" s="664"/>
      <c r="BF141" s="665"/>
      <c r="BG141" s="488"/>
      <c r="BH141" s="616">
        <v>-38</v>
      </c>
      <c r="BI141" s="664"/>
      <c r="BJ141" s="665"/>
      <c r="BK141" s="488"/>
      <c r="BL141" s="616">
        <v>0</v>
      </c>
      <c r="BM141" s="664"/>
      <c r="BN141" s="665"/>
      <c r="BO141" s="488"/>
      <c r="BP141" s="616">
        <v>-31</v>
      </c>
      <c r="BQ141" s="664"/>
      <c r="BR141" s="665"/>
      <c r="BS141" s="488"/>
      <c r="BT141" s="616">
        <v>-7</v>
      </c>
      <c r="BU141" s="664"/>
      <c r="BV141" s="665"/>
      <c r="BW141" s="488"/>
      <c r="BX141" s="616">
        <v>-78</v>
      </c>
      <c r="BY141" s="664"/>
      <c r="BZ141" s="665"/>
      <c r="CA141" s="488"/>
      <c r="CB141" s="616">
        <v>5382</v>
      </c>
      <c r="CC141" s="664"/>
      <c r="CD141" s="665"/>
      <c r="CE141" s="488"/>
      <c r="CF141" s="616">
        <v>0</v>
      </c>
      <c r="CG141" s="664"/>
      <c r="CH141" s="665"/>
      <c r="CI141" s="488"/>
      <c r="CJ141" s="1002">
        <v>0</v>
      </c>
      <c r="CK141" s="664"/>
      <c r="CL141" s="665"/>
      <c r="CM141" s="488"/>
      <c r="CN141" s="1002">
        <v>0</v>
      </c>
      <c r="CO141" s="664"/>
      <c r="CP141" s="665"/>
      <c r="CQ141" s="488"/>
      <c r="CR141" s="1002">
        <f>85+3</f>
        <v>88</v>
      </c>
      <c r="CS141" s="664"/>
      <c r="CT141" s="665"/>
      <c r="CU141" s="488"/>
      <c r="CV141" s="1002">
        <f>88*(1-CW121%)</f>
        <v>56.927713004484303</v>
      </c>
      <c r="CW141" s="664"/>
      <c r="CX141" s="665"/>
      <c r="CY141" s="488"/>
      <c r="CZ141" s="1002">
        <f>+(87+17)*0.62</f>
        <v>64.48</v>
      </c>
      <c r="DA141" s="664"/>
      <c r="DB141" s="665"/>
      <c r="DD141" s="1002">
        <f>177*(1-0.338)-5</f>
        <v>112.17399999999999</v>
      </c>
      <c r="DE141" s="664"/>
      <c r="DF141" s="665"/>
      <c r="DH141" s="1002">
        <f>-3+ (230*(1-0.431))</f>
        <v>127.86999999999998</v>
      </c>
      <c r="DI141" s="986"/>
      <c r="DJ141" s="987"/>
      <c r="DK141" s="665"/>
      <c r="DL141" s="1002">
        <f>-4+(152+32+11)*(1-0.5566)-570-3</f>
        <v>-490.53699999999998</v>
      </c>
      <c r="DM141" s="664"/>
      <c r="DN141" s="665"/>
      <c r="DO141" s="665"/>
      <c r="DP141" s="1181">
        <v>0</v>
      </c>
      <c r="DQ141" s="1179"/>
      <c r="DR141" s="1180"/>
    </row>
    <row r="142" spans="1:139" outlineLevel="1" x14ac:dyDescent="0.2">
      <c r="A142" s="604" t="s">
        <v>83</v>
      </c>
      <c r="D142" s="543">
        <v>0</v>
      </c>
      <c r="E142" s="609"/>
      <c r="F142" s="605"/>
      <c r="G142" s="380"/>
      <c r="H142" s="543">
        <v>2165.5149999999999</v>
      </c>
      <c r="I142" s="609"/>
      <c r="J142" s="605"/>
      <c r="L142" s="543">
        <v>-19.698999999999998</v>
      </c>
      <c r="M142" s="609">
        <f>L142/L14*100</f>
        <v>-0.27823678191668544</v>
      </c>
      <c r="N142" s="605"/>
      <c r="P142" s="543">
        <v>-17.786999999999999</v>
      </c>
      <c r="Q142" s="609"/>
      <c r="R142" s="605"/>
      <c r="T142" s="543">
        <v>0</v>
      </c>
      <c r="U142" s="609"/>
      <c r="V142" s="605"/>
      <c r="X142" s="543">
        <v>16.149000000000001</v>
      </c>
      <c r="Y142" s="609"/>
      <c r="Z142" s="605"/>
      <c r="AB142" s="543">
        <v>0</v>
      </c>
      <c r="AC142" s="609"/>
      <c r="AD142" s="605"/>
      <c r="AF142" s="543">
        <v>0</v>
      </c>
      <c r="AG142" s="609"/>
      <c r="AH142" s="605"/>
      <c r="AJ142" s="543">
        <v>39</v>
      </c>
      <c r="AK142" s="609"/>
      <c r="AL142" s="605"/>
      <c r="AN142" s="543">
        <v>23</v>
      </c>
      <c r="AO142" s="609"/>
      <c r="AP142" s="605"/>
      <c r="AR142" s="543">
        <v>30</v>
      </c>
      <c r="AS142" s="609"/>
      <c r="AT142" s="605"/>
      <c r="AV142" s="543">
        <v>1005</v>
      </c>
      <c r="AW142" s="609"/>
      <c r="AX142" s="605"/>
      <c r="AZ142" s="543">
        <v>750</v>
      </c>
      <c r="BA142" s="609"/>
      <c r="BB142" s="605"/>
      <c r="BD142" s="543">
        <v>-180</v>
      </c>
      <c r="BE142" s="609"/>
      <c r="BF142" s="605"/>
      <c r="BH142" s="543">
        <v>-38</v>
      </c>
      <c r="BI142" s="609"/>
      <c r="BJ142" s="605"/>
      <c r="BL142" s="543">
        <v>0</v>
      </c>
      <c r="BM142" s="609"/>
      <c r="BN142" s="605"/>
      <c r="BP142" s="543">
        <v>-128</v>
      </c>
      <c r="BQ142" s="609"/>
      <c r="BR142" s="605"/>
      <c r="BT142" s="543">
        <v>-131.625</v>
      </c>
      <c r="BU142" s="609"/>
      <c r="BV142" s="605"/>
      <c r="BX142" s="543">
        <f>SUM(BX138:BX141)</f>
        <v>-62</v>
      </c>
      <c r="BY142" s="609"/>
      <c r="BZ142" s="605"/>
      <c r="CB142" s="543">
        <v>5382</v>
      </c>
      <c r="CC142" s="609"/>
      <c r="CD142" s="605"/>
      <c r="CF142" s="543">
        <v>0</v>
      </c>
      <c r="CG142" s="609"/>
      <c r="CH142" s="605"/>
      <c r="CJ142" s="543">
        <f>SUM(CJ138:CJ141)</f>
        <v>-41.4</v>
      </c>
      <c r="CK142" s="609"/>
      <c r="CL142" s="605"/>
      <c r="CN142" s="543">
        <f>SUM(CN138:CN141)</f>
        <v>0</v>
      </c>
      <c r="CO142" s="609"/>
      <c r="CP142" s="605"/>
      <c r="CR142" s="543">
        <f>SUM(CR138:CR141)+4</f>
        <v>92</v>
      </c>
      <c r="CS142" s="609"/>
      <c r="CT142" s="605"/>
      <c r="CV142" s="543">
        <f>SUM(CV138:CV141)</f>
        <v>56.927713004484303</v>
      </c>
      <c r="CW142" s="609"/>
      <c r="CX142" s="605"/>
      <c r="CZ142" s="543">
        <f>SUM(CZ138:CZ141)</f>
        <v>64.48</v>
      </c>
      <c r="DA142" s="609"/>
      <c r="DB142" s="605"/>
      <c r="DD142" s="543">
        <f>SUM(DD138:DD141)</f>
        <v>184.32400000000001</v>
      </c>
      <c r="DE142" s="609"/>
      <c r="DF142" s="605"/>
      <c r="DH142" s="543">
        <f>SUM(DH138:DH141)</f>
        <v>252.55999999999997</v>
      </c>
      <c r="DI142" s="664"/>
      <c r="DJ142" s="665"/>
      <c r="DK142" s="665"/>
      <c r="DL142" s="543">
        <f>SUM(DL138:DL141)</f>
        <v>-497.63129999999995</v>
      </c>
      <c r="DM142" s="664"/>
      <c r="DN142" s="665"/>
      <c r="DO142" s="665"/>
      <c r="DP142" s="543">
        <f>SUM(DP138:DP141)</f>
        <v>0</v>
      </c>
      <c r="DQ142" s="1179"/>
      <c r="DR142" s="1180"/>
    </row>
    <row r="143" spans="1:139" outlineLevel="1" x14ac:dyDescent="0.2">
      <c r="A143" s="604" t="s">
        <v>413</v>
      </c>
      <c r="D143" s="385">
        <f>D138+D139</f>
        <v>0</v>
      </c>
      <c r="E143" s="609"/>
      <c r="F143" s="605"/>
      <c r="H143" s="385">
        <f>H138+H139</f>
        <v>0</v>
      </c>
      <c r="I143" s="609"/>
      <c r="J143" s="605"/>
      <c r="L143" s="385">
        <f>L138+L139</f>
        <v>-13.574</v>
      </c>
      <c r="M143" s="609"/>
      <c r="N143" s="605"/>
      <c r="P143" s="385">
        <f>P138+P139</f>
        <v>-3.5449999999999999</v>
      </c>
      <c r="Q143" s="609"/>
      <c r="R143" s="605"/>
      <c r="T143" s="385">
        <f>T138+T139</f>
        <v>0</v>
      </c>
      <c r="U143" s="609"/>
      <c r="V143" s="605"/>
      <c r="X143" s="385">
        <f>X138+X139</f>
        <v>0</v>
      </c>
      <c r="Y143" s="609"/>
      <c r="Z143" s="605"/>
      <c r="AB143" s="385">
        <f>AB138+AB139</f>
        <v>0</v>
      </c>
      <c r="AC143" s="609"/>
      <c r="AD143" s="605"/>
      <c r="AF143" s="385">
        <f>AF138+AF139</f>
        <v>0</v>
      </c>
      <c r="AG143" s="609"/>
      <c r="AH143" s="605"/>
      <c r="AJ143" s="385">
        <f>AJ138+AJ139</f>
        <v>-38.673000000000002</v>
      </c>
      <c r="AK143" s="609"/>
      <c r="AL143" s="605"/>
      <c r="AN143" s="385">
        <f>AN138+AN139</f>
        <v>0</v>
      </c>
      <c r="AO143" s="609"/>
      <c r="AP143" s="605"/>
      <c r="AR143" s="385">
        <f>AR138+AR139</f>
        <v>0</v>
      </c>
      <c r="AS143" s="609"/>
      <c r="AT143" s="605"/>
      <c r="AU143" s="605"/>
      <c r="AV143" s="385">
        <f>AV138+AV139</f>
        <v>160</v>
      </c>
      <c r="AW143" s="609"/>
      <c r="AX143" s="605"/>
      <c r="AZ143" s="385">
        <f>AZ138+AZ139</f>
        <v>-30</v>
      </c>
      <c r="BA143" s="609"/>
      <c r="BB143" s="605"/>
      <c r="BD143" s="385">
        <f>BD138+BD139</f>
        <v>-149</v>
      </c>
      <c r="BE143" s="609"/>
      <c r="BF143" s="605"/>
      <c r="BH143" s="385">
        <f>BH138+BH139</f>
        <v>0</v>
      </c>
      <c r="BI143" s="609"/>
      <c r="BJ143" s="605"/>
      <c r="BL143" s="385">
        <f>BL138+BL139</f>
        <v>0</v>
      </c>
      <c r="BM143" s="609"/>
      <c r="BN143" s="605"/>
      <c r="BP143" s="385">
        <f>BP138+BP139</f>
        <v>0</v>
      </c>
      <c r="BQ143" s="609"/>
      <c r="BR143" s="605"/>
      <c r="BT143" s="385">
        <f>BT138+BT139</f>
        <v>-147.625</v>
      </c>
      <c r="BU143" s="609"/>
      <c r="BV143" s="605"/>
      <c r="BX143" s="385">
        <f>BX138+BX139</f>
        <v>16</v>
      </c>
      <c r="BY143" s="609"/>
      <c r="BZ143" s="605"/>
      <c r="CB143" s="385">
        <f>CB138+CB139</f>
        <v>0</v>
      </c>
      <c r="CC143" s="609"/>
      <c r="CD143" s="605"/>
      <c r="CF143" s="385">
        <f>CF138+CF139</f>
        <v>0</v>
      </c>
      <c r="CG143" s="609"/>
      <c r="CH143" s="605"/>
      <c r="CJ143" s="385">
        <f>CJ138+CJ139</f>
        <v>-17</v>
      </c>
      <c r="CK143" s="609"/>
      <c r="CL143" s="605"/>
      <c r="CN143" s="385">
        <f>CN138+CN139</f>
        <v>0</v>
      </c>
      <c r="CO143" s="609"/>
      <c r="CP143" s="605"/>
      <c r="CR143" s="385">
        <f>CR138+CR139</f>
        <v>0</v>
      </c>
      <c r="CS143" s="667"/>
      <c r="CT143" s="668"/>
      <c r="CV143" s="385">
        <f>CV138+CV139</f>
        <v>0</v>
      </c>
      <c r="CW143" s="667"/>
      <c r="CX143" s="668"/>
      <c r="CZ143" s="385">
        <f>CZ138+CZ139</f>
        <v>0</v>
      </c>
      <c r="DA143" s="667"/>
      <c r="DB143" s="668"/>
      <c r="DD143" s="385">
        <f>DD138+DD139</f>
        <v>0</v>
      </c>
      <c r="DE143" s="667"/>
      <c r="DF143" s="668"/>
      <c r="DH143" s="385">
        <f>DH138+DH139</f>
        <v>150.87</v>
      </c>
      <c r="DI143" s="667"/>
      <c r="DJ143" s="668"/>
      <c r="DK143" s="668"/>
      <c r="DL143" s="385">
        <f>DL138+DL139</f>
        <v>-18.944800000000001</v>
      </c>
      <c r="DM143" s="667"/>
      <c r="DN143" s="668"/>
      <c r="DO143" s="668"/>
      <c r="DP143" s="1092">
        <f>DP138+DP139</f>
        <v>0</v>
      </c>
      <c r="DQ143" s="1171"/>
      <c r="DR143" s="1172"/>
    </row>
    <row r="144" spans="1:139" outlineLevel="1" x14ac:dyDescent="0.2">
      <c r="A144" s="604" t="s">
        <v>414</v>
      </c>
      <c r="D144" s="385">
        <f>D140+D141</f>
        <v>0</v>
      </c>
      <c r="E144" s="609"/>
      <c r="F144" s="605"/>
      <c r="H144" s="385">
        <f>H140+H141</f>
        <v>2165.5149999999999</v>
      </c>
      <c r="I144" s="609"/>
      <c r="J144" s="605"/>
      <c r="L144" s="385">
        <f>L140+L141</f>
        <v>-6.125</v>
      </c>
      <c r="M144" s="609"/>
      <c r="N144" s="605"/>
      <c r="P144" s="385">
        <f>P140+P141</f>
        <v>-14.242000000000001</v>
      </c>
      <c r="Q144" s="609"/>
      <c r="R144" s="605"/>
      <c r="T144" s="385">
        <f>T140+T141</f>
        <v>0</v>
      </c>
      <c r="U144" s="609"/>
      <c r="V144" s="605"/>
      <c r="X144" s="385">
        <f>X140+X141</f>
        <v>0</v>
      </c>
      <c r="Y144" s="609"/>
      <c r="Z144" s="605"/>
      <c r="AB144" s="385">
        <f>AB140+AB141</f>
        <v>0</v>
      </c>
      <c r="AC144" s="609"/>
      <c r="AD144" s="605"/>
      <c r="AF144" s="385">
        <f>AF140+AF141</f>
        <v>0</v>
      </c>
      <c r="AG144" s="609"/>
      <c r="AH144" s="605"/>
      <c r="AJ144" s="385">
        <f>AJ140+AJ141</f>
        <v>0</v>
      </c>
      <c r="AK144" s="609"/>
      <c r="AL144" s="605"/>
      <c r="AN144" s="385">
        <f>AN140+AN141</f>
        <v>23</v>
      </c>
      <c r="AO144" s="609"/>
      <c r="AP144" s="605"/>
      <c r="AR144" s="385">
        <f>AR140+AR141</f>
        <v>0</v>
      </c>
      <c r="AS144" s="609"/>
      <c r="AT144" s="605"/>
      <c r="AU144" s="605"/>
      <c r="AV144" s="385">
        <f>AV140+AV141</f>
        <v>845</v>
      </c>
      <c r="AW144" s="609"/>
      <c r="AX144" s="605"/>
      <c r="AZ144" s="385">
        <f>AZ140+AZ141</f>
        <v>780</v>
      </c>
      <c r="BA144" s="609"/>
      <c r="BB144" s="605"/>
      <c r="BD144" s="385">
        <f>BD140+BD141</f>
        <v>-31</v>
      </c>
      <c r="BE144" s="609"/>
      <c r="BF144" s="605"/>
      <c r="BH144" s="385">
        <f>BH140+BH141</f>
        <v>-38</v>
      </c>
      <c r="BI144" s="609"/>
      <c r="BJ144" s="605"/>
      <c r="BL144" s="385">
        <f>BL140+BL141</f>
        <v>0</v>
      </c>
      <c r="BM144" s="609"/>
      <c r="BN144" s="605"/>
      <c r="BP144" s="385">
        <f>BP140+BP141</f>
        <v>-128</v>
      </c>
      <c r="BQ144" s="609"/>
      <c r="BR144" s="605"/>
      <c r="BT144" s="385">
        <f>BT140+BT141</f>
        <v>16</v>
      </c>
      <c r="BU144" s="609"/>
      <c r="BV144" s="605"/>
      <c r="BX144" s="385">
        <f>BX140+BX141</f>
        <v>-78</v>
      </c>
      <c r="BY144" s="609"/>
      <c r="BZ144" s="605"/>
      <c r="CB144" s="385">
        <f>CB140+CB141</f>
        <v>5382</v>
      </c>
      <c r="CC144" s="609"/>
      <c r="CD144" s="605"/>
      <c r="CF144" s="385">
        <f>CF140+CF141</f>
        <v>0</v>
      </c>
      <c r="CG144" s="609"/>
      <c r="CH144" s="605"/>
      <c r="CJ144" s="385">
        <f>CJ140+CJ141</f>
        <v>-24.4</v>
      </c>
      <c r="CK144" s="609"/>
      <c r="CL144" s="605"/>
      <c r="CN144" s="385">
        <f>CN140+CN141</f>
        <v>0</v>
      </c>
      <c r="CO144" s="609"/>
      <c r="CP144" s="605"/>
      <c r="CR144" s="385">
        <f>CR140+CR141</f>
        <v>88</v>
      </c>
      <c r="CS144" s="667"/>
      <c r="CT144" s="668"/>
      <c r="CV144" s="385">
        <f>CV140+CV141</f>
        <v>56.927713004484303</v>
      </c>
      <c r="CW144" s="667"/>
      <c r="CX144" s="668"/>
      <c r="CZ144" s="385">
        <f>CZ140+CZ141</f>
        <v>64.48</v>
      </c>
      <c r="DA144" s="667"/>
      <c r="DB144" s="668"/>
      <c r="DD144" s="385">
        <f>DD140+DD141</f>
        <v>184.32400000000001</v>
      </c>
      <c r="DE144" s="667"/>
      <c r="DF144" s="668"/>
      <c r="DH144" s="385">
        <f>DH140+DH141</f>
        <v>101.68999999999997</v>
      </c>
      <c r="DI144" s="667"/>
      <c r="DJ144" s="668"/>
      <c r="DK144" s="668"/>
      <c r="DL144" s="385">
        <f>DL140+DL141</f>
        <v>-478.68649999999997</v>
      </c>
      <c r="DM144" s="667"/>
      <c r="DN144" s="668"/>
      <c r="DO144" s="668"/>
      <c r="DP144" s="1092">
        <f>DP140+DP141</f>
        <v>0</v>
      </c>
      <c r="DQ144" s="1171"/>
      <c r="DR144" s="1172"/>
    </row>
    <row r="145" spans="1:139" x14ac:dyDescent="0.2">
      <c r="D145" s="353"/>
      <c r="H145" s="353"/>
      <c r="L145" s="353"/>
      <c r="P145" s="353"/>
      <c r="T145" s="353"/>
      <c r="X145" s="353"/>
      <c r="AB145" s="353"/>
      <c r="AF145" s="353"/>
      <c r="AJ145" s="385"/>
      <c r="AN145" s="385"/>
      <c r="AR145" s="385"/>
      <c r="AV145" s="385"/>
      <c r="AZ145" s="385"/>
      <c r="BD145" s="385"/>
      <c r="BH145" s="385"/>
      <c r="BL145" s="385"/>
      <c r="BP145" s="385"/>
      <c r="BT145" s="385"/>
      <c r="BX145" s="385"/>
      <c r="CB145" s="385"/>
      <c r="CF145" s="385"/>
      <c r="CJ145" s="385"/>
      <c r="CN145" s="385"/>
    </row>
    <row r="146" spans="1:139" s="627" customFormat="1" x14ac:dyDescent="0.2">
      <c r="A146" s="626"/>
      <c r="D146" s="628"/>
      <c r="H146" s="628"/>
      <c r="L146" s="628"/>
      <c r="P146" s="628"/>
      <c r="T146" s="628"/>
      <c r="X146" s="628"/>
      <c r="AB146" s="628"/>
      <c r="AF146" s="628"/>
      <c r="AJ146" s="629"/>
      <c r="AN146" s="629"/>
      <c r="AR146" s="629"/>
      <c r="AV146" s="629"/>
      <c r="AZ146" s="629"/>
      <c r="BD146" s="629"/>
      <c r="BH146" s="629"/>
      <c r="BL146" s="629"/>
      <c r="BP146" s="629"/>
      <c r="BT146" s="629"/>
      <c r="BX146" s="629"/>
      <c r="CB146" s="629"/>
      <c r="CF146" s="629"/>
      <c r="CJ146" s="629"/>
      <c r="CN146" s="1510" t="s">
        <v>308</v>
      </c>
      <c r="CO146" s="1510"/>
      <c r="CP146" s="1510"/>
      <c r="CQ146" s="1510"/>
      <c r="CR146" s="1510"/>
      <c r="CS146" s="1510"/>
      <c r="CT146" s="1510"/>
      <c r="CU146" s="1510"/>
      <c r="CV146" s="1510"/>
      <c r="CW146" s="1510"/>
      <c r="CX146" s="1510"/>
      <c r="CZ146" s="631" t="s">
        <v>308</v>
      </c>
      <c r="DA146" s="631"/>
      <c r="DB146" s="631"/>
      <c r="DC146" s="631"/>
      <c r="DD146" s="631"/>
      <c r="DE146" s="631"/>
      <c r="DF146" s="631"/>
      <c r="DG146" s="631"/>
      <c r="DH146" s="631"/>
      <c r="DI146" s="631"/>
      <c r="DJ146" s="989"/>
      <c r="DK146" s="632"/>
      <c r="DL146" s="631"/>
      <c r="DM146" s="631"/>
      <c r="DN146" s="631"/>
      <c r="DO146" s="1087"/>
      <c r="DP146" s="1129"/>
      <c r="DQ146" s="1129"/>
      <c r="DR146" s="1129"/>
      <c r="EI146" s="600"/>
    </row>
    <row r="147" spans="1:139" x14ac:dyDescent="0.2">
      <c r="D147" s="353"/>
      <c r="H147" s="353"/>
      <c r="L147" s="353"/>
      <c r="P147" s="353"/>
      <c r="T147" s="353"/>
      <c r="X147" s="353"/>
      <c r="AB147" s="353"/>
      <c r="AF147" s="353"/>
      <c r="AJ147" s="385"/>
      <c r="AN147" s="385"/>
      <c r="AR147" s="385"/>
      <c r="AV147" s="385"/>
      <c r="AZ147" s="385"/>
      <c r="BD147" s="385"/>
      <c r="BH147" s="385"/>
      <c r="BL147" s="385"/>
      <c r="BP147" s="385"/>
      <c r="BT147" s="385"/>
      <c r="BX147" s="385"/>
      <c r="CB147" s="385"/>
      <c r="CF147" s="385"/>
      <c r="CJ147" s="385"/>
      <c r="CN147" s="385"/>
    </row>
    <row r="148" spans="1:139" x14ac:dyDescent="0.2">
      <c r="A148" s="604" t="s">
        <v>79</v>
      </c>
      <c r="D148" s="543">
        <f>D128-D138</f>
        <v>-99.439999999999898</v>
      </c>
      <c r="E148" s="672">
        <f t="shared" ref="E148:E154" si="336">D148/D10*100</f>
        <v>-6.2522792148183477</v>
      </c>
      <c r="F148" s="605"/>
      <c r="H148" s="543">
        <f>H128-H138</f>
        <v>-64.160999999999916</v>
      </c>
      <c r="I148" s="672">
        <f t="shared" ref="I148:I154" si="337">H148/H10*100</f>
        <v>-4.0266245099374309</v>
      </c>
      <c r="J148" s="605">
        <f>(I148-E148)*100</f>
        <v>222.56547048809168</v>
      </c>
      <c r="L148" s="543">
        <f>L128-L138</f>
        <v>11.81200000000017</v>
      </c>
      <c r="M148" s="672">
        <f t="shared" ref="M148:M154" si="338">L148/L10*100</f>
        <v>0.75153048304858283</v>
      </c>
      <c r="N148" s="605">
        <f>(M148-I148)*100</f>
        <v>477.81549929860142</v>
      </c>
      <c r="P148" s="543">
        <f>P128-P138</f>
        <v>25.245000000000068</v>
      </c>
      <c r="Q148" s="672">
        <f t="shared" ref="Q148:Q154" si="339">P148/P10*100</f>
        <v>1.5874772599935021</v>
      </c>
      <c r="R148" s="605">
        <f>(Q148-M148)*100</f>
        <v>83.594677694491921</v>
      </c>
      <c r="T148" s="543">
        <f>T128-T138</f>
        <v>32.222000000000179</v>
      </c>
      <c r="U148" s="672">
        <f t="shared" ref="U148:U154" si="340">T148/T10*100</f>
        <v>1.9485604708668485</v>
      </c>
      <c r="V148" s="605">
        <f>(U148-Q148)*100</f>
        <v>36.108321087334637</v>
      </c>
      <c r="X148" s="543">
        <f>X128-X138</f>
        <v>-37.046400000000013</v>
      </c>
      <c r="Y148" s="672">
        <f t="shared" ref="Y148:Y154" si="341">X148/X10*100</f>
        <v>-1.2609394145677335</v>
      </c>
      <c r="Z148" s="605"/>
      <c r="AB148" s="543">
        <f>AB128-AB138</f>
        <v>-56.999000000000294</v>
      </c>
      <c r="AC148" s="672">
        <f t="shared" ref="AC148:AC154" si="342">AB148/AB10*100</f>
        <v>-1.9075932243777387</v>
      </c>
      <c r="AD148" s="605">
        <f>(AC148-Y148)*100</f>
        <v>-64.665380981000524</v>
      </c>
      <c r="AF148" s="543">
        <f>AF128-AF138</f>
        <v>-37.923000000000158</v>
      </c>
      <c r="AG148" s="672">
        <f t="shared" ref="AG148:AG154" si="343">AF148/AF10*100</f>
        <v>-1.148938104038542</v>
      </c>
      <c r="AH148" s="605">
        <f>(AG148-AC148)*100</f>
        <v>75.865512033919671</v>
      </c>
      <c r="AJ148" s="543">
        <f>AJ128-AJ138</f>
        <v>23.568000000000193</v>
      </c>
      <c r="AK148" s="672">
        <f t="shared" ref="AK148:AK154" si="344">AJ148/AJ10*100</f>
        <v>0.69142756556944773</v>
      </c>
      <c r="AL148" s="605">
        <f>(AK148-AG148)*100</f>
        <v>184.03656696079898</v>
      </c>
      <c r="AN148" s="543">
        <f>AN128-AN138</f>
        <v>60.234000000000002</v>
      </c>
      <c r="AO148" s="672">
        <f t="shared" ref="AO148:AO154" si="345">AN148/AN10*100</f>
        <v>1.7942806076854334</v>
      </c>
      <c r="AP148" s="605">
        <f>(AO148-AK148)*100</f>
        <v>110.28530421159857</v>
      </c>
      <c r="AR148" s="543">
        <f>AR128-AR138</f>
        <v>87</v>
      </c>
      <c r="AS148" s="672">
        <f t="shared" ref="AS148:AS154" si="346">AR148/AR10*100</f>
        <v>2.4166666666666665</v>
      </c>
      <c r="AT148" s="605">
        <f>(AS148-AO148)*100</f>
        <v>62.238605898123311</v>
      </c>
      <c r="AV148" s="543">
        <f>AV128-AV138</f>
        <v>89</v>
      </c>
      <c r="AW148" s="672">
        <f t="shared" ref="AW148:AW154" si="347">AV148/AV10*100</f>
        <v>2.4909040022390148</v>
      </c>
      <c r="AX148" s="605">
        <f>(AW148-AS148)*100</f>
        <v>7.423733557234824</v>
      </c>
      <c r="AZ148" s="543">
        <f>AZ128-AZ138</f>
        <v>58</v>
      </c>
      <c r="BA148" s="672">
        <f t="shared" ref="BA148:BA154" si="348">AZ148/AZ10*100</f>
        <v>1.6310461192350956</v>
      </c>
      <c r="BB148" s="566">
        <f t="shared" ref="BB148:BB154" si="349">(AZ148/AV148-1)*100</f>
        <v>-34.831460674157299</v>
      </c>
      <c r="BD148" s="543">
        <f>BD128-BD138</f>
        <v>89</v>
      </c>
      <c r="BE148" s="672">
        <f t="shared" ref="BE148:BE154" si="350">BD148/BD10*100</f>
        <v>2.5774688676513176</v>
      </c>
      <c r="BF148" s="566">
        <f t="shared" ref="BF148:BF154" si="351">(BD148/AZ148-1)*100</f>
        <v>53.448275862068975</v>
      </c>
      <c r="BH148" s="543">
        <f>BH128-BH138</f>
        <v>46</v>
      </c>
      <c r="BI148" s="672">
        <f t="shared" ref="BI148:BI154" si="352">BH148/BH10*100</f>
        <v>1.3977514433302947</v>
      </c>
      <c r="BJ148" s="566">
        <f t="shared" ref="BJ148:BJ154" si="353">(BH148/BD148-1)*100</f>
        <v>-48.31460674157303</v>
      </c>
      <c r="BL148" s="543">
        <f>BL128-BL138</f>
        <v>97</v>
      </c>
      <c r="BM148" s="672">
        <f t="shared" ref="BM148:BM154" si="354">BL148/BL10*100</f>
        <v>2.732394366197183</v>
      </c>
      <c r="BN148" s="566">
        <f t="shared" ref="BN148:BN154" si="355">(BL148/BH148-1)*100</f>
        <v>110.86956521739131</v>
      </c>
      <c r="BP148" s="543">
        <f>BP128-BP138</f>
        <v>123.354</v>
      </c>
      <c r="BQ148" s="672">
        <f t="shared" ref="BQ148:BQ154" si="356">BP148/BP10*100</f>
        <v>3.3879154078549849</v>
      </c>
      <c r="BR148" s="566">
        <f t="shared" ref="BR148:BR154" si="357">(BP148/BL148-1)*100</f>
        <v>27.16907216494846</v>
      </c>
      <c r="BT148" s="543">
        <f>BT128-BT138</f>
        <v>-52</v>
      </c>
      <c r="BU148" s="672">
        <f t="shared" ref="BU148:BU154" si="358">BT148/BT10*100</f>
        <v>-0.87689713322091056</v>
      </c>
      <c r="BV148" s="566">
        <f t="shared" ref="BV148:BV154" si="359">(BT148/BP148-1)*100</f>
        <v>-142.1550983348736</v>
      </c>
      <c r="BX148" s="543">
        <f>BX128-BX138</f>
        <v>36</v>
      </c>
      <c r="BY148" s="672">
        <f t="shared" ref="BY148:BY154" si="360">BX148/BX10*100</f>
        <v>0.60800540449248441</v>
      </c>
      <c r="BZ148" s="566">
        <f t="shared" ref="BZ148:BZ154" si="361">(BX148/BT148-1)*100</f>
        <v>-169.23076923076923</v>
      </c>
      <c r="CB148" s="543">
        <f>CB128-CB138</f>
        <v>-59</v>
      </c>
      <c r="CC148" s="672">
        <f t="shared" ref="CC148:CC154" si="362">CB148/CB10*100</f>
        <v>-1.0266225856968854</v>
      </c>
      <c r="CD148" s="566">
        <f t="shared" ref="CD148:CD154" si="363">(CB148/BX148-1)*100</f>
        <v>-263.88888888888886</v>
      </c>
      <c r="CF148" s="543">
        <f>CF128-CF138</f>
        <v>-88</v>
      </c>
      <c r="CG148" s="672">
        <f t="shared" ref="CG148:CG154" si="364">CF148/CF10*100</f>
        <v>-1.6641452344931922</v>
      </c>
      <c r="CH148" s="566">
        <f t="shared" ref="CH148:CH154" si="365">(CF148/CB148-1)*100</f>
        <v>49.152542372881356</v>
      </c>
      <c r="CJ148" s="543">
        <f>CJ128-CJ138</f>
        <v>40</v>
      </c>
      <c r="CK148" s="672">
        <f t="shared" ref="CK148:CK154" si="366">CJ148/CJ10*100</f>
        <v>0.71761750986724082</v>
      </c>
      <c r="CL148" s="566">
        <f t="shared" ref="CL148:CL154" si="367">(CJ148/CF148-1)*100</f>
        <v>-145.45454545454547</v>
      </c>
      <c r="CN148" s="543">
        <f>CN128-CN138</f>
        <v>131</v>
      </c>
      <c r="CO148" s="672">
        <f t="shared" ref="CO148:CO154" si="368">CN148/CN10*100</f>
        <v>2.2244863304465952</v>
      </c>
      <c r="CP148" s="566">
        <f t="shared" ref="CP148:CP154" si="369">(CN148/CJ148-1)*100</f>
        <v>227.5</v>
      </c>
      <c r="CR148" s="543">
        <f>CR128-CR138</f>
        <v>181</v>
      </c>
      <c r="CS148" s="672">
        <f t="shared" ref="CS148:CS154" si="370">CR148/CR10*100</f>
        <v>2.9464431059742795</v>
      </c>
      <c r="CT148" s="566">
        <f t="shared" ref="CT148:CT154" si="371">(CR148/CN148-1)*100</f>
        <v>38.167938931297705</v>
      </c>
      <c r="CV148" s="543">
        <f>CV128-CV138</f>
        <v>217</v>
      </c>
      <c r="CW148" s="672">
        <f t="shared" ref="CW148:CW154" si="372">CV148/CV10*100</f>
        <v>3.3975262251448255</v>
      </c>
      <c r="CX148" s="566">
        <f t="shared" ref="CX148:CX154" si="373">(CV148/CR148-1)*100</f>
        <v>19.889502762430933</v>
      </c>
      <c r="CZ148" s="543">
        <f>CZ128-CZ138</f>
        <v>224</v>
      </c>
      <c r="DA148" s="672">
        <f t="shared" ref="DA148:DA154" si="374">CZ148/CZ10*100</f>
        <v>3.5674470457079153</v>
      </c>
      <c r="DB148" s="566">
        <f t="shared" ref="DB148:DB154" si="375">(CZ148/CV148-1)*100</f>
        <v>3.2258064516129004</v>
      </c>
      <c r="DC148" s="290"/>
      <c r="DD148" s="543">
        <f>DD128-DD138</f>
        <v>193</v>
      </c>
      <c r="DE148" s="672">
        <f t="shared" ref="DE148:DE154" si="376">DD148/DD10*100</f>
        <v>3.0969191270860077</v>
      </c>
      <c r="DF148" s="566">
        <f t="shared" ref="DF148:DF154" si="377">(DD148/CZ148-1)*100</f>
        <v>-13.83928571428571</v>
      </c>
      <c r="DG148" s="290"/>
      <c r="DH148" s="543">
        <f>DH128-DH138-DH68</f>
        <v>122</v>
      </c>
      <c r="DI148" s="672">
        <f t="shared" ref="DI148:DI154" si="378">DH148/DH10*100</f>
        <v>2.1129199861447869</v>
      </c>
      <c r="DJ148" s="566">
        <f t="shared" ref="DJ148:DJ154" si="379">(DH148/DD148-1)*100</f>
        <v>-36.787564766839374</v>
      </c>
      <c r="DK148" s="566"/>
      <c r="DL148" s="543">
        <f>DL128-DL138-DL68</f>
        <v>78.529600000000002</v>
      </c>
      <c r="DM148" s="672">
        <f t="shared" ref="DM148:DM154" si="380">DL148/DL10*100</f>
        <v>1.4672944693572496</v>
      </c>
      <c r="DN148" s="566">
        <f t="shared" ref="DN148:DN154" si="381">(DL148/DH148-1)*100</f>
        <v>-35.631475409836064</v>
      </c>
      <c r="DO148" s="566"/>
      <c r="DP148" s="1117">
        <f>DP128-DP138</f>
        <v>115.58020609199976</v>
      </c>
      <c r="DQ148" s="1175">
        <f t="shared" ref="DQ148:DQ154" si="382">DP148/DP10*100</f>
        <v>2.1747939254151212</v>
      </c>
      <c r="DR148" s="1132">
        <f t="shared" ref="DR148:DR154" si="383">(DP148/DL148-1)*100</f>
        <v>47.180433991768389</v>
      </c>
      <c r="DS148" s="290"/>
      <c r="DT148" s="290"/>
      <c r="DU148" s="290"/>
      <c r="DV148" s="290"/>
      <c r="DW148" s="290"/>
      <c r="DX148" s="290"/>
      <c r="DY148" s="290"/>
    </row>
    <row r="149" spans="1:139" x14ac:dyDescent="0.2">
      <c r="A149" s="604" t="s">
        <v>80</v>
      </c>
      <c r="D149" s="385">
        <f>D129-D139</f>
        <v>-126.372</v>
      </c>
      <c r="E149" s="672">
        <f t="shared" si="336"/>
        <v>-8.2829299753816628</v>
      </c>
      <c r="F149" s="605"/>
      <c r="H149" s="385">
        <f>H129-H139</f>
        <v>-143.82800000000009</v>
      </c>
      <c r="I149" s="672">
        <f t="shared" si="337"/>
        <v>-9.6158230391183572</v>
      </c>
      <c r="J149" s="605">
        <f>(I149-E149)*100</f>
        <v>-133.28930637366943</v>
      </c>
      <c r="L149" s="385">
        <f>L129-L139</f>
        <v>-2.2150000000000407</v>
      </c>
      <c r="M149" s="672">
        <f t="shared" si="338"/>
        <v>-0.15200259124959448</v>
      </c>
      <c r="N149" s="605">
        <f>(M149-I149)*100</f>
        <v>946.38204478687624</v>
      </c>
      <c r="P149" s="385">
        <f>P129-P139</f>
        <v>8.8529999999999731</v>
      </c>
      <c r="Q149" s="672">
        <f t="shared" si="339"/>
        <v>0.58930111935926888</v>
      </c>
      <c r="R149" s="605">
        <f>(Q149-M149)*100</f>
        <v>74.130371060886333</v>
      </c>
      <c r="T149" s="385">
        <f>T129-T139</f>
        <v>3.7719999999998466</v>
      </c>
      <c r="U149" s="672">
        <f t="shared" si="340"/>
        <v>0.23632604473402963</v>
      </c>
      <c r="V149" s="605">
        <f>(U149-Q149)*100</f>
        <v>-35.297507462523924</v>
      </c>
      <c r="X149" s="385">
        <f>X129-X139</f>
        <v>-58.228649999999988</v>
      </c>
      <c r="Y149" s="672">
        <f t="shared" si="341"/>
        <v>-1.9867834720895312</v>
      </c>
      <c r="Z149" s="605"/>
      <c r="AB149" s="385">
        <f>AB129-AB139</f>
        <v>-67.174999999999898</v>
      </c>
      <c r="AC149" s="672">
        <f t="shared" si="342"/>
        <v>-2.2046275024614341</v>
      </c>
      <c r="AD149" s="605">
        <f>(AC149-Y149)*100</f>
        <v>-21.784403037190291</v>
      </c>
      <c r="AF149" s="385">
        <f>AF129-AF139</f>
        <v>-27.221000000000203</v>
      </c>
      <c r="AG149" s="672">
        <f t="shared" si="343"/>
        <v>-0.82884720784362109</v>
      </c>
      <c r="AH149" s="605">
        <f>(AG149-AC149)*100</f>
        <v>137.57802946178131</v>
      </c>
      <c r="AJ149" s="385">
        <f>AJ129-AJ139</f>
        <v>105.01400000000035</v>
      </c>
      <c r="AK149" s="672">
        <f t="shared" si="344"/>
        <v>3.0414156626506124</v>
      </c>
      <c r="AL149" s="605">
        <f>(AK149-AG149)*100</f>
        <v>387.02628704942333</v>
      </c>
      <c r="AN149" s="385">
        <f>AN129-AN139</f>
        <v>107</v>
      </c>
      <c r="AO149" s="672">
        <f t="shared" si="345"/>
        <v>3.1231757151196731</v>
      </c>
      <c r="AP149" s="605">
        <f>(AO149-AK149)*100</f>
        <v>8.1760052469060707</v>
      </c>
      <c r="AR149" s="385">
        <f>AR129-AR139</f>
        <v>137</v>
      </c>
      <c r="AS149" s="672">
        <f t="shared" si="346"/>
        <v>3.4198701947079377</v>
      </c>
      <c r="AT149" s="605">
        <f>(AS149-AO149)*100</f>
        <v>29.669447958826467</v>
      </c>
      <c r="AV149" s="385">
        <f>AV129-AV139</f>
        <v>63</v>
      </c>
      <c r="AW149" s="672">
        <f t="shared" si="347"/>
        <v>1.7124218537646099</v>
      </c>
      <c r="AX149" s="605">
        <f>(AW149-AS149)*100</f>
        <v>-170.74483409433279</v>
      </c>
      <c r="AZ149" s="385">
        <f>AZ129-AZ139</f>
        <v>110</v>
      </c>
      <c r="BA149" s="672">
        <f t="shared" si="348"/>
        <v>3.153669724770642</v>
      </c>
      <c r="BB149" s="566">
        <f t="shared" si="349"/>
        <v>74.603174603174608</v>
      </c>
      <c r="BD149" s="385">
        <f>BD129-BD139</f>
        <v>282</v>
      </c>
      <c r="BE149" s="672">
        <f t="shared" si="350"/>
        <v>8.0895008605851988</v>
      </c>
      <c r="BF149" s="566">
        <f t="shared" si="351"/>
        <v>156.36363636363635</v>
      </c>
      <c r="BH149" s="385">
        <f>BH129-BH139</f>
        <v>120</v>
      </c>
      <c r="BI149" s="672">
        <f t="shared" si="352"/>
        <v>3.4944670937682005</v>
      </c>
      <c r="BJ149" s="566">
        <f t="shared" si="353"/>
        <v>-57.446808510638306</v>
      </c>
      <c r="BL149" s="385">
        <f>BL129-BL139</f>
        <v>78</v>
      </c>
      <c r="BM149" s="672">
        <f t="shared" si="354"/>
        <v>2.1781625244345153</v>
      </c>
      <c r="BN149" s="566">
        <f t="shared" si="355"/>
        <v>-35</v>
      </c>
      <c r="BP149" s="385">
        <f>BP129-BP139</f>
        <v>148</v>
      </c>
      <c r="BQ149" s="672">
        <f t="shared" si="356"/>
        <v>4.0850124206458736</v>
      </c>
      <c r="BR149" s="566">
        <f t="shared" si="357"/>
        <v>89.743589743589737</v>
      </c>
      <c r="BT149" s="385">
        <f>BT129-BT139</f>
        <v>316.875</v>
      </c>
      <c r="BU149" s="672">
        <f t="shared" si="358"/>
        <v>5.2856547122602171</v>
      </c>
      <c r="BV149" s="566">
        <f t="shared" si="359"/>
        <v>114.10472972972974</v>
      </c>
      <c r="BX149" s="385">
        <f>BX129-BX139</f>
        <v>74</v>
      </c>
      <c r="BY149" s="672">
        <f t="shared" si="360"/>
        <v>1.2559402579769179</v>
      </c>
      <c r="BZ149" s="566">
        <f t="shared" si="361"/>
        <v>-76.646942800788949</v>
      </c>
      <c r="CB149" s="385">
        <f>CB129-CB139</f>
        <v>73</v>
      </c>
      <c r="CC149" s="672">
        <f t="shared" si="362"/>
        <v>1.2766701643931444</v>
      </c>
      <c r="CD149" s="566">
        <f t="shared" si="363"/>
        <v>-1.3513513513513487</v>
      </c>
      <c r="CF149" s="385">
        <f>CF129-CF139</f>
        <v>7</v>
      </c>
      <c r="CG149" s="672">
        <f t="shared" si="364"/>
        <v>0.13245033112582782</v>
      </c>
      <c r="CH149" s="566">
        <f t="shared" si="365"/>
        <v>-90.410958904109592</v>
      </c>
      <c r="CJ149" s="385">
        <f>CJ129-CJ139</f>
        <v>147</v>
      </c>
      <c r="CK149" s="672">
        <f t="shared" si="366"/>
        <v>2.6548672566371683</v>
      </c>
      <c r="CL149" s="566">
        <f t="shared" si="367"/>
        <v>2000</v>
      </c>
      <c r="CN149" s="385">
        <f>CN129-CN139</f>
        <v>241</v>
      </c>
      <c r="CO149" s="672">
        <f t="shared" si="368"/>
        <v>4.057922209126116</v>
      </c>
      <c r="CP149" s="566">
        <f t="shared" si="369"/>
        <v>63.945578231292522</v>
      </c>
      <c r="CR149" s="385">
        <f>CR129-CR139</f>
        <v>279</v>
      </c>
      <c r="CS149" s="672">
        <f t="shared" si="370"/>
        <v>4.5603138280483817</v>
      </c>
      <c r="CT149" s="566">
        <f t="shared" si="371"/>
        <v>15.767634854771796</v>
      </c>
      <c r="CV149" s="385">
        <f>CV129-CV139</f>
        <v>281</v>
      </c>
      <c r="CW149" s="672">
        <f t="shared" si="372"/>
        <v>4.6323771843059678</v>
      </c>
      <c r="CX149" s="566">
        <f t="shared" si="373"/>
        <v>0.71684587813620748</v>
      </c>
      <c r="CZ149" s="385">
        <f>CZ129-CZ139</f>
        <v>292</v>
      </c>
      <c r="DA149" s="672">
        <f t="shared" si="374"/>
        <v>4.6593266315621511</v>
      </c>
      <c r="DB149" s="566">
        <f t="shared" si="375"/>
        <v>3.9145907473309594</v>
      </c>
      <c r="DC149" s="290"/>
      <c r="DD149" s="385">
        <f>DD129-DD139</f>
        <v>217</v>
      </c>
      <c r="DE149" s="672">
        <f t="shared" si="376"/>
        <v>3.5550458715596331</v>
      </c>
      <c r="DF149" s="566">
        <f t="shared" si="377"/>
        <v>-25.684931506849317</v>
      </c>
      <c r="DG149" s="290"/>
      <c r="DH149" s="385">
        <f t="shared" ref="DH149:DH151" si="384">DH129-DH139-DH69</f>
        <v>4.6800000000000068</v>
      </c>
      <c r="DI149" s="672">
        <f t="shared" si="378"/>
        <v>7.8418230563002789E-2</v>
      </c>
      <c r="DJ149" s="566">
        <f t="shared" si="379"/>
        <v>-97.843317972350235</v>
      </c>
      <c r="DK149" s="566"/>
      <c r="DL149" s="543">
        <f t="shared" ref="DL149:DL152" si="385">DL129-DL139-DL69</f>
        <v>110.50020000000001</v>
      </c>
      <c r="DM149" s="672">
        <f t="shared" si="380"/>
        <v>1.9609618456078084</v>
      </c>
      <c r="DN149" s="566">
        <f t="shared" si="381"/>
        <v>2261.1153846153811</v>
      </c>
      <c r="DO149" s="566"/>
      <c r="DP149" s="1092">
        <f>DP129-DP139</f>
        <v>146.89116149625039</v>
      </c>
      <c r="DQ149" s="1175">
        <f t="shared" si="382"/>
        <v>2.6846181041919368</v>
      </c>
      <c r="DR149" s="1132">
        <f t="shared" si="383"/>
        <v>32.932937222059678</v>
      </c>
      <c r="DS149" s="290"/>
      <c r="DT149" s="290"/>
      <c r="DU149" s="290"/>
      <c r="DV149" s="290"/>
      <c r="DW149" s="290"/>
      <c r="DX149" s="290"/>
      <c r="DY149" s="290"/>
    </row>
    <row r="150" spans="1:139" x14ac:dyDescent="0.2">
      <c r="A150" s="604" t="s">
        <v>81</v>
      </c>
      <c r="D150" s="385">
        <f>D130-D140</f>
        <v>-86.802000000000035</v>
      </c>
      <c r="E150" s="672">
        <f t="shared" si="336"/>
        <v>-4.9114849713720234</v>
      </c>
      <c r="F150" s="605"/>
      <c r="H150" s="385">
        <f>H130-H140</f>
        <v>-60.994999999999948</v>
      </c>
      <c r="I150" s="672">
        <f t="shared" si="337"/>
        <v>-3.5692529877389001</v>
      </c>
      <c r="J150" s="605">
        <f>(I150-E150)*100</f>
        <v>134.22319836331235</v>
      </c>
      <c r="L150" s="385">
        <f>L130-L140</f>
        <v>31.581999999999919</v>
      </c>
      <c r="M150" s="672">
        <f t="shared" si="338"/>
        <v>1.7653783053329672</v>
      </c>
      <c r="N150" s="605">
        <f>(M150-I150)*100</f>
        <v>533.4631293071867</v>
      </c>
      <c r="P150" s="385">
        <f>P130-P140</f>
        <v>48.765999999999963</v>
      </c>
      <c r="Q150" s="672">
        <f t="shared" si="339"/>
        <v>2.7254005024269041</v>
      </c>
      <c r="R150" s="605">
        <f>(Q150-M150)*100</f>
        <v>96.002219709393685</v>
      </c>
      <c r="T150" s="385">
        <f>T130-T140</f>
        <v>44.343000000000011</v>
      </c>
      <c r="U150" s="672">
        <f t="shared" si="340"/>
        <v>2.301367388913599</v>
      </c>
      <c r="V150" s="605">
        <f>(U150-Q150)*100</f>
        <v>-42.403311351330508</v>
      </c>
      <c r="X150" s="385">
        <f>X130-X140</f>
        <v>-51.259399999999964</v>
      </c>
      <c r="Y150" s="672">
        <f t="shared" si="341"/>
        <v>-1.5289446996361022</v>
      </c>
      <c r="Z150" s="605"/>
      <c r="AB150" s="385">
        <f>AB130-AB140</f>
        <v>21.895999999999749</v>
      </c>
      <c r="AC150" s="672">
        <f t="shared" si="342"/>
        <v>0.65684164044819038</v>
      </c>
      <c r="AD150" s="605">
        <f>(AC150-Y150)*100</f>
        <v>218.57863400842925</v>
      </c>
      <c r="AF150" s="385">
        <f>AF130-AF140</f>
        <v>41.753000000000206</v>
      </c>
      <c r="AG150" s="672">
        <f t="shared" si="343"/>
        <v>1.1568812169238927</v>
      </c>
      <c r="AH150" s="605">
        <f>(AG150-AC150)*100</f>
        <v>50.003957647570232</v>
      </c>
      <c r="AJ150" s="385">
        <f>AJ130-AJ140</f>
        <v>104.9380000000001</v>
      </c>
      <c r="AK150" s="672">
        <f t="shared" si="344"/>
        <v>2.8012599770427937</v>
      </c>
      <c r="AL150" s="605">
        <f>(AK150-AG150)*100</f>
        <v>164.4378760118901</v>
      </c>
      <c r="AN150" s="385">
        <f>AN130-AN140</f>
        <v>87</v>
      </c>
      <c r="AO150" s="672">
        <f t="shared" si="345"/>
        <v>2.4520856820744079</v>
      </c>
      <c r="AP150" s="605">
        <f>(AO150-AK150)*100</f>
        <v>-34.917429496838579</v>
      </c>
      <c r="AR150" s="385">
        <f>AR130-AR140</f>
        <v>123</v>
      </c>
      <c r="AS150" s="672">
        <f t="shared" si="346"/>
        <v>2.9731689630166791</v>
      </c>
      <c r="AT150" s="605">
        <f>(AS150-AO150)*100</f>
        <v>52.108328094227119</v>
      </c>
      <c r="AV150" s="385">
        <f>AV130-AV140</f>
        <v>-668</v>
      </c>
      <c r="AW150" s="672">
        <f t="shared" si="347"/>
        <v>-17.662612374405075</v>
      </c>
      <c r="AX150" s="605">
        <f>(AW150-AS150)*100</f>
        <v>-2063.5781337421754</v>
      </c>
      <c r="AZ150" s="385">
        <f>AZ130-AZ140</f>
        <v>3</v>
      </c>
      <c r="BA150" s="672">
        <f t="shared" si="348"/>
        <v>8.6330935251798566E-2</v>
      </c>
      <c r="BB150" s="566">
        <f t="shared" si="349"/>
        <v>-100.44910179640718</v>
      </c>
      <c r="BD150" s="385">
        <f>BD130-BD140</f>
        <v>106</v>
      </c>
      <c r="BE150" s="672">
        <f t="shared" si="350"/>
        <v>3.0468525438344352</v>
      </c>
      <c r="BF150" s="566">
        <f t="shared" si="351"/>
        <v>3433.3333333333335</v>
      </c>
      <c r="BH150" s="385">
        <f>BH130-BH140</f>
        <v>67</v>
      </c>
      <c r="BI150" s="672">
        <f t="shared" si="352"/>
        <v>1.9219736087205965</v>
      </c>
      <c r="BJ150" s="566">
        <f t="shared" si="353"/>
        <v>-36.79245283018868</v>
      </c>
      <c r="BL150" s="385">
        <f>BL130-BL140</f>
        <v>74</v>
      </c>
      <c r="BM150" s="672">
        <f t="shared" si="354"/>
        <v>2.0992907801418439</v>
      </c>
      <c r="BN150" s="566">
        <f t="shared" si="355"/>
        <v>10.447761194029859</v>
      </c>
      <c r="BP150" s="385">
        <f>BP130-BP140</f>
        <v>436.23741007194246</v>
      </c>
      <c r="BQ150" s="672">
        <f t="shared" si="356"/>
        <v>7.8530586871636805</v>
      </c>
      <c r="BR150" s="566">
        <f t="shared" si="357"/>
        <v>489.5100136107331</v>
      </c>
      <c r="BT150" s="385">
        <f>BT130-BT140</f>
        <v>-3</v>
      </c>
      <c r="BU150" s="672">
        <f t="shared" si="358"/>
        <v>-5.0968399592252807E-2</v>
      </c>
      <c r="BV150" s="566">
        <f t="shared" si="359"/>
        <v>-100.6876989296964</v>
      </c>
      <c r="BX150" s="385">
        <f>BX130-BX140</f>
        <v>33</v>
      </c>
      <c r="BY150" s="672">
        <f t="shared" si="360"/>
        <v>0.55875380968506605</v>
      </c>
      <c r="BZ150" s="566">
        <f t="shared" si="361"/>
        <v>-1200</v>
      </c>
      <c r="CB150" s="385">
        <f>CB130-CB140</f>
        <v>-44</v>
      </c>
      <c r="CC150" s="672">
        <f t="shared" si="362"/>
        <v>-0.80101947933733841</v>
      </c>
      <c r="CD150" s="566">
        <f t="shared" si="363"/>
        <v>-233.33333333333331</v>
      </c>
      <c r="CF150" s="385">
        <f>CF130-CF140</f>
        <v>-35</v>
      </c>
      <c r="CG150" s="672">
        <f t="shared" si="364"/>
        <v>-0.64995357474466109</v>
      </c>
      <c r="CH150" s="566">
        <f t="shared" si="365"/>
        <v>-20.45454545454546</v>
      </c>
      <c r="CJ150" s="385">
        <f>CJ130-CJ140</f>
        <v>34.4</v>
      </c>
      <c r="CK150" s="672">
        <f t="shared" si="366"/>
        <v>0.61177307487106525</v>
      </c>
      <c r="CL150" s="566">
        <f t="shared" si="367"/>
        <v>-198.28571428571428</v>
      </c>
      <c r="CN150" s="385">
        <f>CN130-CN140</f>
        <v>139</v>
      </c>
      <c r="CO150" s="672">
        <f t="shared" si="368"/>
        <v>2.3748505040150349</v>
      </c>
      <c r="CP150" s="566">
        <f t="shared" si="369"/>
        <v>304.06976744186051</v>
      </c>
      <c r="CR150" s="385">
        <f>CR130-CR140</f>
        <v>145</v>
      </c>
      <c r="CS150" s="672">
        <f t="shared" si="370"/>
        <v>2.3868312757201648</v>
      </c>
      <c r="CT150" s="566">
        <f t="shared" si="371"/>
        <v>4.3165467625899234</v>
      </c>
      <c r="CV150" s="385">
        <f>CV130-CV140</f>
        <v>177</v>
      </c>
      <c r="CW150" s="672">
        <f t="shared" si="372"/>
        <v>2.820267686424474</v>
      </c>
      <c r="CX150" s="566">
        <f t="shared" si="373"/>
        <v>22.068965517241381</v>
      </c>
      <c r="CZ150" s="385">
        <f>CZ130-CZ140</f>
        <v>217</v>
      </c>
      <c r="DA150" s="672">
        <f t="shared" si="374"/>
        <v>3.5028248587570623</v>
      </c>
      <c r="DB150" s="566">
        <f t="shared" si="375"/>
        <v>22.598870056497166</v>
      </c>
      <c r="DC150" s="290"/>
      <c r="DD150" s="385">
        <f>DD130-DD140</f>
        <v>113.66999999999999</v>
      </c>
      <c r="DE150" s="672">
        <f t="shared" si="376"/>
        <v>1.9351378958120531</v>
      </c>
      <c r="DF150" s="566">
        <f t="shared" si="377"/>
        <v>-47.617511520737331</v>
      </c>
      <c r="DG150" s="290"/>
      <c r="DH150" s="385">
        <f t="shared" si="384"/>
        <v>12.385999999999996</v>
      </c>
      <c r="DI150" s="672">
        <f t="shared" si="378"/>
        <v>0.21980479148181004</v>
      </c>
      <c r="DJ150" s="566">
        <f t="shared" si="379"/>
        <v>-89.103545350576226</v>
      </c>
      <c r="DK150" s="566"/>
      <c r="DL150" s="543">
        <f t="shared" si="385"/>
        <v>29.499499999999998</v>
      </c>
      <c r="DM150" s="672">
        <f t="shared" si="380"/>
        <v>0.55796292793644786</v>
      </c>
      <c r="DN150" s="566">
        <f t="shared" si="381"/>
        <v>138.16809300823519</v>
      </c>
      <c r="DO150" s="566"/>
      <c r="DP150" s="1092">
        <f>DP130-DP140</f>
        <v>87.165826157499637</v>
      </c>
      <c r="DQ150" s="1175">
        <f t="shared" si="382"/>
        <v>1.6453913840089756</v>
      </c>
      <c r="DR150" s="1132">
        <f t="shared" si="383"/>
        <v>195.48238498110018</v>
      </c>
      <c r="DS150" s="290"/>
      <c r="DT150" s="290"/>
      <c r="DU150" s="290"/>
      <c r="DV150" s="290"/>
      <c r="DW150" s="290"/>
      <c r="DX150" s="290"/>
      <c r="DY150" s="290"/>
    </row>
    <row r="151" spans="1:139" x14ac:dyDescent="0.2">
      <c r="A151" s="604" t="s">
        <v>82</v>
      </c>
      <c r="D151" s="607">
        <f>D131-D141</f>
        <v>41.16799999999995</v>
      </c>
      <c r="E151" s="672">
        <f t="shared" si="336"/>
        <v>1.8227995168483186</v>
      </c>
      <c r="F151" s="605"/>
      <c r="H151" s="607">
        <f>H131-H141</f>
        <v>-3142.5589999999997</v>
      </c>
      <c r="I151" s="672">
        <f t="shared" si="337"/>
        <v>-147.24349423219286</v>
      </c>
      <c r="J151" s="605">
        <f>(I151-E151)*100</f>
        <v>-14906.629374904116</v>
      </c>
      <c r="L151" s="607">
        <f>L131-L141</f>
        <v>111.22800000000002</v>
      </c>
      <c r="M151" s="672">
        <f t="shared" si="338"/>
        <v>4.917158774521031</v>
      </c>
      <c r="N151" s="605">
        <f>(M151-I151)*100</f>
        <v>15216.065300671389</v>
      </c>
      <c r="P151" s="607">
        <f>P131-P141</f>
        <v>145.9579999999998</v>
      </c>
      <c r="Q151" s="672">
        <f t="shared" si="339"/>
        <v>6.2174766479350252</v>
      </c>
      <c r="R151" s="605">
        <f>(Q151-M151)*100</f>
        <v>130.03178734139942</v>
      </c>
      <c r="T151" s="607">
        <f>T131-T141</f>
        <v>166.51599999999993</v>
      </c>
      <c r="U151" s="672">
        <f t="shared" si="340"/>
        <v>6.5792286249943182</v>
      </c>
      <c r="V151" s="605">
        <f>(U151-Q151)*100</f>
        <v>36.175197705929293</v>
      </c>
      <c r="X151" s="607">
        <f>X131-X141</f>
        <v>183.3344000000001</v>
      </c>
      <c r="Y151" s="672">
        <f t="shared" si="341"/>
        <v>4.092194370661371</v>
      </c>
      <c r="Z151" s="605"/>
      <c r="AB151" s="607">
        <f>AB131-AB141</f>
        <v>251.26899999999983</v>
      </c>
      <c r="AC151" s="672">
        <f t="shared" si="342"/>
        <v>5.4275623717464052</v>
      </c>
      <c r="AD151" s="605">
        <f>(AC151-Y151)*100</f>
        <v>133.53680010850343</v>
      </c>
      <c r="AF151" s="607">
        <f>AF131-AF141</f>
        <v>289.64399999999972</v>
      </c>
      <c r="AG151" s="672">
        <f t="shared" si="343"/>
        <v>5.7521547444095749</v>
      </c>
      <c r="AH151" s="605">
        <f>(AG151-AC151)*100</f>
        <v>32.459237266316961</v>
      </c>
      <c r="AJ151" s="607">
        <f>AJ131-AJ141</f>
        <v>379.08000000000004</v>
      </c>
      <c r="AK151" s="672">
        <f t="shared" si="344"/>
        <v>7.4915278622071115</v>
      </c>
      <c r="AL151" s="605">
        <f>(AK151-AG151)*100</f>
        <v>173.93731177975366</v>
      </c>
      <c r="AN151" s="607">
        <f>AN131-AN141</f>
        <v>408</v>
      </c>
      <c r="AO151" s="672">
        <f t="shared" si="345"/>
        <v>8.104886769964244</v>
      </c>
      <c r="AP151" s="605">
        <f>(AO151-AK151)*100</f>
        <v>61.335890775713239</v>
      </c>
      <c r="AR151" s="607">
        <f>AR131-AR141</f>
        <v>448</v>
      </c>
      <c r="AS151" s="672">
        <f t="shared" si="346"/>
        <v>7.5004185501423066</v>
      </c>
      <c r="AT151" s="605">
        <f>(AS151-AO151)*100</f>
        <v>-60.446821982193732</v>
      </c>
      <c r="AV151" s="607">
        <f>AV131-AV141</f>
        <v>332</v>
      </c>
      <c r="AW151" s="672">
        <f t="shared" si="347"/>
        <v>5.9243397573162024</v>
      </c>
      <c r="AX151" s="605">
        <f>(AW151-AS151)*100</f>
        <v>-157.60787928261041</v>
      </c>
      <c r="AZ151" s="607">
        <f>AZ131-AZ141</f>
        <v>-447</v>
      </c>
      <c r="BA151" s="672">
        <f t="shared" si="348"/>
        <v>-8.7100545596258758</v>
      </c>
      <c r="BB151" s="566">
        <f t="shared" si="349"/>
        <v>-234.6385542168675</v>
      </c>
      <c r="BD151" s="607">
        <f>BD131-BD141</f>
        <v>341</v>
      </c>
      <c r="BE151" s="672">
        <f t="shared" si="350"/>
        <v>6.7968905720550126</v>
      </c>
      <c r="BF151" s="566">
        <f t="shared" si="351"/>
        <v>-176.28635346756153</v>
      </c>
      <c r="BH151" s="607">
        <f>BH131-BH141</f>
        <v>460</v>
      </c>
      <c r="BI151" s="672">
        <f t="shared" si="352"/>
        <v>9.1035028695824263</v>
      </c>
      <c r="BJ151" s="566">
        <f t="shared" si="353"/>
        <v>34.897360703812311</v>
      </c>
      <c r="BL151" s="607">
        <f>BL131-BL141</f>
        <v>440</v>
      </c>
      <c r="BM151" s="672">
        <f t="shared" si="354"/>
        <v>8.59375</v>
      </c>
      <c r="BN151" s="566">
        <f t="shared" si="355"/>
        <v>-4.3478260869565188</v>
      </c>
      <c r="BP151" s="607">
        <f>BP131-BP141</f>
        <v>699</v>
      </c>
      <c r="BQ151" s="672">
        <f t="shared" si="356"/>
        <v>7.3033120886009826</v>
      </c>
      <c r="BR151" s="566">
        <f t="shared" si="357"/>
        <v>58.86363636363636</v>
      </c>
      <c r="BT151" s="607">
        <f>BT131-BT141</f>
        <v>733</v>
      </c>
      <c r="BU151" s="672">
        <f t="shared" si="358"/>
        <v>8.003057102303746</v>
      </c>
      <c r="BV151" s="566">
        <f t="shared" si="359"/>
        <v>4.8640915593705314</v>
      </c>
      <c r="BX151" s="607">
        <f>BX131-BX141</f>
        <v>750</v>
      </c>
      <c r="BY151" s="672">
        <f t="shared" si="360"/>
        <v>8.7270188503607162</v>
      </c>
      <c r="BZ151" s="566">
        <f t="shared" si="361"/>
        <v>2.3192360163710735</v>
      </c>
      <c r="CB151" s="607">
        <f>CB131-CB141</f>
        <v>-4773</v>
      </c>
      <c r="CC151" s="672">
        <f t="shared" si="362"/>
        <v>-60.158810184018151</v>
      </c>
      <c r="CD151" s="566">
        <f t="shared" si="363"/>
        <v>-736.4</v>
      </c>
      <c r="CF151" s="607">
        <f>CF131-CF141</f>
        <v>445</v>
      </c>
      <c r="CG151" s="672">
        <f t="shared" si="364"/>
        <v>5.6066523875519723</v>
      </c>
      <c r="CH151" s="566">
        <f t="shared" si="365"/>
        <v>-109.32327676513722</v>
      </c>
      <c r="CJ151" s="607">
        <f>CJ131-CJ141</f>
        <v>667</v>
      </c>
      <c r="CK151" s="672">
        <f t="shared" si="366"/>
        <v>8.0662716168823305</v>
      </c>
      <c r="CL151" s="566">
        <f t="shared" si="367"/>
        <v>49.887640449438209</v>
      </c>
      <c r="CN151" s="607">
        <f>CN131-CN141</f>
        <v>745</v>
      </c>
      <c r="CO151" s="672">
        <f t="shared" si="368"/>
        <v>8.53966070609812</v>
      </c>
      <c r="CP151" s="566">
        <f t="shared" si="369"/>
        <v>11.694152923538237</v>
      </c>
      <c r="CR151" s="607">
        <f>CR131-CR141</f>
        <v>730</v>
      </c>
      <c r="CS151" s="672">
        <f t="shared" si="370"/>
        <v>7.8074866310160429</v>
      </c>
      <c r="CT151" s="566">
        <f t="shared" si="371"/>
        <v>-2.0134228187919434</v>
      </c>
      <c r="CV151" s="607">
        <f>CV131-CV141</f>
        <v>808.63228699551564</v>
      </c>
      <c r="CW151" s="672">
        <f t="shared" si="372"/>
        <v>8.7875710388558534</v>
      </c>
      <c r="CX151" s="566">
        <f t="shared" si="373"/>
        <v>10.771546163769274</v>
      </c>
      <c r="CZ151" s="607">
        <f>CZ131-CZ141</f>
        <v>793</v>
      </c>
      <c r="DA151" s="672">
        <f t="shared" si="374"/>
        <v>8.4686031610422905</v>
      </c>
      <c r="DB151" s="566">
        <f t="shared" si="375"/>
        <v>-1.9331762096215122</v>
      </c>
      <c r="DC151" s="290"/>
      <c r="DD151" s="607">
        <f>DD131-DD141</f>
        <v>545.87599999999998</v>
      </c>
      <c r="DE151" s="672">
        <f t="shared" si="376"/>
        <v>6.1548765362498585</v>
      </c>
      <c r="DF151" s="566">
        <f t="shared" si="377"/>
        <v>-31.163177805800757</v>
      </c>
      <c r="DG151" s="290"/>
      <c r="DH151" s="607">
        <f t="shared" si="384"/>
        <v>487.66499999999996</v>
      </c>
      <c r="DI151" s="672">
        <f t="shared" si="378"/>
        <v>5.7150474627915147</v>
      </c>
      <c r="DJ151" s="566">
        <f t="shared" si="379"/>
        <v>-10.663777121544094</v>
      </c>
      <c r="DK151" s="566"/>
      <c r="DL151" s="1481">
        <f t="shared" si="385"/>
        <v>1336.502</v>
      </c>
      <c r="DM151" s="672">
        <f t="shared" si="380"/>
        <v>15.413470187982931</v>
      </c>
      <c r="DN151" s="566">
        <f t="shared" si="381"/>
        <v>174.06149713430327</v>
      </c>
      <c r="DO151" s="566"/>
      <c r="DP151" s="1102">
        <f>DP131-DP141</f>
        <v>743.07638881774972</v>
      </c>
      <c r="DQ151" s="1175">
        <f t="shared" si="382"/>
        <v>8.7714160652657274</v>
      </c>
      <c r="DR151" s="1132">
        <f t="shared" si="383"/>
        <v>-44.401400909407563</v>
      </c>
      <c r="DS151" s="290"/>
      <c r="DT151" s="290"/>
      <c r="DU151" s="290"/>
      <c r="DV151" s="290"/>
      <c r="DW151" s="290"/>
      <c r="DX151" s="290"/>
      <c r="DY151" s="290"/>
    </row>
    <row r="152" spans="1:139" x14ac:dyDescent="0.2">
      <c r="A152" s="604" t="s">
        <v>83</v>
      </c>
      <c r="D152" s="543">
        <f>D132-D142</f>
        <v>-271.44599999999997</v>
      </c>
      <c r="E152" s="672">
        <f t="shared" si="336"/>
        <v>-3.8007091307834253</v>
      </c>
      <c r="F152" s="605"/>
      <c r="H152" s="543">
        <f>H132-H142</f>
        <v>-3411.5429999999997</v>
      </c>
      <c r="I152" s="672">
        <f t="shared" si="337"/>
        <v>-49.212118362055541</v>
      </c>
      <c r="J152" s="605">
        <f>(I152-E152)*100</f>
        <v>-4541.1409231272119</v>
      </c>
      <c r="L152" s="543">
        <f>L132-L142</f>
        <v>152.4070000000001</v>
      </c>
      <c r="M152" s="672">
        <f t="shared" si="338"/>
        <v>2.1526591817643692</v>
      </c>
      <c r="N152" s="605">
        <f>(M152-I152)*100</f>
        <v>5136.477754381991</v>
      </c>
      <c r="P152" s="543">
        <f>P132-P142</f>
        <v>228.8219999999998</v>
      </c>
      <c r="Q152" s="672">
        <f t="shared" si="339"/>
        <v>3.1651563074476634</v>
      </c>
      <c r="R152" s="605">
        <f>(Q152-M152)*100</f>
        <v>101.24971256832941</v>
      </c>
      <c r="T152" s="543">
        <f>T132-T142</f>
        <v>246.85299999999998</v>
      </c>
      <c r="U152" s="672">
        <f t="shared" si="340"/>
        <v>3.2027730994202126</v>
      </c>
      <c r="V152" s="605">
        <f>(U152-Q152)*100</f>
        <v>3.7616791972549191</v>
      </c>
      <c r="X152" s="543">
        <f>X132-X142</f>
        <v>20.650950000000137</v>
      </c>
      <c r="Y152" s="672">
        <f t="shared" si="341"/>
        <v>0.15072035908477274</v>
      </c>
      <c r="Z152" s="605"/>
      <c r="AB152" s="543">
        <f>AB132-AB142</f>
        <v>148.99099999999939</v>
      </c>
      <c r="AC152" s="672">
        <f t="shared" si="342"/>
        <v>1.0643708966559118</v>
      </c>
      <c r="AD152" s="605">
        <f>(AC152-Y152)*100</f>
        <v>91.365053757113898</v>
      </c>
      <c r="AF152" s="543">
        <f>AF132-AF142</f>
        <v>266.25299999999959</v>
      </c>
      <c r="AG152" s="672">
        <f t="shared" si="343"/>
        <v>1.7950043821209436</v>
      </c>
      <c r="AH152" s="605">
        <f>(AG152-AC152)*100</f>
        <v>73.063348546503178</v>
      </c>
      <c r="AJ152" s="543">
        <f>AJ132-AJ142</f>
        <v>536</v>
      </c>
      <c r="AK152" s="672">
        <f t="shared" si="344"/>
        <v>3.5216819973718789</v>
      </c>
      <c r="AL152" s="605">
        <f>(AK152-AG152)*100</f>
        <v>172.66776152509354</v>
      </c>
      <c r="AN152" s="543">
        <f>SUM(AN148:AN151)</f>
        <v>662.23400000000004</v>
      </c>
      <c r="AO152" s="672">
        <f t="shared" si="345"/>
        <v>4.3100162707452006</v>
      </c>
      <c r="AP152" s="605">
        <f>(AO152-AK152)*100</f>
        <v>78.833427337332168</v>
      </c>
      <c r="AR152" s="543">
        <f>AR132-AR142</f>
        <v>795</v>
      </c>
      <c r="AS152" s="672">
        <f t="shared" si="346"/>
        <v>4.9597604342129893</v>
      </c>
      <c r="AT152" s="605">
        <f>(AS152-AO152)*100</f>
        <v>64.974416346778867</v>
      </c>
      <c r="AV152" s="543">
        <f>AV132-AV142</f>
        <v>-184</v>
      </c>
      <c r="AW152" s="672">
        <f t="shared" si="347"/>
        <v>-1.1059021517009255</v>
      </c>
      <c r="AX152" s="605">
        <f>(AW152-AS152)*100</f>
        <v>-606.56625859139149</v>
      </c>
      <c r="AZ152" s="543">
        <f>AZ132-AZ142</f>
        <v>-276</v>
      </c>
      <c r="BA152" s="672">
        <f t="shared" si="348"/>
        <v>-1.7484954070319925</v>
      </c>
      <c r="BB152" s="566">
        <f t="shared" si="349"/>
        <v>50</v>
      </c>
      <c r="BD152" s="543">
        <f>BD132-BD142</f>
        <v>818</v>
      </c>
      <c r="BE152" s="672">
        <f t="shared" si="350"/>
        <v>5.2533555969430354</v>
      </c>
      <c r="BF152" s="566">
        <f t="shared" si="351"/>
        <v>-396.37681159420288</v>
      </c>
      <c r="BH152" s="543">
        <f>BH132-BH142</f>
        <v>693</v>
      </c>
      <c r="BI152" s="672">
        <f t="shared" si="352"/>
        <v>4.4964962366986763</v>
      </c>
      <c r="BJ152" s="566">
        <f t="shared" si="353"/>
        <v>-15.281173594132024</v>
      </c>
      <c r="BL152" s="543">
        <f>BL132-BL142</f>
        <v>689</v>
      </c>
      <c r="BM152" s="672">
        <f t="shared" si="354"/>
        <v>4.3673935091277896</v>
      </c>
      <c r="BN152" s="566">
        <f t="shared" si="355"/>
        <v>-0.57720057720057616</v>
      </c>
      <c r="BP152" s="543">
        <f>BP132-BP142</f>
        <v>1406.5914100719424</v>
      </c>
      <c r="BQ152" s="672">
        <f t="shared" si="356"/>
        <v>6.282230505010908</v>
      </c>
      <c r="BR152" s="566">
        <f t="shared" si="357"/>
        <v>104.14969667227032</v>
      </c>
      <c r="BT152" s="543">
        <f>BT132-BT142</f>
        <v>994.875</v>
      </c>
      <c r="BU152" s="672">
        <f t="shared" si="358"/>
        <v>3.6888209121245832</v>
      </c>
      <c r="BV152" s="566">
        <f t="shared" si="359"/>
        <v>-29.270505075164966</v>
      </c>
      <c r="BX152" s="543">
        <f>BX132-BX142</f>
        <v>893</v>
      </c>
      <c r="BY152" s="672">
        <f t="shared" si="360"/>
        <v>3.3937597385322844</v>
      </c>
      <c r="BZ152" s="566">
        <f t="shared" si="361"/>
        <v>-10.239979896971985</v>
      </c>
      <c r="CB152" s="543">
        <f>CB132-CB142</f>
        <v>-4803</v>
      </c>
      <c r="CC152" s="672">
        <f t="shared" si="362"/>
        <v>-19.295355937650651</v>
      </c>
      <c r="CD152" s="566">
        <f t="shared" si="363"/>
        <v>-637.84994400895857</v>
      </c>
      <c r="CF152" s="543">
        <f>CF132-CF142</f>
        <v>329</v>
      </c>
      <c r="CG152" s="672">
        <f t="shared" si="364"/>
        <v>1.3768570830717723</v>
      </c>
      <c r="CH152" s="566">
        <f t="shared" si="365"/>
        <v>-106.84988548823652</v>
      </c>
      <c r="CJ152" s="543">
        <f>CJ132-CJ142</f>
        <v>888.4</v>
      </c>
      <c r="CK152" s="672">
        <f t="shared" si="366"/>
        <v>3.5531736191656997</v>
      </c>
      <c r="CL152" s="566">
        <f t="shared" si="367"/>
        <v>170.03039513677808</v>
      </c>
      <c r="CN152" s="543">
        <f>CN132-CN142</f>
        <v>1256</v>
      </c>
      <c r="CO152" s="672">
        <f t="shared" si="368"/>
        <v>4.7566748721832992</v>
      </c>
      <c r="CP152" s="566">
        <f t="shared" si="369"/>
        <v>41.37775776677173</v>
      </c>
      <c r="CR152" s="543">
        <f>CR132-CR142</f>
        <v>1335</v>
      </c>
      <c r="CS152" s="672">
        <f t="shared" si="370"/>
        <v>4.8219316622119486</v>
      </c>
      <c r="CT152" s="566">
        <f t="shared" si="371"/>
        <v>6.2898089171974592</v>
      </c>
      <c r="CV152" s="543">
        <f>CV132-CV142</f>
        <v>1483.6322869955156</v>
      </c>
      <c r="CW152" s="672">
        <f t="shared" si="372"/>
        <v>5.3117764741524311</v>
      </c>
      <c r="CX152" s="566">
        <f t="shared" si="373"/>
        <v>11.133504643858849</v>
      </c>
      <c r="CZ152" s="543">
        <f>CZ132-CZ142</f>
        <v>1526</v>
      </c>
      <c r="DA152" s="672">
        <f t="shared" si="374"/>
        <v>5.429638854296388</v>
      </c>
      <c r="DB152" s="566">
        <f t="shared" si="375"/>
        <v>2.8556747770893232</v>
      </c>
      <c r="DC152" s="290"/>
      <c r="DD152" s="543">
        <f>DD132-DD142</f>
        <v>1069.5459999999998</v>
      </c>
      <c r="DE152" s="672">
        <f t="shared" si="376"/>
        <v>3.9497248790575714</v>
      </c>
      <c r="DF152" s="566">
        <f t="shared" si="377"/>
        <v>-29.911795543905651</v>
      </c>
      <c r="DG152" s="290"/>
      <c r="DH152" s="543">
        <f>DH132-DH142-DH72</f>
        <v>626.73099999999999</v>
      </c>
      <c r="DI152" s="672">
        <f t="shared" si="378"/>
        <v>2.4188768815129293</v>
      </c>
      <c r="DJ152" s="566">
        <f t="shared" si="379"/>
        <v>-41.402146331247081</v>
      </c>
      <c r="DK152" s="566"/>
      <c r="DL152" s="543">
        <f t="shared" si="385"/>
        <v>1555.0313000000001</v>
      </c>
      <c r="DM152" s="672">
        <f t="shared" si="380"/>
        <v>6.2338396472238937</v>
      </c>
      <c r="DN152" s="566">
        <f t="shared" si="381"/>
        <v>148.11782088328167</v>
      </c>
      <c r="DO152" s="566"/>
      <c r="DP152" s="1117">
        <f>DP132-DP142</f>
        <v>1092.7135825635009</v>
      </c>
      <c r="DQ152" s="1175">
        <f t="shared" si="382"/>
        <v>4.4500180147273571</v>
      </c>
      <c r="DR152" s="1132">
        <f t="shared" si="383"/>
        <v>-29.730444489220197</v>
      </c>
      <c r="DS152" s="290"/>
      <c r="DT152" s="524"/>
      <c r="DU152" s="290"/>
      <c r="DV152" s="290"/>
      <c r="DW152" s="290"/>
      <c r="DX152" s="290"/>
      <c r="DY152" s="290"/>
    </row>
    <row r="153" spans="1:139" x14ac:dyDescent="0.2">
      <c r="A153" s="604" t="s">
        <v>413</v>
      </c>
      <c r="D153" s="385">
        <f>D148+D149</f>
        <v>-225.8119999999999</v>
      </c>
      <c r="E153" s="672">
        <f t="shared" si="336"/>
        <v>-7.2465014543578068</v>
      </c>
      <c r="F153" s="605"/>
      <c r="H153" s="385">
        <f>H148+H149</f>
        <v>-207.989</v>
      </c>
      <c r="I153" s="672">
        <f t="shared" si="337"/>
        <v>-6.732861533321981</v>
      </c>
      <c r="J153" s="566">
        <f>(H153/D153-1)*100</f>
        <v>-7.892848918569384</v>
      </c>
      <c r="L153" s="385">
        <f>L148+L149</f>
        <v>9.5970000000001292</v>
      </c>
      <c r="M153" s="672">
        <f t="shared" si="338"/>
        <v>0.31684372542455902</v>
      </c>
      <c r="N153" s="566">
        <f>(L153/H153-1)*100</f>
        <v>-104.61418632716159</v>
      </c>
      <c r="P153" s="385">
        <f>P148+P149</f>
        <v>34.098000000000042</v>
      </c>
      <c r="Q153" s="672">
        <f t="shared" si="339"/>
        <v>1.1025863147754922</v>
      </c>
      <c r="R153" s="566">
        <f>(P153/L153-1)*100</f>
        <v>255.29853079086783</v>
      </c>
      <c r="T153" s="385">
        <f>T148+T149</f>
        <v>35.994000000000028</v>
      </c>
      <c r="U153" s="672">
        <f t="shared" si="340"/>
        <v>1.1075993674553379</v>
      </c>
      <c r="V153" s="566">
        <f>(T153/P153-1)*100</f>
        <v>5.5604434277669812</v>
      </c>
      <c r="X153" s="385">
        <f>X148+X149</f>
        <v>-95.275049999999993</v>
      </c>
      <c r="Y153" s="672">
        <f t="shared" si="341"/>
        <v>-1.6234162009269355</v>
      </c>
      <c r="Z153" s="566">
        <f>(X153/T153-1)*100</f>
        <v>-364.69703283880625</v>
      </c>
      <c r="AB153" s="385">
        <f>AB148+AB149</f>
        <v>-124.17400000000019</v>
      </c>
      <c r="AC153" s="672">
        <f t="shared" si="342"/>
        <v>-2.0575621631527823</v>
      </c>
      <c r="AD153" s="566">
        <f>(AB153/X153-1)*100</f>
        <v>30.332127876081081</v>
      </c>
      <c r="AF153" s="385">
        <f>AF148+AF149</f>
        <v>-65.144000000000361</v>
      </c>
      <c r="AG153" s="672">
        <f t="shared" si="343"/>
        <v>-0.98929368707194287</v>
      </c>
      <c r="AH153" s="566">
        <f>(AF153/AB153-1)*100</f>
        <v>-47.538131976097844</v>
      </c>
      <c r="AJ153" s="385">
        <f>AJ148+AJ149</f>
        <v>128.58200000000053</v>
      </c>
      <c r="AK153" s="672">
        <f t="shared" si="344"/>
        <v>1.8739907307546644</v>
      </c>
      <c r="AL153" s="566">
        <f>(AJ153/AF153-1)*100</f>
        <v>-297.381186294977</v>
      </c>
      <c r="AN153" s="385">
        <f>AN148+AN149</f>
        <v>167.23400000000001</v>
      </c>
      <c r="AO153" s="672">
        <f t="shared" si="345"/>
        <v>2.4654872475305916</v>
      </c>
      <c r="AP153" s="566">
        <f>(AN153/AJ153-1)*100</f>
        <v>30.060195050628646</v>
      </c>
      <c r="AR153" s="385">
        <f>AR148+AR149</f>
        <v>224</v>
      </c>
      <c r="AS153" s="672">
        <f t="shared" si="346"/>
        <v>2.9450433867998949</v>
      </c>
      <c r="AT153" s="566">
        <f>(AR153/AN153-1)*100</f>
        <v>33.944054438690685</v>
      </c>
      <c r="AV153" s="385">
        <f>AV148+AV149</f>
        <v>152</v>
      </c>
      <c r="AW153" s="672">
        <f t="shared" si="347"/>
        <v>2.0959735245449531</v>
      </c>
      <c r="AX153" s="566">
        <f>(AV153/AR153-1)*100</f>
        <v>-32.142857142857139</v>
      </c>
      <c r="AZ153" s="385">
        <f>AZ148+AZ149</f>
        <v>168</v>
      </c>
      <c r="BA153" s="672">
        <f t="shared" si="348"/>
        <v>2.385008517887564</v>
      </c>
      <c r="BB153" s="566">
        <f t="shared" si="349"/>
        <v>10.526315789473696</v>
      </c>
      <c r="BD153" s="385">
        <f>BD148+BD149</f>
        <v>371</v>
      </c>
      <c r="BE153" s="672">
        <f t="shared" si="350"/>
        <v>5.3465917279146851</v>
      </c>
      <c r="BF153" s="566">
        <f t="shared" si="351"/>
        <v>120.83333333333334</v>
      </c>
      <c r="BH153" s="385">
        <f>BH148+BH149</f>
        <v>166</v>
      </c>
      <c r="BI153" s="672">
        <f t="shared" si="352"/>
        <v>2.4684014869888475</v>
      </c>
      <c r="BJ153" s="566">
        <f t="shared" si="353"/>
        <v>-55.256064690026953</v>
      </c>
      <c r="BL153" s="385">
        <f>BL148+BL149</f>
        <v>175</v>
      </c>
      <c r="BM153" s="672">
        <f t="shared" si="354"/>
        <v>2.4540737624456597</v>
      </c>
      <c r="BN153" s="566">
        <f t="shared" si="355"/>
        <v>5.4216867469879526</v>
      </c>
      <c r="BP153" s="385">
        <f>BP148+BP149</f>
        <v>271.35399999999998</v>
      </c>
      <c r="BQ153" s="672">
        <f t="shared" si="356"/>
        <v>3.7356002202643173</v>
      </c>
      <c r="BR153" s="566">
        <f t="shared" si="357"/>
        <v>55.059428571428562</v>
      </c>
      <c r="BT153" s="385">
        <f>BT148+BT149</f>
        <v>264.875</v>
      </c>
      <c r="BU153" s="672">
        <f t="shared" si="358"/>
        <v>2.2211740041928723</v>
      </c>
      <c r="BV153" s="566">
        <f t="shared" si="359"/>
        <v>-2.3876559770631633</v>
      </c>
      <c r="BX153" s="385">
        <f>BX148+BX149</f>
        <v>110</v>
      </c>
      <c r="BY153" s="672">
        <f t="shared" si="360"/>
        <v>0.93117751629560652</v>
      </c>
      <c r="BZ153" s="566">
        <f t="shared" si="361"/>
        <v>-58.470976875884851</v>
      </c>
      <c r="CB153" s="385">
        <f>CB148+CB149</f>
        <v>14</v>
      </c>
      <c r="CC153" s="672">
        <f t="shared" si="362"/>
        <v>0.12211077191452246</v>
      </c>
      <c r="CD153" s="566">
        <f t="shared" si="363"/>
        <v>-87.27272727272728</v>
      </c>
      <c r="CF153" s="385">
        <f>CF148+CF149</f>
        <v>-81</v>
      </c>
      <c r="CG153" s="672">
        <f t="shared" si="364"/>
        <v>-0.76610233613922252</v>
      </c>
      <c r="CH153" s="566">
        <f t="shared" si="365"/>
        <v>-678.57142857142856</v>
      </c>
      <c r="CJ153" s="385">
        <f>CJ148+CJ149</f>
        <v>187</v>
      </c>
      <c r="CK153" s="672">
        <f t="shared" si="366"/>
        <v>1.6830168301683019</v>
      </c>
      <c r="CL153" s="566">
        <f t="shared" si="367"/>
        <v>-330.8641975308642</v>
      </c>
      <c r="CN153" s="385">
        <f>CN148+CN149</f>
        <v>372</v>
      </c>
      <c r="CO153" s="672">
        <f t="shared" si="368"/>
        <v>3.1450794724382822</v>
      </c>
      <c r="CP153" s="566">
        <f t="shared" si="369"/>
        <v>98.930481283422452</v>
      </c>
      <c r="CR153" s="385">
        <f>CR148+CR149</f>
        <v>460</v>
      </c>
      <c r="CS153" s="672">
        <f t="shared" si="370"/>
        <v>3.751733137590735</v>
      </c>
      <c r="CT153" s="566">
        <f t="shared" si="371"/>
        <v>23.655913978494624</v>
      </c>
      <c r="CV153" s="385">
        <f>CV148+CV149</f>
        <v>498</v>
      </c>
      <c r="CW153" s="672">
        <f t="shared" si="372"/>
        <v>3.9990363767766803</v>
      </c>
      <c r="CX153" s="566">
        <f t="shared" si="373"/>
        <v>8.2608695652173871</v>
      </c>
      <c r="CZ153" s="385">
        <f>CZ148+CZ149</f>
        <v>516</v>
      </c>
      <c r="DA153" s="672">
        <f t="shared" si="374"/>
        <v>4.1128646580583457</v>
      </c>
      <c r="DB153" s="566">
        <f t="shared" si="375"/>
        <v>3.6144578313253017</v>
      </c>
      <c r="DD153" s="385">
        <f>DD148+DD149</f>
        <v>410</v>
      </c>
      <c r="DE153" s="672">
        <f t="shared" si="376"/>
        <v>3.3236057068741895</v>
      </c>
      <c r="DF153" s="566">
        <f t="shared" si="377"/>
        <v>-20.542635658914733</v>
      </c>
      <c r="DH153" s="385">
        <f>DH148+DH149</f>
        <v>126.68</v>
      </c>
      <c r="DI153" s="672">
        <f t="shared" si="378"/>
        <v>1.0788622040538238</v>
      </c>
      <c r="DJ153" s="566">
        <f t="shared" si="379"/>
        <v>-69.102439024390236</v>
      </c>
      <c r="DK153" s="566"/>
      <c r="DL153" s="385">
        <f>DL148+DL149</f>
        <v>189.02980000000002</v>
      </c>
      <c r="DM153" s="672">
        <f t="shared" si="380"/>
        <v>1.7204860289432971</v>
      </c>
      <c r="DN153" s="566">
        <f t="shared" si="381"/>
        <v>49.218345437322398</v>
      </c>
      <c r="DO153" s="566"/>
      <c r="DP153" s="1092">
        <f>DP148+DP149</f>
        <v>262.47136758825013</v>
      </c>
      <c r="DQ153" s="1175">
        <f t="shared" si="382"/>
        <v>2.4334176075741238</v>
      </c>
      <c r="DR153" s="1132">
        <f t="shared" si="383"/>
        <v>38.851846422230828</v>
      </c>
      <c r="DT153" s="600"/>
    </row>
    <row r="154" spans="1:139" x14ac:dyDescent="0.2">
      <c r="A154" s="604" t="s">
        <v>414</v>
      </c>
      <c r="D154" s="385">
        <f>D150+D151</f>
        <v>-45.634000000000086</v>
      </c>
      <c r="E154" s="672">
        <f t="shared" si="336"/>
        <v>-1.1335299469848605</v>
      </c>
      <c r="F154" s="605"/>
      <c r="H154" s="385">
        <f>H150+H151</f>
        <v>-3203.5539999999996</v>
      </c>
      <c r="I154" s="672">
        <f t="shared" si="337"/>
        <v>-83.35726762422911</v>
      </c>
      <c r="J154" s="566">
        <f>(H154/D154-1)*100</f>
        <v>6920.1034316518244</v>
      </c>
      <c r="L154" s="385">
        <f>L150+L151</f>
        <v>142.80999999999995</v>
      </c>
      <c r="M154" s="672">
        <f t="shared" si="338"/>
        <v>3.5252997837819411</v>
      </c>
      <c r="N154" s="566">
        <f>(L154/H154-1)*100</f>
        <v>-104.45786148758536</v>
      </c>
      <c r="P154" s="385">
        <f>P150+P151</f>
        <v>194.72399999999976</v>
      </c>
      <c r="Q154" s="672">
        <f t="shared" si="339"/>
        <v>4.7070494788437252</v>
      </c>
      <c r="R154" s="566">
        <f>(P154/L154-1)*100</f>
        <v>36.351796092710487</v>
      </c>
      <c r="T154" s="385">
        <f>T150+T151</f>
        <v>210.85899999999995</v>
      </c>
      <c r="U154" s="672">
        <f t="shared" si="340"/>
        <v>4.7301708082963891</v>
      </c>
      <c r="V154" s="566">
        <f>(T154/P154-1)*100</f>
        <v>8.2860869743843537</v>
      </c>
      <c r="X154" s="385">
        <f>X150+X151</f>
        <v>132.07500000000013</v>
      </c>
      <c r="Y154" s="672">
        <f t="shared" si="341"/>
        <v>1.6862001608640713</v>
      </c>
      <c r="Z154" s="566">
        <f>(X154/T154-1)*100</f>
        <v>-37.363356555802618</v>
      </c>
      <c r="AB154" s="385">
        <f>AB150+AB151</f>
        <v>273.16499999999957</v>
      </c>
      <c r="AC154" s="672">
        <f t="shared" si="342"/>
        <v>3.4304161683218939</v>
      </c>
      <c r="AD154" s="566">
        <f>(AB154/X154-1)*100</f>
        <v>106.82566723452531</v>
      </c>
      <c r="AF154" s="385">
        <f>AF150+AF151</f>
        <v>331.39699999999993</v>
      </c>
      <c r="AG154" s="672">
        <f t="shared" si="343"/>
        <v>3.8336167505350218</v>
      </c>
      <c r="AH154" s="566">
        <f>(AF154/AB154-1)*100</f>
        <v>21.317518715794659</v>
      </c>
      <c r="AJ154" s="385">
        <f>AJ150+AJ151</f>
        <v>484.01800000000014</v>
      </c>
      <c r="AK154" s="672">
        <f t="shared" si="344"/>
        <v>5.4963221433587384</v>
      </c>
      <c r="AL154" s="566">
        <f>(AJ154/AF154-1)*100</f>
        <v>46.05382667917943</v>
      </c>
      <c r="AN154" s="385">
        <f>AN150+AN151</f>
        <v>495</v>
      </c>
      <c r="AO154" s="672">
        <f t="shared" si="345"/>
        <v>5.7678862735958987</v>
      </c>
      <c r="AP154" s="566">
        <f>(AN154/AJ154-1)*100</f>
        <v>2.2689238829960656</v>
      </c>
      <c r="AR154" s="385">
        <f>AR150+AR151</f>
        <v>571</v>
      </c>
      <c r="AS154" s="672">
        <f t="shared" si="346"/>
        <v>5.6478733926805145</v>
      </c>
      <c r="AT154" s="566">
        <f>(AR154/AN154-1)*100</f>
        <v>15.353535353535364</v>
      </c>
      <c r="AV154" s="385">
        <f>AV150+AV151</f>
        <v>-336</v>
      </c>
      <c r="AW154" s="672">
        <f t="shared" si="347"/>
        <v>-3.579799701683358</v>
      </c>
      <c r="AX154" s="566">
        <f>(AV154/AR154-1)*100</f>
        <v>-158.84413309982489</v>
      </c>
      <c r="AZ154" s="385">
        <f>AZ150+AZ151</f>
        <v>-444</v>
      </c>
      <c r="BA154" s="672">
        <f t="shared" si="348"/>
        <v>-5.1585918438480309</v>
      </c>
      <c r="BB154" s="566">
        <f t="shared" si="349"/>
        <v>32.142857142857139</v>
      </c>
      <c r="BD154" s="385">
        <f>BD150+BD151</f>
        <v>447</v>
      </c>
      <c r="BE154" s="672">
        <f t="shared" si="350"/>
        <v>5.2612994350282483</v>
      </c>
      <c r="BF154" s="566">
        <f t="shared" si="351"/>
        <v>-200.67567567567571</v>
      </c>
      <c r="BH154" s="385">
        <f>BH150+BH151</f>
        <v>527</v>
      </c>
      <c r="BI154" s="672">
        <f t="shared" si="352"/>
        <v>6.1716828668462353</v>
      </c>
      <c r="BJ154" s="566">
        <f t="shared" si="353"/>
        <v>17.897091722595082</v>
      </c>
      <c r="BL154" s="385">
        <f>BL150+BL151</f>
        <v>514</v>
      </c>
      <c r="BM154" s="672">
        <f t="shared" si="354"/>
        <v>5.9456333140543665</v>
      </c>
      <c r="BN154" s="566">
        <f t="shared" si="355"/>
        <v>-2.4667931688804545</v>
      </c>
      <c r="BP154" s="385">
        <f>BP150+BP151</f>
        <v>1135.2374100719426</v>
      </c>
      <c r="BQ154" s="672">
        <f t="shared" si="356"/>
        <v>7.5052056728278638</v>
      </c>
      <c r="BR154" s="566">
        <f t="shared" si="357"/>
        <v>120.86330935251799</v>
      </c>
      <c r="BT154" s="385">
        <f>BT150+BT151</f>
        <v>730</v>
      </c>
      <c r="BU154" s="672">
        <f t="shared" si="358"/>
        <v>4.8521103356596873</v>
      </c>
      <c r="BV154" s="566">
        <f t="shared" si="359"/>
        <v>-35.696269914701084</v>
      </c>
      <c r="BX154" s="385">
        <f>BX150+BX151</f>
        <v>783</v>
      </c>
      <c r="BY154" s="672">
        <f t="shared" si="360"/>
        <v>5.4</v>
      </c>
      <c r="BZ154" s="566">
        <f t="shared" si="361"/>
        <v>7.2602739726027377</v>
      </c>
      <c r="CB154" s="385">
        <f>CB150+CB151</f>
        <v>-4817</v>
      </c>
      <c r="CC154" s="672">
        <f t="shared" si="362"/>
        <v>-35.875474789603039</v>
      </c>
      <c r="CD154" s="566">
        <f t="shared" si="363"/>
        <v>-715.19795657726695</v>
      </c>
      <c r="CF154" s="385">
        <f>CF150+CF151</f>
        <v>410</v>
      </c>
      <c r="CG154" s="672">
        <f t="shared" si="364"/>
        <v>3.077615973577541</v>
      </c>
      <c r="CH154" s="566">
        <f t="shared" si="365"/>
        <v>-108.51152169400042</v>
      </c>
      <c r="CJ154" s="385">
        <f>CJ150+CJ151</f>
        <v>701.4</v>
      </c>
      <c r="CK154" s="672">
        <f t="shared" si="366"/>
        <v>5.048949035416066</v>
      </c>
      <c r="CL154" s="566">
        <f t="shared" si="367"/>
        <v>71.073170731707307</v>
      </c>
      <c r="CN154" s="385">
        <f>CN150+CN151</f>
        <v>884</v>
      </c>
      <c r="CO154" s="672">
        <f t="shared" si="368"/>
        <v>6.0643479453934281</v>
      </c>
      <c r="CP154" s="566">
        <f t="shared" si="369"/>
        <v>26.03364699173083</v>
      </c>
      <c r="CR154" s="385">
        <f>CR150+CR151</f>
        <v>875</v>
      </c>
      <c r="CS154" s="672">
        <f t="shared" si="370"/>
        <v>5.6726094003241485</v>
      </c>
      <c r="CT154" s="566">
        <f t="shared" si="371"/>
        <v>-1.0180995475113086</v>
      </c>
      <c r="CV154" s="385">
        <f>CV150+CV151</f>
        <v>985.63228699551564</v>
      </c>
      <c r="CW154" s="672">
        <f t="shared" si="372"/>
        <v>6.3679563703031112</v>
      </c>
      <c r="CX154" s="566">
        <f t="shared" si="373"/>
        <v>12.643689942344638</v>
      </c>
      <c r="CZ154" s="385">
        <f>CZ150+CZ151</f>
        <v>1010</v>
      </c>
      <c r="DA154" s="672">
        <f t="shared" si="374"/>
        <v>6.4914197570537961</v>
      </c>
      <c r="DB154" s="566">
        <f t="shared" si="375"/>
        <v>2.4722924893992637</v>
      </c>
      <c r="DD154" s="385">
        <f>DD150+DD151</f>
        <v>659.54599999999994</v>
      </c>
      <c r="DE154" s="672">
        <f t="shared" si="376"/>
        <v>4.4736213796377937</v>
      </c>
      <c r="DF154" s="566">
        <f t="shared" si="377"/>
        <v>-34.698415841584165</v>
      </c>
      <c r="DH154" s="385">
        <f>DH150+DH151</f>
        <v>500.05099999999993</v>
      </c>
      <c r="DI154" s="672">
        <f t="shared" si="378"/>
        <v>3.5294395821569728</v>
      </c>
      <c r="DJ154" s="566">
        <f t="shared" si="379"/>
        <v>-24.182543749791531</v>
      </c>
      <c r="DK154" s="566"/>
      <c r="DL154" s="385">
        <f>DL150+DL151</f>
        <v>1366.0014999999999</v>
      </c>
      <c r="DM154" s="672">
        <f t="shared" si="380"/>
        <v>9.7865131107608523</v>
      </c>
      <c r="DN154" s="566">
        <f t="shared" si="381"/>
        <v>173.17243641148602</v>
      </c>
      <c r="DO154" s="566"/>
      <c r="DP154" s="1092">
        <f>DP150+DP151</f>
        <v>830.24221497524934</v>
      </c>
      <c r="DQ154" s="1175">
        <f t="shared" si="382"/>
        <v>6.0297313752197716</v>
      </c>
      <c r="DR154" s="1132">
        <f t="shared" si="383"/>
        <v>-39.220988046114925</v>
      </c>
      <c r="DT154" s="524"/>
    </row>
    <row r="155" spans="1:139" x14ac:dyDescent="0.2">
      <c r="D155" s="353"/>
      <c r="E155" s="546"/>
      <c r="F155" s="546"/>
      <c r="H155" s="353"/>
      <c r="I155" s="546"/>
      <c r="J155" s="546"/>
      <c r="L155" s="353"/>
      <c r="M155" s="675"/>
      <c r="N155" s="675"/>
      <c r="P155" s="353"/>
      <c r="Q155" s="546"/>
      <c r="R155" s="546"/>
      <c r="T155" s="353"/>
      <c r="U155" s="546"/>
      <c r="V155" s="546"/>
      <c r="X155" s="353"/>
      <c r="Y155" s="546"/>
      <c r="Z155" s="546"/>
      <c r="AB155" s="353"/>
      <c r="AC155" s="546"/>
      <c r="AD155" s="546"/>
      <c r="AF155" s="353"/>
      <c r="AG155" s="546"/>
      <c r="AH155" s="546"/>
      <c r="AJ155" s="385"/>
      <c r="AK155" s="546"/>
      <c r="AL155" s="546"/>
      <c r="AN155" s="385"/>
      <c r="AO155" s="546"/>
      <c r="AP155" s="546"/>
      <c r="AR155" s="385"/>
      <c r="AS155" s="546"/>
      <c r="AT155" s="546"/>
      <c r="AV155" s="385"/>
      <c r="AW155" s="546"/>
      <c r="AX155" s="546"/>
      <c r="AZ155" s="385"/>
      <c r="BA155" s="546"/>
      <c r="BB155" s="546"/>
      <c r="BD155" s="385"/>
      <c r="BE155" s="546"/>
      <c r="BF155" s="546"/>
      <c r="BH155" s="385"/>
      <c r="BI155" s="546"/>
      <c r="BJ155" s="546"/>
      <c r="BL155" s="385"/>
      <c r="BM155" s="546"/>
      <c r="BN155" s="546"/>
      <c r="BP155" s="385"/>
      <c r="BQ155" s="546"/>
      <c r="BR155" s="546"/>
      <c r="BT155" s="385"/>
      <c r="BU155" s="546"/>
      <c r="BV155" s="546"/>
      <c r="BX155" s="385"/>
      <c r="BY155" s="546"/>
      <c r="BZ155" s="546"/>
      <c r="CB155" s="385"/>
      <c r="CC155" s="546"/>
      <c r="CD155" s="546"/>
      <c r="CF155" s="385"/>
      <c r="CG155" s="546"/>
      <c r="CH155" s="546"/>
      <c r="CJ155" s="385"/>
      <c r="CK155" s="546"/>
      <c r="CL155" s="546"/>
      <c r="CN155" s="385"/>
      <c r="CO155" s="546"/>
      <c r="CP155" s="546"/>
      <c r="CS155" s="546"/>
      <c r="CT155" s="546"/>
      <c r="CW155" s="546"/>
      <c r="CX155" s="546"/>
      <c r="DA155" s="546"/>
      <c r="DB155" s="546"/>
      <c r="DE155" s="546"/>
      <c r="DF155" s="546"/>
      <c r="DI155" s="546"/>
      <c r="DJ155" s="546"/>
      <c r="DK155" s="546"/>
      <c r="DM155" s="546"/>
      <c r="DN155" s="546"/>
      <c r="DO155" s="546"/>
      <c r="DQ155" s="1176"/>
      <c r="DR155" s="1176"/>
      <c r="DT155" s="524"/>
    </row>
    <row r="156" spans="1:139" s="627" customFormat="1" x14ac:dyDescent="0.2">
      <c r="A156" s="632"/>
      <c r="D156" s="628"/>
      <c r="E156" s="677"/>
      <c r="F156" s="677"/>
      <c r="H156" s="628"/>
      <c r="I156" s="677"/>
      <c r="J156" s="677"/>
      <c r="L156" s="628"/>
      <c r="M156" s="673"/>
      <c r="N156" s="673"/>
      <c r="P156" s="628"/>
      <c r="Q156" s="677"/>
      <c r="R156" s="677"/>
      <c r="T156" s="628"/>
      <c r="U156" s="677"/>
      <c r="V156" s="677"/>
      <c r="X156" s="628"/>
      <c r="Y156" s="677"/>
      <c r="Z156" s="677"/>
      <c r="AB156" s="628"/>
      <c r="AC156" s="677"/>
      <c r="AD156" s="677"/>
      <c r="AF156" s="628"/>
      <c r="AG156" s="677"/>
      <c r="AH156" s="677"/>
      <c r="AJ156" s="629"/>
      <c r="AK156" s="677"/>
      <c r="AL156" s="677"/>
      <c r="AN156" s="629"/>
      <c r="AO156" s="677"/>
      <c r="AP156" s="677"/>
      <c r="AR156" s="629"/>
      <c r="AS156" s="677"/>
      <c r="AT156" s="677"/>
      <c r="AV156" s="629"/>
      <c r="AW156" s="677"/>
      <c r="AX156" s="677"/>
      <c r="AZ156" s="629"/>
      <c r="BA156" s="677"/>
      <c r="BB156" s="677"/>
      <c r="BD156" s="629"/>
      <c r="BE156" s="677"/>
      <c r="BF156" s="677"/>
      <c r="BH156" s="629"/>
      <c r="BI156" s="677"/>
      <c r="BJ156" s="677"/>
      <c r="BL156" s="629"/>
      <c r="BM156" s="677"/>
      <c r="BN156" s="677"/>
      <c r="BP156" s="629"/>
      <c r="BQ156" s="677"/>
      <c r="BR156" s="677"/>
      <c r="BT156" s="629"/>
      <c r="BU156" s="677"/>
      <c r="BV156" s="677"/>
      <c r="BX156" s="629"/>
      <c r="BY156" s="677"/>
      <c r="BZ156" s="677"/>
      <c r="CB156" s="629"/>
      <c r="CC156" s="677"/>
      <c r="CD156" s="677"/>
      <c r="CF156" s="629"/>
      <c r="CG156" s="677"/>
      <c r="CH156" s="677"/>
      <c r="CJ156" s="629"/>
      <c r="CK156" s="677"/>
      <c r="CL156" s="677"/>
      <c r="CN156" s="1510" t="s">
        <v>311</v>
      </c>
      <c r="CO156" s="1510"/>
      <c r="CP156" s="1510"/>
      <c r="CQ156" s="1510"/>
      <c r="CR156" s="1510"/>
      <c r="CS156" s="1510"/>
      <c r="CT156" s="1510"/>
      <c r="CU156" s="1510"/>
      <c r="CV156" s="1510"/>
      <c r="CW156" s="1510"/>
      <c r="CX156" s="677"/>
      <c r="CZ156" s="663" t="s">
        <v>311</v>
      </c>
      <c r="DA156" s="663"/>
      <c r="DB156" s="663"/>
      <c r="DC156" s="663"/>
      <c r="DD156" s="663"/>
      <c r="DE156" s="663"/>
      <c r="DF156" s="663"/>
      <c r="DG156" s="663"/>
      <c r="DH156" s="663"/>
      <c r="DI156" s="663"/>
      <c r="DJ156" s="663"/>
      <c r="DK156" s="444"/>
      <c r="DL156" s="663"/>
      <c r="DM156" s="663"/>
      <c r="DN156" s="663"/>
      <c r="DO156" s="444"/>
      <c r="DP156" s="1169"/>
      <c r="DQ156" s="1169"/>
      <c r="DR156" s="1169"/>
      <c r="EI156" s="600"/>
    </row>
    <row r="157" spans="1:139" x14ac:dyDescent="0.2">
      <c r="D157" s="353"/>
      <c r="E157" s="546"/>
      <c r="F157" s="546"/>
      <c r="H157" s="353"/>
      <c r="I157" s="546"/>
      <c r="J157" s="546"/>
      <c r="L157" s="353"/>
      <c r="M157" s="675"/>
      <c r="N157" s="675"/>
      <c r="P157" s="353"/>
      <c r="Q157" s="546"/>
      <c r="R157" s="546"/>
      <c r="T157" s="353"/>
      <c r="U157" s="546"/>
      <c r="V157" s="546"/>
      <c r="X157" s="353"/>
      <c r="Y157" s="546"/>
      <c r="Z157" s="546"/>
      <c r="AB157" s="353"/>
      <c r="AC157" s="546"/>
      <c r="AD157" s="546"/>
      <c r="AF157" s="353"/>
      <c r="AG157" s="546"/>
      <c r="AH157" s="546"/>
      <c r="AJ157" s="385"/>
      <c r="AK157" s="546"/>
      <c r="AL157" s="546"/>
      <c r="AN157" s="385"/>
      <c r="AO157" s="546"/>
      <c r="AP157" s="546"/>
      <c r="AR157" s="385"/>
      <c r="AS157" s="546"/>
      <c r="AT157" s="546"/>
      <c r="AV157" s="385"/>
      <c r="AW157" s="546"/>
      <c r="AX157" s="546"/>
      <c r="AZ157" s="385"/>
      <c r="BA157" s="546"/>
      <c r="BB157" s="546"/>
      <c r="BD157" s="385"/>
      <c r="BE157" s="546"/>
      <c r="BF157" s="546"/>
      <c r="BH157" s="385"/>
      <c r="BI157" s="546"/>
      <c r="BJ157" s="546"/>
      <c r="BL157" s="385"/>
      <c r="BM157" s="546"/>
      <c r="BN157" s="546"/>
      <c r="BP157" s="385"/>
      <c r="BQ157" s="546"/>
      <c r="BR157" s="546"/>
      <c r="BT157" s="385"/>
      <c r="BU157" s="546"/>
      <c r="BV157" s="546"/>
      <c r="BX157" s="385"/>
      <c r="BY157" s="546"/>
      <c r="BZ157" s="546"/>
      <c r="CB157" s="385"/>
      <c r="CC157" s="546"/>
      <c r="CD157" s="546"/>
      <c r="CF157" s="385"/>
      <c r="CG157" s="546"/>
      <c r="CH157" s="546"/>
      <c r="CJ157" s="385"/>
      <c r="CK157" s="546"/>
      <c r="CL157" s="546"/>
      <c r="CN157" s="385"/>
      <c r="CO157" s="546"/>
      <c r="CP157" s="546"/>
      <c r="CS157" s="546"/>
      <c r="CT157" s="546"/>
      <c r="CV157" s="395"/>
      <c r="CW157" s="546"/>
      <c r="CX157" s="546"/>
      <c r="CZ157" s="395"/>
      <c r="DA157" s="546"/>
      <c r="DB157" s="546"/>
      <c r="DD157" s="395"/>
      <c r="DE157" s="546"/>
      <c r="DF157" s="546"/>
      <c r="DH157" s="395"/>
      <c r="DI157" s="546"/>
      <c r="DJ157" s="546"/>
      <c r="DK157" s="546"/>
      <c r="DL157" s="395"/>
      <c r="DM157" s="546"/>
      <c r="DN157" s="546"/>
      <c r="DO157" s="546"/>
      <c r="DP157" s="1094"/>
      <c r="DQ157" s="1176"/>
      <c r="DR157" s="1176"/>
    </row>
    <row r="158" spans="1:139" x14ac:dyDescent="0.2">
      <c r="A158" s="604" t="s">
        <v>79</v>
      </c>
      <c r="D158" s="527">
        <f>D148/D178</f>
        <v>-1.2429999999999988</v>
      </c>
      <c r="E158" s="678"/>
      <c r="F158" s="566"/>
      <c r="H158" s="527">
        <f>H148/H178</f>
        <v>-0.80231336751281623</v>
      </c>
      <c r="I158" s="678">
        <f>IF(OR((H158/D158-1)*100&gt;500,(H158/D158-1)*100&lt;-500),"NM ",(H158/D158-1)*100)</f>
        <v>-35.453470031149067</v>
      </c>
      <c r="J158" s="566"/>
      <c r="L158" s="527">
        <f>L148/L178</f>
        <v>0.14770538952107254</v>
      </c>
      <c r="M158" s="678">
        <f>IF(OR((L158/H158-1)*100&gt;500,(L158/H158-1)*100&lt;-500),"NM ",(L158/H158-1)*100)</f>
        <v>-118.40993750097439</v>
      </c>
      <c r="N158" s="679"/>
      <c r="P158" s="527">
        <f>P148/P178</f>
        <v>0.20002535476867789</v>
      </c>
      <c r="Q158" s="678">
        <f>IF(OR((P158/L158-1)*100&gt;500,(P158/L158-1)*100&lt;-500),"NM ",(P158/L158-1)*100)</f>
        <v>35.421838984515233</v>
      </c>
      <c r="R158" s="566"/>
      <c r="T158" s="527">
        <f>T148/T178</f>
        <v>0.25479187753036581</v>
      </c>
      <c r="U158" s="678">
        <f>IF(OR((T158/P158-1)*100&gt;500,(T158/P158-1)*100&lt;-500),"NM ",(T158/P158-1)*100)</f>
        <v>27.379790339591416</v>
      </c>
      <c r="V158" s="566"/>
      <c r="X158" s="527">
        <f>X148/X178</f>
        <v>-0.20332821075740953</v>
      </c>
      <c r="Y158" s="678"/>
      <c r="Z158" s="566"/>
      <c r="AB158" s="527">
        <f>AB148/AB178</f>
        <v>-0.3120121303686203</v>
      </c>
      <c r="AC158" s="678">
        <f>IF(OR((AB158/X158-1)*100&gt;500,(AB158/X158-1)*100&lt;-500),"NM ",(AB158/X158-1)*100)</f>
        <v>53.452454633007783</v>
      </c>
      <c r="AD158" s="566"/>
      <c r="AF158" s="527">
        <f>AF148/AF178</f>
        <v>-0.1834599196942584</v>
      </c>
      <c r="AG158" s="678">
        <f>IF(OR((AF158/AB158-1)*100&gt;500,(AF158/AB158-1)*100&lt;-500),"NM ",(AF158/AB158-1)*100)</f>
        <v>-41.201029755633712</v>
      </c>
      <c r="AH158" s="566"/>
      <c r="AJ158" s="527">
        <f>AJ128/AJ178</f>
        <v>0.11033707865168631</v>
      </c>
      <c r="AK158" s="678">
        <f>IF(OR((AJ158/AF158-1)*100&gt;500,(AJ158/AF158-1)*100&lt;-500),"NM ",(AJ158/AF158-1)*100)</f>
        <v>-160.14233454128097</v>
      </c>
      <c r="AL158" s="566"/>
      <c r="AN158" s="527">
        <f>AN128/AN178</f>
        <v>0.26007772020725389</v>
      </c>
      <c r="AO158" s="678">
        <f>IF(OR((AN158/AJ158-1)*100&gt;500,(AN158/AJ158-1)*100&lt;-500),"NM ",(AN158/AJ158-1)*100)</f>
        <v>135.7119867458799</v>
      </c>
      <c r="AP158" s="566"/>
      <c r="AR158" s="527">
        <f>AR128/AR178</f>
        <v>0.2010166358595194</v>
      </c>
      <c r="AS158" s="678">
        <f>IF(OR((AR158/AN158-1)*100&gt;500,(AR158/AN158-1)*100&lt;-500),"NM ",(AR158/AN158-1)*100)</f>
        <v>-22.709013405942336</v>
      </c>
      <c r="AT158" s="566"/>
      <c r="AV158" s="527">
        <f>AV128/AV178</f>
        <v>0.27276930189551546</v>
      </c>
      <c r="AW158" s="678">
        <f>IF(OR((AV158/AR158-1)*100&gt;500,(AV158/AR158-1)*100&lt;-500),"NM ",(AV158/AR158-1)*100)</f>
        <v>35.694889494688617</v>
      </c>
      <c r="AX158" s="566"/>
      <c r="AZ158" s="527">
        <f>(AZ49-AZ78)*(1-AZ118/AZ108)/AZ178</f>
        <v>0.21597256246937779</v>
      </c>
      <c r="BA158" s="678">
        <f>IF(OR((AZ158/AV158-1)*100&gt;500,(AZ158/AV158-1)*100&lt;-500),"NM ",(AZ158/AV158-1)*100)</f>
        <v>-20.822262267582335</v>
      </c>
      <c r="BB158" s="566"/>
      <c r="BD158" s="527">
        <f>(BD49-BD78)*(1-BD118/BD108)/BD178</f>
        <v>0.21813725490196079</v>
      </c>
      <c r="BE158" s="678">
        <f>IF(OR((BD158/AZ158-1)*100&gt;500,(BD158/AZ158-1)*100&lt;-500),"NM ",(BD158/AZ158-1)*100)</f>
        <v>1.0022997402227452</v>
      </c>
      <c r="BF158" s="566"/>
      <c r="BH158" s="527">
        <f>(BH49-BH78)*(1-BH118/BH108)/BH178</f>
        <v>0.13414803499513958</v>
      </c>
      <c r="BI158" s="678">
        <f>IF(OR((BH158/BD158-1)*100&gt;500,(BH158/BD158-1)*100&lt;-500),"NM ",(BH158/BD158-1)*100)</f>
        <v>-38.502923283127025</v>
      </c>
      <c r="BJ158" s="566"/>
      <c r="BL158" s="527">
        <f>(BL49-BL78)*(1-BL118/BL108)/BL178</f>
        <v>0.29516518323340046</v>
      </c>
      <c r="BM158" s="678">
        <f>IF(OR((BL158/BH158-1)*100&gt;500,(BL158/BH158-1)*100&lt;-500),"NM ",(BL158/BH158-1)*100)</f>
        <v>120.02944973744478</v>
      </c>
      <c r="BN158" s="566"/>
      <c r="BP158" s="527">
        <f>(BP49-BP78)*(1-BP118/BP108)/BP178</f>
        <v>0.35692708333333328</v>
      </c>
      <c r="BQ158" s="678">
        <f>IF(OR((BP158/BL158-1)*100&gt;500,(BP158/BL158-1)*100&lt;-500),"NM ",(BP158/BL158-1)*100)</f>
        <v>20.924520779639131</v>
      </c>
      <c r="BR158" s="566"/>
      <c r="BT158" s="527">
        <f>(BT49-BT78)*(1-BT118/BT108)/BT178</f>
        <v>1.2362553915314987E-2</v>
      </c>
      <c r="BU158" s="678">
        <f>IF(OR((BT158/BP158-1)*100&gt;500,(BT158/BP158-1)*100&lt;-500),"NM ",(BT158/BP158-1)*100)</f>
        <v>-96.53639230739752</v>
      </c>
      <c r="BV158" s="566"/>
      <c r="BX158" s="527">
        <f>ROUND((((BX49-BX78)*(1-(((36-22)+BX118)/(BX49-BX78))))/BX178),2)</f>
        <v>0.16</v>
      </c>
      <c r="BY158" s="678" t="str">
        <f>IF(OR((BX158/BT158-1)*100&gt;500,(BX158/BT158-1)*100&lt;-500),"NM ",(BX158/BT158-1)*100)</f>
        <v xml:space="preserve">NM </v>
      </c>
      <c r="BZ158" s="566"/>
      <c r="CB158" s="527">
        <f>ROUND((CB49-CB78)*(1-CB118/CB108)/CB178,2)</f>
        <v>0.01</v>
      </c>
      <c r="CC158" s="678">
        <f>IF(OR((CB158/BX158-1)*100&gt;500,(CB158/BX158-1)*100&lt;-500),"NM ",(CB158/BX158-1)*100)</f>
        <v>-93.75</v>
      </c>
      <c r="CD158" s="566"/>
      <c r="CF158" s="527">
        <f>ROUND((CF49-CF78--49)/CF178,2)</f>
        <v>-0.16</v>
      </c>
      <c r="CG158" s="678" t="str">
        <f>IF(OR((CF158/CB158-1)*100&gt;500,(CF158/CB158-1)*100&lt;-500),"NM ",(CF158/CB158-1)*100)</f>
        <v xml:space="preserve">NM </v>
      </c>
      <c r="CH158" s="566"/>
      <c r="CJ158" s="527">
        <f>CJ148/CJ178</f>
        <v>9.3852651337400284E-2</v>
      </c>
      <c r="CK158" s="678">
        <f>IF(OR((CJ158/CF158-1)*100&gt;500,(CJ158/CF158-1)*100&lt;-500),"NM ",(CJ158/CF158-1)*100)</f>
        <v>-158.65790708587517</v>
      </c>
      <c r="CL158" s="566"/>
      <c r="CN158" s="527">
        <f>CN128/CN178</f>
        <v>0.30465116279069765</v>
      </c>
      <c r="CO158" s="678">
        <f>IF(OR((CN158/CJ158-1)*100&gt;500,(CN158/CJ158-1)*100&lt;-500),"NM ",(CN158/CJ158-1)*100)</f>
        <v>224.60581395348834</v>
      </c>
      <c r="CP158" s="566"/>
      <c r="CR158" s="527">
        <f>CR128/CR178</f>
        <v>0.42718904885532216</v>
      </c>
      <c r="CS158" s="678">
        <f>IF(OR((CR158/CN158-1)*100&gt;500,(CR158/CN158-1)*100&lt;-500),"NM ",(CR158/CN158-1)*100)</f>
        <v>40.222359547930189</v>
      </c>
      <c r="CT158" s="527"/>
      <c r="CV158" s="527">
        <f>CV128/CV178</f>
        <v>0.55006337135614702</v>
      </c>
      <c r="CW158" s="678">
        <f t="shared" ref="CW158:CW164" si="386">IF(OR((CV158/CR158-1)*100&gt;500,(CV158/CR158-1)*100&lt;-500),"NM ",(CV158/CR158-1)*100)</f>
        <v>28.763453283756625</v>
      </c>
      <c r="CX158" s="527"/>
      <c r="CZ158" s="527">
        <f>CZ128/CZ178</f>
        <v>0.6011808910359635</v>
      </c>
      <c r="DA158" s="678">
        <f t="shared" ref="DA158:DA164" si="387">IF(OR((CZ158/CV158-1)*100&gt;500,(CZ158/CV158-1)*100&lt;-500),"NM ",(CZ158/CV158-1)*100)</f>
        <v>9.2930237390265411</v>
      </c>
      <c r="DB158" s="527"/>
      <c r="DD158" s="527">
        <f>DD128/DD178</f>
        <v>0.55699855699855705</v>
      </c>
      <c r="DE158" s="678">
        <f t="shared" ref="DE158:DE164" si="388">IF(OR((DD158/CZ158-1)*100&gt;500,(DD158/CZ158-1)*100&lt;-500),"NM ",(DD158/CZ158-1)*100)</f>
        <v>-7.3492578849721601</v>
      </c>
      <c r="DF158" s="527"/>
      <c r="DH158" s="1182">
        <f>DH128/DH178</f>
        <v>0.41786283891547049</v>
      </c>
      <c r="DI158" s="678">
        <f t="shared" ref="DI158:DI164" si="389">IF(OR((DH158/DD158-1)*100&gt;500,(DH158/DD158-1)*100&lt;-500),"NM ",(DH158/DD158-1)*100)</f>
        <v>-24.979547313880566</v>
      </c>
      <c r="DJ158" s="527"/>
      <c r="DK158" s="527"/>
      <c r="DL158" s="527">
        <f>DL128/DL178</f>
        <v>0.26549364613880744</v>
      </c>
      <c r="DM158" s="678">
        <f>IF(OR((DL158/DH158-1)*100&gt;500,(DL158/DH158-1)*100&lt;-500),"NM ",(DL158/DH158-1)*100)</f>
        <v>-36.463925141590735</v>
      </c>
      <c r="DN158" s="527"/>
      <c r="DO158" s="527"/>
      <c r="DP158" s="1182">
        <f>DP128/DP178</f>
        <v>0.37568732680643513</v>
      </c>
      <c r="DQ158" s="1183">
        <f>IF(OR((DP158/DL158-1)*100&gt;500,(DP158/DL158-1)*100&lt;-500),"NM ",(DP158/DL158-1)*100)</f>
        <v>41.50520446354313</v>
      </c>
      <c r="DR158" s="1182"/>
    </row>
    <row r="159" spans="1:139" x14ac:dyDescent="0.2">
      <c r="A159" s="604" t="s">
        <v>80</v>
      </c>
      <c r="D159" s="681">
        <f>D149/D179</f>
        <v>-1.57965</v>
      </c>
      <c r="E159" s="678"/>
      <c r="F159" s="566"/>
      <c r="H159" s="681">
        <f>H149/H179</f>
        <v>-1.7985244466675014</v>
      </c>
      <c r="I159" s="678">
        <f t="shared" ref="I159:I164" si="390">IF(OR((H159/D159-1)*100&gt;500,(H159/D159-1)*100&lt;-500),"NM ",(H159/D159-1)*100)</f>
        <v>13.855882421264297</v>
      </c>
      <c r="J159" s="566"/>
      <c r="L159" s="681">
        <f>L149/L179</f>
        <v>-1.9535728775290969E-2</v>
      </c>
      <c r="M159" s="678">
        <f t="shared" ref="M159:M164" si="391">IF(OR((L159/H159-1)*100&gt;500,(L159/H159-1)*100&lt;-500),"NM ",(L159/H159-1)*100)</f>
        <v>-98.913791313123994</v>
      </c>
      <c r="N159" s="679"/>
      <c r="P159" s="681">
        <f>P149/P179</f>
        <v>7.0090017338431732E-2</v>
      </c>
      <c r="Q159" s="678">
        <f t="shared" ref="Q159:Q164" si="392">IF(OR((P159/L159-1)*100&gt;500,(P159/L159-1)*100&lt;-500),"NM ",(P159/L159-1)*100)</f>
        <v>-458.7786160661816</v>
      </c>
      <c r="R159" s="566"/>
      <c r="T159" s="681">
        <f>T149/T179</f>
        <v>2.9799807233483279E-2</v>
      </c>
      <c r="U159" s="678">
        <f t="shared" ref="U159:U164" si="393">IF(OR((T159/P159-1)*100&gt;500,(T159/P159-1)*100&lt;-500),"NM ",(T159/P159-1)*100)</f>
        <v>-57.483521384230762</v>
      </c>
      <c r="V159" s="566"/>
      <c r="X159" s="681">
        <f>X129/X179</f>
        <v>-0.31958644346871568</v>
      </c>
      <c r="Y159" s="678"/>
      <c r="Z159" s="566"/>
      <c r="AB159" s="681">
        <f>AB149/AB179</f>
        <v>-0.36741781983263083</v>
      </c>
      <c r="AC159" s="678">
        <f t="shared" ref="AC159:AC164" si="394">IF(OR((AB159/X159-1)*100&gt;500,(AB159/X159-1)*100&lt;-500),"NM ",(AB159/X159-1)*100)</f>
        <v>14.966647472516259</v>
      </c>
      <c r="AD159" s="566"/>
      <c r="AF159" s="681">
        <f>AF149/AF179</f>
        <v>-0.13108257128135586</v>
      </c>
      <c r="AG159" s="678">
        <f t="shared" ref="AG159:AG164" si="395">IF(OR((AF159/AB159-1)*100&gt;500,(AF159/AB159-1)*100&lt;-500),"NM ",(AF159/AB159-1)*100)</f>
        <v>-64.323295113702514</v>
      </c>
      <c r="AH159" s="566"/>
      <c r="AJ159" s="681">
        <f>AJ129/AJ179</f>
        <v>0.29354424778761218</v>
      </c>
      <c r="AK159" s="678">
        <f t="shared" ref="AK159:AK164" si="396">IF(OR((AJ159/AF159-1)*100&gt;500,(AJ159/AF159-1)*100&lt;-500),"NM ",(AJ159/AF159-1)*100)</f>
        <v>-323.93842668644959</v>
      </c>
      <c r="AL159" s="566"/>
      <c r="AN159" s="681">
        <f>AN129/AN179</f>
        <v>0.4604130808950086</v>
      </c>
      <c r="AO159" s="678">
        <f t="shared" ref="AO159:AO164" si="397">IF(OR((AN159/AJ159-1)*100&gt;500,(AN159/AJ159-1)*100&lt;-500),"NM ",(AN159/AJ159-1)*100)</f>
        <v>56.846228248400536</v>
      </c>
      <c r="AP159" s="566"/>
      <c r="AR159" s="681">
        <f>AR129/AR179</f>
        <v>0.30869761153672826</v>
      </c>
      <c r="AS159" s="678">
        <f t="shared" ref="AS159:AS164" si="398">IF(OR((AR159/AN159-1)*100&gt;500,(AR159/AN159-1)*100&lt;-500),"NM ",(AR159/AN159-1)*100)</f>
        <v>-32.952032783985373</v>
      </c>
      <c r="AT159" s="566"/>
      <c r="AV159" s="681">
        <f>AV129/AV179</f>
        <v>0.46522781774580335</v>
      </c>
      <c r="AW159" s="678">
        <f t="shared" ref="AW159:AW164" si="399">IF(OR((AV159/AR159-1)*100&gt;500,(AV159/AR159-1)*100&lt;-500),"NM ",(AV159/AR159-1)*100)</f>
        <v>50.706646361742713</v>
      </c>
      <c r="AX159" s="566"/>
      <c r="AZ159" s="681">
        <f>(AZ50-AZ79)*(1-AZ119/AZ109)/AZ179</f>
        <v>0.26126326727529131</v>
      </c>
      <c r="BA159" s="678">
        <f t="shared" ref="BA159:BA164" si="400">IF(OR((AZ159/AV159-1)*100&gt;500,(AZ159/AV159-1)*100&lt;-500),"NM ",(AZ159/AV159-1)*100)</f>
        <v>-43.841864714537891</v>
      </c>
      <c r="BB159" s="566"/>
      <c r="BD159" s="681">
        <f>(BD50-BD79)*(1-BD119/BD109)/BD179</f>
        <v>0.32678132678132676</v>
      </c>
      <c r="BE159" s="678">
        <f t="shared" ref="BE159:BE164" si="401">IF(OR((BD159/AZ159-1)*100&gt;500,(BD159/AZ159-1)*100&lt;-500),"NM ",(BD159/AZ159-1)*100)</f>
        <v>25.077409537636818</v>
      </c>
      <c r="BF159" s="566"/>
      <c r="BH159" s="681">
        <f>(BH50-BH79)*(1-BH119/BH109)/BH179</f>
        <v>0.3366189923978869</v>
      </c>
      <c r="BI159" s="678">
        <f t="shared" ref="BI159:BI164" si="402">IF(OR((BH159/BD159-1)*100&gt;500,(BH159/BD159-1)*100&lt;-500),"NM ",(BH159/BD159-1)*100)</f>
        <v>3.0104736134886956</v>
      </c>
      <c r="BJ159" s="566"/>
      <c r="BL159" s="681">
        <f>(BL50-BL79)*(1-BL119/BL109)/BL179</f>
        <v>0.36734693877551022</v>
      </c>
      <c r="BM159" s="678">
        <f t="shared" ref="BM159:BM164" si="403">IF(OR((BL159/BH159-1)*100&gt;500,(BL159/BH159-1)*100&lt;-500),"NM ",(BL159/BH159-1)*100)</f>
        <v>9.1284054291573149</v>
      </c>
      <c r="BN159" s="566"/>
      <c r="BP159" s="681">
        <f>(BP50-BP79)*(1-BP119/BP109)/BP179</f>
        <v>0.42117245304496292</v>
      </c>
      <c r="BQ159" s="678">
        <f t="shared" ref="BQ159:BQ164" si="404">IF(OR((BP159/BL159-1)*100&gt;500,(BP159/BL159-1)*100&lt;-500),"NM ",(BP159/BL159-1)*100)</f>
        <v>14.652501106684346</v>
      </c>
      <c r="BR159" s="566"/>
      <c r="BT159" s="681">
        <f>(BT50-BT79)*(1-BT119/BT109)/BT179</f>
        <v>0.32635908440629469</v>
      </c>
      <c r="BU159" s="678">
        <f t="shared" ref="BU159:BU164" si="405">IF(OR((BT159/BP159-1)*100&gt;500,(BT159/BP159-1)*100&lt;-500),"NM ",(BT159/BP159-1)*100)</f>
        <v>-22.511768742991912</v>
      </c>
      <c r="BV159" s="566"/>
      <c r="BX159" s="681">
        <f>ROUND((((BX50-BX79)*(1-(((36-22)+BX119)/(BX50-BX79))))/BX179),2)</f>
        <v>0.34</v>
      </c>
      <c r="BY159" s="678">
        <f t="shared" ref="BY159:BY164" si="406">IF(OR((BX159/BT159-1)*100&gt;500,(BX159/BT159-1)*100&lt;-500),"NM ",(BX159/BT159-1)*100)</f>
        <v>4.1797260273972681</v>
      </c>
      <c r="BZ159" s="566"/>
      <c r="CB159" s="681">
        <f>ROUND((CB50-CB79-28-48)/CB179,2)</f>
        <v>0.28999999999999998</v>
      </c>
      <c r="CC159" s="678">
        <f t="shared" ref="CC159:CC164" si="407">IF(OR((CB159/BX159-1)*100&gt;500,(CB159/BX159-1)*100&lt;-500),"NM ",(CB159/BX159-1)*100)</f>
        <v>-14.705882352941192</v>
      </c>
      <c r="CD159" s="566"/>
      <c r="CF159" s="681">
        <f>ROUND((CF50-CF79-59)/CF179,2)</f>
        <v>0.2</v>
      </c>
      <c r="CG159" s="678">
        <f t="shared" ref="CG159:CG164" si="408">IF(OR((CF159/CB159-1)*100&gt;500,(CF159/CB159-1)*100&lt;-500),"NM ",(CF159/CB159-1)*100)</f>
        <v>-31.034482758620683</v>
      </c>
      <c r="CH159" s="566"/>
      <c r="CJ159" s="681">
        <f>CJ149/CJ179</f>
        <v>0.34466588511137164</v>
      </c>
      <c r="CK159" s="678">
        <f t="shared" ref="CK159:CK164" si="409">IF(OR((CJ159/CF159-1)*100&gt;500,(CJ159/CF159-1)*100&lt;-500),"NM ",(CJ159/CF159-1)*100)</f>
        <v>72.332942555685804</v>
      </c>
      <c r="CL159" s="566"/>
      <c r="CN159" s="681">
        <f>CN129/CN179</f>
        <v>0.55453290381960418</v>
      </c>
      <c r="CO159" s="678">
        <f t="shared" ref="CO159:CO164" si="410">IF(OR((CN159/CJ159-1)*100&gt;500,(CN159/CJ159-1)*100&lt;-500),"NM ",(CN159/CJ159-1)*100)</f>
        <v>60.889988761266103</v>
      </c>
      <c r="CP159" s="566"/>
      <c r="CR159" s="681">
        <f>CR129/CR179</f>
        <v>0.66890433948693351</v>
      </c>
      <c r="CS159" s="678">
        <f t="shared" ref="CS159:CS164" si="411">IF(OR((CR159/CN159-1)*100&gt;500,(CR159/CN159-1)*100&lt;-500),"NM ",(CR159/CN159-1)*100)</f>
        <v>20.624824041917567</v>
      </c>
      <c r="CT159" s="679"/>
      <c r="CV159" s="681">
        <f>CV129/CV179</f>
        <v>0.72180837400462361</v>
      </c>
      <c r="CW159" s="678">
        <f t="shared" si="386"/>
        <v>7.9090583502969602</v>
      </c>
      <c r="CX159" s="679"/>
      <c r="CZ159" s="681">
        <f>CZ129/CZ179</f>
        <v>0.79912424740010957</v>
      </c>
      <c r="DA159" s="678">
        <f t="shared" si="387"/>
        <v>10.711412638029415</v>
      </c>
      <c r="DB159" s="679"/>
      <c r="DD159" s="681">
        <f>DD129/DD179</f>
        <v>0.63636363636363635</v>
      </c>
      <c r="DE159" s="678">
        <f t="shared" si="388"/>
        <v>-20.36737235367373</v>
      </c>
      <c r="DF159" s="679"/>
      <c r="DH159" s="1184">
        <f>DH129/DH179</f>
        <v>0.53180212014134276</v>
      </c>
      <c r="DI159" s="678">
        <f t="shared" si="389"/>
        <v>-16.43109540636042</v>
      </c>
      <c r="DJ159" s="682"/>
      <c r="DK159" s="682"/>
      <c r="DL159" s="681">
        <f>DL129/DL179</f>
        <v>0.45548123980424149</v>
      </c>
      <c r="DM159" s="678">
        <f t="shared" ref="DM159:DM164" si="412">IF(OR((DL159/DH159-1)*100&gt;500,(DL159/DH159-1)*100&lt;-500),"NM ",(DL159/DH159-1)*100)</f>
        <v>-14.351368196278846</v>
      </c>
      <c r="DN159" s="680"/>
      <c r="DO159" s="682"/>
      <c r="DP159" s="1202">
        <f>DP129/DP179</f>
        <v>0.47707424974423646</v>
      </c>
      <c r="DQ159" s="1183">
        <f t="shared" ref="DQ159:DQ164" si="413">IF(OR((DP159/DL159-1)*100&gt;500,(DP159/DL159-1)*100&lt;-500),"NM ",(DP159/DL159-1)*100)</f>
        <v>4.7407023721274033</v>
      </c>
      <c r="DR159" s="1185"/>
    </row>
    <row r="160" spans="1:139" x14ac:dyDescent="0.2">
      <c r="A160" s="604" t="s">
        <v>81</v>
      </c>
      <c r="D160" s="681">
        <f>D150/D180</f>
        <v>-1.0850250000000004</v>
      </c>
      <c r="E160" s="678"/>
      <c r="F160" s="566"/>
      <c r="H160" s="681">
        <f>H150/H180</f>
        <v>-0.76272352132049459</v>
      </c>
      <c r="I160" s="678">
        <f t="shared" si="390"/>
        <v>-29.704520972282268</v>
      </c>
      <c r="J160" s="566"/>
      <c r="L160" s="681">
        <f>L150/L180</f>
        <v>0.25065079365079301</v>
      </c>
      <c r="M160" s="678">
        <f t="shared" si="391"/>
        <v>-132.86260180056385</v>
      </c>
      <c r="N160" s="679"/>
      <c r="P160" s="681">
        <f>P150/P180</f>
        <v>0.38607880548804113</v>
      </c>
      <c r="Q160" s="678">
        <f t="shared" si="392"/>
        <v>54.030553769531075</v>
      </c>
      <c r="R160" s="566"/>
      <c r="T160" s="681">
        <f>T150/T180</f>
        <v>0.3502606635071091</v>
      </c>
      <c r="U160" s="678">
        <f t="shared" si="393"/>
        <v>-9.2774173230396393</v>
      </c>
      <c r="V160" s="566"/>
      <c r="X160" s="681">
        <f>X150/X180</f>
        <v>-0.2813358946212951</v>
      </c>
      <c r="Y160" s="678"/>
      <c r="Z160" s="566"/>
      <c r="AB160" s="681">
        <f>AB150/AB180</f>
        <v>0.11965027322404234</v>
      </c>
      <c r="AC160" s="678">
        <f t="shared" si="394"/>
        <v>-142.52933077917521</v>
      </c>
      <c r="AD160" s="566"/>
      <c r="AF160" s="681">
        <f>AF150/AF180</f>
        <v>0.19625289657863043</v>
      </c>
      <c r="AG160" s="678">
        <f t="shared" si="395"/>
        <v>64.022104831429402</v>
      </c>
      <c r="AH160" s="566"/>
      <c r="AJ160" s="681">
        <f>AJ130/AJ180</f>
        <v>0.46371188687582898</v>
      </c>
      <c r="AK160" s="678">
        <f t="shared" si="396"/>
        <v>136.28282433530288</v>
      </c>
      <c r="AL160" s="566"/>
      <c r="AN160" s="681">
        <f>AN130/AN180</f>
        <v>0.48076923076923073</v>
      </c>
      <c r="AO160" s="678">
        <f t="shared" si="397"/>
        <v>3.6784357650010646</v>
      </c>
      <c r="AP160" s="566"/>
      <c r="AR160" s="681">
        <f>AR130/AR180</f>
        <v>0.27967257844474763</v>
      </c>
      <c r="AS160" s="678">
        <f t="shared" si="398"/>
        <v>-41.828103683492493</v>
      </c>
      <c r="AT160" s="566"/>
      <c r="AV160" s="681">
        <f>AV130/AV180</f>
        <v>0.27100944803580307</v>
      </c>
      <c r="AW160" s="678">
        <f t="shared" si="399"/>
        <v>-3.0975973608567631</v>
      </c>
      <c r="AX160" s="566"/>
      <c r="AZ160" s="681">
        <f>(AZ51-AZ80)*(1-AZ120/AZ110)/AZ180</f>
        <v>0.11037133026498057</v>
      </c>
      <c r="BA160" s="678">
        <f t="shared" si="400"/>
        <v>-59.273991713233777</v>
      </c>
      <c r="BB160" s="566"/>
      <c r="BD160" s="681">
        <f>(BD51-BD80)*(1-BD120/BD110)/BD180</f>
        <v>0.19142419601837671</v>
      </c>
      <c r="BE160" s="678">
        <f t="shared" si="401"/>
        <v>73.4365215666094</v>
      </c>
      <c r="BF160" s="566"/>
      <c r="BH160" s="681">
        <f>(BH51-BH80)*(1-BH120/BH110)/BH180</f>
        <v>0.22710881606277405</v>
      </c>
      <c r="BI160" s="678">
        <f t="shared" si="402"/>
        <v>18.641645511193182</v>
      </c>
      <c r="BJ160" s="566"/>
      <c r="BL160" s="681">
        <f>(BL51-BL80)*(1-BL120/BL110)/BL180</f>
        <v>0.27580275229357798</v>
      </c>
      <c r="BM160" s="678">
        <f t="shared" si="403"/>
        <v>21.440795242992539</v>
      </c>
      <c r="BN160" s="566"/>
      <c r="BP160" s="681">
        <f>(BP51-BP80)*(1-BP120/BP110)/BP180</f>
        <v>0.1606847608789124</v>
      </c>
      <c r="BQ160" s="678">
        <f t="shared" si="404"/>
        <v>-41.73924678319684</v>
      </c>
      <c r="BR160" s="566"/>
      <c r="BT160" s="681">
        <f>(BT51-BT80)*(1-BT120/BT110)/BT180-0.008</f>
        <v>0.20415978662787176</v>
      </c>
      <c r="BU160" s="678">
        <f t="shared" si="405"/>
        <v>27.056097610725473</v>
      </c>
      <c r="BV160" s="566"/>
      <c r="BX160" s="681">
        <f>ROUND((((BX51-BX80)*(1-(((36-22)+BX120)/(BX51-BX80))))/BX180),2)</f>
        <v>0.08</v>
      </c>
      <c r="BY160" s="678">
        <f t="shared" si="406"/>
        <v>-60.815006068840368</v>
      </c>
      <c r="BZ160" s="566"/>
      <c r="CB160" s="681">
        <f>ROUND((CB51-CB80)*(1-CB120/CB110)/CB180,2)</f>
        <v>-0.08</v>
      </c>
      <c r="CC160" s="678">
        <f t="shared" si="407"/>
        <v>-200</v>
      </c>
      <c r="CD160" s="566"/>
      <c r="CF160" s="681">
        <f>ROUND((CF51-CF80--37)/CF180,2)</f>
        <v>-0.03</v>
      </c>
      <c r="CG160" s="678">
        <f t="shared" si="408"/>
        <v>-62.5</v>
      </c>
      <c r="CH160" s="566"/>
      <c r="CJ160" s="681">
        <f>CJ150/CJ180</f>
        <v>8.0449017773620193E-2</v>
      </c>
      <c r="CK160" s="678">
        <f t="shared" si="409"/>
        <v>-368.16339257873398</v>
      </c>
      <c r="CL160" s="566"/>
      <c r="CN160" s="681">
        <f>CN130/CN180</f>
        <v>0.32190829087540529</v>
      </c>
      <c r="CO160" s="678">
        <f t="shared" si="410"/>
        <v>300.13949179745157</v>
      </c>
      <c r="CP160" s="681"/>
      <c r="CR160" s="681">
        <f>CR130/CR180</f>
        <v>0.35547928413826918</v>
      </c>
      <c r="CS160" s="678">
        <f t="shared" si="411"/>
        <v>10.42874452583067</v>
      </c>
      <c r="CT160" s="683"/>
      <c r="CV160" s="681">
        <f>CV130/CV180</f>
        <v>0.4655444502893214</v>
      </c>
      <c r="CW160" s="678">
        <f t="shared" si="386"/>
        <v>30.962469843458074</v>
      </c>
      <c r="CX160" s="683"/>
      <c r="CZ160" s="681">
        <f>CZ130/CZ180</f>
        <v>0.60665362035225046</v>
      </c>
      <c r="DA160" s="678">
        <f t="shared" si="387"/>
        <v>30.310568620296973</v>
      </c>
      <c r="DB160" s="683"/>
      <c r="DD160" s="681">
        <f>DD130/DD180</f>
        <v>0.56360327570518653</v>
      </c>
      <c r="DE160" s="678">
        <f t="shared" si="388"/>
        <v>-7.0963632627902173</v>
      </c>
      <c r="DF160" s="683"/>
      <c r="DH160" s="1184">
        <f>DH130/DH180</f>
        <v>0.15520283322601416</v>
      </c>
      <c r="DI160" s="678">
        <f t="shared" si="389"/>
        <v>-72.462396881596774</v>
      </c>
      <c r="DJ160" s="683"/>
      <c r="DK160" s="683"/>
      <c r="DL160" s="1388">
        <f>DL130/DL180</f>
        <v>0.20668841761827081</v>
      </c>
      <c r="DM160" s="678">
        <f t="shared" si="412"/>
        <v>33.173095698118303</v>
      </c>
      <c r="DN160" s="680"/>
      <c r="DO160" s="683"/>
      <c r="DP160" s="1202">
        <f>DP130/DP180</f>
        <v>0.2828681686110649</v>
      </c>
      <c r="DQ160" s="1183">
        <f t="shared" si="413"/>
        <v>36.857290732898782</v>
      </c>
      <c r="DR160" s="1185"/>
    </row>
    <row r="161" spans="1:146" x14ac:dyDescent="0.2">
      <c r="A161" s="604" t="s">
        <v>82</v>
      </c>
      <c r="D161" s="684">
        <f>D151/D181</f>
        <v>0.51459999999999939</v>
      </c>
      <c r="E161" s="678"/>
      <c r="F161" s="566"/>
      <c r="H161" s="684">
        <f>H151/H181</f>
        <v>-39.296723771414278</v>
      </c>
      <c r="I161" s="678" t="str">
        <f t="shared" si="390"/>
        <v xml:space="preserve">NM </v>
      </c>
      <c r="J161" s="566"/>
      <c r="L161" s="684">
        <f>L151/L181</f>
        <v>0.88256577903323086</v>
      </c>
      <c r="M161" s="678">
        <f t="shared" si="391"/>
        <v>-102.24590167915026</v>
      </c>
      <c r="N161" s="679"/>
      <c r="P161" s="684">
        <f>P151/P181</f>
        <v>1.1552976934888934</v>
      </c>
      <c r="Q161" s="678">
        <f t="shared" si="392"/>
        <v>30.902162868179083</v>
      </c>
      <c r="R161" s="566"/>
      <c r="T161" s="684">
        <f>T151/T181</f>
        <v>1.3138393561622215</v>
      </c>
      <c r="U161" s="678">
        <f t="shared" si="393"/>
        <v>13.723013866196411</v>
      </c>
      <c r="V161" s="566"/>
      <c r="X161" s="684">
        <f>X151/X181</f>
        <v>1.0062261251372124</v>
      </c>
      <c r="Y161" s="678"/>
      <c r="Z161" s="566"/>
      <c r="AB161" s="684">
        <f>AB151/AB181</f>
        <v>1.3712712428644704</v>
      </c>
      <c r="AC161" s="678">
        <f t="shared" si="394"/>
        <v>36.27863644242781</v>
      </c>
      <c r="AD161" s="566"/>
      <c r="AF161" s="684">
        <f>AF151/AF181</f>
        <v>1.2976881720430096</v>
      </c>
      <c r="AG161" s="678">
        <f t="shared" si="395"/>
        <v>-5.366047833669441</v>
      </c>
      <c r="AH161" s="566"/>
      <c r="AJ161" s="684">
        <f>AJ131/AJ181</f>
        <v>1.6504702194357368</v>
      </c>
      <c r="AK161" s="678">
        <f t="shared" si="396"/>
        <v>27.185425204063197</v>
      </c>
      <c r="AL161" s="566"/>
      <c r="AN161" s="684">
        <f>AN131/AN181</f>
        <v>1.8793182865039153</v>
      </c>
      <c r="AO161" s="678">
        <f t="shared" si="397"/>
        <v>13.865628375071015</v>
      </c>
      <c r="AP161" s="566"/>
      <c r="AR161" s="684">
        <f>AR131/AR181</f>
        <v>1.0186448385629832</v>
      </c>
      <c r="AS161" s="678">
        <f t="shared" si="398"/>
        <v>-45.797109202935381</v>
      </c>
      <c r="AT161" s="566"/>
      <c r="AV161" s="684">
        <f>(AV52-AV81)*(1-AV121/AV111)/AV181</f>
        <v>1.1121316908003744</v>
      </c>
      <c r="AW161" s="678">
        <f t="shared" si="399"/>
        <v>9.1775708959831892</v>
      </c>
      <c r="AX161" s="566"/>
      <c r="AZ161" s="684">
        <f>(AZ52-AZ81)*(1-AZ121/AZ111)/AZ181</f>
        <v>1.0059098707159446</v>
      </c>
      <c r="BA161" s="678">
        <f t="shared" si="400"/>
        <v>-9.5511908313649858</v>
      </c>
      <c r="BB161" s="566"/>
      <c r="BD161" s="684">
        <f>(BD52-BD81)*(1-BD121/BD111)/BD181</f>
        <v>0.99768531377886427</v>
      </c>
      <c r="BE161" s="678">
        <f t="shared" si="401"/>
        <v>-0.81762364367958806</v>
      </c>
      <c r="BF161" s="566"/>
      <c r="BH161" s="684">
        <f>(BH52-BH81)*(1-BH121/BH111)/BH181</f>
        <v>1.1671164307843058</v>
      </c>
      <c r="BI161" s="678">
        <f t="shared" si="402"/>
        <v>16.982420675683695</v>
      </c>
      <c r="BJ161" s="566"/>
      <c r="BL161" s="684">
        <f>(BL52-BL81)*(1-BL121/BL111)/BL181</f>
        <v>1.2993690266609828</v>
      </c>
      <c r="BM161" s="678">
        <f t="shared" si="403"/>
        <v>11.331568332715758</v>
      </c>
      <c r="BN161" s="566"/>
      <c r="BP161" s="684">
        <f>(BP52-BP81)*(1-BP121/BP111)/BP181</f>
        <v>1.3341216109951204</v>
      </c>
      <c r="BQ161" s="678">
        <f t="shared" si="404"/>
        <v>2.6745738601636537</v>
      </c>
      <c r="BR161" s="566"/>
      <c r="BT161" s="684">
        <f>(BT52-BT81)*(1-BT121/BT111)/BT181</f>
        <v>1.5983670475799727</v>
      </c>
      <c r="BU161" s="678">
        <f t="shared" si="405"/>
        <v>19.806697860755882</v>
      </c>
      <c r="BV161" s="566"/>
      <c r="BX161" s="684">
        <f>(BX52-BX81)*(1-37.5%)/BX181+0.01</f>
        <v>1.6706280193236716</v>
      </c>
      <c r="BY161" s="678">
        <f t="shared" si="406"/>
        <v>4.5209247683819731</v>
      </c>
      <c r="BZ161" s="566"/>
      <c r="CB161" s="684">
        <f>ROUND((CB52-CB81-275)/CB181,2)</f>
        <v>1.06</v>
      </c>
      <c r="CC161" s="678">
        <f t="shared" si="407"/>
        <v>-36.55080677809265</v>
      </c>
      <c r="CD161" s="566"/>
      <c r="CF161" s="684">
        <f>ROUND((CF52-CF81-349)/CF181,2)</f>
        <v>1.35</v>
      </c>
      <c r="CG161" s="678">
        <f t="shared" si="408"/>
        <v>27.358490566037741</v>
      </c>
      <c r="CH161" s="566"/>
      <c r="CJ161" s="684">
        <f>(CJ52-CJ81)*(1-CJ121/CJ111)/CJ181</f>
        <v>1.5926630224875842</v>
      </c>
      <c r="CK161" s="678">
        <f t="shared" si="409"/>
        <v>17.975038702784008</v>
      </c>
      <c r="CL161" s="566"/>
      <c r="CN161" s="684">
        <f>CN131/CN181</f>
        <v>1.7435057336765738</v>
      </c>
      <c r="CO161" s="678">
        <f t="shared" si="410"/>
        <v>9.4711002301910661</v>
      </c>
      <c r="CP161" s="566"/>
      <c r="CR161" s="684">
        <f>CR131/CR181</f>
        <v>2.0480721081622435</v>
      </c>
      <c r="CS161" s="678">
        <f t="shared" si="411"/>
        <v>17.468619035936463</v>
      </c>
      <c r="CV161" s="684">
        <f>CV131/CV181</f>
        <v>2.3075446547587308</v>
      </c>
      <c r="CW161" s="678">
        <f t="shared" si="386"/>
        <v>12.669111871716021</v>
      </c>
      <c r="CZ161" s="684">
        <f>CZ131/CZ181</f>
        <v>2.4436591621544603</v>
      </c>
      <c r="DA161" s="678">
        <f t="shared" si="387"/>
        <v>5.8986727348927959</v>
      </c>
      <c r="DC161" s="685"/>
      <c r="DD161" s="684">
        <f>DD131/DD181</f>
        <v>2.090374841168996</v>
      </c>
      <c r="DE161" s="678">
        <f t="shared" si="388"/>
        <v>-14.457184801254774</v>
      </c>
      <c r="DF161" s="290"/>
      <c r="DG161" s="686"/>
      <c r="DH161" s="1189">
        <f>DH131/DH181</f>
        <v>2.0550194931773875</v>
      </c>
      <c r="DI161" s="678">
        <f t="shared" si="389"/>
        <v>-1.6913401029949648</v>
      </c>
      <c r="DJ161" s="290"/>
      <c r="DK161" s="290"/>
      <c r="DL161" s="1389">
        <f>DL131/DL181</f>
        <v>2.8560995445673392</v>
      </c>
      <c r="DM161" s="678">
        <f t="shared" si="412"/>
        <v>38.981627865308191</v>
      </c>
      <c r="DN161" s="680"/>
      <c r="DO161" s="290"/>
      <c r="DP161" s="1387">
        <f>DP131/DP181</f>
        <v>2.4094565136762314</v>
      </c>
      <c r="DQ161" s="1183">
        <f t="shared" si="413"/>
        <v>-15.638216522973758</v>
      </c>
      <c r="DR161" s="1185"/>
      <c r="DT161" s="686"/>
      <c r="DU161" s="686"/>
      <c r="DV161" s="686"/>
      <c r="DW161" s="686"/>
      <c r="DX161" s="686"/>
      <c r="EP161" s="286"/>
    </row>
    <row r="162" spans="1:146" x14ac:dyDescent="0.2">
      <c r="A162" s="604" t="s">
        <v>83</v>
      </c>
      <c r="D162" s="527">
        <f>D152/D182</f>
        <v>-3.3930749999999996</v>
      </c>
      <c r="E162" s="678"/>
      <c r="F162" s="566"/>
      <c r="H162" s="527">
        <f>H152/H182</f>
        <v>-42.66028510691509</v>
      </c>
      <c r="I162" s="678" t="str">
        <f t="shared" si="390"/>
        <v xml:space="preserve">NM </v>
      </c>
      <c r="J162" s="566"/>
      <c r="L162" s="527">
        <f>L152/L182</f>
        <v>1.3687202514593633</v>
      </c>
      <c r="M162" s="678">
        <f t="shared" si="391"/>
        <v>-103.20841796539588</v>
      </c>
      <c r="N162" s="679"/>
      <c r="P162" s="527">
        <f>P152/P182</f>
        <v>1.8118343851203138</v>
      </c>
      <c r="Q162" s="678">
        <f t="shared" si="392"/>
        <v>32.37433896287363</v>
      </c>
      <c r="R162" s="566"/>
      <c r="T162" s="527">
        <f>T152/T182</f>
        <v>1.9499735372413955</v>
      </c>
      <c r="U162" s="678">
        <f t="shared" si="393"/>
        <v>7.6242703668474965</v>
      </c>
      <c r="V162" s="566"/>
      <c r="X162" s="527">
        <f>X132/X182</f>
        <v>0.20197557628979221</v>
      </c>
      <c r="Y162" s="678"/>
      <c r="Z162" s="566"/>
      <c r="AB162" s="527">
        <f>AB152/AB182</f>
        <v>0.8143720757357088</v>
      </c>
      <c r="AC162" s="678">
        <f t="shared" si="394"/>
        <v>303.20324402355322</v>
      </c>
      <c r="AD162" s="566"/>
      <c r="AF162" s="527">
        <f>AF152/AF182</f>
        <v>0.59859037769784074</v>
      </c>
      <c r="AG162" s="678">
        <f t="shared" si="395"/>
        <v>-26.49669659202516</v>
      </c>
      <c r="AH162" s="566"/>
      <c r="AJ162" s="527">
        <f>AJ132/AJ182</f>
        <v>1.2657726276118944</v>
      </c>
      <c r="AK162" s="678">
        <f t="shared" si="396"/>
        <v>111.45889990414064</v>
      </c>
      <c r="AL162" s="566"/>
      <c r="AN162" s="527">
        <f>AN132/AN182</f>
        <v>1.5166755201416557</v>
      </c>
      <c r="AO162" s="678">
        <f t="shared" si="397"/>
        <v>19.822113944992982</v>
      </c>
      <c r="AP162" s="566"/>
      <c r="AR162" s="527">
        <f>AR132/AR182</f>
        <v>1.8784153005464481</v>
      </c>
      <c r="AS162" s="678">
        <f t="shared" si="398"/>
        <v>23.850835303981576</v>
      </c>
      <c r="AT162" s="566"/>
      <c r="AV162" s="527">
        <f>(AV53-AV82)*(1-AV122/AV112)/AV182</f>
        <v>2.100160980880764</v>
      </c>
      <c r="AW162" s="678">
        <f t="shared" si="399"/>
        <v>11.804933673070494</v>
      </c>
      <c r="AX162" s="566"/>
      <c r="AZ162" s="527">
        <f>(AZ53-AZ82)*(1-AZ122/AZ112)/AZ182</f>
        <v>1.6014336365037769</v>
      </c>
      <c r="BA162" s="678">
        <f t="shared" si="400"/>
        <v>-23.747100765953245</v>
      </c>
      <c r="BB162" s="566"/>
      <c r="BD162" s="527">
        <f>(BD53-BD82)*(1-BD122/BD112)/BD182</f>
        <v>1.7093897259149216</v>
      </c>
      <c r="BE162" s="678">
        <f t="shared" si="401"/>
        <v>6.7412153054829504</v>
      </c>
      <c r="BF162" s="566"/>
      <c r="BH162" s="527">
        <f>(BH53-BH82)*(1-BH122/BH112)/BH182</f>
        <v>1.8506172802885585</v>
      </c>
      <c r="BI162" s="678">
        <f t="shared" si="402"/>
        <v>8.2618698493725606</v>
      </c>
      <c r="BJ162" s="566"/>
      <c r="BL162" s="527">
        <f>(BL53-BL82)*(1-BL122/BL112)/BL182</f>
        <v>2.2069208613414109</v>
      </c>
      <c r="BM162" s="678">
        <f t="shared" si="403"/>
        <v>19.253228900861409</v>
      </c>
      <c r="BN162" s="566"/>
      <c r="BP162" s="527">
        <f>(BP53-BP82)*(1-BP122/BP112)/BP182</f>
        <v>2.5058780966631615</v>
      </c>
      <c r="BQ162" s="678">
        <f t="shared" si="404"/>
        <v>13.546350508465377</v>
      </c>
      <c r="BR162" s="566"/>
      <c r="BT162" s="527">
        <f>(BT53-BT82)*(1-BT122/BT112)/BT182</f>
        <v>2.0770614304446693</v>
      </c>
      <c r="BU162" s="678">
        <f t="shared" si="405"/>
        <v>-17.112431238754443</v>
      </c>
      <c r="BV162" s="566"/>
      <c r="BX162" s="527">
        <f>(BX53-BX82)*(1-37.5%)/BX182</f>
        <v>2.1292197011621474</v>
      </c>
      <c r="BY162" s="678">
        <f t="shared" si="406"/>
        <v>2.5111568657991912</v>
      </c>
      <c r="BZ162" s="566"/>
      <c r="CB162" s="527">
        <f>ROUND((CB53-CB82-320)/CB182,2)</f>
        <v>1.29</v>
      </c>
      <c r="CC162" s="678">
        <f t="shared" si="407"/>
        <v>-39.414424951267058</v>
      </c>
      <c r="CD162" s="566"/>
      <c r="CF162" s="527">
        <f>ROUND((CF53-CF82-322)/CF182,2)</f>
        <v>1.36</v>
      </c>
      <c r="CG162" s="678">
        <f t="shared" si="408"/>
        <v>5.4263565891472965</v>
      </c>
      <c r="CH162" s="566"/>
      <c r="CJ162" s="527">
        <f>((CJ53-CJ82)*(1-CJ122/CJ112)-CJ142)/CJ182</f>
        <v>2.1077643129029751</v>
      </c>
      <c r="CK162" s="678">
        <f t="shared" si="409"/>
        <v>54.982670066395215</v>
      </c>
      <c r="CL162" s="566"/>
      <c r="CN162" s="527">
        <f>(CN53-CN82)*(1-(CN122-8.5)/(CN53-CN82))/CN182</f>
        <v>2.879879182156134</v>
      </c>
      <c r="CO162" s="678">
        <f t="shared" si="410"/>
        <v>36.631935768460892</v>
      </c>
      <c r="CP162" s="566"/>
      <c r="CR162" s="527">
        <f>CR132/CR182</f>
        <v>3.4619116933527416</v>
      </c>
      <c r="CS162" s="678">
        <f t="shared" si="411"/>
        <v>20.210310029771673</v>
      </c>
      <c r="CT162" s="679"/>
      <c r="CV162" s="527">
        <f>CV132/CV182</f>
        <v>4.0035343035343036</v>
      </c>
      <c r="CW162" s="678">
        <f t="shared" si="386"/>
        <v>15.645188501530471</v>
      </c>
      <c r="CX162" s="679"/>
      <c r="CZ162" s="527">
        <f>CZ132/CZ182</f>
        <v>4.3978432185815022</v>
      </c>
      <c r="DA162" s="678">
        <f t="shared" si="387"/>
        <v>9.849020519172381</v>
      </c>
      <c r="DB162" s="679"/>
      <c r="DC162" s="686"/>
      <c r="DD162" s="527">
        <f>DD132/DD182</f>
        <v>3.7653753753753749</v>
      </c>
      <c r="DE162" s="678">
        <f t="shared" si="388"/>
        <v>-14.381318563923839</v>
      </c>
      <c r="DF162" s="679"/>
      <c r="DG162" s="686"/>
      <c r="DH162" s="1182">
        <f>DH132/DH182</f>
        <v>3.1444369369369367</v>
      </c>
      <c r="DI162" s="678">
        <f t="shared" si="389"/>
        <v>-16.490744654549516</v>
      </c>
      <c r="DJ162" s="682"/>
      <c r="DK162" s="682"/>
      <c r="DL162" s="527">
        <f>DL132/DL182</f>
        <v>3.7850862911103875</v>
      </c>
      <c r="DM162" s="678">
        <f t="shared" si="412"/>
        <v>20.37405637390588</v>
      </c>
      <c r="DN162" s="527"/>
      <c r="DO162" s="682"/>
      <c r="DP162" s="1182">
        <f>DP132/DP182</f>
        <v>3.5474834268760684</v>
      </c>
      <c r="DQ162" s="1183">
        <f t="shared" si="413"/>
        <v>-6.2773433935271346</v>
      </c>
      <c r="DR162" s="1182"/>
      <c r="DS162" s="687"/>
      <c r="DT162" s="686"/>
      <c r="DU162" s="686"/>
      <c r="DV162" s="686"/>
      <c r="DW162" s="686"/>
      <c r="DX162" s="686"/>
      <c r="DY162" s="391"/>
      <c r="DZ162" s="466"/>
      <c r="EP162" s="621"/>
    </row>
    <row r="163" spans="1:146" hidden="1" outlineLevel="1" x14ac:dyDescent="0.2">
      <c r="A163" s="604" t="s">
        <v>413</v>
      </c>
      <c r="D163" s="681">
        <f>D158+D159</f>
        <v>-2.8226499999999985</v>
      </c>
      <c r="E163" s="678"/>
      <c r="F163" s="566"/>
      <c r="H163" s="681">
        <f>H158+H159</f>
        <v>-2.6008378141803177</v>
      </c>
      <c r="I163" s="678">
        <f t="shared" si="390"/>
        <v>-7.8582957794866903</v>
      </c>
      <c r="J163" s="566"/>
      <c r="L163" s="681">
        <f>L158+L159</f>
        <v>0.12816966074578157</v>
      </c>
      <c r="M163" s="678">
        <f t="shared" si="391"/>
        <v>-104.92801435164367</v>
      </c>
      <c r="N163" s="679"/>
      <c r="P163" s="681">
        <f>P158+P159</f>
        <v>0.27011537210710962</v>
      </c>
      <c r="Q163" s="678">
        <f t="shared" si="392"/>
        <v>110.74829295434481</v>
      </c>
      <c r="R163" s="566"/>
      <c r="T163" s="681">
        <f>T158+T159</f>
        <v>0.28459168476384911</v>
      </c>
      <c r="U163" s="678">
        <f t="shared" si="393"/>
        <v>5.359307226320742</v>
      </c>
      <c r="V163" s="566"/>
      <c r="X163" s="681">
        <f>X158+X159</f>
        <v>-0.52291465422612515</v>
      </c>
      <c r="Y163" s="678"/>
      <c r="Z163" s="566"/>
      <c r="AB163" s="681">
        <f>AB158+AB159</f>
        <v>-0.67942995020125108</v>
      </c>
      <c r="AC163" s="678">
        <f t="shared" si="394"/>
        <v>29.931327169776289</v>
      </c>
      <c r="AD163" s="566"/>
      <c r="AF163" s="681">
        <f>AF158+AF159</f>
        <v>-0.31454249097561426</v>
      </c>
      <c r="AG163" s="678">
        <f t="shared" si="395"/>
        <v>-53.70494178502949</v>
      </c>
      <c r="AH163" s="566"/>
      <c r="AJ163" s="681">
        <f>AJ158+AJ159</f>
        <v>0.40388132643929847</v>
      </c>
      <c r="AK163" s="678">
        <f t="shared" si="396"/>
        <v>-228.40278754917423</v>
      </c>
      <c r="AL163" s="566"/>
      <c r="AN163" s="681">
        <f>AN158+AN159</f>
        <v>0.72049080110226249</v>
      </c>
      <c r="AO163" s="678">
        <f t="shared" si="397"/>
        <v>78.39170913254614</v>
      </c>
      <c r="AP163" s="566"/>
      <c r="AR163" s="681">
        <f>AR158+AR159</f>
        <v>0.50971424739624771</v>
      </c>
      <c r="AS163" s="678">
        <f t="shared" si="398"/>
        <v>-29.254579431625295</v>
      </c>
      <c r="AT163" s="566"/>
      <c r="AV163" s="681">
        <f>AV158+AV159</f>
        <v>0.73799711964131887</v>
      </c>
      <c r="AW163" s="678">
        <f t="shared" si="399"/>
        <v>44.78644130730094</v>
      </c>
      <c r="AX163" s="566"/>
      <c r="AZ163" s="681">
        <f>AZ158+AZ159</f>
        <v>0.4772358297446691</v>
      </c>
      <c r="BA163" s="678">
        <f t="shared" si="400"/>
        <v>-35.333646020649091</v>
      </c>
      <c r="BB163" s="566"/>
      <c r="BD163" s="681">
        <f>BD158+BD159</f>
        <v>0.54491858168328755</v>
      </c>
      <c r="BE163" s="678">
        <f t="shared" si="401"/>
        <v>14.182244441878989</v>
      </c>
      <c r="BF163" s="566"/>
      <c r="BH163" s="681">
        <f>BH158+BH159</f>
        <v>0.47076702739302645</v>
      </c>
      <c r="BI163" s="678">
        <f t="shared" si="402"/>
        <v>-13.60782266980185</v>
      </c>
      <c r="BJ163" s="566"/>
      <c r="BL163" s="681">
        <f>BL158+BL159</f>
        <v>0.66251212200891074</v>
      </c>
      <c r="BM163" s="678">
        <f t="shared" si="403"/>
        <v>40.73035779028833</v>
      </c>
      <c r="BN163" s="566"/>
      <c r="BP163" s="681">
        <f>BP158+BP159</f>
        <v>0.77809953637829621</v>
      </c>
      <c r="BQ163" s="678">
        <f t="shared" si="404"/>
        <v>17.446837654667213</v>
      </c>
      <c r="BR163" s="566"/>
      <c r="BT163" s="681">
        <f>BT158+BT159</f>
        <v>0.33872163832160967</v>
      </c>
      <c r="BU163" s="678">
        <f t="shared" si="405"/>
        <v>-56.468083775218943</v>
      </c>
      <c r="BV163" s="566"/>
      <c r="BX163" s="681">
        <f>BX158+BX159</f>
        <v>0.5</v>
      </c>
      <c r="BY163" s="678">
        <f t="shared" si="406"/>
        <v>47.613834911030885</v>
      </c>
      <c r="BZ163" s="566"/>
      <c r="CB163" s="681">
        <f>CB158+CB159</f>
        <v>0.3</v>
      </c>
      <c r="CC163" s="678">
        <f t="shared" si="407"/>
        <v>-40</v>
      </c>
      <c r="CD163" s="566"/>
      <c r="CF163" s="681">
        <f>CF158+CF159</f>
        <v>4.0000000000000008E-2</v>
      </c>
      <c r="CG163" s="678">
        <f t="shared" si="408"/>
        <v>-86.666666666666671</v>
      </c>
      <c r="CH163" s="566"/>
      <c r="CJ163" s="681">
        <f>CJ158+CJ159</f>
        <v>0.43851853644877192</v>
      </c>
      <c r="CK163" s="678" t="str">
        <f t="shared" si="409"/>
        <v xml:space="preserve">NM </v>
      </c>
      <c r="CL163" s="566"/>
      <c r="CN163" s="681">
        <f>CN158+CN159</f>
        <v>0.85918406661030189</v>
      </c>
      <c r="CO163" s="678">
        <f t="shared" si="410"/>
        <v>95.928790962448289</v>
      </c>
      <c r="CP163" s="566"/>
      <c r="CR163" s="681">
        <f>CR158+CR159</f>
        <v>1.0960933883422557</v>
      </c>
      <c r="CS163" s="678">
        <f t="shared" si="411"/>
        <v>27.573756420626005</v>
      </c>
      <c r="CT163" s="679"/>
      <c r="CV163" s="681">
        <f>CV158+CV159</f>
        <v>1.2718717453607706</v>
      </c>
      <c r="CW163" s="678">
        <f t="shared" si="386"/>
        <v>16.036804791274605</v>
      </c>
      <c r="CX163" s="679"/>
      <c r="CZ163" s="681">
        <f>CZ158+CZ159</f>
        <v>1.4003051384360732</v>
      </c>
      <c r="DA163" s="678">
        <f t="shared" si="387"/>
        <v>10.097983035142576</v>
      </c>
      <c r="DB163" s="679"/>
      <c r="DD163" s="681">
        <f>DD158+DD159</f>
        <v>1.1933621933621934</v>
      </c>
      <c r="DE163" s="678">
        <f t="shared" si="388"/>
        <v>-14.778417888618433</v>
      </c>
      <c r="DF163" s="679"/>
      <c r="DH163" s="681">
        <f>DH158+DH159</f>
        <v>0.94966495905681325</v>
      </c>
      <c r="DI163" s="678">
        <f t="shared" si="389"/>
        <v>-20.421062076617702</v>
      </c>
      <c r="DJ163" s="679"/>
      <c r="DK163" s="679"/>
      <c r="DL163" s="681">
        <f>DL158+DL159</f>
        <v>0.72097488594304893</v>
      </c>
      <c r="DM163" s="678">
        <f t="shared" si="412"/>
        <v>-24.081132080612345</v>
      </c>
      <c r="DN163" s="679"/>
      <c r="DO163" s="679"/>
      <c r="DP163" s="1184">
        <f>DP158+DP159</f>
        <v>0.85276157655067153</v>
      </c>
      <c r="DQ163" s="1183">
        <f t="shared" si="413"/>
        <v>18.27895716994956</v>
      </c>
      <c r="DR163" s="1186"/>
    </row>
    <row r="164" spans="1:146" hidden="1" outlineLevel="1" x14ac:dyDescent="0.2">
      <c r="A164" s="604" t="s">
        <v>414</v>
      </c>
      <c r="D164" s="681">
        <f>D160+D161</f>
        <v>-0.57042500000000096</v>
      </c>
      <c r="E164" s="678"/>
      <c r="F164" s="566"/>
      <c r="H164" s="681">
        <f>H160+H161</f>
        <v>-40.059447292734774</v>
      </c>
      <c r="I164" s="678" t="str">
        <f t="shared" si="390"/>
        <v xml:space="preserve">NM </v>
      </c>
      <c r="J164" s="566"/>
      <c r="L164" s="681">
        <f>L160+L161</f>
        <v>1.1332165726840238</v>
      </c>
      <c r="M164" s="678">
        <f t="shared" si="391"/>
        <v>-102.82883726378707</v>
      </c>
      <c r="N164" s="679"/>
      <c r="P164" s="681">
        <f>P160+P161</f>
        <v>1.5413764989769345</v>
      </c>
      <c r="Q164" s="678">
        <f t="shared" si="392"/>
        <v>36.017821847255881</v>
      </c>
      <c r="R164" s="566"/>
      <c r="T164" s="681">
        <f>T160+T161</f>
        <v>1.6641000196693305</v>
      </c>
      <c r="U164" s="678">
        <f t="shared" si="393"/>
        <v>7.9619431575511879</v>
      </c>
      <c r="V164" s="566"/>
      <c r="X164" s="681">
        <f>X160+X161</f>
        <v>0.72489023051591728</v>
      </c>
      <c r="Y164" s="678"/>
      <c r="Z164" s="566"/>
      <c r="AB164" s="681">
        <f>AB160+AB161</f>
        <v>1.4909215160885128</v>
      </c>
      <c r="AC164" s="678">
        <f t="shared" si="394"/>
        <v>105.67548758760306</v>
      </c>
      <c r="AD164" s="566"/>
      <c r="AF164" s="681">
        <f>AF160+AF161</f>
        <v>1.4939410686216399</v>
      </c>
      <c r="AG164" s="678">
        <f t="shared" si="395"/>
        <v>0.20252927471655635</v>
      </c>
      <c r="AH164" s="566"/>
      <c r="AJ164" s="681">
        <f>AJ160+AJ161</f>
        <v>2.1141821063115658</v>
      </c>
      <c r="AK164" s="678">
        <f t="shared" si="396"/>
        <v>41.517102027470273</v>
      </c>
      <c r="AL164" s="566"/>
      <c r="AN164" s="681">
        <f>AN160+AN161</f>
        <v>2.3600875172731461</v>
      </c>
      <c r="AO164" s="678">
        <f t="shared" si="397"/>
        <v>11.631231303465661</v>
      </c>
      <c r="AP164" s="566"/>
      <c r="AR164" s="681">
        <f>AR160+AR161</f>
        <v>1.2983174170077307</v>
      </c>
      <c r="AS164" s="678">
        <f t="shared" si="398"/>
        <v>-44.988590147376762</v>
      </c>
      <c r="AT164" s="566"/>
      <c r="AV164" s="681">
        <f>AV160+AV161</f>
        <v>1.3831411388361774</v>
      </c>
      <c r="AW164" s="678">
        <f t="shared" si="399"/>
        <v>6.5333577688530431</v>
      </c>
      <c r="AX164" s="566"/>
      <c r="AZ164" s="681">
        <f>AZ160+AZ161</f>
        <v>1.1162812009809251</v>
      </c>
      <c r="BA164" s="678">
        <f t="shared" si="400"/>
        <v>-19.293760438634443</v>
      </c>
      <c r="BB164" s="566"/>
      <c r="BD164" s="681">
        <f>BD160+BD161</f>
        <v>1.1891095097972411</v>
      </c>
      <c r="BE164" s="678">
        <f t="shared" si="401"/>
        <v>6.5241902087322279</v>
      </c>
      <c r="BF164" s="566"/>
      <c r="BH164" s="681">
        <f>BH160+BH161</f>
        <v>1.3942252468470799</v>
      </c>
      <c r="BI164" s="678">
        <f t="shared" si="402"/>
        <v>17.249524569424544</v>
      </c>
      <c r="BJ164" s="566"/>
      <c r="BL164" s="681">
        <f>BL160+BL161</f>
        <v>1.5751717789545607</v>
      </c>
      <c r="BM164" s="678">
        <f t="shared" si="403"/>
        <v>12.978285432477698</v>
      </c>
      <c r="BN164" s="566"/>
      <c r="BP164" s="681">
        <f>BP160+BP161</f>
        <v>1.4948063718740328</v>
      </c>
      <c r="BQ164" s="678">
        <f t="shared" si="404"/>
        <v>-5.1020090731860641</v>
      </c>
      <c r="BR164" s="566"/>
      <c r="BT164" s="681">
        <f>BT160+BT161</f>
        <v>1.8025268342078444</v>
      </c>
      <c r="BU164" s="678">
        <f t="shared" si="405"/>
        <v>20.585974753909021</v>
      </c>
      <c r="BV164" s="566"/>
      <c r="BX164" s="681">
        <f>BX160+BX161</f>
        <v>1.7506280193236716</v>
      </c>
      <c r="BY164" s="678">
        <f t="shared" si="406"/>
        <v>-2.879225645868444</v>
      </c>
      <c r="BZ164" s="566"/>
      <c r="CB164" s="681">
        <f>CB160+CB161</f>
        <v>0.98000000000000009</v>
      </c>
      <c r="CC164" s="678">
        <f t="shared" si="407"/>
        <v>-44.020089408907772</v>
      </c>
      <c r="CD164" s="566"/>
      <c r="CF164" s="681">
        <f>CF160+CF161</f>
        <v>1.32</v>
      </c>
      <c r="CG164" s="678">
        <f t="shared" si="408"/>
        <v>34.6938775510204</v>
      </c>
      <c r="CH164" s="566"/>
      <c r="CJ164" s="681">
        <f>CJ160+CJ161</f>
        <v>1.6731120402612043</v>
      </c>
      <c r="CK164" s="678">
        <f t="shared" si="409"/>
        <v>26.750912141000317</v>
      </c>
      <c r="CL164" s="566"/>
      <c r="CN164" s="681">
        <f>CN160+CN161</f>
        <v>2.0654140245519792</v>
      </c>
      <c r="CO164" s="678">
        <f t="shared" si="410"/>
        <v>23.447442541237649</v>
      </c>
      <c r="CP164" s="566"/>
      <c r="CR164" s="681">
        <f>CR160+CR161</f>
        <v>2.4035513923005127</v>
      </c>
      <c r="CS164" s="678">
        <f t="shared" si="411"/>
        <v>16.371408527734822</v>
      </c>
      <c r="CT164" s="679"/>
      <c r="CV164" s="681">
        <f>CV160+CV161</f>
        <v>2.7730891050480522</v>
      </c>
      <c r="CW164" s="678">
        <f t="shared" si="386"/>
        <v>15.374654102729357</v>
      </c>
      <c r="CX164" s="679"/>
      <c r="CZ164" s="681">
        <f>CZ160+CZ161</f>
        <v>3.0503127825067109</v>
      </c>
      <c r="DA164" s="678">
        <f t="shared" si="387"/>
        <v>9.9969264223788823</v>
      </c>
      <c r="DB164" s="679"/>
      <c r="DC164" s="395"/>
      <c r="DD164" s="681">
        <f>DD160+DD161</f>
        <v>2.6539781168741827</v>
      </c>
      <c r="DE164" s="678">
        <f t="shared" si="388"/>
        <v>-12.993246722286134</v>
      </c>
      <c r="DF164" s="679"/>
      <c r="DG164" s="395"/>
      <c r="DH164" s="681">
        <f>DH160+DH161</f>
        <v>2.2102223264034015</v>
      </c>
      <c r="DI164" s="678">
        <f t="shared" si="389"/>
        <v>-16.720401259126827</v>
      </c>
      <c r="DJ164" s="679"/>
      <c r="DK164" s="679"/>
      <c r="DL164" s="681">
        <f>DL160+DL161</f>
        <v>3.06278796218561</v>
      </c>
      <c r="DM164" s="678">
        <f t="shared" si="412"/>
        <v>38.573750052084186</v>
      </c>
      <c r="DN164" s="679"/>
      <c r="DO164" s="679"/>
      <c r="DP164" s="1184">
        <f>DP160+DP161</f>
        <v>2.6923246822872962</v>
      </c>
      <c r="DQ164" s="1183">
        <f t="shared" si="413"/>
        <v>-12.095622827051688</v>
      </c>
      <c r="DR164" s="1186"/>
      <c r="DS164" s="395"/>
      <c r="DT164" s="395"/>
      <c r="DU164" s="395"/>
      <c r="DV164" s="395"/>
      <c r="DW164" s="395"/>
      <c r="DX164" s="395"/>
      <c r="DY164" s="395"/>
    </row>
    <row r="165" spans="1:146" collapsed="1" x14ac:dyDescent="0.2">
      <c r="D165" s="353"/>
      <c r="E165" s="390"/>
      <c r="F165" s="605"/>
      <c r="H165" s="353"/>
      <c r="I165" s="390"/>
      <c r="J165" s="605"/>
      <c r="L165" s="353"/>
      <c r="M165" s="390"/>
      <c r="N165" s="390"/>
      <c r="P165" s="353"/>
      <c r="Q165" s="390"/>
      <c r="R165" s="605"/>
      <c r="T165" s="353"/>
      <c r="U165" s="390"/>
      <c r="V165" s="605"/>
      <c r="X165" s="353"/>
      <c r="Y165" s="390"/>
      <c r="Z165" s="605"/>
      <c r="AB165" s="353"/>
      <c r="AC165" s="390"/>
      <c r="AD165" s="605"/>
      <c r="AF165" s="353"/>
      <c r="AG165" s="390"/>
      <c r="AH165" s="605"/>
      <c r="AJ165" s="385"/>
      <c r="AK165" s="390"/>
      <c r="AL165" s="605"/>
      <c r="AN165" s="385"/>
      <c r="AO165" s="390"/>
      <c r="AP165" s="605"/>
      <c r="AR165" s="385"/>
      <c r="AS165" s="390"/>
      <c r="AT165" s="605"/>
      <c r="AV165" s="385"/>
      <c r="AW165" s="390"/>
      <c r="AX165" s="605"/>
      <c r="AZ165" s="385"/>
      <c r="BA165" s="390"/>
      <c r="BB165" s="605"/>
      <c r="BD165" s="385"/>
      <c r="BE165" s="390"/>
      <c r="BF165" s="605"/>
      <c r="BH165" s="385"/>
      <c r="BI165" s="390"/>
      <c r="BJ165" s="605"/>
      <c r="BL165" s="385"/>
      <c r="BM165" s="390"/>
      <c r="BN165" s="605"/>
      <c r="BP165" s="385"/>
      <c r="BQ165" s="390"/>
      <c r="BR165" s="605"/>
      <c r="BT165" s="385"/>
      <c r="BU165" s="390"/>
      <c r="BV165" s="605"/>
      <c r="BX165" s="385"/>
      <c r="BY165" s="390"/>
      <c r="BZ165" s="605"/>
      <c r="CB165" s="385"/>
      <c r="CC165" s="390"/>
      <c r="CD165" s="605"/>
      <c r="CF165" s="385"/>
      <c r="CG165" s="390"/>
      <c r="CH165" s="605"/>
      <c r="CJ165" s="385"/>
      <c r="CK165" s="390"/>
      <c r="CL165" s="605"/>
      <c r="CN165" s="286"/>
      <c r="CO165" s="390"/>
      <c r="CP165" s="605"/>
      <c r="CR165" s="286"/>
      <c r="CV165" s="282"/>
    </row>
    <row r="166" spans="1:146" s="627" customFormat="1" x14ac:dyDescent="0.2">
      <c r="A166" s="626"/>
      <c r="B166" s="520"/>
      <c r="C166" s="520"/>
      <c r="D166" s="628"/>
      <c r="E166" s="520"/>
      <c r="F166" s="520"/>
      <c r="G166" s="520"/>
      <c r="H166" s="628"/>
      <c r="I166" s="520"/>
      <c r="J166" s="520"/>
      <c r="K166" s="520"/>
      <c r="L166" s="628"/>
      <c r="M166" s="520"/>
      <c r="N166" s="520"/>
      <c r="O166" s="520"/>
      <c r="P166" s="628"/>
      <c r="Q166" s="520"/>
      <c r="R166" s="520"/>
      <c r="S166" s="520"/>
      <c r="T166" s="628"/>
      <c r="U166" s="520"/>
      <c r="V166" s="520"/>
      <c r="W166" s="520"/>
      <c r="X166" s="628"/>
      <c r="Y166" s="520"/>
      <c r="Z166" s="520"/>
      <c r="AA166" s="520"/>
      <c r="AB166" s="628"/>
      <c r="AC166" s="520"/>
      <c r="AD166" s="520"/>
      <c r="AE166" s="520"/>
      <c r="AF166" s="628"/>
      <c r="AG166" s="520"/>
      <c r="AH166" s="520"/>
      <c r="AI166" s="520"/>
      <c r="AJ166" s="628"/>
      <c r="AK166" s="520"/>
      <c r="AL166" s="520"/>
      <c r="AM166" s="520"/>
      <c r="AN166" s="628"/>
      <c r="AO166" s="520"/>
      <c r="AP166" s="520"/>
      <c r="AQ166" s="520"/>
      <c r="AR166" s="628"/>
      <c r="AS166" s="520"/>
      <c r="AT166" s="520"/>
      <c r="AU166" s="520"/>
      <c r="AV166" s="628"/>
      <c r="AW166" s="520"/>
      <c r="AX166" s="520"/>
      <c r="AY166" s="520"/>
      <c r="AZ166" s="628"/>
      <c r="BA166" s="520"/>
      <c r="BB166" s="520"/>
      <c r="BC166" s="520"/>
      <c r="BD166" s="628"/>
      <c r="BE166" s="520"/>
      <c r="BF166" s="520"/>
      <c r="BG166" s="520"/>
      <c r="BH166" s="628"/>
      <c r="BI166" s="520"/>
      <c r="BJ166" s="520"/>
      <c r="BK166" s="520"/>
      <c r="BL166" s="628"/>
      <c r="BM166" s="520"/>
      <c r="BN166" s="520"/>
      <c r="BO166" s="520"/>
      <c r="BP166" s="628"/>
      <c r="BQ166" s="520"/>
      <c r="BR166" s="520"/>
      <c r="BS166" s="520"/>
      <c r="BT166" s="628"/>
      <c r="BU166" s="520"/>
      <c r="BV166" s="520"/>
      <c r="BW166" s="520"/>
      <c r="BX166" s="628"/>
      <c r="BY166" s="520"/>
      <c r="BZ166" s="520"/>
      <c r="CA166" s="520"/>
      <c r="CB166" s="628"/>
      <c r="CC166" s="520"/>
      <c r="CD166" s="520"/>
      <c r="CE166" s="520"/>
      <c r="CF166" s="628"/>
      <c r="CG166" s="520"/>
      <c r="CH166" s="520"/>
      <c r="CI166" s="520"/>
      <c r="CJ166" s="628"/>
      <c r="CK166" s="520"/>
      <c r="CL166" s="520"/>
      <c r="CM166" s="520"/>
      <c r="CN166" s="1512" t="s">
        <v>312</v>
      </c>
      <c r="CO166" s="1512"/>
      <c r="CP166" s="1512"/>
      <c r="CQ166" s="1512"/>
      <c r="CR166" s="1512"/>
      <c r="CS166" s="1512"/>
      <c r="CT166" s="1512"/>
      <c r="CU166" s="1512"/>
      <c r="CV166" s="1512"/>
      <c r="CW166" s="1512"/>
      <c r="CX166" s="520"/>
      <c r="CY166" s="520"/>
      <c r="CZ166" s="688" t="s">
        <v>312</v>
      </c>
      <c r="DA166" s="688"/>
      <c r="DB166" s="688"/>
      <c r="DC166" s="688"/>
      <c r="DD166" s="688"/>
      <c r="DE166" s="688"/>
      <c r="DF166" s="688"/>
      <c r="DG166" s="688"/>
      <c r="DH166" s="688"/>
      <c r="DI166" s="688"/>
      <c r="DJ166" s="520"/>
      <c r="DK166" s="520"/>
      <c r="DL166" s="688"/>
      <c r="DM166" s="688"/>
      <c r="DN166" s="520"/>
      <c r="DO166" s="520"/>
      <c r="DP166" s="1187"/>
      <c r="DQ166" s="1187"/>
      <c r="DR166" s="1188"/>
      <c r="EI166" s="600"/>
    </row>
    <row r="167" spans="1:146" x14ac:dyDescent="0.2">
      <c r="D167" s="353"/>
      <c r="E167" s="390"/>
      <c r="F167" s="390"/>
      <c r="H167" s="353"/>
      <c r="I167" s="390"/>
      <c r="J167" s="390"/>
      <c r="L167" s="353"/>
      <c r="M167" s="390"/>
      <c r="N167" s="390"/>
      <c r="P167" s="353"/>
      <c r="Q167" s="390"/>
      <c r="R167" s="390"/>
      <c r="T167" s="353"/>
      <c r="U167" s="390"/>
      <c r="V167" s="390"/>
      <c r="X167" s="353"/>
      <c r="Y167" s="390"/>
      <c r="Z167" s="390"/>
      <c r="AB167" s="353"/>
      <c r="AC167" s="390"/>
      <c r="AD167" s="390"/>
      <c r="AF167" s="353"/>
      <c r="AG167" s="390"/>
      <c r="AH167" s="390"/>
      <c r="AJ167" s="385"/>
      <c r="AK167" s="390"/>
      <c r="AL167" s="390"/>
      <c r="AN167" s="385"/>
      <c r="AO167" s="390"/>
      <c r="AP167" s="390"/>
      <c r="AR167" s="385"/>
      <c r="AS167" s="390"/>
      <c r="AT167" s="390"/>
      <c r="AV167" s="385"/>
      <c r="AW167" s="390"/>
      <c r="AX167" s="390"/>
      <c r="AZ167" s="385"/>
      <c r="BA167" s="390"/>
      <c r="BB167" s="390"/>
      <c r="BD167" s="385"/>
      <c r="BE167" s="390"/>
      <c r="BF167" s="390"/>
      <c r="BH167" s="385"/>
      <c r="BI167" s="390"/>
      <c r="BJ167" s="390"/>
      <c r="BL167" s="385"/>
      <c r="BM167" s="390"/>
      <c r="BN167" s="390"/>
      <c r="BP167" s="385"/>
      <c r="BQ167" s="390"/>
      <c r="BR167" s="390"/>
      <c r="BT167" s="385"/>
      <c r="BU167" s="390"/>
      <c r="BV167" s="390"/>
      <c r="BX167" s="385"/>
      <c r="BY167" s="390"/>
      <c r="BZ167" s="390"/>
      <c r="CB167" s="385"/>
      <c r="CC167" s="390"/>
      <c r="CD167" s="390"/>
      <c r="CF167" s="385"/>
      <c r="CG167" s="390"/>
      <c r="CH167" s="390"/>
      <c r="CJ167" s="385"/>
      <c r="CK167" s="390"/>
      <c r="CL167" s="390"/>
      <c r="CN167" s="385"/>
      <c r="CO167" s="390"/>
      <c r="CP167" s="390"/>
      <c r="DL167" s="12"/>
    </row>
    <row r="168" spans="1:146" x14ac:dyDescent="0.2">
      <c r="A168" s="604" t="s">
        <v>79</v>
      </c>
      <c r="D168" s="290">
        <f>D158+(D98*(1-D118/D108))/D178</f>
        <v>-1.0723357298763596</v>
      </c>
      <c r="E168" s="678"/>
      <c r="F168" s="390"/>
      <c r="H168" s="290">
        <f>H158+(H98*(1-H118/H108))/H178</f>
        <v>-0.70174344634807362</v>
      </c>
      <c r="I168" s="678">
        <f>IF(OR((H168/D168-1)*100&gt;500,(H168/D168-1)*100&lt;-500),"NM ",(H168/D168-1)*100)</f>
        <v>-34.559352374746979</v>
      </c>
      <c r="J168" s="390"/>
      <c r="L168" s="290">
        <f>L158+(L98*(1-L118/L108))/L178</f>
        <v>0.14770538952107254</v>
      </c>
      <c r="M168" s="678">
        <f>IF(OR((L168/H168-1)*100&gt;500,(L168/H168-1)*100&lt;-500),"NM ",(L168/H168-1)*100)</f>
        <v>-121.04834612845229</v>
      </c>
      <c r="N168" s="390"/>
      <c r="P168" s="290">
        <f>P138/P178+P158+P98*(1-0.409)/P178</f>
        <v>0.17193702509329817</v>
      </c>
      <c r="Q168" s="678">
        <f>IF(OR((P168/L168-1)*100&gt;500,(P168/L168-1)*100&lt;-500),"NM ",(P168/L168-1)*100)</f>
        <v>16.405383480450865</v>
      </c>
      <c r="R168" s="390"/>
      <c r="T168" s="290">
        <f>T138/T178+T158+T98*(1-0.409)/T178</f>
        <v>0.25479187753036581</v>
      </c>
      <c r="U168" s="678">
        <f>IF(OR((T168/P168-1)*100&gt;500,(T168/P168-1)*100&lt;-500),"NM ",(T168/P168-1)*100)</f>
        <v>48.189069452672051</v>
      </c>
      <c r="V168" s="390"/>
      <c r="X168" s="290">
        <f>X138/X178+X158</f>
        <v>-0.20332821075740953</v>
      </c>
      <c r="Y168" s="678"/>
      <c r="Z168" s="390"/>
      <c r="AB168" s="290">
        <f>AB158+AB98*0.61/AB178</f>
        <v>-3.3788660075980637E-2</v>
      </c>
      <c r="AC168" s="678">
        <f>IF(OR((AB168/X168-1)*100&gt;500,(AB168/X168-1)*100&lt;-500),"NM ",(AB168/X168-1)*100)</f>
        <v>-83.382207540155946</v>
      </c>
      <c r="AD168" s="390"/>
      <c r="AF168" s="290">
        <f>(AF98*0.59)/AF178+AF158</f>
        <v>3.8314546949832329E-2</v>
      </c>
      <c r="AG168" s="678">
        <f>IF(OR((AF168/AB168-1)*100&gt;500,(AF168/AB168-1)*100&lt;-500),"NM ",(AF168/AB168-1)*100)</f>
        <v>-213.39469178024322</v>
      </c>
      <c r="AH168" s="390"/>
      <c r="AJ168" s="689">
        <f>(AJ148+2)/AJ178</f>
        <v>0.11970037453183612</v>
      </c>
      <c r="AK168" s="678">
        <f>IF(OR((AJ168/AF168-1)*100&gt;500,(AJ168/AF168-1)*100&lt;-500),"NM ",(AJ168/AF168-1)*100)</f>
        <v>212.41495479136793</v>
      </c>
      <c r="AL168" s="390"/>
      <c r="AN168" s="290">
        <f>AN148/AN178</f>
        <v>0.26007772020725389</v>
      </c>
      <c r="AO168" s="678">
        <f>IF(OR((AN168/AJ168-1)*100&gt;500,(AN168/AJ168-1)*100&lt;-500),"NM ",(AN168/AJ168-1)*100)</f>
        <v>117.2739402232048</v>
      </c>
      <c r="AP168" s="390"/>
      <c r="AR168" s="290">
        <f>AR148/AR178</f>
        <v>0.2010166358595194</v>
      </c>
      <c r="AS168" s="678">
        <f>IF(OR((AR168/AN168-1)*100&gt;500,(AR168/AN168-1)*100&lt;-500),"NM ",(AR168/AN168-1)*100)</f>
        <v>-22.709013405942336</v>
      </c>
      <c r="AT168" s="390"/>
      <c r="AV168" s="290">
        <f>AV148/AV178</f>
        <v>0.20573277854831251</v>
      </c>
      <c r="AW168" s="678">
        <f>IF(OR((AV168/AR168-1)*100&gt;500,(AV168/AR168-1)*100&lt;-500),"NM ",(AV168/AR168-1)*100)</f>
        <v>2.3461454663329384</v>
      </c>
      <c r="AX168" s="390"/>
      <c r="AZ168" s="290">
        <f>AZ148/AZ178</f>
        <v>0.14208721215090642</v>
      </c>
      <c r="BA168" s="678">
        <f>IF(OR((AZ168/AV168-1)*100&gt;500,(AZ168/AV168-1)*100&lt;-500),"NM ",(AZ168/AV168-1)*100)</f>
        <v>-30.936035981480757</v>
      </c>
      <c r="BB168" s="390"/>
      <c r="BD168" s="290">
        <f>BD148/BD178</f>
        <v>0.21813725490196079</v>
      </c>
      <c r="BE168" s="678">
        <f>IF(OR((BD168/AZ168-1)*100&gt;500,(BD168/AZ168-1)*100&lt;-500),"NM ",(BD168/AZ168-1)*100)</f>
        <v>53.523495605138606</v>
      </c>
      <c r="BF168" s="390"/>
      <c r="BH168" s="290">
        <f>BH148/BH178</f>
        <v>0.12137203166226913</v>
      </c>
      <c r="BI168" s="678">
        <f>IF(OR((BH168/BD168-1)*100&gt;500,(BH168/BD168-1)*100&lt;-500),"NM ",(BH168/BD168-1)*100)</f>
        <v>-44.359787732353027</v>
      </c>
      <c r="BJ168" s="390"/>
      <c r="BL168" s="290">
        <f>BL148/BL178</f>
        <v>0.26330076004343106</v>
      </c>
      <c r="BM168" s="678">
        <f>IF(OR((BL168/BH168-1)*100&gt;500,(BL168/BH168-1)*100&lt;-500),"NM ",(BL168/BH168-1)*100)</f>
        <v>116.93693055752252</v>
      </c>
      <c r="BN168" s="390"/>
      <c r="BP168" s="290">
        <f>BP148/BP178</f>
        <v>0.35692708333333328</v>
      </c>
      <c r="BQ168" s="678">
        <f>IF(OR((BP168/BL168-1)*100&gt;500,(BP168/BL168-1)*100&lt;-500),"NM ",(BP168/BL168-1)*100)</f>
        <v>35.558698453608216</v>
      </c>
      <c r="BR168" s="390"/>
      <c r="BT168" s="290">
        <f>BT148/BT178</f>
        <v>-9.3189964157706098E-2</v>
      </c>
      <c r="BU168" s="678">
        <f>IF(OR((BT168/BP168-1)*100&gt;500,(BT168/BP168-1)*100&lt;-500),"NM ",(BT168/BP168-1)*100)</f>
        <v>-126.10896412998625</v>
      </c>
      <c r="BV168" s="390"/>
      <c r="BX168" s="290">
        <f>BX148/BX178</f>
        <v>7.5566750629722929E-2</v>
      </c>
      <c r="BY168" s="678">
        <f>IF(OR((BX168/BT168-1)*100&gt;500,(BX168/BT168-1)*100&lt;-500),"NM ",(BX168/BT168-1)*100)</f>
        <v>-181.08893625266421</v>
      </c>
      <c r="BZ168" s="390"/>
      <c r="CB168" s="290">
        <f>CB148/CB178</f>
        <v>-0.14017581373247803</v>
      </c>
      <c r="CC168" s="678">
        <f>IF(OR((CB168/BX168-1)*100&gt;500,(CB168/BX168-1)*100&lt;-500),"NM ",(CB168/BX168-1)*100)</f>
        <v>-285.49932683931257</v>
      </c>
      <c r="CD168" s="390"/>
      <c r="CF168" s="290">
        <f>CF148/CF178</f>
        <v>-0.20882771713336498</v>
      </c>
      <c r="CG168" s="678">
        <f>IF(OR((CF168/CB168-1)*100&gt;500,(CF168/CB168-1)*100&lt;-500),"NM ",(CF168/CB168-1)*100)</f>
        <v>48.975569731242906</v>
      </c>
      <c r="CH168" s="390"/>
      <c r="CJ168" s="290">
        <f>CJ128/CJ178</f>
        <v>5.3965274519005166E-2</v>
      </c>
      <c r="CK168" s="678">
        <f>IF(OR((CJ168/CF168-1)*100&gt;500,(CJ168/CF168-1)*100&lt;-500),"NM ",(CJ168/CF168-1)*100)</f>
        <v>-125.8420075935327</v>
      </c>
      <c r="CL168" s="390"/>
      <c r="CN168" s="290">
        <f>CN148/CN178</f>
        <v>0.30465116279069765</v>
      </c>
      <c r="CO168" s="678">
        <f>IF(OR((CN168/CJ168-1)*100&gt;500,(CN168/CJ168-1)*100&lt;-500),"NM ",(CN168/CJ168-1)*100)</f>
        <v>464.53185035389276</v>
      </c>
      <c r="CP168" s="390"/>
      <c r="CR168" s="290">
        <f>CR148/CR178</f>
        <v>0.42718904885532216</v>
      </c>
      <c r="CS168" s="678">
        <f>IF(OR((CR168/CN168-1)*100&gt;500,(CR168/CN168-1)*100&lt;-500),"NM ",(CR168/CN168-1)*100)</f>
        <v>40.222359547930189</v>
      </c>
      <c r="CV168" s="290">
        <f>CV148/CV178</f>
        <v>0.55006337135614702</v>
      </c>
      <c r="CW168" s="678">
        <f t="shared" ref="CW168:CW174" si="414">IF(OR((CV168/CR168-1)*100&gt;500,(CV168/CR168-1)*100&lt;-500),"NM ",(CV168/CR168-1)*100)</f>
        <v>28.763453283756625</v>
      </c>
      <c r="CZ168" s="290">
        <f>CZ148/CZ178</f>
        <v>0.6011808910359635</v>
      </c>
      <c r="DA168" s="678">
        <f t="shared" ref="DA168:DA174" si="415">IF(OR((CZ168/CV168-1)*100&gt;500,(CZ168/CV168-1)*100&lt;-500),"NM ",(CZ168/CV168-1)*100)</f>
        <v>9.2930237390265411</v>
      </c>
      <c r="DD168" s="290">
        <f>DD148/DD178</f>
        <v>0.55699855699855705</v>
      </c>
      <c r="DE168" s="678">
        <f t="shared" ref="DE168:DE174" si="416">IF(OR((DD168/CZ168-1)*100&gt;500,(DD168/CZ168-1)*100&lt;-500),"NM ",(DD168/CZ168-1)*100)</f>
        <v>-7.3492578849721601</v>
      </c>
      <c r="DH168" s="290">
        <f>DH148/DH178</f>
        <v>0.38915470494417864</v>
      </c>
      <c r="DI168" s="678">
        <f t="shared" ref="DI168:DI174" si="417">IF(OR((DH168/DD168-1)*100&gt;500,(DH168/DD168-1)*100&lt;-500),"NM ",(DH168/DD168-1)*100)</f>
        <v>-30.133624215980369</v>
      </c>
      <c r="DL168" s="1107">
        <f>DL148/DL178</f>
        <v>0.25588009123493</v>
      </c>
      <c r="DM168" s="678">
        <f t="shared" ref="DM168:DM174" si="418">IF(OR((DL168/DH168-1)*100&gt;500,(DL168/DH168-1)*100&lt;-500),"NM ",(DL168/DH168-1)*100)</f>
        <v>-34.247206063811021</v>
      </c>
      <c r="DP168" s="1107">
        <f>DP148/DP178</f>
        <v>0.37568732680643513</v>
      </c>
      <c r="DQ168" s="1183">
        <f t="shared" ref="DQ168:DQ174" si="419">IF(OR((DP168/DL168-1)*100&gt;500,(DP168/DL168-1)*100&lt;-500),"NM ",(DP168/DL168-1)*100)</f>
        <v>46.821632348687523</v>
      </c>
      <c r="DY168" s="340"/>
    </row>
    <row r="169" spans="1:146" x14ac:dyDescent="0.2">
      <c r="A169" s="604" t="s">
        <v>80</v>
      </c>
      <c r="C169" s="690"/>
      <c r="D169" s="286">
        <f>D159+(D99*(1-D119/D109))/D179</f>
        <v>-1.5004840729537081</v>
      </c>
      <c r="E169" s="678"/>
      <c r="F169" s="390"/>
      <c r="H169" s="286">
        <f>H159+(H99*(1-H119/H109))/H179</f>
        <v>-0.8709310605984335</v>
      </c>
      <c r="I169" s="678">
        <f t="shared" ref="I169:I174" si="420">IF(OR((H169/D169-1)*100&gt;500,(H169/D169-1)*100&lt;-500),"NM ",(H169/D169-1)*100)</f>
        <v>-41.956660767214757</v>
      </c>
      <c r="J169" s="390"/>
      <c r="L169" s="286">
        <f>L129/L179</f>
        <v>-0.13925490818648498</v>
      </c>
      <c r="M169" s="678">
        <f t="shared" ref="M169:M174" si="421">IF(OR((L169/H169-1)*100&gt;500,(L169/H169-1)*100&lt;-500),"NM ",(L169/H169-1)*100)</f>
        <v>-84.01080010962059</v>
      </c>
      <c r="N169" s="390"/>
      <c r="P169" s="286">
        <f>P139/P179+P159+P99*(1-0.409)/P179</f>
        <v>7.0090017338431732E-2</v>
      </c>
      <c r="Q169" s="678">
        <f t="shared" ref="Q169:Q174" si="422">IF(OR((P169/L169-1)*100&gt;500,(P169/L169-1)*100&lt;-500),"NM ",(P169/L169-1)*100)</f>
        <v>-150.33217015558961</v>
      </c>
      <c r="R169" s="390"/>
      <c r="T169" s="286">
        <f>T139/T179+T159+T99*(1-0.409)/T179</f>
        <v>0.15588771350471523</v>
      </c>
      <c r="U169" s="678">
        <f t="shared" ref="U169:U174" si="423">IF(OR((T169/P169-1)*100&gt;500,(T169/P169-1)*100&lt;-500),"NM ",(T169/P169-1)*100)</f>
        <v>122.41072184646033</v>
      </c>
      <c r="V169" s="390"/>
      <c r="X169" s="691">
        <v>-0.20582656421514811</v>
      </c>
      <c r="Y169" s="678"/>
      <c r="Z169" s="390"/>
      <c r="AB169" s="286">
        <f>AB159+AB99*0.61/AB179</f>
        <v>1.4950719247388833E-2</v>
      </c>
      <c r="AC169" s="678">
        <f t="shared" ref="AC169:AC174" si="424">IF(OR((AB169/X169-1)*100&gt;500,(AB169/X169-1)*100&lt;-500),"NM ",(AB169/X169-1)*100)</f>
        <v>-107.2637462051599</v>
      </c>
      <c r="AD169" s="390"/>
      <c r="AF169" s="286">
        <f>(AF99*0.605)/AF179+AF159</f>
        <v>0.1570996518397586</v>
      </c>
      <c r="AG169" s="678" t="str">
        <f t="shared" ref="AG169:AG174" si="425">IF(OR((AF169/AB169-1)*100&gt;500,(AF169/AB169-1)*100&lt;-500),"NM ",(AF169/AB169-1)*100)</f>
        <v xml:space="preserve">NM </v>
      </c>
      <c r="AH169" s="390"/>
      <c r="AJ169" s="691">
        <f>(AJ129+2.66)/AJ179</f>
        <v>0.30531415929203692</v>
      </c>
      <c r="AK169" s="678">
        <f t="shared" ref="AK169:AK174" si="426">IF(OR((AJ169/AF169-1)*100&gt;500,(AJ169/AF169-1)*100&lt;-500),"NM ",(AJ169/AF169-1)*100)</f>
        <v>94.344262203366867</v>
      </c>
      <c r="AL169" s="390"/>
      <c r="AN169" s="286">
        <f>AN149/AN179</f>
        <v>0.4604130808950086</v>
      </c>
      <c r="AO169" s="678">
        <f t="shared" ref="AO169:AO174" si="427">IF(OR((AN169/AJ169-1)*100&gt;500,(AN169/AJ169-1)*100&lt;-500),"NM ",(AN169/AJ169-1)*100)</f>
        <v>50.799780122420572</v>
      </c>
      <c r="AP169" s="390"/>
      <c r="AR169" s="286">
        <f>AR149/AR179</f>
        <v>0.30869761153672826</v>
      </c>
      <c r="AS169" s="678">
        <f t="shared" ref="AS169:AS174" si="428">IF(OR((AR169/AN169-1)*100&gt;500,(AR169/AN169-1)*100&lt;-500),"NM ",(AR169/AN169-1)*100)</f>
        <v>-32.952032783985373</v>
      </c>
      <c r="AT169" s="390"/>
      <c r="AV169" s="286">
        <f>AV149/AV179</f>
        <v>0.15107913669064749</v>
      </c>
      <c r="AW169" s="678">
        <f t="shared" ref="AW169:AW174" si="429">IF(OR((AV169/AR169-1)*100&gt;500,(AV169/AR169-1)*100&lt;-500),"NM ",(AV169/AR169-1)*100)</f>
        <v>-51.059181851599014</v>
      </c>
      <c r="AX169" s="390"/>
      <c r="AZ169" s="286">
        <f>AZ149/AZ179</f>
        <v>0.27555110220440882</v>
      </c>
      <c r="BA169" s="678">
        <f t="shared" ref="BA169:BA174" si="430">IF(OR((AZ169/AV169-1)*100&gt;500,(AZ169/AV169-1)*100&lt;-500),"NM ",(AZ169/AV169-1)*100)</f>
        <v>82.38858669720392</v>
      </c>
      <c r="BB169" s="390"/>
      <c r="BD169" s="286">
        <f>BD149/BD179</f>
        <v>0.69287469287469283</v>
      </c>
      <c r="BE169" s="678">
        <f t="shared" ref="BE169:BE174" si="431">IF(OR((BD169/AZ169-1)*100&gt;500,(BD169/AZ169-1)*100&lt;-500),"NM ",(BD169/AZ169-1)*100)</f>
        <v>151.45052490507032</v>
      </c>
      <c r="BF169" s="390"/>
      <c r="BH169" s="286">
        <f>BH149/BH179</f>
        <v>0.32051282051282054</v>
      </c>
      <c r="BI169" s="678">
        <f t="shared" ref="BI169:BI174" si="432">IF(OR((BH169/BD169-1)*100&gt;500,(BH169/BD169-1)*100&lt;-500),"NM ",(BH169/BD169-1)*100)</f>
        <v>-53.741589379887245</v>
      </c>
      <c r="BJ169" s="390"/>
      <c r="BL169" s="286">
        <f>BL149/BL179</f>
        <v>0.21428571428571427</v>
      </c>
      <c r="BM169" s="678">
        <f t="shared" ref="BM169:BM174" si="433">IF(OR((BL169/BH169-1)*100&gt;500,(BL169/BH169-1)*100&lt;-500),"NM ",(BL169/BH169-1)*100)</f>
        <v>-33.142857142857153</v>
      </c>
      <c r="BN169" s="390"/>
      <c r="BP169" s="286">
        <f>BP149/BP179</f>
        <v>0.42117245304496304</v>
      </c>
      <c r="BQ169" s="678">
        <f t="shared" ref="BQ169:BQ174" si="434">IF(OR((BP169/BL169-1)*100&gt;500,(BP169/BL169-1)*100&lt;-500),"NM ",(BP169/BL169-1)*100)</f>
        <v>96.547144754316093</v>
      </c>
      <c r="BR169" s="390"/>
      <c r="BT169" s="286">
        <f>BT149/BT179</f>
        <v>0.56665772532188841</v>
      </c>
      <c r="BU169" s="678">
        <f t="shared" ref="BU169:BU174" si="435">IF(OR((BT169/BP169-1)*100&gt;500,(BT169/BP169-1)*100&lt;-500),"NM ",(BT169/BP169-1)*100)</f>
        <v>34.542922079805116</v>
      </c>
      <c r="BV169" s="390"/>
      <c r="BX169" s="286">
        <f>BX149/BX179</f>
        <v>0.16164263870685888</v>
      </c>
      <c r="BY169" s="678">
        <f t="shared" ref="BY169:BY174" si="436">IF(OR((BX169/BT169-1)*100&gt;500,(BX169/BT169-1)*100&lt;-500),"NM ",(BX169/BT169-1)*100)</f>
        <v>-71.474378362169475</v>
      </c>
      <c r="BZ169" s="390"/>
      <c r="CB169" s="286">
        <f>CB149/CB179</f>
        <v>0.17294479981047145</v>
      </c>
      <c r="CC169" s="678">
        <f t="shared" ref="CC169:CC174" si="437">IF(OR((CB169/BX169-1)*100&gt;500,(CB169/BX169-1)*100&lt;-500),"NM ",(CB169/BX169-1)*100)</f>
        <v>6.9920666935592291</v>
      </c>
      <c r="CD169" s="390"/>
      <c r="CF169" s="286">
        <f>CF149/CF179</f>
        <v>1.658374792703151E-2</v>
      </c>
      <c r="CG169" s="678">
        <f t="shared" ref="CG169:CG174" si="438">IF(OR((CF169/CB169-1)*100&gt;500,(CF169/CB169-1)*100&lt;-500),"NM ",(CF169/CB169-1)*100)</f>
        <v>-90.410958904109577</v>
      </c>
      <c r="CH169" s="390"/>
      <c r="CJ169" s="286">
        <f>CJ149/CJ179</f>
        <v>0.34466588511137164</v>
      </c>
      <c r="CK169" s="678" t="str">
        <f t="shared" ref="CK169:CK174" si="439">IF(OR((CJ169/CF169-1)*100&gt;500,(CJ169/CF169-1)*100&lt;-500),"NM ",(CJ169/CF169-1)*100)</f>
        <v xml:space="preserve">NM </v>
      </c>
      <c r="CL169" s="390"/>
      <c r="CN169" s="286">
        <f>CN129/CN179</f>
        <v>0.55453290381960418</v>
      </c>
      <c r="CO169" s="678">
        <f t="shared" ref="CO169:CO174" si="440">IF(OR((CN169/CJ169-1)*100&gt;500,(CN169/CJ169-1)*100&lt;-500),"NM ",(CN169/CJ169-1)*100)</f>
        <v>60.889988761266103</v>
      </c>
      <c r="CP169" s="390"/>
      <c r="CR169" s="286">
        <f>CR149/CR179</f>
        <v>0.66890433948693351</v>
      </c>
      <c r="CS169" s="678">
        <f t="shared" ref="CS169:CS174" si="441">IF(OR((CR169/CN169-1)*100&gt;500,(CR169/CN169-1)*100&lt;-500),"NM ",(CR169/CN169-1)*100)</f>
        <v>20.624824041917567</v>
      </c>
      <c r="CV169" s="286">
        <f>CV149/CV179</f>
        <v>0.72180837400462361</v>
      </c>
      <c r="CW169" s="678">
        <f t="shared" si="414"/>
        <v>7.9090583502969602</v>
      </c>
      <c r="CZ169" s="286">
        <f>CZ149/CZ179</f>
        <v>0.79912424740010957</v>
      </c>
      <c r="DA169" s="678">
        <f t="shared" si="415"/>
        <v>10.711412638029415</v>
      </c>
      <c r="DD169" s="286">
        <f>DD149/DD179</f>
        <v>0.63636363636363635</v>
      </c>
      <c r="DE169" s="678">
        <f t="shared" si="416"/>
        <v>-20.36737235367373</v>
      </c>
      <c r="DH169" s="286">
        <f>DH149/DH179</f>
        <v>1.5033729521362052E-2</v>
      </c>
      <c r="DI169" s="678">
        <f t="shared" si="417"/>
        <v>-97.637556789500252</v>
      </c>
      <c r="DL169" s="1128">
        <f>DL149/DL179</f>
        <v>0.36052267536704735</v>
      </c>
      <c r="DM169" s="678" t="str">
        <f t="shared" si="418"/>
        <v xml:space="preserve">NM </v>
      </c>
      <c r="DP169" s="1128">
        <f>DP149/DP179</f>
        <v>0.47707424974423646</v>
      </c>
      <c r="DQ169" s="1183">
        <f t="shared" si="419"/>
        <v>32.328500352586211</v>
      </c>
      <c r="DY169" s="340"/>
    </row>
    <row r="170" spans="1:146" x14ac:dyDescent="0.2">
      <c r="A170" s="604" t="s">
        <v>81</v>
      </c>
      <c r="C170" s="690"/>
      <c r="D170" s="286">
        <f>D160+(D100*(1-D120/D110))/D180</f>
        <v>-0.8234184289713089</v>
      </c>
      <c r="E170" s="678"/>
      <c r="F170" s="390"/>
      <c r="H170" s="286">
        <f>H160+(H100*(1-H120/H110))/H180</f>
        <v>-0.53714455008086726</v>
      </c>
      <c r="I170" s="678">
        <f t="shared" si="420"/>
        <v>-34.766513453929093</v>
      </c>
      <c r="J170" s="390"/>
      <c r="L170" s="286">
        <f>L160+(L100*(1-L120/L110))/L180</f>
        <v>0.25065079365079301</v>
      </c>
      <c r="M170" s="678">
        <f t="shared" si="421"/>
        <v>-146.66356451220764</v>
      </c>
      <c r="N170" s="390"/>
      <c r="P170" s="286">
        <f>P140/P180+P160+P100*(1-0.409)/P180</f>
        <v>0.27332536358670234</v>
      </c>
      <c r="Q170" s="678">
        <f t="shared" si="422"/>
        <v>9.0462789307978575</v>
      </c>
      <c r="R170" s="390"/>
      <c r="T170" s="286">
        <f>T140/T180+T160+T100*(1-0.409)/T180</f>
        <v>0.3502606635071091</v>
      </c>
      <c r="U170" s="678">
        <f t="shared" si="423"/>
        <v>28.147881671435847</v>
      </c>
      <c r="V170" s="390"/>
      <c r="X170" s="286">
        <f>X140/X180+X160+X100*(0.61)/X180</f>
        <v>-1.3498353457738588E-2</v>
      </c>
      <c r="Y170" s="678"/>
      <c r="Z170" s="390"/>
      <c r="AB170" s="286">
        <f>AB160+AB100*0.61/AB180</f>
        <v>0.24965027322404235</v>
      </c>
      <c r="AC170" s="678" t="str">
        <f t="shared" si="424"/>
        <v xml:space="preserve">NM </v>
      </c>
      <c r="AD170" s="390"/>
      <c r="AF170" s="691">
        <v>0.32246579334527414</v>
      </c>
      <c r="AG170" s="678">
        <f t="shared" si="425"/>
        <v>29.167009985959581</v>
      </c>
      <c r="AH170" s="390"/>
      <c r="AJ170" s="691">
        <f>(AJ150+2.66)/AJ180</f>
        <v>0.47546619531595269</v>
      </c>
      <c r="AK170" s="678">
        <f t="shared" si="426"/>
        <v>47.447017676959071</v>
      </c>
      <c r="AL170" s="390"/>
      <c r="AN170" s="286">
        <f>AN150/AN180</f>
        <v>0.38024475524475521</v>
      </c>
      <c r="AO170" s="678">
        <f t="shared" si="427"/>
        <v>-20.026963222468797</v>
      </c>
      <c r="AP170" s="390"/>
      <c r="AR170" s="286">
        <f>AR150/AR180</f>
        <v>0.27967257844474763</v>
      </c>
      <c r="AS170" s="678">
        <f t="shared" si="428"/>
        <v>-26.449326496369807</v>
      </c>
      <c r="AT170" s="390"/>
      <c r="AV170" s="286">
        <f>AV150/AV180</f>
        <v>-1.6608652411735456</v>
      </c>
      <c r="AW170" s="678" t="str">
        <f t="shared" si="429"/>
        <v xml:space="preserve">NM </v>
      </c>
      <c r="AX170" s="390"/>
      <c r="AZ170" s="286">
        <f>AZ150/AZ180</f>
        <v>7.7081192189105861E-3</v>
      </c>
      <c r="BA170" s="678">
        <f t="shared" si="430"/>
        <v>-100.46410262722243</v>
      </c>
      <c r="BB170" s="390"/>
      <c r="BD170" s="286">
        <f>BD150/BD180</f>
        <v>0.27054619703930577</v>
      </c>
      <c r="BE170" s="678" t="str">
        <f t="shared" si="431"/>
        <v xml:space="preserve">NM </v>
      </c>
      <c r="BF170" s="390"/>
      <c r="BH170" s="286">
        <f>BH150/BH180</f>
        <v>0.18039849219170706</v>
      </c>
      <c r="BI170" s="678">
        <f t="shared" si="432"/>
        <v>-33.320632791782231</v>
      </c>
      <c r="BJ170" s="390"/>
      <c r="BL170" s="286">
        <f>BL150/BL180</f>
        <v>0.2121559633027523</v>
      </c>
      <c r="BM170" s="678">
        <f t="shared" si="433"/>
        <v>17.604066821854026</v>
      </c>
      <c r="BN170" s="390"/>
      <c r="BP170" s="286">
        <f>BP150/BP180</f>
        <v>0.89594867544042411</v>
      </c>
      <c r="BQ170" s="678">
        <f t="shared" si="434"/>
        <v>322.30661891029717</v>
      </c>
      <c r="BR170" s="390"/>
      <c r="BT170" s="286">
        <f>BT150/BT180</f>
        <v>-5.4555373704309879E-3</v>
      </c>
      <c r="BU170" s="678">
        <f t="shared" si="435"/>
        <v>-100.60891181827454</v>
      </c>
      <c r="BV170" s="390"/>
      <c r="BX170" s="286">
        <f>BX150/BX180</f>
        <v>7.532526820360648E-2</v>
      </c>
      <c r="BY170" s="678" t="str">
        <f t="shared" si="436"/>
        <v xml:space="preserve">NM </v>
      </c>
      <c r="BZ170" s="390"/>
      <c r="CB170" s="286">
        <f>CB150/CB180</f>
        <v>-0.10443864229765012</v>
      </c>
      <c r="CC170" s="678">
        <f t="shared" si="437"/>
        <v>-238.65020966848641</v>
      </c>
      <c r="CD170" s="390"/>
      <c r="CF170" s="286">
        <f>CF150/CF180</f>
        <v>-8.2977714556661919E-2</v>
      </c>
      <c r="CG170" s="678">
        <f t="shared" si="438"/>
        <v>-20.54883831199621</v>
      </c>
      <c r="CH170" s="390"/>
      <c r="CJ170" s="286">
        <f>CJ130/CJ180</f>
        <v>2.3386342376052385E-2</v>
      </c>
      <c r="CK170" s="678">
        <f t="shared" si="439"/>
        <v>-128.18388346919684</v>
      </c>
      <c r="CL170" s="390"/>
      <c r="CN170" s="286">
        <f>CN130/CN180</f>
        <v>0.32190829087540529</v>
      </c>
      <c r="CO170" s="678" t="str">
        <f t="shared" si="440"/>
        <v xml:space="preserve">NM </v>
      </c>
      <c r="CP170" s="390"/>
      <c r="CR170" s="286">
        <f>CR150/CR180</f>
        <v>0.35547928413826918</v>
      </c>
      <c r="CS170" s="678">
        <f t="shared" si="441"/>
        <v>10.42874452583067</v>
      </c>
      <c r="CV170" s="286">
        <f>CV150/CV180</f>
        <v>0.4655444502893214</v>
      </c>
      <c r="CW170" s="678">
        <f t="shared" si="414"/>
        <v>30.962469843458074</v>
      </c>
      <c r="CZ170" s="286">
        <f>CZ150/CZ180</f>
        <v>0.60665362035225046</v>
      </c>
      <c r="DA170" s="678">
        <f t="shared" si="415"/>
        <v>30.310568620296973</v>
      </c>
      <c r="DD170" s="621">
        <f>DD150/DD180</f>
        <v>0.34476797088262051</v>
      </c>
      <c r="DE170" s="678">
        <f t="shared" si="416"/>
        <v>-43.168892541606738</v>
      </c>
      <c r="DH170" s="1128">
        <f>DH150/DH180</f>
        <v>3.9877656149388263E-2</v>
      </c>
      <c r="DI170" s="678">
        <f t="shared" si="417"/>
        <v>-88.43348004534765</v>
      </c>
      <c r="DK170" s="290">
        <f>DL168+DL169+0.23</f>
        <v>0.84640276660197733</v>
      </c>
      <c r="DL170" s="286">
        <f>DL150/DL180</f>
        <v>9.6246329526916793E-2</v>
      </c>
      <c r="DM170" s="678">
        <f t="shared" si="418"/>
        <v>141.35402834700764</v>
      </c>
      <c r="DP170" s="1128">
        <f>DP130/DP180</f>
        <v>0.2828681686110649</v>
      </c>
      <c r="DQ170" s="1183">
        <f t="shared" si="419"/>
        <v>193.90021417071952</v>
      </c>
      <c r="DY170" s="340"/>
    </row>
    <row r="171" spans="1:146" x14ac:dyDescent="0.2">
      <c r="A171" s="604" t="s">
        <v>82</v>
      </c>
      <c r="C171" s="690"/>
      <c r="D171" s="684">
        <f>D161+(D101*(1-D121/D111))/D181</f>
        <v>0.14813256570765293</v>
      </c>
      <c r="E171" s="678"/>
      <c r="F171" s="390"/>
      <c r="H171" s="684">
        <f>(H131+H101*(1-H121/H111))/H181</f>
        <v>0.43196269723387642</v>
      </c>
      <c r="I171" s="678">
        <f t="shared" si="420"/>
        <v>191.60549212816343</v>
      </c>
      <c r="J171" s="390"/>
      <c r="L171" s="684">
        <f>(L131+L101*(1-L121/L111))/L181</f>
        <v>0.83396546799124016</v>
      </c>
      <c r="M171" s="678">
        <f t="shared" si="421"/>
        <v>93.064232937620631</v>
      </c>
      <c r="N171" s="390"/>
      <c r="P171" s="684">
        <f>P141/P181+P161+P101*(1-0.409)/P181</f>
        <v>1.0430274343427932</v>
      </c>
      <c r="Q171" s="678">
        <f t="shared" si="422"/>
        <v>25.068420021648798</v>
      </c>
      <c r="R171" s="390"/>
      <c r="T171" s="684">
        <f>T141/T181+T161+T101*(1-0.409)/T181</f>
        <v>1.3054457945400026</v>
      </c>
      <c r="U171" s="678">
        <f t="shared" si="423"/>
        <v>25.15929606037237</v>
      </c>
      <c r="V171" s="390"/>
      <c r="X171" s="684">
        <f>X141/X181+X161</f>
        <v>1.0062261251372124</v>
      </c>
      <c r="Y171" s="678"/>
      <c r="Z171" s="390"/>
      <c r="AB171" s="684">
        <f>AB161+AB101*0.61/AB181</f>
        <v>1.504431395234612</v>
      </c>
      <c r="AC171" s="678">
        <f t="shared" si="424"/>
        <v>49.51225749872701</v>
      </c>
      <c r="AD171" s="390"/>
      <c r="AF171" s="692">
        <v>1.65</v>
      </c>
      <c r="AG171" s="678">
        <f t="shared" si="425"/>
        <v>9.6759882322641211</v>
      </c>
      <c r="AH171" s="390"/>
      <c r="AJ171" s="692">
        <f>(AJ151+2.66)/AJ181</f>
        <v>1.6620515499825848</v>
      </c>
      <c r="AK171" s="678">
        <f t="shared" si="426"/>
        <v>0.73039696864150017</v>
      </c>
      <c r="AL171" s="390"/>
      <c r="AN171" s="684">
        <f>AN151/AN181</f>
        <v>1.8793182865039153</v>
      </c>
      <c r="AO171" s="678">
        <f t="shared" si="427"/>
        <v>13.072202033902446</v>
      </c>
      <c r="AP171" s="390"/>
      <c r="AR171" s="684">
        <f>AR151/AR181</f>
        <v>1.0186448385629832</v>
      </c>
      <c r="AS171" s="678">
        <f t="shared" si="428"/>
        <v>-45.797109202935381</v>
      </c>
      <c r="AT171" s="390"/>
      <c r="AV171" s="684">
        <f>AV151/AV181</f>
        <v>0.82341269841269848</v>
      </c>
      <c r="AW171" s="678">
        <f t="shared" si="429"/>
        <v>-19.165869472789112</v>
      </c>
      <c r="AX171" s="390"/>
      <c r="AZ171" s="684">
        <f>AZ151/AZ181</f>
        <v>-1.1169415292353824</v>
      </c>
      <c r="BA171" s="678">
        <f t="shared" si="430"/>
        <v>-235.64783873123679</v>
      </c>
      <c r="BB171" s="390"/>
      <c r="BD171" s="684">
        <f>BD151/BD181</f>
        <v>0.89033942558746737</v>
      </c>
      <c r="BE171" s="678">
        <f t="shared" si="431"/>
        <v>-179.71226803581754</v>
      </c>
      <c r="BF171" s="390"/>
      <c r="BH171" s="684">
        <f>BH151/BH181</f>
        <v>1.2506797172376292</v>
      </c>
      <c r="BI171" s="678">
        <f t="shared" si="432"/>
        <v>40.472238035780641</v>
      </c>
      <c r="BJ171" s="390"/>
      <c r="BL171" s="684">
        <f>BL151/BL181</f>
        <v>1.2761020881670533</v>
      </c>
      <c r="BM171" s="678">
        <f t="shared" si="433"/>
        <v>2.0326843538787331</v>
      </c>
      <c r="BN171" s="390"/>
      <c r="BP171" s="684">
        <f>BP151/BP181</f>
        <v>1.261277517141826</v>
      </c>
      <c r="BQ171" s="678">
        <f t="shared" si="434"/>
        <v>-1.1617072930678152</v>
      </c>
      <c r="BR171" s="390"/>
      <c r="BT171" s="684">
        <f>BT151/BT181</f>
        <v>1.3996562917700972</v>
      </c>
      <c r="BU171" s="678">
        <f t="shared" si="435"/>
        <v>10.971318583546186</v>
      </c>
      <c r="BV171" s="390"/>
      <c r="BX171" s="684">
        <f>-BX141/BX181+BX161</f>
        <v>1.8500621118012424</v>
      </c>
      <c r="BY171" s="678">
        <f t="shared" si="436"/>
        <v>32.179744604408022</v>
      </c>
      <c r="BZ171" s="390"/>
      <c r="CB171" s="684">
        <f>CB151/CB181</f>
        <v>-11.326530612244898</v>
      </c>
      <c r="CC171" s="678" t="str">
        <f t="shared" si="437"/>
        <v xml:space="preserve">NM </v>
      </c>
      <c r="CD171" s="390"/>
      <c r="CF171" s="684">
        <f>CF151/CF181</f>
        <v>1.0492808299929262</v>
      </c>
      <c r="CG171" s="678">
        <f t="shared" si="438"/>
        <v>-109.26392084137899</v>
      </c>
      <c r="CH171" s="390"/>
      <c r="CJ171" s="684">
        <f>CJ151/CJ181</f>
        <v>1.5547785547785549</v>
      </c>
      <c r="CK171" s="678">
        <f t="shared" si="439"/>
        <v>48.175637096985426</v>
      </c>
      <c r="CL171" s="390"/>
      <c r="CN171" s="684">
        <f>CN131/CN181</f>
        <v>1.7435057336765738</v>
      </c>
      <c r="CO171" s="678">
        <f t="shared" si="440"/>
        <v>12.138524699737641</v>
      </c>
      <c r="CP171" s="390"/>
      <c r="CR171" s="684">
        <f>CR151/CR181</f>
        <v>1.8277416124186281</v>
      </c>
      <c r="CS171" s="678">
        <f t="shared" si="441"/>
        <v>4.8314081861046798</v>
      </c>
      <c r="CV171" s="684">
        <f>CV151/CV181</f>
        <v>2.1557778912170504</v>
      </c>
      <c r="CW171" s="678">
        <f t="shared" si="414"/>
        <v>17.947628733163</v>
      </c>
      <c r="CZ171" s="684">
        <f>CZ151/CZ181</f>
        <v>2.2599031062980908</v>
      </c>
      <c r="DA171" s="678">
        <f t="shared" si="415"/>
        <v>4.8300530173011502</v>
      </c>
      <c r="DD171" s="684">
        <f>DD151/DD181</f>
        <v>1.7340406607369758</v>
      </c>
      <c r="DE171" s="678">
        <f t="shared" si="416"/>
        <v>-23.269247433467243</v>
      </c>
      <c r="DH171" s="684">
        <f>DH151/DH181</f>
        <v>1.5843567251461987</v>
      </c>
      <c r="DI171" s="678">
        <f t="shared" si="417"/>
        <v>-8.6320891418521057</v>
      </c>
      <c r="DK171" s="620">
        <f>DK172-DK170</f>
        <v>2.6585972333980226</v>
      </c>
      <c r="DL171" s="1189">
        <f>DL151/DL181</f>
        <v>4.3477618737800912</v>
      </c>
      <c r="DM171" s="678">
        <f t="shared" si="418"/>
        <v>174.41811586837525</v>
      </c>
      <c r="DN171" s="290"/>
      <c r="DP171" s="1189">
        <f>DP131/DP181</f>
        <v>2.4094565136762314</v>
      </c>
      <c r="DQ171" s="1183">
        <f t="shared" si="419"/>
        <v>-44.581681710609224</v>
      </c>
      <c r="DR171" s="1107"/>
      <c r="DS171" s="290"/>
      <c r="DY171" s="340"/>
      <c r="DZ171" s="395"/>
    </row>
    <row r="172" spans="1:146" x14ac:dyDescent="0.2">
      <c r="A172" s="604" t="s">
        <v>83</v>
      </c>
      <c r="C172" s="690"/>
      <c r="D172" s="290">
        <f>D162+(D102*(1-D122/D112))/D182</f>
        <v>-2.6062398109441203</v>
      </c>
      <c r="E172" s="678"/>
      <c r="F172" s="390"/>
      <c r="H172" s="290">
        <f>(H132+H102*(1-H122/H112))/H182</f>
        <v>-1.4596868454620042</v>
      </c>
      <c r="I172" s="678">
        <f t="shared" si="420"/>
        <v>-43.992611910366485</v>
      </c>
      <c r="J172" s="390"/>
      <c r="L172" s="290">
        <f>(L132+L102*(1-L122/L112))/L182</f>
        <v>1.19180960933992</v>
      </c>
      <c r="M172" s="678">
        <f t="shared" si="421"/>
        <v>-181.64830785761458</v>
      </c>
      <c r="N172" s="390"/>
      <c r="P172" s="290">
        <f>P142/P182+P162+P102*(1-0.409)/P182</f>
        <v>1.5586849627453603</v>
      </c>
      <c r="Q172" s="678">
        <f t="shared" si="422"/>
        <v>30.783050457919447</v>
      </c>
      <c r="R172" s="390"/>
      <c r="T172" s="290">
        <f>(T152+16.149)/T182</f>
        <v>2.0775398323761971</v>
      </c>
      <c r="U172" s="678">
        <f t="shared" si="423"/>
        <v>33.2879884025417</v>
      </c>
      <c r="V172" s="390"/>
      <c r="X172" s="290">
        <f>(X102*(0.61))/X182+X142/X182+X162</f>
        <v>0.77474204171240468</v>
      </c>
      <c r="Y172" s="678"/>
      <c r="Z172" s="390"/>
      <c r="AB172" s="290">
        <f>AB162+AB102*0.61/AB182</f>
        <v>1.7377009270191055</v>
      </c>
      <c r="AC172" s="678">
        <f t="shared" si="424"/>
        <v>124.29413062163017</v>
      </c>
      <c r="AD172" s="390"/>
      <c r="AF172" s="689">
        <f>AF162+10.637/AF182</f>
        <v>0.62250449640287675</v>
      </c>
      <c r="AG172" s="678">
        <f t="shared" si="425"/>
        <v>-64.176545760913186</v>
      </c>
      <c r="AH172" s="390"/>
      <c r="AJ172" s="689">
        <f>(AJ152+10)/AJ182+0.002</f>
        <v>1.2039336603062509</v>
      </c>
      <c r="AK172" s="678">
        <f t="shared" si="426"/>
        <v>93.401600673271417</v>
      </c>
      <c r="AL172" s="390"/>
      <c r="AN172" s="290">
        <f>AN152/AN182+7/AN182</f>
        <v>1.481261620185923</v>
      </c>
      <c r="AO172" s="678">
        <f t="shared" si="427"/>
        <v>23.035152934350766</v>
      </c>
      <c r="AP172" s="390"/>
      <c r="AR172" s="290">
        <f>AR152/AR182</f>
        <v>1.8101092896174864</v>
      </c>
      <c r="AS172" s="678">
        <f t="shared" si="428"/>
        <v>22.200512384185544</v>
      </c>
      <c r="AT172" s="390"/>
      <c r="AV172" s="290">
        <f>AV152/AV182</f>
        <v>-0.44471299093655592</v>
      </c>
      <c r="AW172" s="678">
        <f t="shared" si="429"/>
        <v>-124.56829504645728</v>
      </c>
      <c r="AX172" s="390"/>
      <c r="AZ172" s="290">
        <f>AZ152/AZ182</f>
        <v>-0.69138276553106215</v>
      </c>
      <c r="BA172" s="678">
        <f t="shared" si="430"/>
        <v>55.467184368737477</v>
      </c>
      <c r="BB172" s="390"/>
      <c r="BD172" s="290">
        <f>BD152/BD182</f>
        <v>2.0581205183041891</v>
      </c>
      <c r="BE172" s="678">
        <f t="shared" si="431"/>
        <v>-397.68177931414209</v>
      </c>
      <c r="BF172" s="390"/>
      <c r="BH172" s="290">
        <f>BH152/BH182</f>
        <v>1.8569131832797428</v>
      </c>
      <c r="BI172" s="678">
        <f t="shared" si="432"/>
        <v>-9.7762659297635945</v>
      </c>
      <c r="BJ172" s="390"/>
      <c r="BL172" s="290">
        <f>BL152/BL182</f>
        <v>1.9332210998877666</v>
      </c>
      <c r="BM172" s="678">
        <f t="shared" si="433"/>
        <v>4.1093960285879527</v>
      </c>
      <c r="BN172" s="390"/>
      <c r="BP172" s="290">
        <f>BP152/BP182</f>
        <v>3.236519581389651</v>
      </c>
      <c r="BQ172" s="678">
        <f t="shared" si="434"/>
        <v>67.415904035888488</v>
      </c>
      <c r="BR172" s="390"/>
      <c r="BT172" s="290">
        <f>BT152/BT182</f>
        <v>1.8164597407339782</v>
      </c>
      <c r="BU172" s="678">
        <f t="shared" si="435"/>
        <v>-43.876139320187512</v>
      </c>
      <c r="BV172" s="390"/>
      <c r="BX172" s="290">
        <f>BX152/BX182</f>
        <v>1.9767570558937466</v>
      </c>
      <c r="BY172" s="678">
        <f t="shared" si="436"/>
        <v>8.8247105930901135</v>
      </c>
      <c r="BZ172" s="390"/>
      <c r="CB172" s="290">
        <f>CB152/CB182</f>
        <v>-11.397045737675743</v>
      </c>
      <c r="CC172" s="678" t="str">
        <f t="shared" si="437"/>
        <v xml:space="preserve">NM </v>
      </c>
      <c r="CD172" s="390"/>
      <c r="CF172" s="290">
        <f>CF152/CF182</f>
        <v>0.7789747839469634</v>
      </c>
      <c r="CG172" s="678">
        <f t="shared" si="438"/>
        <v>-106.83488337132727</v>
      </c>
      <c r="CH172" s="390"/>
      <c r="CJ172" s="290">
        <f>CJ132/CJ182</f>
        <v>1.9738988580750407</v>
      </c>
      <c r="CK172" s="678">
        <f t="shared" si="439"/>
        <v>153.39701602066671</v>
      </c>
      <c r="CL172" s="390"/>
      <c r="CN172" s="290">
        <f>CN132/CN182</f>
        <v>2.9182156133828996</v>
      </c>
      <c r="CO172" s="678">
        <f t="shared" si="440"/>
        <v>47.840179421794836</v>
      </c>
      <c r="CP172" s="390"/>
      <c r="CR172" s="290">
        <f>CR152/CR182</f>
        <v>3.2387190684133915</v>
      </c>
      <c r="CS172" s="678">
        <f t="shared" si="441"/>
        <v>10.982857248815581</v>
      </c>
      <c r="CV172" s="290">
        <f>CV152/CV182</f>
        <v>3.8555932614228574</v>
      </c>
      <c r="CW172" s="678">
        <f t="shared" si="414"/>
        <v>19.046857105505755</v>
      </c>
      <c r="CZ172" s="290">
        <f>CZ152/CZ182</f>
        <v>4.2195492879856218</v>
      </c>
      <c r="DA172" s="678">
        <f t="shared" si="415"/>
        <v>9.4396893522023397</v>
      </c>
      <c r="DD172" s="290">
        <f>DD152/DD182+0.004</f>
        <v>3.2158498498498491</v>
      </c>
      <c r="DE172" s="678">
        <f t="shared" si="416"/>
        <v>-23.786887405098433</v>
      </c>
      <c r="DH172" s="290">
        <f>DH152/DH182</f>
        <v>2.0165090090090088</v>
      </c>
      <c r="DI172" s="678">
        <f t="shared" si="417"/>
        <v>-37.294677825111719</v>
      </c>
      <c r="DJ172" s="620"/>
      <c r="DK172" s="620">
        <f>(3.63+3.38)/2</f>
        <v>3.5049999999999999</v>
      </c>
      <c r="DL172" s="290">
        <f>DL152/DL182</f>
        <v>5.0635991533702374</v>
      </c>
      <c r="DM172" s="678">
        <f t="shared" si="418"/>
        <v>151.10719221922483</v>
      </c>
      <c r="DN172" s="620"/>
      <c r="DO172" s="620"/>
      <c r="DP172" s="1107">
        <f>DP132/DP182</f>
        <v>3.5474834268760684</v>
      </c>
      <c r="DQ172" s="1183">
        <f t="shared" si="419"/>
        <v>-29.941464175438735</v>
      </c>
      <c r="DR172" s="1124"/>
    </row>
    <row r="173" spans="1:146" hidden="1" outlineLevel="3" x14ac:dyDescent="0.2">
      <c r="A173" s="604" t="s">
        <v>84</v>
      </c>
      <c r="C173" s="690"/>
      <c r="D173" s="681">
        <f>D168+D169</f>
        <v>-2.5728198028300677</v>
      </c>
      <c r="E173" s="678"/>
      <c r="F173" s="390"/>
      <c r="H173" s="681">
        <f>H168+H169</f>
        <v>-1.5726745069465071</v>
      </c>
      <c r="I173" s="678">
        <f t="shared" si="420"/>
        <v>-38.873507378301973</v>
      </c>
      <c r="J173" s="390"/>
      <c r="L173" s="681">
        <f>L168+L169</f>
        <v>8.4504813345875618E-3</v>
      </c>
      <c r="M173" s="678">
        <f t="shared" si="421"/>
        <v>-100.53733186983457</v>
      </c>
      <c r="N173" s="390"/>
      <c r="P173" s="681">
        <f>P168+P169</f>
        <v>0.2420270424317299</v>
      </c>
      <c r="Q173" s="678" t="str">
        <f t="shared" si="422"/>
        <v xml:space="preserve">NM </v>
      </c>
      <c r="R173" s="390"/>
      <c r="T173" s="681">
        <f>T168+T169</f>
        <v>0.410679591035081</v>
      </c>
      <c r="U173" s="678">
        <f t="shared" si="423"/>
        <v>69.683348979866167</v>
      </c>
      <c r="V173" s="390"/>
      <c r="X173" s="681">
        <f>X168+X169</f>
        <v>-0.40915477497255764</v>
      </c>
      <c r="Y173" s="678"/>
      <c r="Z173" s="390"/>
      <c r="AB173" s="681">
        <f>AB168+AB169</f>
        <v>-1.8837940828591804E-2</v>
      </c>
      <c r="AC173" s="678">
        <f t="shared" si="424"/>
        <v>-95.395888797862554</v>
      </c>
      <c r="AD173" s="390"/>
      <c r="AF173" s="681">
        <f>AF168+AF169</f>
        <v>0.19541419878959093</v>
      </c>
      <c r="AG173" s="678" t="str">
        <f t="shared" si="425"/>
        <v xml:space="preserve">NM </v>
      </c>
      <c r="AH173" s="390"/>
      <c r="AJ173" s="286">
        <f>AJ51+AJ52</f>
        <v>980.68900000000008</v>
      </c>
      <c r="AK173" s="678" t="str">
        <f t="shared" si="426"/>
        <v xml:space="preserve">NM </v>
      </c>
      <c r="AL173" s="390"/>
      <c r="AN173" s="681">
        <f>AN168+AN169</f>
        <v>0.72049080110226249</v>
      </c>
      <c r="AO173" s="678">
        <f t="shared" si="427"/>
        <v>-99.926532182873245</v>
      </c>
      <c r="AP173" s="390"/>
      <c r="AR173" s="681">
        <f>AR168+AR169</f>
        <v>0.50971424739624771</v>
      </c>
      <c r="AS173" s="678">
        <f t="shared" si="428"/>
        <v>-29.254579431625295</v>
      </c>
      <c r="AT173" s="390"/>
      <c r="AV173" s="681">
        <f>AV168+AV169</f>
        <v>0.35681191523896</v>
      </c>
      <c r="AW173" s="678">
        <f t="shared" si="429"/>
        <v>-29.997657106575382</v>
      </c>
      <c r="AX173" s="390"/>
      <c r="AZ173" s="681">
        <f>AZ168+AZ169</f>
        <v>0.41763831435531523</v>
      </c>
      <c r="BA173" s="678">
        <f t="shared" si="430"/>
        <v>17.04718831365799</v>
      </c>
      <c r="BB173" s="390"/>
      <c r="BD173" s="681">
        <f>BD168+BD169</f>
        <v>0.91101194777665362</v>
      </c>
      <c r="BE173" s="678">
        <f t="shared" si="431"/>
        <v>118.13418847428582</v>
      </c>
      <c r="BF173" s="390"/>
      <c r="BH173" s="681">
        <f>BH168+BH169</f>
        <v>0.44188485217508966</v>
      </c>
      <c r="BI173" s="678">
        <f t="shared" si="432"/>
        <v>-51.495163894005977</v>
      </c>
      <c r="BJ173" s="390"/>
      <c r="BL173" s="681">
        <f>BL168+BL169</f>
        <v>0.47758647432914536</v>
      </c>
      <c r="BM173" s="678">
        <f t="shared" si="433"/>
        <v>8.0793948872249555</v>
      </c>
      <c r="BN173" s="390"/>
      <c r="BP173" s="681">
        <f>BP168+BP169</f>
        <v>0.77809953637829632</v>
      </c>
      <c r="BQ173" s="678">
        <f t="shared" si="434"/>
        <v>62.923277396261</v>
      </c>
      <c r="BR173" s="390"/>
      <c r="BT173" s="681">
        <f>BT168+BT169</f>
        <v>0.47346776116418232</v>
      </c>
      <c r="BU173" s="678">
        <f t="shared" si="435"/>
        <v>-39.150746269820182</v>
      </c>
      <c r="BV173" s="390"/>
      <c r="BX173" s="681">
        <f>BX168+BX169</f>
        <v>0.23720938933658181</v>
      </c>
      <c r="BY173" s="678">
        <f t="shared" si="436"/>
        <v>-49.899568926652691</v>
      </c>
      <c r="BZ173" s="390"/>
      <c r="CB173" s="681">
        <f>CB168+CB169</f>
        <v>3.2768986077993417E-2</v>
      </c>
      <c r="CC173" s="678">
        <f t="shared" si="437"/>
        <v>-86.185628583404522</v>
      </c>
      <c r="CD173" s="390"/>
      <c r="CF173" s="681">
        <f>CF168+CF169</f>
        <v>-0.19224396920633346</v>
      </c>
      <c r="CG173" s="678" t="str">
        <f t="shared" si="438"/>
        <v xml:space="preserve">NM </v>
      </c>
      <c r="CH173" s="390"/>
      <c r="CJ173" s="681">
        <f>CJ168+CJ169</f>
        <v>0.39863115963037682</v>
      </c>
      <c r="CK173" s="678">
        <f t="shared" si="439"/>
        <v>-307.35691282077624</v>
      </c>
      <c r="CL173" s="390"/>
      <c r="CN173" s="681">
        <f>CN168+CN169</f>
        <v>0.85918406661030189</v>
      </c>
      <c r="CO173" s="678">
        <f t="shared" si="440"/>
        <v>115.53359436501754</v>
      </c>
      <c r="CP173" s="390"/>
      <c r="CR173" s="681">
        <f>CR168+CR169</f>
        <v>1.0960933883422557</v>
      </c>
      <c r="CS173" s="678">
        <f t="shared" si="441"/>
        <v>27.573756420626005</v>
      </c>
      <c r="CV173" s="681">
        <f>CV168+CV169</f>
        <v>1.2718717453607706</v>
      </c>
      <c r="CW173" s="678">
        <f t="shared" si="414"/>
        <v>16.036804791274605</v>
      </c>
      <c r="CZ173" s="681">
        <f>CZ168+CZ169</f>
        <v>1.4003051384360732</v>
      </c>
      <c r="DA173" s="678">
        <f t="shared" si="415"/>
        <v>10.097983035142576</v>
      </c>
      <c r="DC173" s="290"/>
      <c r="DD173" s="681">
        <f>DD168+DD169</f>
        <v>1.1933621933621934</v>
      </c>
      <c r="DE173" s="678">
        <f t="shared" si="416"/>
        <v>-14.778417888618433</v>
      </c>
      <c r="DG173" s="290"/>
      <c r="DH173" s="681">
        <f>DH168+DH169</f>
        <v>0.4041884344655407</v>
      </c>
      <c r="DI173" s="678">
        <f t="shared" si="417"/>
        <v>-66.130279917216484</v>
      </c>
      <c r="DL173" s="681">
        <f>DL168+DL169</f>
        <v>0.61640276660197735</v>
      </c>
      <c r="DM173" s="678">
        <f t="shared" si="418"/>
        <v>52.503811104107442</v>
      </c>
      <c r="DP173" s="1184">
        <f>DP168+DP169</f>
        <v>0.85276157655067153</v>
      </c>
      <c r="DQ173" s="1183">
        <f t="shared" si="419"/>
        <v>38.344865200988856</v>
      </c>
      <c r="DS173" s="290"/>
      <c r="DT173" s="282"/>
      <c r="DU173" s="290"/>
      <c r="DV173" s="290"/>
      <c r="DW173" s="290"/>
      <c r="DX173" s="290"/>
    </row>
    <row r="174" spans="1:146" hidden="1" outlineLevel="3" x14ac:dyDescent="0.2">
      <c r="A174" s="604" t="s">
        <v>85</v>
      </c>
      <c r="C174" s="690"/>
      <c r="D174" s="681">
        <f>D168+D169+D170</f>
        <v>-3.3962382318013766</v>
      </c>
      <c r="E174" s="678"/>
      <c r="F174" s="390"/>
      <c r="H174" s="681">
        <f>H168+H169+H170</f>
        <v>-2.1098190570273743</v>
      </c>
      <c r="I174" s="678">
        <f t="shared" si="420"/>
        <v>-37.877766133375189</v>
      </c>
      <c r="J174" s="390"/>
      <c r="L174" s="681">
        <f>L168+L169+L170</f>
        <v>0.2591012749853806</v>
      </c>
      <c r="M174" s="678">
        <f t="shared" si="421"/>
        <v>-112.28073441285721</v>
      </c>
      <c r="N174" s="390"/>
      <c r="P174" s="681">
        <f>P168+P169+P170</f>
        <v>0.51535240601843224</v>
      </c>
      <c r="Q174" s="678">
        <f t="shared" si="422"/>
        <v>98.899988449501166</v>
      </c>
      <c r="R174" s="390"/>
      <c r="T174" s="681">
        <f>T168+T169+T170</f>
        <v>0.76094025454219016</v>
      </c>
      <c r="U174" s="678">
        <f t="shared" si="423"/>
        <v>47.654351790292047</v>
      </c>
      <c r="V174" s="390"/>
      <c r="X174" s="681">
        <f>X168+X169+X170</f>
        <v>-0.42265312843029623</v>
      </c>
      <c r="Y174" s="678"/>
      <c r="Z174" s="390"/>
      <c r="AB174" s="681">
        <f>AB168+AB169+AB170</f>
        <v>0.23081233239545054</v>
      </c>
      <c r="AC174" s="678">
        <f t="shared" si="424"/>
        <v>-154.61034519078828</v>
      </c>
      <c r="AD174" s="390"/>
      <c r="AF174" s="681">
        <f>AF168+AF169+AF170</f>
        <v>0.51787999213486513</v>
      </c>
      <c r="AG174" s="678">
        <f t="shared" si="425"/>
        <v>124.37275632550771</v>
      </c>
      <c r="AH174" s="390"/>
      <c r="AJ174" s="286">
        <f>AJ51+AJ52+AJ53</f>
        <v>2321.6890000000003</v>
      </c>
      <c r="AK174" s="678" t="str">
        <f t="shared" si="426"/>
        <v xml:space="preserve">NM </v>
      </c>
      <c r="AL174" s="390"/>
      <c r="AN174" s="681">
        <f>AN168+AN169+AN170</f>
        <v>1.1007355563470176</v>
      </c>
      <c r="AO174" s="678">
        <f t="shared" si="427"/>
        <v>-99.952589017893999</v>
      </c>
      <c r="AP174" s="390"/>
      <c r="AR174" s="681">
        <f>AR168+AR169+AR170</f>
        <v>0.78938682584099529</v>
      </c>
      <c r="AS174" s="678">
        <f t="shared" si="428"/>
        <v>-28.285515872612244</v>
      </c>
      <c r="AT174" s="390"/>
      <c r="AV174" s="681">
        <f>AV168+AV169+AV170</f>
        <v>-1.3040533259345857</v>
      </c>
      <c r="AW174" s="678">
        <f t="shared" si="429"/>
        <v>-265.19826316397871</v>
      </c>
      <c r="AX174" s="390"/>
      <c r="AZ174" s="681">
        <f>AZ168+AZ169+AZ170</f>
        <v>0.4253464335742258</v>
      </c>
      <c r="BA174" s="678">
        <f t="shared" si="430"/>
        <v>-132.61725767766356</v>
      </c>
      <c r="BB174" s="390"/>
      <c r="BD174" s="681">
        <f>BD168+BD169+BD170</f>
        <v>1.1815581448159593</v>
      </c>
      <c r="BE174" s="678">
        <f t="shared" si="431"/>
        <v>177.78724624236668</v>
      </c>
      <c r="BF174" s="390"/>
      <c r="BH174" s="681">
        <f>BH168+BH169+BH170</f>
        <v>0.62228334436679678</v>
      </c>
      <c r="BI174" s="678">
        <f t="shared" si="432"/>
        <v>-47.333667234486867</v>
      </c>
      <c r="BJ174" s="390"/>
      <c r="BL174" s="681">
        <f>BL168+BL169+BL170</f>
        <v>0.68974243763189769</v>
      </c>
      <c r="BM174" s="678">
        <f t="shared" si="433"/>
        <v>10.840575097465255</v>
      </c>
      <c r="BN174" s="390"/>
      <c r="BP174" s="681">
        <f>BP168+BP169+BP170</f>
        <v>1.6740482118187203</v>
      </c>
      <c r="BQ174" s="678">
        <f t="shared" si="434"/>
        <v>142.70627997985065</v>
      </c>
      <c r="BR174" s="390"/>
      <c r="BT174" s="681">
        <f>BT168+BT169+BT170</f>
        <v>0.46801222379375135</v>
      </c>
      <c r="BU174" s="678">
        <f t="shared" si="435"/>
        <v>-72.043085707472358</v>
      </c>
      <c r="BV174" s="390"/>
      <c r="BX174" s="681">
        <f>BX168+BX169+BX170</f>
        <v>0.31253465754018828</v>
      </c>
      <c r="BY174" s="678">
        <f t="shared" si="436"/>
        <v>-33.220834488733487</v>
      </c>
      <c r="BZ174" s="390"/>
      <c r="CB174" s="681">
        <f>CB168+CB169+CB170</f>
        <v>-7.1669656219656708E-2</v>
      </c>
      <c r="CC174" s="678">
        <f t="shared" si="437"/>
        <v>-122.93174676489787</v>
      </c>
      <c r="CD174" s="390"/>
      <c r="CF174" s="681">
        <f>CF168+CF169+CF170</f>
        <v>-0.27522168376299538</v>
      </c>
      <c r="CG174" s="678">
        <f t="shared" si="438"/>
        <v>284.0142373775065</v>
      </c>
      <c r="CH174" s="390"/>
      <c r="CJ174" s="681">
        <f>CJ168+CJ169+CJ170</f>
        <v>0.42201750200642918</v>
      </c>
      <c r="CK174" s="678">
        <f t="shared" si="439"/>
        <v>-253.33730112989414</v>
      </c>
      <c r="CL174" s="390"/>
      <c r="CN174" s="681">
        <f>CN168+CN169+CN170</f>
        <v>1.1810923574857073</v>
      </c>
      <c r="CO174" s="678">
        <f t="shared" si="440"/>
        <v>179.86809833012899</v>
      </c>
      <c r="CP174" s="390"/>
      <c r="CR174" s="681">
        <f>CR168+CR169+CR170</f>
        <v>1.4515726724805249</v>
      </c>
      <c r="CS174" s="678">
        <f t="shared" si="441"/>
        <v>22.900860655013666</v>
      </c>
      <c r="CV174" s="681">
        <f>CV168+CV169+CV170</f>
        <v>1.737416195650092</v>
      </c>
      <c r="CW174" s="678">
        <f t="shared" si="414"/>
        <v>19.69198846111524</v>
      </c>
      <c r="CZ174" s="681">
        <f>CZ168+CZ169+CZ170</f>
        <v>2.0069587587883237</v>
      </c>
      <c r="DA174" s="678">
        <f t="shared" si="415"/>
        <v>15.513989325820488</v>
      </c>
      <c r="DD174" s="681">
        <f>DD168+DD169+DD170</f>
        <v>1.538130164244814</v>
      </c>
      <c r="DE174" s="678">
        <f t="shared" si="416"/>
        <v>-23.360150899491284</v>
      </c>
      <c r="DH174" s="681">
        <f>DH168+DH169+DH170</f>
        <v>0.44406609061492897</v>
      </c>
      <c r="DI174" s="678">
        <f t="shared" si="417"/>
        <v>-71.129485596366607</v>
      </c>
      <c r="DL174" s="681">
        <f>DL168+DL169+DL170</f>
        <v>0.71264909612889416</v>
      </c>
      <c r="DM174" s="678">
        <f t="shared" si="418"/>
        <v>60.482664898380278</v>
      </c>
      <c r="DP174" s="1184">
        <f>DP168+DP169+DP170</f>
        <v>1.1356297451617365</v>
      </c>
      <c r="DQ174" s="1183">
        <f t="shared" si="419"/>
        <v>59.353284994041374</v>
      </c>
    </row>
    <row r="175" spans="1:146" collapsed="1" x14ac:dyDescent="0.2">
      <c r="D175" s="353"/>
      <c r="E175" s="261"/>
      <c r="F175" s="261"/>
      <c r="H175" s="353"/>
      <c r="I175" s="261"/>
      <c r="J175" s="261"/>
      <c r="L175" s="353"/>
      <c r="M175" s="261"/>
      <c r="N175" s="261"/>
      <c r="P175" s="353"/>
      <c r="Q175" s="261"/>
      <c r="R175" s="261"/>
      <c r="T175" s="353"/>
      <c r="U175" s="261"/>
      <c r="V175" s="261"/>
      <c r="X175" s="353"/>
      <c r="Y175" s="261"/>
      <c r="Z175" s="261"/>
      <c r="AB175" s="353"/>
      <c r="AC175" s="261"/>
      <c r="AD175" s="261"/>
      <c r="AF175" s="353"/>
      <c r="AG175" s="261"/>
      <c r="AH175" s="261"/>
      <c r="AJ175" s="385"/>
      <c r="AN175" s="385"/>
      <c r="AR175" s="385"/>
      <c r="AV175" s="385"/>
      <c r="AZ175" s="385"/>
      <c r="BD175" s="385"/>
      <c r="BH175" s="385"/>
      <c r="BL175" s="385"/>
      <c r="BP175" s="385"/>
      <c r="BT175" s="385"/>
      <c r="BX175" s="385"/>
      <c r="CB175" s="385"/>
      <c r="CF175" s="385"/>
      <c r="CG175" s="672"/>
      <c r="CJ175" s="385"/>
      <c r="CN175" s="385"/>
      <c r="CR175" s="286"/>
      <c r="CV175" s="385"/>
      <c r="CZ175" s="286"/>
      <c r="DD175" s="286"/>
      <c r="DH175" s="286"/>
      <c r="DL175" s="286"/>
      <c r="DP175" s="1128"/>
    </row>
    <row r="176" spans="1:146" s="627" customFormat="1" x14ac:dyDescent="0.2">
      <c r="D176" s="628"/>
      <c r="E176" s="520"/>
      <c r="F176" s="520"/>
      <c r="H176" s="628"/>
      <c r="I176" s="520"/>
      <c r="J176" s="520"/>
      <c r="L176" s="628"/>
      <c r="M176" s="520"/>
      <c r="N176" s="520"/>
      <c r="P176" s="628"/>
      <c r="Q176" s="520"/>
      <c r="R176" s="520"/>
      <c r="T176" s="628"/>
      <c r="U176" s="520"/>
      <c r="V176" s="520"/>
      <c r="X176" s="628"/>
      <c r="Y176" s="520"/>
      <c r="Z176" s="520"/>
      <c r="AB176" s="628"/>
      <c r="AC176" s="520"/>
      <c r="AD176" s="520"/>
      <c r="AF176" s="628"/>
      <c r="AG176" s="520"/>
      <c r="AH176" s="520"/>
      <c r="AJ176" s="629"/>
      <c r="AN176" s="629"/>
      <c r="AR176" s="629"/>
      <c r="AV176" s="629"/>
      <c r="AZ176" s="629"/>
      <c r="BD176" s="629"/>
      <c r="BH176" s="629"/>
      <c r="BL176" s="629"/>
      <c r="BP176" s="629"/>
      <c r="BT176" s="629"/>
      <c r="BX176" s="629"/>
      <c r="CB176" s="629"/>
      <c r="CF176" s="629"/>
      <c r="CG176" s="693"/>
      <c r="CJ176" s="629"/>
      <c r="CN176" s="1510" t="s">
        <v>326</v>
      </c>
      <c r="CO176" s="1510"/>
      <c r="CP176" s="1510"/>
      <c r="CQ176" s="1510"/>
      <c r="CR176" s="1510"/>
      <c r="CS176" s="1510"/>
      <c r="CT176" s="1510"/>
      <c r="CU176" s="1510"/>
      <c r="CV176" s="1510"/>
      <c r="CZ176" s="663" t="s">
        <v>326</v>
      </c>
      <c r="DA176" s="663"/>
      <c r="DB176" s="663"/>
      <c r="DC176" s="663"/>
      <c r="DD176" s="663"/>
      <c r="DE176" s="663"/>
      <c r="DF176" s="663"/>
      <c r="DG176" s="663"/>
      <c r="DH176" s="663"/>
      <c r="DL176" s="663"/>
      <c r="DP176" s="1169"/>
      <c r="DQ176" s="1151"/>
      <c r="DR176" s="1151"/>
      <c r="EI176" s="600"/>
    </row>
    <row r="177" spans="1:139" x14ac:dyDescent="0.2">
      <c r="A177" s="505"/>
      <c r="D177" s="353"/>
      <c r="E177" s="261"/>
      <c r="F177" s="261"/>
      <c r="H177" s="353"/>
      <c r="I177" s="261"/>
      <c r="J177" s="261"/>
      <c r="L177" s="353"/>
      <c r="M177" s="261"/>
      <c r="N177" s="261"/>
      <c r="P177" s="353"/>
      <c r="Q177" s="261"/>
      <c r="R177" s="261"/>
      <c r="T177" s="353"/>
      <c r="U177" s="261"/>
      <c r="V177" s="261"/>
      <c r="X177" s="353"/>
      <c r="Y177" s="261"/>
      <c r="Z177" s="261"/>
      <c r="AB177" s="353"/>
      <c r="AC177" s="261"/>
      <c r="AD177" s="261"/>
      <c r="AF177" s="353"/>
      <c r="AG177" s="261"/>
      <c r="AH177" s="261"/>
      <c r="AJ177" s="385"/>
      <c r="AN177" s="385"/>
      <c r="AR177" s="385"/>
      <c r="AV177" s="385"/>
      <c r="AZ177" s="385"/>
      <c r="BD177" s="385"/>
      <c r="BH177" s="385"/>
      <c r="BL177" s="385"/>
      <c r="BP177" s="385"/>
      <c r="BT177" s="385"/>
      <c r="BX177" s="385"/>
      <c r="CB177" s="385"/>
      <c r="CF177" s="385"/>
      <c r="CG177" s="672"/>
      <c r="CJ177" s="385"/>
      <c r="CN177" s="385"/>
    </row>
    <row r="178" spans="1:139" x14ac:dyDescent="0.2">
      <c r="A178" s="694" t="s">
        <v>79</v>
      </c>
      <c r="B178" s="385"/>
      <c r="C178" s="640"/>
      <c r="D178" s="639">
        <v>80</v>
      </c>
      <c r="E178" s="695"/>
      <c r="F178" s="695"/>
      <c r="G178" s="639"/>
      <c r="H178" s="639">
        <v>79.97</v>
      </c>
      <c r="I178" s="695"/>
      <c r="J178" s="695"/>
      <c r="K178" s="639"/>
      <c r="L178" s="639">
        <v>79.97</v>
      </c>
      <c r="M178" s="488"/>
      <c r="N178" s="488"/>
      <c r="O178" s="488"/>
      <c r="P178" s="639">
        <v>126.209</v>
      </c>
      <c r="Q178" s="488"/>
      <c r="R178" s="488"/>
      <c r="S178" s="488"/>
      <c r="T178" s="639">
        <v>126.464</v>
      </c>
      <c r="U178" s="488"/>
      <c r="V178" s="488"/>
      <c r="W178" s="488"/>
      <c r="X178" s="639">
        <v>182.2</v>
      </c>
      <c r="Y178" s="488"/>
      <c r="Z178" s="488"/>
      <c r="AA178" s="488"/>
      <c r="AB178" s="639">
        <v>182.68199999999999</v>
      </c>
      <c r="AC178" s="488"/>
      <c r="AD178" s="488"/>
      <c r="AE178" s="488"/>
      <c r="AF178" s="639">
        <v>206.71</v>
      </c>
      <c r="AG178" s="488"/>
      <c r="AH178" s="488"/>
      <c r="AI178" s="639"/>
      <c r="AJ178" s="639">
        <v>213.6</v>
      </c>
      <c r="AK178" s="695"/>
      <c r="AL178" s="695"/>
      <c r="AM178" s="639"/>
      <c r="AN178" s="639">
        <v>231.6</v>
      </c>
      <c r="AO178" s="695"/>
      <c r="AP178" s="695"/>
      <c r="AQ178" s="639"/>
      <c r="AR178" s="639">
        <v>432.8</v>
      </c>
      <c r="AS178" s="695"/>
      <c r="AT178" s="695"/>
      <c r="AU178" s="639"/>
      <c r="AV178" s="639">
        <v>432.6</v>
      </c>
      <c r="AW178" s="695"/>
      <c r="AX178" s="695"/>
      <c r="AY178" s="639"/>
      <c r="AZ178" s="639">
        <v>408.2</v>
      </c>
      <c r="BA178" s="695"/>
      <c r="BB178" s="695"/>
      <c r="BC178" s="639"/>
      <c r="BD178" s="639">
        <v>408</v>
      </c>
      <c r="BE178" s="695"/>
      <c r="BF178" s="695"/>
      <c r="BG178" s="639"/>
      <c r="BH178" s="639">
        <v>379</v>
      </c>
      <c r="BI178" s="695"/>
      <c r="BJ178" s="695"/>
      <c r="BK178" s="639"/>
      <c r="BL178" s="639">
        <v>368.4</v>
      </c>
      <c r="BM178" s="695"/>
      <c r="BN178" s="695"/>
      <c r="BO178" s="639"/>
      <c r="BP178" s="639">
        <v>345.6</v>
      </c>
      <c r="BQ178" s="695"/>
      <c r="BR178" s="695"/>
      <c r="BS178" s="639"/>
      <c r="BT178" s="639">
        <v>558</v>
      </c>
      <c r="BU178" s="695"/>
      <c r="BV178" s="695"/>
      <c r="BW178" s="639"/>
      <c r="BX178" s="639">
        <v>476.4</v>
      </c>
      <c r="BY178" s="695"/>
      <c r="BZ178" s="695"/>
      <c r="CA178" s="639"/>
      <c r="CB178" s="639">
        <v>420.9</v>
      </c>
      <c r="CC178" s="695"/>
      <c r="CD178" s="695"/>
      <c r="CE178" s="639"/>
      <c r="CF178" s="639">
        <v>421.4</v>
      </c>
      <c r="CG178" s="695"/>
      <c r="CH178" s="695"/>
      <c r="CI178" s="639"/>
      <c r="CJ178" s="1011">
        <v>426.2</v>
      </c>
      <c r="CK178" s="695"/>
      <c r="CL178" s="695"/>
      <c r="CM178" s="639"/>
      <c r="CN178" s="1011">
        <v>430</v>
      </c>
      <c r="CO178" s="696"/>
      <c r="CP178" s="696"/>
      <c r="CQ178" s="640"/>
      <c r="CR178" s="1011">
        <v>423.7</v>
      </c>
      <c r="CU178" s="640"/>
      <c r="CV178" s="1011">
        <v>394.5</v>
      </c>
      <c r="CY178" s="640"/>
      <c r="CZ178" s="1011">
        <v>372.6</v>
      </c>
      <c r="DD178" s="1011">
        <v>346.5</v>
      </c>
      <c r="DH178" s="1011">
        <v>313.5</v>
      </c>
      <c r="DL178" s="1011">
        <v>306.89999999999998</v>
      </c>
      <c r="DP178" s="1390">
        <f>DL181+0.25</f>
        <v>307.64999999999998</v>
      </c>
    </row>
    <row r="179" spans="1:139" x14ac:dyDescent="0.2">
      <c r="A179" s="604" t="s">
        <v>80</v>
      </c>
      <c r="C179" s="390"/>
      <c r="D179" s="639">
        <v>80</v>
      </c>
      <c r="E179" s="697"/>
      <c r="F179" s="697"/>
      <c r="G179" s="698"/>
      <c r="H179" s="639">
        <v>79.97</v>
      </c>
      <c r="I179" s="697"/>
      <c r="J179" s="697"/>
      <c r="K179" s="698"/>
      <c r="L179" s="639">
        <v>113.38200000000001</v>
      </c>
      <c r="M179" s="488"/>
      <c r="N179" s="488"/>
      <c r="O179" s="488"/>
      <c r="P179" s="639">
        <v>126.309</v>
      </c>
      <c r="Q179" s="488"/>
      <c r="R179" s="488"/>
      <c r="S179" s="488"/>
      <c r="T179" s="639">
        <v>126.578</v>
      </c>
      <c r="U179" s="488"/>
      <c r="V179" s="488"/>
      <c r="W179" s="488"/>
      <c r="X179" s="639">
        <v>182.2</v>
      </c>
      <c r="Y179" s="488"/>
      <c r="Z179" s="488"/>
      <c r="AA179" s="488"/>
      <c r="AB179" s="639">
        <v>182.83</v>
      </c>
      <c r="AC179" s="488"/>
      <c r="AD179" s="488"/>
      <c r="AE179" s="488"/>
      <c r="AF179" s="639">
        <v>207.66300000000001</v>
      </c>
      <c r="AG179" s="488"/>
      <c r="AH179" s="488"/>
      <c r="AI179" s="698"/>
      <c r="AJ179" s="639">
        <v>226</v>
      </c>
      <c r="AK179" s="697"/>
      <c r="AL179" s="697"/>
      <c r="AM179" s="698"/>
      <c r="AN179" s="639">
        <v>232.4</v>
      </c>
      <c r="AO179" s="697"/>
      <c r="AP179" s="697"/>
      <c r="AQ179" s="698"/>
      <c r="AR179" s="639">
        <v>443.8</v>
      </c>
      <c r="AS179" s="697"/>
      <c r="AT179" s="697"/>
      <c r="AU179" s="698"/>
      <c r="AV179" s="639">
        <v>417</v>
      </c>
      <c r="AW179" s="697"/>
      <c r="AX179" s="697"/>
      <c r="AY179" s="698"/>
      <c r="AZ179" s="639">
        <v>399.2</v>
      </c>
      <c r="BA179" s="697"/>
      <c r="BB179" s="697"/>
      <c r="BC179" s="698"/>
      <c r="BD179" s="639">
        <v>407</v>
      </c>
      <c r="BE179" s="697"/>
      <c r="BF179" s="697"/>
      <c r="BG179" s="698"/>
      <c r="BH179" s="639">
        <v>374.4</v>
      </c>
      <c r="BI179" s="697"/>
      <c r="BJ179" s="697"/>
      <c r="BK179" s="698"/>
      <c r="BL179" s="639">
        <v>364</v>
      </c>
      <c r="BM179" s="697"/>
      <c r="BN179" s="697"/>
      <c r="BO179" s="698"/>
      <c r="BP179" s="639">
        <v>351.4</v>
      </c>
      <c r="BQ179" s="697"/>
      <c r="BR179" s="697"/>
      <c r="BS179" s="698"/>
      <c r="BT179" s="639">
        <v>559.20000000000005</v>
      </c>
      <c r="BU179" s="697"/>
      <c r="BV179" s="697"/>
      <c r="BW179" s="698"/>
      <c r="BX179" s="639">
        <v>457.8</v>
      </c>
      <c r="BY179" s="697"/>
      <c r="BZ179" s="697"/>
      <c r="CA179" s="698"/>
      <c r="CB179" s="639">
        <v>422.1</v>
      </c>
      <c r="CC179" s="697"/>
      <c r="CD179" s="697"/>
      <c r="CE179" s="698"/>
      <c r="CF179" s="639">
        <v>422.1</v>
      </c>
      <c r="CG179" s="697"/>
      <c r="CH179" s="697"/>
      <c r="CI179" s="698"/>
      <c r="CJ179" s="1011">
        <v>426.5</v>
      </c>
      <c r="CK179" s="697"/>
      <c r="CL179" s="697"/>
      <c r="CM179" s="698"/>
      <c r="CN179" s="1011">
        <v>434.6</v>
      </c>
      <c r="CO179" s="667"/>
      <c r="CP179" s="667"/>
      <c r="CQ179" s="390"/>
      <c r="CR179" s="1011">
        <v>417.1</v>
      </c>
      <c r="CU179" s="390"/>
      <c r="CV179" s="1011">
        <v>389.3</v>
      </c>
      <c r="CY179" s="390"/>
      <c r="CZ179" s="1011">
        <v>365.4</v>
      </c>
      <c r="DA179" s="699"/>
      <c r="DD179" s="1011">
        <v>341</v>
      </c>
      <c r="DE179" s="699"/>
      <c r="DH179" s="1011">
        <v>311.3</v>
      </c>
      <c r="DI179" s="699"/>
      <c r="DL179" s="1011">
        <v>306.5</v>
      </c>
      <c r="DM179" s="699"/>
      <c r="DP179" s="1390">
        <f>DP178+0.25</f>
        <v>307.89999999999998</v>
      </c>
      <c r="DQ179" s="1190"/>
    </row>
    <row r="180" spans="1:139" x14ac:dyDescent="0.2">
      <c r="A180" s="604" t="s">
        <v>81</v>
      </c>
      <c r="C180" s="390"/>
      <c r="D180" s="639">
        <v>80</v>
      </c>
      <c r="E180" s="697"/>
      <c r="F180" s="697"/>
      <c r="G180" s="698"/>
      <c r="H180" s="639">
        <v>79.97</v>
      </c>
      <c r="I180" s="697"/>
      <c r="J180" s="697"/>
      <c r="K180" s="698"/>
      <c r="L180" s="639">
        <v>126</v>
      </c>
      <c r="M180" s="488"/>
      <c r="N180" s="488"/>
      <c r="O180" s="488"/>
      <c r="P180" s="639">
        <v>126.31100000000001</v>
      </c>
      <c r="Q180" s="488"/>
      <c r="R180" s="488"/>
      <c r="S180" s="488"/>
      <c r="T180" s="639">
        <v>126.6</v>
      </c>
      <c r="U180" s="488"/>
      <c r="V180" s="488"/>
      <c r="W180" s="488"/>
      <c r="X180" s="639">
        <v>182.2</v>
      </c>
      <c r="Y180" s="488"/>
      <c r="Z180" s="488"/>
      <c r="AA180" s="488"/>
      <c r="AB180" s="639">
        <v>183</v>
      </c>
      <c r="AC180" s="488"/>
      <c r="AD180" s="488"/>
      <c r="AE180" s="488"/>
      <c r="AF180" s="639">
        <v>212.751</v>
      </c>
      <c r="AG180" s="488"/>
      <c r="AH180" s="488"/>
      <c r="AI180" s="698"/>
      <c r="AJ180" s="639">
        <v>226.3</v>
      </c>
      <c r="AK180" s="697"/>
      <c r="AL180" s="697"/>
      <c r="AM180" s="698"/>
      <c r="AN180" s="639">
        <v>228.8</v>
      </c>
      <c r="AO180" s="697"/>
      <c r="AP180" s="697"/>
      <c r="AQ180" s="698"/>
      <c r="AR180" s="639">
        <v>439.8</v>
      </c>
      <c r="AS180" s="697"/>
      <c r="AT180" s="697"/>
      <c r="AU180" s="698"/>
      <c r="AV180" s="639">
        <v>402.2</v>
      </c>
      <c r="AW180" s="697"/>
      <c r="AX180" s="697"/>
      <c r="AY180" s="698"/>
      <c r="AZ180" s="639">
        <v>389.2</v>
      </c>
      <c r="BA180" s="697"/>
      <c r="BB180" s="697"/>
      <c r="BC180" s="698"/>
      <c r="BD180" s="639">
        <v>391.8</v>
      </c>
      <c r="BE180" s="697"/>
      <c r="BF180" s="697"/>
      <c r="BG180" s="698"/>
      <c r="BH180" s="639">
        <v>371.4</v>
      </c>
      <c r="BI180" s="697"/>
      <c r="BJ180" s="697"/>
      <c r="BK180" s="698"/>
      <c r="BL180" s="639">
        <v>348.8</v>
      </c>
      <c r="BM180" s="697"/>
      <c r="BN180" s="697"/>
      <c r="BO180" s="698"/>
      <c r="BP180" s="639">
        <v>486.9</v>
      </c>
      <c r="BQ180" s="697"/>
      <c r="BR180" s="697"/>
      <c r="BS180" s="698"/>
      <c r="BT180" s="639">
        <v>549.9</v>
      </c>
      <c r="BU180" s="697"/>
      <c r="BV180" s="697"/>
      <c r="BW180" s="698"/>
      <c r="BX180" s="639">
        <v>438.1</v>
      </c>
      <c r="BY180" s="697"/>
      <c r="BZ180" s="697"/>
      <c r="CA180" s="698"/>
      <c r="CB180" s="639">
        <v>421.3</v>
      </c>
      <c r="CC180" s="697"/>
      <c r="CD180" s="697"/>
      <c r="CE180" s="698"/>
      <c r="CF180" s="639">
        <v>421.8</v>
      </c>
      <c r="CG180" s="697"/>
      <c r="CH180" s="697"/>
      <c r="CI180" s="698"/>
      <c r="CJ180" s="1011">
        <v>427.6</v>
      </c>
      <c r="CK180" s="697"/>
      <c r="CL180" s="697"/>
      <c r="CM180" s="698"/>
      <c r="CN180" s="1011">
        <v>431.8</v>
      </c>
      <c r="CO180" s="667"/>
      <c r="CP180" s="667"/>
      <c r="CQ180" s="390"/>
      <c r="CR180" s="1011">
        <v>407.9</v>
      </c>
      <c r="CS180" s="385"/>
      <c r="CU180" s="390"/>
      <c r="CV180" s="1011">
        <v>380.2</v>
      </c>
      <c r="CW180" s="385"/>
      <c r="CY180" s="390"/>
      <c r="CZ180" s="1011">
        <v>357.7</v>
      </c>
      <c r="DA180" s="385"/>
      <c r="DD180" s="1011">
        <v>329.7</v>
      </c>
      <c r="DE180" s="385"/>
      <c r="DH180" s="1011">
        <v>310.60000000000002</v>
      </c>
      <c r="DI180" s="385"/>
      <c r="DL180" s="1011">
        <v>306.5</v>
      </c>
      <c r="DM180" s="385"/>
      <c r="DP180" s="1438">
        <f>DP179+0.25</f>
        <v>308.14999999999998</v>
      </c>
      <c r="DQ180" s="1092"/>
    </row>
    <row r="181" spans="1:139" x14ac:dyDescent="0.2">
      <c r="A181" s="604" t="s">
        <v>82</v>
      </c>
      <c r="C181" s="390"/>
      <c r="D181" s="641">
        <v>80</v>
      </c>
      <c r="E181" s="697"/>
      <c r="F181" s="697"/>
      <c r="G181" s="698"/>
      <c r="H181" s="641">
        <v>79.97</v>
      </c>
      <c r="I181" s="697"/>
      <c r="J181" s="697"/>
      <c r="K181" s="698"/>
      <c r="L181" s="641">
        <v>126.02800000000001</v>
      </c>
      <c r="M181" s="488"/>
      <c r="N181" s="488"/>
      <c r="O181" s="488"/>
      <c r="P181" s="641">
        <v>126.33799999999999</v>
      </c>
      <c r="Q181" s="488"/>
      <c r="R181" s="488"/>
      <c r="S181" s="488"/>
      <c r="T181" s="641">
        <v>126.74</v>
      </c>
      <c r="U181" s="488"/>
      <c r="V181" s="488"/>
      <c r="W181" s="488"/>
      <c r="X181" s="641">
        <v>182.2</v>
      </c>
      <c r="Y181" s="488"/>
      <c r="Z181" s="488"/>
      <c r="AA181" s="488"/>
      <c r="AB181" s="641">
        <v>183.238</v>
      </c>
      <c r="AC181" s="488"/>
      <c r="AD181" s="488"/>
      <c r="AE181" s="488"/>
      <c r="AF181" s="641">
        <v>223.2</v>
      </c>
      <c r="AG181" s="488"/>
      <c r="AH181" s="488"/>
      <c r="AI181" s="698"/>
      <c r="AJ181" s="641">
        <v>229.68</v>
      </c>
      <c r="AK181" s="697"/>
      <c r="AL181" s="697"/>
      <c r="AM181" s="698"/>
      <c r="AN181" s="641">
        <v>217.1</v>
      </c>
      <c r="AO181" s="697"/>
      <c r="AP181" s="697"/>
      <c r="AQ181" s="698"/>
      <c r="AR181" s="641">
        <v>439.8</v>
      </c>
      <c r="AS181" s="697"/>
      <c r="AT181" s="697"/>
      <c r="AU181" s="698"/>
      <c r="AV181" s="641">
        <v>403.2</v>
      </c>
      <c r="AW181" s="697"/>
      <c r="AX181" s="697"/>
      <c r="AY181" s="698"/>
      <c r="AZ181" s="641">
        <v>400.2</v>
      </c>
      <c r="BA181" s="697"/>
      <c r="BB181" s="697"/>
      <c r="BC181" s="698"/>
      <c r="BD181" s="641">
        <v>383</v>
      </c>
      <c r="BE181" s="697"/>
      <c r="BF181" s="697"/>
      <c r="BG181" s="698"/>
      <c r="BH181" s="641">
        <v>367.8</v>
      </c>
      <c r="BI181" s="697"/>
      <c r="BJ181" s="697"/>
      <c r="BK181" s="698"/>
      <c r="BL181" s="641">
        <v>344.8</v>
      </c>
      <c r="BM181" s="697"/>
      <c r="BN181" s="697"/>
      <c r="BO181" s="698"/>
      <c r="BP181" s="641">
        <v>554.20000000000005</v>
      </c>
      <c r="BQ181" s="697"/>
      <c r="BR181" s="697"/>
      <c r="BS181" s="698"/>
      <c r="BT181" s="641">
        <v>523.70000000000005</v>
      </c>
      <c r="BU181" s="697"/>
      <c r="BV181" s="697"/>
      <c r="BW181" s="698"/>
      <c r="BX181" s="641">
        <v>434.7</v>
      </c>
      <c r="BY181" s="697"/>
      <c r="BZ181" s="697"/>
      <c r="CA181" s="698"/>
      <c r="CB181" s="641">
        <v>421.4</v>
      </c>
      <c r="CC181" s="697"/>
      <c r="CD181" s="697"/>
      <c r="CE181" s="698"/>
      <c r="CF181" s="641">
        <v>424.1</v>
      </c>
      <c r="CG181" s="697"/>
      <c r="CH181" s="697"/>
      <c r="CI181" s="698"/>
      <c r="CJ181" s="1012">
        <v>429</v>
      </c>
      <c r="CK181" s="697"/>
      <c r="CL181" s="697"/>
      <c r="CM181" s="698"/>
      <c r="CN181" s="1012">
        <v>427.3</v>
      </c>
      <c r="CO181" s="667"/>
      <c r="CP181" s="667"/>
      <c r="CQ181" s="390"/>
      <c r="CR181" s="1012">
        <v>399.4</v>
      </c>
      <c r="CU181" s="390"/>
      <c r="CV181" s="1012">
        <v>375.1</v>
      </c>
      <c r="CY181" s="390"/>
      <c r="CZ181" s="1012">
        <v>350.9</v>
      </c>
      <c r="DC181" s="395"/>
      <c r="DD181" s="1012">
        <v>314.8</v>
      </c>
      <c r="DG181" s="395"/>
      <c r="DH181" s="1012">
        <v>307.8</v>
      </c>
      <c r="DL181" s="1012">
        <v>307.39999999999998</v>
      </c>
      <c r="DP181" s="1439">
        <f>DP180+0.25</f>
        <v>308.39999999999998</v>
      </c>
      <c r="DS181" s="395"/>
      <c r="DT181" s="395"/>
      <c r="DU181" s="395"/>
      <c r="DV181" s="395"/>
      <c r="DW181" s="395"/>
      <c r="DX181" s="395"/>
    </row>
    <row r="182" spans="1:139" x14ac:dyDescent="0.2">
      <c r="A182" s="604" t="s">
        <v>83</v>
      </c>
      <c r="D182" s="700">
        <v>80</v>
      </c>
      <c r="E182" s="701"/>
      <c r="F182" s="702"/>
      <c r="G182" s="488"/>
      <c r="H182" s="700">
        <v>79.97</v>
      </c>
      <c r="I182" s="701"/>
      <c r="J182" s="702"/>
      <c r="K182" s="488"/>
      <c r="L182" s="700">
        <v>111.35</v>
      </c>
      <c r="M182" s="488"/>
      <c r="N182" s="488"/>
      <c r="O182" s="488"/>
      <c r="P182" s="700">
        <v>126.29300000000001</v>
      </c>
      <c r="Q182" s="488"/>
      <c r="R182" s="488"/>
      <c r="S182" s="488"/>
      <c r="T182" s="700">
        <v>126.593</v>
      </c>
      <c r="U182" s="488"/>
      <c r="V182" s="488"/>
      <c r="W182" s="488"/>
      <c r="X182" s="700">
        <v>182.2</v>
      </c>
      <c r="Y182" s="488"/>
      <c r="Z182" s="488"/>
      <c r="AA182" s="488"/>
      <c r="AB182" s="700">
        <v>182.952</v>
      </c>
      <c r="AC182" s="488"/>
      <c r="AD182" s="488"/>
      <c r="AE182" s="488"/>
      <c r="AF182" s="700">
        <v>444.8</v>
      </c>
      <c r="AG182" s="488"/>
      <c r="AH182" s="488"/>
      <c r="AI182" s="488"/>
      <c r="AJ182" s="700">
        <v>454.26799999999997</v>
      </c>
      <c r="AK182" s="703"/>
      <c r="AL182" s="704"/>
      <c r="AM182" s="488"/>
      <c r="AN182" s="700">
        <v>451.8</v>
      </c>
      <c r="AO182" s="703"/>
      <c r="AP182" s="704"/>
      <c r="AQ182" s="488"/>
      <c r="AR182" s="700">
        <v>439.2</v>
      </c>
      <c r="AS182" s="703"/>
      <c r="AT182" s="704"/>
      <c r="AU182" s="488"/>
      <c r="AV182" s="700">
        <v>413.75</v>
      </c>
      <c r="AW182" s="703"/>
      <c r="AX182" s="704"/>
      <c r="AY182" s="488"/>
      <c r="AZ182" s="700">
        <v>399.2</v>
      </c>
      <c r="BA182" s="703"/>
      <c r="BB182" s="704"/>
      <c r="BC182" s="488"/>
      <c r="BD182" s="700">
        <v>397.45</v>
      </c>
      <c r="BE182" s="703"/>
      <c r="BF182" s="704"/>
      <c r="BG182" s="488"/>
      <c r="BH182" s="700">
        <v>373.2</v>
      </c>
      <c r="BI182" s="703"/>
      <c r="BJ182" s="704"/>
      <c r="BK182" s="488"/>
      <c r="BL182" s="700">
        <v>356.4</v>
      </c>
      <c r="BM182" s="703"/>
      <c r="BN182" s="705"/>
      <c r="BO182" s="488"/>
      <c r="BP182" s="700">
        <v>434.6</v>
      </c>
      <c r="BQ182" s="703"/>
      <c r="BR182" s="705"/>
      <c r="BS182" s="488"/>
      <c r="BT182" s="700">
        <v>547.70000000000005</v>
      </c>
      <c r="BU182" s="703"/>
      <c r="BV182" s="704"/>
      <c r="BW182" s="488"/>
      <c r="BX182" s="700">
        <v>451.75</v>
      </c>
      <c r="BY182" s="703"/>
      <c r="BZ182" s="704"/>
      <c r="CA182" s="488"/>
      <c r="CB182" s="700">
        <v>421.42500000000001</v>
      </c>
      <c r="CC182" s="703"/>
      <c r="CD182" s="704"/>
      <c r="CE182" s="488"/>
      <c r="CF182" s="700">
        <v>422.35</v>
      </c>
      <c r="CG182" s="703"/>
      <c r="CH182" s="704"/>
      <c r="CI182" s="488"/>
      <c r="CJ182" s="1013">
        <v>429.1</v>
      </c>
      <c r="CK182" s="703"/>
      <c r="CL182" s="704"/>
      <c r="CM182" s="488"/>
      <c r="CN182" s="1013">
        <v>430.4</v>
      </c>
      <c r="CO182" s="706"/>
      <c r="CP182" s="707"/>
      <c r="CR182" s="1013">
        <v>412.2</v>
      </c>
      <c r="CV182" s="1013">
        <v>384.8</v>
      </c>
      <c r="CZ182" s="1013">
        <f>AVERAGE(CZ178:CZ181)</f>
        <v>361.65</v>
      </c>
      <c r="DD182" s="1013">
        <v>333</v>
      </c>
      <c r="DH182" s="1013">
        <v>310.8</v>
      </c>
      <c r="DL182" s="1013">
        <f>306.8+0.3</f>
        <v>307.10000000000002</v>
      </c>
      <c r="DP182" s="1191">
        <f>AVERAGE(DP178:DP181)</f>
        <v>308.02499999999998</v>
      </c>
    </row>
    <row r="183" spans="1:139" x14ac:dyDescent="0.2">
      <c r="A183" s="604"/>
      <c r="D183" s="708"/>
      <c r="E183" s="701"/>
      <c r="F183" s="702"/>
      <c r="G183" s="488"/>
      <c r="H183" s="708"/>
      <c r="I183" s="701"/>
      <c r="J183" s="702"/>
      <c r="K183" s="488"/>
      <c r="L183" s="708"/>
      <c r="M183" s="701"/>
      <c r="N183" s="702"/>
      <c r="O183" s="488"/>
      <c r="P183" s="708"/>
      <c r="Q183" s="701"/>
      <c r="R183" s="702"/>
      <c r="S183" s="488"/>
      <c r="T183" s="708"/>
      <c r="U183" s="701"/>
      <c r="V183" s="702"/>
      <c r="W183" s="488"/>
      <c r="X183" s="708"/>
      <c r="Y183" s="701"/>
      <c r="Z183" s="702"/>
      <c r="AA183" s="488"/>
      <c r="AB183" s="708"/>
      <c r="AC183" s="701"/>
      <c r="AD183" s="702"/>
      <c r="AE183" s="488"/>
      <c r="AF183" s="708"/>
      <c r="AG183" s="701"/>
      <c r="AH183" s="702"/>
      <c r="AI183" s="488"/>
      <c r="AJ183" s="639"/>
      <c r="AK183" s="703"/>
      <c r="AL183" s="704"/>
      <c r="AM183" s="488"/>
      <c r="AN183" s="639"/>
      <c r="AO183" s="703"/>
      <c r="AP183" s="704"/>
      <c r="AQ183" s="488"/>
      <c r="AR183" s="639"/>
      <c r="AS183" s="703"/>
      <c r="AT183" s="704"/>
      <c r="AU183" s="488"/>
      <c r="AV183" s="639"/>
      <c r="AW183" s="703"/>
      <c r="AX183" s="704"/>
      <c r="AY183" s="488"/>
      <c r="AZ183" s="639"/>
      <c r="BA183" s="703"/>
      <c r="BB183" s="704"/>
      <c r="BC183" s="488"/>
      <c r="BD183" s="639"/>
      <c r="BE183" s="703"/>
      <c r="BF183" s="704"/>
      <c r="BG183" s="488"/>
      <c r="BH183" s="639"/>
      <c r="BI183" s="703"/>
      <c r="BJ183" s="704"/>
      <c r="BK183" s="488"/>
      <c r="BL183" s="639"/>
      <c r="BM183" s="703"/>
      <c r="BN183" s="705"/>
      <c r="BO183" s="488"/>
      <c r="BP183" s="639"/>
      <c r="BQ183" s="703"/>
      <c r="BR183" s="705"/>
      <c r="BS183" s="488"/>
      <c r="BT183" s="639"/>
      <c r="BU183" s="703"/>
      <c r="BV183" s="704"/>
      <c r="BW183" s="488"/>
      <c r="BX183" s="639"/>
      <c r="BY183" s="703"/>
      <c r="BZ183" s="704"/>
      <c r="CA183" s="488"/>
      <c r="CB183" s="639"/>
      <c r="CC183" s="703"/>
      <c r="CD183" s="704"/>
      <c r="CE183" s="488"/>
      <c r="CF183" s="639"/>
      <c r="CG183" s="703"/>
      <c r="CH183" s="704"/>
      <c r="CI183" s="488"/>
      <c r="CJ183" s="639"/>
      <c r="CK183" s="703"/>
      <c r="CL183" s="704"/>
      <c r="CM183" s="488"/>
      <c r="CN183" s="645"/>
      <c r="CO183" s="706"/>
      <c r="CP183" s="707"/>
      <c r="CR183" s="640"/>
      <c r="CS183" s="706"/>
      <c r="CT183" s="707"/>
      <c r="CV183" s="640"/>
      <c r="CW183" s="706"/>
      <c r="CX183" s="707"/>
      <c r="CZ183" s="640"/>
      <c r="DA183" s="706"/>
      <c r="DB183" s="707"/>
      <c r="DD183" s="709"/>
      <c r="DE183" s="706"/>
      <c r="DF183" s="707"/>
      <c r="DH183" s="640"/>
      <c r="DI183" s="706"/>
      <c r="DJ183" s="707"/>
      <c r="DK183" s="707"/>
      <c r="DL183" s="640"/>
      <c r="DM183" s="706"/>
      <c r="DN183" s="707"/>
      <c r="DO183" s="707"/>
      <c r="DP183" s="1133"/>
      <c r="DQ183" s="1192"/>
      <c r="DR183" s="1193"/>
    </row>
    <row r="184" spans="1:139" x14ac:dyDescent="0.2">
      <c r="A184" s="604"/>
      <c r="D184" s="708"/>
      <c r="E184" s="701"/>
      <c r="F184" s="702"/>
      <c r="G184" s="488"/>
      <c r="H184" s="708"/>
      <c r="I184" s="701"/>
      <c r="J184" s="702"/>
      <c r="K184" s="488"/>
      <c r="L184" s="708"/>
      <c r="M184" s="701"/>
      <c r="N184" s="702"/>
      <c r="O184" s="488"/>
      <c r="P184" s="708"/>
      <c r="Q184" s="701"/>
      <c r="R184" s="702"/>
      <c r="S184" s="488"/>
      <c r="T184" s="708"/>
      <c r="U184" s="701"/>
      <c r="V184" s="702"/>
      <c r="W184" s="488"/>
      <c r="X184" s="708"/>
      <c r="Y184" s="701"/>
      <c r="Z184" s="702"/>
      <c r="AA184" s="488"/>
      <c r="AB184" s="708"/>
      <c r="AC184" s="701"/>
      <c r="AD184" s="702"/>
      <c r="AE184" s="488"/>
      <c r="AF184" s="708"/>
      <c r="AG184" s="701"/>
      <c r="AH184" s="702"/>
      <c r="AI184" s="488"/>
      <c r="AJ184" s="639"/>
      <c r="AK184" s="703"/>
      <c r="AL184" s="704"/>
      <c r="AM184" s="488"/>
      <c r="AN184" s="639"/>
      <c r="AO184" s="703"/>
      <c r="AP184" s="704"/>
      <c r="AQ184" s="488"/>
      <c r="AR184" s="639"/>
      <c r="AS184" s="703"/>
      <c r="AT184" s="704"/>
      <c r="AU184" s="488"/>
      <c r="AV184" s="639"/>
      <c r="AW184" s="703"/>
      <c r="AX184" s="704"/>
      <c r="AY184" s="488"/>
      <c r="AZ184" s="639"/>
      <c r="BA184" s="703"/>
      <c r="BB184" s="704"/>
      <c r="BC184" s="488"/>
      <c r="BD184" s="639"/>
      <c r="BE184" s="703"/>
      <c r="BF184" s="704"/>
      <c r="BG184" s="488"/>
      <c r="BH184" s="639"/>
      <c r="BI184" s="703"/>
      <c r="BJ184" s="704"/>
      <c r="BK184" s="488"/>
      <c r="BL184" s="639"/>
      <c r="BM184" s="703"/>
      <c r="BN184" s="705"/>
      <c r="BO184" s="488"/>
      <c r="BP184" s="639"/>
      <c r="BQ184" s="703"/>
      <c r="BR184" s="705"/>
      <c r="BS184" s="488"/>
      <c r="BT184" s="639"/>
      <c r="BU184" s="703"/>
      <c r="BV184" s="704"/>
      <c r="BW184" s="488"/>
      <c r="BX184" s="639"/>
      <c r="BY184" s="703"/>
      <c r="BZ184" s="704"/>
      <c r="CA184" s="488"/>
      <c r="CB184" s="639"/>
      <c r="CC184" s="703"/>
      <c r="CD184" s="704"/>
      <c r="CE184" s="488"/>
      <c r="CF184" s="639"/>
      <c r="CG184" s="703"/>
      <c r="CH184" s="704"/>
      <c r="CI184" s="488"/>
      <c r="CJ184" s="639"/>
      <c r="CK184" s="703"/>
      <c r="CL184" s="704"/>
      <c r="CM184" s="488"/>
      <c r="CN184" s="639"/>
      <c r="CO184" s="706"/>
      <c r="CP184" s="707"/>
      <c r="CR184" s="640"/>
      <c r="CS184" s="706"/>
      <c r="CT184" s="707"/>
      <c r="CV184" s="640"/>
      <c r="CW184" s="706"/>
      <c r="CX184" s="707"/>
      <c r="CZ184" s="640"/>
      <c r="DA184" s="706"/>
      <c r="DB184" s="707"/>
      <c r="DD184" s="640"/>
      <c r="DE184" s="706"/>
      <c r="DF184" s="707"/>
      <c r="DH184" s="640"/>
      <c r="DI184" s="706"/>
      <c r="DJ184" s="707"/>
      <c r="DK184" s="707"/>
      <c r="DL184" s="640"/>
      <c r="DM184" s="706"/>
      <c r="DN184" s="707"/>
      <c r="DO184" s="707"/>
      <c r="DP184" s="1133"/>
      <c r="DQ184" s="1192"/>
      <c r="DR184" s="1193"/>
    </row>
    <row r="185" spans="1:139" outlineLevel="1" x14ac:dyDescent="0.2">
      <c r="D185" s="352"/>
      <c r="E185" s="710"/>
      <c r="F185" s="710"/>
      <c r="G185" s="488"/>
      <c r="H185" s="352"/>
      <c r="I185" s="710"/>
      <c r="J185" s="710"/>
      <c r="K185" s="488"/>
      <c r="L185" s="352"/>
      <c r="M185" s="710"/>
      <c r="N185" s="710"/>
      <c r="O185" s="488"/>
      <c r="P185" s="352"/>
      <c r="Q185" s="710"/>
      <c r="R185" s="710"/>
      <c r="S185" s="488"/>
      <c r="T185" s="352"/>
      <c r="U185" s="710"/>
      <c r="V185" s="710"/>
      <c r="W185" s="488"/>
      <c r="X185" s="352"/>
      <c r="Y185" s="710"/>
      <c r="Z185" s="710"/>
      <c r="AA185" s="488"/>
      <c r="AB185" s="352"/>
      <c r="AC185" s="710"/>
      <c r="AD185" s="710"/>
      <c r="AE185" s="488"/>
      <c r="AF185" s="352"/>
      <c r="AG185" s="710"/>
      <c r="AH185" s="710"/>
      <c r="AI185" s="488"/>
      <c r="AJ185" s="468"/>
      <c r="AK185" s="488"/>
      <c r="AL185" s="488"/>
      <c r="AM185" s="488"/>
      <c r="AN185" s="468"/>
      <c r="AO185" s="488"/>
      <c r="AP185" s="488"/>
      <c r="AQ185" s="488"/>
      <c r="AR185" s="468"/>
      <c r="AS185" s="488"/>
      <c r="AT185" s="488"/>
      <c r="AU185" s="488"/>
      <c r="AV185" s="468"/>
      <c r="AW185" s="488"/>
      <c r="AX185" s="488"/>
      <c r="AY185" s="488"/>
      <c r="AZ185" s="468"/>
      <c r="BA185" s="488"/>
      <c r="BB185" s="488"/>
      <c r="BC185" s="488"/>
      <c r="BD185" s="468"/>
      <c r="BE185" s="488"/>
      <c r="BF185" s="488"/>
      <c r="BG185" s="488"/>
      <c r="BH185" s="468"/>
      <c r="BI185" s="488"/>
      <c r="BJ185" s="488"/>
      <c r="BK185" s="488"/>
      <c r="BL185" s="468"/>
      <c r="BM185" s="488"/>
      <c r="BN185" s="488"/>
      <c r="BO185" s="488"/>
      <c r="BP185" s="468"/>
      <c r="BQ185" s="488"/>
      <c r="BR185" s="488"/>
      <c r="BS185" s="488"/>
      <c r="BT185" s="468"/>
      <c r="BU185" s="488"/>
      <c r="BV185" s="488"/>
      <c r="BW185" s="488"/>
      <c r="BX185" s="468"/>
      <c r="BY185" s="488"/>
      <c r="BZ185" s="488"/>
      <c r="CA185" s="488"/>
      <c r="CB185" s="468"/>
      <c r="CC185" s="488"/>
      <c r="CD185" s="488"/>
      <c r="CE185" s="488"/>
      <c r="CF185" s="468"/>
      <c r="CG185" s="488"/>
      <c r="CH185" s="488"/>
      <c r="CI185" s="488"/>
      <c r="CJ185" s="468"/>
      <c r="CK185" s="488"/>
      <c r="CL185" s="488"/>
      <c r="CM185" s="488"/>
      <c r="CN185" s="468"/>
    </row>
    <row r="186" spans="1:139" s="627" customFormat="1" outlineLevel="1" x14ac:dyDescent="0.2">
      <c r="D186" s="628"/>
      <c r="E186" s="520"/>
      <c r="F186" s="520"/>
      <c r="H186" s="628"/>
      <c r="I186" s="520"/>
      <c r="J186" s="520"/>
      <c r="L186" s="628"/>
      <c r="M186" s="520"/>
      <c r="N186" s="520"/>
      <c r="P186" s="628"/>
      <c r="Q186" s="520"/>
      <c r="R186" s="520"/>
      <c r="T186" s="628"/>
      <c r="U186" s="520"/>
      <c r="V186" s="520"/>
      <c r="X186" s="628"/>
      <c r="Y186" s="520"/>
      <c r="Z186" s="520"/>
      <c r="AB186" s="628"/>
      <c r="AC186" s="520"/>
      <c r="AD186" s="520"/>
      <c r="AF186" s="628"/>
      <c r="AG186" s="520"/>
      <c r="AH186" s="520"/>
      <c r="AJ186" s="629"/>
      <c r="AN186" s="629"/>
      <c r="AR186" s="629"/>
      <c r="AV186" s="629"/>
      <c r="AZ186" s="629"/>
      <c r="BD186" s="629"/>
      <c r="BH186" s="629"/>
      <c r="BL186" s="629"/>
      <c r="BP186" s="629"/>
      <c r="BT186" s="629"/>
      <c r="BX186" s="629"/>
      <c r="CB186" s="629"/>
      <c r="CF186" s="629"/>
      <c r="CG186" s="693"/>
      <c r="CJ186" s="629"/>
      <c r="CN186" s="1510" t="s">
        <v>327</v>
      </c>
      <c r="CO186" s="1510"/>
      <c r="CP186" s="1510"/>
      <c r="CQ186" s="1510"/>
      <c r="CR186" s="1510"/>
      <c r="CS186" s="1510"/>
      <c r="CT186" s="1510"/>
      <c r="CU186" s="1510"/>
      <c r="CV186" s="1510"/>
      <c r="CW186" s="1510"/>
      <c r="CZ186" s="663" t="s">
        <v>327</v>
      </c>
      <c r="DA186" s="663"/>
      <c r="DB186" s="663"/>
      <c r="DC186" s="663"/>
      <c r="DD186" s="663"/>
      <c r="DE186" s="663"/>
      <c r="DF186" s="663"/>
      <c r="DG186" s="663"/>
      <c r="DH186" s="663"/>
      <c r="DL186" s="663"/>
      <c r="DP186" s="1169"/>
      <c r="DQ186" s="1151"/>
      <c r="DR186" s="1151"/>
      <c r="EI186" s="600"/>
    </row>
    <row r="187" spans="1:139" outlineLevel="2" x14ac:dyDescent="0.2">
      <c r="D187" s="352"/>
      <c r="E187" s="710"/>
      <c r="F187" s="710"/>
      <c r="G187" s="488"/>
      <c r="H187" s="352"/>
      <c r="I187" s="710"/>
      <c r="J187" s="710"/>
      <c r="K187" s="488"/>
      <c r="L187" s="352"/>
      <c r="M187" s="710"/>
      <c r="N187" s="710"/>
      <c r="O187" s="488"/>
      <c r="P187" s="352"/>
      <c r="Q187" s="710"/>
      <c r="R187" s="710"/>
      <c r="S187" s="488"/>
      <c r="T187" s="352"/>
      <c r="U187" s="710"/>
      <c r="V187" s="710"/>
      <c r="W187" s="488"/>
      <c r="X187" s="352"/>
      <c r="Y187" s="710"/>
      <c r="Z187" s="710"/>
      <c r="AA187" s="488"/>
      <c r="AB187" s="352"/>
      <c r="AC187" s="710"/>
      <c r="AD187" s="710"/>
      <c r="AE187" s="488"/>
      <c r="AF187" s="352"/>
      <c r="AG187" s="710"/>
      <c r="AH187" s="710"/>
      <c r="AI187" s="488"/>
      <c r="AJ187" s="468"/>
      <c r="AK187" s="488"/>
      <c r="AL187" s="488"/>
      <c r="AM187" s="488"/>
      <c r="AN187" s="468"/>
      <c r="AO187" s="488"/>
      <c r="AP187" s="488"/>
      <c r="AQ187" s="488"/>
      <c r="AR187" s="468"/>
      <c r="AS187" s="488"/>
      <c r="AT187" s="488"/>
      <c r="AU187" s="488"/>
      <c r="AV187" s="468"/>
      <c r="AW187" s="488"/>
      <c r="AX187" s="488"/>
      <c r="AY187" s="488"/>
      <c r="AZ187" s="468"/>
      <c r="BA187" s="488"/>
      <c r="BB187" s="488"/>
      <c r="BC187" s="488"/>
      <c r="BD187" s="468"/>
      <c r="BE187" s="488"/>
      <c r="BF187" s="488"/>
      <c r="BG187" s="488"/>
      <c r="BH187" s="468"/>
      <c r="BI187" s="488"/>
      <c r="BJ187" s="488"/>
      <c r="BK187" s="488"/>
      <c r="BL187" s="468"/>
      <c r="BM187" s="488"/>
      <c r="BN187" s="488"/>
      <c r="BO187" s="488"/>
      <c r="BP187" s="468"/>
      <c r="BQ187" s="488"/>
      <c r="BR187" s="488"/>
      <c r="BS187" s="488"/>
      <c r="BT187" s="468"/>
      <c r="BU187" s="488"/>
      <c r="BV187" s="488"/>
      <c r="BW187" s="488"/>
      <c r="BX187" s="468"/>
      <c r="BY187" s="488"/>
      <c r="BZ187" s="488"/>
      <c r="CA187" s="488"/>
      <c r="CB187" s="468"/>
      <c r="CC187" s="488"/>
      <c r="CD187" s="488"/>
      <c r="CE187" s="488"/>
      <c r="CF187" s="468"/>
      <c r="CG187" s="488"/>
      <c r="CH187" s="488"/>
      <c r="CI187" s="488"/>
      <c r="CJ187" s="468"/>
      <c r="CK187" s="488"/>
      <c r="CL187" s="488"/>
      <c r="CM187" s="488"/>
      <c r="CN187" s="468"/>
      <c r="CS187" s="711"/>
      <c r="CT187" s="711"/>
      <c r="CW187" s="711"/>
      <c r="CX187" s="711"/>
      <c r="DA187" s="711"/>
      <c r="DB187" s="711"/>
      <c r="DE187" s="711"/>
      <c r="DF187" s="711"/>
      <c r="DI187" s="711"/>
      <c r="DJ187" s="711"/>
      <c r="DK187" s="711"/>
      <c r="DM187" s="711"/>
      <c r="DN187" s="711"/>
      <c r="DO187" s="711"/>
      <c r="DQ187" s="1194"/>
      <c r="DR187" s="1194"/>
    </row>
    <row r="188" spans="1:139" outlineLevel="2" x14ac:dyDescent="0.2">
      <c r="A188" s="694" t="s">
        <v>79</v>
      </c>
      <c r="B188" s="385"/>
      <c r="C188" s="640"/>
      <c r="D188" s="639">
        <v>80</v>
      </c>
      <c r="E188" s="695"/>
      <c r="F188" s="695"/>
      <c r="G188" s="639"/>
      <c r="H188" s="639">
        <v>79.97</v>
      </c>
      <c r="I188" s="695"/>
      <c r="J188" s="695"/>
      <c r="K188" s="639"/>
      <c r="L188" s="639">
        <v>79.97</v>
      </c>
      <c r="M188" s="488"/>
      <c r="N188" s="488"/>
      <c r="O188" s="488"/>
      <c r="P188" s="639">
        <v>126.209</v>
      </c>
      <c r="Q188" s="488"/>
      <c r="R188" s="488"/>
      <c r="S188" s="488"/>
      <c r="T188" s="639">
        <v>126.464</v>
      </c>
      <c r="U188" s="488"/>
      <c r="V188" s="488"/>
      <c r="W188" s="488"/>
      <c r="X188" s="639">
        <v>182.2</v>
      </c>
      <c r="Y188" s="488"/>
      <c r="Z188" s="488"/>
      <c r="AA188" s="488"/>
      <c r="AB188" s="639">
        <v>182.68199999999999</v>
      </c>
      <c r="AC188" s="488"/>
      <c r="AD188" s="488"/>
      <c r="AE188" s="488"/>
      <c r="AF188" s="639">
        <v>206.71</v>
      </c>
      <c r="AG188" s="488"/>
      <c r="AH188" s="488"/>
      <c r="AI188" s="639"/>
      <c r="AJ188" s="639">
        <v>208.5</v>
      </c>
      <c r="AK188" s="708"/>
      <c r="AL188" s="708"/>
      <c r="AM188" s="708"/>
      <c r="AN188" s="639">
        <v>210.7</v>
      </c>
      <c r="AO188" s="708"/>
      <c r="AP188" s="488"/>
      <c r="AQ188" s="639"/>
      <c r="AR188" s="639">
        <v>418</v>
      </c>
      <c r="AS188" s="708"/>
      <c r="AT188" s="708"/>
      <c r="AU188" s="708"/>
      <c r="AV188" s="639">
        <v>425.6</v>
      </c>
      <c r="AW188" s="488"/>
      <c r="AX188" s="488"/>
      <c r="AY188" s="488"/>
      <c r="AZ188" s="639">
        <v>396</v>
      </c>
      <c r="BA188" s="708"/>
      <c r="BB188" s="708"/>
      <c r="BC188" s="708"/>
      <c r="BD188" s="639">
        <v>403.2</v>
      </c>
      <c r="BE188" s="708"/>
      <c r="BF188" s="708"/>
      <c r="BG188" s="708"/>
      <c r="BH188" s="639">
        <v>378.4</v>
      </c>
      <c r="BI188" s="708"/>
      <c r="BJ188" s="708"/>
      <c r="BK188" s="708"/>
      <c r="BL188" s="639">
        <v>361</v>
      </c>
      <c r="BM188" s="488"/>
      <c r="BN188" s="488"/>
      <c r="BO188" s="488"/>
      <c r="BP188" s="639">
        <v>337.6</v>
      </c>
      <c r="BQ188" s="708"/>
      <c r="BR188" s="708"/>
      <c r="BS188" s="708"/>
      <c r="BT188" s="639">
        <v>550.20000000000005</v>
      </c>
      <c r="BU188" s="488"/>
      <c r="BV188" s="488"/>
      <c r="BW188" s="488"/>
      <c r="BX188" s="639">
        <v>468.2</v>
      </c>
      <c r="BY188" s="708"/>
      <c r="BZ188" s="710"/>
      <c r="CA188" s="708"/>
      <c r="CB188" s="639">
        <v>420.9</v>
      </c>
      <c r="CC188" s="695"/>
      <c r="CD188" s="488"/>
      <c r="CE188" s="639"/>
      <c r="CF188" s="639">
        <v>421.4</v>
      </c>
      <c r="CG188" s="695"/>
      <c r="CH188" s="488"/>
      <c r="CI188" s="639"/>
      <c r="CJ188" s="1011">
        <v>422.6</v>
      </c>
      <c r="CK188" s="695"/>
      <c r="CL188" s="488"/>
      <c r="CM188" s="639"/>
      <c r="CN188" s="1011">
        <v>425.1</v>
      </c>
      <c r="CO188" s="696"/>
      <c r="CP188" s="712"/>
      <c r="CQ188" s="640"/>
      <c r="CR188" s="1011">
        <v>417.1</v>
      </c>
      <c r="CS188" s="713"/>
      <c r="CT188" s="714"/>
      <c r="CU188" s="640"/>
      <c r="CV188" s="1011">
        <v>388.2</v>
      </c>
      <c r="CW188" s="713"/>
      <c r="CX188" s="714"/>
      <c r="CY188" s="715"/>
      <c r="CZ188" s="1011">
        <v>365.9</v>
      </c>
      <c r="DA188" s="713"/>
      <c r="DB188" s="714"/>
      <c r="DD188" s="1011">
        <v>340.7</v>
      </c>
      <c r="DE188" s="713"/>
      <c r="DF188" s="714"/>
      <c r="DH188" s="1011">
        <v>310.60000000000002</v>
      </c>
      <c r="DI188" s="713"/>
      <c r="DJ188" s="714"/>
      <c r="DK188" s="714"/>
      <c r="DL188" s="1011">
        <v>305</v>
      </c>
      <c r="DM188" s="713"/>
      <c r="DN188" s="904"/>
      <c r="DO188" s="714"/>
      <c r="DP188" s="1199">
        <f>DL191+0.25</f>
        <v>305.85000000000002</v>
      </c>
      <c r="DQ188" s="1195"/>
      <c r="DR188" s="1196"/>
    </row>
    <row r="189" spans="1:139" outlineLevel="2" x14ac:dyDescent="0.2">
      <c r="A189" s="604" t="s">
        <v>80</v>
      </c>
      <c r="C189" s="390"/>
      <c r="D189" s="639">
        <v>80</v>
      </c>
      <c r="E189" s="697"/>
      <c r="F189" s="697"/>
      <c r="G189" s="698"/>
      <c r="H189" s="639">
        <v>79.97</v>
      </c>
      <c r="I189" s="697"/>
      <c r="J189" s="697"/>
      <c r="K189" s="698"/>
      <c r="L189" s="639">
        <v>113.38200000000001</v>
      </c>
      <c r="M189" s="488"/>
      <c r="N189" s="488"/>
      <c r="O189" s="488"/>
      <c r="P189" s="639">
        <v>126.309</v>
      </c>
      <c r="Q189" s="488"/>
      <c r="R189" s="488"/>
      <c r="S189" s="488"/>
      <c r="T189" s="639">
        <v>126.578</v>
      </c>
      <c r="U189" s="488"/>
      <c r="V189" s="488"/>
      <c r="W189" s="488"/>
      <c r="X189" s="639">
        <v>182.2</v>
      </c>
      <c r="Y189" s="488"/>
      <c r="Z189" s="488"/>
      <c r="AA189" s="488"/>
      <c r="AB189" s="639">
        <v>182.83</v>
      </c>
      <c r="AC189" s="488"/>
      <c r="AD189" s="488"/>
      <c r="AE189" s="488"/>
      <c r="AF189" s="639">
        <v>207.66300000000001</v>
      </c>
      <c r="AG189" s="488"/>
      <c r="AH189" s="488"/>
      <c r="AI189" s="698"/>
      <c r="AJ189" s="639">
        <v>209.4</v>
      </c>
      <c r="AK189" s="708"/>
      <c r="AL189" s="708"/>
      <c r="AM189" s="708"/>
      <c r="AN189" s="639">
        <v>210.5</v>
      </c>
      <c r="AO189" s="708"/>
      <c r="AP189" s="488"/>
      <c r="AQ189" s="698"/>
      <c r="AR189" s="639">
        <v>419.8</v>
      </c>
      <c r="AS189" s="708"/>
      <c r="AT189" s="708"/>
      <c r="AU189" s="708"/>
      <c r="AV189" s="639">
        <v>413.2</v>
      </c>
      <c r="AW189" s="488"/>
      <c r="AX189" s="488"/>
      <c r="AY189" s="488"/>
      <c r="AZ189" s="639">
        <v>389.2</v>
      </c>
      <c r="BA189" s="708"/>
      <c r="BB189" s="708"/>
      <c r="BC189" s="708"/>
      <c r="BD189" s="639">
        <v>403</v>
      </c>
      <c r="BE189" s="708"/>
      <c r="BF189" s="708"/>
      <c r="BG189" s="708"/>
      <c r="BH189" s="639">
        <v>371.2</v>
      </c>
      <c r="BI189" s="708"/>
      <c r="BJ189" s="708"/>
      <c r="BK189" s="708"/>
      <c r="BL189" s="639">
        <v>358.2</v>
      </c>
      <c r="BM189" s="488"/>
      <c r="BN189" s="488"/>
      <c r="BO189" s="488"/>
      <c r="BP189" s="639">
        <v>342.4</v>
      </c>
      <c r="BQ189" s="708"/>
      <c r="BR189" s="708"/>
      <c r="BS189" s="708"/>
      <c r="BT189" s="639">
        <v>552.20000000000005</v>
      </c>
      <c r="BU189" s="488"/>
      <c r="BV189" s="488"/>
      <c r="BW189" s="488"/>
      <c r="BX189" s="639">
        <v>451.9</v>
      </c>
      <c r="BY189" s="708"/>
      <c r="BZ189" s="710"/>
      <c r="CA189" s="708"/>
      <c r="CB189" s="639">
        <v>421.1</v>
      </c>
      <c r="CC189" s="697"/>
      <c r="CD189" s="488"/>
      <c r="CE189" s="698"/>
      <c r="CF189" s="639">
        <v>421.5</v>
      </c>
      <c r="CG189" s="697"/>
      <c r="CH189" s="488"/>
      <c r="CI189" s="698"/>
      <c r="CJ189" s="1011">
        <v>423</v>
      </c>
      <c r="CK189" s="697"/>
      <c r="CL189" s="488"/>
      <c r="CM189" s="698"/>
      <c r="CN189" s="1011">
        <v>427.5</v>
      </c>
      <c r="CO189" s="667"/>
      <c r="CP189" s="712"/>
      <c r="CQ189" s="390"/>
      <c r="CR189" s="1011">
        <v>411.2</v>
      </c>
      <c r="CS189" s="716"/>
      <c r="CT189" s="717"/>
      <c r="CU189" s="390"/>
      <c r="CV189" s="1011">
        <v>382.5</v>
      </c>
      <c r="CW189" s="716"/>
      <c r="CX189" s="717"/>
      <c r="CY189" s="715"/>
      <c r="CZ189" s="1011">
        <v>359.2</v>
      </c>
      <c r="DA189" s="699"/>
      <c r="DB189" s="717"/>
      <c r="DD189" s="1011">
        <v>335.7</v>
      </c>
      <c r="DE189" s="699"/>
      <c r="DF189" s="717"/>
      <c r="DH189" s="1011">
        <v>309.39999999999998</v>
      </c>
      <c r="DI189" s="699"/>
      <c r="DJ189" s="717"/>
      <c r="DK189" s="717"/>
      <c r="DL189" s="1011">
        <v>305.5</v>
      </c>
      <c r="DM189" s="699"/>
      <c r="DN189" s="717"/>
      <c r="DO189" s="717"/>
      <c r="DP189" s="1199">
        <f>DP188+0.25</f>
        <v>306.10000000000002</v>
      </c>
      <c r="DQ189" s="1190"/>
      <c r="DR189" s="1197"/>
    </row>
    <row r="190" spans="1:139" outlineLevel="2" x14ac:dyDescent="0.2">
      <c r="A190" s="604" t="s">
        <v>81</v>
      </c>
      <c r="C190" s="390"/>
      <c r="D190" s="639">
        <v>80</v>
      </c>
      <c r="E190" s="697"/>
      <c r="F190" s="697"/>
      <c r="G190" s="698"/>
      <c r="H190" s="639">
        <v>79.97</v>
      </c>
      <c r="I190" s="697"/>
      <c r="J190" s="697"/>
      <c r="K190" s="698"/>
      <c r="L190" s="639">
        <v>126</v>
      </c>
      <c r="M190" s="488"/>
      <c r="N190" s="488"/>
      <c r="O190" s="488"/>
      <c r="P190" s="639">
        <v>126.31100000000001</v>
      </c>
      <c r="Q190" s="488"/>
      <c r="R190" s="488"/>
      <c r="S190" s="488"/>
      <c r="T190" s="639">
        <v>126.6</v>
      </c>
      <c r="U190" s="488"/>
      <c r="V190" s="488"/>
      <c r="W190" s="488"/>
      <c r="X190" s="639">
        <v>182.2</v>
      </c>
      <c r="Y190" s="488"/>
      <c r="Z190" s="488"/>
      <c r="AA190" s="488"/>
      <c r="AB190" s="639">
        <v>183</v>
      </c>
      <c r="AC190" s="488"/>
      <c r="AD190" s="488"/>
      <c r="AE190" s="488"/>
      <c r="AF190" s="639">
        <v>207.82</v>
      </c>
      <c r="AG190" s="488"/>
      <c r="AH190" s="488"/>
      <c r="AI190" s="698"/>
      <c r="AJ190" s="639">
        <v>209.3</v>
      </c>
      <c r="AK190" s="708"/>
      <c r="AL190" s="708"/>
      <c r="AM190" s="708"/>
      <c r="AN190" s="639">
        <v>209.5</v>
      </c>
      <c r="AO190" s="708"/>
      <c r="AP190" s="488"/>
      <c r="AQ190" s="698"/>
      <c r="AR190" s="639">
        <v>420.8</v>
      </c>
      <c r="AS190" s="708"/>
      <c r="AT190" s="708"/>
      <c r="AU190" s="708"/>
      <c r="AV190" s="639">
        <v>402.2</v>
      </c>
      <c r="AW190" s="488"/>
      <c r="AX190" s="488"/>
      <c r="AY190" s="488"/>
      <c r="AZ190" s="639">
        <v>385.8</v>
      </c>
      <c r="BA190" s="708"/>
      <c r="BB190" s="708"/>
      <c r="BC190" s="708"/>
      <c r="BD190" s="639">
        <v>390</v>
      </c>
      <c r="BE190" s="708"/>
      <c r="BF190" s="708"/>
      <c r="BG190" s="708"/>
      <c r="BH190" s="639">
        <v>365.2</v>
      </c>
      <c r="BI190" s="708"/>
      <c r="BJ190" s="708"/>
      <c r="BK190" s="708"/>
      <c r="BL190" s="639">
        <v>344</v>
      </c>
      <c r="BM190" s="488"/>
      <c r="BN190" s="488"/>
      <c r="BO190" s="488"/>
      <c r="BP190" s="639">
        <v>478.5</v>
      </c>
      <c r="BQ190" s="708"/>
      <c r="BR190" s="708"/>
      <c r="BS190" s="708"/>
      <c r="BT190" s="639">
        <v>541.70000000000005</v>
      </c>
      <c r="BU190" s="488"/>
      <c r="BV190" s="488"/>
      <c r="BW190" s="488"/>
      <c r="BX190" s="639">
        <v>434.2</v>
      </c>
      <c r="BY190" s="708"/>
      <c r="BZ190" s="710"/>
      <c r="CA190" s="708"/>
      <c r="CB190" s="639">
        <v>421.3</v>
      </c>
      <c r="CC190" s="697"/>
      <c r="CD190" s="488"/>
      <c r="CE190" s="698"/>
      <c r="CF190" s="639">
        <v>421.8</v>
      </c>
      <c r="CG190" s="697"/>
      <c r="CH190" s="488"/>
      <c r="CI190" s="698"/>
      <c r="CJ190" s="1011">
        <v>423.5</v>
      </c>
      <c r="CK190" s="697"/>
      <c r="CL190" s="488"/>
      <c r="CM190" s="698"/>
      <c r="CN190" s="1011">
        <v>425.3</v>
      </c>
      <c r="CO190" s="667"/>
      <c r="CP190" s="712"/>
      <c r="CQ190" s="390"/>
      <c r="CR190" s="1011">
        <v>401.3</v>
      </c>
      <c r="CS190" s="716"/>
      <c r="CT190" s="717"/>
      <c r="CU190" s="390"/>
      <c r="CV190" s="1011">
        <v>374.8</v>
      </c>
      <c r="CW190" s="716"/>
      <c r="CX190" s="717"/>
      <c r="CY190" s="390"/>
      <c r="CZ190" s="1011">
        <v>351.6</v>
      </c>
      <c r="DA190" s="716"/>
      <c r="DB190" s="717"/>
      <c r="DD190" s="1011">
        <v>325.3</v>
      </c>
      <c r="DE190" s="716"/>
      <c r="DF190" s="717"/>
      <c r="DH190" s="1011">
        <v>308.39999999999998</v>
      </c>
      <c r="DI190" s="716"/>
      <c r="DJ190" s="717"/>
      <c r="DK190" s="717"/>
      <c r="DL190" s="1011">
        <v>305.5</v>
      </c>
      <c r="DM190" s="716"/>
      <c r="DN190" s="717"/>
      <c r="DO190" s="717"/>
      <c r="DP190" s="1199">
        <f>DP189+0.25</f>
        <v>306.35000000000002</v>
      </c>
      <c r="DQ190" s="1198"/>
      <c r="DR190" s="1197"/>
    </row>
    <row r="191" spans="1:139" outlineLevel="2" x14ac:dyDescent="0.2">
      <c r="A191" s="604" t="s">
        <v>82</v>
      </c>
      <c r="C191" s="390"/>
      <c r="D191" s="641">
        <v>80</v>
      </c>
      <c r="E191" s="697"/>
      <c r="F191" s="697"/>
      <c r="G191" s="698"/>
      <c r="H191" s="641">
        <v>79.97</v>
      </c>
      <c r="I191" s="697"/>
      <c r="J191" s="697"/>
      <c r="K191" s="698"/>
      <c r="L191" s="641">
        <v>126.02800000000001</v>
      </c>
      <c r="M191" s="488"/>
      <c r="N191" s="488"/>
      <c r="O191" s="488"/>
      <c r="P191" s="641">
        <v>126.33799999999999</v>
      </c>
      <c r="Q191" s="488"/>
      <c r="R191" s="488"/>
      <c r="S191" s="488"/>
      <c r="T191" s="641">
        <v>126.74</v>
      </c>
      <c r="U191" s="488"/>
      <c r="V191" s="488"/>
      <c r="W191" s="488"/>
      <c r="X191" s="641">
        <v>182.2</v>
      </c>
      <c r="Y191" s="488"/>
      <c r="Z191" s="488"/>
      <c r="AA191" s="488"/>
      <c r="AB191" s="641">
        <v>183.238</v>
      </c>
      <c r="AC191" s="488"/>
      <c r="AD191" s="488"/>
      <c r="AE191" s="488"/>
      <c r="AF191" s="641">
        <v>208.26</v>
      </c>
      <c r="AG191" s="488"/>
      <c r="AH191" s="488"/>
      <c r="AI191" s="698"/>
      <c r="AJ191" s="641">
        <v>210.13800000000001</v>
      </c>
      <c r="AK191" s="708"/>
      <c r="AL191" s="708"/>
      <c r="AM191" s="708"/>
      <c r="AN191" s="641">
        <v>209.5</v>
      </c>
      <c r="AO191" s="708"/>
      <c r="AP191" s="488"/>
      <c r="AQ191" s="698"/>
      <c r="AR191" s="641">
        <v>424.6</v>
      </c>
      <c r="AS191" s="708"/>
      <c r="AT191" s="708"/>
      <c r="AU191" s="708"/>
      <c r="AV191" s="641">
        <v>397.4</v>
      </c>
      <c r="AW191" s="488"/>
      <c r="AX191" s="488"/>
      <c r="AY191" s="488"/>
      <c r="AZ191" s="641">
        <v>394.4</v>
      </c>
      <c r="BA191" s="708"/>
      <c r="BB191" s="708"/>
      <c r="BC191" s="708"/>
      <c r="BD191" s="641">
        <v>381.8</v>
      </c>
      <c r="BE191" s="708"/>
      <c r="BF191" s="708"/>
      <c r="BG191" s="708"/>
      <c r="BH191" s="641">
        <v>360.8</v>
      </c>
      <c r="BI191" s="708"/>
      <c r="BJ191" s="708"/>
      <c r="BK191" s="708"/>
      <c r="BL191" s="641">
        <v>337.4</v>
      </c>
      <c r="BM191" s="488"/>
      <c r="BN191" s="488"/>
      <c r="BO191" s="488"/>
      <c r="BP191" s="641">
        <v>545.79999999999995</v>
      </c>
      <c r="BQ191" s="708"/>
      <c r="BR191" s="708"/>
      <c r="BS191" s="708"/>
      <c r="BT191" s="641">
        <v>516</v>
      </c>
      <c r="BU191" s="488"/>
      <c r="BV191" s="488"/>
      <c r="BW191" s="488"/>
      <c r="BX191" s="641">
        <v>432.1</v>
      </c>
      <c r="BY191" s="708"/>
      <c r="BZ191" s="710"/>
      <c r="CA191" s="708"/>
      <c r="CB191" s="641">
        <v>421.4</v>
      </c>
      <c r="CC191" s="697"/>
      <c r="CD191" s="488"/>
      <c r="CE191" s="698"/>
      <c r="CF191" s="641">
        <v>422.2</v>
      </c>
      <c r="CG191" s="697"/>
      <c r="CH191" s="488"/>
      <c r="CI191" s="698"/>
      <c r="CJ191" s="1012">
        <v>423.3</v>
      </c>
      <c r="CK191" s="697"/>
      <c r="CL191" s="488"/>
      <c r="CM191" s="698"/>
      <c r="CN191" s="1012">
        <v>420</v>
      </c>
      <c r="CO191" s="667"/>
      <c r="CP191" s="712"/>
      <c r="CQ191" s="390"/>
      <c r="CR191" s="1012">
        <v>392.2</v>
      </c>
      <c r="CS191" s="716"/>
      <c r="CT191" s="717"/>
      <c r="CU191" s="390"/>
      <c r="CV191" s="1012">
        <v>367.7</v>
      </c>
      <c r="CW191" s="716"/>
      <c r="CX191" s="717"/>
      <c r="CY191" s="390"/>
      <c r="CZ191" s="1012">
        <v>344.3</v>
      </c>
      <c r="DA191" s="716"/>
      <c r="DB191" s="717"/>
      <c r="DD191" s="1012">
        <v>312.2</v>
      </c>
      <c r="DE191" s="716"/>
      <c r="DF191" s="717"/>
      <c r="DH191" s="1012">
        <v>305.5</v>
      </c>
      <c r="DI191" s="716"/>
      <c r="DJ191" s="717"/>
      <c r="DK191" s="717"/>
      <c r="DL191" s="1012">
        <v>305.60000000000002</v>
      </c>
      <c r="DM191" s="716"/>
      <c r="DN191" s="717"/>
      <c r="DO191" s="717"/>
      <c r="DP191" s="1200">
        <f>DP190+0.25</f>
        <v>306.60000000000002</v>
      </c>
      <c r="DQ191" s="1198"/>
      <c r="DR191" s="1197"/>
    </row>
    <row r="192" spans="1:139" outlineLevel="2" x14ac:dyDescent="0.2">
      <c r="A192" s="604" t="s">
        <v>83</v>
      </c>
      <c r="D192" s="700">
        <v>80</v>
      </c>
      <c r="E192" s="701"/>
      <c r="F192" s="702"/>
      <c r="G192" s="488"/>
      <c r="H192" s="700">
        <v>79.97</v>
      </c>
      <c r="I192" s="701"/>
      <c r="J192" s="702"/>
      <c r="K192" s="488"/>
      <c r="L192" s="700">
        <v>111.35</v>
      </c>
      <c r="M192" s="488"/>
      <c r="N192" s="488"/>
      <c r="O192" s="488"/>
      <c r="P192" s="700">
        <v>126.29300000000001</v>
      </c>
      <c r="Q192" s="488"/>
      <c r="R192" s="488"/>
      <c r="S192" s="488"/>
      <c r="T192" s="700">
        <v>126.593</v>
      </c>
      <c r="U192" s="488"/>
      <c r="V192" s="488"/>
      <c r="W192" s="488"/>
      <c r="X192" s="700">
        <v>182.2</v>
      </c>
      <c r="Y192" s="488"/>
      <c r="Z192" s="488"/>
      <c r="AA192" s="488"/>
      <c r="AB192" s="700">
        <v>182.952</v>
      </c>
      <c r="AC192" s="488"/>
      <c r="AD192" s="488"/>
      <c r="AE192" s="488"/>
      <c r="AF192" s="700">
        <v>207.8</v>
      </c>
      <c r="AG192" s="488"/>
      <c r="AH192" s="488"/>
      <c r="AI192" s="488"/>
      <c r="AJ192" s="700">
        <v>209.477</v>
      </c>
      <c r="AK192" s="703"/>
      <c r="AL192" s="704"/>
      <c r="AM192" s="488"/>
      <c r="AN192" s="700">
        <v>209.5</v>
      </c>
      <c r="AO192" s="703"/>
      <c r="AP192" s="704"/>
      <c r="AQ192" s="488"/>
      <c r="AR192" s="700">
        <v>420.8</v>
      </c>
      <c r="AS192" s="703"/>
      <c r="AT192" s="704"/>
      <c r="AU192" s="488"/>
      <c r="AV192" s="700">
        <v>409.6</v>
      </c>
      <c r="AW192" s="703"/>
      <c r="AX192" s="704"/>
      <c r="AY192" s="488"/>
      <c r="AZ192" s="700">
        <v>391.35</v>
      </c>
      <c r="BA192" s="703"/>
      <c r="BB192" s="704"/>
      <c r="BC192" s="488"/>
      <c r="BD192" s="700">
        <v>394.5</v>
      </c>
      <c r="BE192" s="703"/>
      <c r="BF192" s="704"/>
      <c r="BG192" s="488"/>
      <c r="BH192" s="700">
        <v>368.8</v>
      </c>
      <c r="BI192" s="703"/>
      <c r="BJ192" s="704"/>
      <c r="BK192" s="488"/>
      <c r="BL192" s="700">
        <v>350.2</v>
      </c>
      <c r="BM192" s="703"/>
      <c r="BN192" s="705"/>
      <c r="BO192" s="488"/>
      <c r="BP192" s="700">
        <v>426</v>
      </c>
      <c r="BQ192" s="703"/>
      <c r="BR192" s="705"/>
      <c r="BS192" s="488"/>
      <c r="BT192" s="700">
        <v>540</v>
      </c>
      <c r="BU192" s="703"/>
      <c r="BV192" s="704"/>
      <c r="BW192" s="488"/>
      <c r="BX192" s="700">
        <v>446.6</v>
      </c>
      <c r="BY192" s="703"/>
      <c r="BZ192" s="704"/>
      <c r="CA192" s="488"/>
      <c r="CB192" s="700">
        <v>421.17500000000001</v>
      </c>
      <c r="CC192" s="703"/>
      <c r="CD192" s="704"/>
      <c r="CE192" s="488"/>
      <c r="CF192" s="700">
        <v>421.72500000000002</v>
      </c>
      <c r="CG192" s="703"/>
      <c r="CH192" s="704"/>
      <c r="CI192" s="488"/>
      <c r="CJ192" s="1013">
        <v>424.3</v>
      </c>
      <c r="CK192" s="703"/>
      <c r="CL192" s="704"/>
      <c r="CM192" s="488"/>
      <c r="CN192" s="1013">
        <v>424.5</v>
      </c>
      <c r="CO192" s="706"/>
      <c r="CP192" s="707"/>
      <c r="CR192" s="1013">
        <v>405.5</v>
      </c>
      <c r="CS192" s="716"/>
      <c r="CT192" s="717"/>
      <c r="CV192" s="1013">
        <v>378.3</v>
      </c>
      <c r="CW192" s="716"/>
      <c r="CX192" s="717"/>
      <c r="CZ192" s="1013">
        <f>AVERAGE(CZ188:CZ191)</f>
        <v>355.24999999999994</v>
      </c>
      <c r="DA192" s="716"/>
      <c r="DB192" s="717"/>
      <c r="DD192" s="1013">
        <v>328.4</v>
      </c>
      <c r="DE192" s="716"/>
      <c r="DF192" s="717"/>
      <c r="DH192" s="1013">
        <v>308.5</v>
      </c>
      <c r="DI192" s="716"/>
      <c r="DJ192" s="717"/>
      <c r="DK192" s="717"/>
      <c r="DL192" s="1013">
        <v>305.39999999999998</v>
      </c>
      <c r="DM192" s="716"/>
      <c r="DN192" s="717"/>
      <c r="DO192" s="717"/>
      <c r="DP192" s="1201">
        <f>AVERAGE(DP188:DP191)</f>
        <v>306.22500000000002</v>
      </c>
      <c r="DQ192" s="1198"/>
      <c r="DR192" s="1197"/>
    </row>
    <row r="193" spans="1:139" outlineLevel="3" x14ac:dyDescent="0.2">
      <c r="A193" s="604"/>
      <c r="C193" s="261"/>
      <c r="D193" s="708"/>
      <c r="E193" s="701"/>
      <c r="F193" s="702"/>
      <c r="G193" s="488"/>
      <c r="H193" s="708"/>
      <c r="I193" s="701"/>
      <c r="J193" s="702"/>
      <c r="K193" s="488"/>
      <c r="L193" s="488"/>
      <c r="M193" s="488"/>
      <c r="N193" s="488"/>
      <c r="O193" s="488"/>
      <c r="P193" s="488"/>
      <c r="Q193" s="488"/>
      <c r="R193" s="488"/>
      <c r="S193" s="488"/>
      <c r="T193" s="488"/>
      <c r="U193" s="488"/>
      <c r="V193" s="488"/>
      <c r="W193" s="488"/>
      <c r="X193" s="488"/>
      <c r="Y193" s="488"/>
      <c r="Z193" s="488"/>
      <c r="AA193" s="488"/>
      <c r="AB193" s="488"/>
      <c r="AC193" s="488"/>
      <c r="AD193" s="488"/>
      <c r="AE193" s="488"/>
      <c r="AF193" s="488"/>
      <c r="AG193" s="488"/>
      <c r="AH193" s="488"/>
      <c r="AI193" s="488"/>
      <c r="AJ193" s="639"/>
      <c r="AK193" s="703"/>
      <c r="AL193" s="704"/>
      <c r="AM193" s="488"/>
      <c r="AN193" s="639"/>
      <c r="AO193" s="703"/>
      <c r="AP193" s="704"/>
      <c r="AQ193" s="488"/>
      <c r="AR193" s="639"/>
      <c r="AS193" s="703"/>
      <c r="AT193" s="704"/>
      <c r="AU193" s="488"/>
      <c r="AV193" s="639"/>
      <c r="AW193" s="703"/>
      <c r="AX193" s="704"/>
      <c r="AY193" s="488"/>
      <c r="AZ193" s="639"/>
      <c r="BA193" s="703"/>
      <c r="BB193" s="704"/>
      <c r="BC193" s="488"/>
      <c r="BD193" s="639"/>
      <c r="BE193" s="703"/>
      <c r="BF193" s="704"/>
      <c r="BG193" s="488"/>
      <c r="BH193" s="639"/>
      <c r="BI193" s="703"/>
      <c r="BJ193" s="704"/>
      <c r="BK193" s="488"/>
      <c r="BL193" s="639"/>
      <c r="BM193" s="703"/>
      <c r="BN193" s="705"/>
      <c r="BO193" s="488"/>
      <c r="BP193" s="639"/>
      <c r="BQ193" s="703"/>
      <c r="BR193" s="705"/>
      <c r="BS193" s="488"/>
      <c r="BT193" s="639"/>
      <c r="BU193" s="703"/>
      <c r="BV193" s="704"/>
      <c r="BW193" s="488"/>
      <c r="BX193" s="639"/>
      <c r="BY193" s="703"/>
      <c r="BZ193" s="704"/>
      <c r="CA193" s="488"/>
      <c r="CB193" s="639"/>
      <c r="CC193" s="703"/>
      <c r="CD193" s="704"/>
      <c r="CE193" s="488"/>
      <c r="CF193" s="639"/>
      <c r="CG193" s="703"/>
      <c r="CH193" s="704"/>
      <c r="CI193" s="488"/>
      <c r="CJ193" s="639"/>
      <c r="CK193" s="703"/>
      <c r="CL193" s="704"/>
      <c r="CM193" s="488"/>
      <c r="CN193" s="639"/>
      <c r="CO193" s="706"/>
      <c r="CP193" s="707"/>
      <c r="CR193" s="640"/>
      <c r="CS193" s="706"/>
      <c r="CT193" s="707"/>
      <c r="CV193" s="640"/>
      <c r="CW193" s="706"/>
      <c r="CX193" s="707"/>
      <c r="CZ193" s="640"/>
      <c r="DA193" s="706"/>
      <c r="DB193" s="707"/>
      <c r="DD193" s="640"/>
      <c r="DE193" s="706"/>
      <c r="DF193" s="707"/>
      <c r="DH193" s="640"/>
      <c r="DI193" s="706"/>
      <c r="DJ193" s="707"/>
      <c r="DK193" s="707"/>
      <c r="DL193" s="640"/>
      <c r="DM193" s="706"/>
      <c r="DN193" s="707"/>
      <c r="DO193" s="707"/>
      <c r="DP193" s="1133"/>
      <c r="DQ193" s="1192"/>
      <c r="DR193" s="1193"/>
    </row>
    <row r="194" spans="1:139" outlineLevel="3" x14ac:dyDescent="0.2">
      <c r="A194" s="604"/>
      <c r="C194" s="261"/>
      <c r="D194" s="708"/>
      <c r="E194" s="701"/>
      <c r="F194" s="702"/>
      <c r="G194" s="488"/>
      <c r="H194" s="708"/>
      <c r="I194" s="701"/>
      <c r="J194" s="702"/>
      <c r="K194" s="488"/>
      <c r="L194" s="708"/>
      <c r="M194" s="701"/>
      <c r="N194" s="702"/>
      <c r="O194" s="488"/>
      <c r="P194" s="708"/>
      <c r="Q194" s="701"/>
      <c r="R194" s="702"/>
      <c r="S194" s="488"/>
      <c r="T194" s="708"/>
      <c r="U194" s="701"/>
      <c r="V194" s="702"/>
      <c r="W194" s="488"/>
      <c r="X194" s="708"/>
      <c r="Y194" s="701"/>
      <c r="Z194" s="702"/>
      <c r="AA194" s="488"/>
      <c r="AB194" s="708"/>
      <c r="AC194" s="701"/>
      <c r="AD194" s="702"/>
      <c r="AE194" s="488"/>
      <c r="AF194" s="708"/>
      <c r="AG194" s="701"/>
      <c r="AH194" s="702"/>
      <c r="AI194" s="488"/>
      <c r="AJ194" s="639"/>
      <c r="AK194" s="703"/>
      <c r="AL194" s="704"/>
      <c r="AM194" s="488"/>
      <c r="AN194" s="639"/>
      <c r="AO194" s="703"/>
      <c r="AP194" s="704"/>
      <c r="AQ194" s="488"/>
      <c r="AR194" s="639"/>
      <c r="AS194" s="703"/>
      <c r="AT194" s="704"/>
      <c r="AU194" s="488"/>
      <c r="AV194" s="639"/>
      <c r="AW194" s="703"/>
      <c r="AX194" s="704"/>
      <c r="AY194" s="488"/>
      <c r="AZ194" s="639"/>
      <c r="BA194" s="703"/>
      <c r="BB194" s="704"/>
      <c r="BC194" s="488"/>
      <c r="BD194" s="639"/>
      <c r="BE194" s="703"/>
      <c r="BF194" s="704"/>
      <c r="BG194" s="488"/>
      <c r="BH194" s="639"/>
      <c r="BI194" s="703"/>
      <c r="BJ194" s="704"/>
      <c r="BK194" s="488"/>
      <c r="BL194" s="639"/>
      <c r="BM194" s="703"/>
      <c r="BN194" s="705"/>
      <c r="BO194" s="488"/>
      <c r="BP194" s="639"/>
      <c r="BQ194" s="703"/>
      <c r="BR194" s="705"/>
      <c r="BS194" s="488"/>
      <c r="BT194" s="639"/>
      <c r="BU194" s="703"/>
      <c r="BV194" s="704"/>
      <c r="BW194" s="488"/>
      <c r="BX194" s="639"/>
      <c r="BY194" s="703"/>
      <c r="BZ194" s="704"/>
      <c r="CA194" s="488"/>
      <c r="CB194" s="639"/>
      <c r="CC194" s="703"/>
      <c r="CD194" s="704"/>
      <c r="CE194" s="488"/>
      <c r="CF194" s="639"/>
      <c r="CG194" s="703"/>
      <c r="CH194" s="704"/>
      <c r="CI194" s="488"/>
      <c r="CJ194" s="639"/>
      <c r="CK194" s="703"/>
      <c r="CL194" s="704"/>
      <c r="CM194" s="488"/>
      <c r="CN194" s="639"/>
      <c r="CO194" s="706"/>
      <c r="CP194" s="707"/>
      <c r="CR194" s="640"/>
      <c r="CS194" s="706"/>
      <c r="CT194" s="707"/>
      <c r="CV194" s="640"/>
      <c r="CW194" s="706"/>
      <c r="CX194" s="707"/>
      <c r="CZ194" s="640"/>
      <c r="DA194" s="706"/>
      <c r="DB194" s="707"/>
      <c r="DD194" s="640"/>
      <c r="DE194" s="706"/>
      <c r="DF194" s="707"/>
      <c r="DH194" s="640"/>
      <c r="DI194" s="706"/>
      <c r="DJ194" s="707"/>
      <c r="DK194" s="707"/>
      <c r="DL194" s="640"/>
      <c r="DM194" s="706"/>
      <c r="DN194" s="707"/>
      <c r="DO194" s="707"/>
      <c r="DP194" s="1133"/>
      <c r="DQ194" s="1192"/>
      <c r="DR194" s="1193"/>
    </row>
    <row r="195" spans="1:139" ht="13.5" outlineLevel="2" thickBot="1" x14ac:dyDescent="0.25">
      <c r="C195" s="261"/>
      <c r="D195" s="352"/>
      <c r="E195" s="710"/>
      <c r="F195" s="710"/>
      <c r="G195" s="488"/>
      <c r="H195" s="352"/>
      <c r="I195" s="710"/>
      <c r="J195" s="710"/>
      <c r="K195" s="488"/>
      <c r="L195" s="352"/>
      <c r="M195" s="710"/>
      <c r="N195" s="710"/>
      <c r="O195" s="488"/>
      <c r="P195" s="352"/>
      <c r="Q195" s="710"/>
      <c r="R195" s="710"/>
      <c r="S195" s="488"/>
      <c r="T195" s="352"/>
      <c r="U195" s="710"/>
      <c r="V195" s="710"/>
      <c r="W195" s="488"/>
      <c r="X195" s="352"/>
      <c r="Y195" s="710"/>
      <c r="Z195" s="710"/>
      <c r="AA195" s="488"/>
      <c r="AB195" s="352"/>
      <c r="AC195" s="710"/>
      <c r="AD195" s="710"/>
      <c r="AE195" s="488"/>
      <c r="AF195" s="352"/>
      <c r="AG195" s="710"/>
      <c r="AH195" s="710"/>
      <c r="AI195" s="488"/>
      <c r="AJ195" s="468"/>
      <c r="AK195" s="488"/>
      <c r="AL195" s="488"/>
      <c r="AM195" s="488"/>
      <c r="AN195" s="468"/>
      <c r="AO195" s="488"/>
      <c r="AP195" s="488"/>
      <c r="AQ195" s="488"/>
      <c r="AR195" s="468"/>
      <c r="AS195" s="488"/>
      <c r="AT195" s="488"/>
      <c r="AU195" s="488"/>
      <c r="AV195" s="468"/>
      <c r="AW195" s="488"/>
      <c r="AX195" s="488"/>
      <c r="AY195" s="488"/>
      <c r="AZ195" s="468"/>
      <c r="BA195" s="488"/>
      <c r="BB195" s="488"/>
      <c r="BC195" s="488"/>
      <c r="BD195" s="468"/>
      <c r="BE195" s="488"/>
      <c r="BF195" s="488"/>
      <c r="BG195" s="488"/>
      <c r="BH195" s="468"/>
      <c r="BI195" s="488"/>
      <c r="BJ195" s="488"/>
      <c r="BK195" s="488"/>
      <c r="BL195" s="468"/>
      <c r="BM195" s="488"/>
      <c r="BN195" s="488"/>
      <c r="BO195" s="488"/>
      <c r="BP195" s="468"/>
      <c r="BQ195" s="488"/>
      <c r="BR195" s="488"/>
      <c r="BS195" s="488"/>
      <c r="BT195" s="468"/>
      <c r="BU195" s="488"/>
      <c r="BV195" s="488"/>
      <c r="BW195" s="488"/>
      <c r="BX195" s="468"/>
      <c r="BY195" s="488"/>
      <c r="BZ195" s="488"/>
      <c r="CA195" s="488"/>
      <c r="CB195" s="468"/>
      <c r="CC195" s="488"/>
      <c r="CD195" s="488"/>
      <c r="CE195" s="488"/>
      <c r="CF195" s="468"/>
      <c r="CG195" s="488"/>
      <c r="CH195" s="488"/>
      <c r="CI195" s="488"/>
      <c r="CJ195" s="468"/>
      <c r="CK195" s="488"/>
      <c r="CL195" s="488"/>
      <c r="CM195" s="488"/>
      <c r="CN195" s="468"/>
    </row>
    <row r="196" spans="1:139" s="627" customFormat="1" outlineLevel="2" x14ac:dyDescent="0.2">
      <c r="C196" s="520"/>
      <c r="D196" s="718"/>
      <c r="E196" s="719"/>
      <c r="F196" s="719"/>
      <c r="G196" s="720"/>
      <c r="H196" s="718"/>
      <c r="I196" s="719"/>
      <c r="J196" s="719"/>
      <c r="K196" s="720"/>
      <c r="L196" s="718"/>
      <c r="M196" s="719"/>
      <c r="N196" s="719"/>
      <c r="O196" s="720"/>
      <c r="P196" s="718"/>
      <c r="Q196" s="719"/>
      <c r="R196" s="719"/>
      <c r="S196" s="720"/>
      <c r="T196" s="718"/>
      <c r="U196" s="719"/>
      <c r="V196" s="719"/>
      <c r="W196" s="720"/>
      <c r="X196" s="718"/>
      <c r="Y196" s="719"/>
      <c r="Z196" s="719"/>
      <c r="AA196" s="720"/>
      <c r="AB196" s="718"/>
      <c r="AC196" s="719"/>
      <c r="AD196" s="719"/>
      <c r="AE196" s="720"/>
      <c r="AF196" s="718"/>
      <c r="AG196" s="719"/>
      <c r="AH196" s="719"/>
      <c r="AI196" s="720"/>
      <c r="AJ196" s="721"/>
      <c r="AK196" s="720"/>
      <c r="AL196" s="720"/>
      <c r="AM196" s="720"/>
      <c r="AN196" s="721"/>
      <c r="AO196" s="720"/>
      <c r="AP196" s="720"/>
      <c r="AQ196" s="720"/>
      <c r="AR196" s="721"/>
      <c r="AS196" s="720"/>
      <c r="AT196" s="720"/>
      <c r="AU196" s="720"/>
      <c r="AV196" s="721"/>
      <c r="AW196" s="720"/>
      <c r="AX196" s="720"/>
      <c r="AY196" s="720"/>
      <c r="AZ196" s="721"/>
      <c r="BA196" s="720"/>
      <c r="BB196" s="720"/>
      <c r="BC196" s="720"/>
      <c r="BD196" s="721"/>
      <c r="BE196" s="720"/>
      <c r="BF196" s="720"/>
      <c r="BG196" s="720"/>
      <c r="BH196" s="721"/>
      <c r="BI196" s="720"/>
      <c r="BJ196" s="720"/>
      <c r="BK196" s="720"/>
      <c r="BL196" s="721"/>
      <c r="BM196" s="720"/>
      <c r="BN196" s="720"/>
      <c r="BO196" s="720"/>
      <c r="BP196" s="721"/>
      <c r="BQ196" s="720"/>
      <c r="BR196" s="720"/>
      <c r="BS196" s="720"/>
      <c r="BT196" s="721"/>
      <c r="BU196" s="720"/>
      <c r="BV196" s="720"/>
      <c r="BW196" s="720"/>
      <c r="BX196" s="721"/>
      <c r="BY196" s="720"/>
      <c r="BZ196" s="720"/>
      <c r="CA196" s="720"/>
      <c r="CB196" s="721"/>
      <c r="CC196" s="720"/>
      <c r="CD196" s="720"/>
      <c r="CE196" s="720"/>
      <c r="CF196" s="721"/>
      <c r="CG196" s="720"/>
      <c r="CH196" s="720"/>
      <c r="CI196" s="720"/>
      <c r="CJ196" s="721"/>
      <c r="CK196" s="720"/>
      <c r="CL196" s="720"/>
      <c r="CM196" s="720"/>
      <c r="CN196" s="721"/>
      <c r="CO196" s="626" t="s">
        <v>328</v>
      </c>
      <c r="CS196" s="722" t="s">
        <v>411</v>
      </c>
      <c r="CT196" s="723" t="s">
        <v>254</v>
      </c>
      <c r="CU196" s="627" t="s">
        <v>215</v>
      </c>
      <c r="CW196" s="722" t="s">
        <v>411</v>
      </c>
      <c r="CX196" s="723" t="s">
        <v>254</v>
      </c>
      <c r="CY196" s="627" t="s">
        <v>215</v>
      </c>
      <c r="DA196" s="722" t="s">
        <v>411</v>
      </c>
      <c r="DB196" s="723" t="s">
        <v>254</v>
      </c>
      <c r="DC196" s="627" t="s">
        <v>215</v>
      </c>
      <c r="DE196" s="722" t="s">
        <v>411</v>
      </c>
      <c r="DF196" s="723" t="s">
        <v>254</v>
      </c>
      <c r="DG196" s="627" t="s">
        <v>215</v>
      </c>
      <c r="DI196" s="652" t="s">
        <v>411</v>
      </c>
      <c r="DJ196" s="653"/>
      <c r="DK196" s="724"/>
      <c r="DM196" s="652" t="s">
        <v>411</v>
      </c>
      <c r="DN196" s="653"/>
      <c r="DO196" s="724"/>
      <c r="DP196" s="1151"/>
      <c r="DQ196" s="1166" t="s">
        <v>411</v>
      </c>
      <c r="DR196" s="1167"/>
      <c r="DS196" s="600"/>
      <c r="EI196" s="600"/>
    </row>
    <row r="197" spans="1:139" outlineLevel="2" x14ac:dyDescent="0.2">
      <c r="D197" s="352"/>
      <c r="E197" s="710"/>
      <c r="F197" s="710"/>
      <c r="G197" s="488"/>
      <c r="H197" s="352"/>
      <c r="I197" s="710"/>
      <c r="J197" s="710"/>
      <c r="K197" s="488"/>
      <c r="L197" s="352"/>
      <c r="M197" s="710"/>
      <c r="N197" s="710"/>
      <c r="O197" s="488"/>
      <c r="P197" s="352"/>
      <c r="Q197" s="710"/>
      <c r="R197" s="710"/>
      <c r="S197" s="488"/>
      <c r="T197" s="352"/>
      <c r="U197" s="710"/>
      <c r="V197" s="710"/>
      <c r="W197" s="488"/>
      <c r="X197" s="352"/>
      <c r="Y197" s="710"/>
      <c r="Z197" s="710"/>
      <c r="AA197" s="488"/>
      <c r="AB197" s="352"/>
      <c r="AC197" s="710"/>
      <c r="AD197" s="710"/>
      <c r="AE197" s="488"/>
      <c r="AF197" s="352"/>
      <c r="AG197" s="710"/>
      <c r="AH197" s="710"/>
      <c r="AI197" s="488"/>
      <c r="AJ197" s="468"/>
      <c r="AK197" s="488"/>
      <c r="AL197" s="488"/>
      <c r="AM197" s="488"/>
      <c r="AN197" s="468"/>
      <c r="AO197" s="488"/>
      <c r="AP197" s="488"/>
      <c r="AQ197" s="488"/>
      <c r="AR197" s="468"/>
      <c r="AS197" s="488"/>
      <c r="AT197" s="488"/>
      <c r="AU197" s="488"/>
      <c r="AV197" s="468"/>
      <c r="AW197" s="488"/>
      <c r="AX197" s="488"/>
      <c r="AY197" s="488"/>
      <c r="AZ197" s="468"/>
      <c r="BA197" s="488"/>
      <c r="BB197" s="488"/>
      <c r="BC197" s="488"/>
      <c r="BD197" s="468"/>
      <c r="BE197" s="488"/>
      <c r="BF197" s="488"/>
      <c r="BG197" s="488"/>
      <c r="BH197" s="468"/>
      <c r="BI197" s="488"/>
      <c r="BJ197" s="488"/>
      <c r="BK197" s="488"/>
      <c r="BL197" s="468"/>
      <c r="BM197" s="488"/>
      <c r="BN197" s="488"/>
      <c r="BO197" s="488"/>
      <c r="BP197" s="468"/>
      <c r="BQ197" s="488"/>
      <c r="BR197" s="488"/>
      <c r="BS197" s="488"/>
      <c r="BT197" s="468"/>
      <c r="BU197" s="488"/>
      <c r="BV197" s="488"/>
      <c r="BW197" s="488"/>
      <c r="BX197" s="468"/>
      <c r="BY197" s="488"/>
      <c r="BZ197" s="488"/>
      <c r="CA197" s="488"/>
      <c r="CB197" s="468"/>
      <c r="CC197" s="488"/>
      <c r="CD197" s="488"/>
      <c r="CE197" s="488"/>
      <c r="CF197" s="468"/>
      <c r="CG197" s="488"/>
      <c r="CH197" s="488"/>
      <c r="CI197" s="488"/>
      <c r="CJ197" s="468"/>
      <c r="CK197" s="488"/>
      <c r="CL197" s="488"/>
      <c r="CM197" s="488"/>
      <c r="CN197" s="468"/>
      <c r="CS197" s="725" t="s">
        <v>412</v>
      </c>
      <c r="CT197" s="726" t="s">
        <v>410</v>
      </c>
      <c r="CV197" s="385"/>
      <c r="CW197" s="725" t="s">
        <v>412</v>
      </c>
      <c r="CX197" s="726" t="s">
        <v>410</v>
      </c>
      <c r="CZ197" s="385"/>
      <c r="DA197" s="725" t="s">
        <v>412</v>
      </c>
      <c r="DB197" s="726" t="s">
        <v>410</v>
      </c>
      <c r="DD197" s="385"/>
      <c r="DE197" s="725" t="s">
        <v>412</v>
      </c>
      <c r="DF197" s="726" t="s">
        <v>410</v>
      </c>
      <c r="DH197" s="385"/>
      <c r="DI197" s="725" t="s">
        <v>412</v>
      </c>
      <c r="DJ197" s="726" t="s">
        <v>410</v>
      </c>
      <c r="DK197" s="724"/>
      <c r="DL197" s="385"/>
      <c r="DM197" s="725" t="s">
        <v>412</v>
      </c>
      <c r="DN197" s="726" t="s">
        <v>410</v>
      </c>
      <c r="DO197" s="724"/>
      <c r="DP197" s="1092"/>
      <c r="DQ197" s="1203" t="s">
        <v>412</v>
      </c>
      <c r="DR197" s="1204" t="s">
        <v>410</v>
      </c>
    </row>
    <row r="198" spans="1:139" outlineLevel="2" x14ac:dyDescent="0.2">
      <c r="A198" s="694" t="s">
        <v>79</v>
      </c>
      <c r="B198" s="385"/>
      <c r="C198" s="727"/>
      <c r="D198" s="639"/>
      <c r="E198" s="695"/>
      <c r="F198" s="695"/>
      <c r="G198" s="708"/>
      <c r="H198" s="639"/>
      <c r="I198" s="695"/>
      <c r="J198" s="695"/>
      <c r="K198" s="708"/>
      <c r="L198" s="639"/>
      <c r="M198" s="710"/>
      <c r="N198" s="710"/>
      <c r="O198" s="710"/>
      <c r="P198" s="639"/>
      <c r="Q198" s="710"/>
      <c r="R198" s="710"/>
      <c r="S198" s="710"/>
      <c r="T198" s="639"/>
      <c r="U198" s="710"/>
      <c r="V198" s="710"/>
      <c r="W198" s="710"/>
      <c r="X198" s="639"/>
      <c r="Y198" s="710"/>
      <c r="Z198" s="710"/>
      <c r="AA198" s="710"/>
      <c r="AB198" s="639"/>
      <c r="AC198" s="710"/>
      <c r="AD198" s="710"/>
      <c r="AE198" s="488"/>
      <c r="AF198" s="639"/>
      <c r="AG198" s="708"/>
      <c r="AH198" s="708"/>
      <c r="AI198" s="639"/>
      <c r="AJ198" s="639"/>
      <c r="AK198" s="708"/>
      <c r="AL198" s="710"/>
      <c r="AM198" s="708"/>
      <c r="AN198" s="639"/>
      <c r="AO198" s="708"/>
      <c r="AP198" s="708"/>
      <c r="AQ198" s="708"/>
      <c r="AR198" s="708"/>
      <c r="AS198" s="488"/>
      <c r="AT198" s="488"/>
      <c r="AU198" s="488"/>
      <c r="AV198" s="708">
        <v>415.872772</v>
      </c>
      <c r="AW198" s="708"/>
      <c r="AX198" s="708"/>
      <c r="AY198" s="708"/>
      <c r="AZ198" s="708">
        <v>389.8</v>
      </c>
      <c r="BA198" s="708"/>
      <c r="BB198" s="708"/>
      <c r="BC198" s="708"/>
      <c r="BD198" s="708">
        <v>403</v>
      </c>
      <c r="BE198" s="708"/>
      <c r="BF198" s="708"/>
      <c r="BG198" s="708"/>
      <c r="BH198" s="639">
        <v>370.72</v>
      </c>
      <c r="BI198" s="488"/>
      <c r="BJ198" s="488"/>
      <c r="BK198" s="488"/>
      <c r="BL198" s="639">
        <v>359.61200000000002</v>
      </c>
      <c r="BM198" s="708"/>
      <c r="BN198" s="708"/>
      <c r="BO198" s="708"/>
      <c r="BP198" s="639">
        <v>340.8</v>
      </c>
      <c r="BQ198" s="488"/>
      <c r="BR198" s="488"/>
      <c r="BS198" s="488"/>
      <c r="BT198" s="639">
        <v>553.20000000000005</v>
      </c>
      <c r="BU198" s="708"/>
      <c r="BV198" s="710"/>
      <c r="BW198" s="708"/>
      <c r="BX198" s="639">
        <v>459.62333699999999</v>
      </c>
      <c r="BY198" s="695"/>
      <c r="BZ198" s="488"/>
      <c r="CA198" s="639"/>
      <c r="CB198" s="639">
        <v>420.477236</v>
      </c>
      <c r="CC198" s="695"/>
      <c r="CD198" s="488"/>
      <c r="CE198" s="639"/>
      <c r="CF198" s="639">
        <v>420.6</v>
      </c>
      <c r="CG198" s="695"/>
      <c r="CH198" s="488"/>
      <c r="CI198" s="639"/>
      <c r="CJ198" s="1011">
        <v>422.1</v>
      </c>
      <c r="CK198" s="695"/>
      <c r="CL198" s="488"/>
      <c r="CM198" s="639"/>
      <c r="CN198" s="1011">
        <v>425.2</v>
      </c>
      <c r="CO198" s="696"/>
      <c r="CP198" s="712"/>
      <c r="CQ198" s="640"/>
      <c r="CR198" s="1011">
        <v>414.6</v>
      </c>
      <c r="CS198" s="1017">
        <v>-246</v>
      </c>
      <c r="CT198" s="1014">
        <f>214/5.4</f>
        <v>39.629629629629626</v>
      </c>
      <c r="CU198" s="640"/>
      <c r="CV198" s="1011">
        <v>383.7</v>
      </c>
      <c r="CW198" s="1017">
        <v>-360</v>
      </c>
      <c r="CX198" s="1014">
        <f>-CW198/8.4</f>
        <v>42.857142857142854</v>
      </c>
      <c r="CY198" s="640"/>
      <c r="CZ198" s="1011">
        <v>361.8</v>
      </c>
      <c r="DA198" s="1017">
        <v>-432</v>
      </c>
      <c r="DB198" s="1014">
        <f>-DA198/7.4</f>
        <v>58.378378378378379</v>
      </c>
      <c r="DD198" s="1011">
        <v>337.6</v>
      </c>
      <c r="DE198" s="1017">
        <v>-385</v>
      </c>
      <c r="DF198" s="1014">
        <f>-DE198/5.9</f>
        <v>65.254237288135585</v>
      </c>
      <c r="DH198" s="1011">
        <v>308.39999999999998</v>
      </c>
      <c r="DI198" s="1017">
        <v>-129</v>
      </c>
      <c r="DJ198" s="1014">
        <f>129/3</f>
        <v>43</v>
      </c>
      <c r="DK198" s="728"/>
      <c r="DL198" s="1011">
        <v>304.50671399999999</v>
      </c>
      <c r="DM198" s="1206">
        <v>0</v>
      </c>
      <c r="DN198" s="1207">
        <v>30</v>
      </c>
      <c r="DO198" s="728"/>
      <c r="DP198" s="1205">
        <f>DL201+DQ198/DR198+0.25</f>
        <v>304.81637699999999</v>
      </c>
      <c r="DQ198" s="1206">
        <v>0</v>
      </c>
      <c r="DR198" s="1207">
        <v>30</v>
      </c>
    </row>
    <row r="199" spans="1:139" outlineLevel="2" x14ac:dyDescent="0.2">
      <c r="A199" s="604" t="s">
        <v>80</v>
      </c>
      <c r="C199" s="425"/>
      <c r="D199" s="639"/>
      <c r="E199" s="697"/>
      <c r="F199" s="697"/>
      <c r="G199" s="729"/>
      <c r="H199" s="639"/>
      <c r="I199" s="697"/>
      <c r="J199" s="697"/>
      <c r="K199" s="729"/>
      <c r="L199" s="639"/>
      <c r="M199" s="710"/>
      <c r="N199" s="710"/>
      <c r="O199" s="710"/>
      <c r="P199" s="639"/>
      <c r="Q199" s="710"/>
      <c r="R199" s="710"/>
      <c r="S199" s="710"/>
      <c r="T199" s="639"/>
      <c r="U199" s="710"/>
      <c r="V199" s="710"/>
      <c r="W199" s="710"/>
      <c r="X199" s="639"/>
      <c r="Y199" s="710"/>
      <c r="Z199" s="710"/>
      <c r="AA199" s="710"/>
      <c r="AB199" s="639"/>
      <c r="AC199" s="710"/>
      <c r="AD199" s="710"/>
      <c r="AE199" s="488"/>
      <c r="AF199" s="639"/>
      <c r="AG199" s="708"/>
      <c r="AH199" s="708"/>
      <c r="AI199" s="639"/>
      <c r="AJ199" s="639"/>
      <c r="AK199" s="708"/>
      <c r="AL199" s="710"/>
      <c r="AM199" s="729"/>
      <c r="AN199" s="639"/>
      <c r="AO199" s="708"/>
      <c r="AP199" s="708"/>
      <c r="AQ199" s="708"/>
      <c r="AR199" s="708"/>
      <c r="AS199" s="488"/>
      <c r="AT199" s="488"/>
      <c r="AU199" s="488"/>
      <c r="AV199" s="708">
        <v>403.836004</v>
      </c>
      <c r="AW199" s="708"/>
      <c r="AX199" s="708"/>
      <c r="AY199" s="708"/>
      <c r="AZ199" s="708">
        <v>385.4</v>
      </c>
      <c r="BA199" s="708"/>
      <c r="BB199" s="708"/>
      <c r="BC199" s="708"/>
      <c r="BD199" s="708">
        <v>392.4</v>
      </c>
      <c r="BE199" s="708"/>
      <c r="BF199" s="708"/>
      <c r="BG199" s="708"/>
      <c r="BH199" s="639">
        <v>365.62</v>
      </c>
      <c r="BI199" s="488"/>
      <c r="BJ199" s="488"/>
      <c r="BK199" s="488"/>
      <c r="BL199" s="639">
        <v>345.39600000000002</v>
      </c>
      <c r="BM199" s="708"/>
      <c r="BN199" s="708"/>
      <c r="BO199" s="708"/>
      <c r="BP199" s="639">
        <v>340.85399999999998</v>
      </c>
      <c r="BQ199" s="488"/>
      <c r="BR199" s="488"/>
      <c r="BS199" s="488"/>
      <c r="BT199" s="639">
        <v>545</v>
      </c>
      <c r="BU199" s="708"/>
      <c r="BV199" s="710"/>
      <c r="BW199" s="708"/>
      <c r="BX199" s="639">
        <v>435.6</v>
      </c>
      <c r="BY199" s="697"/>
      <c r="BZ199" s="488"/>
      <c r="CA199" s="698"/>
      <c r="CB199" s="639">
        <v>420.54819300000003</v>
      </c>
      <c r="CC199" s="697"/>
      <c r="CD199" s="488"/>
      <c r="CE199" s="698"/>
      <c r="CF199" s="639">
        <v>420.5</v>
      </c>
      <c r="CG199" s="697"/>
      <c r="CH199" s="488"/>
      <c r="CI199" s="698"/>
      <c r="CJ199" s="1011">
        <v>422.7</v>
      </c>
      <c r="CK199" s="697"/>
      <c r="CL199" s="488"/>
      <c r="CM199" s="698"/>
      <c r="CN199" s="1011">
        <v>427.5</v>
      </c>
      <c r="CO199" s="667"/>
      <c r="CP199" s="712"/>
      <c r="CQ199" s="390"/>
      <c r="CR199" s="1011">
        <v>404.3</v>
      </c>
      <c r="CS199" s="1017">
        <v>-369</v>
      </c>
      <c r="CT199" s="1014">
        <v>35.409999999999997</v>
      </c>
      <c r="CU199" s="390"/>
      <c r="CV199" s="1011">
        <v>377.9</v>
      </c>
      <c r="CW199" s="1017">
        <v>-446.7</v>
      </c>
      <c r="CX199" s="1014">
        <f>-CW199/9.2</f>
        <v>48.554347826086961</v>
      </c>
      <c r="CY199" s="390"/>
      <c r="CZ199" s="1011">
        <v>353.5</v>
      </c>
      <c r="DA199" s="1017">
        <v>-517</v>
      </c>
      <c r="DB199" s="1014">
        <f>-DA199/8.9</f>
        <v>58.089887640449433</v>
      </c>
      <c r="DD199" s="1011">
        <v>331</v>
      </c>
      <c r="DE199" s="1017">
        <f>-(937-385)</f>
        <v>-552</v>
      </c>
      <c r="DF199" s="1014">
        <f>-DE199/8</f>
        <v>69</v>
      </c>
      <c r="DH199" s="1011">
        <v>308.5</v>
      </c>
      <c r="DI199" s="1017">
        <v>0</v>
      </c>
      <c r="DJ199" s="1020">
        <v>0</v>
      </c>
      <c r="DK199" s="730"/>
      <c r="DL199" s="1011">
        <v>304.558965</v>
      </c>
      <c r="DM199" s="1206">
        <v>0</v>
      </c>
      <c r="DN199" s="1207">
        <v>30</v>
      </c>
      <c r="DO199" s="730"/>
      <c r="DP199" s="1205">
        <f>DP198+DQ199/DR199+0.25</f>
        <v>305.06637699999999</v>
      </c>
      <c r="DQ199" s="1206">
        <v>0</v>
      </c>
      <c r="DR199" s="1207">
        <v>30</v>
      </c>
      <c r="DY199" s="391"/>
    </row>
    <row r="200" spans="1:139" outlineLevel="2" x14ac:dyDescent="0.2">
      <c r="A200" s="604" t="s">
        <v>81</v>
      </c>
      <c r="C200" s="425"/>
      <c r="D200" s="639"/>
      <c r="E200" s="697"/>
      <c r="F200" s="697"/>
      <c r="G200" s="729"/>
      <c r="H200" s="639"/>
      <c r="I200" s="697"/>
      <c r="J200" s="697"/>
      <c r="K200" s="729"/>
      <c r="L200" s="639"/>
      <c r="M200" s="710"/>
      <c r="N200" s="710"/>
      <c r="O200" s="710"/>
      <c r="P200" s="639"/>
      <c r="Q200" s="710"/>
      <c r="R200" s="710"/>
      <c r="S200" s="710"/>
      <c r="T200" s="639"/>
      <c r="U200" s="710"/>
      <c r="V200" s="710"/>
      <c r="W200" s="710"/>
      <c r="X200" s="639"/>
      <c r="Y200" s="710"/>
      <c r="Z200" s="710"/>
      <c r="AA200" s="710"/>
      <c r="AB200" s="639"/>
      <c r="AC200" s="710"/>
      <c r="AD200" s="710"/>
      <c r="AE200" s="488"/>
      <c r="AF200" s="639"/>
      <c r="AG200" s="708"/>
      <c r="AH200" s="708"/>
      <c r="AI200" s="639"/>
      <c r="AJ200" s="639"/>
      <c r="AK200" s="708"/>
      <c r="AL200" s="710"/>
      <c r="AM200" s="729"/>
      <c r="AN200" s="639"/>
      <c r="AO200" s="708"/>
      <c r="AP200" s="708"/>
      <c r="AQ200" s="708"/>
      <c r="AR200" s="708"/>
      <c r="AS200" s="488"/>
      <c r="AT200" s="488"/>
      <c r="AU200" s="488"/>
      <c r="AV200" s="708">
        <v>397.47889600000002</v>
      </c>
      <c r="AW200" s="708"/>
      <c r="AX200" s="708"/>
      <c r="AY200" s="708"/>
      <c r="AZ200" s="708">
        <v>383.4</v>
      </c>
      <c r="BA200" s="708"/>
      <c r="BB200" s="708"/>
      <c r="BC200" s="708"/>
      <c r="BD200" s="708">
        <v>380.4</v>
      </c>
      <c r="BE200" s="708"/>
      <c r="BF200" s="708"/>
      <c r="BG200" s="708"/>
      <c r="BH200" s="639">
        <v>361.58</v>
      </c>
      <c r="BI200" s="488"/>
      <c r="BJ200" s="488"/>
      <c r="BK200" s="488"/>
      <c r="BL200" s="639">
        <v>338.4</v>
      </c>
      <c r="BM200" s="708"/>
      <c r="BN200" s="708"/>
      <c r="BO200" s="708"/>
      <c r="BP200" s="639">
        <v>544.43164000000002</v>
      </c>
      <c r="BQ200" s="488"/>
      <c r="BR200" s="488"/>
      <c r="BS200" s="488"/>
      <c r="BT200" s="639">
        <v>530</v>
      </c>
      <c r="BU200" s="708"/>
      <c r="BV200" s="710"/>
      <c r="BW200" s="708"/>
      <c r="BX200" s="639">
        <v>432.98764799999998</v>
      </c>
      <c r="BY200" s="697"/>
      <c r="BZ200" s="488"/>
      <c r="CA200" s="698"/>
      <c r="CB200" s="639">
        <v>420.56348700000001</v>
      </c>
      <c r="CC200" s="697"/>
      <c r="CD200" s="488"/>
      <c r="CE200" s="698"/>
      <c r="CF200" s="639">
        <v>421</v>
      </c>
      <c r="CG200" s="697"/>
      <c r="CH200" s="488"/>
      <c r="CI200" s="698"/>
      <c r="CJ200" s="1011">
        <v>423</v>
      </c>
      <c r="CK200" s="697"/>
      <c r="CL200" s="488"/>
      <c r="CM200" s="698"/>
      <c r="CN200" s="1011">
        <v>420.6</v>
      </c>
      <c r="CO200" s="667"/>
      <c r="CP200" s="712"/>
      <c r="CQ200" s="390"/>
      <c r="CR200" s="1011">
        <v>395.5</v>
      </c>
      <c r="CS200" s="1017">
        <f>-1018-CS199-CS198</f>
        <v>-403</v>
      </c>
      <c r="CT200" s="1014">
        <f>-CS200/10.3</f>
        <v>39.126213592233007</v>
      </c>
      <c r="CU200" s="390"/>
      <c r="CV200" s="1011">
        <v>368.1</v>
      </c>
      <c r="CW200" s="1017">
        <v>-447</v>
      </c>
      <c r="CX200" s="1014">
        <f>-CW200/10.1</f>
        <v>44.257425742574256</v>
      </c>
      <c r="CY200" s="390"/>
      <c r="CZ200" s="1011">
        <v>346</v>
      </c>
      <c r="DA200" s="1017">
        <v>-534</v>
      </c>
      <c r="DB200" s="1014">
        <f>-DA200/9</f>
        <v>59.333333333333336</v>
      </c>
      <c r="DD200" s="1011">
        <v>314.39999999999998</v>
      </c>
      <c r="DE200" s="1017">
        <v>-900</v>
      </c>
      <c r="DF200" s="1014">
        <f>-DE200/16.7</f>
        <v>53.892215568862277</v>
      </c>
      <c r="DH200" s="1011">
        <f>DH199+DI200/DJ200</f>
        <v>305.5</v>
      </c>
      <c r="DI200" s="1017">
        <v>-108</v>
      </c>
      <c r="DJ200" s="1014">
        <f>DI200/-3</f>
        <v>36</v>
      </c>
      <c r="DK200" s="728"/>
      <c r="DL200" s="1011">
        <v>304.56637699999999</v>
      </c>
      <c r="DM200" s="1206">
        <v>0</v>
      </c>
      <c r="DN200" s="1207">
        <v>30</v>
      </c>
      <c r="DO200" s="728"/>
      <c r="DP200" s="1205">
        <f>DP199+DQ200/DR200+0.25</f>
        <v>305.31637699999999</v>
      </c>
      <c r="DQ200" s="1206">
        <v>0</v>
      </c>
      <c r="DR200" s="1207">
        <v>30</v>
      </c>
      <c r="DZ200" s="286"/>
    </row>
    <row r="201" spans="1:139" outlineLevel="2" x14ac:dyDescent="0.2">
      <c r="A201" s="604" t="s">
        <v>82</v>
      </c>
      <c r="C201" s="425"/>
      <c r="D201" s="641"/>
      <c r="E201" s="697"/>
      <c r="F201" s="697"/>
      <c r="G201" s="729"/>
      <c r="H201" s="641"/>
      <c r="I201" s="697"/>
      <c r="J201" s="697"/>
      <c r="K201" s="729"/>
      <c r="L201" s="641"/>
      <c r="M201" s="710"/>
      <c r="N201" s="710"/>
      <c r="O201" s="710"/>
      <c r="P201" s="641"/>
      <c r="Q201" s="710"/>
      <c r="R201" s="710"/>
      <c r="S201" s="710"/>
      <c r="T201" s="641"/>
      <c r="U201" s="710"/>
      <c r="V201" s="710"/>
      <c r="W201" s="710"/>
      <c r="X201" s="641"/>
      <c r="Y201" s="710"/>
      <c r="Z201" s="710"/>
      <c r="AA201" s="710"/>
      <c r="AB201" s="641"/>
      <c r="AC201" s="710"/>
      <c r="AD201" s="710"/>
      <c r="AE201" s="488"/>
      <c r="AF201" s="641"/>
      <c r="AG201" s="708"/>
      <c r="AH201" s="708"/>
      <c r="AI201" s="639"/>
      <c r="AJ201" s="641"/>
      <c r="AK201" s="708"/>
      <c r="AL201" s="710"/>
      <c r="AM201" s="729"/>
      <c r="AN201" s="641"/>
      <c r="AO201" s="708"/>
      <c r="AP201" s="708"/>
      <c r="AQ201" s="708"/>
      <c r="AR201" s="641"/>
      <c r="AS201" s="488"/>
      <c r="AT201" s="488"/>
      <c r="AU201" s="488"/>
      <c r="AV201" s="641">
        <v>395.34445399999998</v>
      </c>
      <c r="AW201" s="708"/>
      <c r="AX201" s="708"/>
      <c r="AY201" s="708"/>
      <c r="AZ201" s="641">
        <v>402.252748</v>
      </c>
      <c r="BA201" s="708"/>
      <c r="BB201" s="708"/>
      <c r="BC201" s="708"/>
      <c r="BD201" s="641">
        <v>374.65489600000001</v>
      </c>
      <c r="BE201" s="708"/>
      <c r="BF201" s="708"/>
      <c r="BG201" s="708"/>
      <c r="BH201" s="641">
        <v>357</v>
      </c>
      <c r="BI201" s="488"/>
      <c r="BJ201" s="488"/>
      <c r="BK201" s="488"/>
      <c r="BL201" s="641">
        <v>335.19655599999999</v>
      </c>
      <c r="BM201" s="708"/>
      <c r="BN201" s="708"/>
      <c r="BO201" s="708"/>
      <c r="BP201" s="641">
        <v>546.79999999999995</v>
      </c>
      <c r="BQ201" s="488"/>
      <c r="BR201" s="488"/>
      <c r="BS201" s="488"/>
      <c r="BT201" s="641">
        <v>496.9</v>
      </c>
      <c r="BU201" s="708"/>
      <c r="BV201" s="710"/>
      <c r="BW201" s="708"/>
      <c r="BX201" s="641">
        <v>419.7</v>
      </c>
      <c r="BY201" s="697"/>
      <c r="BZ201" s="488"/>
      <c r="CA201" s="698"/>
      <c r="CB201" s="641">
        <v>420.57529799999998</v>
      </c>
      <c r="CC201" s="697"/>
      <c r="CD201" s="488"/>
      <c r="CE201" s="698"/>
      <c r="CF201" s="641">
        <v>421.53</v>
      </c>
      <c r="CG201" s="697"/>
      <c r="CH201" s="488"/>
      <c r="CI201" s="698"/>
      <c r="CJ201" s="1012">
        <v>423.3</v>
      </c>
      <c r="CK201" s="697"/>
      <c r="CL201" s="488"/>
      <c r="CM201" s="698"/>
      <c r="CN201" s="1012">
        <v>414.2</v>
      </c>
      <c r="CO201" s="667"/>
      <c r="CP201" s="712"/>
      <c r="CQ201" s="390"/>
      <c r="CR201" s="1012">
        <v>387.7</v>
      </c>
      <c r="CS201" s="1018">
        <f>-1350-SUM(CS198:CS200)</f>
        <v>-332</v>
      </c>
      <c r="CT201" s="1015">
        <f>-(SUMPRODUCT(CT198:CT200,CS198:CS200)-CT202*CS202)/CS201</f>
        <v>37.984268849880458</v>
      </c>
      <c r="CU201" s="390"/>
      <c r="CV201" s="1012">
        <v>364.9</v>
      </c>
      <c r="CW201" s="1018">
        <f>-1600-CW200-CW199-CW198</f>
        <v>-346.29999999999995</v>
      </c>
      <c r="CX201" s="1015">
        <f>-CW201/(33.6-8.4-9.2-10.1)</f>
        <v>58.694915254237245</v>
      </c>
      <c r="CY201" s="390"/>
      <c r="CZ201" s="1012">
        <f>CZ200+DA201/DB201+((250-100)/DB199/3)</f>
        <v>340.26073500967118</v>
      </c>
      <c r="DA201" s="1018">
        <v>-417</v>
      </c>
      <c r="DB201" s="1015">
        <f>-DA201/(31.9-7.4-8.9-9)</f>
        <v>63.181818181818187</v>
      </c>
      <c r="DD201" s="1012">
        <v>310.3</v>
      </c>
      <c r="DE201" s="1018">
        <f>DE202-DE200-DE199-DE198</f>
        <v>-164</v>
      </c>
      <c r="DF201" s="1019">
        <v>41</v>
      </c>
      <c r="DH201" s="1012">
        <v>304.10000000000002</v>
      </c>
      <c r="DI201" s="1018">
        <v>-150</v>
      </c>
      <c r="DJ201" s="1019">
        <f>DI201/-4</f>
        <v>37.5</v>
      </c>
      <c r="DK201" s="731"/>
      <c r="DL201" s="1021">
        <f>DL200+DM201/DN201</f>
        <v>304.56637699999999</v>
      </c>
      <c r="DM201" s="1206">
        <v>0</v>
      </c>
      <c r="DN201" s="1207">
        <v>30</v>
      </c>
      <c r="DO201" s="731"/>
      <c r="DP201" s="1208">
        <f>DP200+DQ201/DR201+0.25</f>
        <v>305.56637699999999</v>
      </c>
      <c r="DQ201" s="1206">
        <v>0</v>
      </c>
      <c r="DR201" s="1207">
        <v>30</v>
      </c>
      <c r="DZ201" s="286"/>
    </row>
    <row r="202" spans="1:139" ht="13.5" outlineLevel="2" thickBot="1" x14ac:dyDescent="0.25">
      <c r="A202" s="604" t="s">
        <v>83</v>
      </c>
      <c r="C202" s="261"/>
      <c r="D202" s="700"/>
      <c r="E202" s="701"/>
      <c r="F202" s="702"/>
      <c r="G202" s="710"/>
      <c r="H202" s="700"/>
      <c r="I202" s="701"/>
      <c r="J202" s="702"/>
      <c r="K202" s="710"/>
      <c r="L202" s="700"/>
      <c r="M202" s="710"/>
      <c r="N202" s="710"/>
      <c r="O202" s="710"/>
      <c r="P202" s="700"/>
      <c r="Q202" s="710"/>
      <c r="R202" s="710"/>
      <c r="S202" s="710"/>
      <c r="T202" s="700"/>
      <c r="U202" s="710"/>
      <c r="V202" s="710"/>
      <c r="W202" s="710"/>
      <c r="X202" s="700"/>
      <c r="Y202" s="710"/>
      <c r="Z202" s="710"/>
      <c r="AA202" s="710"/>
      <c r="AB202" s="700"/>
      <c r="AC202" s="710"/>
      <c r="AD202" s="710"/>
      <c r="AE202" s="488"/>
      <c r="AF202" s="700"/>
      <c r="AG202" s="732"/>
      <c r="AH202" s="702"/>
      <c r="AI202" s="700"/>
      <c r="AJ202" s="700"/>
      <c r="AK202" s="701"/>
      <c r="AL202" s="702"/>
      <c r="AM202" s="710"/>
      <c r="AN202" s="700"/>
      <c r="AO202" s="701"/>
      <c r="AP202" s="702"/>
      <c r="AQ202" s="710"/>
      <c r="AR202" s="732"/>
      <c r="AS202" s="703"/>
      <c r="AT202" s="704"/>
      <c r="AU202" s="488"/>
      <c r="AV202" s="732">
        <v>395.34445399999998</v>
      </c>
      <c r="AW202" s="703"/>
      <c r="AX202" s="704"/>
      <c r="AY202" s="488"/>
      <c r="AZ202" s="732">
        <v>402.252748</v>
      </c>
      <c r="BA202" s="703"/>
      <c r="BB202" s="704"/>
      <c r="BC202" s="488"/>
      <c r="BD202" s="732">
        <v>374.65489600000001</v>
      </c>
      <c r="BE202" s="703"/>
      <c r="BF202" s="704"/>
      <c r="BG202" s="488"/>
      <c r="BH202" s="700">
        <v>357</v>
      </c>
      <c r="BI202" s="703"/>
      <c r="BJ202" s="705"/>
      <c r="BK202" s="488"/>
      <c r="BL202" s="700">
        <v>335.19655599999999</v>
      </c>
      <c r="BM202" s="703"/>
      <c r="BN202" s="705"/>
      <c r="BO202" s="488"/>
      <c r="BP202" s="700">
        <v>546.79999999999995</v>
      </c>
      <c r="BQ202" s="703"/>
      <c r="BR202" s="704"/>
      <c r="BS202" s="488"/>
      <c r="BT202" s="700">
        <v>496.9</v>
      </c>
      <c r="BU202" s="703"/>
      <c r="BV202" s="704"/>
      <c r="BW202" s="488"/>
      <c r="BX202" s="700">
        <v>419.7</v>
      </c>
      <c r="BY202" s="703"/>
      <c r="BZ202" s="704"/>
      <c r="CA202" s="488"/>
      <c r="CB202" s="700">
        <v>420.57529799999998</v>
      </c>
      <c r="CC202" s="703"/>
      <c r="CD202" s="704"/>
      <c r="CE202" s="488"/>
      <c r="CF202" s="700">
        <v>421.53</v>
      </c>
      <c r="CG202" s="703"/>
      <c r="CH202" s="704"/>
      <c r="CI202" s="488"/>
      <c r="CJ202" s="1013">
        <v>423.3</v>
      </c>
      <c r="CK202" s="703"/>
      <c r="CL202" s="704"/>
      <c r="CM202" s="488"/>
      <c r="CN202" s="1013">
        <v>414.2</v>
      </c>
      <c r="CO202" s="706"/>
      <c r="CP202" s="707"/>
      <c r="CR202" s="1013">
        <v>387.7</v>
      </c>
      <c r="CS202" s="733">
        <f>SUM(CS198:CS201)</f>
        <v>-1350</v>
      </c>
      <c r="CT202" s="1016">
        <f>-CS202/35.6</f>
        <v>37.921348314606739</v>
      </c>
      <c r="CV202" s="1013">
        <v>364.9</v>
      </c>
      <c r="CW202" s="733">
        <f>SUM(CW198:CW201)</f>
        <v>-1600</v>
      </c>
      <c r="CX202" s="1016">
        <f>CW202/33.6</f>
        <v>-47.61904761904762</v>
      </c>
      <c r="CZ202" s="1013">
        <f>CZ201</f>
        <v>340.26073500967118</v>
      </c>
      <c r="DA202" s="733">
        <f>SUM(DA198:DA201)</f>
        <v>-1900</v>
      </c>
      <c r="DB202" s="1016">
        <f>DA202/31.9</f>
        <v>-59.561128526645774</v>
      </c>
      <c r="DD202" s="1013">
        <f>DD201</f>
        <v>310.3</v>
      </c>
      <c r="DE202" s="733">
        <f>flow!AD41</f>
        <v>-2001</v>
      </c>
      <c r="DF202" s="1016">
        <f>SUMPRODUCT(DE198:DE201,DF198:DF201)/DE202</f>
        <v>59.1893430124479</v>
      </c>
      <c r="DH202" s="1013">
        <f>DH201</f>
        <v>304.10000000000002</v>
      </c>
      <c r="DI202" s="733">
        <f>flow!$AE$41</f>
        <v>-316</v>
      </c>
      <c r="DJ202" s="1016">
        <f>SUMPRODUCT(DI198:DI201,DJ198:DJ201)/DI202</f>
        <v>47.658227848101269</v>
      </c>
      <c r="DK202" s="731"/>
      <c r="DL202" s="983">
        <f>DL201</f>
        <v>304.56637699999999</v>
      </c>
      <c r="DM202" s="1210">
        <f>flow!$AF$41</f>
        <v>-1</v>
      </c>
      <c r="DN202" s="1211">
        <v>0</v>
      </c>
      <c r="DO202" s="731"/>
      <c r="DP202" s="1209">
        <f>DP201</f>
        <v>305.56637699999999</v>
      </c>
      <c r="DQ202" s="1210">
        <f>flow!$AF$41</f>
        <v>-1</v>
      </c>
      <c r="DR202" s="1211">
        <v>0</v>
      </c>
      <c r="DY202" s="185" t="s">
        <v>215</v>
      </c>
    </row>
    <row r="203" spans="1:139" outlineLevel="2" x14ac:dyDescent="0.2">
      <c r="AC203" s="710"/>
      <c r="AD203" s="710"/>
      <c r="AE203" s="488"/>
      <c r="DY203" s="185" t="s">
        <v>215</v>
      </c>
    </row>
    <row r="204" spans="1:139" x14ac:dyDescent="0.2">
      <c r="CS204" s="385"/>
      <c r="DI204" s="385"/>
      <c r="DM204" s="385"/>
      <c r="DQ204" s="1092"/>
      <c r="DY204" s="185" t="s">
        <v>215</v>
      </c>
    </row>
    <row r="205" spans="1:139" x14ac:dyDescent="0.2">
      <c r="DY205" s="185" t="s">
        <v>215</v>
      </c>
    </row>
    <row r="206" spans="1:139" x14ac:dyDescent="0.2">
      <c r="DY206" s="185" t="s">
        <v>215</v>
      </c>
    </row>
    <row r="207" spans="1:139" x14ac:dyDescent="0.2">
      <c r="DY207" s="185" t="s">
        <v>215</v>
      </c>
    </row>
    <row r="208" spans="1:139" x14ac:dyDescent="0.2">
      <c r="DY208" s="185" t="s">
        <v>215</v>
      </c>
    </row>
    <row r="209" spans="129:129" x14ac:dyDescent="0.2">
      <c r="DY209" s="185" t="s">
        <v>215</v>
      </c>
    </row>
    <row r="210" spans="129:129" x14ac:dyDescent="0.2">
      <c r="DY210" s="185" t="s">
        <v>215</v>
      </c>
    </row>
    <row r="211" spans="129:129" x14ac:dyDescent="0.2">
      <c r="DY211" s="185" t="s">
        <v>215</v>
      </c>
    </row>
    <row r="212" spans="129:129" x14ac:dyDescent="0.2">
      <c r="DY212" s="185" t="s">
        <v>215</v>
      </c>
    </row>
    <row r="213" spans="129:129" x14ac:dyDescent="0.2">
      <c r="DY213" s="185" t="s">
        <v>215</v>
      </c>
    </row>
    <row r="214" spans="129:129" x14ac:dyDescent="0.2">
      <c r="DY214" s="185" t="s">
        <v>215</v>
      </c>
    </row>
    <row r="215" spans="129:129" x14ac:dyDescent="0.2">
      <c r="DY215" s="185" t="s">
        <v>215</v>
      </c>
    </row>
    <row r="216" spans="129:129" x14ac:dyDescent="0.2">
      <c r="DY216" s="185" t="s">
        <v>215</v>
      </c>
    </row>
    <row r="217" spans="129:129" x14ac:dyDescent="0.2">
      <c r="DY217" s="185" t="s">
        <v>215</v>
      </c>
    </row>
    <row r="218" spans="129:129" x14ac:dyDescent="0.2">
      <c r="DY218" s="185" t="s">
        <v>215</v>
      </c>
    </row>
    <row r="219" spans="129:129" x14ac:dyDescent="0.2">
      <c r="DY219" s="185" t="s">
        <v>215</v>
      </c>
    </row>
    <row r="220" spans="129:129" x14ac:dyDescent="0.2">
      <c r="DY220" s="185" t="s">
        <v>215</v>
      </c>
    </row>
    <row r="221" spans="129:129" x14ac:dyDescent="0.2">
      <c r="DY221" s="185" t="s">
        <v>215</v>
      </c>
    </row>
    <row r="222" spans="129:129" x14ac:dyDescent="0.2">
      <c r="DY222" s="185" t="s">
        <v>215</v>
      </c>
    </row>
    <row r="223" spans="129:129" x14ac:dyDescent="0.2">
      <c r="DY223" s="185" t="s">
        <v>215</v>
      </c>
    </row>
    <row r="224" spans="129:129" x14ac:dyDescent="0.2">
      <c r="DY224" s="185" t="s">
        <v>215</v>
      </c>
    </row>
    <row r="225" spans="129:129" x14ac:dyDescent="0.2">
      <c r="DY225" s="185" t="s">
        <v>215</v>
      </c>
    </row>
    <row r="226" spans="129:129" x14ac:dyDescent="0.2">
      <c r="DY226" s="185" t="s">
        <v>215</v>
      </c>
    </row>
    <row r="227" spans="129:129" x14ac:dyDescent="0.2">
      <c r="DY227" s="185" t="s">
        <v>215</v>
      </c>
    </row>
    <row r="228" spans="129:129" x14ac:dyDescent="0.2">
      <c r="DY228" s="185" t="s">
        <v>215</v>
      </c>
    </row>
    <row r="229" spans="129:129" x14ac:dyDescent="0.2">
      <c r="DY229" s="185" t="s">
        <v>215</v>
      </c>
    </row>
    <row r="230" spans="129:129" x14ac:dyDescent="0.2">
      <c r="DY230" s="185" t="s">
        <v>215</v>
      </c>
    </row>
    <row r="231" spans="129:129" x14ac:dyDescent="0.2">
      <c r="DY231" s="185" t="s">
        <v>215</v>
      </c>
    </row>
    <row r="232" spans="129:129" x14ac:dyDescent="0.2">
      <c r="DY232" s="185" t="s">
        <v>215</v>
      </c>
    </row>
    <row r="233" spans="129:129" x14ac:dyDescent="0.2">
      <c r="DY233" s="185" t="s">
        <v>215</v>
      </c>
    </row>
    <row r="234" spans="129:129" x14ac:dyDescent="0.2">
      <c r="DY234" s="185" t="s">
        <v>215</v>
      </c>
    </row>
    <row r="235" spans="129:129" x14ac:dyDescent="0.2">
      <c r="DY235" s="185" t="s">
        <v>215</v>
      </c>
    </row>
    <row r="236" spans="129:129" x14ac:dyDescent="0.2">
      <c r="DY236" s="185" t="s">
        <v>215</v>
      </c>
    </row>
    <row r="237" spans="129:129" x14ac:dyDescent="0.2">
      <c r="DY237" s="185" t="s">
        <v>215</v>
      </c>
    </row>
    <row r="238" spans="129:129" x14ac:dyDescent="0.2">
      <c r="DY238" s="185" t="s">
        <v>215</v>
      </c>
    </row>
    <row r="239" spans="129:129" x14ac:dyDescent="0.2">
      <c r="DY239" s="185" t="s">
        <v>215</v>
      </c>
    </row>
    <row r="240" spans="129:129" x14ac:dyDescent="0.2">
      <c r="DY240" s="185" t="s">
        <v>215</v>
      </c>
    </row>
    <row r="241" spans="129:129" x14ac:dyDescent="0.2">
      <c r="DY241" s="185" t="s">
        <v>215</v>
      </c>
    </row>
    <row r="242" spans="129:129" x14ac:dyDescent="0.2">
      <c r="DY242" s="185" t="s">
        <v>215</v>
      </c>
    </row>
    <row r="243" spans="129:129" x14ac:dyDescent="0.2">
      <c r="DY243" s="185" t="s">
        <v>215</v>
      </c>
    </row>
    <row r="244" spans="129:129" x14ac:dyDescent="0.2">
      <c r="DY244" s="185" t="s">
        <v>215</v>
      </c>
    </row>
    <row r="245" spans="129:129" x14ac:dyDescent="0.2">
      <c r="DY245" s="185" t="s">
        <v>215</v>
      </c>
    </row>
    <row r="246" spans="129:129" x14ac:dyDescent="0.2">
      <c r="DY246" s="185" t="s">
        <v>215</v>
      </c>
    </row>
    <row r="247" spans="129:129" x14ac:dyDescent="0.2">
      <c r="DY247" s="185" t="s">
        <v>215</v>
      </c>
    </row>
    <row r="248" spans="129:129" x14ac:dyDescent="0.2">
      <c r="DY248" s="185" t="s">
        <v>215</v>
      </c>
    </row>
    <row r="249" spans="129:129" x14ac:dyDescent="0.2">
      <c r="DY249" s="185" t="s">
        <v>215</v>
      </c>
    </row>
    <row r="250" spans="129:129" x14ac:dyDescent="0.2">
      <c r="DY250" s="185" t="s">
        <v>215</v>
      </c>
    </row>
    <row r="251" spans="129:129" x14ac:dyDescent="0.2">
      <c r="DY251" s="185" t="s">
        <v>215</v>
      </c>
    </row>
    <row r="252" spans="129:129" x14ac:dyDescent="0.2">
      <c r="DY252" s="185" t="s">
        <v>215</v>
      </c>
    </row>
    <row r="253" spans="129:129" x14ac:dyDescent="0.2">
      <c r="DY253" s="185" t="s">
        <v>215</v>
      </c>
    </row>
    <row r="254" spans="129:129" x14ac:dyDescent="0.2">
      <c r="DY254" s="185" t="s">
        <v>215</v>
      </c>
    </row>
    <row r="255" spans="129:129" x14ac:dyDescent="0.2">
      <c r="DY255" s="185" t="s">
        <v>215</v>
      </c>
    </row>
    <row r="256" spans="129:129" x14ac:dyDescent="0.2">
      <c r="DY256" s="185" t="s">
        <v>215</v>
      </c>
    </row>
    <row r="257" spans="129:129" x14ac:dyDescent="0.2">
      <c r="DY257" s="185" t="s">
        <v>215</v>
      </c>
    </row>
    <row r="258" spans="129:129" x14ac:dyDescent="0.2">
      <c r="DY258" s="185" t="s">
        <v>215</v>
      </c>
    </row>
    <row r="259" spans="129:129" x14ac:dyDescent="0.2">
      <c r="DY259" s="185" t="s">
        <v>215</v>
      </c>
    </row>
    <row r="260" spans="129:129" x14ac:dyDescent="0.2">
      <c r="DY260" s="185" t="s">
        <v>215</v>
      </c>
    </row>
    <row r="261" spans="129:129" x14ac:dyDescent="0.2">
      <c r="DY261" s="185" t="s">
        <v>215</v>
      </c>
    </row>
    <row r="262" spans="129:129" x14ac:dyDescent="0.2">
      <c r="DY262" s="185" t="s">
        <v>215</v>
      </c>
    </row>
    <row r="263" spans="129:129" x14ac:dyDescent="0.2">
      <c r="DY263" s="185" t="s">
        <v>215</v>
      </c>
    </row>
    <row r="264" spans="129:129" x14ac:dyDescent="0.2">
      <c r="DY264" s="185" t="s">
        <v>215</v>
      </c>
    </row>
    <row r="265" spans="129:129" x14ac:dyDescent="0.2">
      <c r="DY265" s="185" t="s">
        <v>215</v>
      </c>
    </row>
    <row r="266" spans="129:129" x14ac:dyDescent="0.2">
      <c r="DY266" s="185" t="s">
        <v>215</v>
      </c>
    </row>
    <row r="267" spans="129:129" x14ac:dyDescent="0.2">
      <c r="DY267" s="185" t="s">
        <v>215</v>
      </c>
    </row>
    <row r="268" spans="129:129" x14ac:dyDescent="0.2">
      <c r="DY268" s="185" t="s">
        <v>215</v>
      </c>
    </row>
    <row r="269" spans="129:129" x14ac:dyDescent="0.2">
      <c r="DY269" s="185" t="s">
        <v>215</v>
      </c>
    </row>
    <row r="270" spans="129:129" x14ac:dyDescent="0.2">
      <c r="DY270" s="185" t="s">
        <v>215</v>
      </c>
    </row>
    <row r="271" spans="129:129" x14ac:dyDescent="0.2">
      <c r="DY271" s="185" t="s">
        <v>215</v>
      </c>
    </row>
    <row r="272" spans="129:129" x14ac:dyDescent="0.2">
      <c r="DY272" s="185" t="s">
        <v>215</v>
      </c>
    </row>
    <row r="273" spans="129:129" x14ac:dyDescent="0.2">
      <c r="DY273" s="185" t="s">
        <v>215</v>
      </c>
    </row>
    <row r="274" spans="129:129" x14ac:dyDescent="0.2">
      <c r="DY274" s="185" t="s">
        <v>215</v>
      </c>
    </row>
    <row r="275" spans="129:129" x14ac:dyDescent="0.2">
      <c r="DY275" s="185" t="s">
        <v>215</v>
      </c>
    </row>
    <row r="276" spans="129:129" x14ac:dyDescent="0.2">
      <c r="DY276" s="185" t="s">
        <v>215</v>
      </c>
    </row>
    <row r="277" spans="129:129" x14ac:dyDescent="0.2">
      <c r="DY277" s="185" t="s">
        <v>215</v>
      </c>
    </row>
    <row r="278" spans="129:129" x14ac:dyDescent="0.2">
      <c r="DY278" s="185" t="s">
        <v>215</v>
      </c>
    </row>
    <row r="279" spans="129:129" x14ac:dyDescent="0.2">
      <c r="DY279" s="185" t="s">
        <v>215</v>
      </c>
    </row>
    <row r="280" spans="129:129" x14ac:dyDescent="0.2">
      <c r="DY280" s="185" t="s">
        <v>215</v>
      </c>
    </row>
    <row r="281" spans="129:129" x14ac:dyDescent="0.2">
      <c r="DY281" s="185" t="s">
        <v>215</v>
      </c>
    </row>
    <row r="282" spans="129:129" x14ac:dyDescent="0.2">
      <c r="DY282" s="185" t="s">
        <v>215</v>
      </c>
    </row>
    <row r="283" spans="129:129" x14ac:dyDescent="0.2">
      <c r="DY283" s="185" t="s">
        <v>215</v>
      </c>
    </row>
    <row r="284" spans="129:129" x14ac:dyDescent="0.2">
      <c r="DY284" s="185" t="s">
        <v>215</v>
      </c>
    </row>
    <row r="285" spans="129:129" x14ac:dyDescent="0.2">
      <c r="DY285" s="185" t="s">
        <v>215</v>
      </c>
    </row>
    <row r="286" spans="129:129" x14ac:dyDescent="0.2">
      <c r="DY286" s="185" t="s">
        <v>215</v>
      </c>
    </row>
    <row r="287" spans="129:129" x14ac:dyDescent="0.2">
      <c r="DY287" s="185" t="s">
        <v>215</v>
      </c>
    </row>
    <row r="288" spans="129:129" x14ac:dyDescent="0.2">
      <c r="DY288" s="185" t="s">
        <v>215</v>
      </c>
    </row>
    <row r="289" spans="129:129" x14ac:dyDescent="0.2">
      <c r="DY289" s="185" t="s">
        <v>215</v>
      </c>
    </row>
    <row r="290" spans="129:129" x14ac:dyDescent="0.2">
      <c r="DY290" s="185" t="s">
        <v>215</v>
      </c>
    </row>
    <row r="291" spans="129:129" x14ac:dyDescent="0.2">
      <c r="DY291" s="185" t="s">
        <v>215</v>
      </c>
    </row>
    <row r="292" spans="129:129" x14ac:dyDescent="0.2">
      <c r="DY292" s="185" t="s">
        <v>215</v>
      </c>
    </row>
    <row r="293" spans="129:129" x14ac:dyDescent="0.2">
      <c r="DY293" s="185" t="s">
        <v>215</v>
      </c>
    </row>
    <row r="294" spans="129:129" x14ac:dyDescent="0.2">
      <c r="DY294" s="185" t="s">
        <v>215</v>
      </c>
    </row>
    <row r="295" spans="129:129" x14ac:dyDescent="0.2">
      <c r="DY295" s="185" t="s">
        <v>215</v>
      </c>
    </row>
    <row r="296" spans="129:129" x14ac:dyDescent="0.2">
      <c r="DY296" s="185" t="s">
        <v>215</v>
      </c>
    </row>
    <row r="297" spans="129:129" x14ac:dyDescent="0.2">
      <c r="DY297" s="185" t="s">
        <v>215</v>
      </c>
    </row>
    <row r="298" spans="129:129" x14ac:dyDescent="0.2">
      <c r="DY298" s="185" t="s">
        <v>215</v>
      </c>
    </row>
    <row r="299" spans="129:129" x14ac:dyDescent="0.2">
      <c r="DY299" s="185" t="s">
        <v>215</v>
      </c>
    </row>
    <row r="300" spans="129:129" x14ac:dyDescent="0.2">
      <c r="DY300" s="185" t="s">
        <v>215</v>
      </c>
    </row>
    <row r="301" spans="129:129" x14ac:dyDescent="0.2">
      <c r="DY301" s="185" t="s">
        <v>215</v>
      </c>
    </row>
    <row r="302" spans="129:129" x14ac:dyDescent="0.2">
      <c r="DY302" s="185" t="s">
        <v>215</v>
      </c>
    </row>
    <row r="303" spans="129:129" x14ac:dyDescent="0.2">
      <c r="DY303" s="185" t="s">
        <v>215</v>
      </c>
    </row>
    <row r="304" spans="129:129" x14ac:dyDescent="0.2">
      <c r="DY304" s="185" t="s">
        <v>215</v>
      </c>
    </row>
    <row r="305" spans="129:129" x14ac:dyDescent="0.2">
      <c r="DY305" s="185" t="s">
        <v>215</v>
      </c>
    </row>
    <row r="306" spans="129:129" x14ac:dyDescent="0.2">
      <c r="DY306" s="185" t="s">
        <v>215</v>
      </c>
    </row>
    <row r="307" spans="129:129" x14ac:dyDescent="0.2">
      <c r="DY307" s="185" t="s">
        <v>215</v>
      </c>
    </row>
    <row r="308" spans="129:129" x14ac:dyDescent="0.2">
      <c r="DY308" s="185" t="s">
        <v>215</v>
      </c>
    </row>
    <row r="309" spans="129:129" x14ac:dyDescent="0.2">
      <c r="DY309" s="185" t="s">
        <v>215</v>
      </c>
    </row>
    <row r="310" spans="129:129" x14ac:dyDescent="0.2">
      <c r="DY310" s="185" t="s">
        <v>215</v>
      </c>
    </row>
    <row r="311" spans="129:129" x14ac:dyDescent="0.2">
      <c r="DY311" s="185" t="s">
        <v>215</v>
      </c>
    </row>
    <row r="312" spans="129:129" x14ac:dyDescent="0.2">
      <c r="DY312" s="185" t="s">
        <v>215</v>
      </c>
    </row>
    <row r="313" spans="129:129" x14ac:dyDescent="0.2">
      <c r="DY313" s="185" t="s">
        <v>215</v>
      </c>
    </row>
    <row r="314" spans="129:129" x14ac:dyDescent="0.2">
      <c r="DY314" s="185" t="s">
        <v>215</v>
      </c>
    </row>
    <row r="315" spans="129:129" x14ac:dyDescent="0.2">
      <c r="DY315" s="185" t="s">
        <v>215</v>
      </c>
    </row>
    <row r="316" spans="129:129" x14ac:dyDescent="0.2">
      <c r="DY316" s="185" t="s">
        <v>215</v>
      </c>
    </row>
    <row r="317" spans="129:129" x14ac:dyDescent="0.2">
      <c r="DY317" s="185" t="s">
        <v>215</v>
      </c>
    </row>
    <row r="318" spans="129:129" x14ac:dyDescent="0.2">
      <c r="DY318" s="185" t="s">
        <v>215</v>
      </c>
    </row>
    <row r="319" spans="129:129" x14ac:dyDescent="0.2">
      <c r="DY319" s="185" t="s">
        <v>215</v>
      </c>
    </row>
    <row r="320" spans="129:129" x14ac:dyDescent="0.2">
      <c r="DY320" s="185" t="s">
        <v>215</v>
      </c>
    </row>
    <row r="321" spans="129:129" x14ac:dyDescent="0.2">
      <c r="DY321" s="185" t="s">
        <v>215</v>
      </c>
    </row>
    <row r="322" spans="129:129" x14ac:dyDescent="0.2">
      <c r="DY322" s="185" t="s">
        <v>215</v>
      </c>
    </row>
    <row r="323" spans="129:129" x14ac:dyDescent="0.2">
      <c r="DY323" s="185" t="s">
        <v>215</v>
      </c>
    </row>
    <row r="324" spans="129:129" x14ac:dyDescent="0.2">
      <c r="DY324" s="185" t="s">
        <v>215</v>
      </c>
    </row>
    <row r="325" spans="129:129" x14ac:dyDescent="0.2">
      <c r="DY325" s="185" t="s">
        <v>215</v>
      </c>
    </row>
    <row r="326" spans="129:129" x14ac:dyDescent="0.2">
      <c r="DY326" s="185" t="s">
        <v>215</v>
      </c>
    </row>
    <row r="327" spans="129:129" x14ac:dyDescent="0.2">
      <c r="DY327" s="185" t="s">
        <v>215</v>
      </c>
    </row>
    <row r="328" spans="129:129" x14ac:dyDescent="0.2">
      <c r="DY328" s="185" t="s">
        <v>215</v>
      </c>
    </row>
    <row r="329" spans="129:129" x14ac:dyDescent="0.2">
      <c r="DY329" s="185" t="s">
        <v>215</v>
      </c>
    </row>
    <row r="330" spans="129:129" x14ac:dyDescent="0.2">
      <c r="DY330" s="185" t="s">
        <v>215</v>
      </c>
    </row>
    <row r="331" spans="129:129" x14ac:dyDescent="0.2">
      <c r="DY331" s="185" t="s">
        <v>215</v>
      </c>
    </row>
    <row r="332" spans="129:129" x14ac:dyDescent="0.2">
      <c r="DY332" s="185" t="s">
        <v>215</v>
      </c>
    </row>
    <row r="333" spans="129:129" x14ac:dyDescent="0.2">
      <c r="DY333" s="185" t="s">
        <v>215</v>
      </c>
    </row>
    <row r="334" spans="129:129" x14ac:dyDescent="0.2">
      <c r="DY334" s="185" t="s">
        <v>215</v>
      </c>
    </row>
    <row r="335" spans="129:129" x14ac:dyDescent="0.2">
      <c r="DY335" s="185" t="s">
        <v>215</v>
      </c>
    </row>
    <row r="336" spans="129:129" x14ac:dyDescent="0.2">
      <c r="DY336" s="185" t="s">
        <v>215</v>
      </c>
    </row>
    <row r="337" spans="129:129" x14ac:dyDescent="0.2">
      <c r="DY337" s="185" t="s">
        <v>215</v>
      </c>
    </row>
    <row r="338" spans="129:129" x14ac:dyDescent="0.2">
      <c r="DY338" s="185" t="s">
        <v>215</v>
      </c>
    </row>
    <row r="339" spans="129:129" x14ac:dyDescent="0.2">
      <c r="DY339" s="185" t="s">
        <v>215</v>
      </c>
    </row>
    <row r="340" spans="129:129" x14ac:dyDescent="0.2">
      <c r="DY340" s="185" t="s">
        <v>215</v>
      </c>
    </row>
    <row r="341" spans="129:129" x14ac:dyDescent="0.2">
      <c r="DY341" s="185" t="s">
        <v>215</v>
      </c>
    </row>
    <row r="342" spans="129:129" x14ac:dyDescent="0.2">
      <c r="DY342" s="185" t="s">
        <v>215</v>
      </c>
    </row>
    <row r="343" spans="129:129" x14ac:dyDescent="0.2">
      <c r="DY343" s="185" t="s">
        <v>215</v>
      </c>
    </row>
    <row r="344" spans="129:129" x14ac:dyDescent="0.2">
      <c r="DY344" s="185" t="s">
        <v>215</v>
      </c>
    </row>
    <row r="345" spans="129:129" x14ac:dyDescent="0.2">
      <c r="DY345" s="185" t="s">
        <v>215</v>
      </c>
    </row>
    <row r="346" spans="129:129" x14ac:dyDescent="0.2">
      <c r="DY346" s="185" t="s">
        <v>215</v>
      </c>
    </row>
    <row r="347" spans="129:129" x14ac:dyDescent="0.2">
      <c r="DY347" s="185" t="s">
        <v>215</v>
      </c>
    </row>
    <row r="348" spans="129:129" x14ac:dyDescent="0.2">
      <c r="DY348" s="185" t="s">
        <v>215</v>
      </c>
    </row>
    <row r="349" spans="129:129" x14ac:dyDescent="0.2">
      <c r="DY349" s="185" t="s">
        <v>215</v>
      </c>
    </row>
    <row r="350" spans="129:129" x14ac:dyDescent="0.2">
      <c r="DY350" s="185" t="s">
        <v>215</v>
      </c>
    </row>
    <row r="351" spans="129:129" x14ac:dyDescent="0.2">
      <c r="DY351" s="185" t="s">
        <v>215</v>
      </c>
    </row>
    <row r="352" spans="129:129" x14ac:dyDescent="0.2">
      <c r="DY352" s="185" t="s">
        <v>215</v>
      </c>
    </row>
    <row r="353" spans="129:129" x14ac:dyDescent="0.2">
      <c r="DY353" s="185" t="s">
        <v>215</v>
      </c>
    </row>
    <row r="354" spans="129:129" x14ac:dyDescent="0.2">
      <c r="DY354" s="185" t="s">
        <v>215</v>
      </c>
    </row>
    <row r="355" spans="129:129" x14ac:dyDescent="0.2">
      <c r="DY355" s="185" t="s">
        <v>215</v>
      </c>
    </row>
    <row r="356" spans="129:129" x14ac:dyDescent="0.2">
      <c r="DY356" s="185" t="s">
        <v>215</v>
      </c>
    </row>
    <row r="357" spans="129:129" x14ac:dyDescent="0.2">
      <c r="DY357" s="185" t="s">
        <v>215</v>
      </c>
    </row>
    <row r="358" spans="129:129" x14ac:dyDescent="0.2">
      <c r="DY358" s="185" t="s">
        <v>215</v>
      </c>
    </row>
    <row r="359" spans="129:129" x14ac:dyDescent="0.2">
      <c r="DY359" s="185" t="s">
        <v>215</v>
      </c>
    </row>
    <row r="360" spans="129:129" x14ac:dyDescent="0.2">
      <c r="DY360" s="185" t="s">
        <v>215</v>
      </c>
    </row>
    <row r="361" spans="129:129" x14ac:dyDescent="0.2">
      <c r="DY361" s="185" t="s">
        <v>215</v>
      </c>
    </row>
    <row r="362" spans="129:129" x14ac:dyDescent="0.2">
      <c r="DY362" s="185" t="s">
        <v>215</v>
      </c>
    </row>
    <row r="363" spans="129:129" x14ac:dyDescent="0.2">
      <c r="DY363" s="185" t="s">
        <v>215</v>
      </c>
    </row>
    <row r="364" spans="129:129" x14ac:dyDescent="0.2">
      <c r="DY364" s="185" t="s">
        <v>215</v>
      </c>
    </row>
    <row r="365" spans="129:129" x14ac:dyDescent="0.2">
      <c r="DY365" s="185" t="s">
        <v>215</v>
      </c>
    </row>
    <row r="366" spans="129:129" x14ac:dyDescent="0.2">
      <c r="DY366" s="185" t="s">
        <v>215</v>
      </c>
    </row>
    <row r="367" spans="129:129" x14ac:dyDescent="0.2">
      <c r="DY367" s="185" t="s">
        <v>215</v>
      </c>
    </row>
    <row r="368" spans="129:129" x14ac:dyDescent="0.2">
      <c r="DY368" s="185" t="s">
        <v>215</v>
      </c>
    </row>
    <row r="369" spans="129:129" x14ac:dyDescent="0.2">
      <c r="DY369" s="185" t="s">
        <v>215</v>
      </c>
    </row>
    <row r="370" spans="129:129" x14ac:dyDescent="0.2">
      <c r="DY370" s="185" t="s">
        <v>215</v>
      </c>
    </row>
    <row r="371" spans="129:129" x14ac:dyDescent="0.2">
      <c r="DY371" s="185" t="s">
        <v>215</v>
      </c>
    </row>
    <row r="372" spans="129:129" x14ac:dyDescent="0.2">
      <c r="DY372" s="185" t="s">
        <v>215</v>
      </c>
    </row>
    <row r="373" spans="129:129" x14ac:dyDescent="0.2">
      <c r="DY373" s="185" t="s">
        <v>215</v>
      </c>
    </row>
    <row r="374" spans="129:129" x14ac:dyDescent="0.2">
      <c r="DY374" s="185" t="s">
        <v>215</v>
      </c>
    </row>
    <row r="375" spans="129:129" x14ac:dyDescent="0.2">
      <c r="DY375" s="185" t="s">
        <v>215</v>
      </c>
    </row>
    <row r="376" spans="129:129" x14ac:dyDescent="0.2">
      <c r="DY376" s="185" t="s">
        <v>215</v>
      </c>
    </row>
    <row r="377" spans="129:129" x14ac:dyDescent="0.2">
      <c r="DY377" s="185" t="s">
        <v>215</v>
      </c>
    </row>
    <row r="378" spans="129:129" x14ac:dyDescent="0.2">
      <c r="DY378" s="185" t="s">
        <v>215</v>
      </c>
    </row>
    <row r="379" spans="129:129" x14ac:dyDescent="0.2">
      <c r="DY379" s="185" t="s">
        <v>215</v>
      </c>
    </row>
    <row r="380" spans="129:129" x14ac:dyDescent="0.2">
      <c r="DY380" s="185" t="s">
        <v>215</v>
      </c>
    </row>
    <row r="381" spans="129:129" x14ac:dyDescent="0.2">
      <c r="DY381" s="185" t="s">
        <v>215</v>
      </c>
    </row>
    <row r="382" spans="129:129" x14ac:dyDescent="0.2">
      <c r="DY382" s="185" t="s">
        <v>215</v>
      </c>
    </row>
    <row r="383" spans="129:129" x14ac:dyDescent="0.2">
      <c r="DY383" s="185" t="s">
        <v>215</v>
      </c>
    </row>
    <row r="384" spans="129:129" x14ac:dyDescent="0.2">
      <c r="DY384" s="185" t="s">
        <v>215</v>
      </c>
    </row>
    <row r="385" spans="129:129" x14ac:dyDescent="0.2">
      <c r="DY385" s="185" t="s">
        <v>215</v>
      </c>
    </row>
    <row r="386" spans="129:129" x14ac:dyDescent="0.2">
      <c r="DY386" s="185" t="s">
        <v>215</v>
      </c>
    </row>
    <row r="387" spans="129:129" x14ac:dyDescent="0.2">
      <c r="DY387" s="185" t="s">
        <v>215</v>
      </c>
    </row>
    <row r="388" spans="129:129" x14ac:dyDescent="0.2">
      <c r="DY388" s="185" t="s">
        <v>215</v>
      </c>
    </row>
    <row r="389" spans="129:129" x14ac:dyDescent="0.2">
      <c r="DY389" s="185" t="s">
        <v>215</v>
      </c>
    </row>
    <row r="390" spans="129:129" x14ac:dyDescent="0.2">
      <c r="DY390" s="185" t="s">
        <v>215</v>
      </c>
    </row>
    <row r="391" spans="129:129" x14ac:dyDescent="0.2">
      <c r="DY391" s="185" t="s">
        <v>215</v>
      </c>
    </row>
    <row r="392" spans="129:129" x14ac:dyDescent="0.2">
      <c r="DY392" s="185" t="s">
        <v>215</v>
      </c>
    </row>
    <row r="393" spans="129:129" x14ac:dyDescent="0.2">
      <c r="DY393" s="185" t="s">
        <v>215</v>
      </c>
    </row>
    <row r="394" spans="129:129" x14ac:dyDescent="0.2">
      <c r="DY394" s="185" t="s">
        <v>215</v>
      </c>
    </row>
    <row r="395" spans="129:129" x14ac:dyDescent="0.2">
      <c r="DY395" s="185" t="s">
        <v>215</v>
      </c>
    </row>
    <row r="396" spans="129:129" x14ac:dyDescent="0.2">
      <c r="DY396" s="185" t="s">
        <v>215</v>
      </c>
    </row>
    <row r="397" spans="129:129" x14ac:dyDescent="0.2">
      <c r="DY397" s="185" t="s">
        <v>215</v>
      </c>
    </row>
    <row r="398" spans="129:129" x14ac:dyDescent="0.2">
      <c r="DY398" s="185" t="s">
        <v>215</v>
      </c>
    </row>
    <row r="399" spans="129:129" x14ac:dyDescent="0.2">
      <c r="DY399" s="185" t="s">
        <v>215</v>
      </c>
    </row>
    <row r="400" spans="129:129" x14ac:dyDescent="0.2">
      <c r="DY400" s="185" t="s">
        <v>215</v>
      </c>
    </row>
    <row r="401" spans="129:129" x14ac:dyDescent="0.2">
      <c r="DY401" s="185" t="s">
        <v>215</v>
      </c>
    </row>
    <row r="402" spans="129:129" x14ac:dyDescent="0.2">
      <c r="DY402" s="185" t="s">
        <v>215</v>
      </c>
    </row>
    <row r="403" spans="129:129" x14ac:dyDescent="0.2">
      <c r="DY403" s="185" t="s">
        <v>215</v>
      </c>
    </row>
    <row r="404" spans="129:129" x14ac:dyDescent="0.2">
      <c r="DY404" s="185" t="s">
        <v>215</v>
      </c>
    </row>
    <row r="405" spans="129:129" x14ac:dyDescent="0.2">
      <c r="DY405" s="185" t="s">
        <v>215</v>
      </c>
    </row>
    <row r="406" spans="129:129" x14ac:dyDescent="0.2">
      <c r="DY406" s="185" t="s">
        <v>215</v>
      </c>
    </row>
    <row r="407" spans="129:129" x14ac:dyDescent="0.2">
      <c r="DY407" s="185" t="s">
        <v>215</v>
      </c>
    </row>
    <row r="408" spans="129:129" x14ac:dyDescent="0.2">
      <c r="DY408" s="185" t="s">
        <v>215</v>
      </c>
    </row>
    <row r="409" spans="129:129" x14ac:dyDescent="0.2">
      <c r="DY409" s="185" t="s">
        <v>215</v>
      </c>
    </row>
    <row r="410" spans="129:129" x14ac:dyDescent="0.2">
      <c r="DY410" s="185" t="s">
        <v>215</v>
      </c>
    </row>
    <row r="411" spans="129:129" x14ac:dyDescent="0.2">
      <c r="DY411" s="185" t="s">
        <v>215</v>
      </c>
    </row>
    <row r="412" spans="129:129" x14ac:dyDescent="0.2">
      <c r="DY412" s="185" t="s">
        <v>215</v>
      </c>
    </row>
    <row r="413" spans="129:129" x14ac:dyDescent="0.2">
      <c r="DY413" s="185" t="s">
        <v>215</v>
      </c>
    </row>
    <row r="414" spans="129:129" x14ac:dyDescent="0.2">
      <c r="DY414" s="185" t="s">
        <v>215</v>
      </c>
    </row>
    <row r="415" spans="129:129" x14ac:dyDescent="0.2">
      <c r="DY415" s="185" t="s">
        <v>215</v>
      </c>
    </row>
    <row r="416" spans="129:129" x14ac:dyDescent="0.2">
      <c r="DY416" s="185" t="s">
        <v>215</v>
      </c>
    </row>
    <row r="417" spans="129:129" x14ac:dyDescent="0.2">
      <c r="DY417" s="185" t="s">
        <v>215</v>
      </c>
    </row>
    <row r="418" spans="129:129" x14ac:dyDescent="0.2">
      <c r="DY418" s="185" t="s">
        <v>215</v>
      </c>
    </row>
    <row r="419" spans="129:129" x14ac:dyDescent="0.2">
      <c r="DY419" s="185" t="s">
        <v>215</v>
      </c>
    </row>
    <row r="420" spans="129:129" x14ac:dyDescent="0.2">
      <c r="DY420" s="185" t="s">
        <v>215</v>
      </c>
    </row>
    <row r="421" spans="129:129" x14ac:dyDescent="0.2">
      <c r="DY421" s="185" t="s">
        <v>215</v>
      </c>
    </row>
    <row r="422" spans="129:129" x14ac:dyDescent="0.2">
      <c r="DY422" s="185" t="s">
        <v>215</v>
      </c>
    </row>
    <row r="423" spans="129:129" x14ac:dyDescent="0.2">
      <c r="DY423" s="185" t="s">
        <v>215</v>
      </c>
    </row>
    <row r="424" spans="129:129" x14ac:dyDescent="0.2">
      <c r="DY424" s="185" t="s">
        <v>215</v>
      </c>
    </row>
    <row r="425" spans="129:129" x14ac:dyDescent="0.2">
      <c r="DY425" s="185" t="s">
        <v>215</v>
      </c>
    </row>
    <row r="426" spans="129:129" x14ac:dyDescent="0.2">
      <c r="DY426" s="185" t="s">
        <v>215</v>
      </c>
    </row>
    <row r="427" spans="129:129" x14ac:dyDescent="0.2">
      <c r="DY427" s="185" t="s">
        <v>215</v>
      </c>
    </row>
    <row r="428" spans="129:129" x14ac:dyDescent="0.2">
      <c r="DY428" s="185" t="s">
        <v>215</v>
      </c>
    </row>
    <row r="429" spans="129:129" x14ac:dyDescent="0.2">
      <c r="DY429" s="185" t="s">
        <v>215</v>
      </c>
    </row>
    <row r="430" spans="129:129" x14ac:dyDescent="0.2">
      <c r="DY430" s="185" t="s">
        <v>215</v>
      </c>
    </row>
    <row r="431" spans="129:129" x14ac:dyDescent="0.2">
      <c r="DY431" s="185" t="s">
        <v>215</v>
      </c>
    </row>
    <row r="432" spans="129:129" x14ac:dyDescent="0.2">
      <c r="DY432" s="185" t="s">
        <v>215</v>
      </c>
    </row>
    <row r="433" spans="129:129" x14ac:dyDescent="0.2">
      <c r="DY433" s="185" t="s">
        <v>215</v>
      </c>
    </row>
    <row r="434" spans="129:129" x14ac:dyDescent="0.2">
      <c r="DY434" s="185" t="s">
        <v>215</v>
      </c>
    </row>
    <row r="435" spans="129:129" x14ac:dyDescent="0.2">
      <c r="DY435" s="185" t="s">
        <v>215</v>
      </c>
    </row>
    <row r="436" spans="129:129" x14ac:dyDescent="0.2">
      <c r="DY436" s="185" t="s">
        <v>215</v>
      </c>
    </row>
    <row r="437" spans="129:129" x14ac:dyDescent="0.2">
      <c r="DY437" s="185" t="s">
        <v>215</v>
      </c>
    </row>
    <row r="438" spans="129:129" x14ac:dyDescent="0.2">
      <c r="DY438" s="185" t="s">
        <v>215</v>
      </c>
    </row>
    <row r="439" spans="129:129" x14ac:dyDescent="0.2">
      <c r="DY439" s="185" t="s">
        <v>215</v>
      </c>
    </row>
    <row r="440" spans="129:129" x14ac:dyDescent="0.2">
      <c r="DY440" s="185" t="s">
        <v>215</v>
      </c>
    </row>
    <row r="441" spans="129:129" x14ac:dyDescent="0.2">
      <c r="DY441" s="185" t="s">
        <v>215</v>
      </c>
    </row>
    <row r="442" spans="129:129" x14ac:dyDescent="0.2">
      <c r="DY442" s="185" t="s">
        <v>215</v>
      </c>
    </row>
    <row r="443" spans="129:129" x14ac:dyDescent="0.2">
      <c r="DY443" s="185" t="s">
        <v>215</v>
      </c>
    </row>
    <row r="444" spans="129:129" x14ac:dyDescent="0.2">
      <c r="DY444" s="185" t="s">
        <v>215</v>
      </c>
    </row>
    <row r="445" spans="129:129" x14ac:dyDescent="0.2">
      <c r="DY445" s="185" t="s">
        <v>215</v>
      </c>
    </row>
    <row r="446" spans="129:129" x14ac:dyDescent="0.2">
      <c r="DY446" s="185" t="s">
        <v>215</v>
      </c>
    </row>
    <row r="447" spans="129:129" x14ac:dyDescent="0.2">
      <c r="DY447" s="185" t="s">
        <v>215</v>
      </c>
    </row>
    <row r="448" spans="129:129" x14ac:dyDescent="0.2">
      <c r="DY448" s="185" t="s">
        <v>215</v>
      </c>
    </row>
    <row r="449" spans="129:129" x14ac:dyDescent="0.2">
      <c r="DY449" s="185" t="s">
        <v>215</v>
      </c>
    </row>
    <row r="450" spans="129:129" x14ac:dyDescent="0.2">
      <c r="DY450" s="185" t="s">
        <v>215</v>
      </c>
    </row>
    <row r="451" spans="129:129" x14ac:dyDescent="0.2">
      <c r="DY451" s="185" t="s">
        <v>215</v>
      </c>
    </row>
    <row r="452" spans="129:129" x14ac:dyDescent="0.2">
      <c r="DY452" s="185" t="s">
        <v>215</v>
      </c>
    </row>
    <row r="453" spans="129:129" x14ac:dyDescent="0.2">
      <c r="DY453" s="185" t="s">
        <v>215</v>
      </c>
    </row>
    <row r="454" spans="129:129" x14ac:dyDescent="0.2">
      <c r="DY454" s="185" t="s">
        <v>215</v>
      </c>
    </row>
    <row r="455" spans="129:129" x14ac:dyDescent="0.2">
      <c r="DY455" s="185" t="s">
        <v>215</v>
      </c>
    </row>
    <row r="456" spans="129:129" x14ac:dyDescent="0.2">
      <c r="DY456" s="185" t="s">
        <v>215</v>
      </c>
    </row>
    <row r="457" spans="129:129" x14ac:dyDescent="0.2">
      <c r="DY457" s="185" t="s">
        <v>215</v>
      </c>
    </row>
    <row r="458" spans="129:129" x14ac:dyDescent="0.2">
      <c r="DY458" s="185" t="s">
        <v>215</v>
      </c>
    </row>
    <row r="459" spans="129:129" x14ac:dyDescent="0.2">
      <c r="DY459" s="185" t="s">
        <v>215</v>
      </c>
    </row>
    <row r="460" spans="129:129" x14ac:dyDescent="0.2">
      <c r="DY460" s="185" t="s">
        <v>215</v>
      </c>
    </row>
    <row r="461" spans="129:129" x14ac:dyDescent="0.2">
      <c r="DY461" s="185" t="s">
        <v>215</v>
      </c>
    </row>
    <row r="462" spans="129:129" x14ac:dyDescent="0.2">
      <c r="DY462" s="185" t="s">
        <v>215</v>
      </c>
    </row>
    <row r="463" spans="129:129" x14ac:dyDescent="0.2">
      <c r="DY463" s="185" t="s">
        <v>215</v>
      </c>
    </row>
    <row r="464" spans="129:129" x14ac:dyDescent="0.2">
      <c r="DY464" s="185" t="s">
        <v>215</v>
      </c>
    </row>
    <row r="465" spans="129:129" x14ac:dyDescent="0.2">
      <c r="DY465" s="185" t="s">
        <v>215</v>
      </c>
    </row>
    <row r="466" spans="129:129" x14ac:dyDescent="0.2">
      <c r="DY466" s="185" t="s">
        <v>215</v>
      </c>
    </row>
    <row r="467" spans="129:129" x14ac:dyDescent="0.2">
      <c r="DY467" s="185" t="s">
        <v>215</v>
      </c>
    </row>
    <row r="468" spans="129:129" x14ac:dyDescent="0.2">
      <c r="DY468" s="185" t="s">
        <v>215</v>
      </c>
    </row>
    <row r="469" spans="129:129" x14ac:dyDescent="0.2">
      <c r="DY469" s="185" t="s">
        <v>215</v>
      </c>
    </row>
    <row r="470" spans="129:129" x14ac:dyDescent="0.2">
      <c r="DY470" s="185" t="s">
        <v>215</v>
      </c>
    </row>
    <row r="471" spans="129:129" x14ac:dyDescent="0.2">
      <c r="DY471" s="185" t="s">
        <v>215</v>
      </c>
    </row>
    <row r="472" spans="129:129" x14ac:dyDescent="0.2">
      <c r="DY472" s="185" t="s">
        <v>215</v>
      </c>
    </row>
    <row r="473" spans="129:129" x14ac:dyDescent="0.2">
      <c r="DY473" s="185" t="s">
        <v>215</v>
      </c>
    </row>
    <row r="474" spans="129:129" x14ac:dyDescent="0.2">
      <c r="DY474" s="185" t="s">
        <v>215</v>
      </c>
    </row>
    <row r="475" spans="129:129" x14ac:dyDescent="0.2">
      <c r="DY475" s="185" t="s">
        <v>215</v>
      </c>
    </row>
    <row r="476" spans="129:129" x14ac:dyDescent="0.2">
      <c r="DY476" s="185" t="s">
        <v>215</v>
      </c>
    </row>
    <row r="477" spans="129:129" x14ac:dyDescent="0.2">
      <c r="DY477" s="185" t="s">
        <v>215</v>
      </c>
    </row>
    <row r="478" spans="129:129" x14ac:dyDescent="0.2">
      <c r="DY478" s="185" t="s">
        <v>215</v>
      </c>
    </row>
    <row r="479" spans="129:129" x14ac:dyDescent="0.2">
      <c r="DY479" s="185" t="s">
        <v>215</v>
      </c>
    </row>
    <row r="480" spans="129:129" x14ac:dyDescent="0.2">
      <c r="DY480" s="185" t="s">
        <v>215</v>
      </c>
    </row>
    <row r="481" spans="129:129" x14ac:dyDescent="0.2">
      <c r="DY481" s="185" t="s">
        <v>215</v>
      </c>
    </row>
    <row r="482" spans="129:129" x14ac:dyDescent="0.2">
      <c r="DY482" s="185" t="s">
        <v>215</v>
      </c>
    </row>
    <row r="483" spans="129:129" x14ac:dyDescent="0.2">
      <c r="DY483" s="185" t="s">
        <v>215</v>
      </c>
    </row>
    <row r="484" spans="129:129" x14ac:dyDescent="0.2">
      <c r="DY484" s="185" t="s">
        <v>215</v>
      </c>
    </row>
    <row r="485" spans="129:129" x14ac:dyDescent="0.2">
      <c r="DY485" s="185" t="s">
        <v>215</v>
      </c>
    </row>
    <row r="486" spans="129:129" x14ac:dyDescent="0.2">
      <c r="DY486" s="185" t="s">
        <v>215</v>
      </c>
    </row>
    <row r="487" spans="129:129" x14ac:dyDescent="0.2">
      <c r="DY487" s="185" t="s">
        <v>215</v>
      </c>
    </row>
    <row r="488" spans="129:129" x14ac:dyDescent="0.2">
      <c r="DY488" s="185" t="s">
        <v>215</v>
      </c>
    </row>
    <row r="489" spans="129:129" x14ac:dyDescent="0.2">
      <c r="DY489" s="185" t="s">
        <v>215</v>
      </c>
    </row>
    <row r="490" spans="129:129" x14ac:dyDescent="0.2">
      <c r="DY490" s="185" t="s">
        <v>215</v>
      </c>
    </row>
    <row r="491" spans="129:129" x14ac:dyDescent="0.2">
      <c r="DY491" s="185" t="s">
        <v>215</v>
      </c>
    </row>
    <row r="492" spans="129:129" x14ac:dyDescent="0.2">
      <c r="DY492" s="185" t="s">
        <v>215</v>
      </c>
    </row>
    <row r="493" spans="129:129" x14ac:dyDescent="0.2">
      <c r="DY493" s="185" t="s">
        <v>215</v>
      </c>
    </row>
    <row r="494" spans="129:129" x14ac:dyDescent="0.2">
      <c r="DY494" s="185" t="s">
        <v>215</v>
      </c>
    </row>
    <row r="495" spans="129:129" x14ac:dyDescent="0.2">
      <c r="DY495" s="185" t="s">
        <v>215</v>
      </c>
    </row>
    <row r="496" spans="129:129" x14ac:dyDescent="0.2">
      <c r="DY496" s="185" t="s">
        <v>215</v>
      </c>
    </row>
    <row r="497" spans="129:129" x14ac:dyDescent="0.2">
      <c r="DY497" s="185" t="s">
        <v>215</v>
      </c>
    </row>
    <row r="498" spans="129:129" x14ac:dyDescent="0.2">
      <c r="DY498" s="185" t="s">
        <v>215</v>
      </c>
    </row>
    <row r="499" spans="129:129" x14ac:dyDescent="0.2">
      <c r="DY499" s="185" t="s">
        <v>215</v>
      </c>
    </row>
    <row r="500" spans="129:129" x14ac:dyDescent="0.2">
      <c r="DY500" s="185" t="s">
        <v>215</v>
      </c>
    </row>
    <row r="501" spans="129:129" x14ac:dyDescent="0.2">
      <c r="DY501" s="185" t="s">
        <v>215</v>
      </c>
    </row>
    <row r="502" spans="129:129" x14ac:dyDescent="0.2">
      <c r="DY502" s="185" t="s">
        <v>215</v>
      </c>
    </row>
    <row r="503" spans="129:129" x14ac:dyDescent="0.2">
      <c r="DY503" s="185" t="s">
        <v>215</v>
      </c>
    </row>
    <row r="504" spans="129:129" x14ac:dyDescent="0.2">
      <c r="DY504" s="185" t="s">
        <v>215</v>
      </c>
    </row>
    <row r="505" spans="129:129" x14ac:dyDescent="0.2">
      <c r="DY505" s="185" t="s">
        <v>215</v>
      </c>
    </row>
    <row r="506" spans="129:129" x14ac:dyDescent="0.2">
      <c r="DY506" s="185" t="s">
        <v>215</v>
      </c>
    </row>
    <row r="507" spans="129:129" x14ac:dyDescent="0.2">
      <c r="DY507" s="185" t="s">
        <v>215</v>
      </c>
    </row>
    <row r="508" spans="129:129" x14ac:dyDescent="0.2">
      <c r="DY508" s="185" t="s">
        <v>215</v>
      </c>
    </row>
    <row r="509" spans="129:129" x14ac:dyDescent="0.2">
      <c r="DY509" s="185" t="s">
        <v>215</v>
      </c>
    </row>
    <row r="510" spans="129:129" x14ac:dyDescent="0.2">
      <c r="DY510" s="185" t="s">
        <v>215</v>
      </c>
    </row>
    <row r="511" spans="129:129" x14ac:dyDescent="0.2">
      <c r="DY511" s="185" t="s">
        <v>215</v>
      </c>
    </row>
    <row r="512" spans="129:129" x14ac:dyDescent="0.2">
      <c r="DY512" s="185" t="s">
        <v>215</v>
      </c>
    </row>
    <row r="513" spans="129:129" x14ac:dyDescent="0.2">
      <c r="DY513" s="185" t="s">
        <v>215</v>
      </c>
    </row>
    <row r="514" spans="129:129" x14ac:dyDescent="0.2">
      <c r="DY514" s="185" t="s">
        <v>215</v>
      </c>
    </row>
    <row r="515" spans="129:129" x14ac:dyDescent="0.2">
      <c r="DY515" s="185" t="s">
        <v>215</v>
      </c>
    </row>
    <row r="516" spans="129:129" x14ac:dyDescent="0.2">
      <c r="DY516" s="185" t="s">
        <v>215</v>
      </c>
    </row>
    <row r="517" spans="129:129" x14ac:dyDescent="0.2">
      <c r="DY517" s="185" t="s">
        <v>215</v>
      </c>
    </row>
    <row r="518" spans="129:129" x14ac:dyDescent="0.2">
      <c r="DY518" s="185" t="s">
        <v>215</v>
      </c>
    </row>
    <row r="519" spans="129:129" x14ac:dyDescent="0.2">
      <c r="DY519" s="185" t="s">
        <v>215</v>
      </c>
    </row>
    <row r="520" spans="129:129" x14ac:dyDescent="0.2">
      <c r="DY520" s="185" t="s">
        <v>215</v>
      </c>
    </row>
    <row r="521" spans="129:129" x14ac:dyDescent="0.2">
      <c r="DY521" s="185" t="s">
        <v>215</v>
      </c>
    </row>
    <row r="522" spans="129:129" x14ac:dyDescent="0.2">
      <c r="DY522" s="185" t="s">
        <v>215</v>
      </c>
    </row>
    <row r="523" spans="129:129" x14ac:dyDescent="0.2">
      <c r="DY523" s="185" t="s">
        <v>215</v>
      </c>
    </row>
    <row r="524" spans="129:129" x14ac:dyDescent="0.2">
      <c r="DY524" s="185" t="s">
        <v>215</v>
      </c>
    </row>
    <row r="525" spans="129:129" x14ac:dyDescent="0.2">
      <c r="DY525" s="185" t="s">
        <v>215</v>
      </c>
    </row>
    <row r="526" spans="129:129" x14ac:dyDescent="0.2">
      <c r="DY526" s="185" t="s">
        <v>215</v>
      </c>
    </row>
    <row r="527" spans="129:129" x14ac:dyDescent="0.2">
      <c r="DY527" s="185" t="s">
        <v>215</v>
      </c>
    </row>
    <row r="528" spans="129:129" x14ac:dyDescent="0.2">
      <c r="DY528" s="185" t="s">
        <v>215</v>
      </c>
    </row>
    <row r="529" spans="129:129" x14ac:dyDescent="0.2">
      <c r="DY529" s="185" t="s">
        <v>215</v>
      </c>
    </row>
    <row r="530" spans="129:129" x14ac:dyDescent="0.2">
      <c r="DY530" s="185" t="s">
        <v>215</v>
      </c>
    </row>
    <row r="531" spans="129:129" x14ac:dyDescent="0.2">
      <c r="DY531" s="185" t="s">
        <v>215</v>
      </c>
    </row>
    <row r="532" spans="129:129" x14ac:dyDescent="0.2">
      <c r="DY532" s="185" t="s">
        <v>215</v>
      </c>
    </row>
    <row r="533" spans="129:129" x14ac:dyDescent="0.2">
      <c r="DY533" s="185" t="s">
        <v>215</v>
      </c>
    </row>
    <row r="534" spans="129:129" x14ac:dyDescent="0.2">
      <c r="DY534" s="185" t="s">
        <v>215</v>
      </c>
    </row>
    <row r="535" spans="129:129" x14ac:dyDescent="0.2">
      <c r="DY535" s="185" t="s">
        <v>215</v>
      </c>
    </row>
    <row r="536" spans="129:129" x14ac:dyDescent="0.2">
      <c r="DY536" s="185" t="s">
        <v>215</v>
      </c>
    </row>
    <row r="537" spans="129:129" x14ac:dyDescent="0.2">
      <c r="DY537" s="185" t="s">
        <v>215</v>
      </c>
    </row>
    <row r="538" spans="129:129" x14ac:dyDescent="0.2">
      <c r="DY538" s="185" t="s">
        <v>215</v>
      </c>
    </row>
    <row r="539" spans="129:129" x14ac:dyDescent="0.2">
      <c r="DY539" s="185" t="s">
        <v>215</v>
      </c>
    </row>
    <row r="540" spans="129:129" x14ac:dyDescent="0.2">
      <c r="DY540" s="185" t="s">
        <v>215</v>
      </c>
    </row>
    <row r="541" spans="129:129" x14ac:dyDescent="0.2">
      <c r="DY541" s="185" t="s">
        <v>215</v>
      </c>
    </row>
    <row r="542" spans="129:129" x14ac:dyDescent="0.2">
      <c r="DY542" s="185" t="s">
        <v>215</v>
      </c>
    </row>
    <row r="543" spans="129:129" x14ac:dyDescent="0.2">
      <c r="DY543" s="185" t="s">
        <v>215</v>
      </c>
    </row>
    <row r="544" spans="129:129" x14ac:dyDescent="0.2">
      <c r="DY544" s="185" t="s">
        <v>215</v>
      </c>
    </row>
    <row r="545" spans="129:129" x14ac:dyDescent="0.2">
      <c r="DY545" s="185" t="s">
        <v>215</v>
      </c>
    </row>
    <row r="546" spans="129:129" x14ac:dyDescent="0.2">
      <c r="DY546" s="185" t="s">
        <v>215</v>
      </c>
    </row>
    <row r="547" spans="129:129" x14ac:dyDescent="0.2">
      <c r="DY547" s="185" t="s">
        <v>215</v>
      </c>
    </row>
    <row r="548" spans="129:129" x14ac:dyDescent="0.2">
      <c r="DY548" s="185" t="s">
        <v>215</v>
      </c>
    </row>
    <row r="549" spans="129:129" x14ac:dyDescent="0.2">
      <c r="DY549" s="185" t="s">
        <v>215</v>
      </c>
    </row>
    <row r="550" spans="129:129" x14ac:dyDescent="0.2">
      <c r="DY550" s="185" t="s">
        <v>215</v>
      </c>
    </row>
    <row r="551" spans="129:129" x14ac:dyDescent="0.2">
      <c r="DY551" s="185" t="s">
        <v>215</v>
      </c>
    </row>
    <row r="552" spans="129:129" x14ac:dyDescent="0.2">
      <c r="DY552" s="185" t="s">
        <v>215</v>
      </c>
    </row>
    <row r="553" spans="129:129" x14ac:dyDescent="0.2">
      <c r="DY553" s="185" t="s">
        <v>215</v>
      </c>
    </row>
    <row r="554" spans="129:129" x14ac:dyDescent="0.2">
      <c r="DY554" s="185" t="s">
        <v>215</v>
      </c>
    </row>
    <row r="555" spans="129:129" x14ac:dyDescent="0.2">
      <c r="DY555" s="185" t="s">
        <v>215</v>
      </c>
    </row>
    <row r="556" spans="129:129" x14ac:dyDescent="0.2">
      <c r="DY556" s="185" t="s">
        <v>215</v>
      </c>
    </row>
    <row r="557" spans="129:129" x14ac:dyDescent="0.2">
      <c r="DY557" s="185" t="s">
        <v>215</v>
      </c>
    </row>
    <row r="558" spans="129:129" x14ac:dyDescent="0.2">
      <c r="DY558" s="185" t="s">
        <v>215</v>
      </c>
    </row>
    <row r="559" spans="129:129" x14ac:dyDescent="0.2">
      <c r="DY559" s="185" t="s">
        <v>215</v>
      </c>
    </row>
    <row r="560" spans="129:129" x14ac:dyDescent="0.2">
      <c r="DY560" s="185" t="s">
        <v>215</v>
      </c>
    </row>
    <row r="561" spans="129:129" x14ac:dyDescent="0.2">
      <c r="DY561" s="185" t="s">
        <v>215</v>
      </c>
    </row>
    <row r="562" spans="129:129" x14ac:dyDescent="0.2">
      <c r="DY562" s="185" t="s">
        <v>215</v>
      </c>
    </row>
    <row r="563" spans="129:129" x14ac:dyDescent="0.2">
      <c r="DY563" s="185" t="s">
        <v>215</v>
      </c>
    </row>
    <row r="564" spans="129:129" x14ac:dyDescent="0.2">
      <c r="DY564" s="185" t="s">
        <v>215</v>
      </c>
    </row>
    <row r="565" spans="129:129" x14ac:dyDescent="0.2">
      <c r="DY565" s="185" t="s">
        <v>215</v>
      </c>
    </row>
    <row r="566" spans="129:129" x14ac:dyDescent="0.2">
      <c r="DY566" s="185" t="s">
        <v>215</v>
      </c>
    </row>
    <row r="567" spans="129:129" x14ac:dyDescent="0.2">
      <c r="DY567" s="185" t="s">
        <v>215</v>
      </c>
    </row>
    <row r="568" spans="129:129" x14ac:dyDescent="0.2">
      <c r="DY568" s="185" t="s">
        <v>215</v>
      </c>
    </row>
    <row r="569" spans="129:129" x14ac:dyDescent="0.2">
      <c r="DY569" s="185" t="s">
        <v>215</v>
      </c>
    </row>
    <row r="570" spans="129:129" x14ac:dyDescent="0.2">
      <c r="DY570" s="185" t="s">
        <v>215</v>
      </c>
    </row>
    <row r="571" spans="129:129" x14ac:dyDescent="0.2">
      <c r="DY571" s="185" t="s">
        <v>215</v>
      </c>
    </row>
    <row r="572" spans="129:129" x14ac:dyDescent="0.2">
      <c r="DY572" s="185" t="s">
        <v>215</v>
      </c>
    </row>
    <row r="573" spans="129:129" x14ac:dyDescent="0.2">
      <c r="DY573" s="185" t="s">
        <v>215</v>
      </c>
    </row>
    <row r="574" spans="129:129" x14ac:dyDescent="0.2">
      <c r="DY574" s="185" t="s">
        <v>215</v>
      </c>
    </row>
    <row r="575" spans="129:129" x14ac:dyDescent="0.2">
      <c r="DY575" s="185" t="s">
        <v>215</v>
      </c>
    </row>
    <row r="576" spans="129:129" x14ac:dyDescent="0.2">
      <c r="DY576" s="185" t="s">
        <v>215</v>
      </c>
    </row>
    <row r="577" spans="129:129" x14ac:dyDescent="0.2">
      <c r="DY577" s="185" t="s">
        <v>215</v>
      </c>
    </row>
    <row r="578" spans="129:129" x14ac:dyDescent="0.2">
      <c r="DY578" s="185" t="s">
        <v>215</v>
      </c>
    </row>
    <row r="579" spans="129:129" x14ac:dyDescent="0.2">
      <c r="DY579" s="185" t="s">
        <v>215</v>
      </c>
    </row>
    <row r="580" spans="129:129" x14ac:dyDescent="0.2">
      <c r="DY580" s="185" t="s">
        <v>215</v>
      </c>
    </row>
    <row r="581" spans="129:129" x14ac:dyDescent="0.2">
      <c r="DY581" s="185" t="s">
        <v>215</v>
      </c>
    </row>
    <row r="582" spans="129:129" x14ac:dyDescent="0.2">
      <c r="DY582" s="185" t="s">
        <v>215</v>
      </c>
    </row>
    <row r="583" spans="129:129" x14ac:dyDescent="0.2">
      <c r="DY583" s="185" t="s">
        <v>215</v>
      </c>
    </row>
    <row r="584" spans="129:129" x14ac:dyDescent="0.2">
      <c r="DY584" s="185" t="s">
        <v>215</v>
      </c>
    </row>
    <row r="585" spans="129:129" x14ac:dyDescent="0.2">
      <c r="DY585" s="185" t="s">
        <v>215</v>
      </c>
    </row>
    <row r="586" spans="129:129" x14ac:dyDescent="0.2">
      <c r="DY586" s="185" t="s">
        <v>215</v>
      </c>
    </row>
    <row r="587" spans="129:129" x14ac:dyDescent="0.2">
      <c r="DY587" s="185" t="s">
        <v>215</v>
      </c>
    </row>
    <row r="588" spans="129:129" x14ac:dyDescent="0.2">
      <c r="DY588" s="185" t="s">
        <v>215</v>
      </c>
    </row>
    <row r="589" spans="129:129" x14ac:dyDescent="0.2">
      <c r="DY589" s="185" t="s">
        <v>215</v>
      </c>
    </row>
    <row r="590" spans="129:129" x14ac:dyDescent="0.2">
      <c r="DY590" s="185" t="s">
        <v>215</v>
      </c>
    </row>
    <row r="591" spans="129:129" x14ac:dyDescent="0.2">
      <c r="DY591" s="185" t="s">
        <v>215</v>
      </c>
    </row>
    <row r="592" spans="129:129" x14ac:dyDescent="0.2">
      <c r="DY592" s="185" t="s">
        <v>215</v>
      </c>
    </row>
    <row r="593" spans="129:129" x14ac:dyDescent="0.2">
      <c r="DY593" s="185" t="s">
        <v>215</v>
      </c>
    </row>
    <row r="594" spans="129:129" x14ac:dyDescent="0.2">
      <c r="DY594" s="185" t="s">
        <v>215</v>
      </c>
    </row>
    <row r="595" spans="129:129" x14ac:dyDescent="0.2">
      <c r="DY595" s="185" t="s">
        <v>215</v>
      </c>
    </row>
    <row r="596" spans="129:129" x14ac:dyDescent="0.2">
      <c r="DY596" s="185" t="s">
        <v>215</v>
      </c>
    </row>
    <row r="597" spans="129:129" x14ac:dyDescent="0.2">
      <c r="DY597" s="185" t="s">
        <v>215</v>
      </c>
    </row>
    <row r="598" spans="129:129" x14ac:dyDescent="0.2">
      <c r="DY598" s="185" t="s">
        <v>215</v>
      </c>
    </row>
    <row r="599" spans="129:129" x14ac:dyDescent="0.2">
      <c r="DY599" s="185" t="s">
        <v>215</v>
      </c>
    </row>
    <row r="600" spans="129:129" x14ac:dyDescent="0.2">
      <c r="DY600" s="185" t="s">
        <v>215</v>
      </c>
    </row>
    <row r="601" spans="129:129" x14ac:dyDescent="0.2">
      <c r="DY601" s="185" t="s">
        <v>215</v>
      </c>
    </row>
    <row r="602" spans="129:129" x14ac:dyDescent="0.2">
      <c r="DY602" s="185" t="s">
        <v>215</v>
      </c>
    </row>
    <row r="603" spans="129:129" x14ac:dyDescent="0.2">
      <c r="DY603" s="185" t="s">
        <v>215</v>
      </c>
    </row>
    <row r="604" spans="129:129" x14ac:dyDescent="0.2">
      <c r="DY604" s="185" t="s">
        <v>215</v>
      </c>
    </row>
    <row r="605" spans="129:129" x14ac:dyDescent="0.2">
      <c r="DY605" s="185" t="s">
        <v>215</v>
      </c>
    </row>
    <row r="606" spans="129:129" x14ac:dyDescent="0.2">
      <c r="DY606" s="185" t="s">
        <v>215</v>
      </c>
    </row>
    <row r="607" spans="129:129" x14ac:dyDescent="0.2">
      <c r="DY607" s="185" t="s">
        <v>215</v>
      </c>
    </row>
    <row r="608" spans="129:129" x14ac:dyDescent="0.2">
      <c r="DY608" s="185" t="s">
        <v>215</v>
      </c>
    </row>
    <row r="609" spans="129:129" x14ac:dyDescent="0.2">
      <c r="DY609" s="185" t="s">
        <v>215</v>
      </c>
    </row>
    <row r="610" spans="129:129" x14ac:dyDescent="0.2">
      <c r="DY610" s="185" t="s">
        <v>215</v>
      </c>
    </row>
    <row r="611" spans="129:129" x14ac:dyDescent="0.2">
      <c r="DY611" s="185" t="s">
        <v>215</v>
      </c>
    </row>
    <row r="612" spans="129:129" x14ac:dyDescent="0.2">
      <c r="DY612" s="185" t="s">
        <v>215</v>
      </c>
    </row>
    <row r="613" spans="129:129" x14ac:dyDescent="0.2">
      <c r="DY613" s="185" t="s">
        <v>215</v>
      </c>
    </row>
    <row r="614" spans="129:129" x14ac:dyDescent="0.2">
      <c r="DY614" s="185" t="s">
        <v>215</v>
      </c>
    </row>
    <row r="615" spans="129:129" x14ac:dyDescent="0.2">
      <c r="DY615" s="185" t="s">
        <v>215</v>
      </c>
    </row>
    <row r="616" spans="129:129" x14ac:dyDescent="0.2">
      <c r="DY616" s="185" t="s">
        <v>215</v>
      </c>
    </row>
    <row r="617" spans="129:129" x14ac:dyDescent="0.2">
      <c r="DY617" s="185" t="s">
        <v>215</v>
      </c>
    </row>
    <row r="618" spans="129:129" x14ac:dyDescent="0.2">
      <c r="DY618" s="185" t="s">
        <v>215</v>
      </c>
    </row>
    <row r="619" spans="129:129" x14ac:dyDescent="0.2">
      <c r="DY619" s="185" t="s">
        <v>215</v>
      </c>
    </row>
    <row r="620" spans="129:129" x14ac:dyDescent="0.2">
      <c r="DY620" s="185" t="s">
        <v>215</v>
      </c>
    </row>
    <row r="621" spans="129:129" x14ac:dyDescent="0.2">
      <c r="DY621" s="185" t="s">
        <v>215</v>
      </c>
    </row>
    <row r="622" spans="129:129" x14ac:dyDescent="0.2">
      <c r="DY622" s="185" t="s">
        <v>215</v>
      </c>
    </row>
    <row r="623" spans="129:129" x14ac:dyDescent="0.2">
      <c r="DY623" s="185" t="s">
        <v>215</v>
      </c>
    </row>
    <row r="624" spans="129:129" x14ac:dyDescent="0.2">
      <c r="DY624" s="185" t="s">
        <v>215</v>
      </c>
    </row>
    <row r="625" spans="129:129" x14ac:dyDescent="0.2">
      <c r="DY625" s="185" t="s">
        <v>215</v>
      </c>
    </row>
    <row r="626" spans="129:129" x14ac:dyDescent="0.2">
      <c r="DY626" s="185" t="s">
        <v>215</v>
      </c>
    </row>
    <row r="627" spans="129:129" x14ac:dyDescent="0.2">
      <c r="DY627" s="185" t="s">
        <v>215</v>
      </c>
    </row>
    <row r="628" spans="129:129" x14ac:dyDescent="0.2">
      <c r="DY628" s="185" t="s">
        <v>215</v>
      </c>
    </row>
    <row r="629" spans="129:129" x14ac:dyDescent="0.2">
      <c r="DY629" s="185" t="s">
        <v>215</v>
      </c>
    </row>
    <row r="630" spans="129:129" x14ac:dyDescent="0.2">
      <c r="DY630" s="185" t="s">
        <v>215</v>
      </c>
    </row>
    <row r="631" spans="129:129" x14ac:dyDescent="0.2">
      <c r="DY631" s="185" t="s">
        <v>215</v>
      </c>
    </row>
    <row r="632" spans="129:129" x14ac:dyDescent="0.2">
      <c r="DY632" s="185" t="s">
        <v>215</v>
      </c>
    </row>
    <row r="633" spans="129:129" x14ac:dyDescent="0.2">
      <c r="DY633" s="185" t="s">
        <v>215</v>
      </c>
    </row>
    <row r="634" spans="129:129" x14ac:dyDescent="0.2">
      <c r="DY634" s="185" t="s">
        <v>215</v>
      </c>
    </row>
    <row r="635" spans="129:129" x14ac:dyDescent="0.2">
      <c r="DY635" s="185" t="s">
        <v>215</v>
      </c>
    </row>
    <row r="636" spans="129:129" x14ac:dyDescent="0.2">
      <c r="DY636" s="185" t="s">
        <v>215</v>
      </c>
    </row>
    <row r="637" spans="129:129" x14ac:dyDescent="0.2">
      <c r="DY637" s="185" t="s">
        <v>215</v>
      </c>
    </row>
    <row r="638" spans="129:129" x14ac:dyDescent="0.2">
      <c r="DY638" s="185" t="s">
        <v>215</v>
      </c>
    </row>
    <row r="639" spans="129:129" x14ac:dyDescent="0.2">
      <c r="DY639" s="185" t="s">
        <v>215</v>
      </c>
    </row>
    <row r="640" spans="129:129" x14ac:dyDescent="0.2">
      <c r="DY640" s="185" t="s">
        <v>215</v>
      </c>
    </row>
    <row r="641" spans="129:129" x14ac:dyDescent="0.2">
      <c r="DY641" s="185" t="s">
        <v>215</v>
      </c>
    </row>
    <row r="642" spans="129:129" x14ac:dyDescent="0.2">
      <c r="DY642" s="185" t="s">
        <v>215</v>
      </c>
    </row>
    <row r="643" spans="129:129" x14ac:dyDescent="0.2">
      <c r="DY643" s="185" t="s">
        <v>215</v>
      </c>
    </row>
    <row r="644" spans="129:129" x14ac:dyDescent="0.2">
      <c r="DY644" s="185" t="s">
        <v>215</v>
      </c>
    </row>
    <row r="645" spans="129:129" x14ac:dyDescent="0.2">
      <c r="DY645" s="185" t="s">
        <v>215</v>
      </c>
    </row>
    <row r="646" spans="129:129" x14ac:dyDescent="0.2">
      <c r="DY646" s="185" t="s">
        <v>215</v>
      </c>
    </row>
    <row r="647" spans="129:129" x14ac:dyDescent="0.2">
      <c r="DY647" s="185" t="s">
        <v>215</v>
      </c>
    </row>
    <row r="648" spans="129:129" x14ac:dyDescent="0.2">
      <c r="DY648" s="185" t="s">
        <v>215</v>
      </c>
    </row>
    <row r="649" spans="129:129" x14ac:dyDescent="0.2">
      <c r="DY649" s="185" t="s">
        <v>215</v>
      </c>
    </row>
    <row r="650" spans="129:129" x14ac:dyDescent="0.2">
      <c r="DY650" s="185" t="s">
        <v>215</v>
      </c>
    </row>
    <row r="651" spans="129:129" x14ac:dyDescent="0.2">
      <c r="DY651" s="185" t="s">
        <v>215</v>
      </c>
    </row>
    <row r="652" spans="129:129" x14ac:dyDescent="0.2">
      <c r="DY652" s="185" t="s">
        <v>215</v>
      </c>
    </row>
    <row r="653" spans="129:129" x14ac:dyDescent="0.2">
      <c r="DY653" s="185" t="s">
        <v>215</v>
      </c>
    </row>
    <row r="654" spans="129:129" x14ac:dyDescent="0.2">
      <c r="DY654" s="185" t="s">
        <v>215</v>
      </c>
    </row>
    <row r="655" spans="129:129" x14ac:dyDescent="0.2">
      <c r="DY655" s="185" t="s">
        <v>215</v>
      </c>
    </row>
    <row r="656" spans="129:129" x14ac:dyDescent="0.2">
      <c r="DY656" s="185" t="s">
        <v>215</v>
      </c>
    </row>
    <row r="657" spans="129:129" x14ac:dyDescent="0.2">
      <c r="DY657" s="185" t="s">
        <v>215</v>
      </c>
    </row>
    <row r="658" spans="129:129" x14ac:dyDescent="0.2">
      <c r="DY658" s="185" t="s">
        <v>215</v>
      </c>
    </row>
    <row r="659" spans="129:129" x14ac:dyDescent="0.2">
      <c r="DY659" s="185" t="s">
        <v>215</v>
      </c>
    </row>
    <row r="660" spans="129:129" x14ac:dyDescent="0.2">
      <c r="DY660" s="185" t="s">
        <v>215</v>
      </c>
    </row>
    <row r="661" spans="129:129" x14ac:dyDescent="0.2">
      <c r="DY661" s="185" t="s">
        <v>215</v>
      </c>
    </row>
    <row r="662" spans="129:129" x14ac:dyDescent="0.2">
      <c r="DY662" s="185" t="s">
        <v>215</v>
      </c>
    </row>
    <row r="663" spans="129:129" x14ac:dyDescent="0.2">
      <c r="DY663" s="185" t="s">
        <v>215</v>
      </c>
    </row>
    <row r="664" spans="129:129" x14ac:dyDescent="0.2">
      <c r="DY664" s="185" t="s">
        <v>215</v>
      </c>
    </row>
    <row r="665" spans="129:129" x14ac:dyDescent="0.2">
      <c r="DY665" s="185" t="s">
        <v>215</v>
      </c>
    </row>
    <row r="666" spans="129:129" x14ac:dyDescent="0.2">
      <c r="DY666" s="185" t="s">
        <v>215</v>
      </c>
    </row>
    <row r="667" spans="129:129" x14ac:dyDescent="0.2">
      <c r="DY667" s="185" t="s">
        <v>215</v>
      </c>
    </row>
    <row r="668" spans="129:129" x14ac:dyDescent="0.2">
      <c r="DY668" s="185" t="s">
        <v>215</v>
      </c>
    </row>
    <row r="669" spans="129:129" x14ac:dyDescent="0.2">
      <c r="DY669" s="185" t="s">
        <v>215</v>
      </c>
    </row>
    <row r="670" spans="129:129" x14ac:dyDescent="0.2">
      <c r="DY670" s="185" t="s">
        <v>215</v>
      </c>
    </row>
    <row r="671" spans="129:129" x14ac:dyDescent="0.2">
      <c r="DY671" s="185" t="s">
        <v>215</v>
      </c>
    </row>
    <row r="672" spans="129:129" x14ac:dyDescent="0.2">
      <c r="DY672" s="185" t="s">
        <v>215</v>
      </c>
    </row>
    <row r="673" spans="129:129" x14ac:dyDescent="0.2">
      <c r="DY673" s="185" t="s">
        <v>215</v>
      </c>
    </row>
    <row r="674" spans="129:129" x14ac:dyDescent="0.2">
      <c r="DY674" s="185" t="s">
        <v>215</v>
      </c>
    </row>
    <row r="675" spans="129:129" x14ac:dyDescent="0.2">
      <c r="DY675" s="185" t="s">
        <v>215</v>
      </c>
    </row>
    <row r="676" spans="129:129" x14ac:dyDescent="0.2">
      <c r="DY676" s="185" t="s">
        <v>215</v>
      </c>
    </row>
    <row r="677" spans="129:129" x14ac:dyDescent="0.2">
      <c r="DY677" s="185" t="s">
        <v>215</v>
      </c>
    </row>
    <row r="678" spans="129:129" x14ac:dyDescent="0.2">
      <c r="DY678" s="185" t="s">
        <v>215</v>
      </c>
    </row>
    <row r="679" spans="129:129" x14ac:dyDescent="0.2">
      <c r="DY679" s="185" t="s">
        <v>215</v>
      </c>
    </row>
    <row r="680" spans="129:129" x14ac:dyDescent="0.2">
      <c r="DY680" s="185" t="s">
        <v>215</v>
      </c>
    </row>
    <row r="681" spans="129:129" x14ac:dyDescent="0.2">
      <c r="DY681" s="185" t="s">
        <v>215</v>
      </c>
    </row>
    <row r="682" spans="129:129" x14ac:dyDescent="0.2">
      <c r="DY682" s="185" t="s">
        <v>215</v>
      </c>
    </row>
    <row r="683" spans="129:129" x14ac:dyDescent="0.2">
      <c r="DY683" s="185" t="s">
        <v>215</v>
      </c>
    </row>
    <row r="684" spans="129:129" x14ac:dyDescent="0.2">
      <c r="DY684" s="185" t="s">
        <v>215</v>
      </c>
    </row>
    <row r="685" spans="129:129" x14ac:dyDescent="0.2">
      <c r="DY685" s="185" t="s">
        <v>215</v>
      </c>
    </row>
    <row r="686" spans="129:129" x14ac:dyDescent="0.2">
      <c r="DY686" s="185" t="s">
        <v>215</v>
      </c>
    </row>
    <row r="687" spans="129:129" x14ac:dyDescent="0.2">
      <c r="DY687" s="185" t="s">
        <v>215</v>
      </c>
    </row>
    <row r="688" spans="129:129" x14ac:dyDescent="0.2">
      <c r="DY688" s="185" t="s">
        <v>215</v>
      </c>
    </row>
    <row r="689" spans="129:129" x14ac:dyDescent="0.2">
      <c r="DY689" s="185" t="s">
        <v>215</v>
      </c>
    </row>
    <row r="690" spans="129:129" x14ac:dyDescent="0.2">
      <c r="DY690" s="185" t="s">
        <v>215</v>
      </c>
    </row>
    <row r="691" spans="129:129" x14ac:dyDescent="0.2">
      <c r="DY691" s="185" t="s">
        <v>215</v>
      </c>
    </row>
    <row r="692" spans="129:129" x14ac:dyDescent="0.2">
      <c r="DY692" s="185" t="s">
        <v>215</v>
      </c>
    </row>
    <row r="693" spans="129:129" x14ac:dyDescent="0.2">
      <c r="DY693" s="185" t="s">
        <v>215</v>
      </c>
    </row>
    <row r="694" spans="129:129" x14ac:dyDescent="0.2">
      <c r="DY694" s="185" t="s">
        <v>215</v>
      </c>
    </row>
    <row r="695" spans="129:129" x14ac:dyDescent="0.2">
      <c r="DY695" s="185" t="s">
        <v>215</v>
      </c>
    </row>
    <row r="696" spans="129:129" x14ac:dyDescent="0.2">
      <c r="DY696" s="185" t="s">
        <v>215</v>
      </c>
    </row>
    <row r="697" spans="129:129" x14ac:dyDescent="0.2">
      <c r="DY697" s="185" t="s">
        <v>215</v>
      </c>
    </row>
    <row r="698" spans="129:129" x14ac:dyDescent="0.2">
      <c r="DY698" s="185" t="s">
        <v>215</v>
      </c>
    </row>
    <row r="699" spans="129:129" x14ac:dyDescent="0.2">
      <c r="DY699" s="185" t="s">
        <v>215</v>
      </c>
    </row>
    <row r="700" spans="129:129" x14ac:dyDescent="0.2">
      <c r="DY700" s="185" t="s">
        <v>215</v>
      </c>
    </row>
    <row r="701" spans="129:129" x14ac:dyDescent="0.2">
      <c r="DY701" s="185" t="s">
        <v>215</v>
      </c>
    </row>
    <row r="702" spans="129:129" x14ac:dyDescent="0.2">
      <c r="DY702" s="185" t="s">
        <v>215</v>
      </c>
    </row>
    <row r="703" spans="129:129" x14ac:dyDescent="0.2">
      <c r="DY703" s="185" t="s">
        <v>215</v>
      </c>
    </row>
    <row r="704" spans="129:129" x14ac:dyDescent="0.2">
      <c r="DY704" s="185" t="s">
        <v>215</v>
      </c>
    </row>
    <row r="705" spans="129:129" x14ac:dyDescent="0.2">
      <c r="DY705" s="185" t="s">
        <v>215</v>
      </c>
    </row>
    <row r="706" spans="129:129" x14ac:dyDescent="0.2">
      <c r="DY706" s="185" t="s">
        <v>215</v>
      </c>
    </row>
    <row r="707" spans="129:129" x14ac:dyDescent="0.2">
      <c r="DY707" s="185" t="s">
        <v>215</v>
      </c>
    </row>
    <row r="708" spans="129:129" x14ac:dyDescent="0.2">
      <c r="DY708" s="185" t="s">
        <v>215</v>
      </c>
    </row>
    <row r="709" spans="129:129" x14ac:dyDescent="0.2">
      <c r="DY709" s="185" t="s">
        <v>215</v>
      </c>
    </row>
    <row r="710" spans="129:129" x14ac:dyDescent="0.2">
      <c r="DY710" s="185" t="s">
        <v>215</v>
      </c>
    </row>
    <row r="711" spans="129:129" x14ac:dyDescent="0.2">
      <c r="DY711" s="185" t="s">
        <v>215</v>
      </c>
    </row>
    <row r="712" spans="129:129" x14ac:dyDescent="0.2">
      <c r="DY712" s="185" t="s">
        <v>215</v>
      </c>
    </row>
    <row r="713" spans="129:129" x14ac:dyDescent="0.2">
      <c r="DY713" s="185" t="s">
        <v>215</v>
      </c>
    </row>
    <row r="714" spans="129:129" x14ac:dyDescent="0.2">
      <c r="DY714" s="185" t="s">
        <v>215</v>
      </c>
    </row>
    <row r="715" spans="129:129" x14ac:dyDescent="0.2">
      <c r="DY715" s="185" t="s">
        <v>215</v>
      </c>
    </row>
    <row r="716" spans="129:129" x14ac:dyDescent="0.2">
      <c r="DY716" s="185" t="s">
        <v>215</v>
      </c>
    </row>
    <row r="717" spans="129:129" x14ac:dyDescent="0.2">
      <c r="DY717" s="185" t="s">
        <v>215</v>
      </c>
    </row>
    <row r="718" spans="129:129" x14ac:dyDescent="0.2">
      <c r="DY718" s="185" t="s">
        <v>215</v>
      </c>
    </row>
    <row r="719" spans="129:129" x14ac:dyDescent="0.2">
      <c r="DY719" s="185" t="s">
        <v>215</v>
      </c>
    </row>
    <row r="720" spans="129:129" x14ac:dyDescent="0.2">
      <c r="DY720" s="185" t="s">
        <v>215</v>
      </c>
    </row>
    <row r="721" spans="129:129" x14ac:dyDescent="0.2">
      <c r="DY721" s="185" t="s">
        <v>215</v>
      </c>
    </row>
    <row r="722" spans="129:129" x14ac:dyDescent="0.2">
      <c r="DY722" s="185" t="s">
        <v>215</v>
      </c>
    </row>
    <row r="723" spans="129:129" x14ac:dyDescent="0.2">
      <c r="DY723" s="185" t="s">
        <v>215</v>
      </c>
    </row>
    <row r="724" spans="129:129" x14ac:dyDescent="0.2">
      <c r="DY724" s="185" t="s">
        <v>215</v>
      </c>
    </row>
    <row r="725" spans="129:129" x14ac:dyDescent="0.2">
      <c r="DY725" s="185" t="s">
        <v>215</v>
      </c>
    </row>
    <row r="726" spans="129:129" x14ac:dyDescent="0.2">
      <c r="DY726" s="185" t="s">
        <v>215</v>
      </c>
    </row>
    <row r="727" spans="129:129" x14ac:dyDescent="0.2">
      <c r="DY727" s="185" t="s">
        <v>215</v>
      </c>
    </row>
    <row r="728" spans="129:129" x14ac:dyDescent="0.2">
      <c r="DY728" s="185" t="s">
        <v>215</v>
      </c>
    </row>
    <row r="729" spans="129:129" x14ac:dyDescent="0.2">
      <c r="DY729" s="185" t="s">
        <v>215</v>
      </c>
    </row>
    <row r="730" spans="129:129" x14ac:dyDescent="0.2">
      <c r="DY730" s="185" t="s">
        <v>215</v>
      </c>
    </row>
    <row r="731" spans="129:129" x14ac:dyDescent="0.2">
      <c r="DY731" s="185" t="s">
        <v>215</v>
      </c>
    </row>
    <row r="732" spans="129:129" x14ac:dyDescent="0.2">
      <c r="DY732" s="185" t="s">
        <v>215</v>
      </c>
    </row>
    <row r="733" spans="129:129" x14ac:dyDescent="0.2">
      <c r="DY733" s="185" t="s">
        <v>215</v>
      </c>
    </row>
    <row r="734" spans="129:129" x14ac:dyDescent="0.2">
      <c r="DY734" s="185" t="s">
        <v>215</v>
      </c>
    </row>
    <row r="735" spans="129:129" x14ac:dyDescent="0.2">
      <c r="DY735" s="185" t="s">
        <v>215</v>
      </c>
    </row>
    <row r="736" spans="129:129" x14ac:dyDescent="0.2">
      <c r="DY736" s="185" t="s">
        <v>215</v>
      </c>
    </row>
    <row r="737" spans="129:129" x14ac:dyDescent="0.2">
      <c r="DY737" s="185" t="s">
        <v>215</v>
      </c>
    </row>
    <row r="738" spans="129:129" x14ac:dyDescent="0.2">
      <c r="DY738" s="185" t="s">
        <v>215</v>
      </c>
    </row>
    <row r="739" spans="129:129" x14ac:dyDescent="0.2">
      <c r="DY739" s="185" t="s">
        <v>215</v>
      </c>
    </row>
    <row r="740" spans="129:129" x14ac:dyDescent="0.2">
      <c r="DY740" s="185" t="s">
        <v>215</v>
      </c>
    </row>
    <row r="741" spans="129:129" x14ac:dyDescent="0.2">
      <c r="DY741" s="185" t="s">
        <v>215</v>
      </c>
    </row>
    <row r="742" spans="129:129" x14ac:dyDescent="0.2">
      <c r="DY742" s="185" t="s">
        <v>215</v>
      </c>
    </row>
    <row r="743" spans="129:129" x14ac:dyDescent="0.2">
      <c r="DY743" s="185" t="s">
        <v>215</v>
      </c>
    </row>
    <row r="744" spans="129:129" x14ac:dyDescent="0.2">
      <c r="DY744" s="185" t="s">
        <v>215</v>
      </c>
    </row>
    <row r="745" spans="129:129" x14ac:dyDescent="0.2">
      <c r="DY745" s="185" t="s">
        <v>215</v>
      </c>
    </row>
    <row r="746" spans="129:129" x14ac:dyDescent="0.2">
      <c r="DY746" s="185" t="s">
        <v>215</v>
      </c>
    </row>
    <row r="747" spans="129:129" x14ac:dyDescent="0.2">
      <c r="DY747" s="185" t="s">
        <v>215</v>
      </c>
    </row>
    <row r="748" spans="129:129" x14ac:dyDescent="0.2">
      <c r="DY748" s="185" t="s">
        <v>215</v>
      </c>
    </row>
    <row r="749" spans="129:129" x14ac:dyDescent="0.2">
      <c r="DY749" s="185" t="s">
        <v>215</v>
      </c>
    </row>
    <row r="750" spans="129:129" x14ac:dyDescent="0.2">
      <c r="DY750" s="185" t="s">
        <v>215</v>
      </c>
    </row>
    <row r="751" spans="129:129" x14ac:dyDescent="0.2">
      <c r="DY751" s="185" t="s">
        <v>215</v>
      </c>
    </row>
    <row r="752" spans="129:129" x14ac:dyDescent="0.2">
      <c r="DY752" s="185" t="s">
        <v>215</v>
      </c>
    </row>
    <row r="753" spans="129:129" x14ac:dyDescent="0.2">
      <c r="DY753" s="185" t="s">
        <v>215</v>
      </c>
    </row>
    <row r="754" spans="129:129" x14ac:dyDescent="0.2">
      <c r="DY754" s="185" t="s">
        <v>215</v>
      </c>
    </row>
    <row r="755" spans="129:129" x14ac:dyDescent="0.2">
      <c r="DY755" s="185" t="s">
        <v>215</v>
      </c>
    </row>
    <row r="756" spans="129:129" x14ac:dyDescent="0.2">
      <c r="DY756" s="185" t="s">
        <v>215</v>
      </c>
    </row>
    <row r="757" spans="129:129" x14ac:dyDescent="0.2">
      <c r="DY757" s="185" t="s">
        <v>215</v>
      </c>
    </row>
    <row r="758" spans="129:129" x14ac:dyDescent="0.2">
      <c r="DY758" s="185" t="s">
        <v>215</v>
      </c>
    </row>
    <row r="759" spans="129:129" x14ac:dyDescent="0.2">
      <c r="DY759" s="185" t="s">
        <v>215</v>
      </c>
    </row>
    <row r="760" spans="129:129" x14ac:dyDescent="0.2">
      <c r="DY760" s="185" t="s">
        <v>215</v>
      </c>
    </row>
    <row r="761" spans="129:129" x14ac:dyDescent="0.2">
      <c r="DY761" s="185" t="s">
        <v>215</v>
      </c>
    </row>
    <row r="762" spans="129:129" x14ac:dyDescent="0.2">
      <c r="DY762" s="185" t="s">
        <v>215</v>
      </c>
    </row>
    <row r="763" spans="129:129" x14ac:dyDescent="0.2">
      <c r="DY763" s="185" t="s">
        <v>215</v>
      </c>
    </row>
    <row r="764" spans="129:129" x14ac:dyDescent="0.2">
      <c r="DY764" s="185" t="s">
        <v>215</v>
      </c>
    </row>
    <row r="765" spans="129:129" x14ac:dyDescent="0.2">
      <c r="DY765" s="185" t="s">
        <v>215</v>
      </c>
    </row>
    <row r="766" spans="129:129" x14ac:dyDescent="0.2">
      <c r="DY766" s="185" t="s">
        <v>215</v>
      </c>
    </row>
    <row r="767" spans="129:129" x14ac:dyDescent="0.2">
      <c r="DY767" s="185" t="s">
        <v>215</v>
      </c>
    </row>
    <row r="768" spans="129:129" x14ac:dyDescent="0.2">
      <c r="DY768" s="185" t="s">
        <v>215</v>
      </c>
    </row>
    <row r="769" spans="129:129" x14ac:dyDescent="0.2">
      <c r="DY769" s="185" t="s">
        <v>215</v>
      </c>
    </row>
    <row r="770" spans="129:129" x14ac:dyDescent="0.2">
      <c r="DY770" s="185" t="s">
        <v>215</v>
      </c>
    </row>
    <row r="771" spans="129:129" x14ac:dyDescent="0.2">
      <c r="DY771" s="185" t="s">
        <v>215</v>
      </c>
    </row>
    <row r="772" spans="129:129" x14ac:dyDescent="0.2">
      <c r="DY772" s="185" t="s">
        <v>215</v>
      </c>
    </row>
    <row r="773" spans="129:129" x14ac:dyDescent="0.2">
      <c r="DY773" s="185" t="s">
        <v>215</v>
      </c>
    </row>
    <row r="774" spans="129:129" x14ac:dyDescent="0.2">
      <c r="DY774" s="185" t="s">
        <v>215</v>
      </c>
    </row>
    <row r="775" spans="129:129" x14ac:dyDescent="0.2">
      <c r="DY775" s="185" t="s">
        <v>215</v>
      </c>
    </row>
    <row r="776" spans="129:129" x14ac:dyDescent="0.2">
      <c r="DY776" s="185" t="s">
        <v>215</v>
      </c>
    </row>
    <row r="777" spans="129:129" x14ac:dyDescent="0.2">
      <c r="DY777" s="185" t="s">
        <v>215</v>
      </c>
    </row>
    <row r="778" spans="129:129" x14ac:dyDescent="0.2">
      <c r="DY778" s="185" t="s">
        <v>215</v>
      </c>
    </row>
    <row r="779" spans="129:129" x14ac:dyDescent="0.2">
      <c r="DY779" s="185" t="s">
        <v>215</v>
      </c>
    </row>
    <row r="780" spans="129:129" x14ac:dyDescent="0.2">
      <c r="DY780" s="185" t="s">
        <v>215</v>
      </c>
    </row>
    <row r="781" spans="129:129" x14ac:dyDescent="0.2">
      <c r="DY781" s="185" t="s">
        <v>215</v>
      </c>
    </row>
    <row r="782" spans="129:129" x14ac:dyDescent="0.2">
      <c r="DY782" s="185" t="s">
        <v>215</v>
      </c>
    </row>
    <row r="783" spans="129:129" x14ac:dyDescent="0.2">
      <c r="DY783" s="185" t="s">
        <v>215</v>
      </c>
    </row>
    <row r="784" spans="129:129" x14ac:dyDescent="0.2">
      <c r="DY784" s="185" t="s">
        <v>215</v>
      </c>
    </row>
    <row r="785" spans="129:129" x14ac:dyDescent="0.2">
      <c r="DY785" s="185" t="s">
        <v>215</v>
      </c>
    </row>
    <row r="786" spans="129:129" x14ac:dyDescent="0.2">
      <c r="DY786" s="185" t="s">
        <v>215</v>
      </c>
    </row>
    <row r="787" spans="129:129" x14ac:dyDescent="0.2">
      <c r="DY787" s="185" t="s">
        <v>215</v>
      </c>
    </row>
    <row r="788" spans="129:129" x14ac:dyDescent="0.2">
      <c r="DY788" s="185" t="s">
        <v>215</v>
      </c>
    </row>
    <row r="789" spans="129:129" x14ac:dyDescent="0.2">
      <c r="DY789" s="185" t="s">
        <v>215</v>
      </c>
    </row>
    <row r="790" spans="129:129" x14ac:dyDescent="0.2">
      <c r="DY790" s="185" t="s">
        <v>215</v>
      </c>
    </row>
    <row r="791" spans="129:129" x14ac:dyDescent="0.2">
      <c r="DY791" s="185" t="s">
        <v>215</v>
      </c>
    </row>
    <row r="792" spans="129:129" x14ac:dyDescent="0.2">
      <c r="DY792" s="185" t="s">
        <v>215</v>
      </c>
    </row>
    <row r="793" spans="129:129" x14ac:dyDescent="0.2">
      <c r="DY793" s="185" t="s">
        <v>215</v>
      </c>
    </row>
    <row r="794" spans="129:129" x14ac:dyDescent="0.2">
      <c r="DY794" s="185" t="s">
        <v>215</v>
      </c>
    </row>
    <row r="795" spans="129:129" x14ac:dyDescent="0.2">
      <c r="DY795" s="185" t="s">
        <v>215</v>
      </c>
    </row>
    <row r="796" spans="129:129" x14ac:dyDescent="0.2">
      <c r="DY796" s="185" t="s">
        <v>215</v>
      </c>
    </row>
    <row r="797" spans="129:129" x14ac:dyDescent="0.2">
      <c r="DY797" s="185" t="s">
        <v>215</v>
      </c>
    </row>
    <row r="798" spans="129:129" x14ac:dyDescent="0.2">
      <c r="DY798" s="185" t="s">
        <v>215</v>
      </c>
    </row>
    <row r="799" spans="129:129" x14ac:dyDescent="0.2">
      <c r="DY799" s="185" t="s">
        <v>215</v>
      </c>
    </row>
    <row r="800" spans="129:129" x14ac:dyDescent="0.2">
      <c r="DY800" s="185" t="s">
        <v>215</v>
      </c>
    </row>
    <row r="801" spans="129:129" x14ac:dyDescent="0.2">
      <c r="DY801" s="185" t="s">
        <v>215</v>
      </c>
    </row>
    <row r="802" spans="129:129" x14ac:dyDescent="0.2">
      <c r="DY802" s="185" t="s">
        <v>215</v>
      </c>
    </row>
    <row r="803" spans="129:129" x14ac:dyDescent="0.2">
      <c r="DY803" s="185" t="s">
        <v>215</v>
      </c>
    </row>
    <row r="804" spans="129:129" x14ac:dyDescent="0.2">
      <c r="DY804" s="185" t="s">
        <v>215</v>
      </c>
    </row>
    <row r="805" spans="129:129" x14ac:dyDescent="0.2">
      <c r="DY805" s="185" t="s">
        <v>215</v>
      </c>
    </row>
    <row r="806" spans="129:129" x14ac:dyDescent="0.2">
      <c r="DY806" s="185" t="s">
        <v>215</v>
      </c>
    </row>
    <row r="807" spans="129:129" x14ac:dyDescent="0.2">
      <c r="DY807" s="185" t="s">
        <v>215</v>
      </c>
    </row>
    <row r="808" spans="129:129" x14ac:dyDescent="0.2">
      <c r="DY808" s="185" t="s">
        <v>215</v>
      </c>
    </row>
    <row r="809" spans="129:129" x14ac:dyDescent="0.2">
      <c r="DY809" s="185" t="s">
        <v>215</v>
      </c>
    </row>
    <row r="810" spans="129:129" x14ac:dyDescent="0.2">
      <c r="DY810" s="185" t="s">
        <v>215</v>
      </c>
    </row>
    <row r="811" spans="129:129" x14ac:dyDescent="0.2">
      <c r="DY811" s="185" t="s">
        <v>215</v>
      </c>
    </row>
    <row r="812" spans="129:129" x14ac:dyDescent="0.2">
      <c r="DY812" s="185" t="s">
        <v>215</v>
      </c>
    </row>
    <row r="813" spans="129:129" x14ac:dyDescent="0.2">
      <c r="DY813" s="185" t="s">
        <v>215</v>
      </c>
    </row>
    <row r="814" spans="129:129" x14ac:dyDescent="0.2">
      <c r="DY814" s="185" t="s">
        <v>215</v>
      </c>
    </row>
    <row r="815" spans="129:129" x14ac:dyDescent="0.2">
      <c r="DY815" s="185" t="s">
        <v>215</v>
      </c>
    </row>
    <row r="816" spans="129:129" x14ac:dyDescent="0.2">
      <c r="DY816" s="185" t="s">
        <v>215</v>
      </c>
    </row>
    <row r="817" spans="129:129" x14ac:dyDescent="0.2">
      <c r="DY817" s="185" t="s">
        <v>215</v>
      </c>
    </row>
    <row r="818" spans="129:129" x14ac:dyDescent="0.2">
      <c r="DY818" s="185" t="s">
        <v>215</v>
      </c>
    </row>
    <row r="819" spans="129:129" x14ac:dyDescent="0.2">
      <c r="DY819" s="185" t="s">
        <v>215</v>
      </c>
    </row>
    <row r="820" spans="129:129" x14ac:dyDescent="0.2">
      <c r="DY820" s="185" t="s">
        <v>215</v>
      </c>
    </row>
    <row r="821" spans="129:129" x14ac:dyDescent="0.2">
      <c r="DY821" s="185" t="s">
        <v>215</v>
      </c>
    </row>
    <row r="822" spans="129:129" x14ac:dyDescent="0.2">
      <c r="DY822" s="185" t="s">
        <v>215</v>
      </c>
    </row>
    <row r="823" spans="129:129" x14ac:dyDescent="0.2">
      <c r="DY823" s="185" t="s">
        <v>215</v>
      </c>
    </row>
    <row r="824" spans="129:129" x14ac:dyDescent="0.2">
      <c r="DY824" s="185" t="s">
        <v>215</v>
      </c>
    </row>
    <row r="825" spans="129:129" x14ac:dyDescent="0.2">
      <c r="DY825" s="185" t="s">
        <v>215</v>
      </c>
    </row>
    <row r="826" spans="129:129" x14ac:dyDescent="0.2">
      <c r="DY826" s="185" t="s">
        <v>215</v>
      </c>
    </row>
    <row r="827" spans="129:129" x14ac:dyDescent="0.2">
      <c r="DY827" s="185" t="s">
        <v>215</v>
      </c>
    </row>
    <row r="828" spans="129:129" x14ac:dyDescent="0.2">
      <c r="DY828" s="185" t="s">
        <v>215</v>
      </c>
    </row>
    <row r="829" spans="129:129" x14ac:dyDescent="0.2">
      <c r="DY829" s="185" t="s">
        <v>215</v>
      </c>
    </row>
    <row r="830" spans="129:129" x14ac:dyDescent="0.2">
      <c r="DY830" s="185" t="s">
        <v>215</v>
      </c>
    </row>
    <row r="831" spans="129:129" x14ac:dyDescent="0.2">
      <c r="DY831" s="185" t="s">
        <v>215</v>
      </c>
    </row>
    <row r="832" spans="129:129" x14ac:dyDescent="0.2">
      <c r="DY832" s="185" t="s">
        <v>215</v>
      </c>
    </row>
    <row r="833" spans="129:129" x14ac:dyDescent="0.2">
      <c r="DY833" s="185" t="s">
        <v>215</v>
      </c>
    </row>
    <row r="834" spans="129:129" x14ac:dyDescent="0.2">
      <c r="DY834" s="185" t="s">
        <v>215</v>
      </c>
    </row>
    <row r="835" spans="129:129" x14ac:dyDescent="0.2">
      <c r="DY835" s="185" t="s">
        <v>215</v>
      </c>
    </row>
    <row r="836" spans="129:129" x14ac:dyDescent="0.2">
      <c r="DY836" s="185" t="s">
        <v>215</v>
      </c>
    </row>
    <row r="837" spans="129:129" x14ac:dyDescent="0.2">
      <c r="DY837" s="185" t="s">
        <v>215</v>
      </c>
    </row>
    <row r="838" spans="129:129" x14ac:dyDescent="0.2">
      <c r="DY838" s="185" t="s">
        <v>215</v>
      </c>
    </row>
    <row r="839" spans="129:129" x14ac:dyDescent="0.2">
      <c r="DY839" s="185" t="s">
        <v>215</v>
      </c>
    </row>
    <row r="840" spans="129:129" x14ac:dyDescent="0.2">
      <c r="DY840" s="185" t="s">
        <v>215</v>
      </c>
    </row>
    <row r="841" spans="129:129" x14ac:dyDescent="0.2">
      <c r="DY841" s="185" t="s">
        <v>215</v>
      </c>
    </row>
    <row r="842" spans="129:129" x14ac:dyDescent="0.2">
      <c r="DY842" s="185" t="s">
        <v>215</v>
      </c>
    </row>
    <row r="843" spans="129:129" x14ac:dyDescent="0.2">
      <c r="DY843" s="185" t="s">
        <v>215</v>
      </c>
    </row>
    <row r="844" spans="129:129" x14ac:dyDescent="0.2">
      <c r="DY844" s="185" t="s">
        <v>215</v>
      </c>
    </row>
    <row r="845" spans="129:129" x14ac:dyDescent="0.2">
      <c r="DY845" s="185" t="s">
        <v>215</v>
      </c>
    </row>
    <row r="846" spans="129:129" x14ac:dyDescent="0.2">
      <c r="DY846" s="185" t="s">
        <v>215</v>
      </c>
    </row>
    <row r="847" spans="129:129" x14ac:dyDescent="0.2">
      <c r="DY847" s="185" t="s">
        <v>215</v>
      </c>
    </row>
    <row r="848" spans="129:129" x14ac:dyDescent="0.2">
      <c r="DY848" s="185" t="s">
        <v>215</v>
      </c>
    </row>
    <row r="849" spans="129:129" x14ac:dyDescent="0.2">
      <c r="DY849" s="185" t="s">
        <v>215</v>
      </c>
    </row>
    <row r="850" spans="129:129" x14ac:dyDescent="0.2">
      <c r="DY850" s="185" t="s">
        <v>215</v>
      </c>
    </row>
    <row r="851" spans="129:129" x14ac:dyDescent="0.2">
      <c r="DY851" s="185" t="s">
        <v>215</v>
      </c>
    </row>
    <row r="852" spans="129:129" x14ac:dyDescent="0.2">
      <c r="DY852" s="185" t="s">
        <v>215</v>
      </c>
    </row>
    <row r="853" spans="129:129" x14ac:dyDescent="0.2">
      <c r="DY853" s="185" t="s">
        <v>215</v>
      </c>
    </row>
    <row r="854" spans="129:129" x14ac:dyDescent="0.2">
      <c r="DY854" s="185" t="s">
        <v>215</v>
      </c>
    </row>
    <row r="855" spans="129:129" x14ac:dyDescent="0.2">
      <c r="DY855" s="185" t="s">
        <v>215</v>
      </c>
    </row>
    <row r="856" spans="129:129" x14ac:dyDescent="0.2">
      <c r="DY856" s="185" t="s">
        <v>215</v>
      </c>
    </row>
    <row r="857" spans="129:129" x14ac:dyDescent="0.2">
      <c r="DY857" s="185" t="s">
        <v>215</v>
      </c>
    </row>
    <row r="858" spans="129:129" x14ac:dyDescent="0.2">
      <c r="DY858" s="185" t="s">
        <v>215</v>
      </c>
    </row>
    <row r="859" spans="129:129" x14ac:dyDescent="0.2">
      <c r="DY859" s="185" t="s">
        <v>215</v>
      </c>
    </row>
    <row r="860" spans="129:129" x14ac:dyDescent="0.2">
      <c r="DY860" s="185" t="s">
        <v>215</v>
      </c>
    </row>
    <row r="861" spans="129:129" x14ac:dyDescent="0.2">
      <c r="DY861" s="185" t="s">
        <v>215</v>
      </c>
    </row>
    <row r="862" spans="129:129" x14ac:dyDescent="0.2">
      <c r="DY862" s="185" t="s">
        <v>215</v>
      </c>
    </row>
    <row r="863" spans="129:129" x14ac:dyDescent="0.2">
      <c r="DY863" s="185" t="s">
        <v>215</v>
      </c>
    </row>
    <row r="864" spans="129:129" x14ac:dyDescent="0.2">
      <c r="DY864" s="185" t="s">
        <v>215</v>
      </c>
    </row>
    <row r="865" spans="129:129" x14ac:dyDescent="0.2">
      <c r="DY865" s="185" t="s">
        <v>215</v>
      </c>
    </row>
    <row r="866" spans="129:129" x14ac:dyDescent="0.2">
      <c r="DY866" s="185" t="s">
        <v>215</v>
      </c>
    </row>
    <row r="867" spans="129:129" x14ac:dyDescent="0.2">
      <c r="DY867" s="185" t="s">
        <v>215</v>
      </c>
    </row>
    <row r="868" spans="129:129" x14ac:dyDescent="0.2">
      <c r="DY868" s="185" t="s">
        <v>215</v>
      </c>
    </row>
    <row r="869" spans="129:129" x14ac:dyDescent="0.2">
      <c r="DY869" s="185" t="s">
        <v>215</v>
      </c>
    </row>
    <row r="870" spans="129:129" x14ac:dyDescent="0.2">
      <c r="DY870" s="185" t="s">
        <v>215</v>
      </c>
    </row>
    <row r="871" spans="129:129" x14ac:dyDescent="0.2">
      <c r="DY871" s="185" t="s">
        <v>215</v>
      </c>
    </row>
    <row r="872" spans="129:129" x14ac:dyDescent="0.2">
      <c r="DY872" s="185" t="s">
        <v>215</v>
      </c>
    </row>
    <row r="873" spans="129:129" x14ac:dyDescent="0.2">
      <c r="DY873" s="185" t="s">
        <v>215</v>
      </c>
    </row>
    <row r="874" spans="129:129" x14ac:dyDescent="0.2">
      <c r="DY874" s="185" t="s">
        <v>215</v>
      </c>
    </row>
    <row r="875" spans="129:129" x14ac:dyDescent="0.2">
      <c r="DY875" s="185" t="s">
        <v>215</v>
      </c>
    </row>
    <row r="876" spans="129:129" x14ac:dyDescent="0.2">
      <c r="DY876" s="185" t="s">
        <v>215</v>
      </c>
    </row>
    <row r="877" spans="129:129" x14ac:dyDescent="0.2">
      <c r="DY877" s="185" t="s">
        <v>215</v>
      </c>
    </row>
    <row r="878" spans="129:129" x14ac:dyDescent="0.2">
      <c r="DY878" s="185" t="s">
        <v>215</v>
      </c>
    </row>
    <row r="879" spans="129:129" x14ac:dyDescent="0.2">
      <c r="DY879" s="185" t="s">
        <v>215</v>
      </c>
    </row>
    <row r="880" spans="129:129" x14ac:dyDescent="0.2">
      <c r="DY880" s="185" t="s">
        <v>215</v>
      </c>
    </row>
    <row r="881" spans="129:129" x14ac:dyDescent="0.2">
      <c r="DY881" s="185" t="s">
        <v>215</v>
      </c>
    </row>
    <row r="882" spans="129:129" x14ac:dyDescent="0.2">
      <c r="DY882" s="185" t="s">
        <v>215</v>
      </c>
    </row>
    <row r="883" spans="129:129" x14ac:dyDescent="0.2">
      <c r="DY883" s="185" t="s">
        <v>215</v>
      </c>
    </row>
    <row r="884" spans="129:129" x14ac:dyDescent="0.2">
      <c r="DY884" s="185" t="s">
        <v>215</v>
      </c>
    </row>
    <row r="885" spans="129:129" x14ac:dyDescent="0.2">
      <c r="DY885" s="185" t="s">
        <v>215</v>
      </c>
    </row>
    <row r="886" spans="129:129" x14ac:dyDescent="0.2">
      <c r="DY886" s="185" t="s">
        <v>215</v>
      </c>
    </row>
    <row r="887" spans="129:129" x14ac:dyDescent="0.2">
      <c r="DY887" s="185" t="s">
        <v>215</v>
      </c>
    </row>
    <row r="888" spans="129:129" x14ac:dyDescent="0.2">
      <c r="DY888" s="185" t="s">
        <v>215</v>
      </c>
    </row>
    <row r="889" spans="129:129" x14ac:dyDescent="0.2">
      <c r="DY889" s="185" t="s">
        <v>215</v>
      </c>
    </row>
    <row r="890" spans="129:129" x14ac:dyDescent="0.2">
      <c r="DY890" s="185" t="s">
        <v>215</v>
      </c>
    </row>
    <row r="891" spans="129:129" x14ac:dyDescent="0.2">
      <c r="DY891" s="185" t="s">
        <v>215</v>
      </c>
    </row>
    <row r="892" spans="129:129" x14ac:dyDescent="0.2">
      <c r="DY892" s="185" t="s">
        <v>215</v>
      </c>
    </row>
    <row r="893" spans="129:129" x14ac:dyDescent="0.2">
      <c r="DY893" s="185" t="s">
        <v>215</v>
      </c>
    </row>
    <row r="894" spans="129:129" x14ac:dyDescent="0.2">
      <c r="DY894" s="185" t="s">
        <v>215</v>
      </c>
    </row>
    <row r="895" spans="129:129" x14ac:dyDescent="0.2">
      <c r="DY895" s="185" t="s">
        <v>215</v>
      </c>
    </row>
    <row r="896" spans="129:129" x14ac:dyDescent="0.2">
      <c r="DY896" s="185" t="s">
        <v>215</v>
      </c>
    </row>
    <row r="897" spans="129:129" x14ac:dyDescent="0.2">
      <c r="DY897" s="185" t="s">
        <v>215</v>
      </c>
    </row>
    <row r="898" spans="129:129" x14ac:dyDescent="0.2">
      <c r="DY898" s="185" t="s">
        <v>215</v>
      </c>
    </row>
    <row r="899" spans="129:129" x14ac:dyDescent="0.2">
      <c r="DY899" s="185" t="s">
        <v>215</v>
      </c>
    </row>
    <row r="900" spans="129:129" x14ac:dyDescent="0.2">
      <c r="DY900" s="185" t="s">
        <v>215</v>
      </c>
    </row>
    <row r="901" spans="129:129" x14ac:dyDescent="0.2">
      <c r="DY901" s="185" t="s">
        <v>215</v>
      </c>
    </row>
    <row r="902" spans="129:129" x14ac:dyDescent="0.2">
      <c r="DY902" s="185" t="s">
        <v>215</v>
      </c>
    </row>
    <row r="903" spans="129:129" x14ac:dyDescent="0.2">
      <c r="DY903" s="185" t="s">
        <v>215</v>
      </c>
    </row>
    <row r="904" spans="129:129" x14ac:dyDescent="0.2">
      <c r="DY904" s="185" t="s">
        <v>215</v>
      </c>
    </row>
    <row r="905" spans="129:129" x14ac:dyDescent="0.2">
      <c r="DY905" s="185" t="s">
        <v>215</v>
      </c>
    </row>
    <row r="906" spans="129:129" x14ac:dyDescent="0.2">
      <c r="DY906" s="185" t="s">
        <v>215</v>
      </c>
    </row>
    <row r="907" spans="129:129" x14ac:dyDescent="0.2">
      <c r="DY907" s="185" t="s">
        <v>215</v>
      </c>
    </row>
    <row r="908" spans="129:129" x14ac:dyDescent="0.2">
      <c r="DY908" s="185" t="s">
        <v>215</v>
      </c>
    </row>
    <row r="909" spans="129:129" x14ac:dyDescent="0.2">
      <c r="DY909" s="185" t="s">
        <v>215</v>
      </c>
    </row>
    <row r="910" spans="129:129" x14ac:dyDescent="0.2">
      <c r="DY910" s="185" t="s">
        <v>215</v>
      </c>
    </row>
    <row r="911" spans="129:129" x14ac:dyDescent="0.2">
      <c r="DY911" s="185" t="s">
        <v>215</v>
      </c>
    </row>
    <row r="912" spans="129:129" x14ac:dyDescent="0.2">
      <c r="DY912" s="185" t="s">
        <v>215</v>
      </c>
    </row>
    <row r="913" spans="129:129" x14ac:dyDescent="0.2">
      <c r="DY913" s="185" t="s">
        <v>215</v>
      </c>
    </row>
    <row r="914" spans="129:129" x14ac:dyDescent="0.2">
      <c r="DY914" s="185" t="s">
        <v>215</v>
      </c>
    </row>
    <row r="915" spans="129:129" x14ac:dyDescent="0.2">
      <c r="DY915" s="185" t="s">
        <v>215</v>
      </c>
    </row>
    <row r="916" spans="129:129" x14ac:dyDescent="0.2">
      <c r="DY916" s="185" t="s">
        <v>215</v>
      </c>
    </row>
    <row r="917" spans="129:129" x14ac:dyDescent="0.2">
      <c r="DY917" s="185" t="s">
        <v>215</v>
      </c>
    </row>
    <row r="918" spans="129:129" x14ac:dyDescent="0.2">
      <c r="DY918" s="185" t="s">
        <v>215</v>
      </c>
    </row>
    <row r="919" spans="129:129" x14ac:dyDescent="0.2">
      <c r="DY919" s="185" t="s">
        <v>215</v>
      </c>
    </row>
    <row r="920" spans="129:129" x14ac:dyDescent="0.2">
      <c r="DY920" s="185" t="s">
        <v>215</v>
      </c>
    </row>
    <row r="921" spans="129:129" x14ac:dyDescent="0.2">
      <c r="DY921" s="185" t="s">
        <v>215</v>
      </c>
    </row>
    <row r="922" spans="129:129" x14ac:dyDescent="0.2">
      <c r="DY922" s="185" t="s">
        <v>215</v>
      </c>
    </row>
    <row r="923" spans="129:129" x14ac:dyDescent="0.2">
      <c r="DY923" s="185" t="s">
        <v>215</v>
      </c>
    </row>
    <row r="924" spans="129:129" x14ac:dyDescent="0.2">
      <c r="DY924" s="185" t="s">
        <v>215</v>
      </c>
    </row>
    <row r="925" spans="129:129" x14ac:dyDescent="0.2">
      <c r="DY925" s="185" t="s">
        <v>215</v>
      </c>
    </row>
    <row r="926" spans="129:129" x14ac:dyDescent="0.2">
      <c r="DY926" s="185" t="s">
        <v>215</v>
      </c>
    </row>
    <row r="927" spans="129:129" x14ac:dyDescent="0.2">
      <c r="DY927" s="185" t="s">
        <v>215</v>
      </c>
    </row>
    <row r="928" spans="129:129" x14ac:dyDescent="0.2">
      <c r="DY928" s="185" t="s">
        <v>215</v>
      </c>
    </row>
    <row r="929" spans="129:129" x14ac:dyDescent="0.2">
      <c r="DY929" s="185" t="s">
        <v>215</v>
      </c>
    </row>
    <row r="930" spans="129:129" x14ac:dyDescent="0.2">
      <c r="DY930" s="185" t="s">
        <v>215</v>
      </c>
    </row>
    <row r="931" spans="129:129" x14ac:dyDescent="0.2">
      <c r="DY931" s="185" t="s">
        <v>215</v>
      </c>
    </row>
    <row r="932" spans="129:129" x14ac:dyDescent="0.2">
      <c r="DY932" s="185" t="s">
        <v>215</v>
      </c>
    </row>
    <row r="933" spans="129:129" x14ac:dyDescent="0.2">
      <c r="DY933" s="185" t="s">
        <v>215</v>
      </c>
    </row>
    <row r="934" spans="129:129" x14ac:dyDescent="0.2">
      <c r="DY934" s="185" t="s">
        <v>215</v>
      </c>
    </row>
    <row r="935" spans="129:129" x14ac:dyDescent="0.2">
      <c r="DY935" s="185" t="s">
        <v>215</v>
      </c>
    </row>
    <row r="936" spans="129:129" x14ac:dyDescent="0.2">
      <c r="DY936" s="185" t="s">
        <v>215</v>
      </c>
    </row>
    <row r="937" spans="129:129" x14ac:dyDescent="0.2">
      <c r="DY937" s="185" t="s">
        <v>215</v>
      </c>
    </row>
    <row r="938" spans="129:129" x14ac:dyDescent="0.2">
      <c r="DY938" s="185" t="s">
        <v>215</v>
      </c>
    </row>
    <row r="939" spans="129:129" x14ac:dyDescent="0.2">
      <c r="DY939" s="185" t="s">
        <v>215</v>
      </c>
    </row>
    <row r="940" spans="129:129" x14ac:dyDescent="0.2">
      <c r="DY940" s="185" t="s">
        <v>215</v>
      </c>
    </row>
    <row r="941" spans="129:129" x14ac:dyDescent="0.2">
      <c r="DY941" s="185" t="s">
        <v>215</v>
      </c>
    </row>
    <row r="942" spans="129:129" x14ac:dyDescent="0.2">
      <c r="DY942" s="185" t="s">
        <v>215</v>
      </c>
    </row>
    <row r="943" spans="129:129" x14ac:dyDescent="0.2">
      <c r="DY943" s="185" t="s">
        <v>215</v>
      </c>
    </row>
    <row r="944" spans="129:129" x14ac:dyDescent="0.2">
      <c r="DY944" s="185" t="s">
        <v>215</v>
      </c>
    </row>
    <row r="945" spans="129:129" x14ac:dyDescent="0.2">
      <c r="DY945" s="185" t="s">
        <v>215</v>
      </c>
    </row>
    <row r="946" spans="129:129" x14ac:dyDescent="0.2">
      <c r="DY946" s="185" t="s">
        <v>215</v>
      </c>
    </row>
    <row r="947" spans="129:129" x14ac:dyDescent="0.2">
      <c r="DY947" s="185" t="s">
        <v>215</v>
      </c>
    </row>
    <row r="948" spans="129:129" x14ac:dyDescent="0.2">
      <c r="DY948" s="185" t="s">
        <v>215</v>
      </c>
    </row>
    <row r="949" spans="129:129" x14ac:dyDescent="0.2">
      <c r="DY949" s="185" t="s">
        <v>215</v>
      </c>
    </row>
    <row r="950" spans="129:129" x14ac:dyDescent="0.2">
      <c r="DY950" s="185" t="s">
        <v>215</v>
      </c>
    </row>
    <row r="951" spans="129:129" x14ac:dyDescent="0.2">
      <c r="DY951" s="185" t="s">
        <v>215</v>
      </c>
    </row>
    <row r="952" spans="129:129" x14ac:dyDescent="0.2">
      <c r="DY952" s="185" t="s">
        <v>215</v>
      </c>
    </row>
    <row r="953" spans="129:129" x14ac:dyDescent="0.2">
      <c r="DY953" s="185" t="s">
        <v>215</v>
      </c>
    </row>
    <row r="954" spans="129:129" x14ac:dyDescent="0.2">
      <c r="DY954" s="185" t="s">
        <v>215</v>
      </c>
    </row>
    <row r="955" spans="129:129" x14ac:dyDescent="0.2">
      <c r="DY955" s="185" t="s">
        <v>215</v>
      </c>
    </row>
    <row r="956" spans="129:129" x14ac:dyDescent="0.2">
      <c r="DY956" s="185" t="s">
        <v>215</v>
      </c>
    </row>
    <row r="957" spans="129:129" x14ac:dyDescent="0.2">
      <c r="DY957" s="185" t="s">
        <v>215</v>
      </c>
    </row>
    <row r="958" spans="129:129" x14ac:dyDescent="0.2">
      <c r="DY958" s="185" t="s">
        <v>215</v>
      </c>
    </row>
    <row r="959" spans="129:129" x14ac:dyDescent="0.2">
      <c r="DY959" s="185" t="s">
        <v>215</v>
      </c>
    </row>
    <row r="960" spans="129:129" x14ac:dyDescent="0.2">
      <c r="DY960" s="185" t="s">
        <v>215</v>
      </c>
    </row>
    <row r="961" spans="129:129" x14ac:dyDescent="0.2">
      <c r="DY961" s="185" t="s">
        <v>215</v>
      </c>
    </row>
    <row r="962" spans="129:129" x14ac:dyDescent="0.2">
      <c r="DY962" s="185" t="s">
        <v>215</v>
      </c>
    </row>
    <row r="963" spans="129:129" x14ac:dyDescent="0.2">
      <c r="DY963" s="185" t="s">
        <v>215</v>
      </c>
    </row>
    <row r="964" spans="129:129" x14ac:dyDescent="0.2">
      <c r="DY964" s="185" t="s">
        <v>215</v>
      </c>
    </row>
    <row r="965" spans="129:129" x14ac:dyDescent="0.2">
      <c r="DY965" s="185" t="s">
        <v>215</v>
      </c>
    </row>
    <row r="966" spans="129:129" x14ac:dyDescent="0.2">
      <c r="DY966" s="185" t="s">
        <v>215</v>
      </c>
    </row>
    <row r="967" spans="129:129" x14ac:dyDescent="0.2">
      <c r="DY967" s="185" t="s">
        <v>215</v>
      </c>
    </row>
    <row r="968" spans="129:129" x14ac:dyDescent="0.2">
      <c r="DY968" s="185" t="s">
        <v>215</v>
      </c>
    </row>
    <row r="969" spans="129:129" x14ac:dyDescent="0.2">
      <c r="DY969" s="185" t="s">
        <v>215</v>
      </c>
    </row>
    <row r="970" spans="129:129" x14ac:dyDescent="0.2">
      <c r="DY970" s="185" t="s">
        <v>215</v>
      </c>
    </row>
    <row r="971" spans="129:129" x14ac:dyDescent="0.2">
      <c r="DY971" s="185" t="s">
        <v>215</v>
      </c>
    </row>
    <row r="972" spans="129:129" x14ac:dyDescent="0.2">
      <c r="DY972" s="185" t="s">
        <v>215</v>
      </c>
    </row>
    <row r="973" spans="129:129" x14ac:dyDescent="0.2">
      <c r="DY973" s="185" t="s">
        <v>215</v>
      </c>
    </row>
    <row r="974" spans="129:129" x14ac:dyDescent="0.2">
      <c r="DY974" s="185" t="s">
        <v>215</v>
      </c>
    </row>
    <row r="975" spans="129:129" x14ac:dyDescent="0.2">
      <c r="DY975" s="185" t="s">
        <v>215</v>
      </c>
    </row>
    <row r="976" spans="129:129" x14ac:dyDescent="0.2">
      <c r="DY976" s="185" t="s">
        <v>215</v>
      </c>
    </row>
    <row r="977" spans="129:129" x14ac:dyDescent="0.2">
      <c r="DY977" s="185" t="s">
        <v>215</v>
      </c>
    </row>
    <row r="978" spans="129:129" x14ac:dyDescent="0.2">
      <c r="DY978" s="185" t="s">
        <v>215</v>
      </c>
    </row>
    <row r="979" spans="129:129" x14ac:dyDescent="0.2">
      <c r="DY979" s="185" t="s">
        <v>215</v>
      </c>
    </row>
    <row r="980" spans="129:129" x14ac:dyDescent="0.2">
      <c r="DY980" s="185" t="s">
        <v>215</v>
      </c>
    </row>
    <row r="981" spans="129:129" x14ac:dyDescent="0.2">
      <c r="DY981" s="185" t="s">
        <v>215</v>
      </c>
    </row>
    <row r="982" spans="129:129" x14ac:dyDescent="0.2">
      <c r="DY982" s="185" t="s">
        <v>215</v>
      </c>
    </row>
    <row r="983" spans="129:129" x14ac:dyDescent="0.2">
      <c r="DY983" s="185" t="s">
        <v>215</v>
      </c>
    </row>
    <row r="984" spans="129:129" x14ac:dyDescent="0.2">
      <c r="DY984" s="185" t="s">
        <v>215</v>
      </c>
    </row>
    <row r="985" spans="129:129" x14ac:dyDescent="0.2">
      <c r="DY985" s="185" t="s">
        <v>215</v>
      </c>
    </row>
    <row r="986" spans="129:129" x14ac:dyDescent="0.2">
      <c r="DY986" s="185" t="s">
        <v>215</v>
      </c>
    </row>
    <row r="987" spans="129:129" x14ac:dyDescent="0.2">
      <c r="DY987" s="185" t="s">
        <v>215</v>
      </c>
    </row>
    <row r="988" spans="129:129" x14ac:dyDescent="0.2">
      <c r="DY988" s="185" t="s">
        <v>215</v>
      </c>
    </row>
    <row r="989" spans="129:129" x14ac:dyDescent="0.2">
      <c r="DY989" s="185" t="s">
        <v>215</v>
      </c>
    </row>
    <row r="990" spans="129:129" x14ac:dyDescent="0.2">
      <c r="DY990" s="185" t="s">
        <v>215</v>
      </c>
    </row>
    <row r="991" spans="129:129" x14ac:dyDescent="0.2">
      <c r="DY991" s="185" t="s">
        <v>215</v>
      </c>
    </row>
    <row r="992" spans="129:129" x14ac:dyDescent="0.2">
      <c r="DY992" s="185" t="s">
        <v>215</v>
      </c>
    </row>
    <row r="993" spans="129:129" x14ac:dyDescent="0.2">
      <c r="DY993" s="185" t="s">
        <v>215</v>
      </c>
    </row>
    <row r="994" spans="129:129" x14ac:dyDescent="0.2">
      <c r="DY994" s="185" t="s">
        <v>215</v>
      </c>
    </row>
    <row r="995" spans="129:129" x14ac:dyDescent="0.2">
      <c r="DY995" s="185" t="s">
        <v>215</v>
      </c>
    </row>
    <row r="996" spans="129:129" x14ac:dyDescent="0.2">
      <c r="DY996" s="185" t="s">
        <v>215</v>
      </c>
    </row>
    <row r="997" spans="129:129" x14ac:dyDescent="0.2">
      <c r="DY997" s="185" t="s">
        <v>215</v>
      </c>
    </row>
    <row r="998" spans="129:129" x14ac:dyDescent="0.2">
      <c r="DY998" s="185" t="s">
        <v>215</v>
      </c>
    </row>
    <row r="999" spans="129:129" x14ac:dyDescent="0.2">
      <c r="DY999" s="185" t="s">
        <v>215</v>
      </c>
    </row>
    <row r="1000" spans="129:129" x14ac:dyDescent="0.2">
      <c r="DY1000" s="185" t="s">
        <v>215</v>
      </c>
    </row>
    <row r="1001" spans="129:129" x14ac:dyDescent="0.2">
      <c r="DY1001" s="185" t="s">
        <v>215</v>
      </c>
    </row>
    <row r="1002" spans="129:129" x14ac:dyDescent="0.2">
      <c r="DY1002" s="185" t="s">
        <v>215</v>
      </c>
    </row>
    <row r="1003" spans="129:129" x14ac:dyDescent="0.2">
      <c r="DY1003" s="185" t="s">
        <v>215</v>
      </c>
    </row>
    <row r="1004" spans="129:129" x14ac:dyDescent="0.2">
      <c r="DY1004" s="185" t="s">
        <v>215</v>
      </c>
    </row>
    <row r="1005" spans="129:129" x14ac:dyDescent="0.2">
      <c r="DY1005" s="185" t="s">
        <v>215</v>
      </c>
    </row>
    <row r="1006" spans="129:129" x14ac:dyDescent="0.2">
      <c r="DY1006" s="185" t="s">
        <v>215</v>
      </c>
    </row>
    <row r="1007" spans="129:129" x14ac:dyDescent="0.2">
      <c r="DY1007" s="185" t="s">
        <v>215</v>
      </c>
    </row>
    <row r="1008" spans="129:129" x14ac:dyDescent="0.2">
      <c r="DY1008" s="185" t="s">
        <v>215</v>
      </c>
    </row>
    <row r="1009" spans="129:129" x14ac:dyDescent="0.2">
      <c r="DY1009" s="185" t="s">
        <v>215</v>
      </c>
    </row>
    <row r="1010" spans="129:129" x14ac:dyDescent="0.2">
      <c r="DY1010" s="185" t="s">
        <v>215</v>
      </c>
    </row>
    <row r="1011" spans="129:129" x14ac:dyDescent="0.2">
      <c r="DY1011" s="185" t="s">
        <v>215</v>
      </c>
    </row>
    <row r="1012" spans="129:129" x14ac:dyDescent="0.2">
      <c r="DY1012" s="185" t="s">
        <v>215</v>
      </c>
    </row>
    <row r="1013" spans="129:129" x14ac:dyDescent="0.2">
      <c r="DY1013" s="185" t="s">
        <v>215</v>
      </c>
    </row>
    <row r="1014" spans="129:129" x14ac:dyDescent="0.2">
      <c r="DY1014" s="185" t="s">
        <v>215</v>
      </c>
    </row>
    <row r="1015" spans="129:129" x14ac:dyDescent="0.2">
      <c r="DY1015" s="185" t="s">
        <v>215</v>
      </c>
    </row>
    <row r="1016" spans="129:129" x14ac:dyDescent="0.2">
      <c r="DY1016" s="185" t="s">
        <v>215</v>
      </c>
    </row>
    <row r="1017" spans="129:129" x14ac:dyDescent="0.2">
      <c r="DY1017" s="185" t="s">
        <v>215</v>
      </c>
    </row>
    <row r="1018" spans="129:129" x14ac:dyDescent="0.2">
      <c r="DY1018" s="185" t="s">
        <v>215</v>
      </c>
    </row>
    <row r="1019" spans="129:129" x14ac:dyDescent="0.2">
      <c r="DY1019" s="185" t="s">
        <v>215</v>
      </c>
    </row>
    <row r="1020" spans="129:129" x14ac:dyDescent="0.2">
      <c r="DY1020" s="185" t="s">
        <v>215</v>
      </c>
    </row>
    <row r="1021" spans="129:129" x14ac:dyDescent="0.2">
      <c r="DY1021" s="185" t="s">
        <v>215</v>
      </c>
    </row>
    <row r="1022" spans="129:129" x14ac:dyDescent="0.2">
      <c r="DY1022" s="185" t="s">
        <v>215</v>
      </c>
    </row>
    <row r="1023" spans="129:129" x14ac:dyDescent="0.2">
      <c r="DY1023" s="185" t="s">
        <v>215</v>
      </c>
    </row>
    <row r="1024" spans="129:129" x14ac:dyDescent="0.2">
      <c r="DY1024" s="185" t="s">
        <v>215</v>
      </c>
    </row>
    <row r="1025" spans="129:129" x14ac:dyDescent="0.2">
      <c r="DY1025" s="185" t="s">
        <v>215</v>
      </c>
    </row>
    <row r="1026" spans="129:129" x14ac:dyDescent="0.2">
      <c r="DY1026" s="185" t="s">
        <v>215</v>
      </c>
    </row>
    <row r="1027" spans="129:129" x14ac:dyDescent="0.2">
      <c r="DY1027" s="185" t="s">
        <v>215</v>
      </c>
    </row>
    <row r="1028" spans="129:129" x14ac:dyDescent="0.2">
      <c r="DY1028" s="185" t="s">
        <v>215</v>
      </c>
    </row>
    <row r="1029" spans="129:129" x14ac:dyDescent="0.2">
      <c r="DY1029" s="185" t="s">
        <v>215</v>
      </c>
    </row>
    <row r="1030" spans="129:129" x14ac:dyDescent="0.2">
      <c r="DY1030" s="185" t="s">
        <v>215</v>
      </c>
    </row>
    <row r="1031" spans="129:129" x14ac:dyDescent="0.2">
      <c r="DY1031" s="185" t="s">
        <v>215</v>
      </c>
    </row>
    <row r="1032" spans="129:129" x14ac:dyDescent="0.2">
      <c r="DY1032" s="185" t="s">
        <v>215</v>
      </c>
    </row>
    <row r="1033" spans="129:129" x14ac:dyDescent="0.2">
      <c r="DY1033" s="185" t="s">
        <v>215</v>
      </c>
    </row>
    <row r="1034" spans="129:129" x14ac:dyDescent="0.2">
      <c r="DY1034" s="185" t="s">
        <v>215</v>
      </c>
    </row>
    <row r="1035" spans="129:129" x14ac:dyDescent="0.2">
      <c r="DY1035" s="185" t="s">
        <v>215</v>
      </c>
    </row>
    <row r="1036" spans="129:129" x14ac:dyDescent="0.2">
      <c r="DY1036" s="185" t="s">
        <v>215</v>
      </c>
    </row>
    <row r="1037" spans="129:129" x14ac:dyDescent="0.2">
      <c r="DY1037" s="185" t="s">
        <v>215</v>
      </c>
    </row>
    <row r="1038" spans="129:129" x14ac:dyDescent="0.2">
      <c r="DY1038" s="185" t="s">
        <v>215</v>
      </c>
    </row>
    <row r="1039" spans="129:129" x14ac:dyDescent="0.2">
      <c r="DY1039" s="185" t="s">
        <v>215</v>
      </c>
    </row>
    <row r="1040" spans="129:129" x14ac:dyDescent="0.2">
      <c r="DY1040" s="185" t="s">
        <v>215</v>
      </c>
    </row>
    <row r="1041" spans="129:129" x14ac:dyDescent="0.2">
      <c r="DY1041" s="185" t="s">
        <v>215</v>
      </c>
    </row>
    <row r="1042" spans="129:129" x14ac:dyDescent="0.2">
      <c r="DY1042" s="185" t="s">
        <v>215</v>
      </c>
    </row>
    <row r="1043" spans="129:129" x14ac:dyDescent="0.2">
      <c r="DY1043" s="185" t="s">
        <v>215</v>
      </c>
    </row>
    <row r="1044" spans="129:129" x14ac:dyDescent="0.2">
      <c r="DY1044" s="185" t="s">
        <v>215</v>
      </c>
    </row>
    <row r="1045" spans="129:129" x14ac:dyDescent="0.2">
      <c r="DY1045" s="185" t="s">
        <v>215</v>
      </c>
    </row>
    <row r="1046" spans="129:129" x14ac:dyDescent="0.2">
      <c r="DY1046" s="185" t="s">
        <v>215</v>
      </c>
    </row>
    <row r="1047" spans="129:129" x14ac:dyDescent="0.2">
      <c r="DY1047" s="185" t="s">
        <v>215</v>
      </c>
    </row>
    <row r="1048" spans="129:129" x14ac:dyDescent="0.2">
      <c r="DY1048" s="185" t="s">
        <v>215</v>
      </c>
    </row>
    <row r="1049" spans="129:129" x14ac:dyDescent="0.2">
      <c r="DY1049" s="185" t="s">
        <v>215</v>
      </c>
    </row>
    <row r="1050" spans="129:129" x14ac:dyDescent="0.2">
      <c r="DY1050" s="185" t="s">
        <v>215</v>
      </c>
    </row>
    <row r="1051" spans="129:129" x14ac:dyDescent="0.2">
      <c r="DY1051" s="185" t="s">
        <v>215</v>
      </c>
    </row>
    <row r="1052" spans="129:129" x14ac:dyDescent="0.2">
      <c r="DY1052" s="185" t="s">
        <v>215</v>
      </c>
    </row>
    <row r="1053" spans="129:129" x14ac:dyDescent="0.2">
      <c r="DY1053" s="185" t="s">
        <v>215</v>
      </c>
    </row>
    <row r="1054" spans="129:129" x14ac:dyDescent="0.2">
      <c r="DY1054" s="185" t="s">
        <v>215</v>
      </c>
    </row>
    <row r="1055" spans="129:129" x14ac:dyDescent="0.2">
      <c r="DY1055" s="185" t="s">
        <v>215</v>
      </c>
    </row>
    <row r="1056" spans="129:129" x14ac:dyDescent="0.2">
      <c r="DY1056" s="185" t="s">
        <v>215</v>
      </c>
    </row>
    <row r="1057" spans="129:129" x14ac:dyDescent="0.2">
      <c r="DY1057" s="185" t="s">
        <v>215</v>
      </c>
    </row>
    <row r="1058" spans="129:129" x14ac:dyDescent="0.2">
      <c r="DY1058" s="185" t="s">
        <v>215</v>
      </c>
    </row>
    <row r="1059" spans="129:129" x14ac:dyDescent="0.2">
      <c r="DY1059" s="185" t="s">
        <v>215</v>
      </c>
    </row>
    <row r="1060" spans="129:129" x14ac:dyDescent="0.2">
      <c r="DY1060" s="185" t="s">
        <v>215</v>
      </c>
    </row>
    <row r="1061" spans="129:129" x14ac:dyDescent="0.2">
      <c r="DY1061" s="185" t="s">
        <v>215</v>
      </c>
    </row>
    <row r="1062" spans="129:129" x14ac:dyDescent="0.2">
      <c r="DY1062" s="185" t="s">
        <v>215</v>
      </c>
    </row>
    <row r="1063" spans="129:129" x14ac:dyDescent="0.2">
      <c r="DY1063" s="185" t="s">
        <v>215</v>
      </c>
    </row>
    <row r="1064" spans="129:129" x14ac:dyDescent="0.2">
      <c r="DY1064" s="185" t="s">
        <v>215</v>
      </c>
    </row>
    <row r="1065" spans="129:129" x14ac:dyDescent="0.2">
      <c r="DY1065" s="185" t="s">
        <v>215</v>
      </c>
    </row>
    <row r="1066" spans="129:129" x14ac:dyDescent="0.2">
      <c r="DY1066" s="185" t="s">
        <v>215</v>
      </c>
    </row>
    <row r="1067" spans="129:129" x14ac:dyDescent="0.2">
      <c r="DY1067" s="185" t="s">
        <v>215</v>
      </c>
    </row>
    <row r="1068" spans="129:129" x14ac:dyDescent="0.2">
      <c r="DY1068" s="185" t="s">
        <v>215</v>
      </c>
    </row>
    <row r="1069" spans="129:129" x14ac:dyDescent="0.2">
      <c r="DY1069" s="185" t="s">
        <v>215</v>
      </c>
    </row>
    <row r="1070" spans="129:129" x14ac:dyDescent="0.2">
      <c r="DY1070" s="185" t="s">
        <v>215</v>
      </c>
    </row>
    <row r="1071" spans="129:129" x14ac:dyDescent="0.2">
      <c r="DY1071" s="185" t="s">
        <v>215</v>
      </c>
    </row>
    <row r="1072" spans="129:129" x14ac:dyDescent="0.2">
      <c r="DY1072" s="185" t="s">
        <v>215</v>
      </c>
    </row>
    <row r="1073" spans="129:129" x14ac:dyDescent="0.2">
      <c r="DY1073" s="185" t="s">
        <v>215</v>
      </c>
    </row>
    <row r="1074" spans="129:129" x14ac:dyDescent="0.2">
      <c r="DY1074" s="185" t="s">
        <v>215</v>
      </c>
    </row>
    <row r="1075" spans="129:129" x14ac:dyDescent="0.2">
      <c r="DY1075" s="185" t="s">
        <v>215</v>
      </c>
    </row>
    <row r="1076" spans="129:129" x14ac:dyDescent="0.2">
      <c r="DY1076" s="185" t="s">
        <v>215</v>
      </c>
    </row>
    <row r="1077" spans="129:129" x14ac:dyDescent="0.2">
      <c r="DY1077" s="185" t="s">
        <v>215</v>
      </c>
    </row>
    <row r="1078" spans="129:129" x14ac:dyDescent="0.2">
      <c r="DY1078" s="185" t="s">
        <v>215</v>
      </c>
    </row>
    <row r="1079" spans="129:129" x14ac:dyDescent="0.2">
      <c r="DY1079" s="185" t="s">
        <v>215</v>
      </c>
    </row>
    <row r="1080" spans="129:129" x14ac:dyDescent="0.2">
      <c r="DY1080" s="185" t="s">
        <v>215</v>
      </c>
    </row>
    <row r="1081" spans="129:129" x14ac:dyDescent="0.2">
      <c r="DY1081" s="185" t="s">
        <v>215</v>
      </c>
    </row>
    <row r="1082" spans="129:129" x14ac:dyDescent="0.2">
      <c r="DY1082" s="185" t="s">
        <v>215</v>
      </c>
    </row>
    <row r="1083" spans="129:129" x14ac:dyDescent="0.2">
      <c r="DY1083" s="185" t="s">
        <v>215</v>
      </c>
    </row>
    <row r="1084" spans="129:129" x14ac:dyDescent="0.2">
      <c r="DY1084" s="185" t="s">
        <v>215</v>
      </c>
    </row>
    <row r="1085" spans="129:129" x14ac:dyDescent="0.2">
      <c r="DY1085" s="185" t="s">
        <v>215</v>
      </c>
    </row>
    <row r="1086" spans="129:129" x14ac:dyDescent="0.2">
      <c r="DY1086" s="185" t="s">
        <v>215</v>
      </c>
    </row>
    <row r="1087" spans="129:129" x14ac:dyDescent="0.2">
      <c r="DY1087" s="185" t="s">
        <v>215</v>
      </c>
    </row>
    <row r="1088" spans="129:129" x14ac:dyDescent="0.2">
      <c r="DY1088" s="185" t="s">
        <v>215</v>
      </c>
    </row>
    <row r="1089" spans="129:129" x14ac:dyDescent="0.2">
      <c r="DY1089" s="185" t="s">
        <v>215</v>
      </c>
    </row>
    <row r="1090" spans="129:129" x14ac:dyDescent="0.2">
      <c r="DY1090" s="185" t="s">
        <v>215</v>
      </c>
    </row>
    <row r="1091" spans="129:129" x14ac:dyDescent="0.2">
      <c r="DY1091" s="185" t="s">
        <v>215</v>
      </c>
    </row>
    <row r="1092" spans="129:129" x14ac:dyDescent="0.2">
      <c r="DY1092" s="185" t="s">
        <v>215</v>
      </c>
    </row>
    <row r="1093" spans="129:129" x14ac:dyDescent="0.2">
      <c r="DY1093" s="185" t="s">
        <v>215</v>
      </c>
    </row>
    <row r="1094" spans="129:129" x14ac:dyDescent="0.2">
      <c r="DY1094" s="185" t="s">
        <v>215</v>
      </c>
    </row>
    <row r="1095" spans="129:129" x14ac:dyDescent="0.2">
      <c r="DY1095" s="185" t="s">
        <v>215</v>
      </c>
    </row>
    <row r="1096" spans="129:129" x14ac:dyDescent="0.2">
      <c r="DY1096" s="185" t="s">
        <v>215</v>
      </c>
    </row>
    <row r="1097" spans="129:129" x14ac:dyDescent="0.2">
      <c r="DY1097" s="185" t="s">
        <v>215</v>
      </c>
    </row>
    <row r="1098" spans="129:129" x14ac:dyDescent="0.2">
      <c r="DY1098" s="185" t="s">
        <v>215</v>
      </c>
    </row>
    <row r="1099" spans="129:129" x14ac:dyDescent="0.2">
      <c r="DY1099" s="185" t="s">
        <v>215</v>
      </c>
    </row>
    <row r="1100" spans="129:129" x14ac:dyDescent="0.2">
      <c r="DY1100" s="185" t="s">
        <v>215</v>
      </c>
    </row>
    <row r="1101" spans="129:129" x14ac:dyDescent="0.2">
      <c r="DY1101" s="185" t="s">
        <v>215</v>
      </c>
    </row>
    <row r="1102" spans="129:129" x14ac:dyDescent="0.2">
      <c r="DY1102" s="185" t="s">
        <v>215</v>
      </c>
    </row>
    <row r="1103" spans="129:129" x14ac:dyDescent="0.2">
      <c r="DY1103" s="185" t="s">
        <v>215</v>
      </c>
    </row>
    <row r="1104" spans="129:129" x14ac:dyDescent="0.2">
      <c r="DY1104" s="185" t="s">
        <v>215</v>
      </c>
    </row>
    <row r="1105" spans="129:129" x14ac:dyDescent="0.2">
      <c r="DY1105" s="185" t="s">
        <v>215</v>
      </c>
    </row>
    <row r="1106" spans="129:129" x14ac:dyDescent="0.2">
      <c r="DY1106" s="185" t="s">
        <v>215</v>
      </c>
    </row>
    <row r="1107" spans="129:129" x14ac:dyDescent="0.2">
      <c r="DY1107" s="185" t="s">
        <v>215</v>
      </c>
    </row>
    <row r="1108" spans="129:129" x14ac:dyDescent="0.2">
      <c r="DY1108" s="185" t="s">
        <v>215</v>
      </c>
    </row>
    <row r="1109" spans="129:129" x14ac:dyDescent="0.2">
      <c r="DY1109" s="185" t="s">
        <v>215</v>
      </c>
    </row>
    <row r="1110" spans="129:129" x14ac:dyDescent="0.2">
      <c r="DY1110" s="185" t="s">
        <v>215</v>
      </c>
    </row>
    <row r="1111" spans="129:129" x14ac:dyDescent="0.2">
      <c r="DY1111" s="185" t="s">
        <v>215</v>
      </c>
    </row>
    <row r="1112" spans="129:129" x14ac:dyDescent="0.2">
      <c r="DY1112" s="185" t="s">
        <v>215</v>
      </c>
    </row>
    <row r="1113" spans="129:129" x14ac:dyDescent="0.2">
      <c r="DY1113" s="185" t="s">
        <v>215</v>
      </c>
    </row>
    <row r="1114" spans="129:129" x14ac:dyDescent="0.2">
      <c r="DY1114" s="185" t="s">
        <v>215</v>
      </c>
    </row>
    <row r="1115" spans="129:129" x14ac:dyDescent="0.2">
      <c r="DY1115" s="185" t="s">
        <v>215</v>
      </c>
    </row>
    <row r="1116" spans="129:129" x14ac:dyDescent="0.2">
      <c r="DY1116" s="185" t="s">
        <v>215</v>
      </c>
    </row>
    <row r="1117" spans="129:129" x14ac:dyDescent="0.2">
      <c r="DY1117" s="185" t="s">
        <v>215</v>
      </c>
    </row>
    <row r="1118" spans="129:129" x14ac:dyDescent="0.2">
      <c r="DY1118" s="185" t="s">
        <v>215</v>
      </c>
    </row>
    <row r="1119" spans="129:129" x14ac:dyDescent="0.2">
      <c r="DY1119" s="185" t="s">
        <v>215</v>
      </c>
    </row>
    <row r="1120" spans="129:129" x14ac:dyDescent="0.2">
      <c r="DY1120" s="185" t="s">
        <v>215</v>
      </c>
    </row>
    <row r="1121" spans="129:129" x14ac:dyDescent="0.2">
      <c r="DY1121" s="185" t="s">
        <v>215</v>
      </c>
    </row>
    <row r="1122" spans="129:129" x14ac:dyDescent="0.2">
      <c r="DY1122" s="185" t="s">
        <v>215</v>
      </c>
    </row>
    <row r="1123" spans="129:129" x14ac:dyDescent="0.2">
      <c r="DY1123" s="185" t="s">
        <v>215</v>
      </c>
    </row>
    <row r="1124" spans="129:129" x14ac:dyDescent="0.2">
      <c r="DY1124" s="185" t="s">
        <v>215</v>
      </c>
    </row>
    <row r="1125" spans="129:129" x14ac:dyDescent="0.2">
      <c r="DY1125" s="185" t="s">
        <v>215</v>
      </c>
    </row>
    <row r="1126" spans="129:129" x14ac:dyDescent="0.2">
      <c r="DY1126" s="185" t="s">
        <v>215</v>
      </c>
    </row>
    <row r="1127" spans="129:129" x14ac:dyDescent="0.2">
      <c r="DY1127" s="185" t="s">
        <v>215</v>
      </c>
    </row>
    <row r="1128" spans="129:129" x14ac:dyDescent="0.2">
      <c r="DY1128" s="185" t="s">
        <v>215</v>
      </c>
    </row>
    <row r="1129" spans="129:129" x14ac:dyDescent="0.2">
      <c r="DY1129" s="185" t="s">
        <v>215</v>
      </c>
    </row>
    <row r="1130" spans="129:129" x14ac:dyDescent="0.2">
      <c r="DY1130" s="185" t="s">
        <v>215</v>
      </c>
    </row>
    <row r="1131" spans="129:129" x14ac:dyDescent="0.2">
      <c r="DY1131" s="185" t="s">
        <v>215</v>
      </c>
    </row>
    <row r="1132" spans="129:129" x14ac:dyDescent="0.2">
      <c r="DY1132" s="185" t="s">
        <v>215</v>
      </c>
    </row>
    <row r="1133" spans="129:129" x14ac:dyDescent="0.2">
      <c r="DY1133" s="185" t="s">
        <v>215</v>
      </c>
    </row>
    <row r="1134" spans="129:129" x14ac:dyDescent="0.2">
      <c r="DY1134" s="185" t="s">
        <v>215</v>
      </c>
    </row>
    <row r="1135" spans="129:129" x14ac:dyDescent="0.2">
      <c r="DY1135" s="185" t="s">
        <v>215</v>
      </c>
    </row>
    <row r="1136" spans="129:129" x14ac:dyDescent="0.2">
      <c r="DY1136" s="185" t="s">
        <v>215</v>
      </c>
    </row>
    <row r="1137" spans="129:129" x14ac:dyDescent="0.2">
      <c r="DY1137" s="185" t="s">
        <v>215</v>
      </c>
    </row>
    <row r="1138" spans="129:129" x14ac:dyDescent="0.2">
      <c r="DY1138" s="185" t="s">
        <v>215</v>
      </c>
    </row>
    <row r="1139" spans="129:129" x14ac:dyDescent="0.2">
      <c r="DY1139" s="185" t="s">
        <v>215</v>
      </c>
    </row>
    <row r="1140" spans="129:129" x14ac:dyDescent="0.2">
      <c r="DY1140" s="185" t="s">
        <v>215</v>
      </c>
    </row>
    <row r="1141" spans="129:129" x14ac:dyDescent="0.2">
      <c r="DY1141" s="185" t="s">
        <v>215</v>
      </c>
    </row>
    <row r="1142" spans="129:129" x14ac:dyDescent="0.2">
      <c r="DY1142" s="185" t="s">
        <v>215</v>
      </c>
    </row>
    <row r="1143" spans="129:129" x14ac:dyDescent="0.2">
      <c r="DY1143" s="185" t="s">
        <v>215</v>
      </c>
    </row>
    <row r="1144" spans="129:129" x14ac:dyDescent="0.2">
      <c r="DY1144" s="185" t="s">
        <v>215</v>
      </c>
    </row>
    <row r="1145" spans="129:129" x14ac:dyDescent="0.2">
      <c r="DY1145" s="185" t="s">
        <v>215</v>
      </c>
    </row>
    <row r="1146" spans="129:129" x14ac:dyDescent="0.2">
      <c r="DY1146" s="185" t="s">
        <v>215</v>
      </c>
    </row>
    <row r="1147" spans="129:129" x14ac:dyDescent="0.2">
      <c r="DY1147" s="185" t="s">
        <v>215</v>
      </c>
    </row>
    <row r="1148" spans="129:129" x14ac:dyDescent="0.2">
      <c r="DY1148" s="185" t="s">
        <v>215</v>
      </c>
    </row>
    <row r="1149" spans="129:129" x14ac:dyDescent="0.2">
      <c r="DY1149" s="185" t="s">
        <v>215</v>
      </c>
    </row>
    <row r="1150" spans="129:129" x14ac:dyDescent="0.2">
      <c r="DY1150" s="185" t="s">
        <v>215</v>
      </c>
    </row>
    <row r="1151" spans="129:129" x14ac:dyDescent="0.2">
      <c r="DY1151" s="185" t="s">
        <v>215</v>
      </c>
    </row>
    <row r="1152" spans="129:129" x14ac:dyDescent="0.2">
      <c r="DY1152" s="185" t="s">
        <v>215</v>
      </c>
    </row>
    <row r="1153" spans="129:129" x14ac:dyDescent="0.2">
      <c r="DY1153" s="185" t="s">
        <v>215</v>
      </c>
    </row>
    <row r="1154" spans="129:129" x14ac:dyDescent="0.2">
      <c r="DY1154" s="185" t="s">
        <v>215</v>
      </c>
    </row>
    <row r="1155" spans="129:129" x14ac:dyDescent="0.2">
      <c r="DY1155" s="185" t="s">
        <v>215</v>
      </c>
    </row>
    <row r="1156" spans="129:129" x14ac:dyDescent="0.2">
      <c r="DY1156" s="185" t="s">
        <v>215</v>
      </c>
    </row>
    <row r="1157" spans="129:129" x14ac:dyDescent="0.2">
      <c r="DY1157" s="185" t="s">
        <v>215</v>
      </c>
    </row>
    <row r="1158" spans="129:129" x14ac:dyDescent="0.2">
      <c r="DY1158" s="185" t="s">
        <v>215</v>
      </c>
    </row>
    <row r="1159" spans="129:129" x14ac:dyDescent="0.2">
      <c r="DY1159" s="185" t="s">
        <v>215</v>
      </c>
    </row>
    <row r="1160" spans="129:129" x14ac:dyDescent="0.2">
      <c r="DY1160" s="185" t="s">
        <v>215</v>
      </c>
    </row>
    <row r="1161" spans="129:129" x14ac:dyDescent="0.2">
      <c r="DY1161" s="185" t="s">
        <v>215</v>
      </c>
    </row>
    <row r="1162" spans="129:129" x14ac:dyDescent="0.2">
      <c r="DY1162" s="185" t="s">
        <v>215</v>
      </c>
    </row>
    <row r="1163" spans="129:129" x14ac:dyDescent="0.2">
      <c r="DY1163" s="185" t="s">
        <v>215</v>
      </c>
    </row>
    <row r="1164" spans="129:129" x14ac:dyDescent="0.2">
      <c r="DY1164" s="185" t="s">
        <v>215</v>
      </c>
    </row>
    <row r="1165" spans="129:129" x14ac:dyDescent="0.2">
      <c r="DY1165" s="185" t="s">
        <v>215</v>
      </c>
    </row>
    <row r="1166" spans="129:129" x14ac:dyDescent="0.2">
      <c r="DY1166" s="185" t="s">
        <v>215</v>
      </c>
    </row>
    <row r="1167" spans="129:129" x14ac:dyDescent="0.2">
      <c r="DY1167" s="185" t="s">
        <v>215</v>
      </c>
    </row>
    <row r="1168" spans="129:129" x14ac:dyDescent="0.2">
      <c r="DY1168" s="185" t="s">
        <v>215</v>
      </c>
    </row>
    <row r="1169" spans="129:129" x14ac:dyDescent="0.2">
      <c r="DY1169" s="185" t="s">
        <v>215</v>
      </c>
    </row>
    <row r="1170" spans="129:129" x14ac:dyDescent="0.2">
      <c r="DY1170" s="185" t="s">
        <v>215</v>
      </c>
    </row>
    <row r="1171" spans="129:129" x14ac:dyDescent="0.2">
      <c r="DY1171" s="185" t="s">
        <v>215</v>
      </c>
    </row>
    <row r="1172" spans="129:129" x14ac:dyDescent="0.2">
      <c r="DY1172" s="185" t="s">
        <v>215</v>
      </c>
    </row>
    <row r="1173" spans="129:129" x14ac:dyDescent="0.2">
      <c r="DY1173" s="185" t="s">
        <v>215</v>
      </c>
    </row>
    <row r="1174" spans="129:129" x14ac:dyDescent="0.2">
      <c r="DY1174" s="185" t="s">
        <v>215</v>
      </c>
    </row>
    <row r="1175" spans="129:129" x14ac:dyDescent="0.2">
      <c r="DY1175" s="185" t="s">
        <v>215</v>
      </c>
    </row>
    <row r="1176" spans="129:129" x14ac:dyDescent="0.2">
      <c r="DY1176" s="185" t="s">
        <v>215</v>
      </c>
    </row>
    <row r="1177" spans="129:129" x14ac:dyDescent="0.2">
      <c r="DY1177" s="185" t="s">
        <v>215</v>
      </c>
    </row>
    <row r="1178" spans="129:129" x14ac:dyDescent="0.2">
      <c r="DY1178" s="185" t="s">
        <v>215</v>
      </c>
    </row>
    <row r="1179" spans="129:129" x14ac:dyDescent="0.2">
      <c r="DY1179" s="185" t="s">
        <v>215</v>
      </c>
    </row>
    <row r="1180" spans="129:129" x14ac:dyDescent="0.2">
      <c r="DY1180" s="185" t="s">
        <v>215</v>
      </c>
    </row>
    <row r="1181" spans="129:129" x14ac:dyDescent="0.2">
      <c r="DY1181" s="185" t="s">
        <v>215</v>
      </c>
    </row>
    <row r="1182" spans="129:129" x14ac:dyDescent="0.2">
      <c r="DY1182" s="185" t="s">
        <v>215</v>
      </c>
    </row>
    <row r="1183" spans="129:129" x14ac:dyDescent="0.2">
      <c r="DY1183" s="185" t="s">
        <v>215</v>
      </c>
    </row>
    <row r="1184" spans="129:129" x14ac:dyDescent="0.2">
      <c r="DY1184" s="185" t="s">
        <v>215</v>
      </c>
    </row>
    <row r="1185" spans="129:129" x14ac:dyDescent="0.2">
      <c r="DY1185" s="185" t="s">
        <v>215</v>
      </c>
    </row>
    <row r="1186" spans="129:129" x14ac:dyDescent="0.2">
      <c r="DY1186" s="185" t="s">
        <v>215</v>
      </c>
    </row>
    <row r="1187" spans="129:129" x14ac:dyDescent="0.2">
      <c r="DY1187" s="185" t="s">
        <v>215</v>
      </c>
    </row>
    <row r="1188" spans="129:129" x14ac:dyDescent="0.2">
      <c r="DY1188" s="185" t="s">
        <v>215</v>
      </c>
    </row>
    <row r="1189" spans="129:129" x14ac:dyDescent="0.2">
      <c r="DY1189" s="185" t="s">
        <v>215</v>
      </c>
    </row>
    <row r="1190" spans="129:129" x14ac:dyDescent="0.2">
      <c r="DY1190" s="185" t="s">
        <v>215</v>
      </c>
    </row>
    <row r="1191" spans="129:129" x14ac:dyDescent="0.2">
      <c r="DY1191" s="185" t="s">
        <v>215</v>
      </c>
    </row>
    <row r="1192" spans="129:129" x14ac:dyDescent="0.2">
      <c r="DY1192" s="185" t="s">
        <v>215</v>
      </c>
    </row>
    <row r="1193" spans="129:129" x14ac:dyDescent="0.2">
      <c r="DY1193" s="185" t="s">
        <v>215</v>
      </c>
    </row>
    <row r="1194" spans="129:129" x14ac:dyDescent="0.2">
      <c r="DY1194" s="185" t="s">
        <v>215</v>
      </c>
    </row>
    <row r="1195" spans="129:129" x14ac:dyDescent="0.2">
      <c r="DY1195" s="185" t="s">
        <v>215</v>
      </c>
    </row>
    <row r="1196" spans="129:129" x14ac:dyDescent="0.2">
      <c r="DY1196" s="185" t="s">
        <v>215</v>
      </c>
    </row>
    <row r="1197" spans="129:129" x14ac:dyDescent="0.2">
      <c r="DY1197" s="185" t="s">
        <v>215</v>
      </c>
    </row>
    <row r="1198" spans="129:129" x14ac:dyDescent="0.2">
      <c r="DY1198" s="185" t="s">
        <v>215</v>
      </c>
    </row>
    <row r="1199" spans="129:129" x14ac:dyDescent="0.2">
      <c r="DY1199" s="185" t="s">
        <v>215</v>
      </c>
    </row>
    <row r="1200" spans="129:129" x14ac:dyDescent="0.2">
      <c r="DY1200" s="185" t="s">
        <v>215</v>
      </c>
    </row>
    <row r="1201" spans="129:129" x14ac:dyDescent="0.2">
      <c r="DY1201" s="185" t="s">
        <v>215</v>
      </c>
    </row>
    <row r="1202" spans="129:129" x14ac:dyDescent="0.2">
      <c r="DY1202" s="185" t="s">
        <v>215</v>
      </c>
    </row>
    <row r="1203" spans="129:129" x14ac:dyDescent="0.2">
      <c r="DY1203" s="185" t="s">
        <v>215</v>
      </c>
    </row>
    <row r="1204" spans="129:129" x14ac:dyDescent="0.2">
      <c r="DY1204" s="185" t="s">
        <v>215</v>
      </c>
    </row>
    <row r="1205" spans="129:129" x14ac:dyDescent="0.2">
      <c r="DY1205" s="185" t="s">
        <v>215</v>
      </c>
    </row>
    <row r="1206" spans="129:129" x14ac:dyDescent="0.2">
      <c r="DY1206" s="185" t="s">
        <v>215</v>
      </c>
    </row>
    <row r="1207" spans="129:129" x14ac:dyDescent="0.2">
      <c r="DY1207" s="185" t="s">
        <v>215</v>
      </c>
    </row>
    <row r="1208" spans="129:129" x14ac:dyDescent="0.2">
      <c r="DY1208" s="185" t="s">
        <v>215</v>
      </c>
    </row>
    <row r="1209" spans="129:129" x14ac:dyDescent="0.2">
      <c r="DY1209" s="185" t="s">
        <v>215</v>
      </c>
    </row>
    <row r="1210" spans="129:129" x14ac:dyDescent="0.2">
      <c r="DY1210" s="185" t="s">
        <v>215</v>
      </c>
    </row>
    <row r="1211" spans="129:129" x14ac:dyDescent="0.2">
      <c r="DY1211" s="185" t="s">
        <v>215</v>
      </c>
    </row>
    <row r="1212" spans="129:129" x14ac:dyDescent="0.2">
      <c r="DY1212" s="185" t="s">
        <v>215</v>
      </c>
    </row>
    <row r="1213" spans="129:129" x14ac:dyDescent="0.2">
      <c r="DY1213" s="185" t="s">
        <v>215</v>
      </c>
    </row>
    <row r="1214" spans="129:129" x14ac:dyDescent="0.2">
      <c r="DY1214" s="185" t="s">
        <v>215</v>
      </c>
    </row>
    <row r="1215" spans="129:129" x14ac:dyDescent="0.2">
      <c r="DY1215" s="185" t="s">
        <v>215</v>
      </c>
    </row>
    <row r="1216" spans="129:129" x14ac:dyDescent="0.2">
      <c r="DY1216" s="185" t="s">
        <v>215</v>
      </c>
    </row>
    <row r="1217" spans="129:129" x14ac:dyDescent="0.2">
      <c r="DY1217" s="185" t="s">
        <v>215</v>
      </c>
    </row>
    <row r="1218" spans="129:129" x14ac:dyDescent="0.2">
      <c r="DY1218" s="185" t="s">
        <v>215</v>
      </c>
    </row>
    <row r="1219" spans="129:129" x14ac:dyDescent="0.2">
      <c r="DY1219" s="185" t="s">
        <v>215</v>
      </c>
    </row>
    <row r="1220" spans="129:129" x14ac:dyDescent="0.2">
      <c r="DY1220" s="185" t="s">
        <v>215</v>
      </c>
    </row>
    <row r="1221" spans="129:129" x14ac:dyDescent="0.2">
      <c r="DY1221" s="185" t="s">
        <v>215</v>
      </c>
    </row>
    <row r="1222" spans="129:129" x14ac:dyDescent="0.2">
      <c r="DY1222" s="185" t="s">
        <v>215</v>
      </c>
    </row>
    <row r="1223" spans="129:129" x14ac:dyDescent="0.2">
      <c r="DY1223" s="185" t="s">
        <v>215</v>
      </c>
    </row>
    <row r="1224" spans="129:129" x14ac:dyDescent="0.2">
      <c r="DY1224" s="185" t="s">
        <v>215</v>
      </c>
    </row>
    <row r="1225" spans="129:129" x14ac:dyDescent="0.2">
      <c r="DY1225" s="185" t="s">
        <v>215</v>
      </c>
    </row>
    <row r="1226" spans="129:129" x14ac:dyDescent="0.2">
      <c r="DY1226" s="185" t="s">
        <v>215</v>
      </c>
    </row>
    <row r="1227" spans="129:129" x14ac:dyDescent="0.2">
      <c r="DY1227" s="185" t="s">
        <v>215</v>
      </c>
    </row>
    <row r="1228" spans="129:129" x14ac:dyDescent="0.2">
      <c r="DY1228" s="185" t="s">
        <v>215</v>
      </c>
    </row>
    <row r="1229" spans="129:129" x14ac:dyDescent="0.2">
      <c r="DY1229" s="185" t="s">
        <v>215</v>
      </c>
    </row>
    <row r="1230" spans="129:129" x14ac:dyDescent="0.2">
      <c r="DY1230" s="185" t="s">
        <v>215</v>
      </c>
    </row>
    <row r="1231" spans="129:129" x14ac:dyDescent="0.2">
      <c r="DY1231" s="185" t="s">
        <v>215</v>
      </c>
    </row>
    <row r="1232" spans="129:129" x14ac:dyDescent="0.2">
      <c r="DY1232" s="185" t="s">
        <v>215</v>
      </c>
    </row>
    <row r="1233" spans="129:129" x14ac:dyDescent="0.2">
      <c r="DY1233" s="185" t="s">
        <v>215</v>
      </c>
    </row>
    <row r="1234" spans="129:129" x14ac:dyDescent="0.2">
      <c r="DY1234" s="185" t="s">
        <v>215</v>
      </c>
    </row>
    <row r="1235" spans="129:129" x14ac:dyDescent="0.2">
      <c r="DY1235" s="185" t="s">
        <v>215</v>
      </c>
    </row>
    <row r="1236" spans="129:129" x14ac:dyDescent="0.2">
      <c r="DY1236" s="185" t="s">
        <v>215</v>
      </c>
    </row>
    <row r="1237" spans="129:129" x14ac:dyDescent="0.2">
      <c r="DY1237" s="185" t="s">
        <v>215</v>
      </c>
    </row>
    <row r="1238" spans="129:129" x14ac:dyDescent="0.2">
      <c r="DY1238" s="185" t="s">
        <v>215</v>
      </c>
    </row>
    <row r="1239" spans="129:129" x14ac:dyDescent="0.2">
      <c r="DY1239" s="185" t="s">
        <v>215</v>
      </c>
    </row>
    <row r="1240" spans="129:129" x14ac:dyDescent="0.2">
      <c r="DY1240" s="185" t="s">
        <v>215</v>
      </c>
    </row>
    <row r="1241" spans="129:129" x14ac:dyDescent="0.2">
      <c r="DY1241" s="185" t="s">
        <v>215</v>
      </c>
    </row>
    <row r="1242" spans="129:129" x14ac:dyDescent="0.2">
      <c r="DY1242" s="185" t="s">
        <v>215</v>
      </c>
    </row>
    <row r="1243" spans="129:129" x14ac:dyDescent="0.2">
      <c r="DY1243" s="185" t="s">
        <v>215</v>
      </c>
    </row>
    <row r="1244" spans="129:129" x14ac:dyDescent="0.2">
      <c r="DY1244" s="185" t="s">
        <v>215</v>
      </c>
    </row>
    <row r="1245" spans="129:129" x14ac:dyDescent="0.2">
      <c r="DY1245" s="185" t="s">
        <v>215</v>
      </c>
    </row>
    <row r="1246" spans="129:129" x14ac:dyDescent="0.2">
      <c r="DY1246" s="185" t="s">
        <v>215</v>
      </c>
    </row>
    <row r="1247" spans="129:129" x14ac:dyDescent="0.2">
      <c r="DY1247" s="185" t="s">
        <v>215</v>
      </c>
    </row>
    <row r="1248" spans="129:129" x14ac:dyDescent="0.2">
      <c r="DY1248" s="185" t="s">
        <v>215</v>
      </c>
    </row>
    <row r="1249" spans="129:129" x14ac:dyDescent="0.2">
      <c r="DY1249" s="185" t="s">
        <v>215</v>
      </c>
    </row>
    <row r="1250" spans="129:129" x14ac:dyDescent="0.2">
      <c r="DY1250" s="185" t="s">
        <v>215</v>
      </c>
    </row>
    <row r="1251" spans="129:129" x14ac:dyDescent="0.2">
      <c r="DY1251" s="185" t="s">
        <v>215</v>
      </c>
    </row>
    <row r="1252" spans="129:129" x14ac:dyDescent="0.2">
      <c r="DY1252" s="185" t="s">
        <v>215</v>
      </c>
    </row>
    <row r="1253" spans="129:129" x14ac:dyDescent="0.2">
      <c r="DY1253" s="185" t="s">
        <v>215</v>
      </c>
    </row>
    <row r="1254" spans="129:129" x14ac:dyDescent="0.2">
      <c r="DY1254" s="185" t="s">
        <v>215</v>
      </c>
    </row>
    <row r="1255" spans="129:129" x14ac:dyDescent="0.2">
      <c r="DY1255" s="185" t="s">
        <v>215</v>
      </c>
    </row>
    <row r="1256" spans="129:129" x14ac:dyDescent="0.2">
      <c r="DY1256" s="185" t="s">
        <v>215</v>
      </c>
    </row>
    <row r="1257" spans="129:129" x14ac:dyDescent="0.2">
      <c r="DY1257" s="185" t="s">
        <v>215</v>
      </c>
    </row>
    <row r="1258" spans="129:129" x14ac:dyDescent="0.2">
      <c r="DY1258" s="185" t="s">
        <v>215</v>
      </c>
    </row>
    <row r="1259" spans="129:129" x14ac:dyDescent="0.2">
      <c r="DY1259" s="185" t="s">
        <v>215</v>
      </c>
    </row>
    <row r="1260" spans="129:129" x14ac:dyDescent="0.2">
      <c r="DY1260" s="185" t="s">
        <v>215</v>
      </c>
    </row>
    <row r="1261" spans="129:129" x14ac:dyDescent="0.2">
      <c r="DY1261" s="185" t="s">
        <v>215</v>
      </c>
    </row>
    <row r="1262" spans="129:129" x14ac:dyDescent="0.2">
      <c r="DY1262" s="185" t="s">
        <v>215</v>
      </c>
    </row>
    <row r="1263" spans="129:129" x14ac:dyDescent="0.2">
      <c r="DY1263" s="185" t="s">
        <v>215</v>
      </c>
    </row>
    <row r="1264" spans="129:129" x14ac:dyDescent="0.2">
      <c r="DY1264" s="185" t="s">
        <v>215</v>
      </c>
    </row>
    <row r="1265" spans="129:129" x14ac:dyDescent="0.2">
      <c r="DY1265" s="185" t="s">
        <v>215</v>
      </c>
    </row>
    <row r="1266" spans="129:129" x14ac:dyDescent="0.2">
      <c r="DY1266" s="185" t="s">
        <v>215</v>
      </c>
    </row>
    <row r="1267" spans="129:129" x14ac:dyDescent="0.2">
      <c r="DY1267" s="185" t="s">
        <v>215</v>
      </c>
    </row>
    <row r="1268" spans="129:129" x14ac:dyDescent="0.2">
      <c r="DY1268" s="185" t="s">
        <v>215</v>
      </c>
    </row>
    <row r="1269" spans="129:129" x14ac:dyDescent="0.2">
      <c r="DY1269" s="185" t="s">
        <v>215</v>
      </c>
    </row>
    <row r="1270" spans="129:129" x14ac:dyDescent="0.2">
      <c r="DY1270" s="185" t="s">
        <v>215</v>
      </c>
    </row>
    <row r="1271" spans="129:129" x14ac:dyDescent="0.2">
      <c r="DY1271" s="185" t="s">
        <v>215</v>
      </c>
    </row>
    <row r="1272" spans="129:129" x14ac:dyDescent="0.2">
      <c r="DY1272" s="185" t="s">
        <v>215</v>
      </c>
    </row>
    <row r="1273" spans="129:129" x14ac:dyDescent="0.2">
      <c r="DY1273" s="185" t="s">
        <v>215</v>
      </c>
    </row>
    <row r="1274" spans="129:129" x14ac:dyDescent="0.2">
      <c r="DY1274" s="185" t="s">
        <v>215</v>
      </c>
    </row>
    <row r="1275" spans="129:129" x14ac:dyDescent="0.2">
      <c r="DY1275" s="185" t="s">
        <v>215</v>
      </c>
    </row>
    <row r="1276" spans="129:129" x14ac:dyDescent="0.2">
      <c r="DY1276" s="185" t="s">
        <v>215</v>
      </c>
    </row>
    <row r="1277" spans="129:129" x14ac:dyDescent="0.2">
      <c r="DY1277" s="185" t="s">
        <v>215</v>
      </c>
    </row>
    <row r="1278" spans="129:129" x14ac:dyDescent="0.2">
      <c r="DY1278" s="185" t="s">
        <v>215</v>
      </c>
    </row>
    <row r="1279" spans="129:129" x14ac:dyDescent="0.2">
      <c r="DY1279" s="185" t="s">
        <v>215</v>
      </c>
    </row>
    <row r="1280" spans="129:129" x14ac:dyDescent="0.2">
      <c r="DY1280" s="185" t="s">
        <v>215</v>
      </c>
    </row>
    <row r="1281" spans="129:129" x14ac:dyDescent="0.2">
      <c r="DY1281" s="185" t="s">
        <v>215</v>
      </c>
    </row>
    <row r="1282" spans="129:129" x14ac:dyDescent="0.2">
      <c r="DY1282" s="185" t="s">
        <v>215</v>
      </c>
    </row>
    <row r="1283" spans="129:129" x14ac:dyDescent="0.2">
      <c r="DY1283" s="185" t="s">
        <v>215</v>
      </c>
    </row>
    <row r="1284" spans="129:129" x14ac:dyDescent="0.2">
      <c r="DY1284" s="185" t="s">
        <v>215</v>
      </c>
    </row>
    <row r="1285" spans="129:129" x14ac:dyDescent="0.2">
      <c r="DY1285" s="185" t="s">
        <v>215</v>
      </c>
    </row>
    <row r="1286" spans="129:129" x14ac:dyDescent="0.2">
      <c r="DY1286" s="185" t="s">
        <v>215</v>
      </c>
    </row>
    <row r="1287" spans="129:129" x14ac:dyDescent="0.2">
      <c r="DY1287" s="185" t="s">
        <v>215</v>
      </c>
    </row>
    <row r="1288" spans="129:129" x14ac:dyDescent="0.2">
      <c r="DY1288" s="185" t="s">
        <v>215</v>
      </c>
    </row>
    <row r="1289" spans="129:129" x14ac:dyDescent="0.2">
      <c r="DY1289" s="185" t="s">
        <v>215</v>
      </c>
    </row>
    <row r="1290" spans="129:129" x14ac:dyDescent="0.2">
      <c r="DY1290" s="185" t="s">
        <v>215</v>
      </c>
    </row>
    <row r="1291" spans="129:129" x14ac:dyDescent="0.2">
      <c r="DY1291" s="185" t="s">
        <v>215</v>
      </c>
    </row>
    <row r="1292" spans="129:129" x14ac:dyDescent="0.2">
      <c r="DY1292" s="185" t="s">
        <v>215</v>
      </c>
    </row>
    <row r="1293" spans="129:129" x14ac:dyDescent="0.2">
      <c r="DY1293" s="185" t="s">
        <v>215</v>
      </c>
    </row>
    <row r="1294" spans="129:129" x14ac:dyDescent="0.2">
      <c r="DY1294" s="185" t="s">
        <v>215</v>
      </c>
    </row>
    <row r="1295" spans="129:129" x14ac:dyDescent="0.2">
      <c r="DY1295" s="185" t="s">
        <v>215</v>
      </c>
    </row>
    <row r="1296" spans="129:129" x14ac:dyDescent="0.2">
      <c r="DY1296" s="185" t="s">
        <v>215</v>
      </c>
    </row>
    <row r="1297" spans="129:129" x14ac:dyDescent="0.2">
      <c r="DY1297" s="185" t="s">
        <v>215</v>
      </c>
    </row>
    <row r="1298" spans="129:129" x14ac:dyDescent="0.2">
      <c r="DY1298" s="185" t="s">
        <v>215</v>
      </c>
    </row>
    <row r="1299" spans="129:129" x14ac:dyDescent="0.2">
      <c r="DY1299" s="185" t="s">
        <v>215</v>
      </c>
    </row>
    <row r="1300" spans="129:129" x14ac:dyDescent="0.2">
      <c r="DY1300" s="185" t="s">
        <v>215</v>
      </c>
    </row>
    <row r="1301" spans="129:129" x14ac:dyDescent="0.2">
      <c r="DY1301" s="185" t="s">
        <v>215</v>
      </c>
    </row>
    <row r="1302" spans="129:129" x14ac:dyDescent="0.2">
      <c r="DY1302" s="185" t="s">
        <v>215</v>
      </c>
    </row>
    <row r="1303" spans="129:129" x14ac:dyDescent="0.2">
      <c r="DY1303" s="185" t="s">
        <v>215</v>
      </c>
    </row>
    <row r="1304" spans="129:129" x14ac:dyDescent="0.2">
      <c r="DY1304" s="185" t="s">
        <v>215</v>
      </c>
    </row>
    <row r="1305" spans="129:129" x14ac:dyDescent="0.2">
      <c r="DY1305" s="185" t="s">
        <v>215</v>
      </c>
    </row>
    <row r="1306" spans="129:129" x14ac:dyDescent="0.2">
      <c r="DY1306" s="185" t="s">
        <v>215</v>
      </c>
    </row>
    <row r="1307" spans="129:129" x14ac:dyDescent="0.2">
      <c r="DY1307" s="185" t="s">
        <v>215</v>
      </c>
    </row>
    <row r="1308" spans="129:129" x14ac:dyDescent="0.2">
      <c r="DY1308" s="185" t="s">
        <v>215</v>
      </c>
    </row>
    <row r="1309" spans="129:129" x14ac:dyDescent="0.2">
      <c r="DY1309" s="185" t="s">
        <v>215</v>
      </c>
    </row>
    <row r="1310" spans="129:129" x14ac:dyDescent="0.2">
      <c r="DY1310" s="185" t="s">
        <v>215</v>
      </c>
    </row>
    <row r="1311" spans="129:129" x14ac:dyDescent="0.2">
      <c r="DY1311" s="185" t="s">
        <v>215</v>
      </c>
    </row>
    <row r="1312" spans="129:129" x14ac:dyDescent="0.2">
      <c r="DY1312" s="185" t="s">
        <v>215</v>
      </c>
    </row>
    <row r="1313" spans="129:129" x14ac:dyDescent="0.2">
      <c r="DY1313" s="185" t="s">
        <v>215</v>
      </c>
    </row>
    <row r="1314" spans="129:129" x14ac:dyDescent="0.2">
      <c r="DY1314" s="185" t="s">
        <v>215</v>
      </c>
    </row>
    <row r="1315" spans="129:129" x14ac:dyDescent="0.2">
      <c r="DY1315" s="185" t="s">
        <v>215</v>
      </c>
    </row>
    <row r="1316" spans="129:129" x14ac:dyDescent="0.2">
      <c r="DY1316" s="185" t="s">
        <v>215</v>
      </c>
    </row>
    <row r="1317" spans="129:129" x14ac:dyDescent="0.2">
      <c r="DY1317" s="185" t="s">
        <v>215</v>
      </c>
    </row>
    <row r="1318" spans="129:129" x14ac:dyDescent="0.2">
      <c r="DY1318" s="185" t="s">
        <v>215</v>
      </c>
    </row>
    <row r="1319" spans="129:129" x14ac:dyDescent="0.2">
      <c r="DY1319" s="185" t="s">
        <v>215</v>
      </c>
    </row>
    <row r="1320" spans="129:129" x14ac:dyDescent="0.2">
      <c r="DY1320" s="185" t="s">
        <v>215</v>
      </c>
    </row>
    <row r="1321" spans="129:129" x14ac:dyDescent="0.2">
      <c r="DY1321" s="185" t="s">
        <v>215</v>
      </c>
    </row>
    <row r="1322" spans="129:129" x14ac:dyDescent="0.2">
      <c r="DY1322" s="185" t="s">
        <v>215</v>
      </c>
    </row>
    <row r="1323" spans="129:129" x14ac:dyDescent="0.2">
      <c r="DY1323" s="185" t="s">
        <v>215</v>
      </c>
    </row>
    <row r="1324" spans="129:129" x14ac:dyDescent="0.2">
      <c r="DY1324" s="185" t="s">
        <v>215</v>
      </c>
    </row>
    <row r="1325" spans="129:129" x14ac:dyDescent="0.2">
      <c r="DY1325" s="185" t="s">
        <v>215</v>
      </c>
    </row>
    <row r="1326" spans="129:129" x14ac:dyDescent="0.2">
      <c r="DY1326" s="185" t="s">
        <v>215</v>
      </c>
    </row>
    <row r="1327" spans="129:129" x14ac:dyDescent="0.2">
      <c r="DY1327" s="185" t="s">
        <v>215</v>
      </c>
    </row>
    <row r="1328" spans="129:129" x14ac:dyDescent="0.2">
      <c r="DY1328" s="185" t="s">
        <v>215</v>
      </c>
    </row>
    <row r="1329" spans="129:129" x14ac:dyDescent="0.2">
      <c r="DY1329" s="185" t="s">
        <v>215</v>
      </c>
    </row>
    <row r="1330" spans="129:129" x14ac:dyDescent="0.2">
      <c r="DY1330" s="185" t="s">
        <v>215</v>
      </c>
    </row>
    <row r="1331" spans="129:129" x14ac:dyDescent="0.2">
      <c r="DY1331" s="185" t="s">
        <v>215</v>
      </c>
    </row>
    <row r="1332" spans="129:129" x14ac:dyDescent="0.2">
      <c r="DY1332" s="185" t="s">
        <v>215</v>
      </c>
    </row>
    <row r="1333" spans="129:129" x14ac:dyDescent="0.2">
      <c r="DY1333" s="185" t="s">
        <v>215</v>
      </c>
    </row>
    <row r="1334" spans="129:129" x14ac:dyDescent="0.2">
      <c r="DY1334" s="185" t="s">
        <v>215</v>
      </c>
    </row>
    <row r="1335" spans="129:129" x14ac:dyDescent="0.2">
      <c r="DY1335" s="185" t="s">
        <v>215</v>
      </c>
    </row>
    <row r="1336" spans="129:129" x14ac:dyDescent="0.2">
      <c r="DY1336" s="185" t="s">
        <v>215</v>
      </c>
    </row>
    <row r="1337" spans="129:129" x14ac:dyDescent="0.2">
      <c r="DY1337" s="185" t="s">
        <v>215</v>
      </c>
    </row>
    <row r="1338" spans="129:129" x14ac:dyDescent="0.2">
      <c r="DY1338" s="185" t="s">
        <v>215</v>
      </c>
    </row>
    <row r="1339" spans="129:129" x14ac:dyDescent="0.2">
      <c r="DY1339" s="185" t="s">
        <v>215</v>
      </c>
    </row>
    <row r="1340" spans="129:129" x14ac:dyDescent="0.2">
      <c r="DY1340" s="185" t="s">
        <v>215</v>
      </c>
    </row>
    <row r="1341" spans="129:129" x14ac:dyDescent="0.2">
      <c r="DY1341" s="185" t="s">
        <v>215</v>
      </c>
    </row>
    <row r="1342" spans="129:129" x14ac:dyDescent="0.2">
      <c r="DY1342" s="185" t="s">
        <v>215</v>
      </c>
    </row>
    <row r="1343" spans="129:129" x14ac:dyDescent="0.2">
      <c r="DY1343" s="185" t="s">
        <v>215</v>
      </c>
    </row>
    <row r="1344" spans="129:129" x14ac:dyDescent="0.2">
      <c r="DY1344" s="185" t="s">
        <v>215</v>
      </c>
    </row>
    <row r="1345" spans="129:129" x14ac:dyDescent="0.2">
      <c r="DY1345" s="185" t="s">
        <v>215</v>
      </c>
    </row>
    <row r="1346" spans="129:129" x14ac:dyDescent="0.2">
      <c r="DY1346" s="185" t="s">
        <v>215</v>
      </c>
    </row>
    <row r="1347" spans="129:129" x14ac:dyDescent="0.2">
      <c r="DY1347" s="185" t="s">
        <v>215</v>
      </c>
    </row>
    <row r="1348" spans="129:129" x14ac:dyDescent="0.2">
      <c r="DY1348" s="185" t="s">
        <v>215</v>
      </c>
    </row>
    <row r="1349" spans="129:129" x14ac:dyDescent="0.2">
      <c r="DY1349" s="185" t="s">
        <v>215</v>
      </c>
    </row>
    <row r="1350" spans="129:129" x14ac:dyDescent="0.2">
      <c r="DY1350" s="185" t="s">
        <v>215</v>
      </c>
    </row>
    <row r="1351" spans="129:129" x14ac:dyDescent="0.2">
      <c r="DY1351" s="185" t="s">
        <v>215</v>
      </c>
    </row>
    <row r="1352" spans="129:129" x14ac:dyDescent="0.2">
      <c r="DY1352" s="185" t="s">
        <v>215</v>
      </c>
    </row>
    <row r="1353" spans="129:129" x14ac:dyDescent="0.2">
      <c r="DY1353" s="185" t="s">
        <v>215</v>
      </c>
    </row>
    <row r="1354" spans="129:129" x14ac:dyDescent="0.2">
      <c r="DY1354" s="185" t="s">
        <v>215</v>
      </c>
    </row>
    <row r="1355" spans="129:129" x14ac:dyDescent="0.2">
      <c r="DY1355" s="185" t="s">
        <v>215</v>
      </c>
    </row>
    <row r="1356" spans="129:129" x14ac:dyDescent="0.2">
      <c r="DY1356" s="185" t="s">
        <v>215</v>
      </c>
    </row>
    <row r="1357" spans="129:129" x14ac:dyDescent="0.2">
      <c r="DY1357" s="185" t="s">
        <v>215</v>
      </c>
    </row>
    <row r="1358" spans="129:129" x14ac:dyDescent="0.2">
      <c r="DY1358" s="185" t="s">
        <v>215</v>
      </c>
    </row>
    <row r="1359" spans="129:129" x14ac:dyDescent="0.2">
      <c r="DY1359" s="185" t="s">
        <v>215</v>
      </c>
    </row>
    <row r="1360" spans="129:129" x14ac:dyDescent="0.2">
      <c r="DY1360" s="185" t="s">
        <v>215</v>
      </c>
    </row>
    <row r="1361" spans="129:129" x14ac:dyDescent="0.2">
      <c r="DY1361" s="185" t="s">
        <v>215</v>
      </c>
    </row>
    <row r="1362" spans="129:129" x14ac:dyDescent="0.2">
      <c r="DY1362" s="185" t="s">
        <v>215</v>
      </c>
    </row>
    <row r="1363" spans="129:129" x14ac:dyDescent="0.2">
      <c r="DY1363" s="185" t="s">
        <v>215</v>
      </c>
    </row>
    <row r="1364" spans="129:129" x14ac:dyDescent="0.2">
      <c r="DY1364" s="185" t="s">
        <v>215</v>
      </c>
    </row>
    <row r="1365" spans="129:129" x14ac:dyDescent="0.2">
      <c r="DY1365" s="185" t="s">
        <v>215</v>
      </c>
    </row>
    <row r="1366" spans="129:129" x14ac:dyDescent="0.2">
      <c r="DY1366" s="185" t="s">
        <v>215</v>
      </c>
    </row>
    <row r="1367" spans="129:129" x14ac:dyDescent="0.2">
      <c r="DY1367" s="185" t="s">
        <v>215</v>
      </c>
    </row>
    <row r="1368" spans="129:129" x14ac:dyDescent="0.2">
      <c r="DY1368" s="185" t="s">
        <v>215</v>
      </c>
    </row>
    <row r="1369" spans="129:129" x14ac:dyDescent="0.2">
      <c r="DY1369" s="185" t="s">
        <v>215</v>
      </c>
    </row>
    <row r="1370" spans="129:129" x14ac:dyDescent="0.2">
      <c r="DY1370" s="185" t="s">
        <v>215</v>
      </c>
    </row>
    <row r="1371" spans="129:129" x14ac:dyDescent="0.2">
      <c r="DY1371" s="185" t="s">
        <v>215</v>
      </c>
    </row>
    <row r="1372" spans="129:129" x14ac:dyDescent="0.2">
      <c r="DY1372" s="185" t="s">
        <v>215</v>
      </c>
    </row>
    <row r="1373" spans="129:129" x14ac:dyDescent="0.2">
      <c r="DY1373" s="185" t="s">
        <v>215</v>
      </c>
    </row>
    <row r="1374" spans="129:129" x14ac:dyDescent="0.2">
      <c r="DY1374" s="185" t="s">
        <v>215</v>
      </c>
    </row>
    <row r="1375" spans="129:129" x14ac:dyDescent="0.2">
      <c r="DY1375" s="185" t="s">
        <v>215</v>
      </c>
    </row>
    <row r="1376" spans="129:129" x14ac:dyDescent="0.2">
      <c r="DY1376" s="185" t="s">
        <v>215</v>
      </c>
    </row>
    <row r="1377" spans="129:129" x14ac:dyDescent="0.2">
      <c r="DY1377" s="185" t="s">
        <v>215</v>
      </c>
    </row>
    <row r="1378" spans="129:129" x14ac:dyDescent="0.2">
      <c r="DY1378" s="185" t="s">
        <v>215</v>
      </c>
    </row>
    <row r="1379" spans="129:129" x14ac:dyDescent="0.2">
      <c r="DY1379" s="185" t="s">
        <v>215</v>
      </c>
    </row>
    <row r="1380" spans="129:129" x14ac:dyDescent="0.2">
      <c r="DY1380" s="185" t="s">
        <v>215</v>
      </c>
    </row>
    <row r="1381" spans="129:129" x14ac:dyDescent="0.2">
      <c r="DY1381" s="185" t="s">
        <v>215</v>
      </c>
    </row>
    <row r="1382" spans="129:129" x14ac:dyDescent="0.2">
      <c r="DY1382" s="185" t="s">
        <v>215</v>
      </c>
    </row>
    <row r="1383" spans="129:129" x14ac:dyDescent="0.2">
      <c r="DY1383" s="185" t="s">
        <v>215</v>
      </c>
    </row>
    <row r="1384" spans="129:129" x14ac:dyDescent="0.2">
      <c r="DY1384" s="185" t="s">
        <v>215</v>
      </c>
    </row>
    <row r="1385" spans="129:129" x14ac:dyDescent="0.2">
      <c r="DY1385" s="185" t="s">
        <v>215</v>
      </c>
    </row>
    <row r="1386" spans="129:129" x14ac:dyDescent="0.2">
      <c r="DY1386" s="185" t="s">
        <v>215</v>
      </c>
    </row>
    <row r="1387" spans="129:129" x14ac:dyDescent="0.2">
      <c r="DY1387" s="185" t="s">
        <v>215</v>
      </c>
    </row>
    <row r="1388" spans="129:129" x14ac:dyDescent="0.2">
      <c r="DY1388" s="185" t="s">
        <v>215</v>
      </c>
    </row>
    <row r="1389" spans="129:129" x14ac:dyDescent="0.2">
      <c r="DY1389" s="185" t="s">
        <v>215</v>
      </c>
    </row>
    <row r="1390" spans="129:129" x14ac:dyDescent="0.2">
      <c r="DY1390" s="185" t="s">
        <v>215</v>
      </c>
    </row>
    <row r="1391" spans="129:129" x14ac:dyDescent="0.2">
      <c r="DY1391" s="185" t="s">
        <v>215</v>
      </c>
    </row>
    <row r="1392" spans="129:129" x14ac:dyDescent="0.2">
      <c r="DY1392" s="185" t="s">
        <v>215</v>
      </c>
    </row>
    <row r="1393" spans="129:129" x14ac:dyDescent="0.2">
      <c r="DY1393" s="185" t="s">
        <v>215</v>
      </c>
    </row>
    <row r="1394" spans="129:129" x14ac:dyDescent="0.2">
      <c r="DY1394" s="185" t="s">
        <v>215</v>
      </c>
    </row>
    <row r="1395" spans="129:129" x14ac:dyDescent="0.2">
      <c r="DY1395" s="185" t="s">
        <v>215</v>
      </c>
    </row>
    <row r="1396" spans="129:129" x14ac:dyDescent="0.2">
      <c r="DY1396" s="185" t="s">
        <v>215</v>
      </c>
    </row>
    <row r="1397" spans="129:129" x14ac:dyDescent="0.2">
      <c r="DY1397" s="185" t="s">
        <v>215</v>
      </c>
    </row>
    <row r="1398" spans="129:129" x14ac:dyDescent="0.2">
      <c r="DY1398" s="185" t="s">
        <v>215</v>
      </c>
    </row>
    <row r="1399" spans="129:129" x14ac:dyDescent="0.2">
      <c r="DY1399" s="185" t="s">
        <v>215</v>
      </c>
    </row>
    <row r="1400" spans="129:129" x14ac:dyDescent="0.2">
      <c r="DY1400" s="185" t="s">
        <v>215</v>
      </c>
    </row>
    <row r="1401" spans="129:129" x14ac:dyDescent="0.2">
      <c r="DY1401" s="185" t="s">
        <v>215</v>
      </c>
    </row>
    <row r="1402" spans="129:129" x14ac:dyDescent="0.2">
      <c r="DY1402" s="185" t="s">
        <v>215</v>
      </c>
    </row>
    <row r="1403" spans="129:129" x14ac:dyDescent="0.2">
      <c r="DY1403" s="185" t="s">
        <v>215</v>
      </c>
    </row>
    <row r="1404" spans="129:129" x14ac:dyDescent="0.2">
      <c r="DY1404" s="185" t="s">
        <v>215</v>
      </c>
    </row>
    <row r="1405" spans="129:129" x14ac:dyDescent="0.2">
      <c r="DY1405" s="185" t="s">
        <v>215</v>
      </c>
    </row>
    <row r="1406" spans="129:129" x14ac:dyDescent="0.2">
      <c r="DY1406" s="185" t="s">
        <v>215</v>
      </c>
    </row>
    <row r="1407" spans="129:129" x14ac:dyDescent="0.2">
      <c r="DY1407" s="185" t="s">
        <v>215</v>
      </c>
    </row>
    <row r="1408" spans="129:129" x14ac:dyDescent="0.2">
      <c r="DY1408" s="185" t="s">
        <v>215</v>
      </c>
    </row>
    <row r="1409" spans="129:129" x14ac:dyDescent="0.2">
      <c r="DY1409" s="185" t="s">
        <v>215</v>
      </c>
    </row>
    <row r="1410" spans="129:129" x14ac:dyDescent="0.2">
      <c r="DY1410" s="185" t="s">
        <v>215</v>
      </c>
    </row>
    <row r="1411" spans="129:129" x14ac:dyDescent="0.2">
      <c r="DY1411" s="185" t="s">
        <v>215</v>
      </c>
    </row>
    <row r="1412" spans="129:129" x14ac:dyDescent="0.2">
      <c r="DY1412" s="185" t="s">
        <v>215</v>
      </c>
    </row>
    <row r="1413" spans="129:129" x14ac:dyDescent="0.2">
      <c r="DY1413" s="185" t="s">
        <v>215</v>
      </c>
    </row>
    <row r="1414" spans="129:129" x14ac:dyDescent="0.2">
      <c r="DY1414" s="185" t="s">
        <v>215</v>
      </c>
    </row>
    <row r="1415" spans="129:129" x14ac:dyDescent="0.2">
      <c r="DY1415" s="185" t="s">
        <v>215</v>
      </c>
    </row>
    <row r="1416" spans="129:129" x14ac:dyDescent="0.2">
      <c r="DY1416" s="185" t="s">
        <v>215</v>
      </c>
    </row>
    <row r="1417" spans="129:129" x14ac:dyDescent="0.2">
      <c r="DY1417" s="185" t="s">
        <v>215</v>
      </c>
    </row>
    <row r="1418" spans="129:129" x14ac:dyDescent="0.2">
      <c r="DY1418" s="185" t="s">
        <v>215</v>
      </c>
    </row>
    <row r="1419" spans="129:129" x14ac:dyDescent="0.2">
      <c r="DY1419" s="185" t="s">
        <v>215</v>
      </c>
    </row>
    <row r="1420" spans="129:129" x14ac:dyDescent="0.2">
      <c r="DY1420" s="185" t="s">
        <v>215</v>
      </c>
    </row>
    <row r="1421" spans="129:129" x14ac:dyDescent="0.2">
      <c r="DY1421" s="185" t="s">
        <v>215</v>
      </c>
    </row>
    <row r="1422" spans="129:129" x14ac:dyDescent="0.2">
      <c r="DY1422" s="185" t="s">
        <v>215</v>
      </c>
    </row>
    <row r="1423" spans="129:129" x14ac:dyDescent="0.2">
      <c r="DY1423" s="185" t="s">
        <v>215</v>
      </c>
    </row>
    <row r="1424" spans="129:129" x14ac:dyDescent="0.2">
      <c r="DY1424" s="185" t="s">
        <v>215</v>
      </c>
    </row>
    <row r="1425" spans="129:129" x14ac:dyDescent="0.2">
      <c r="DY1425" s="185" t="s">
        <v>215</v>
      </c>
    </row>
    <row r="1426" spans="129:129" x14ac:dyDescent="0.2">
      <c r="DY1426" s="185" t="s">
        <v>215</v>
      </c>
    </row>
    <row r="1427" spans="129:129" x14ac:dyDescent="0.2">
      <c r="DY1427" s="185" t="s">
        <v>215</v>
      </c>
    </row>
    <row r="1428" spans="129:129" x14ac:dyDescent="0.2">
      <c r="DY1428" s="185" t="s">
        <v>215</v>
      </c>
    </row>
    <row r="1429" spans="129:129" x14ac:dyDescent="0.2">
      <c r="DY1429" s="185" t="s">
        <v>215</v>
      </c>
    </row>
    <row r="1430" spans="129:129" x14ac:dyDescent="0.2">
      <c r="DY1430" s="185" t="s">
        <v>215</v>
      </c>
    </row>
    <row r="1431" spans="129:129" x14ac:dyDescent="0.2">
      <c r="DY1431" s="185" t="s">
        <v>215</v>
      </c>
    </row>
    <row r="1432" spans="129:129" x14ac:dyDescent="0.2">
      <c r="DY1432" s="185" t="s">
        <v>215</v>
      </c>
    </row>
    <row r="1433" spans="129:129" x14ac:dyDescent="0.2">
      <c r="DY1433" s="185" t="s">
        <v>215</v>
      </c>
    </row>
    <row r="1434" spans="129:129" x14ac:dyDescent="0.2">
      <c r="DY1434" s="185" t="s">
        <v>215</v>
      </c>
    </row>
    <row r="1435" spans="129:129" x14ac:dyDescent="0.2">
      <c r="DY1435" s="185" t="s">
        <v>215</v>
      </c>
    </row>
    <row r="1436" spans="129:129" x14ac:dyDescent="0.2">
      <c r="DY1436" s="185" t="s">
        <v>215</v>
      </c>
    </row>
    <row r="1437" spans="129:129" x14ac:dyDescent="0.2">
      <c r="DY1437" s="185" t="s">
        <v>215</v>
      </c>
    </row>
    <row r="1438" spans="129:129" x14ac:dyDescent="0.2">
      <c r="DY1438" s="185" t="s">
        <v>215</v>
      </c>
    </row>
    <row r="1439" spans="129:129" x14ac:dyDescent="0.2">
      <c r="DY1439" s="185" t="s">
        <v>215</v>
      </c>
    </row>
    <row r="1440" spans="129:129" x14ac:dyDescent="0.2">
      <c r="DY1440" s="185" t="s">
        <v>215</v>
      </c>
    </row>
    <row r="1441" spans="129:129" x14ac:dyDescent="0.2">
      <c r="DY1441" s="185" t="s">
        <v>215</v>
      </c>
    </row>
    <row r="1442" spans="129:129" x14ac:dyDescent="0.2">
      <c r="DY1442" s="185" t="s">
        <v>215</v>
      </c>
    </row>
    <row r="1443" spans="129:129" x14ac:dyDescent="0.2">
      <c r="DY1443" s="185" t="s">
        <v>215</v>
      </c>
    </row>
    <row r="1444" spans="129:129" x14ac:dyDescent="0.2">
      <c r="DY1444" s="185" t="s">
        <v>215</v>
      </c>
    </row>
    <row r="1445" spans="129:129" x14ac:dyDescent="0.2">
      <c r="DY1445" s="185" t="s">
        <v>215</v>
      </c>
    </row>
    <row r="1446" spans="129:129" x14ac:dyDescent="0.2">
      <c r="DY1446" s="185" t="s">
        <v>215</v>
      </c>
    </row>
    <row r="1447" spans="129:129" x14ac:dyDescent="0.2">
      <c r="DY1447" s="185" t="s">
        <v>215</v>
      </c>
    </row>
    <row r="1448" spans="129:129" x14ac:dyDescent="0.2">
      <c r="DY1448" s="185" t="s">
        <v>215</v>
      </c>
    </row>
    <row r="1449" spans="129:129" x14ac:dyDescent="0.2">
      <c r="DY1449" s="185" t="s">
        <v>215</v>
      </c>
    </row>
    <row r="1450" spans="129:129" x14ac:dyDescent="0.2">
      <c r="DY1450" s="185" t="s">
        <v>215</v>
      </c>
    </row>
    <row r="1451" spans="129:129" x14ac:dyDescent="0.2">
      <c r="DY1451" s="185" t="s">
        <v>215</v>
      </c>
    </row>
    <row r="1452" spans="129:129" x14ac:dyDescent="0.2">
      <c r="DY1452" s="185" t="s">
        <v>215</v>
      </c>
    </row>
    <row r="1453" spans="129:129" x14ac:dyDescent="0.2">
      <c r="DY1453" s="185" t="s">
        <v>215</v>
      </c>
    </row>
    <row r="1454" spans="129:129" x14ac:dyDescent="0.2">
      <c r="DY1454" s="185" t="s">
        <v>215</v>
      </c>
    </row>
    <row r="1455" spans="129:129" x14ac:dyDescent="0.2">
      <c r="DY1455" s="185" t="s">
        <v>215</v>
      </c>
    </row>
    <row r="1456" spans="129:129" x14ac:dyDescent="0.2">
      <c r="DY1456" s="185" t="s">
        <v>215</v>
      </c>
    </row>
    <row r="1457" spans="129:129" x14ac:dyDescent="0.2">
      <c r="DY1457" s="185" t="s">
        <v>215</v>
      </c>
    </row>
    <row r="1458" spans="129:129" x14ac:dyDescent="0.2">
      <c r="DY1458" s="185" t="s">
        <v>215</v>
      </c>
    </row>
    <row r="1459" spans="129:129" x14ac:dyDescent="0.2">
      <c r="DY1459" s="185" t="s">
        <v>215</v>
      </c>
    </row>
    <row r="1460" spans="129:129" x14ac:dyDescent="0.2">
      <c r="DY1460" s="185" t="s">
        <v>215</v>
      </c>
    </row>
    <row r="1461" spans="129:129" x14ac:dyDescent="0.2">
      <c r="DY1461" s="185" t="s">
        <v>215</v>
      </c>
    </row>
    <row r="1462" spans="129:129" x14ac:dyDescent="0.2">
      <c r="DY1462" s="185" t="s">
        <v>215</v>
      </c>
    </row>
    <row r="1463" spans="129:129" x14ac:dyDescent="0.2">
      <c r="DY1463" s="185" t="s">
        <v>215</v>
      </c>
    </row>
    <row r="1464" spans="129:129" x14ac:dyDescent="0.2">
      <c r="DY1464" s="185" t="s">
        <v>215</v>
      </c>
    </row>
    <row r="1465" spans="129:129" x14ac:dyDescent="0.2">
      <c r="DY1465" s="185" t="s">
        <v>215</v>
      </c>
    </row>
    <row r="1466" spans="129:129" x14ac:dyDescent="0.2">
      <c r="DY1466" s="185" t="s">
        <v>215</v>
      </c>
    </row>
    <row r="1467" spans="129:129" x14ac:dyDescent="0.2">
      <c r="DY1467" s="185" t="s">
        <v>215</v>
      </c>
    </row>
    <row r="1468" spans="129:129" x14ac:dyDescent="0.2">
      <c r="DY1468" s="185" t="s">
        <v>215</v>
      </c>
    </row>
    <row r="1469" spans="129:129" x14ac:dyDescent="0.2">
      <c r="DY1469" s="185" t="s">
        <v>215</v>
      </c>
    </row>
    <row r="1470" spans="129:129" x14ac:dyDescent="0.2">
      <c r="DY1470" s="185" t="s">
        <v>215</v>
      </c>
    </row>
    <row r="1471" spans="129:129" x14ac:dyDescent="0.2">
      <c r="DY1471" s="185" t="s">
        <v>215</v>
      </c>
    </row>
    <row r="1472" spans="129:129" x14ac:dyDescent="0.2">
      <c r="DY1472" s="185" t="s">
        <v>215</v>
      </c>
    </row>
    <row r="1473" spans="129:129" x14ac:dyDescent="0.2">
      <c r="DY1473" s="185" t="s">
        <v>215</v>
      </c>
    </row>
    <row r="1474" spans="129:129" x14ac:dyDescent="0.2">
      <c r="DY1474" s="185" t="s">
        <v>215</v>
      </c>
    </row>
    <row r="1475" spans="129:129" x14ac:dyDescent="0.2">
      <c r="DY1475" s="185" t="s">
        <v>215</v>
      </c>
    </row>
    <row r="1476" spans="129:129" x14ac:dyDescent="0.2">
      <c r="DY1476" s="185" t="s">
        <v>215</v>
      </c>
    </row>
    <row r="1477" spans="129:129" x14ac:dyDescent="0.2">
      <c r="DY1477" s="185" t="s">
        <v>215</v>
      </c>
    </row>
    <row r="1478" spans="129:129" x14ac:dyDescent="0.2">
      <c r="DY1478" s="185" t="s">
        <v>215</v>
      </c>
    </row>
    <row r="1479" spans="129:129" x14ac:dyDescent="0.2">
      <c r="DY1479" s="185" t="s">
        <v>215</v>
      </c>
    </row>
    <row r="1480" spans="129:129" x14ac:dyDescent="0.2">
      <c r="DY1480" s="185" t="s">
        <v>215</v>
      </c>
    </row>
    <row r="1481" spans="129:129" x14ac:dyDescent="0.2">
      <c r="DY1481" s="185" t="s">
        <v>215</v>
      </c>
    </row>
    <row r="1482" spans="129:129" x14ac:dyDescent="0.2">
      <c r="DY1482" s="185" t="s">
        <v>215</v>
      </c>
    </row>
    <row r="1483" spans="129:129" x14ac:dyDescent="0.2">
      <c r="DY1483" s="185" t="s">
        <v>215</v>
      </c>
    </row>
    <row r="1484" spans="129:129" x14ac:dyDescent="0.2">
      <c r="DY1484" s="185" t="s">
        <v>215</v>
      </c>
    </row>
    <row r="1485" spans="129:129" x14ac:dyDescent="0.2">
      <c r="DY1485" s="185" t="s">
        <v>215</v>
      </c>
    </row>
    <row r="1486" spans="129:129" x14ac:dyDescent="0.2">
      <c r="DY1486" s="185" t="s">
        <v>215</v>
      </c>
    </row>
    <row r="1487" spans="129:129" x14ac:dyDescent="0.2">
      <c r="DY1487" s="185" t="s">
        <v>215</v>
      </c>
    </row>
    <row r="1488" spans="129:129" x14ac:dyDescent="0.2">
      <c r="DY1488" s="185" t="s">
        <v>215</v>
      </c>
    </row>
    <row r="1489" spans="129:129" x14ac:dyDescent="0.2">
      <c r="DY1489" s="185" t="s">
        <v>215</v>
      </c>
    </row>
    <row r="1490" spans="129:129" x14ac:dyDescent="0.2">
      <c r="DY1490" s="185" t="s">
        <v>215</v>
      </c>
    </row>
    <row r="1491" spans="129:129" x14ac:dyDescent="0.2">
      <c r="DY1491" s="185" t="s">
        <v>215</v>
      </c>
    </row>
    <row r="1492" spans="129:129" x14ac:dyDescent="0.2">
      <c r="DY1492" s="185" t="s">
        <v>215</v>
      </c>
    </row>
    <row r="1493" spans="129:129" x14ac:dyDescent="0.2">
      <c r="DY1493" s="185" t="s">
        <v>215</v>
      </c>
    </row>
    <row r="1494" spans="129:129" x14ac:dyDescent="0.2">
      <c r="DY1494" s="185" t="s">
        <v>215</v>
      </c>
    </row>
    <row r="1495" spans="129:129" x14ac:dyDescent="0.2">
      <c r="DY1495" s="185" t="s">
        <v>215</v>
      </c>
    </row>
    <row r="1496" spans="129:129" x14ac:dyDescent="0.2">
      <c r="DY1496" s="185" t="s">
        <v>215</v>
      </c>
    </row>
    <row r="1497" spans="129:129" x14ac:dyDescent="0.2">
      <c r="DY1497" s="185" t="s">
        <v>215</v>
      </c>
    </row>
    <row r="1498" spans="129:129" x14ac:dyDescent="0.2">
      <c r="DY1498" s="185" t="s">
        <v>215</v>
      </c>
    </row>
    <row r="1499" spans="129:129" x14ac:dyDescent="0.2">
      <c r="DY1499" s="185" t="s">
        <v>215</v>
      </c>
    </row>
    <row r="1500" spans="129:129" x14ac:dyDescent="0.2">
      <c r="DY1500" s="185" t="s">
        <v>215</v>
      </c>
    </row>
    <row r="1501" spans="129:129" x14ac:dyDescent="0.2">
      <c r="DY1501" s="185" t="s">
        <v>215</v>
      </c>
    </row>
    <row r="1502" spans="129:129" x14ac:dyDescent="0.2">
      <c r="DY1502" s="185" t="s">
        <v>215</v>
      </c>
    </row>
    <row r="1503" spans="129:129" x14ac:dyDescent="0.2">
      <c r="DY1503" s="185" t="s">
        <v>215</v>
      </c>
    </row>
    <row r="1504" spans="129:129" x14ac:dyDescent="0.2">
      <c r="DY1504" s="185" t="s">
        <v>215</v>
      </c>
    </row>
    <row r="1505" spans="129:129" x14ac:dyDescent="0.2">
      <c r="DY1505" s="185" t="s">
        <v>215</v>
      </c>
    </row>
    <row r="1506" spans="129:129" x14ac:dyDescent="0.2">
      <c r="DY1506" s="185" t="s">
        <v>215</v>
      </c>
    </row>
    <row r="1507" spans="129:129" x14ac:dyDescent="0.2">
      <c r="DY1507" s="185" t="s">
        <v>215</v>
      </c>
    </row>
    <row r="1508" spans="129:129" x14ac:dyDescent="0.2">
      <c r="DY1508" s="185" t="s">
        <v>215</v>
      </c>
    </row>
    <row r="1509" spans="129:129" x14ac:dyDescent="0.2">
      <c r="DY1509" s="185" t="s">
        <v>215</v>
      </c>
    </row>
    <row r="1510" spans="129:129" x14ac:dyDescent="0.2">
      <c r="DY1510" s="185" t="s">
        <v>215</v>
      </c>
    </row>
    <row r="1511" spans="129:129" x14ac:dyDescent="0.2">
      <c r="DY1511" s="185" t="s">
        <v>215</v>
      </c>
    </row>
    <row r="1512" spans="129:129" x14ac:dyDescent="0.2">
      <c r="DY1512" s="185" t="s">
        <v>215</v>
      </c>
    </row>
    <row r="1513" spans="129:129" x14ac:dyDescent="0.2">
      <c r="DY1513" s="185" t="s">
        <v>215</v>
      </c>
    </row>
    <row r="1514" spans="129:129" x14ac:dyDescent="0.2">
      <c r="DY1514" s="185" t="s">
        <v>215</v>
      </c>
    </row>
    <row r="1515" spans="129:129" x14ac:dyDescent="0.2">
      <c r="DY1515" s="185" t="s">
        <v>215</v>
      </c>
    </row>
    <row r="1516" spans="129:129" x14ac:dyDescent="0.2">
      <c r="DY1516" s="185" t="s">
        <v>215</v>
      </c>
    </row>
    <row r="1517" spans="129:129" x14ac:dyDescent="0.2">
      <c r="DY1517" s="185" t="s">
        <v>215</v>
      </c>
    </row>
    <row r="1518" spans="129:129" x14ac:dyDescent="0.2">
      <c r="DY1518" s="185" t="s">
        <v>215</v>
      </c>
    </row>
    <row r="1519" spans="129:129" x14ac:dyDescent="0.2">
      <c r="DY1519" s="185" t="s">
        <v>215</v>
      </c>
    </row>
    <row r="1520" spans="129:129" x14ac:dyDescent="0.2">
      <c r="DY1520" s="185" t="s">
        <v>215</v>
      </c>
    </row>
    <row r="1521" spans="129:129" x14ac:dyDescent="0.2">
      <c r="DY1521" s="185" t="s">
        <v>215</v>
      </c>
    </row>
    <row r="1522" spans="129:129" x14ac:dyDescent="0.2">
      <c r="DY1522" s="185" t="s">
        <v>215</v>
      </c>
    </row>
    <row r="1523" spans="129:129" x14ac:dyDescent="0.2">
      <c r="DY1523" s="185" t="s">
        <v>215</v>
      </c>
    </row>
    <row r="1524" spans="129:129" x14ac:dyDescent="0.2">
      <c r="DY1524" s="185" t="s">
        <v>215</v>
      </c>
    </row>
    <row r="1525" spans="129:129" x14ac:dyDescent="0.2">
      <c r="DY1525" s="185" t="s">
        <v>215</v>
      </c>
    </row>
    <row r="1526" spans="129:129" x14ac:dyDescent="0.2">
      <c r="DY1526" s="185" t="s">
        <v>215</v>
      </c>
    </row>
    <row r="1527" spans="129:129" x14ac:dyDescent="0.2">
      <c r="DY1527" s="185" t="s">
        <v>215</v>
      </c>
    </row>
    <row r="1528" spans="129:129" x14ac:dyDescent="0.2">
      <c r="DY1528" s="185" t="s">
        <v>215</v>
      </c>
    </row>
    <row r="1529" spans="129:129" x14ac:dyDescent="0.2">
      <c r="DY1529" s="185" t="s">
        <v>215</v>
      </c>
    </row>
    <row r="1530" spans="129:129" x14ac:dyDescent="0.2">
      <c r="DY1530" s="185" t="s">
        <v>215</v>
      </c>
    </row>
    <row r="1531" spans="129:129" x14ac:dyDescent="0.2">
      <c r="DY1531" s="185" t="s">
        <v>215</v>
      </c>
    </row>
    <row r="1532" spans="129:129" x14ac:dyDescent="0.2">
      <c r="DY1532" s="185" t="s">
        <v>215</v>
      </c>
    </row>
    <row r="1533" spans="129:129" x14ac:dyDescent="0.2">
      <c r="DY1533" s="185" t="s">
        <v>215</v>
      </c>
    </row>
    <row r="1534" spans="129:129" x14ac:dyDescent="0.2">
      <c r="DY1534" s="185" t="s">
        <v>215</v>
      </c>
    </row>
    <row r="1535" spans="129:129" x14ac:dyDescent="0.2">
      <c r="DY1535" s="185" t="s">
        <v>215</v>
      </c>
    </row>
    <row r="1536" spans="129:129" x14ac:dyDescent="0.2">
      <c r="DY1536" s="185" t="s">
        <v>215</v>
      </c>
    </row>
    <row r="1537" spans="129:129" x14ac:dyDescent="0.2">
      <c r="DY1537" s="185" t="s">
        <v>215</v>
      </c>
    </row>
    <row r="1538" spans="129:129" x14ac:dyDescent="0.2">
      <c r="DY1538" s="185" t="s">
        <v>215</v>
      </c>
    </row>
    <row r="1539" spans="129:129" x14ac:dyDescent="0.2">
      <c r="DY1539" s="185" t="s">
        <v>215</v>
      </c>
    </row>
    <row r="1540" spans="129:129" x14ac:dyDescent="0.2">
      <c r="DY1540" s="185" t="s">
        <v>215</v>
      </c>
    </row>
    <row r="1541" spans="129:129" x14ac:dyDescent="0.2">
      <c r="DY1541" s="185" t="s">
        <v>215</v>
      </c>
    </row>
    <row r="1542" spans="129:129" x14ac:dyDescent="0.2">
      <c r="DY1542" s="185" t="s">
        <v>215</v>
      </c>
    </row>
    <row r="1543" spans="129:129" x14ac:dyDescent="0.2">
      <c r="DY1543" s="185" t="s">
        <v>215</v>
      </c>
    </row>
    <row r="1544" spans="129:129" x14ac:dyDescent="0.2">
      <c r="DY1544" s="185" t="s">
        <v>215</v>
      </c>
    </row>
    <row r="1545" spans="129:129" x14ac:dyDescent="0.2">
      <c r="DY1545" s="185" t="s">
        <v>215</v>
      </c>
    </row>
    <row r="1546" spans="129:129" x14ac:dyDescent="0.2">
      <c r="DY1546" s="185" t="s">
        <v>215</v>
      </c>
    </row>
    <row r="1547" spans="129:129" x14ac:dyDescent="0.2">
      <c r="DY1547" s="185" t="s">
        <v>215</v>
      </c>
    </row>
    <row r="1548" spans="129:129" x14ac:dyDescent="0.2">
      <c r="DY1548" s="185" t="s">
        <v>215</v>
      </c>
    </row>
    <row r="1549" spans="129:129" x14ac:dyDescent="0.2">
      <c r="DY1549" s="185" t="s">
        <v>215</v>
      </c>
    </row>
    <row r="1550" spans="129:129" x14ac:dyDescent="0.2">
      <c r="DY1550" s="185" t="s">
        <v>215</v>
      </c>
    </row>
    <row r="1551" spans="129:129" x14ac:dyDescent="0.2">
      <c r="DY1551" s="185" t="s">
        <v>215</v>
      </c>
    </row>
    <row r="1552" spans="129:129" x14ac:dyDescent="0.2">
      <c r="DY1552" s="185" t="s">
        <v>215</v>
      </c>
    </row>
    <row r="1553" spans="129:129" x14ac:dyDescent="0.2">
      <c r="DY1553" s="185" t="s">
        <v>215</v>
      </c>
    </row>
    <row r="1554" spans="129:129" x14ac:dyDescent="0.2">
      <c r="DY1554" s="185" t="s">
        <v>215</v>
      </c>
    </row>
    <row r="1555" spans="129:129" x14ac:dyDescent="0.2">
      <c r="DY1555" s="185" t="s">
        <v>215</v>
      </c>
    </row>
    <row r="1556" spans="129:129" x14ac:dyDescent="0.2">
      <c r="DY1556" s="185" t="s">
        <v>215</v>
      </c>
    </row>
    <row r="1557" spans="129:129" x14ac:dyDescent="0.2">
      <c r="DY1557" s="185" t="s">
        <v>215</v>
      </c>
    </row>
    <row r="1558" spans="129:129" x14ac:dyDescent="0.2">
      <c r="DY1558" s="185" t="s">
        <v>215</v>
      </c>
    </row>
    <row r="1559" spans="129:129" x14ac:dyDescent="0.2">
      <c r="DY1559" s="185" t="s">
        <v>215</v>
      </c>
    </row>
    <row r="1560" spans="129:129" x14ac:dyDescent="0.2">
      <c r="DY1560" s="185" t="s">
        <v>215</v>
      </c>
    </row>
    <row r="1561" spans="129:129" x14ac:dyDescent="0.2">
      <c r="DY1561" s="185" t="s">
        <v>215</v>
      </c>
    </row>
    <row r="1562" spans="129:129" x14ac:dyDescent="0.2">
      <c r="DY1562" s="185" t="s">
        <v>215</v>
      </c>
    </row>
    <row r="1563" spans="129:129" x14ac:dyDescent="0.2">
      <c r="DY1563" s="185" t="s">
        <v>215</v>
      </c>
    </row>
    <row r="1564" spans="129:129" x14ac:dyDescent="0.2">
      <c r="DY1564" s="185" t="s">
        <v>215</v>
      </c>
    </row>
    <row r="1565" spans="129:129" x14ac:dyDescent="0.2">
      <c r="DY1565" s="185" t="s">
        <v>215</v>
      </c>
    </row>
    <row r="1566" spans="129:129" x14ac:dyDescent="0.2">
      <c r="DY1566" s="185" t="s">
        <v>215</v>
      </c>
    </row>
    <row r="1567" spans="129:129" x14ac:dyDescent="0.2">
      <c r="DY1567" s="185" t="s">
        <v>215</v>
      </c>
    </row>
    <row r="1568" spans="129:129" x14ac:dyDescent="0.2">
      <c r="DY1568" s="185" t="s">
        <v>215</v>
      </c>
    </row>
    <row r="1569" spans="129:129" x14ac:dyDescent="0.2">
      <c r="DY1569" s="185" t="s">
        <v>215</v>
      </c>
    </row>
    <row r="1570" spans="129:129" x14ac:dyDescent="0.2">
      <c r="DY1570" s="185" t="s">
        <v>215</v>
      </c>
    </row>
    <row r="1571" spans="129:129" x14ac:dyDescent="0.2">
      <c r="DY1571" s="185" t="s">
        <v>215</v>
      </c>
    </row>
    <row r="1572" spans="129:129" x14ac:dyDescent="0.2">
      <c r="DY1572" s="185" t="s">
        <v>215</v>
      </c>
    </row>
    <row r="1573" spans="129:129" x14ac:dyDescent="0.2">
      <c r="DY1573" s="185" t="s">
        <v>215</v>
      </c>
    </row>
    <row r="1574" spans="129:129" x14ac:dyDescent="0.2">
      <c r="DY1574" s="185" t="s">
        <v>215</v>
      </c>
    </row>
    <row r="1575" spans="129:129" x14ac:dyDescent="0.2">
      <c r="DY1575" s="185" t="s">
        <v>215</v>
      </c>
    </row>
    <row r="1576" spans="129:129" x14ac:dyDescent="0.2">
      <c r="DY1576" s="185" t="s">
        <v>215</v>
      </c>
    </row>
    <row r="1577" spans="129:129" x14ac:dyDescent="0.2">
      <c r="DY1577" s="185" t="s">
        <v>215</v>
      </c>
    </row>
    <row r="1578" spans="129:129" x14ac:dyDescent="0.2">
      <c r="DY1578" s="185" t="s">
        <v>215</v>
      </c>
    </row>
    <row r="1579" spans="129:129" x14ac:dyDescent="0.2">
      <c r="DY1579" s="185" t="s">
        <v>215</v>
      </c>
    </row>
    <row r="1580" spans="129:129" x14ac:dyDescent="0.2">
      <c r="DY1580" s="185" t="s">
        <v>215</v>
      </c>
    </row>
    <row r="1581" spans="129:129" x14ac:dyDescent="0.2">
      <c r="DY1581" s="185" t="s">
        <v>215</v>
      </c>
    </row>
    <row r="1582" spans="129:129" x14ac:dyDescent="0.2">
      <c r="DY1582" s="185" t="s">
        <v>215</v>
      </c>
    </row>
    <row r="1583" spans="129:129" x14ac:dyDescent="0.2">
      <c r="DY1583" s="185" t="s">
        <v>215</v>
      </c>
    </row>
    <row r="1584" spans="129:129" x14ac:dyDescent="0.2">
      <c r="DY1584" s="185" t="s">
        <v>215</v>
      </c>
    </row>
    <row r="1585" spans="129:129" x14ac:dyDescent="0.2">
      <c r="DY1585" s="185" t="s">
        <v>215</v>
      </c>
    </row>
    <row r="1586" spans="129:129" x14ac:dyDescent="0.2">
      <c r="DY1586" s="185" t="s">
        <v>215</v>
      </c>
    </row>
    <row r="1587" spans="129:129" x14ac:dyDescent="0.2">
      <c r="DY1587" s="185" t="s">
        <v>215</v>
      </c>
    </row>
    <row r="1588" spans="129:129" x14ac:dyDescent="0.2">
      <c r="DY1588" s="185" t="s">
        <v>215</v>
      </c>
    </row>
    <row r="1589" spans="129:129" x14ac:dyDescent="0.2">
      <c r="DY1589" s="185" t="s">
        <v>215</v>
      </c>
    </row>
    <row r="1590" spans="129:129" x14ac:dyDescent="0.2">
      <c r="DY1590" s="185" t="s">
        <v>215</v>
      </c>
    </row>
    <row r="1591" spans="129:129" x14ac:dyDescent="0.2">
      <c r="DY1591" s="185" t="s">
        <v>215</v>
      </c>
    </row>
    <row r="1592" spans="129:129" x14ac:dyDescent="0.2">
      <c r="DY1592" s="185" t="s">
        <v>215</v>
      </c>
    </row>
    <row r="1593" spans="129:129" x14ac:dyDescent="0.2">
      <c r="DY1593" s="185" t="s">
        <v>215</v>
      </c>
    </row>
    <row r="1594" spans="129:129" x14ac:dyDescent="0.2">
      <c r="DY1594" s="185" t="s">
        <v>215</v>
      </c>
    </row>
    <row r="1595" spans="129:129" x14ac:dyDescent="0.2">
      <c r="DY1595" s="185" t="s">
        <v>215</v>
      </c>
    </row>
    <row r="1596" spans="129:129" x14ac:dyDescent="0.2">
      <c r="DY1596" s="185" t="s">
        <v>215</v>
      </c>
    </row>
    <row r="1597" spans="129:129" x14ac:dyDescent="0.2">
      <c r="DY1597" s="185" t="s">
        <v>215</v>
      </c>
    </row>
    <row r="1598" spans="129:129" x14ac:dyDescent="0.2">
      <c r="DY1598" s="185" t="s">
        <v>215</v>
      </c>
    </row>
    <row r="1599" spans="129:129" x14ac:dyDescent="0.2">
      <c r="DY1599" s="185" t="s">
        <v>215</v>
      </c>
    </row>
    <row r="1600" spans="129:129" x14ac:dyDescent="0.2">
      <c r="DY1600" s="185" t="s">
        <v>215</v>
      </c>
    </row>
    <row r="1601" spans="129:129" x14ac:dyDescent="0.2">
      <c r="DY1601" s="185" t="s">
        <v>215</v>
      </c>
    </row>
    <row r="1602" spans="129:129" x14ac:dyDescent="0.2">
      <c r="DY1602" s="185" t="s">
        <v>215</v>
      </c>
    </row>
    <row r="1603" spans="129:129" x14ac:dyDescent="0.2">
      <c r="DY1603" s="185" t="s">
        <v>215</v>
      </c>
    </row>
    <row r="1604" spans="129:129" x14ac:dyDescent="0.2">
      <c r="DY1604" s="185" t="s">
        <v>215</v>
      </c>
    </row>
    <row r="1605" spans="129:129" x14ac:dyDescent="0.2">
      <c r="DY1605" s="185" t="s">
        <v>215</v>
      </c>
    </row>
    <row r="1606" spans="129:129" x14ac:dyDescent="0.2">
      <c r="DY1606" s="185" t="s">
        <v>215</v>
      </c>
    </row>
    <row r="1607" spans="129:129" x14ac:dyDescent="0.2">
      <c r="DY1607" s="185" t="s">
        <v>215</v>
      </c>
    </row>
    <row r="1608" spans="129:129" x14ac:dyDescent="0.2">
      <c r="DY1608" s="185" t="s">
        <v>215</v>
      </c>
    </row>
    <row r="1609" spans="129:129" x14ac:dyDescent="0.2">
      <c r="DY1609" s="185" t="s">
        <v>215</v>
      </c>
    </row>
    <row r="1610" spans="129:129" x14ac:dyDescent="0.2">
      <c r="DY1610" s="185" t="s">
        <v>215</v>
      </c>
    </row>
    <row r="1611" spans="129:129" x14ac:dyDescent="0.2">
      <c r="DY1611" s="185" t="s">
        <v>215</v>
      </c>
    </row>
    <row r="1612" spans="129:129" x14ac:dyDescent="0.2">
      <c r="DY1612" s="185" t="s">
        <v>215</v>
      </c>
    </row>
    <row r="1613" spans="129:129" x14ac:dyDescent="0.2">
      <c r="DY1613" s="185" t="s">
        <v>215</v>
      </c>
    </row>
    <row r="1614" spans="129:129" x14ac:dyDescent="0.2">
      <c r="DY1614" s="185" t="s">
        <v>215</v>
      </c>
    </row>
    <row r="1615" spans="129:129" x14ac:dyDescent="0.2">
      <c r="DY1615" s="185" t="s">
        <v>215</v>
      </c>
    </row>
    <row r="1616" spans="129:129" x14ac:dyDescent="0.2">
      <c r="DY1616" s="185" t="s">
        <v>215</v>
      </c>
    </row>
    <row r="1617" spans="129:129" x14ac:dyDescent="0.2">
      <c r="DY1617" s="185" t="s">
        <v>215</v>
      </c>
    </row>
    <row r="1618" spans="129:129" x14ac:dyDescent="0.2">
      <c r="DY1618" s="185" t="s">
        <v>215</v>
      </c>
    </row>
    <row r="1619" spans="129:129" x14ac:dyDescent="0.2">
      <c r="DY1619" s="185" t="s">
        <v>215</v>
      </c>
    </row>
    <row r="1620" spans="129:129" x14ac:dyDescent="0.2">
      <c r="DY1620" s="185" t="s">
        <v>215</v>
      </c>
    </row>
    <row r="1621" spans="129:129" x14ac:dyDescent="0.2">
      <c r="DY1621" s="185" t="s">
        <v>215</v>
      </c>
    </row>
    <row r="1622" spans="129:129" x14ac:dyDescent="0.2">
      <c r="DY1622" s="185" t="s">
        <v>215</v>
      </c>
    </row>
    <row r="1623" spans="129:129" x14ac:dyDescent="0.2">
      <c r="DY1623" s="185" t="s">
        <v>215</v>
      </c>
    </row>
    <row r="1624" spans="129:129" x14ac:dyDescent="0.2">
      <c r="DY1624" s="185" t="s">
        <v>215</v>
      </c>
    </row>
    <row r="1625" spans="129:129" x14ac:dyDescent="0.2">
      <c r="DY1625" s="185" t="s">
        <v>215</v>
      </c>
    </row>
    <row r="1626" spans="129:129" x14ac:dyDescent="0.2">
      <c r="DY1626" s="185" t="s">
        <v>215</v>
      </c>
    </row>
    <row r="1627" spans="129:129" x14ac:dyDescent="0.2">
      <c r="DY1627" s="185" t="s">
        <v>215</v>
      </c>
    </row>
    <row r="1628" spans="129:129" x14ac:dyDescent="0.2">
      <c r="DY1628" s="185" t="s">
        <v>215</v>
      </c>
    </row>
    <row r="1629" spans="129:129" x14ac:dyDescent="0.2">
      <c r="DY1629" s="185" t="s">
        <v>215</v>
      </c>
    </row>
    <row r="1630" spans="129:129" x14ac:dyDescent="0.2">
      <c r="DY1630" s="185" t="s">
        <v>215</v>
      </c>
    </row>
    <row r="1631" spans="129:129" x14ac:dyDescent="0.2">
      <c r="DY1631" s="185" t="s">
        <v>215</v>
      </c>
    </row>
    <row r="1632" spans="129:129" x14ac:dyDescent="0.2">
      <c r="DY1632" s="185" t="s">
        <v>215</v>
      </c>
    </row>
    <row r="1633" spans="129:129" x14ac:dyDescent="0.2">
      <c r="DY1633" s="185" t="s">
        <v>215</v>
      </c>
    </row>
    <row r="1634" spans="129:129" x14ac:dyDescent="0.2">
      <c r="DY1634" s="185" t="s">
        <v>215</v>
      </c>
    </row>
    <row r="1635" spans="129:129" x14ac:dyDescent="0.2">
      <c r="DY1635" s="185" t="s">
        <v>215</v>
      </c>
    </row>
    <row r="1636" spans="129:129" x14ac:dyDescent="0.2">
      <c r="DY1636" s="185" t="s">
        <v>215</v>
      </c>
    </row>
    <row r="1637" spans="129:129" x14ac:dyDescent="0.2">
      <c r="DY1637" s="185" t="s">
        <v>215</v>
      </c>
    </row>
    <row r="1638" spans="129:129" x14ac:dyDescent="0.2">
      <c r="DY1638" s="185" t="s">
        <v>215</v>
      </c>
    </row>
    <row r="1639" spans="129:129" x14ac:dyDescent="0.2">
      <c r="DY1639" s="185" t="s">
        <v>215</v>
      </c>
    </row>
    <row r="1640" spans="129:129" x14ac:dyDescent="0.2">
      <c r="DY1640" s="185" t="s">
        <v>215</v>
      </c>
    </row>
    <row r="1641" spans="129:129" x14ac:dyDescent="0.2">
      <c r="DY1641" s="185" t="s">
        <v>215</v>
      </c>
    </row>
    <row r="1642" spans="129:129" x14ac:dyDescent="0.2">
      <c r="DY1642" s="185" t="s">
        <v>215</v>
      </c>
    </row>
    <row r="1643" spans="129:129" x14ac:dyDescent="0.2">
      <c r="DY1643" s="185" t="s">
        <v>215</v>
      </c>
    </row>
    <row r="1644" spans="129:129" x14ac:dyDescent="0.2">
      <c r="DY1644" s="185" t="s">
        <v>215</v>
      </c>
    </row>
    <row r="1645" spans="129:129" x14ac:dyDescent="0.2">
      <c r="DY1645" s="185" t="s">
        <v>215</v>
      </c>
    </row>
    <row r="1646" spans="129:129" x14ac:dyDescent="0.2">
      <c r="DY1646" s="185" t="s">
        <v>215</v>
      </c>
    </row>
    <row r="1647" spans="129:129" x14ac:dyDescent="0.2">
      <c r="DY1647" s="185" t="s">
        <v>215</v>
      </c>
    </row>
    <row r="1648" spans="129:129" x14ac:dyDescent="0.2">
      <c r="DY1648" s="185" t="s">
        <v>215</v>
      </c>
    </row>
    <row r="1649" spans="129:129" x14ac:dyDescent="0.2">
      <c r="DY1649" s="185" t="s">
        <v>215</v>
      </c>
    </row>
    <row r="1650" spans="129:129" x14ac:dyDescent="0.2">
      <c r="DY1650" s="185" t="s">
        <v>215</v>
      </c>
    </row>
    <row r="1651" spans="129:129" x14ac:dyDescent="0.2">
      <c r="DY1651" s="185" t="s">
        <v>215</v>
      </c>
    </row>
    <row r="1652" spans="129:129" x14ac:dyDescent="0.2">
      <c r="DY1652" s="185" t="s">
        <v>215</v>
      </c>
    </row>
    <row r="1653" spans="129:129" x14ac:dyDescent="0.2">
      <c r="DY1653" s="185" t="s">
        <v>215</v>
      </c>
    </row>
    <row r="1654" spans="129:129" x14ac:dyDescent="0.2">
      <c r="DY1654" s="185" t="s">
        <v>215</v>
      </c>
    </row>
    <row r="1655" spans="129:129" x14ac:dyDescent="0.2">
      <c r="DY1655" s="185" t="s">
        <v>215</v>
      </c>
    </row>
    <row r="1656" spans="129:129" x14ac:dyDescent="0.2">
      <c r="DY1656" s="185" t="s">
        <v>215</v>
      </c>
    </row>
    <row r="1657" spans="129:129" x14ac:dyDescent="0.2">
      <c r="DY1657" s="185" t="s">
        <v>215</v>
      </c>
    </row>
    <row r="1658" spans="129:129" x14ac:dyDescent="0.2">
      <c r="DY1658" s="185" t="s">
        <v>215</v>
      </c>
    </row>
    <row r="1659" spans="129:129" x14ac:dyDescent="0.2">
      <c r="DY1659" s="185" t="s">
        <v>215</v>
      </c>
    </row>
    <row r="1660" spans="129:129" x14ac:dyDescent="0.2">
      <c r="DY1660" s="185" t="s">
        <v>215</v>
      </c>
    </row>
    <row r="1661" spans="129:129" x14ac:dyDescent="0.2">
      <c r="DY1661" s="185" t="s">
        <v>215</v>
      </c>
    </row>
    <row r="1662" spans="129:129" x14ac:dyDescent="0.2">
      <c r="DY1662" s="185" t="s">
        <v>215</v>
      </c>
    </row>
    <row r="1663" spans="129:129" x14ac:dyDescent="0.2">
      <c r="DY1663" s="185" t="s">
        <v>215</v>
      </c>
    </row>
    <row r="1664" spans="129:129" x14ac:dyDescent="0.2">
      <c r="DY1664" s="185" t="s">
        <v>215</v>
      </c>
    </row>
    <row r="1665" spans="129:129" x14ac:dyDescent="0.2">
      <c r="DY1665" s="185" t="s">
        <v>215</v>
      </c>
    </row>
    <row r="1666" spans="129:129" x14ac:dyDescent="0.2">
      <c r="DY1666" s="185" t="s">
        <v>215</v>
      </c>
    </row>
    <row r="1667" spans="129:129" x14ac:dyDescent="0.2">
      <c r="DY1667" s="185" t="s">
        <v>215</v>
      </c>
    </row>
    <row r="1668" spans="129:129" x14ac:dyDescent="0.2">
      <c r="DY1668" s="185" t="s">
        <v>215</v>
      </c>
    </row>
    <row r="1669" spans="129:129" x14ac:dyDescent="0.2">
      <c r="DY1669" s="185" t="s">
        <v>215</v>
      </c>
    </row>
    <row r="1670" spans="129:129" x14ac:dyDescent="0.2">
      <c r="DY1670" s="185" t="s">
        <v>215</v>
      </c>
    </row>
    <row r="1671" spans="129:129" x14ac:dyDescent="0.2">
      <c r="DY1671" s="185" t="s">
        <v>215</v>
      </c>
    </row>
    <row r="1672" spans="129:129" x14ac:dyDescent="0.2">
      <c r="DY1672" s="185" t="s">
        <v>215</v>
      </c>
    </row>
    <row r="1673" spans="129:129" x14ac:dyDescent="0.2">
      <c r="DY1673" s="185" t="s">
        <v>215</v>
      </c>
    </row>
    <row r="1674" spans="129:129" x14ac:dyDescent="0.2">
      <c r="DY1674" s="185" t="s">
        <v>215</v>
      </c>
    </row>
    <row r="1675" spans="129:129" x14ac:dyDescent="0.2">
      <c r="DY1675" s="185" t="s">
        <v>215</v>
      </c>
    </row>
    <row r="1676" spans="129:129" x14ac:dyDescent="0.2">
      <c r="DY1676" s="185" t="s">
        <v>215</v>
      </c>
    </row>
    <row r="1677" spans="129:129" x14ac:dyDescent="0.2">
      <c r="DY1677" s="185" t="s">
        <v>215</v>
      </c>
    </row>
    <row r="1678" spans="129:129" x14ac:dyDescent="0.2">
      <c r="DY1678" s="185" t="s">
        <v>215</v>
      </c>
    </row>
    <row r="1679" spans="129:129" x14ac:dyDescent="0.2">
      <c r="DY1679" s="185" t="s">
        <v>215</v>
      </c>
    </row>
    <row r="1680" spans="129:129" x14ac:dyDescent="0.2">
      <c r="DY1680" s="185" t="s">
        <v>215</v>
      </c>
    </row>
    <row r="1681" spans="129:129" x14ac:dyDescent="0.2">
      <c r="DY1681" s="185" t="s">
        <v>215</v>
      </c>
    </row>
    <row r="1682" spans="129:129" x14ac:dyDescent="0.2">
      <c r="DY1682" s="185" t="s">
        <v>215</v>
      </c>
    </row>
    <row r="1683" spans="129:129" x14ac:dyDescent="0.2">
      <c r="DY1683" s="185" t="s">
        <v>215</v>
      </c>
    </row>
    <row r="1684" spans="129:129" x14ac:dyDescent="0.2">
      <c r="DY1684" s="185" t="s">
        <v>215</v>
      </c>
    </row>
    <row r="1685" spans="129:129" x14ac:dyDescent="0.2">
      <c r="DY1685" s="185" t="s">
        <v>215</v>
      </c>
    </row>
    <row r="1686" spans="129:129" x14ac:dyDescent="0.2">
      <c r="DY1686" s="185" t="s">
        <v>215</v>
      </c>
    </row>
    <row r="1687" spans="129:129" x14ac:dyDescent="0.2">
      <c r="DY1687" s="185" t="s">
        <v>215</v>
      </c>
    </row>
    <row r="1688" spans="129:129" x14ac:dyDescent="0.2">
      <c r="DY1688" s="185" t="s">
        <v>215</v>
      </c>
    </row>
    <row r="1689" spans="129:129" x14ac:dyDescent="0.2">
      <c r="DY1689" s="185" t="s">
        <v>215</v>
      </c>
    </row>
    <row r="1690" spans="129:129" x14ac:dyDescent="0.2">
      <c r="DY1690" s="185" t="s">
        <v>215</v>
      </c>
    </row>
    <row r="1691" spans="129:129" x14ac:dyDescent="0.2">
      <c r="DY1691" s="185" t="s">
        <v>215</v>
      </c>
    </row>
    <row r="1692" spans="129:129" x14ac:dyDescent="0.2">
      <c r="DY1692" s="185" t="s">
        <v>215</v>
      </c>
    </row>
    <row r="1693" spans="129:129" x14ac:dyDescent="0.2">
      <c r="DY1693" s="185" t="s">
        <v>215</v>
      </c>
    </row>
    <row r="1694" spans="129:129" x14ac:dyDescent="0.2">
      <c r="DY1694" s="185" t="s">
        <v>215</v>
      </c>
    </row>
    <row r="1695" spans="129:129" x14ac:dyDescent="0.2">
      <c r="DY1695" s="185" t="s">
        <v>215</v>
      </c>
    </row>
    <row r="1696" spans="129:129" x14ac:dyDescent="0.2">
      <c r="DY1696" s="185" t="s">
        <v>215</v>
      </c>
    </row>
    <row r="1697" spans="129:129" x14ac:dyDescent="0.2">
      <c r="DY1697" s="185" t="s">
        <v>215</v>
      </c>
    </row>
    <row r="1698" spans="129:129" x14ac:dyDescent="0.2">
      <c r="DY1698" s="185" t="s">
        <v>215</v>
      </c>
    </row>
    <row r="1699" spans="129:129" x14ac:dyDescent="0.2">
      <c r="DY1699" s="185" t="s">
        <v>215</v>
      </c>
    </row>
    <row r="1700" spans="129:129" x14ac:dyDescent="0.2">
      <c r="DY1700" s="185" t="s">
        <v>215</v>
      </c>
    </row>
    <row r="1701" spans="129:129" x14ac:dyDescent="0.2">
      <c r="DY1701" s="185" t="s">
        <v>215</v>
      </c>
    </row>
    <row r="1702" spans="129:129" x14ac:dyDescent="0.2">
      <c r="DY1702" s="185" t="s">
        <v>215</v>
      </c>
    </row>
    <row r="1703" spans="129:129" x14ac:dyDescent="0.2">
      <c r="DY1703" s="185" t="s">
        <v>215</v>
      </c>
    </row>
    <row r="1704" spans="129:129" x14ac:dyDescent="0.2">
      <c r="DY1704" s="185" t="s">
        <v>215</v>
      </c>
    </row>
    <row r="1705" spans="129:129" x14ac:dyDescent="0.2">
      <c r="DY1705" s="185" t="s">
        <v>215</v>
      </c>
    </row>
    <row r="1706" spans="129:129" x14ac:dyDescent="0.2">
      <c r="DY1706" s="185" t="s">
        <v>215</v>
      </c>
    </row>
    <row r="1707" spans="129:129" x14ac:dyDescent="0.2">
      <c r="DY1707" s="185" t="s">
        <v>215</v>
      </c>
    </row>
    <row r="1708" spans="129:129" x14ac:dyDescent="0.2">
      <c r="DY1708" s="185" t="s">
        <v>215</v>
      </c>
    </row>
    <row r="1709" spans="129:129" x14ac:dyDescent="0.2">
      <c r="DY1709" s="185" t="s">
        <v>215</v>
      </c>
    </row>
    <row r="1710" spans="129:129" x14ac:dyDescent="0.2">
      <c r="DY1710" s="185" t="s">
        <v>215</v>
      </c>
    </row>
    <row r="1711" spans="129:129" x14ac:dyDescent="0.2">
      <c r="DY1711" s="185" t="s">
        <v>215</v>
      </c>
    </row>
    <row r="1712" spans="129:129" x14ac:dyDescent="0.2">
      <c r="DY1712" s="185" t="s">
        <v>215</v>
      </c>
    </row>
    <row r="1713" spans="129:129" x14ac:dyDescent="0.2">
      <c r="DY1713" s="185" t="s">
        <v>215</v>
      </c>
    </row>
    <row r="1714" spans="129:129" x14ac:dyDescent="0.2">
      <c r="DY1714" s="185" t="s">
        <v>215</v>
      </c>
    </row>
    <row r="1715" spans="129:129" x14ac:dyDescent="0.2">
      <c r="DY1715" s="185" t="s">
        <v>215</v>
      </c>
    </row>
    <row r="1716" spans="129:129" x14ac:dyDescent="0.2">
      <c r="DY1716" s="185" t="s">
        <v>215</v>
      </c>
    </row>
    <row r="1717" spans="129:129" x14ac:dyDescent="0.2">
      <c r="DY1717" s="185" t="s">
        <v>215</v>
      </c>
    </row>
    <row r="1718" spans="129:129" x14ac:dyDescent="0.2">
      <c r="DY1718" s="185" t="s">
        <v>215</v>
      </c>
    </row>
    <row r="1719" spans="129:129" x14ac:dyDescent="0.2">
      <c r="DY1719" s="185" t="s">
        <v>215</v>
      </c>
    </row>
    <row r="1720" spans="129:129" x14ac:dyDescent="0.2">
      <c r="DY1720" s="185" t="s">
        <v>215</v>
      </c>
    </row>
    <row r="1721" spans="129:129" x14ac:dyDescent="0.2">
      <c r="DY1721" s="185" t="s">
        <v>215</v>
      </c>
    </row>
    <row r="1722" spans="129:129" x14ac:dyDescent="0.2">
      <c r="DY1722" s="185" t="s">
        <v>215</v>
      </c>
    </row>
    <row r="1723" spans="129:129" x14ac:dyDescent="0.2">
      <c r="DY1723" s="185" t="s">
        <v>215</v>
      </c>
    </row>
    <row r="1724" spans="129:129" x14ac:dyDescent="0.2">
      <c r="DY1724" s="185" t="s">
        <v>215</v>
      </c>
    </row>
    <row r="1725" spans="129:129" x14ac:dyDescent="0.2">
      <c r="DY1725" s="185" t="s">
        <v>215</v>
      </c>
    </row>
    <row r="1726" spans="129:129" x14ac:dyDescent="0.2">
      <c r="DY1726" s="185" t="s">
        <v>215</v>
      </c>
    </row>
    <row r="1727" spans="129:129" x14ac:dyDescent="0.2">
      <c r="DY1727" s="185" t="s">
        <v>215</v>
      </c>
    </row>
    <row r="1728" spans="129:129" x14ac:dyDescent="0.2">
      <c r="DY1728" s="185" t="s">
        <v>215</v>
      </c>
    </row>
    <row r="1729" spans="129:129" x14ac:dyDescent="0.2">
      <c r="DY1729" s="185" t="s">
        <v>215</v>
      </c>
    </row>
    <row r="1730" spans="129:129" x14ac:dyDescent="0.2">
      <c r="DY1730" s="185" t="s">
        <v>215</v>
      </c>
    </row>
    <row r="1731" spans="129:129" x14ac:dyDescent="0.2">
      <c r="DY1731" s="185" t="s">
        <v>215</v>
      </c>
    </row>
    <row r="1732" spans="129:129" x14ac:dyDescent="0.2">
      <c r="DY1732" s="185" t="s">
        <v>215</v>
      </c>
    </row>
    <row r="1733" spans="129:129" x14ac:dyDescent="0.2">
      <c r="DY1733" s="185" t="s">
        <v>215</v>
      </c>
    </row>
    <row r="1734" spans="129:129" x14ac:dyDescent="0.2">
      <c r="DY1734" s="185" t="s">
        <v>215</v>
      </c>
    </row>
    <row r="1735" spans="129:129" x14ac:dyDescent="0.2">
      <c r="DY1735" s="185" t="s">
        <v>215</v>
      </c>
    </row>
    <row r="1736" spans="129:129" x14ac:dyDescent="0.2">
      <c r="DY1736" s="185" t="s">
        <v>215</v>
      </c>
    </row>
    <row r="1737" spans="129:129" x14ac:dyDescent="0.2">
      <c r="DY1737" s="185" t="s">
        <v>215</v>
      </c>
    </row>
    <row r="1738" spans="129:129" x14ac:dyDescent="0.2">
      <c r="DY1738" s="185" t="s">
        <v>215</v>
      </c>
    </row>
    <row r="1739" spans="129:129" x14ac:dyDescent="0.2">
      <c r="DY1739" s="185" t="s">
        <v>215</v>
      </c>
    </row>
    <row r="1740" spans="129:129" x14ac:dyDescent="0.2">
      <c r="DY1740" s="185" t="s">
        <v>215</v>
      </c>
    </row>
    <row r="1741" spans="129:129" x14ac:dyDescent="0.2">
      <c r="DY1741" s="185" t="s">
        <v>215</v>
      </c>
    </row>
    <row r="1742" spans="129:129" x14ac:dyDescent="0.2">
      <c r="DY1742" s="185" t="s">
        <v>215</v>
      </c>
    </row>
    <row r="1743" spans="129:129" x14ac:dyDescent="0.2">
      <c r="DY1743" s="185" t="s">
        <v>215</v>
      </c>
    </row>
    <row r="1744" spans="129:129" x14ac:dyDescent="0.2">
      <c r="DY1744" s="185" t="s">
        <v>215</v>
      </c>
    </row>
    <row r="1745" spans="129:129" x14ac:dyDescent="0.2">
      <c r="DY1745" s="185" t="s">
        <v>215</v>
      </c>
    </row>
    <row r="1746" spans="129:129" x14ac:dyDescent="0.2">
      <c r="DY1746" s="185" t="s">
        <v>215</v>
      </c>
    </row>
    <row r="1747" spans="129:129" x14ac:dyDescent="0.2">
      <c r="DY1747" s="185" t="s">
        <v>215</v>
      </c>
    </row>
    <row r="1748" spans="129:129" x14ac:dyDescent="0.2">
      <c r="DY1748" s="185" t="s">
        <v>215</v>
      </c>
    </row>
    <row r="1749" spans="129:129" x14ac:dyDescent="0.2">
      <c r="DY1749" s="185" t="s">
        <v>215</v>
      </c>
    </row>
    <row r="1750" spans="129:129" x14ac:dyDescent="0.2">
      <c r="DY1750" s="185" t="s">
        <v>215</v>
      </c>
    </row>
    <row r="1751" spans="129:129" x14ac:dyDescent="0.2">
      <c r="DY1751" s="185" t="s">
        <v>215</v>
      </c>
    </row>
    <row r="1752" spans="129:129" x14ac:dyDescent="0.2">
      <c r="DY1752" s="185" t="s">
        <v>215</v>
      </c>
    </row>
    <row r="1753" spans="129:129" x14ac:dyDescent="0.2">
      <c r="DY1753" s="185" t="s">
        <v>215</v>
      </c>
    </row>
    <row r="1754" spans="129:129" x14ac:dyDescent="0.2">
      <c r="DY1754" s="185" t="s">
        <v>215</v>
      </c>
    </row>
    <row r="1755" spans="129:129" x14ac:dyDescent="0.2">
      <c r="DY1755" s="185" t="s">
        <v>215</v>
      </c>
    </row>
    <row r="1756" spans="129:129" x14ac:dyDescent="0.2">
      <c r="DY1756" s="185" t="s">
        <v>215</v>
      </c>
    </row>
    <row r="1757" spans="129:129" x14ac:dyDescent="0.2">
      <c r="DY1757" s="185" t="s">
        <v>215</v>
      </c>
    </row>
    <row r="1758" spans="129:129" x14ac:dyDescent="0.2">
      <c r="DY1758" s="185" t="s">
        <v>215</v>
      </c>
    </row>
    <row r="1759" spans="129:129" x14ac:dyDescent="0.2">
      <c r="DY1759" s="185" t="s">
        <v>215</v>
      </c>
    </row>
    <row r="1760" spans="129:129" x14ac:dyDescent="0.2">
      <c r="DY1760" s="185" t="s">
        <v>215</v>
      </c>
    </row>
    <row r="1761" spans="129:129" x14ac:dyDescent="0.2">
      <c r="DY1761" s="185" t="s">
        <v>215</v>
      </c>
    </row>
    <row r="1762" spans="129:129" x14ac:dyDescent="0.2">
      <c r="DY1762" s="185" t="s">
        <v>215</v>
      </c>
    </row>
    <row r="1763" spans="129:129" x14ac:dyDescent="0.2">
      <c r="DY1763" s="185" t="s">
        <v>215</v>
      </c>
    </row>
    <row r="1764" spans="129:129" x14ac:dyDescent="0.2">
      <c r="DY1764" s="185" t="s">
        <v>215</v>
      </c>
    </row>
    <row r="1765" spans="129:129" x14ac:dyDescent="0.2">
      <c r="DY1765" s="185" t="s">
        <v>215</v>
      </c>
    </row>
    <row r="1766" spans="129:129" x14ac:dyDescent="0.2">
      <c r="DY1766" s="185" t="s">
        <v>215</v>
      </c>
    </row>
    <row r="1767" spans="129:129" x14ac:dyDescent="0.2">
      <c r="DY1767" s="185" t="s">
        <v>215</v>
      </c>
    </row>
    <row r="1768" spans="129:129" x14ac:dyDescent="0.2">
      <c r="DY1768" s="185" t="s">
        <v>215</v>
      </c>
    </row>
    <row r="1769" spans="129:129" x14ac:dyDescent="0.2">
      <c r="DY1769" s="185" t="s">
        <v>215</v>
      </c>
    </row>
    <row r="1770" spans="129:129" x14ac:dyDescent="0.2">
      <c r="DY1770" s="185" t="s">
        <v>215</v>
      </c>
    </row>
    <row r="1771" spans="129:129" x14ac:dyDescent="0.2">
      <c r="DY1771" s="185" t="s">
        <v>215</v>
      </c>
    </row>
    <row r="1772" spans="129:129" x14ac:dyDescent="0.2">
      <c r="DY1772" s="185" t="s">
        <v>215</v>
      </c>
    </row>
    <row r="1773" spans="129:129" x14ac:dyDescent="0.2">
      <c r="DY1773" s="185" t="s">
        <v>215</v>
      </c>
    </row>
    <row r="1774" spans="129:129" x14ac:dyDescent="0.2">
      <c r="DY1774" s="185" t="s">
        <v>215</v>
      </c>
    </row>
    <row r="1775" spans="129:129" x14ac:dyDescent="0.2">
      <c r="DY1775" s="185" t="s">
        <v>215</v>
      </c>
    </row>
    <row r="1776" spans="129:129" x14ac:dyDescent="0.2">
      <c r="DY1776" s="185" t="s">
        <v>215</v>
      </c>
    </row>
    <row r="1777" spans="129:129" x14ac:dyDescent="0.2">
      <c r="DY1777" s="185" t="s">
        <v>215</v>
      </c>
    </row>
    <row r="1778" spans="129:129" x14ac:dyDescent="0.2">
      <c r="DY1778" s="185" t="s">
        <v>215</v>
      </c>
    </row>
    <row r="1779" spans="129:129" x14ac:dyDescent="0.2">
      <c r="DY1779" s="185" t="s">
        <v>215</v>
      </c>
    </row>
    <row r="1780" spans="129:129" x14ac:dyDescent="0.2">
      <c r="DY1780" s="185" t="s">
        <v>215</v>
      </c>
    </row>
    <row r="1781" spans="129:129" x14ac:dyDescent="0.2">
      <c r="DY1781" s="185" t="s">
        <v>215</v>
      </c>
    </row>
    <row r="1782" spans="129:129" x14ac:dyDescent="0.2">
      <c r="DY1782" s="185" t="s">
        <v>215</v>
      </c>
    </row>
    <row r="1783" spans="129:129" x14ac:dyDescent="0.2">
      <c r="DY1783" s="185" t="s">
        <v>215</v>
      </c>
    </row>
    <row r="1784" spans="129:129" x14ac:dyDescent="0.2">
      <c r="DY1784" s="185" t="s">
        <v>215</v>
      </c>
    </row>
    <row r="1785" spans="129:129" x14ac:dyDescent="0.2">
      <c r="DY1785" s="185" t="s">
        <v>215</v>
      </c>
    </row>
    <row r="1786" spans="129:129" x14ac:dyDescent="0.2">
      <c r="DY1786" s="185" t="s">
        <v>215</v>
      </c>
    </row>
    <row r="1787" spans="129:129" x14ac:dyDescent="0.2">
      <c r="DY1787" s="185" t="s">
        <v>215</v>
      </c>
    </row>
    <row r="1788" spans="129:129" x14ac:dyDescent="0.2">
      <c r="DY1788" s="185" t="s">
        <v>215</v>
      </c>
    </row>
    <row r="1789" spans="129:129" x14ac:dyDescent="0.2">
      <c r="DY1789" s="185" t="s">
        <v>215</v>
      </c>
    </row>
    <row r="1790" spans="129:129" x14ac:dyDescent="0.2">
      <c r="DY1790" s="185" t="s">
        <v>215</v>
      </c>
    </row>
    <row r="1791" spans="129:129" x14ac:dyDescent="0.2">
      <c r="DY1791" s="185" t="s">
        <v>215</v>
      </c>
    </row>
    <row r="1792" spans="129:129" x14ac:dyDescent="0.2">
      <c r="DY1792" s="185" t="s">
        <v>215</v>
      </c>
    </row>
    <row r="1793" spans="129:129" x14ac:dyDescent="0.2">
      <c r="DY1793" s="185" t="s">
        <v>215</v>
      </c>
    </row>
    <row r="1794" spans="129:129" x14ac:dyDescent="0.2">
      <c r="DY1794" s="185" t="s">
        <v>215</v>
      </c>
    </row>
    <row r="1795" spans="129:129" x14ac:dyDescent="0.2">
      <c r="DY1795" s="185" t="s">
        <v>215</v>
      </c>
    </row>
    <row r="1796" spans="129:129" x14ac:dyDescent="0.2">
      <c r="DY1796" s="185" t="s">
        <v>215</v>
      </c>
    </row>
    <row r="1797" spans="129:129" x14ac:dyDescent="0.2">
      <c r="DY1797" s="185" t="s">
        <v>215</v>
      </c>
    </row>
    <row r="1798" spans="129:129" x14ac:dyDescent="0.2">
      <c r="DY1798" s="185" t="s">
        <v>215</v>
      </c>
    </row>
    <row r="1799" spans="129:129" x14ac:dyDescent="0.2">
      <c r="DY1799" s="185" t="s">
        <v>215</v>
      </c>
    </row>
    <row r="1800" spans="129:129" x14ac:dyDescent="0.2">
      <c r="DY1800" s="185" t="s">
        <v>215</v>
      </c>
    </row>
    <row r="1801" spans="129:129" x14ac:dyDescent="0.2">
      <c r="DY1801" s="185" t="s">
        <v>215</v>
      </c>
    </row>
    <row r="1802" spans="129:129" x14ac:dyDescent="0.2">
      <c r="DY1802" s="185" t="s">
        <v>215</v>
      </c>
    </row>
    <row r="1803" spans="129:129" x14ac:dyDescent="0.2">
      <c r="DY1803" s="185" t="s">
        <v>215</v>
      </c>
    </row>
    <row r="1804" spans="129:129" x14ac:dyDescent="0.2">
      <c r="DY1804" s="185" t="s">
        <v>215</v>
      </c>
    </row>
    <row r="1805" spans="129:129" x14ac:dyDescent="0.2">
      <c r="DY1805" s="185" t="s">
        <v>215</v>
      </c>
    </row>
    <row r="1806" spans="129:129" x14ac:dyDescent="0.2">
      <c r="DY1806" s="185" t="s">
        <v>215</v>
      </c>
    </row>
    <row r="1807" spans="129:129" x14ac:dyDescent="0.2">
      <c r="DY1807" s="185" t="s">
        <v>215</v>
      </c>
    </row>
    <row r="1808" spans="129:129" x14ac:dyDescent="0.2">
      <c r="DY1808" s="185" t="s">
        <v>215</v>
      </c>
    </row>
    <row r="1809" spans="129:129" x14ac:dyDescent="0.2">
      <c r="DY1809" s="185" t="s">
        <v>215</v>
      </c>
    </row>
    <row r="1810" spans="129:129" x14ac:dyDescent="0.2">
      <c r="DY1810" s="185" t="s">
        <v>215</v>
      </c>
    </row>
    <row r="1811" spans="129:129" x14ac:dyDescent="0.2">
      <c r="DY1811" s="185" t="s">
        <v>215</v>
      </c>
    </row>
    <row r="1812" spans="129:129" x14ac:dyDescent="0.2">
      <c r="DY1812" s="185" t="s">
        <v>215</v>
      </c>
    </row>
    <row r="1813" spans="129:129" x14ac:dyDescent="0.2">
      <c r="DY1813" s="185" t="s">
        <v>215</v>
      </c>
    </row>
    <row r="1814" spans="129:129" x14ac:dyDescent="0.2">
      <c r="DY1814" s="185" t="s">
        <v>215</v>
      </c>
    </row>
    <row r="1815" spans="129:129" x14ac:dyDescent="0.2">
      <c r="DY1815" s="185" t="s">
        <v>215</v>
      </c>
    </row>
    <row r="1816" spans="129:129" x14ac:dyDescent="0.2">
      <c r="DY1816" s="185" t="s">
        <v>215</v>
      </c>
    </row>
    <row r="1817" spans="129:129" x14ac:dyDescent="0.2">
      <c r="DY1817" s="185" t="s">
        <v>215</v>
      </c>
    </row>
    <row r="1818" spans="129:129" x14ac:dyDescent="0.2">
      <c r="DY1818" s="185" t="s">
        <v>215</v>
      </c>
    </row>
    <row r="1819" spans="129:129" x14ac:dyDescent="0.2">
      <c r="DY1819" s="185" t="s">
        <v>215</v>
      </c>
    </row>
    <row r="1820" spans="129:129" x14ac:dyDescent="0.2">
      <c r="DY1820" s="185" t="s">
        <v>215</v>
      </c>
    </row>
    <row r="1821" spans="129:129" x14ac:dyDescent="0.2">
      <c r="DY1821" s="185" t="s">
        <v>215</v>
      </c>
    </row>
    <row r="1822" spans="129:129" x14ac:dyDescent="0.2">
      <c r="DY1822" s="185" t="s">
        <v>215</v>
      </c>
    </row>
    <row r="1823" spans="129:129" x14ac:dyDescent="0.2">
      <c r="DY1823" s="185" t="s">
        <v>215</v>
      </c>
    </row>
    <row r="1824" spans="129:129" x14ac:dyDescent="0.2">
      <c r="DY1824" s="185" t="s">
        <v>215</v>
      </c>
    </row>
    <row r="1825" spans="129:129" x14ac:dyDescent="0.2">
      <c r="DY1825" s="185" t="s">
        <v>215</v>
      </c>
    </row>
    <row r="1826" spans="129:129" x14ac:dyDescent="0.2">
      <c r="DY1826" s="185" t="s">
        <v>215</v>
      </c>
    </row>
    <row r="1827" spans="129:129" x14ac:dyDescent="0.2">
      <c r="DY1827" s="185" t="s">
        <v>215</v>
      </c>
    </row>
    <row r="1828" spans="129:129" x14ac:dyDescent="0.2">
      <c r="DY1828" s="185" t="s">
        <v>215</v>
      </c>
    </row>
    <row r="1829" spans="129:129" x14ac:dyDescent="0.2">
      <c r="DY1829" s="185" t="s">
        <v>215</v>
      </c>
    </row>
    <row r="1830" spans="129:129" x14ac:dyDescent="0.2">
      <c r="DY1830" s="185" t="s">
        <v>215</v>
      </c>
    </row>
    <row r="1831" spans="129:129" x14ac:dyDescent="0.2">
      <c r="DY1831" s="185" t="s">
        <v>215</v>
      </c>
    </row>
    <row r="1832" spans="129:129" x14ac:dyDescent="0.2">
      <c r="DY1832" s="185" t="s">
        <v>215</v>
      </c>
    </row>
    <row r="1833" spans="129:129" x14ac:dyDescent="0.2">
      <c r="DY1833" s="185" t="s">
        <v>215</v>
      </c>
    </row>
    <row r="1834" spans="129:129" x14ac:dyDescent="0.2">
      <c r="DY1834" s="185" t="s">
        <v>215</v>
      </c>
    </row>
    <row r="1835" spans="129:129" x14ac:dyDescent="0.2">
      <c r="DY1835" s="185" t="s">
        <v>215</v>
      </c>
    </row>
    <row r="1836" spans="129:129" x14ac:dyDescent="0.2">
      <c r="DY1836" s="185" t="s">
        <v>215</v>
      </c>
    </row>
    <row r="1837" spans="129:129" x14ac:dyDescent="0.2">
      <c r="DY1837" s="185" t="s">
        <v>215</v>
      </c>
    </row>
    <row r="1838" spans="129:129" x14ac:dyDescent="0.2">
      <c r="DY1838" s="185" t="s">
        <v>215</v>
      </c>
    </row>
    <row r="1839" spans="129:129" x14ac:dyDescent="0.2">
      <c r="DY1839" s="185" t="s">
        <v>215</v>
      </c>
    </row>
    <row r="1840" spans="129:129" x14ac:dyDescent="0.2">
      <c r="DY1840" s="185" t="s">
        <v>215</v>
      </c>
    </row>
    <row r="1841" spans="129:129" x14ac:dyDescent="0.2">
      <c r="DY1841" s="185" t="s">
        <v>215</v>
      </c>
    </row>
    <row r="1842" spans="129:129" x14ac:dyDescent="0.2">
      <c r="DY1842" s="185" t="s">
        <v>215</v>
      </c>
    </row>
    <row r="1843" spans="129:129" x14ac:dyDescent="0.2">
      <c r="DY1843" s="185" t="s">
        <v>215</v>
      </c>
    </row>
    <row r="1844" spans="129:129" x14ac:dyDescent="0.2">
      <c r="DY1844" s="185" t="s">
        <v>215</v>
      </c>
    </row>
    <row r="1845" spans="129:129" x14ac:dyDescent="0.2">
      <c r="DY1845" s="185" t="s">
        <v>215</v>
      </c>
    </row>
    <row r="1846" spans="129:129" x14ac:dyDescent="0.2">
      <c r="DY1846" s="185" t="s">
        <v>215</v>
      </c>
    </row>
    <row r="1847" spans="129:129" x14ac:dyDescent="0.2">
      <c r="DY1847" s="185" t="s">
        <v>215</v>
      </c>
    </row>
    <row r="1848" spans="129:129" x14ac:dyDescent="0.2">
      <c r="DY1848" s="185" t="s">
        <v>215</v>
      </c>
    </row>
    <row r="1849" spans="129:129" x14ac:dyDescent="0.2">
      <c r="DY1849" s="185" t="s">
        <v>215</v>
      </c>
    </row>
    <row r="1850" spans="129:129" x14ac:dyDescent="0.2">
      <c r="DY1850" s="185" t="s">
        <v>215</v>
      </c>
    </row>
    <row r="1851" spans="129:129" x14ac:dyDescent="0.2">
      <c r="DY1851" s="185" t="s">
        <v>215</v>
      </c>
    </row>
    <row r="1852" spans="129:129" x14ac:dyDescent="0.2">
      <c r="DY1852" s="185" t="s">
        <v>215</v>
      </c>
    </row>
    <row r="1853" spans="129:129" x14ac:dyDescent="0.2">
      <c r="DY1853" s="185" t="s">
        <v>215</v>
      </c>
    </row>
    <row r="1854" spans="129:129" x14ac:dyDescent="0.2">
      <c r="DY1854" s="185" t="s">
        <v>215</v>
      </c>
    </row>
    <row r="1855" spans="129:129" x14ac:dyDescent="0.2">
      <c r="DY1855" s="185" t="s">
        <v>215</v>
      </c>
    </row>
    <row r="1856" spans="129:129" x14ac:dyDescent="0.2">
      <c r="DY1856" s="185" t="s">
        <v>215</v>
      </c>
    </row>
    <row r="1857" spans="129:129" x14ac:dyDescent="0.2">
      <c r="DY1857" s="185" t="s">
        <v>215</v>
      </c>
    </row>
    <row r="1858" spans="129:129" x14ac:dyDescent="0.2">
      <c r="DY1858" s="185" t="s">
        <v>215</v>
      </c>
    </row>
    <row r="1859" spans="129:129" x14ac:dyDescent="0.2">
      <c r="DY1859" s="185" t="s">
        <v>215</v>
      </c>
    </row>
    <row r="1860" spans="129:129" x14ac:dyDescent="0.2">
      <c r="DY1860" s="185" t="s">
        <v>215</v>
      </c>
    </row>
    <row r="1861" spans="129:129" x14ac:dyDescent="0.2">
      <c r="DY1861" s="185" t="s">
        <v>215</v>
      </c>
    </row>
    <row r="1862" spans="129:129" x14ac:dyDescent="0.2">
      <c r="DY1862" s="185" t="s">
        <v>215</v>
      </c>
    </row>
    <row r="1863" spans="129:129" x14ac:dyDescent="0.2">
      <c r="DY1863" s="185" t="s">
        <v>215</v>
      </c>
    </row>
    <row r="1864" spans="129:129" x14ac:dyDescent="0.2">
      <c r="DY1864" s="185" t="s">
        <v>215</v>
      </c>
    </row>
    <row r="1865" spans="129:129" x14ac:dyDescent="0.2">
      <c r="DY1865" s="185" t="s">
        <v>215</v>
      </c>
    </row>
    <row r="1866" spans="129:129" x14ac:dyDescent="0.2">
      <c r="DY1866" s="185" t="s">
        <v>215</v>
      </c>
    </row>
    <row r="1867" spans="129:129" x14ac:dyDescent="0.2">
      <c r="DY1867" s="185" t="s">
        <v>215</v>
      </c>
    </row>
    <row r="1868" spans="129:129" x14ac:dyDescent="0.2">
      <c r="DY1868" s="185" t="s">
        <v>215</v>
      </c>
    </row>
    <row r="1869" spans="129:129" x14ac:dyDescent="0.2">
      <c r="DY1869" s="185" t="s">
        <v>215</v>
      </c>
    </row>
    <row r="1870" spans="129:129" x14ac:dyDescent="0.2">
      <c r="DY1870" s="185" t="s">
        <v>215</v>
      </c>
    </row>
    <row r="1871" spans="129:129" x14ac:dyDescent="0.2">
      <c r="DY1871" s="185" t="s">
        <v>215</v>
      </c>
    </row>
    <row r="1872" spans="129:129" x14ac:dyDescent="0.2">
      <c r="DY1872" s="185" t="s">
        <v>215</v>
      </c>
    </row>
    <row r="1873" spans="129:129" x14ac:dyDescent="0.2">
      <c r="DY1873" s="185" t="s">
        <v>215</v>
      </c>
    </row>
    <row r="1874" spans="129:129" x14ac:dyDescent="0.2">
      <c r="DY1874" s="185" t="s">
        <v>215</v>
      </c>
    </row>
    <row r="1875" spans="129:129" x14ac:dyDescent="0.2">
      <c r="DY1875" s="185" t="s">
        <v>215</v>
      </c>
    </row>
    <row r="1876" spans="129:129" x14ac:dyDescent="0.2">
      <c r="DY1876" s="185" t="s">
        <v>215</v>
      </c>
    </row>
    <row r="1877" spans="129:129" x14ac:dyDescent="0.2">
      <c r="DY1877" s="185" t="s">
        <v>215</v>
      </c>
    </row>
    <row r="1878" spans="129:129" x14ac:dyDescent="0.2">
      <c r="DY1878" s="185" t="s">
        <v>215</v>
      </c>
    </row>
    <row r="1879" spans="129:129" x14ac:dyDescent="0.2">
      <c r="DY1879" s="185" t="s">
        <v>215</v>
      </c>
    </row>
    <row r="1880" spans="129:129" x14ac:dyDescent="0.2">
      <c r="DY1880" s="185" t="s">
        <v>215</v>
      </c>
    </row>
    <row r="1881" spans="129:129" x14ac:dyDescent="0.2">
      <c r="DY1881" s="185" t="s">
        <v>215</v>
      </c>
    </row>
    <row r="1882" spans="129:129" x14ac:dyDescent="0.2">
      <c r="DY1882" s="185" t="s">
        <v>215</v>
      </c>
    </row>
    <row r="1883" spans="129:129" x14ac:dyDescent="0.2">
      <c r="DY1883" s="185" t="s">
        <v>215</v>
      </c>
    </row>
    <row r="1884" spans="129:129" x14ac:dyDescent="0.2">
      <c r="DY1884" s="185" t="s">
        <v>215</v>
      </c>
    </row>
    <row r="1885" spans="129:129" x14ac:dyDescent="0.2">
      <c r="DY1885" s="185" t="s">
        <v>215</v>
      </c>
    </row>
    <row r="1886" spans="129:129" x14ac:dyDescent="0.2">
      <c r="DY1886" s="185" t="s">
        <v>215</v>
      </c>
    </row>
    <row r="1887" spans="129:129" x14ac:dyDescent="0.2">
      <c r="DY1887" s="185" t="s">
        <v>215</v>
      </c>
    </row>
    <row r="1888" spans="129:129" x14ac:dyDescent="0.2">
      <c r="DY1888" s="185" t="s">
        <v>215</v>
      </c>
    </row>
    <row r="1889" spans="129:129" x14ac:dyDescent="0.2">
      <c r="DY1889" s="185" t="s">
        <v>215</v>
      </c>
    </row>
    <row r="1890" spans="129:129" x14ac:dyDescent="0.2">
      <c r="DY1890" s="185" t="s">
        <v>215</v>
      </c>
    </row>
    <row r="1891" spans="129:129" x14ac:dyDescent="0.2">
      <c r="DY1891" s="185" t="s">
        <v>215</v>
      </c>
    </row>
    <row r="1892" spans="129:129" x14ac:dyDescent="0.2">
      <c r="DY1892" s="185" t="s">
        <v>215</v>
      </c>
    </row>
    <row r="1893" spans="129:129" x14ac:dyDescent="0.2">
      <c r="DY1893" s="185" t="s">
        <v>215</v>
      </c>
    </row>
    <row r="1894" spans="129:129" x14ac:dyDescent="0.2">
      <c r="DY1894" s="185" t="s">
        <v>215</v>
      </c>
    </row>
    <row r="1895" spans="129:129" x14ac:dyDescent="0.2">
      <c r="DY1895" s="185" t="s">
        <v>215</v>
      </c>
    </row>
    <row r="1896" spans="129:129" x14ac:dyDescent="0.2">
      <c r="DY1896" s="185" t="s">
        <v>215</v>
      </c>
    </row>
    <row r="1897" spans="129:129" x14ac:dyDescent="0.2">
      <c r="DY1897" s="185" t="s">
        <v>215</v>
      </c>
    </row>
    <row r="1898" spans="129:129" x14ac:dyDescent="0.2">
      <c r="DY1898" s="185" t="s">
        <v>215</v>
      </c>
    </row>
    <row r="1899" spans="129:129" x14ac:dyDescent="0.2">
      <c r="DY1899" s="185" t="s">
        <v>215</v>
      </c>
    </row>
    <row r="1900" spans="129:129" x14ac:dyDescent="0.2">
      <c r="DY1900" s="185" t="s">
        <v>215</v>
      </c>
    </row>
    <row r="1901" spans="129:129" x14ac:dyDescent="0.2">
      <c r="DY1901" s="185" t="s">
        <v>215</v>
      </c>
    </row>
    <row r="1902" spans="129:129" x14ac:dyDescent="0.2">
      <c r="DY1902" s="185" t="s">
        <v>215</v>
      </c>
    </row>
    <row r="1903" spans="129:129" x14ac:dyDescent="0.2">
      <c r="DY1903" s="185" t="s">
        <v>215</v>
      </c>
    </row>
    <row r="1904" spans="129:129" x14ac:dyDescent="0.2">
      <c r="DY1904" s="185" t="s">
        <v>215</v>
      </c>
    </row>
    <row r="1905" spans="129:129" x14ac:dyDescent="0.2">
      <c r="DY1905" s="185" t="s">
        <v>215</v>
      </c>
    </row>
    <row r="1906" spans="129:129" x14ac:dyDescent="0.2">
      <c r="DY1906" s="185" t="s">
        <v>215</v>
      </c>
    </row>
    <row r="1907" spans="129:129" x14ac:dyDescent="0.2">
      <c r="DY1907" s="185" t="s">
        <v>215</v>
      </c>
    </row>
    <row r="1908" spans="129:129" x14ac:dyDescent="0.2">
      <c r="DY1908" s="185" t="s">
        <v>215</v>
      </c>
    </row>
    <row r="1909" spans="129:129" x14ac:dyDescent="0.2">
      <c r="DY1909" s="185" t="s">
        <v>215</v>
      </c>
    </row>
    <row r="1910" spans="129:129" x14ac:dyDescent="0.2">
      <c r="DY1910" s="185" t="s">
        <v>215</v>
      </c>
    </row>
    <row r="1911" spans="129:129" x14ac:dyDescent="0.2">
      <c r="DY1911" s="185" t="s">
        <v>215</v>
      </c>
    </row>
    <row r="1912" spans="129:129" x14ac:dyDescent="0.2">
      <c r="DY1912" s="185" t="s">
        <v>215</v>
      </c>
    </row>
    <row r="1913" spans="129:129" x14ac:dyDescent="0.2">
      <c r="DY1913" s="185" t="s">
        <v>215</v>
      </c>
    </row>
    <row r="1914" spans="129:129" x14ac:dyDescent="0.2">
      <c r="DY1914" s="185" t="s">
        <v>215</v>
      </c>
    </row>
    <row r="1915" spans="129:129" x14ac:dyDescent="0.2">
      <c r="DY1915" s="185" t="s">
        <v>215</v>
      </c>
    </row>
    <row r="1916" spans="129:129" x14ac:dyDescent="0.2">
      <c r="DY1916" s="185" t="s">
        <v>215</v>
      </c>
    </row>
    <row r="1917" spans="129:129" x14ac:dyDescent="0.2">
      <c r="DY1917" s="185" t="s">
        <v>215</v>
      </c>
    </row>
    <row r="1918" spans="129:129" x14ac:dyDescent="0.2">
      <c r="DY1918" s="185" t="s">
        <v>215</v>
      </c>
    </row>
    <row r="1919" spans="129:129" x14ac:dyDescent="0.2">
      <c r="DY1919" s="185" t="s">
        <v>215</v>
      </c>
    </row>
    <row r="1920" spans="129:129" x14ac:dyDescent="0.2">
      <c r="DY1920" s="185" t="s">
        <v>215</v>
      </c>
    </row>
    <row r="1921" spans="129:129" x14ac:dyDescent="0.2">
      <c r="DY1921" s="185" t="s">
        <v>215</v>
      </c>
    </row>
    <row r="1922" spans="129:129" x14ac:dyDescent="0.2">
      <c r="DY1922" s="185" t="s">
        <v>215</v>
      </c>
    </row>
    <row r="1923" spans="129:129" x14ac:dyDescent="0.2">
      <c r="DY1923" s="185" t="s">
        <v>215</v>
      </c>
    </row>
    <row r="1924" spans="129:129" x14ac:dyDescent="0.2">
      <c r="DY1924" s="185" t="s">
        <v>215</v>
      </c>
    </row>
    <row r="1925" spans="129:129" x14ac:dyDescent="0.2">
      <c r="DY1925" s="185" t="s">
        <v>215</v>
      </c>
    </row>
    <row r="1926" spans="129:129" x14ac:dyDescent="0.2">
      <c r="DY1926" s="185" t="s">
        <v>215</v>
      </c>
    </row>
    <row r="1927" spans="129:129" x14ac:dyDescent="0.2">
      <c r="DY1927" s="185" t="s">
        <v>215</v>
      </c>
    </row>
    <row r="1928" spans="129:129" x14ac:dyDescent="0.2">
      <c r="DY1928" s="185" t="s">
        <v>215</v>
      </c>
    </row>
    <row r="1929" spans="129:129" x14ac:dyDescent="0.2">
      <c r="DY1929" s="185" t="s">
        <v>215</v>
      </c>
    </row>
    <row r="1930" spans="129:129" x14ac:dyDescent="0.2">
      <c r="DY1930" s="185" t="s">
        <v>215</v>
      </c>
    </row>
    <row r="1931" spans="129:129" x14ac:dyDescent="0.2">
      <c r="DY1931" s="185" t="s">
        <v>215</v>
      </c>
    </row>
    <row r="1932" spans="129:129" x14ac:dyDescent="0.2">
      <c r="DY1932" s="185" t="s">
        <v>215</v>
      </c>
    </row>
    <row r="1933" spans="129:129" x14ac:dyDescent="0.2">
      <c r="DY1933" s="185" t="s">
        <v>215</v>
      </c>
    </row>
    <row r="1934" spans="129:129" x14ac:dyDescent="0.2">
      <c r="DY1934" s="185" t="s">
        <v>215</v>
      </c>
    </row>
    <row r="1935" spans="129:129" x14ac:dyDescent="0.2">
      <c r="DY1935" s="185" t="s">
        <v>215</v>
      </c>
    </row>
    <row r="1936" spans="129:129" x14ac:dyDescent="0.2">
      <c r="DY1936" s="185" t="s">
        <v>215</v>
      </c>
    </row>
    <row r="1937" spans="129:129" x14ac:dyDescent="0.2">
      <c r="DY1937" s="185" t="s">
        <v>215</v>
      </c>
    </row>
    <row r="1938" spans="129:129" x14ac:dyDescent="0.2">
      <c r="DY1938" s="185" t="s">
        <v>215</v>
      </c>
    </row>
    <row r="1939" spans="129:129" x14ac:dyDescent="0.2">
      <c r="DY1939" s="185" t="s">
        <v>215</v>
      </c>
    </row>
    <row r="1940" spans="129:129" x14ac:dyDescent="0.2">
      <c r="DY1940" s="185" t="s">
        <v>215</v>
      </c>
    </row>
    <row r="1941" spans="129:129" x14ac:dyDescent="0.2">
      <c r="DY1941" s="185" t="s">
        <v>215</v>
      </c>
    </row>
    <row r="1942" spans="129:129" x14ac:dyDescent="0.2">
      <c r="DY1942" s="185" t="s">
        <v>215</v>
      </c>
    </row>
    <row r="1943" spans="129:129" x14ac:dyDescent="0.2">
      <c r="DY1943" s="185" t="s">
        <v>215</v>
      </c>
    </row>
    <row r="1944" spans="129:129" x14ac:dyDescent="0.2">
      <c r="DY1944" s="185" t="s">
        <v>215</v>
      </c>
    </row>
    <row r="1945" spans="129:129" x14ac:dyDescent="0.2">
      <c r="DY1945" s="185" t="s">
        <v>215</v>
      </c>
    </row>
    <row r="1946" spans="129:129" x14ac:dyDescent="0.2">
      <c r="DY1946" s="185" t="s">
        <v>215</v>
      </c>
    </row>
    <row r="1947" spans="129:129" x14ac:dyDescent="0.2">
      <c r="DY1947" s="185" t="s">
        <v>215</v>
      </c>
    </row>
    <row r="1948" spans="129:129" x14ac:dyDescent="0.2">
      <c r="DY1948" s="185" t="s">
        <v>215</v>
      </c>
    </row>
    <row r="1949" spans="129:129" x14ac:dyDescent="0.2">
      <c r="DY1949" s="185" t="s">
        <v>215</v>
      </c>
    </row>
    <row r="1950" spans="129:129" x14ac:dyDescent="0.2">
      <c r="DY1950" s="185" t="s">
        <v>215</v>
      </c>
    </row>
    <row r="1951" spans="129:129" x14ac:dyDescent="0.2">
      <c r="DY1951" s="185" t="s">
        <v>215</v>
      </c>
    </row>
    <row r="1952" spans="129:129" x14ac:dyDescent="0.2">
      <c r="DY1952" s="185" t="s">
        <v>215</v>
      </c>
    </row>
    <row r="1953" spans="129:129" x14ac:dyDescent="0.2">
      <c r="DY1953" s="185" t="s">
        <v>215</v>
      </c>
    </row>
    <row r="1954" spans="129:129" x14ac:dyDescent="0.2">
      <c r="DY1954" s="185" t="s">
        <v>215</v>
      </c>
    </row>
    <row r="1955" spans="129:129" x14ac:dyDescent="0.2">
      <c r="DY1955" s="185" t="s">
        <v>215</v>
      </c>
    </row>
    <row r="1956" spans="129:129" x14ac:dyDescent="0.2">
      <c r="DY1956" s="185" t="s">
        <v>215</v>
      </c>
    </row>
    <row r="1957" spans="129:129" x14ac:dyDescent="0.2">
      <c r="DY1957" s="185" t="s">
        <v>215</v>
      </c>
    </row>
    <row r="1958" spans="129:129" x14ac:dyDescent="0.2">
      <c r="DY1958" s="185" t="s">
        <v>215</v>
      </c>
    </row>
    <row r="1959" spans="129:129" x14ac:dyDescent="0.2">
      <c r="DY1959" s="185" t="s">
        <v>215</v>
      </c>
    </row>
    <row r="1960" spans="129:129" x14ac:dyDescent="0.2">
      <c r="DY1960" s="185" t="s">
        <v>215</v>
      </c>
    </row>
    <row r="1961" spans="129:129" x14ac:dyDescent="0.2">
      <c r="DY1961" s="185" t="s">
        <v>215</v>
      </c>
    </row>
    <row r="1962" spans="129:129" x14ac:dyDescent="0.2">
      <c r="DY1962" s="185" t="s">
        <v>215</v>
      </c>
    </row>
    <row r="1963" spans="129:129" x14ac:dyDescent="0.2">
      <c r="DY1963" s="185" t="s">
        <v>215</v>
      </c>
    </row>
    <row r="1964" spans="129:129" x14ac:dyDescent="0.2">
      <c r="DY1964" s="185" t="s">
        <v>215</v>
      </c>
    </row>
    <row r="1965" spans="129:129" x14ac:dyDescent="0.2">
      <c r="DY1965" s="185" t="s">
        <v>215</v>
      </c>
    </row>
    <row r="1966" spans="129:129" x14ac:dyDescent="0.2">
      <c r="DY1966" s="185" t="s">
        <v>215</v>
      </c>
    </row>
    <row r="1967" spans="129:129" x14ac:dyDescent="0.2">
      <c r="DY1967" s="185" t="s">
        <v>215</v>
      </c>
    </row>
    <row r="1968" spans="129:129" x14ac:dyDescent="0.2">
      <c r="DY1968" s="185" t="s">
        <v>215</v>
      </c>
    </row>
    <row r="1969" spans="129:129" x14ac:dyDescent="0.2">
      <c r="DY1969" s="185" t="s">
        <v>215</v>
      </c>
    </row>
    <row r="1970" spans="129:129" x14ac:dyDescent="0.2">
      <c r="DY1970" s="185" t="s">
        <v>215</v>
      </c>
    </row>
    <row r="1971" spans="129:129" x14ac:dyDescent="0.2">
      <c r="DY1971" s="185" t="s">
        <v>215</v>
      </c>
    </row>
    <row r="1972" spans="129:129" x14ac:dyDescent="0.2">
      <c r="DY1972" s="185" t="s">
        <v>215</v>
      </c>
    </row>
    <row r="1973" spans="129:129" x14ac:dyDescent="0.2">
      <c r="DY1973" s="185" t="s">
        <v>215</v>
      </c>
    </row>
    <row r="1974" spans="129:129" x14ac:dyDescent="0.2">
      <c r="DY1974" s="185" t="s">
        <v>215</v>
      </c>
    </row>
    <row r="1975" spans="129:129" x14ac:dyDescent="0.2">
      <c r="DY1975" s="185" t="s">
        <v>215</v>
      </c>
    </row>
    <row r="1976" spans="129:129" x14ac:dyDescent="0.2">
      <c r="DY1976" s="185" t="s">
        <v>215</v>
      </c>
    </row>
    <row r="1977" spans="129:129" x14ac:dyDescent="0.2">
      <c r="DY1977" s="185" t="s">
        <v>215</v>
      </c>
    </row>
    <row r="1978" spans="129:129" x14ac:dyDescent="0.2">
      <c r="DY1978" s="185" t="s">
        <v>215</v>
      </c>
    </row>
    <row r="1979" spans="129:129" x14ac:dyDescent="0.2">
      <c r="DY1979" s="185" t="s">
        <v>215</v>
      </c>
    </row>
    <row r="1980" spans="129:129" x14ac:dyDescent="0.2">
      <c r="DY1980" s="185" t="s">
        <v>215</v>
      </c>
    </row>
    <row r="1981" spans="129:129" x14ac:dyDescent="0.2">
      <c r="DY1981" s="185" t="s">
        <v>215</v>
      </c>
    </row>
    <row r="1982" spans="129:129" x14ac:dyDescent="0.2">
      <c r="DY1982" s="185" t="s">
        <v>215</v>
      </c>
    </row>
    <row r="1983" spans="129:129" x14ac:dyDescent="0.2">
      <c r="DY1983" s="185" t="s">
        <v>215</v>
      </c>
    </row>
    <row r="1984" spans="129:129" x14ac:dyDescent="0.2">
      <c r="DY1984" s="185" t="s">
        <v>215</v>
      </c>
    </row>
    <row r="1985" spans="129:129" x14ac:dyDescent="0.2">
      <c r="DY1985" s="185" t="s">
        <v>215</v>
      </c>
    </row>
    <row r="1986" spans="129:129" x14ac:dyDescent="0.2">
      <c r="DY1986" s="185" t="s">
        <v>215</v>
      </c>
    </row>
    <row r="1987" spans="129:129" x14ac:dyDescent="0.2">
      <c r="DY1987" s="185" t="s">
        <v>215</v>
      </c>
    </row>
    <row r="1988" spans="129:129" x14ac:dyDescent="0.2">
      <c r="DY1988" s="185" t="s">
        <v>215</v>
      </c>
    </row>
    <row r="1989" spans="129:129" x14ac:dyDescent="0.2">
      <c r="DY1989" s="185" t="s">
        <v>215</v>
      </c>
    </row>
    <row r="1990" spans="129:129" x14ac:dyDescent="0.2">
      <c r="DY1990" s="185" t="s">
        <v>215</v>
      </c>
    </row>
    <row r="1991" spans="129:129" x14ac:dyDescent="0.2">
      <c r="DY1991" s="185" t="s">
        <v>215</v>
      </c>
    </row>
    <row r="1992" spans="129:129" x14ac:dyDescent="0.2">
      <c r="DY1992" s="185" t="s">
        <v>215</v>
      </c>
    </row>
    <row r="1993" spans="129:129" x14ac:dyDescent="0.2">
      <c r="DY1993" s="185" t="s">
        <v>215</v>
      </c>
    </row>
    <row r="1994" spans="129:129" x14ac:dyDescent="0.2">
      <c r="DY1994" s="185" t="s">
        <v>215</v>
      </c>
    </row>
    <row r="1995" spans="129:129" x14ac:dyDescent="0.2">
      <c r="DY1995" s="185" t="s">
        <v>215</v>
      </c>
    </row>
    <row r="1996" spans="129:129" x14ac:dyDescent="0.2">
      <c r="DY1996" s="185" t="s">
        <v>215</v>
      </c>
    </row>
    <row r="1997" spans="129:129" x14ac:dyDescent="0.2">
      <c r="DY1997" s="185" t="s">
        <v>215</v>
      </c>
    </row>
    <row r="1998" spans="129:129" x14ac:dyDescent="0.2">
      <c r="DY1998" s="185" t="s">
        <v>215</v>
      </c>
    </row>
    <row r="1999" spans="129:129" x14ac:dyDescent="0.2">
      <c r="DY1999" s="185" t="s">
        <v>215</v>
      </c>
    </row>
    <row r="2000" spans="129:129" x14ac:dyDescent="0.2">
      <c r="DY2000" s="185" t="s">
        <v>215</v>
      </c>
    </row>
    <row r="2001" spans="129:129" x14ac:dyDescent="0.2">
      <c r="DY2001" s="185" t="s">
        <v>215</v>
      </c>
    </row>
    <row r="2002" spans="129:129" x14ac:dyDescent="0.2">
      <c r="DY2002" s="185" t="s">
        <v>215</v>
      </c>
    </row>
    <row r="2003" spans="129:129" x14ac:dyDescent="0.2">
      <c r="DY2003" s="185" t="s">
        <v>215</v>
      </c>
    </row>
    <row r="2004" spans="129:129" x14ac:dyDescent="0.2">
      <c r="DY2004" s="185" t="s">
        <v>215</v>
      </c>
    </row>
    <row r="2005" spans="129:129" x14ac:dyDescent="0.2">
      <c r="DY2005" s="185" t="s">
        <v>215</v>
      </c>
    </row>
    <row r="2006" spans="129:129" x14ac:dyDescent="0.2">
      <c r="DY2006" s="185" t="s">
        <v>215</v>
      </c>
    </row>
    <row r="2007" spans="129:129" x14ac:dyDescent="0.2">
      <c r="DY2007" s="185" t="s">
        <v>215</v>
      </c>
    </row>
    <row r="2008" spans="129:129" x14ac:dyDescent="0.2">
      <c r="DY2008" s="185" t="s">
        <v>215</v>
      </c>
    </row>
    <row r="2009" spans="129:129" x14ac:dyDescent="0.2">
      <c r="DY2009" s="185" t="s">
        <v>215</v>
      </c>
    </row>
    <row r="2010" spans="129:129" x14ac:dyDescent="0.2">
      <c r="DY2010" s="185" t="s">
        <v>215</v>
      </c>
    </row>
    <row r="2011" spans="129:129" x14ac:dyDescent="0.2">
      <c r="DY2011" s="185" t="s">
        <v>215</v>
      </c>
    </row>
    <row r="2012" spans="129:129" x14ac:dyDescent="0.2">
      <c r="DY2012" s="185" t="s">
        <v>215</v>
      </c>
    </row>
    <row r="2013" spans="129:129" x14ac:dyDescent="0.2">
      <c r="DY2013" s="185" t="s">
        <v>215</v>
      </c>
    </row>
    <row r="2014" spans="129:129" x14ac:dyDescent="0.2">
      <c r="DY2014" s="185" t="s">
        <v>215</v>
      </c>
    </row>
    <row r="2015" spans="129:129" x14ac:dyDescent="0.2">
      <c r="DY2015" s="185" t="s">
        <v>215</v>
      </c>
    </row>
    <row r="2016" spans="129:129" x14ac:dyDescent="0.2">
      <c r="DY2016" s="185" t="s">
        <v>215</v>
      </c>
    </row>
    <row r="2017" spans="129:129" x14ac:dyDescent="0.2">
      <c r="DY2017" s="185" t="s">
        <v>215</v>
      </c>
    </row>
    <row r="2018" spans="129:129" x14ac:dyDescent="0.2">
      <c r="DY2018" s="185" t="s">
        <v>215</v>
      </c>
    </row>
    <row r="2019" spans="129:129" x14ac:dyDescent="0.2">
      <c r="DY2019" s="185" t="s">
        <v>215</v>
      </c>
    </row>
    <row r="2020" spans="129:129" x14ac:dyDescent="0.2">
      <c r="DY2020" s="185" t="s">
        <v>215</v>
      </c>
    </row>
    <row r="2021" spans="129:129" x14ac:dyDescent="0.2">
      <c r="DY2021" s="185" t="s">
        <v>215</v>
      </c>
    </row>
    <row r="2022" spans="129:129" x14ac:dyDescent="0.2">
      <c r="DY2022" s="185" t="s">
        <v>215</v>
      </c>
    </row>
    <row r="2023" spans="129:129" x14ac:dyDescent="0.2">
      <c r="DY2023" s="185" t="s">
        <v>215</v>
      </c>
    </row>
    <row r="2024" spans="129:129" x14ac:dyDescent="0.2">
      <c r="DY2024" s="185" t="s">
        <v>215</v>
      </c>
    </row>
    <row r="2025" spans="129:129" x14ac:dyDescent="0.2">
      <c r="DY2025" s="185" t="s">
        <v>215</v>
      </c>
    </row>
    <row r="2026" spans="129:129" x14ac:dyDescent="0.2">
      <c r="DY2026" s="185" t="s">
        <v>215</v>
      </c>
    </row>
    <row r="2027" spans="129:129" x14ac:dyDescent="0.2">
      <c r="DY2027" s="185" t="s">
        <v>215</v>
      </c>
    </row>
    <row r="2028" spans="129:129" x14ac:dyDescent="0.2">
      <c r="DY2028" s="185" t="s">
        <v>215</v>
      </c>
    </row>
    <row r="2029" spans="129:129" x14ac:dyDescent="0.2">
      <c r="DY2029" s="185" t="s">
        <v>215</v>
      </c>
    </row>
    <row r="2030" spans="129:129" x14ac:dyDescent="0.2">
      <c r="DY2030" s="185" t="s">
        <v>215</v>
      </c>
    </row>
    <row r="2031" spans="129:129" x14ac:dyDescent="0.2">
      <c r="DY2031" s="185" t="s">
        <v>215</v>
      </c>
    </row>
    <row r="2032" spans="129:129" x14ac:dyDescent="0.2">
      <c r="DY2032" s="185" t="s">
        <v>215</v>
      </c>
    </row>
    <row r="2033" spans="129:129" x14ac:dyDescent="0.2">
      <c r="DY2033" s="185" t="s">
        <v>215</v>
      </c>
    </row>
    <row r="2034" spans="129:129" x14ac:dyDescent="0.2">
      <c r="DY2034" s="185" t="s">
        <v>215</v>
      </c>
    </row>
    <row r="2035" spans="129:129" x14ac:dyDescent="0.2">
      <c r="DY2035" s="185" t="s">
        <v>215</v>
      </c>
    </row>
    <row r="2036" spans="129:129" x14ac:dyDescent="0.2">
      <c r="DY2036" s="185" t="s">
        <v>215</v>
      </c>
    </row>
    <row r="2037" spans="129:129" x14ac:dyDescent="0.2">
      <c r="DY2037" s="185" t="s">
        <v>215</v>
      </c>
    </row>
    <row r="2038" spans="129:129" x14ac:dyDescent="0.2">
      <c r="DY2038" s="185" t="s">
        <v>215</v>
      </c>
    </row>
    <row r="2039" spans="129:129" x14ac:dyDescent="0.2">
      <c r="DY2039" s="185" t="s">
        <v>215</v>
      </c>
    </row>
    <row r="2040" spans="129:129" x14ac:dyDescent="0.2">
      <c r="DY2040" s="185" t="s">
        <v>215</v>
      </c>
    </row>
    <row r="2041" spans="129:129" x14ac:dyDescent="0.2">
      <c r="DY2041" s="185" t="s">
        <v>215</v>
      </c>
    </row>
    <row r="2042" spans="129:129" x14ac:dyDescent="0.2">
      <c r="DY2042" s="185" t="s">
        <v>215</v>
      </c>
    </row>
    <row r="2043" spans="129:129" x14ac:dyDescent="0.2">
      <c r="DY2043" s="185" t="s">
        <v>215</v>
      </c>
    </row>
    <row r="2044" spans="129:129" x14ac:dyDescent="0.2">
      <c r="DY2044" s="185" t="s">
        <v>215</v>
      </c>
    </row>
    <row r="2045" spans="129:129" x14ac:dyDescent="0.2">
      <c r="DY2045" s="185" t="s">
        <v>215</v>
      </c>
    </row>
    <row r="2046" spans="129:129" x14ac:dyDescent="0.2">
      <c r="DY2046" s="185" t="s">
        <v>215</v>
      </c>
    </row>
    <row r="2047" spans="129:129" x14ac:dyDescent="0.2">
      <c r="DY2047" s="185" t="s">
        <v>215</v>
      </c>
    </row>
    <row r="2048" spans="129:129" x14ac:dyDescent="0.2">
      <c r="DY2048" s="185" t="s">
        <v>215</v>
      </c>
    </row>
    <row r="2049" spans="129:129" x14ac:dyDescent="0.2">
      <c r="DY2049" s="185" t="s">
        <v>215</v>
      </c>
    </row>
    <row r="2050" spans="129:129" x14ac:dyDescent="0.2">
      <c r="DY2050" s="185" t="s">
        <v>215</v>
      </c>
    </row>
    <row r="2051" spans="129:129" x14ac:dyDescent="0.2">
      <c r="DY2051" s="185" t="s">
        <v>215</v>
      </c>
    </row>
    <row r="2052" spans="129:129" x14ac:dyDescent="0.2">
      <c r="DY2052" s="185" t="s">
        <v>215</v>
      </c>
    </row>
    <row r="2053" spans="129:129" x14ac:dyDescent="0.2">
      <c r="DY2053" s="185" t="s">
        <v>215</v>
      </c>
    </row>
    <row r="2054" spans="129:129" x14ac:dyDescent="0.2">
      <c r="DY2054" s="185" t="s">
        <v>215</v>
      </c>
    </row>
    <row r="2055" spans="129:129" x14ac:dyDescent="0.2">
      <c r="DY2055" s="185" t="s">
        <v>215</v>
      </c>
    </row>
    <row r="2056" spans="129:129" x14ac:dyDescent="0.2">
      <c r="DY2056" s="185" t="s">
        <v>215</v>
      </c>
    </row>
    <row r="2057" spans="129:129" x14ac:dyDescent="0.2">
      <c r="DY2057" s="185" t="s">
        <v>215</v>
      </c>
    </row>
    <row r="2058" spans="129:129" x14ac:dyDescent="0.2">
      <c r="DY2058" s="185" t="s">
        <v>215</v>
      </c>
    </row>
    <row r="2059" spans="129:129" x14ac:dyDescent="0.2">
      <c r="DY2059" s="185" t="s">
        <v>215</v>
      </c>
    </row>
    <row r="2060" spans="129:129" x14ac:dyDescent="0.2">
      <c r="DY2060" s="185" t="s">
        <v>215</v>
      </c>
    </row>
    <row r="2061" spans="129:129" x14ac:dyDescent="0.2">
      <c r="DY2061" s="185" t="s">
        <v>215</v>
      </c>
    </row>
    <row r="2062" spans="129:129" x14ac:dyDescent="0.2">
      <c r="DY2062" s="185" t="s">
        <v>215</v>
      </c>
    </row>
    <row r="2063" spans="129:129" x14ac:dyDescent="0.2">
      <c r="DY2063" s="185" t="s">
        <v>215</v>
      </c>
    </row>
    <row r="2064" spans="129:129" x14ac:dyDescent="0.2">
      <c r="DY2064" s="185" t="s">
        <v>215</v>
      </c>
    </row>
    <row r="2065" spans="129:129" x14ac:dyDescent="0.2">
      <c r="DY2065" s="185" t="s">
        <v>215</v>
      </c>
    </row>
    <row r="2066" spans="129:129" x14ac:dyDescent="0.2">
      <c r="DY2066" s="185" t="s">
        <v>215</v>
      </c>
    </row>
    <row r="2067" spans="129:129" x14ac:dyDescent="0.2">
      <c r="DY2067" s="185" t="s">
        <v>215</v>
      </c>
    </row>
    <row r="2068" spans="129:129" x14ac:dyDescent="0.2">
      <c r="DY2068" s="185" t="s">
        <v>215</v>
      </c>
    </row>
    <row r="2069" spans="129:129" x14ac:dyDescent="0.2">
      <c r="DY2069" s="185" t="s">
        <v>215</v>
      </c>
    </row>
    <row r="2070" spans="129:129" x14ac:dyDescent="0.2">
      <c r="DY2070" s="185" t="s">
        <v>215</v>
      </c>
    </row>
    <row r="2071" spans="129:129" x14ac:dyDescent="0.2">
      <c r="DY2071" s="185" t="s">
        <v>215</v>
      </c>
    </row>
    <row r="2072" spans="129:129" x14ac:dyDescent="0.2">
      <c r="DY2072" s="185" t="s">
        <v>215</v>
      </c>
    </row>
    <row r="2073" spans="129:129" x14ac:dyDescent="0.2">
      <c r="DY2073" s="185" t="s">
        <v>215</v>
      </c>
    </row>
    <row r="2074" spans="129:129" x14ac:dyDescent="0.2">
      <c r="DY2074" s="185" t="s">
        <v>215</v>
      </c>
    </row>
    <row r="2075" spans="129:129" x14ac:dyDescent="0.2">
      <c r="DY2075" s="185" t="s">
        <v>215</v>
      </c>
    </row>
    <row r="2076" spans="129:129" x14ac:dyDescent="0.2">
      <c r="DY2076" s="185" t="s">
        <v>215</v>
      </c>
    </row>
    <row r="2077" spans="129:129" x14ac:dyDescent="0.2">
      <c r="DY2077" s="185" t="s">
        <v>215</v>
      </c>
    </row>
    <row r="2078" spans="129:129" x14ac:dyDescent="0.2">
      <c r="DY2078" s="185" t="s">
        <v>215</v>
      </c>
    </row>
    <row r="2079" spans="129:129" x14ac:dyDescent="0.2">
      <c r="DY2079" s="185" t="s">
        <v>215</v>
      </c>
    </row>
    <row r="2080" spans="129:129" x14ac:dyDescent="0.2">
      <c r="DY2080" s="185" t="s">
        <v>215</v>
      </c>
    </row>
    <row r="2081" spans="129:129" x14ac:dyDescent="0.2">
      <c r="DY2081" s="185" t="s">
        <v>215</v>
      </c>
    </row>
    <row r="2082" spans="129:129" x14ac:dyDescent="0.2">
      <c r="DY2082" s="185" t="s">
        <v>215</v>
      </c>
    </row>
    <row r="2083" spans="129:129" x14ac:dyDescent="0.2">
      <c r="DY2083" s="185" t="s">
        <v>215</v>
      </c>
    </row>
    <row r="2084" spans="129:129" x14ac:dyDescent="0.2">
      <c r="DY2084" s="185" t="s">
        <v>215</v>
      </c>
    </row>
    <row r="2085" spans="129:129" x14ac:dyDescent="0.2">
      <c r="DY2085" s="185" t="s">
        <v>215</v>
      </c>
    </row>
    <row r="2086" spans="129:129" x14ac:dyDescent="0.2">
      <c r="DY2086" s="185" t="s">
        <v>215</v>
      </c>
    </row>
    <row r="2087" spans="129:129" x14ac:dyDescent="0.2">
      <c r="DY2087" s="185" t="s">
        <v>215</v>
      </c>
    </row>
    <row r="2088" spans="129:129" x14ac:dyDescent="0.2">
      <c r="DY2088" s="185" t="s">
        <v>215</v>
      </c>
    </row>
    <row r="2089" spans="129:129" x14ac:dyDescent="0.2">
      <c r="DY2089" s="185" t="s">
        <v>215</v>
      </c>
    </row>
    <row r="2090" spans="129:129" x14ac:dyDescent="0.2">
      <c r="DY2090" s="185" t="s">
        <v>215</v>
      </c>
    </row>
    <row r="2091" spans="129:129" x14ac:dyDescent="0.2">
      <c r="DY2091" s="185" t="s">
        <v>215</v>
      </c>
    </row>
    <row r="2092" spans="129:129" x14ac:dyDescent="0.2">
      <c r="DY2092" s="185" t="s">
        <v>215</v>
      </c>
    </row>
    <row r="2093" spans="129:129" x14ac:dyDescent="0.2">
      <c r="DY2093" s="185" t="s">
        <v>215</v>
      </c>
    </row>
    <row r="2094" spans="129:129" x14ac:dyDescent="0.2">
      <c r="DY2094" s="185" t="s">
        <v>215</v>
      </c>
    </row>
    <row r="2095" spans="129:129" x14ac:dyDescent="0.2">
      <c r="DY2095" s="185" t="s">
        <v>215</v>
      </c>
    </row>
    <row r="2096" spans="129:129" x14ac:dyDescent="0.2">
      <c r="DY2096" s="185" t="s">
        <v>215</v>
      </c>
    </row>
    <row r="2097" spans="129:129" x14ac:dyDescent="0.2">
      <c r="DY2097" s="185" t="s">
        <v>215</v>
      </c>
    </row>
    <row r="2098" spans="129:129" x14ac:dyDescent="0.2">
      <c r="DY2098" s="185" t="s">
        <v>215</v>
      </c>
    </row>
    <row r="2099" spans="129:129" x14ac:dyDescent="0.2">
      <c r="DY2099" s="185" t="s">
        <v>215</v>
      </c>
    </row>
    <row r="2100" spans="129:129" x14ac:dyDescent="0.2">
      <c r="DY2100" s="185" t="s">
        <v>215</v>
      </c>
    </row>
    <row r="2101" spans="129:129" x14ac:dyDescent="0.2">
      <c r="DY2101" s="185" t="s">
        <v>215</v>
      </c>
    </row>
    <row r="2102" spans="129:129" x14ac:dyDescent="0.2">
      <c r="DY2102" s="185" t="s">
        <v>215</v>
      </c>
    </row>
    <row r="2103" spans="129:129" x14ac:dyDescent="0.2">
      <c r="DY2103" s="185" t="s">
        <v>215</v>
      </c>
    </row>
    <row r="2104" spans="129:129" x14ac:dyDescent="0.2">
      <c r="DY2104" s="185" t="s">
        <v>215</v>
      </c>
    </row>
    <row r="2105" spans="129:129" x14ac:dyDescent="0.2">
      <c r="DY2105" s="185" t="s">
        <v>215</v>
      </c>
    </row>
    <row r="2106" spans="129:129" x14ac:dyDescent="0.2">
      <c r="DY2106" s="185" t="s">
        <v>215</v>
      </c>
    </row>
    <row r="2107" spans="129:129" x14ac:dyDescent="0.2">
      <c r="DY2107" s="185" t="s">
        <v>215</v>
      </c>
    </row>
    <row r="2108" spans="129:129" x14ac:dyDescent="0.2">
      <c r="DY2108" s="185" t="s">
        <v>215</v>
      </c>
    </row>
    <row r="2109" spans="129:129" x14ac:dyDescent="0.2">
      <c r="DY2109" s="185" t="s">
        <v>215</v>
      </c>
    </row>
    <row r="2110" spans="129:129" x14ac:dyDescent="0.2">
      <c r="DY2110" s="185" t="s">
        <v>215</v>
      </c>
    </row>
    <row r="2111" spans="129:129" x14ac:dyDescent="0.2">
      <c r="DY2111" s="185" t="s">
        <v>215</v>
      </c>
    </row>
    <row r="2112" spans="129:129" x14ac:dyDescent="0.2">
      <c r="DY2112" s="185" t="s">
        <v>215</v>
      </c>
    </row>
    <row r="2113" spans="129:129" x14ac:dyDescent="0.2">
      <c r="DY2113" s="185" t="s">
        <v>215</v>
      </c>
    </row>
    <row r="2114" spans="129:129" x14ac:dyDescent="0.2">
      <c r="DY2114" s="185" t="s">
        <v>215</v>
      </c>
    </row>
    <row r="2115" spans="129:129" x14ac:dyDescent="0.2">
      <c r="DY2115" s="185" t="s">
        <v>215</v>
      </c>
    </row>
    <row r="2116" spans="129:129" x14ac:dyDescent="0.2">
      <c r="DY2116" s="185" t="s">
        <v>215</v>
      </c>
    </row>
    <row r="2117" spans="129:129" x14ac:dyDescent="0.2">
      <c r="DY2117" s="185" t="s">
        <v>215</v>
      </c>
    </row>
    <row r="2118" spans="129:129" x14ac:dyDescent="0.2">
      <c r="DY2118" s="185" t="s">
        <v>215</v>
      </c>
    </row>
    <row r="2119" spans="129:129" x14ac:dyDescent="0.2">
      <c r="DY2119" s="185" t="s">
        <v>215</v>
      </c>
    </row>
    <row r="2120" spans="129:129" x14ac:dyDescent="0.2">
      <c r="DY2120" s="185" t="s">
        <v>215</v>
      </c>
    </row>
    <row r="2121" spans="129:129" x14ac:dyDescent="0.2">
      <c r="DY2121" s="185" t="s">
        <v>215</v>
      </c>
    </row>
    <row r="2122" spans="129:129" x14ac:dyDescent="0.2">
      <c r="DY2122" s="185" t="s">
        <v>215</v>
      </c>
    </row>
    <row r="2123" spans="129:129" x14ac:dyDescent="0.2">
      <c r="DY2123" s="185" t="s">
        <v>215</v>
      </c>
    </row>
    <row r="2124" spans="129:129" x14ac:dyDescent="0.2">
      <c r="DY2124" s="185" t="s">
        <v>215</v>
      </c>
    </row>
    <row r="2125" spans="129:129" x14ac:dyDescent="0.2">
      <c r="DY2125" s="185" t="s">
        <v>215</v>
      </c>
    </row>
    <row r="2126" spans="129:129" x14ac:dyDescent="0.2">
      <c r="DY2126" s="185" t="s">
        <v>215</v>
      </c>
    </row>
    <row r="2127" spans="129:129" x14ac:dyDescent="0.2">
      <c r="DY2127" s="185" t="s">
        <v>215</v>
      </c>
    </row>
    <row r="2128" spans="129:129" x14ac:dyDescent="0.2">
      <c r="DY2128" s="185" t="s">
        <v>215</v>
      </c>
    </row>
    <row r="2129" spans="129:129" x14ac:dyDescent="0.2">
      <c r="DY2129" s="185" t="s">
        <v>215</v>
      </c>
    </row>
    <row r="2130" spans="129:129" x14ac:dyDescent="0.2">
      <c r="DY2130" s="185" t="s">
        <v>215</v>
      </c>
    </row>
    <row r="2131" spans="129:129" x14ac:dyDescent="0.2">
      <c r="DY2131" s="185" t="s">
        <v>215</v>
      </c>
    </row>
    <row r="2132" spans="129:129" x14ac:dyDescent="0.2">
      <c r="DY2132" s="185" t="s">
        <v>215</v>
      </c>
    </row>
    <row r="2133" spans="129:129" x14ac:dyDescent="0.2">
      <c r="DY2133" s="185" t="s">
        <v>215</v>
      </c>
    </row>
    <row r="2134" spans="129:129" x14ac:dyDescent="0.2">
      <c r="DY2134" s="185" t="s">
        <v>215</v>
      </c>
    </row>
    <row r="2135" spans="129:129" x14ac:dyDescent="0.2">
      <c r="DY2135" s="185" t="s">
        <v>215</v>
      </c>
    </row>
    <row r="2136" spans="129:129" x14ac:dyDescent="0.2">
      <c r="DY2136" s="185" t="s">
        <v>215</v>
      </c>
    </row>
    <row r="2137" spans="129:129" x14ac:dyDescent="0.2">
      <c r="DY2137" s="185" t="s">
        <v>215</v>
      </c>
    </row>
    <row r="2138" spans="129:129" x14ac:dyDescent="0.2">
      <c r="DY2138" s="185" t="s">
        <v>215</v>
      </c>
    </row>
    <row r="2139" spans="129:129" x14ac:dyDescent="0.2">
      <c r="DY2139" s="185" t="s">
        <v>215</v>
      </c>
    </row>
    <row r="2140" spans="129:129" x14ac:dyDescent="0.2">
      <c r="DY2140" s="185" t="s">
        <v>215</v>
      </c>
    </row>
    <row r="2141" spans="129:129" x14ac:dyDescent="0.2">
      <c r="DY2141" s="185" t="s">
        <v>215</v>
      </c>
    </row>
    <row r="2142" spans="129:129" x14ac:dyDescent="0.2">
      <c r="DY2142" s="185" t="s">
        <v>215</v>
      </c>
    </row>
    <row r="2143" spans="129:129" x14ac:dyDescent="0.2">
      <c r="DY2143" s="185" t="s">
        <v>215</v>
      </c>
    </row>
    <row r="2144" spans="129:129" x14ac:dyDescent="0.2">
      <c r="DY2144" s="185" t="s">
        <v>215</v>
      </c>
    </row>
    <row r="2145" spans="129:129" x14ac:dyDescent="0.2">
      <c r="DY2145" s="185" t="s">
        <v>215</v>
      </c>
    </row>
    <row r="2146" spans="129:129" x14ac:dyDescent="0.2">
      <c r="DY2146" s="185" t="s">
        <v>215</v>
      </c>
    </row>
    <row r="2147" spans="129:129" x14ac:dyDescent="0.2">
      <c r="DY2147" s="185" t="s">
        <v>215</v>
      </c>
    </row>
    <row r="2148" spans="129:129" x14ac:dyDescent="0.2">
      <c r="DY2148" s="185" t="s">
        <v>215</v>
      </c>
    </row>
    <row r="2149" spans="129:129" x14ac:dyDescent="0.2">
      <c r="DY2149" s="185" t="s">
        <v>215</v>
      </c>
    </row>
    <row r="2150" spans="129:129" x14ac:dyDescent="0.2">
      <c r="DY2150" s="185" t="s">
        <v>215</v>
      </c>
    </row>
    <row r="2151" spans="129:129" x14ac:dyDescent="0.2">
      <c r="DY2151" s="185" t="s">
        <v>215</v>
      </c>
    </row>
    <row r="2152" spans="129:129" x14ac:dyDescent="0.2">
      <c r="DY2152" s="185" t="s">
        <v>215</v>
      </c>
    </row>
    <row r="2153" spans="129:129" x14ac:dyDescent="0.2">
      <c r="DY2153" s="185" t="s">
        <v>215</v>
      </c>
    </row>
    <row r="2154" spans="129:129" x14ac:dyDescent="0.2">
      <c r="DY2154" s="185" t="s">
        <v>215</v>
      </c>
    </row>
    <row r="2155" spans="129:129" x14ac:dyDescent="0.2">
      <c r="DY2155" s="185" t="s">
        <v>215</v>
      </c>
    </row>
    <row r="2156" spans="129:129" x14ac:dyDescent="0.2">
      <c r="DY2156" s="185" t="s">
        <v>215</v>
      </c>
    </row>
    <row r="2157" spans="129:129" x14ac:dyDescent="0.2">
      <c r="DY2157" s="185" t="s">
        <v>215</v>
      </c>
    </row>
    <row r="2158" spans="129:129" x14ac:dyDescent="0.2">
      <c r="DY2158" s="185" t="s">
        <v>215</v>
      </c>
    </row>
    <row r="2159" spans="129:129" x14ac:dyDescent="0.2">
      <c r="DY2159" s="185" t="s">
        <v>215</v>
      </c>
    </row>
    <row r="2160" spans="129:129" x14ac:dyDescent="0.2">
      <c r="DY2160" s="185" t="s">
        <v>215</v>
      </c>
    </row>
    <row r="2161" spans="129:129" x14ac:dyDescent="0.2">
      <c r="DY2161" s="185" t="s">
        <v>215</v>
      </c>
    </row>
    <row r="2162" spans="129:129" x14ac:dyDescent="0.2">
      <c r="DY2162" s="185" t="s">
        <v>215</v>
      </c>
    </row>
    <row r="2163" spans="129:129" x14ac:dyDescent="0.2">
      <c r="DY2163" s="185" t="s">
        <v>215</v>
      </c>
    </row>
    <row r="2164" spans="129:129" x14ac:dyDescent="0.2">
      <c r="DY2164" s="185" t="s">
        <v>215</v>
      </c>
    </row>
    <row r="2165" spans="129:129" x14ac:dyDescent="0.2">
      <c r="DY2165" s="185" t="s">
        <v>215</v>
      </c>
    </row>
    <row r="2166" spans="129:129" x14ac:dyDescent="0.2">
      <c r="DY2166" s="185" t="s">
        <v>215</v>
      </c>
    </row>
    <row r="2167" spans="129:129" x14ac:dyDescent="0.2">
      <c r="DY2167" s="185" t="s">
        <v>215</v>
      </c>
    </row>
    <row r="2168" spans="129:129" x14ac:dyDescent="0.2">
      <c r="DY2168" s="185" t="s">
        <v>215</v>
      </c>
    </row>
    <row r="2169" spans="129:129" x14ac:dyDescent="0.2">
      <c r="DY2169" s="185" t="s">
        <v>215</v>
      </c>
    </row>
    <row r="2170" spans="129:129" x14ac:dyDescent="0.2">
      <c r="DY2170" s="185" t="s">
        <v>215</v>
      </c>
    </row>
    <row r="2171" spans="129:129" x14ac:dyDescent="0.2">
      <c r="DY2171" s="185" t="s">
        <v>215</v>
      </c>
    </row>
    <row r="2172" spans="129:129" x14ac:dyDescent="0.2">
      <c r="DY2172" s="185" t="s">
        <v>215</v>
      </c>
    </row>
    <row r="2173" spans="129:129" x14ac:dyDescent="0.2">
      <c r="DY2173" s="185" t="s">
        <v>215</v>
      </c>
    </row>
    <row r="2174" spans="129:129" x14ac:dyDescent="0.2">
      <c r="DY2174" s="185" t="s">
        <v>215</v>
      </c>
    </row>
    <row r="2175" spans="129:129" x14ac:dyDescent="0.2">
      <c r="DY2175" s="185" t="s">
        <v>215</v>
      </c>
    </row>
    <row r="2176" spans="129:129" x14ac:dyDescent="0.2">
      <c r="DY2176" s="185" t="s">
        <v>215</v>
      </c>
    </row>
    <row r="2177" spans="129:129" x14ac:dyDescent="0.2">
      <c r="DY2177" s="185" t="s">
        <v>215</v>
      </c>
    </row>
    <row r="2178" spans="129:129" x14ac:dyDescent="0.2">
      <c r="DY2178" s="185" t="s">
        <v>215</v>
      </c>
    </row>
    <row r="2179" spans="129:129" x14ac:dyDescent="0.2">
      <c r="DY2179" s="185" t="s">
        <v>215</v>
      </c>
    </row>
    <row r="2180" spans="129:129" x14ac:dyDescent="0.2">
      <c r="DY2180" s="185" t="s">
        <v>215</v>
      </c>
    </row>
    <row r="2181" spans="129:129" x14ac:dyDescent="0.2">
      <c r="DY2181" s="185" t="s">
        <v>215</v>
      </c>
    </row>
    <row r="2182" spans="129:129" x14ac:dyDescent="0.2">
      <c r="DY2182" s="185" t="s">
        <v>215</v>
      </c>
    </row>
    <row r="2183" spans="129:129" x14ac:dyDescent="0.2">
      <c r="DY2183" s="185" t="s">
        <v>215</v>
      </c>
    </row>
    <row r="2184" spans="129:129" x14ac:dyDescent="0.2">
      <c r="DY2184" s="185" t="s">
        <v>215</v>
      </c>
    </row>
    <row r="2185" spans="129:129" x14ac:dyDescent="0.2">
      <c r="DY2185" s="185" t="s">
        <v>215</v>
      </c>
    </row>
    <row r="2186" spans="129:129" x14ac:dyDescent="0.2">
      <c r="DY2186" s="185" t="s">
        <v>215</v>
      </c>
    </row>
    <row r="2187" spans="129:129" x14ac:dyDescent="0.2">
      <c r="DY2187" s="185" t="s">
        <v>215</v>
      </c>
    </row>
    <row r="2188" spans="129:129" x14ac:dyDescent="0.2">
      <c r="DY2188" s="185" t="s">
        <v>215</v>
      </c>
    </row>
    <row r="2189" spans="129:129" x14ac:dyDescent="0.2">
      <c r="DY2189" s="185" t="s">
        <v>215</v>
      </c>
    </row>
    <row r="2190" spans="129:129" x14ac:dyDescent="0.2">
      <c r="DY2190" s="185" t="s">
        <v>215</v>
      </c>
    </row>
    <row r="2191" spans="129:129" x14ac:dyDescent="0.2">
      <c r="DY2191" s="185" t="s">
        <v>215</v>
      </c>
    </row>
    <row r="2192" spans="129:129" x14ac:dyDescent="0.2">
      <c r="DY2192" s="185" t="s">
        <v>215</v>
      </c>
    </row>
    <row r="2193" spans="129:129" x14ac:dyDescent="0.2">
      <c r="DY2193" s="185" t="s">
        <v>215</v>
      </c>
    </row>
    <row r="2194" spans="129:129" x14ac:dyDescent="0.2">
      <c r="DY2194" s="185" t="s">
        <v>215</v>
      </c>
    </row>
    <row r="2195" spans="129:129" x14ac:dyDescent="0.2">
      <c r="DY2195" s="185" t="s">
        <v>215</v>
      </c>
    </row>
    <row r="2196" spans="129:129" x14ac:dyDescent="0.2">
      <c r="DY2196" s="185" t="s">
        <v>215</v>
      </c>
    </row>
    <row r="2197" spans="129:129" x14ac:dyDescent="0.2">
      <c r="DY2197" s="185" t="s">
        <v>215</v>
      </c>
    </row>
    <row r="2198" spans="129:129" x14ac:dyDescent="0.2">
      <c r="DY2198" s="185" t="s">
        <v>215</v>
      </c>
    </row>
    <row r="2199" spans="129:129" x14ac:dyDescent="0.2">
      <c r="DY2199" s="185" t="s">
        <v>215</v>
      </c>
    </row>
    <row r="2200" spans="129:129" x14ac:dyDescent="0.2">
      <c r="DY2200" s="185" t="s">
        <v>215</v>
      </c>
    </row>
    <row r="2201" spans="129:129" x14ac:dyDescent="0.2">
      <c r="DY2201" s="185" t="s">
        <v>215</v>
      </c>
    </row>
    <row r="2202" spans="129:129" x14ac:dyDescent="0.2">
      <c r="DY2202" s="185" t="s">
        <v>215</v>
      </c>
    </row>
    <row r="2203" spans="129:129" x14ac:dyDescent="0.2">
      <c r="DY2203" s="185" t="s">
        <v>215</v>
      </c>
    </row>
    <row r="2204" spans="129:129" x14ac:dyDescent="0.2">
      <c r="DY2204" s="185" t="s">
        <v>215</v>
      </c>
    </row>
    <row r="2205" spans="129:129" x14ac:dyDescent="0.2">
      <c r="DY2205" s="185" t="s">
        <v>215</v>
      </c>
    </row>
    <row r="2206" spans="129:129" x14ac:dyDescent="0.2">
      <c r="DY2206" s="185" t="s">
        <v>215</v>
      </c>
    </row>
    <row r="2207" spans="129:129" x14ac:dyDescent="0.2">
      <c r="DY2207" s="185" t="s">
        <v>215</v>
      </c>
    </row>
    <row r="2208" spans="129:129" x14ac:dyDescent="0.2">
      <c r="DY2208" s="185" t="s">
        <v>215</v>
      </c>
    </row>
    <row r="2209" spans="129:129" x14ac:dyDescent="0.2">
      <c r="DY2209" s="185" t="s">
        <v>215</v>
      </c>
    </row>
    <row r="2210" spans="129:129" x14ac:dyDescent="0.2">
      <c r="DY2210" s="185" t="s">
        <v>215</v>
      </c>
    </row>
    <row r="2211" spans="129:129" x14ac:dyDescent="0.2">
      <c r="DY2211" s="185" t="s">
        <v>215</v>
      </c>
    </row>
    <row r="2212" spans="129:129" x14ac:dyDescent="0.2">
      <c r="DY2212" s="185" t="s">
        <v>215</v>
      </c>
    </row>
    <row r="2213" spans="129:129" x14ac:dyDescent="0.2">
      <c r="DY2213" s="185" t="s">
        <v>215</v>
      </c>
    </row>
    <row r="2214" spans="129:129" x14ac:dyDescent="0.2">
      <c r="DY2214" s="185" t="s">
        <v>215</v>
      </c>
    </row>
    <row r="2215" spans="129:129" x14ac:dyDescent="0.2">
      <c r="DY2215" s="185" t="s">
        <v>215</v>
      </c>
    </row>
    <row r="2216" spans="129:129" x14ac:dyDescent="0.2">
      <c r="DY2216" s="185" t="s">
        <v>215</v>
      </c>
    </row>
    <row r="2217" spans="129:129" x14ac:dyDescent="0.2">
      <c r="DY2217" s="185" t="s">
        <v>215</v>
      </c>
    </row>
    <row r="2218" spans="129:129" x14ac:dyDescent="0.2">
      <c r="DY2218" s="185" t="s">
        <v>215</v>
      </c>
    </row>
    <row r="2219" spans="129:129" x14ac:dyDescent="0.2">
      <c r="DY2219" s="185" t="s">
        <v>215</v>
      </c>
    </row>
    <row r="2220" spans="129:129" x14ac:dyDescent="0.2">
      <c r="DY2220" s="185" t="s">
        <v>215</v>
      </c>
    </row>
    <row r="2221" spans="129:129" x14ac:dyDescent="0.2">
      <c r="DY2221" s="185" t="s">
        <v>215</v>
      </c>
    </row>
    <row r="2222" spans="129:129" x14ac:dyDescent="0.2">
      <c r="DY2222" s="185" t="s">
        <v>215</v>
      </c>
    </row>
    <row r="2223" spans="129:129" x14ac:dyDescent="0.2">
      <c r="DY2223" s="185" t="s">
        <v>215</v>
      </c>
    </row>
    <row r="2224" spans="129:129" x14ac:dyDescent="0.2">
      <c r="DY2224" s="185" t="s">
        <v>215</v>
      </c>
    </row>
    <row r="2225" spans="129:129" x14ac:dyDescent="0.2">
      <c r="DY2225" s="185" t="s">
        <v>215</v>
      </c>
    </row>
    <row r="2226" spans="129:129" x14ac:dyDescent="0.2">
      <c r="DY2226" s="185" t="s">
        <v>215</v>
      </c>
    </row>
    <row r="2227" spans="129:129" x14ac:dyDescent="0.2">
      <c r="DY2227" s="185" t="s">
        <v>215</v>
      </c>
    </row>
    <row r="2228" spans="129:129" x14ac:dyDescent="0.2">
      <c r="DY2228" s="185" t="s">
        <v>215</v>
      </c>
    </row>
    <row r="2229" spans="129:129" x14ac:dyDescent="0.2">
      <c r="DY2229" s="185" t="s">
        <v>215</v>
      </c>
    </row>
    <row r="2230" spans="129:129" x14ac:dyDescent="0.2">
      <c r="DY2230" s="185" t="s">
        <v>215</v>
      </c>
    </row>
    <row r="2231" spans="129:129" x14ac:dyDescent="0.2">
      <c r="DY2231" s="185" t="s">
        <v>215</v>
      </c>
    </row>
    <row r="2232" spans="129:129" x14ac:dyDescent="0.2">
      <c r="DY2232" s="185" t="s">
        <v>215</v>
      </c>
    </row>
    <row r="2233" spans="129:129" x14ac:dyDescent="0.2">
      <c r="DY2233" s="185" t="s">
        <v>215</v>
      </c>
    </row>
    <row r="2234" spans="129:129" x14ac:dyDescent="0.2">
      <c r="DY2234" s="185" t="s">
        <v>215</v>
      </c>
    </row>
    <row r="2235" spans="129:129" x14ac:dyDescent="0.2">
      <c r="DY2235" s="185" t="s">
        <v>215</v>
      </c>
    </row>
    <row r="2236" spans="129:129" x14ac:dyDescent="0.2">
      <c r="DY2236" s="185" t="s">
        <v>215</v>
      </c>
    </row>
    <row r="2237" spans="129:129" x14ac:dyDescent="0.2">
      <c r="DY2237" s="185" t="s">
        <v>215</v>
      </c>
    </row>
    <row r="2238" spans="129:129" x14ac:dyDescent="0.2">
      <c r="DY2238" s="185" t="s">
        <v>215</v>
      </c>
    </row>
    <row r="2239" spans="129:129" x14ac:dyDescent="0.2">
      <c r="DY2239" s="185" t="s">
        <v>215</v>
      </c>
    </row>
    <row r="2240" spans="129:129" x14ac:dyDescent="0.2">
      <c r="DY2240" s="185" t="s">
        <v>215</v>
      </c>
    </row>
    <row r="2241" spans="129:129" x14ac:dyDescent="0.2">
      <c r="DY2241" s="185" t="s">
        <v>215</v>
      </c>
    </row>
    <row r="2242" spans="129:129" x14ac:dyDescent="0.2">
      <c r="DY2242" s="185" t="s">
        <v>215</v>
      </c>
    </row>
    <row r="2243" spans="129:129" x14ac:dyDescent="0.2">
      <c r="DY2243" s="185" t="s">
        <v>215</v>
      </c>
    </row>
    <row r="2244" spans="129:129" x14ac:dyDescent="0.2">
      <c r="DY2244" s="185" t="s">
        <v>215</v>
      </c>
    </row>
    <row r="2245" spans="129:129" x14ac:dyDescent="0.2">
      <c r="DY2245" s="185" t="s">
        <v>215</v>
      </c>
    </row>
    <row r="2246" spans="129:129" x14ac:dyDescent="0.2">
      <c r="DY2246" s="185" t="s">
        <v>215</v>
      </c>
    </row>
    <row r="2247" spans="129:129" x14ac:dyDescent="0.2">
      <c r="DY2247" s="185" t="s">
        <v>215</v>
      </c>
    </row>
    <row r="2248" spans="129:129" x14ac:dyDescent="0.2">
      <c r="DY2248" s="185" t="s">
        <v>215</v>
      </c>
    </row>
    <row r="2249" spans="129:129" x14ac:dyDescent="0.2">
      <c r="DY2249" s="185" t="s">
        <v>215</v>
      </c>
    </row>
    <row r="2250" spans="129:129" x14ac:dyDescent="0.2">
      <c r="DY2250" s="185" t="s">
        <v>215</v>
      </c>
    </row>
    <row r="2251" spans="129:129" x14ac:dyDescent="0.2">
      <c r="DY2251" s="185" t="s">
        <v>215</v>
      </c>
    </row>
    <row r="2252" spans="129:129" x14ac:dyDescent="0.2">
      <c r="DY2252" s="185" t="s">
        <v>215</v>
      </c>
    </row>
    <row r="2253" spans="129:129" x14ac:dyDescent="0.2">
      <c r="DY2253" s="185" t="s">
        <v>215</v>
      </c>
    </row>
    <row r="2254" spans="129:129" x14ac:dyDescent="0.2">
      <c r="DY2254" s="185" t="s">
        <v>215</v>
      </c>
    </row>
    <row r="2255" spans="129:129" x14ac:dyDescent="0.2">
      <c r="DY2255" s="185" t="s">
        <v>215</v>
      </c>
    </row>
    <row r="2256" spans="129:129" x14ac:dyDescent="0.2">
      <c r="DY2256" s="185" t="s">
        <v>215</v>
      </c>
    </row>
    <row r="2257" spans="129:129" x14ac:dyDescent="0.2">
      <c r="DY2257" s="185" t="s">
        <v>215</v>
      </c>
    </row>
    <row r="2258" spans="129:129" x14ac:dyDescent="0.2">
      <c r="DY2258" s="185" t="s">
        <v>215</v>
      </c>
    </row>
    <row r="2259" spans="129:129" x14ac:dyDescent="0.2">
      <c r="DY2259" s="185" t="s">
        <v>215</v>
      </c>
    </row>
    <row r="2260" spans="129:129" x14ac:dyDescent="0.2">
      <c r="DY2260" s="185" t="s">
        <v>215</v>
      </c>
    </row>
    <row r="2261" spans="129:129" x14ac:dyDescent="0.2">
      <c r="DY2261" s="185" t="s">
        <v>215</v>
      </c>
    </row>
    <row r="2262" spans="129:129" x14ac:dyDescent="0.2">
      <c r="DY2262" s="185" t="s">
        <v>215</v>
      </c>
    </row>
    <row r="2263" spans="129:129" x14ac:dyDescent="0.2">
      <c r="DY2263" s="185" t="s">
        <v>215</v>
      </c>
    </row>
    <row r="2264" spans="129:129" x14ac:dyDescent="0.2">
      <c r="DY2264" s="185" t="s">
        <v>215</v>
      </c>
    </row>
    <row r="2265" spans="129:129" x14ac:dyDescent="0.2">
      <c r="DY2265" s="185" t="s">
        <v>215</v>
      </c>
    </row>
    <row r="2266" spans="129:129" x14ac:dyDescent="0.2">
      <c r="DY2266" s="185" t="s">
        <v>215</v>
      </c>
    </row>
    <row r="2267" spans="129:129" x14ac:dyDescent="0.2">
      <c r="DY2267" s="185" t="s">
        <v>215</v>
      </c>
    </row>
    <row r="2268" spans="129:129" x14ac:dyDescent="0.2">
      <c r="DY2268" s="185" t="s">
        <v>215</v>
      </c>
    </row>
    <row r="2269" spans="129:129" x14ac:dyDescent="0.2">
      <c r="DY2269" s="185" t="s">
        <v>215</v>
      </c>
    </row>
    <row r="2270" spans="129:129" x14ac:dyDescent="0.2">
      <c r="DY2270" s="185" t="s">
        <v>215</v>
      </c>
    </row>
    <row r="2271" spans="129:129" x14ac:dyDescent="0.2">
      <c r="DY2271" s="185" t="s">
        <v>215</v>
      </c>
    </row>
    <row r="2272" spans="129:129" x14ac:dyDescent="0.2">
      <c r="DY2272" s="185" t="s">
        <v>215</v>
      </c>
    </row>
    <row r="2273" spans="129:129" x14ac:dyDescent="0.2">
      <c r="DY2273" s="185" t="s">
        <v>215</v>
      </c>
    </row>
    <row r="2274" spans="129:129" x14ac:dyDescent="0.2">
      <c r="DY2274" s="185" t="s">
        <v>215</v>
      </c>
    </row>
    <row r="2275" spans="129:129" x14ac:dyDescent="0.2">
      <c r="DY2275" s="185" t="s">
        <v>215</v>
      </c>
    </row>
    <row r="2276" spans="129:129" x14ac:dyDescent="0.2">
      <c r="DY2276" s="185" t="s">
        <v>215</v>
      </c>
    </row>
    <row r="2277" spans="129:129" x14ac:dyDescent="0.2">
      <c r="DY2277" s="185" t="s">
        <v>215</v>
      </c>
    </row>
    <row r="2278" spans="129:129" x14ac:dyDescent="0.2">
      <c r="DY2278" s="185" t="s">
        <v>215</v>
      </c>
    </row>
    <row r="2279" spans="129:129" x14ac:dyDescent="0.2">
      <c r="DY2279" s="185" t="s">
        <v>215</v>
      </c>
    </row>
    <row r="2280" spans="129:129" x14ac:dyDescent="0.2">
      <c r="DY2280" s="185" t="s">
        <v>215</v>
      </c>
    </row>
    <row r="2281" spans="129:129" x14ac:dyDescent="0.2">
      <c r="DY2281" s="185" t="s">
        <v>215</v>
      </c>
    </row>
    <row r="2282" spans="129:129" x14ac:dyDescent="0.2">
      <c r="DY2282" s="185" t="s">
        <v>215</v>
      </c>
    </row>
    <row r="2283" spans="129:129" x14ac:dyDescent="0.2">
      <c r="DY2283" s="185" t="s">
        <v>215</v>
      </c>
    </row>
    <row r="2284" spans="129:129" x14ac:dyDescent="0.2">
      <c r="DY2284" s="185" t="s">
        <v>215</v>
      </c>
    </row>
    <row r="2285" spans="129:129" x14ac:dyDescent="0.2">
      <c r="DY2285" s="185" t="s">
        <v>215</v>
      </c>
    </row>
    <row r="2286" spans="129:129" x14ac:dyDescent="0.2">
      <c r="DY2286" s="185" t="s">
        <v>215</v>
      </c>
    </row>
    <row r="2287" spans="129:129" x14ac:dyDescent="0.2">
      <c r="DY2287" s="185" t="s">
        <v>215</v>
      </c>
    </row>
    <row r="2288" spans="129:129" x14ac:dyDescent="0.2">
      <c r="DY2288" s="185" t="s">
        <v>215</v>
      </c>
    </row>
    <row r="2289" spans="129:129" x14ac:dyDescent="0.2">
      <c r="DY2289" s="185" t="s">
        <v>215</v>
      </c>
    </row>
    <row r="2290" spans="129:129" x14ac:dyDescent="0.2">
      <c r="DY2290" s="185" t="s">
        <v>215</v>
      </c>
    </row>
    <row r="2291" spans="129:129" x14ac:dyDescent="0.2">
      <c r="DY2291" s="185" t="s">
        <v>215</v>
      </c>
    </row>
    <row r="2292" spans="129:129" x14ac:dyDescent="0.2">
      <c r="DY2292" s="185" t="s">
        <v>215</v>
      </c>
    </row>
    <row r="2293" spans="129:129" x14ac:dyDescent="0.2">
      <c r="DY2293" s="185" t="s">
        <v>215</v>
      </c>
    </row>
    <row r="2294" spans="129:129" x14ac:dyDescent="0.2">
      <c r="DY2294" s="185" t="s">
        <v>215</v>
      </c>
    </row>
    <row r="2295" spans="129:129" x14ac:dyDescent="0.2">
      <c r="DY2295" s="185" t="s">
        <v>215</v>
      </c>
    </row>
    <row r="2296" spans="129:129" x14ac:dyDescent="0.2">
      <c r="DY2296" s="185" t="s">
        <v>215</v>
      </c>
    </row>
    <row r="2297" spans="129:129" x14ac:dyDescent="0.2">
      <c r="DY2297" s="185" t="s">
        <v>215</v>
      </c>
    </row>
    <row r="2298" spans="129:129" x14ac:dyDescent="0.2">
      <c r="DY2298" s="185" t="s">
        <v>215</v>
      </c>
    </row>
    <row r="2299" spans="129:129" x14ac:dyDescent="0.2">
      <c r="DY2299" s="185" t="s">
        <v>215</v>
      </c>
    </row>
    <row r="2300" spans="129:129" x14ac:dyDescent="0.2">
      <c r="DY2300" s="185" t="s">
        <v>215</v>
      </c>
    </row>
    <row r="2301" spans="129:129" x14ac:dyDescent="0.2">
      <c r="DY2301" s="185" t="s">
        <v>215</v>
      </c>
    </row>
    <row r="2302" spans="129:129" x14ac:dyDescent="0.2">
      <c r="DY2302" s="185" t="s">
        <v>215</v>
      </c>
    </row>
    <row r="2303" spans="129:129" x14ac:dyDescent="0.2">
      <c r="DY2303" s="185" t="s">
        <v>215</v>
      </c>
    </row>
    <row r="2304" spans="129:129" x14ac:dyDescent="0.2">
      <c r="DY2304" s="185" t="s">
        <v>215</v>
      </c>
    </row>
    <row r="2305" spans="129:129" x14ac:dyDescent="0.2">
      <c r="DY2305" s="185" t="s">
        <v>215</v>
      </c>
    </row>
    <row r="2306" spans="129:129" x14ac:dyDescent="0.2">
      <c r="DY2306" s="185" t="s">
        <v>215</v>
      </c>
    </row>
    <row r="2307" spans="129:129" x14ac:dyDescent="0.2">
      <c r="DY2307" s="185" t="s">
        <v>215</v>
      </c>
    </row>
    <row r="2308" spans="129:129" x14ac:dyDescent="0.2">
      <c r="DY2308" s="185" t="s">
        <v>215</v>
      </c>
    </row>
    <row r="2309" spans="129:129" x14ac:dyDescent="0.2">
      <c r="DY2309" s="185" t="s">
        <v>215</v>
      </c>
    </row>
    <row r="2310" spans="129:129" x14ac:dyDescent="0.2">
      <c r="DY2310" s="185" t="s">
        <v>215</v>
      </c>
    </row>
    <row r="2311" spans="129:129" x14ac:dyDescent="0.2">
      <c r="DY2311" s="185" t="s">
        <v>215</v>
      </c>
    </row>
    <row r="2312" spans="129:129" x14ac:dyDescent="0.2">
      <c r="DY2312" s="185" t="s">
        <v>215</v>
      </c>
    </row>
    <row r="2313" spans="129:129" x14ac:dyDescent="0.2">
      <c r="DY2313" s="185" t="s">
        <v>215</v>
      </c>
    </row>
    <row r="2314" spans="129:129" x14ac:dyDescent="0.2">
      <c r="DY2314" s="185" t="s">
        <v>215</v>
      </c>
    </row>
    <row r="2315" spans="129:129" x14ac:dyDescent="0.2">
      <c r="DY2315" s="185" t="s">
        <v>215</v>
      </c>
    </row>
    <row r="2316" spans="129:129" x14ac:dyDescent="0.2">
      <c r="DY2316" s="185" t="s">
        <v>215</v>
      </c>
    </row>
    <row r="2317" spans="129:129" x14ac:dyDescent="0.2">
      <c r="DY2317" s="185" t="s">
        <v>215</v>
      </c>
    </row>
    <row r="2318" spans="129:129" x14ac:dyDescent="0.2">
      <c r="DY2318" s="185" t="s">
        <v>215</v>
      </c>
    </row>
    <row r="2319" spans="129:129" x14ac:dyDescent="0.2">
      <c r="DY2319" s="185" t="s">
        <v>215</v>
      </c>
    </row>
    <row r="2320" spans="129:129" x14ac:dyDescent="0.2">
      <c r="DY2320" s="185" t="s">
        <v>215</v>
      </c>
    </row>
    <row r="2321" spans="129:129" x14ac:dyDescent="0.2">
      <c r="DY2321" s="185" t="s">
        <v>215</v>
      </c>
    </row>
    <row r="2322" spans="129:129" x14ac:dyDescent="0.2">
      <c r="DY2322" s="185" t="s">
        <v>215</v>
      </c>
    </row>
    <row r="2323" spans="129:129" x14ac:dyDescent="0.2">
      <c r="DY2323" s="185" t="s">
        <v>215</v>
      </c>
    </row>
    <row r="2324" spans="129:129" x14ac:dyDescent="0.2">
      <c r="DY2324" s="185" t="s">
        <v>215</v>
      </c>
    </row>
    <row r="2325" spans="129:129" x14ac:dyDescent="0.2">
      <c r="DY2325" s="185" t="s">
        <v>215</v>
      </c>
    </row>
    <row r="2326" spans="129:129" x14ac:dyDescent="0.2">
      <c r="DY2326" s="185" t="s">
        <v>215</v>
      </c>
    </row>
    <row r="2327" spans="129:129" x14ac:dyDescent="0.2">
      <c r="DY2327" s="185" t="s">
        <v>215</v>
      </c>
    </row>
    <row r="2328" spans="129:129" x14ac:dyDescent="0.2">
      <c r="DY2328" s="185" t="s">
        <v>215</v>
      </c>
    </row>
    <row r="2329" spans="129:129" x14ac:dyDescent="0.2">
      <c r="DY2329" s="185" t="s">
        <v>215</v>
      </c>
    </row>
    <row r="2330" spans="129:129" x14ac:dyDescent="0.2">
      <c r="DY2330" s="185" t="s">
        <v>215</v>
      </c>
    </row>
    <row r="2331" spans="129:129" x14ac:dyDescent="0.2">
      <c r="DY2331" s="185" t="s">
        <v>215</v>
      </c>
    </row>
    <row r="2332" spans="129:129" x14ac:dyDescent="0.2">
      <c r="DY2332" s="185" t="s">
        <v>215</v>
      </c>
    </row>
    <row r="2333" spans="129:129" x14ac:dyDescent="0.2">
      <c r="DY2333" s="185" t="s">
        <v>215</v>
      </c>
    </row>
    <row r="2334" spans="129:129" x14ac:dyDescent="0.2">
      <c r="DY2334" s="185" t="s">
        <v>215</v>
      </c>
    </row>
    <row r="2335" spans="129:129" x14ac:dyDescent="0.2">
      <c r="DY2335" s="185" t="s">
        <v>215</v>
      </c>
    </row>
    <row r="2336" spans="129:129" x14ac:dyDescent="0.2">
      <c r="DY2336" s="185" t="s">
        <v>215</v>
      </c>
    </row>
    <row r="2337" spans="129:129" x14ac:dyDescent="0.2">
      <c r="DY2337" s="185" t="s">
        <v>215</v>
      </c>
    </row>
    <row r="2338" spans="129:129" x14ac:dyDescent="0.2">
      <c r="DY2338" s="185" t="s">
        <v>215</v>
      </c>
    </row>
    <row r="2339" spans="129:129" x14ac:dyDescent="0.2">
      <c r="DY2339" s="185" t="s">
        <v>215</v>
      </c>
    </row>
    <row r="2340" spans="129:129" x14ac:dyDescent="0.2">
      <c r="DY2340" s="185" t="s">
        <v>215</v>
      </c>
    </row>
    <row r="2341" spans="129:129" x14ac:dyDescent="0.2">
      <c r="DY2341" s="185" t="s">
        <v>215</v>
      </c>
    </row>
    <row r="2342" spans="129:129" x14ac:dyDescent="0.2">
      <c r="DY2342" s="185" t="s">
        <v>215</v>
      </c>
    </row>
    <row r="2343" spans="129:129" x14ac:dyDescent="0.2">
      <c r="DY2343" s="185" t="s">
        <v>215</v>
      </c>
    </row>
    <row r="2344" spans="129:129" x14ac:dyDescent="0.2">
      <c r="DY2344" s="185" t="s">
        <v>215</v>
      </c>
    </row>
    <row r="2345" spans="129:129" x14ac:dyDescent="0.2">
      <c r="DY2345" s="185" t="s">
        <v>215</v>
      </c>
    </row>
    <row r="2346" spans="129:129" x14ac:dyDescent="0.2">
      <c r="DY2346" s="185" t="s">
        <v>215</v>
      </c>
    </row>
    <row r="2347" spans="129:129" x14ac:dyDescent="0.2">
      <c r="DY2347" s="185" t="s">
        <v>215</v>
      </c>
    </row>
    <row r="2348" spans="129:129" x14ac:dyDescent="0.2">
      <c r="DY2348" s="185" t="s">
        <v>215</v>
      </c>
    </row>
    <row r="2349" spans="129:129" x14ac:dyDescent="0.2">
      <c r="DY2349" s="185" t="s">
        <v>215</v>
      </c>
    </row>
    <row r="2350" spans="129:129" x14ac:dyDescent="0.2">
      <c r="DY2350" s="185" t="s">
        <v>215</v>
      </c>
    </row>
    <row r="2351" spans="129:129" x14ac:dyDescent="0.2">
      <c r="DY2351" s="185" t="s">
        <v>215</v>
      </c>
    </row>
    <row r="2352" spans="129:129" x14ac:dyDescent="0.2">
      <c r="DY2352" s="185" t="s">
        <v>215</v>
      </c>
    </row>
    <row r="2353" spans="129:129" x14ac:dyDescent="0.2">
      <c r="DY2353" s="185" t="s">
        <v>215</v>
      </c>
    </row>
    <row r="2354" spans="129:129" x14ac:dyDescent="0.2">
      <c r="DY2354" s="185" t="s">
        <v>215</v>
      </c>
    </row>
    <row r="2355" spans="129:129" x14ac:dyDescent="0.2">
      <c r="DY2355" s="185" t="s">
        <v>215</v>
      </c>
    </row>
    <row r="2356" spans="129:129" x14ac:dyDescent="0.2">
      <c r="DY2356" s="185" t="s">
        <v>215</v>
      </c>
    </row>
    <row r="2357" spans="129:129" x14ac:dyDescent="0.2">
      <c r="DY2357" s="185" t="s">
        <v>215</v>
      </c>
    </row>
    <row r="2358" spans="129:129" x14ac:dyDescent="0.2">
      <c r="DY2358" s="185" t="s">
        <v>215</v>
      </c>
    </row>
    <row r="2359" spans="129:129" x14ac:dyDescent="0.2">
      <c r="DY2359" s="185" t="s">
        <v>215</v>
      </c>
    </row>
    <row r="2360" spans="129:129" x14ac:dyDescent="0.2">
      <c r="DY2360" s="185" t="s">
        <v>215</v>
      </c>
    </row>
    <row r="2361" spans="129:129" x14ac:dyDescent="0.2">
      <c r="DY2361" s="185" t="s">
        <v>215</v>
      </c>
    </row>
    <row r="2362" spans="129:129" x14ac:dyDescent="0.2">
      <c r="DY2362" s="185" t="s">
        <v>215</v>
      </c>
    </row>
    <row r="2363" spans="129:129" x14ac:dyDescent="0.2">
      <c r="DY2363" s="185" t="s">
        <v>215</v>
      </c>
    </row>
    <row r="2364" spans="129:129" x14ac:dyDescent="0.2">
      <c r="DY2364" s="185" t="s">
        <v>215</v>
      </c>
    </row>
    <row r="2365" spans="129:129" x14ac:dyDescent="0.2">
      <c r="DY2365" s="185" t="s">
        <v>215</v>
      </c>
    </row>
    <row r="2366" spans="129:129" x14ac:dyDescent="0.2">
      <c r="DY2366" s="185" t="s">
        <v>215</v>
      </c>
    </row>
    <row r="2367" spans="129:129" x14ac:dyDescent="0.2">
      <c r="DY2367" s="185" t="s">
        <v>215</v>
      </c>
    </row>
    <row r="2368" spans="129:129" x14ac:dyDescent="0.2">
      <c r="DY2368" s="185" t="s">
        <v>215</v>
      </c>
    </row>
    <row r="2369" spans="129:129" x14ac:dyDescent="0.2">
      <c r="DY2369" s="185" t="s">
        <v>215</v>
      </c>
    </row>
    <row r="2370" spans="129:129" x14ac:dyDescent="0.2">
      <c r="DY2370" s="185" t="s">
        <v>215</v>
      </c>
    </row>
    <row r="2371" spans="129:129" x14ac:dyDescent="0.2">
      <c r="DY2371" s="185" t="s">
        <v>215</v>
      </c>
    </row>
    <row r="2372" spans="129:129" x14ac:dyDescent="0.2">
      <c r="DY2372" s="185" t="s">
        <v>215</v>
      </c>
    </row>
    <row r="2373" spans="129:129" x14ac:dyDescent="0.2">
      <c r="DY2373" s="185" t="s">
        <v>215</v>
      </c>
    </row>
    <row r="2374" spans="129:129" x14ac:dyDescent="0.2">
      <c r="DY2374" s="185" t="s">
        <v>215</v>
      </c>
    </row>
    <row r="2375" spans="129:129" x14ac:dyDescent="0.2">
      <c r="DY2375" s="185" t="s">
        <v>215</v>
      </c>
    </row>
    <row r="2376" spans="129:129" x14ac:dyDescent="0.2">
      <c r="DY2376" s="185" t="s">
        <v>215</v>
      </c>
    </row>
    <row r="2377" spans="129:129" x14ac:dyDescent="0.2">
      <c r="DY2377" s="185" t="s">
        <v>215</v>
      </c>
    </row>
    <row r="2378" spans="129:129" x14ac:dyDescent="0.2">
      <c r="DY2378" s="185" t="s">
        <v>215</v>
      </c>
    </row>
    <row r="2379" spans="129:129" x14ac:dyDescent="0.2">
      <c r="DY2379" s="185" t="s">
        <v>215</v>
      </c>
    </row>
    <row r="2380" spans="129:129" x14ac:dyDescent="0.2">
      <c r="DY2380" s="185" t="s">
        <v>215</v>
      </c>
    </row>
    <row r="2381" spans="129:129" x14ac:dyDescent="0.2">
      <c r="DY2381" s="185" t="s">
        <v>215</v>
      </c>
    </row>
    <row r="2382" spans="129:129" x14ac:dyDescent="0.2">
      <c r="DY2382" s="185" t="s">
        <v>215</v>
      </c>
    </row>
    <row r="2383" spans="129:129" x14ac:dyDescent="0.2">
      <c r="DY2383" s="185" t="s">
        <v>215</v>
      </c>
    </row>
    <row r="2384" spans="129:129" x14ac:dyDescent="0.2">
      <c r="DY2384" s="185" t="s">
        <v>215</v>
      </c>
    </row>
    <row r="2385" spans="129:129" x14ac:dyDescent="0.2">
      <c r="DY2385" s="185" t="s">
        <v>215</v>
      </c>
    </row>
    <row r="2386" spans="129:129" x14ac:dyDescent="0.2">
      <c r="DY2386" s="185" t="s">
        <v>215</v>
      </c>
    </row>
    <row r="2387" spans="129:129" x14ac:dyDescent="0.2">
      <c r="DY2387" s="185" t="s">
        <v>215</v>
      </c>
    </row>
    <row r="2388" spans="129:129" x14ac:dyDescent="0.2">
      <c r="DY2388" s="185" t="s">
        <v>215</v>
      </c>
    </row>
    <row r="2389" spans="129:129" x14ac:dyDescent="0.2">
      <c r="DY2389" s="185" t="s">
        <v>215</v>
      </c>
    </row>
    <row r="2390" spans="129:129" x14ac:dyDescent="0.2">
      <c r="DY2390" s="185" t="s">
        <v>215</v>
      </c>
    </row>
    <row r="2391" spans="129:129" x14ac:dyDescent="0.2">
      <c r="DY2391" s="185" t="s">
        <v>215</v>
      </c>
    </row>
    <row r="2392" spans="129:129" x14ac:dyDescent="0.2">
      <c r="DY2392" s="185" t="s">
        <v>215</v>
      </c>
    </row>
    <row r="2393" spans="129:129" x14ac:dyDescent="0.2">
      <c r="DY2393" s="185" t="s">
        <v>215</v>
      </c>
    </row>
    <row r="2394" spans="129:129" x14ac:dyDescent="0.2">
      <c r="DY2394" s="185" t="s">
        <v>215</v>
      </c>
    </row>
    <row r="2395" spans="129:129" x14ac:dyDescent="0.2">
      <c r="DY2395" s="185" t="s">
        <v>215</v>
      </c>
    </row>
    <row r="2396" spans="129:129" x14ac:dyDescent="0.2">
      <c r="DY2396" s="185" t="s">
        <v>215</v>
      </c>
    </row>
    <row r="2397" spans="129:129" x14ac:dyDescent="0.2">
      <c r="DY2397" s="185" t="s">
        <v>215</v>
      </c>
    </row>
    <row r="2398" spans="129:129" x14ac:dyDescent="0.2">
      <c r="DY2398" s="185" t="s">
        <v>215</v>
      </c>
    </row>
    <row r="2399" spans="129:129" x14ac:dyDescent="0.2">
      <c r="DY2399" s="185" t="s">
        <v>215</v>
      </c>
    </row>
    <row r="2400" spans="129:129" x14ac:dyDescent="0.2">
      <c r="DY2400" s="185" t="s">
        <v>215</v>
      </c>
    </row>
    <row r="2401" spans="129:129" x14ac:dyDescent="0.2">
      <c r="DY2401" s="185" t="s">
        <v>215</v>
      </c>
    </row>
    <row r="2402" spans="129:129" x14ac:dyDescent="0.2">
      <c r="DY2402" s="185" t="s">
        <v>215</v>
      </c>
    </row>
    <row r="2403" spans="129:129" x14ac:dyDescent="0.2">
      <c r="DY2403" s="185" t="s">
        <v>215</v>
      </c>
    </row>
    <row r="2404" spans="129:129" x14ac:dyDescent="0.2">
      <c r="DY2404" s="185" t="s">
        <v>215</v>
      </c>
    </row>
    <row r="2405" spans="129:129" x14ac:dyDescent="0.2">
      <c r="DY2405" s="185" t="s">
        <v>215</v>
      </c>
    </row>
    <row r="2406" spans="129:129" x14ac:dyDescent="0.2">
      <c r="DY2406" s="185" t="s">
        <v>215</v>
      </c>
    </row>
    <row r="2407" spans="129:129" x14ac:dyDescent="0.2">
      <c r="DY2407" s="185" t="s">
        <v>215</v>
      </c>
    </row>
    <row r="2408" spans="129:129" x14ac:dyDescent="0.2">
      <c r="DY2408" s="185" t="s">
        <v>215</v>
      </c>
    </row>
    <row r="2409" spans="129:129" x14ac:dyDescent="0.2">
      <c r="DY2409" s="185" t="s">
        <v>215</v>
      </c>
    </row>
    <row r="2410" spans="129:129" x14ac:dyDescent="0.2">
      <c r="DY2410" s="185" t="s">
        <v>215</v>
      </c>
    </row>
    <row r="2411" spans="129:129" x14ac:dyDescent="0.2">
      <c r="DY2411" s="185" t="s">
        <v>215</v>
      </c>
    </row>
    <row r="2412" spans="129:129" x14ac:dyDescent="0.2">
      <c r="DY2412" s="185" t="s">
        <v>215</v>
      </c>
    </row>
    <row r="2413" spans="129:129" x14ac:dyDescent="0.2">
      <c r="DY2413" s="185" t="s">
        <v>215</v>
      </c>
    </row>
    <row r="2414" spans="129:129" x14ac:dyDescent="0.2">
      <c r="DY2414" s="185" t="s">
        <v>215</v>
      </c>
    </row>
    <row r="2415" spans="129:129" x14ac:dyDescent="0.2">
      <c r="DY2415" s="185" t="s">
        <v>215</v>
      </c>
    </row>
    <row r="2416" spans="129:129" x14ac:dyDescent="0.2">
      <c r="DY2416" s="185" t="s">
        <v>215</v>
      </c>
    </row>
    <row r="2417" spans="129:129" x14ac:dyDescent="0.2">
      <c r="DY2417" s="185" t="s">
        <v>215</v>
      </c>
    </row>
    <row r="2418" spans="129:129" x14ac:dyDescent="0.2">
      <c r="DY2418" s="185" t="s">
        <v>215</v>
      </c>
    </row>
    <row r="2419" spans="129:129" x14ac:dyDescent="0.2">
      <c r="DY2419" s="185" t="s">
        <v>215</v>
      </c>
    </row>
    <row r="2420" spans="129:129" x14ac:dyDescent="0.2">
      <c r="DY2420" s="185" t="s">
        <v>215</v>
      </c>
    </row>
    <row r="2421" spans="129:129" x14ac:dyDescent="0.2">
      <c r="DY2421" s="185" t="s">
        <v>215</v>
      </c>
    </row>
    <row r="2422" spans="129:129" x14ac:dyDescent="0.2">
      <c r="DY2422" s="185" t="s">
        <v>215</v>
      </c>
    </row>
    <row r="2423" spans="129:129" x14ac:dyDescent="0.2">
      <c r="DY2423" s="185" t="s">
        <v>215</v>
      </c>
    </row>
    <row r="2424" spans="129:129" x14ac:dyDescent="0.2">
      <c r="DY2424" s="185" t="s">
        <v>215</v>
      </c>
    </row>
    <row r="2425" spans="129:129" x14ac:dyDescent="0.2">
      <c r="DY2425" s="185" t="s">
        <v>215</v>
      </c>
    </row>
    <row r="2426" spans="129:129" x14ac:dyDescent="0.2">
      <c r="DY2426" s="185" t="s">
        <v>215</v>
      </c>
    </row>
    <row r="2427" spans="129:129" x14ac:dyDescent="0.2">
      <c r="DY2427" s="185" t="s">
        <v>215</v>
      </c>
    </row>
    <row r="2428" spans="129:129" x14ac:dyDescent="0.2">
      <c r="DY2428" s="185" t="s">
        <v>215</v>
      </c>
    </row>
    <row r="2429" spans="129:129" x14ac:dyDescent="0.2">
      <c r="DY2429" s="185" t="s">
        <v>215</v>
      </c>
    </row>
    <row r="2430" spans="129:129" x14ac:dyDescent="0.2">
      <c r="DY2430" s="185" t="s">
        <v>215</v>
      </c>
    </row>
    <row r="2431" spans="129:129" x14ac:dyDescent="0.2">
      <c r="DY2431" s="185" t="s">
        <v>215</v>
      </c>
    </row>
    <row r="2432" spans="129:129" x14ac:dyDescent="0.2">
      <c r="DY2432" s="185" t="s">
        <v>215</v>
      </c>
    </row>
    <row r="2433" spans="129:129" x14ac:dyDescent="0.2">
      <c r="DY2433" s="185" t="s">
        <v>215</v>
      </c>
    </row>
    <row r="2434" spans="129:129" x14ac:dyDescent="0.2">
      <c r="DY2434" s="185" t="s">
        <v>215</v>
      </c>
    </row>
    <row r="2435" spans="129:129" x14ac:dyDescent="0.2">
      <c r="DY2435" s="185" t="s">
        <v>215</v>
      </c>
    </row>
    <row r="2436" spans="129:129" x14ac:dyDescent="0.2">
      <c r="DY2436" s="185" t="s">
        <v>215</v>
      </c>
    </row>
    <row r="2437" spans="129:129" x14ac:dyDescent="0.2">
      <c r="DY2437" s="185" t="s">
        <v>215</v>
      </c>
    </row>
    <row r="2438" spans="129:129" x14ac:dyDescent="0.2">
      <c r="DY2438" s="185" t="s">
        <v>215</v>
      </c>
    </row>
    <row r="2439" spans="129:129" x14ac:dyDescent="0.2">
      <c r="DY2439" s="185" t="s">
        <v>215</v>
      </c>
    </row>
    <row r="2440" spans="129:129" x14ac:dyDescent="0.2">
      <c r="DY2440" s="185" t="s">
        <v>215</v>
      </c>
    </row>
    <row r="2441" spans="129:129" x14ac:dyDescent="0.2">
      <c r="DY2441" s="185" t="s">
        <v>215</v>
      </c>
    </row>
    <row r="2442" spans="129:129" x14ac:dyDescent="0.2">
      <c r="DY2442" s="185" t="s">
        <v>215</v>
      </c>
    </row>
    <row r="2443" spans="129:129" x14ac:dyDescent="0.2">
      <c r="DY2443" s="185" t="s">
        <v>215</v>
      </c>
    </row>
    <row r="2444" spans="129:129" x14ac:dyDescent="0.2">
      <c r="DY2444" s="185" t="s">
        <v>215</v>
      </c>
    </row>
    <row r="2445" spans="129:129" x14ac:dyDescent="0.2">
      <c r="DY2445" s="185" t="s">
        <v>215</v>
      </c>
    </row>
    <row r="2446" spans="129:129" x14ac:dyDescent="0.2">
      <c r="DY2446" s="185" t="s">
        <v>215</v>
      </c>
    </row>
    <row r="2447" spans="129:129" x14ac:dyDescent="0.2">
      <c r="DY2447" s="185" t="s">
        <v>215</v>
      </c>
    </row>
    <row r="2448" spans="129:129" x14ac:dyDescent="0.2">
      <c r="DY2448" s="185" t="s">
        <v>215</v>
      </c>
    </row>
    <row r="2449" spans="129:129" x14ac:dyDescent="0.2">
      <c r="DY2449" s="185" t="s">
        <v>215</v>
      </c>
    </row>
    <row r="2450" spans="129:129" x14ac:dyDescent="0.2">
      <c r="DY2450" s="185" t="s">
        <v>215</v>
      </c>
    </row>
    <row r="2451" spans="129:129" x14ac:dyDescent="0.2">
      <c r="DY2451" s="185" t="s">
        <v>215</v>
      </c>
    </row>
    <row r="2452" spans="129:129" x14ac:dyDescent="0.2">
      <c r="DY2452" s="185" t="s">
        <v>215</v>
      </c>
    </row>
    <row r="2453" spans="129:129" x14ac:dyDescent="0.2">
      <c r="DY2453" s="185" t="s">
        <v>215</v>
      </c>
    </row>
    <row r="2454" spans="129:129" x14ac:dyDescent="0.2">
      <c r="DY2454" s="185" t="s">
        <v>215</v>
      </c>
    </row>
    <row r="2455" spans="129:129" x14ac:dyDescent="0.2">
      <c r="DY2455" s="185" t="s">
        <v>215</v>
      </c>
    </row>
    <row r="2456" spans="129:129" x14ac:dyDescent="0.2">
      <c r="DY2456" s="185" t="s">
        <v>215</v>
      </c>
    </row>
    <row r="2457" spans="129:129" x14ac:dyDescent="0.2">
      <c r="DY2457" s="185" t="s">
        <v>215</v>
      </c>
    </row>
    <row r="2458" spans="129:129" x14ac:dyDescent="0.2">
      <c r="DY2458" s="185" t="s">
        <v>215</v>
      </c>
    </row>
    <row r="2459" spans="129:129" x14ac:dyDescent="0.2">
      <c r="DY2459" s="185" t="s">
        <v>215</v>
      </c>
    </row>
    <row r="2460" spans="129:129" x14ac:dyDescent="0.2">
      <c r="DY2460" s="185" t="s">
        <v>215</v>
      </c>
    </row>
    <row r="2461" spans="129:129" x14ac:dyDescent="0.2">
      <c r="DY2461" s="185" t="s">
        <v>215</v>
      </c>
    </row>
    <row r="2462" spans="129:129" x14ac:dyDescent="0.2">
      <c r="DY2462" s="185" t="s">
        <v>215</v>
      </c>
    </row>
    <row r="2463" spans="129:129" x14ac:dyDescent="0.2">
      <c r="DY2463" s="185" t="s">
        <v>215</v>
      </c>
    </row>
    <row r="2464" spans="129:129" x14ac:dyDescent="0.2">
      <c r="DY2464" s="185" t="s">
        <v>215</v>
      </c>
    </row>
    <row r="2465" spans="129:129" x14ac:dyDescent="0.2">
      <c r="DY2465" s="185" t="s">
        <v>215</v>
      </c>
    </row>
    <row r="2466" spans="129:129" x14ac:dyDescent="0.2">
      <c r="DY2466" s="185" t="s">
        <v>215</v>
      </c>
    </row>
    <row r="2467" spans="129:129" x14ac:dyDescent="0.2">
      <c r="DY2467" s="185" t="s">
        <v>215</v>
      </c>
    </row>
    <row r="2468" spans="129:129" x14ac:dyDescent="0.2">
      <c r="DY2468" s="185" t="s">
        <v>215</v>
      </c>
    </row>
    <row r="2469" spans="129:129" x14ac:dyDescent="0.2">
      <c r="DY2469" s="185" t="s">
        <v>215</v>
      </c>
    </row>
    <row r="2470" spans="129:129" x14ac:dyDescent="0.2">
      <c r="DY2470" s="185" t="s">
        <v>215</v>
      </c>
    </row>
    <row r="2471" spans="129:129" x14ac:dyDescent="0.2">
      <c r="DY2471" s="185" t="s">
        <v>215</v>
      </c>
    </row>
    <row r="2472" spans="129:129" x14ac:dyDescent="0.2">
      <c r="DY2472" s="185" t="s">
        <v>215</v>
      </c>
    </row>
    <row r="2473" spans="129:129" x14ac:dyDescent="0.2">
      <c r="DY2473" s="185" t="s">
        <v>215</v>
      </c>
    </row>
    <row r="2474" spans="129:129" x14ac:dyDescent="0.2">
      <c r="DY2474" s="185" t="s">
        <v>215</v>
      </c>
    </row>
    <row r="2475" spans="129:129" x14ac:dyDescent="0.2">
      <c r="DY2475" s="185" t="s">
        <v>215</v>
      </c>
    </row>
    <row r="2476" spans="129:129" x14ac:dyDescent="0.2">
      <c r="DY2476" s="185" t="s">
        <v>215</v>
      </c>
    </row>
    <row r="2477" spans="129:129" x14ac:dyDescent="0.2">
      <c r="DY2477" s="185" t="s">
        <v>215</v>
      </c>
    </row>
    <row r="2478" spans="129:129" x14ac:dyDescent="0.2">
      <c r="DY2478" s="185" t="s">
        <v>215</v>
      </c>
    </row>
    <row r="2479" spans="129:129" x14ac:dyDescent="0.2">
      <c r="DY2479" s="185" t="s">
        <v>215</v>
      </c>
    </row>
    <row r="2480" spans="129:129" x14ac:dyDescent="0.2">
      <c r="DY2480" s="185" t="s">
        <v>215</v>
      </c>
    </row>
    <row r="2481" spans="129:129" x14ac:dyDescent="0.2">
      <c r="DY2481" s="185" t="s">
        <v>215</v>
      </c>
    </row>
    <row r="2482" spans="129:129" x14ac:dyDescent="0.2">
      <c r="DY2482" s="185" t="s">
        <v>215</v>
      </c>
    </row>
    <row r="2483" spans="129:129" x14ac:dyDescent="0.2">
      <c r="DY2483" s="185" t="s">
        <v>215</v>
      </c>
    </row>
    <row r="2484" spans="129:129" x14ac:dyDescent="0.2">
      <c r="DY2484" s="185" t="s">
        <v>215</v>
      </c>
    </row>
    <row r="2485" spans="129:129" x14ac:dyDescent="0.2">
      <c r="DY2485" s="185" t="s">
        <v>215</v>
      </c>
    </row>
    <row r="2486" spans="129:129" x14ac:dyDescent="0.2">
      <c r="DY2486" s="185" t="s">
        <v>215</v>
      </c>
    </row>
    <row r="2487" spans="129:129" x14ac:dyDescent="0.2">
      <c r="DY2487" s="185" t="s">
        <v>215</v>
      </c>
    </row>
    <row r="2488" spans="129:129" x14ac:dyDescent="0.2">
      <c r="DY2488" s="185" t="s">
        <v>215</v>
      </c>
    </row>
    <row r="2489" spans="129:129" x14ac:dyDescent="0.2">
      <c r="DY2489" s="185" t="s">
        <v>215</v>
      </c>
    </row>
    <row r="2490" spans="129:129" x14ac:dyDescent="0.2">
      <c r="DY2490" s="185" t="s">
        <v>215</v>
      </c>
    </row>
    <row r="2491" spans="129:129" x14ac:dyDescent="0.2">
      <c r="DY2491" s="185" t="s">
        <v>215</v>
      </c>
    </row>
    <row r="2492" spans="129:129" x14ac:dyDescent="0.2">
      <c r="DY2492" s="185" t="s">
        <v>215</v>
      </c>
    </row>
    <row r="2493" spans="129:129" x14ac:dyDescent="0.2">
      <c r="DY2493" s="185" t="s">
        <v>215</v>
      </c>
    </row>
    <row r="2494" spans="129:129" x14ac:dyDescent="0.2">
      <c r="DY2494" s="185" t="s">
        <v>215</v>
      </c>
    </row>
    <row r="2495" spans="129:129" x14ac:dyDescent="0.2">
      <c r="DY2495" s="185" t="s">
        <v>215</v>
      </c>
    </row>
    <row r="2496" spans="129:129" x14ac:dyDescent="0.2">
      <c r="DY2496" s="185" t="s">
        <v>215</v>
      </c>
    </row>
    <row r="2497" spans="129:129" x14ac:dyDescent="0.2">
      <c r="DY2497" s="185" t="s">
        <v>215</v>
      </c>
    </row>
    <row r="2498" spans="129:129" x14ac:dyDescent="0.2">
      <c r="DY2498" s="185" t="s">
        <v>215</v>
      </c>
    </row>
    <row r="2499" spans="129:129" x14ac:dyDescent="0.2">
      <c r="DY2499" s="185" t="s">
        <v>215</v>
      </c>
    </row>
    <row r="2500" spans="129:129" x14ac:dyDescent="0.2">
      <c r="DY2500" s="185" t="s">
        <v>215</v>
      </c>
    </row>
    <row r="2501" spans="129:129" x14ac:dyDescent="0.2">
      <c r="DY2501" s="185" t="s">
        <v>215</v>
      </c>
    </row>
    <row r="2502" spans="129:129" x14ac:dyDescent="0.2">
      <c r="DY2502" s="185" t="s">
        <v>215</v>
      </c>
    </row>
    <row r="2503" spans="129:129" x14ac:dyDescent="0.2">
      <c r="DY2503" s="185" t="s">
        <v>215</v>
      </c>
    </row>
    <row r="2504" spans="129:129" x14ac:dyDescent="0.2">
      <c r="DY2504" s="185" t="s">
        <v>215</v>
      </c>
    </row>
    <row r="2505" spans="129:129" x14ac:dyDescent="0.2">
      <c r="DY2505" s="185" t="s">
        <v>215</v>
      </c>
    </row>
    <row r="2506" spans="129:129" x14ac:dyDescent="0.2">
      <c r="DY2506" s="185" t="s">
        <v>215</v>
      </c>
    </row>
    <row r="2507" spans="129:129" x14ac:dyDescent="0.2">
      <c r="DY2507" s="185" t="s">
        <v>215</v>
      </c>
    </row>
    <row r="2508" spans="129:129" x14ac:dyDescent="0.2">
      <c r="DY2508" s="185" t="s">
        <v>215</v>
      </c>
    </row>
    <row r="2509" spans="129:129" x14ac:dyDescent="0.2">
      <c r="DY2509" s="185" t="s">
        <v>215</v>
      </c>
    </row>
    <row r="2510" spans="129:129" x14ac:dyDescent="0.2">
      <c r="DY2510" s="185" t="s">
        <v>215</v>
      </c>
    </row>
    <row r="2511" spans="129:129" x14ac:dyDescent="0.2">
      <c r="DY2511" s="185" t="s">
        <v>215</v>
      </c>
    </row>
    <row r="2512" spans="129:129" x14ac:dyDescent="0.2">
      <c r="DY2512" s="185" t="s">
        <v>215</v>
      </c>
    </row>
    <row r="2513" spans="129:129" x14ac:dyDescent="0.2">
      <c r="DY2513" s="185" t="s">
        <v>215</v>
      </c>
    </row>
    <row r="2514" spans="129:129" x14ac:dyDescent="0.2">
      <c r="DY2514" s="185" t="s">
        <v>215</v>
      </c>
    </row>
    <row r="2515" spans="129:129" x14ac:dyDescent="0.2">
      <c r="DY2515" s="185" t="s">
        <v>215</v>
      </c>
    </row>
    <row r="2516" spans="129:129" x14ac:dyDescent="0.2">
      <c r="DY2516" s="185" t="s">
        <v>215</v>
      </c>
    </row>
    <row r="2517" spans="129:129" x14ac:dyDescent="0.2">
      <c r="DY2517" s="185" t="s">
        <v>215</v>
      </c>
    </row>
    <row r="2518" spans="129:129" x14ac:dyDescent="0.2">
      <c r="DY2518" s="185" t="s">
        <v>215</v>
      </c>
    </row>
    <row r="2519" spans="129:129" x14ac:dyDescent="0.2">
      <c r="DY2519" s="185" t="s">
        <v>215</v>
      </c>
    </row>
    <row r="2520" spans="129:129" x14ac:dyDescent="0.2">
      <c r="DY2520" s="185" t="s">
        <v>215</v>
      </c>
    </row>
    <row r="2521" spans="129:129" x14ac:dyDescent="0.2">
      <c r="DY2521" s="185" t="s">
        <v>215</v>
      </c>
    </row>
    <row r="2522" spans="129:129" x14ac:dyDescent="0.2">
      <c r="DY2522" s="185" t="s">
        <v>215</v>
      </c>
    </row>
    <row r="2523" spans="129:129" x14ac:dyDescent="0.2">
      <c r="DY2523" s="185" t="s">
        <v>215</v>
      </c>
    </row>
    <row r="2524" spans="129:129" x14ac:dyDescent="0.2">
      <c r="DY2524" s="185" t="s">
        <v>215</v>
      </c>
    </row>
    <row r="2525" spans="129:129" x14ac:dyDescent="0.2">
      <c r="DY2525" s="185" t="s">
        <v>215</v>
      </c>
    </row>
    <row r="2526" spans="129:129" x14ac:dyDescent="0.2">
      <c r="DY2526" s="185" t="s">
        <v>215</v>
      </c>
    </row>
    <row r="2527" spans="129:129" x14ac:dyDescent="0.2">
      <c r="DY2527" s="185" t="s">
        <v>215</v>
      </c>
    </row>
    <row r="2528" spans="129:129" x14ac:dyDescent="0.2">
      <c r="DY2528" s="185" t="s">
        <v>215</v>
      </c>
    </row>
    <row r="2529" spans="129:129" x14ac:dyDescent="0.2">
      <c r="DY2529" s="185" t="s">
        <v>215</v>
      </c>
    </row>
    <row r="2530" spans="129:129" x14ac:dyDescent="0.2">
      <c r="DY2530" s="185" t="s">
        <v>215</v>
      </c>
    </row>
    <row r="2531" spans="129:129" x14ac:dyDescent="0.2">
      <c r="DY2531" s="185" t="s">
        <v>215</v>
      </c>
    </row>
    <row r="2532" spans="129:129" x14ac:dyDescent="0.2">
      <c r="DY2532" s="185" t="s">
        <v>215</v>
      </c>
    </row>
    <row r="2533" spans="129:129" x14ac:dyDescent="0.2">
      <c r="DY2533" s="185" t="s">
        <v>215</v>
      </c>
    </row>
    <row r="2534" spans="129:129" x14ac:dyDescent="0.2">
      <c r="DY2534" s="185" t="s">
        <v>215</v>
      </c>
    </row>
    <row r="2535" spans="129:129" x14ac:dyDescent="0.2">
      <c r="DY2535" s="185" t="s">
        <v>215</v>
      </c>
    </row>
    <row r="2536" spans="129:129" x14ac:dyDescent="0.2">
      <c r="DY2536" s="185" t="s">
        <v>215</v>
      </c>
    </row>
    <row r="2537" spans="129:129" x14ac:dyDescent="0.2">
      <c r="DY2537" s="185" t="s">
        <v>215</v>
      </c>
    </row>
    <row r="2538" spans="129:129" x14ac:dyDescent="0.2">
      <c r="DY2538" s="185" t="s">
        <v>215</v>
      </c>
    </row>
    <row r="2539" spans="129:129" x14ac:dyDescent="0.2">
      <c r="DY2539" s="185" t="s">
        <v>215</v>
      </c>
    </row>
    <row r="2540" spans="129:129" x14ac:dyDescent="0.2">
      <c r="DY2540" s="185" t="s">
        <v>215</v>
      </c>
    </row>
    <row r="2541" spans="129:129" x14ac:dyDescent="0.2">
      <c r="DY2541" s="185" t="s">
        <v>215</v>
      </c>
    </row>
    <row r="2542" spans="129:129" x14ac:dyDescent="0.2">
      <c r="DY2542" s="185" t="s">
        <v>215</v>
      </c>
    </row>
    <row r="2543" spans="129:129" x14ac:dyDescent="0.2">
      <c r="DY2543" s="185" t="s">
        <v>215</v>
      </c>
    </row>
    <row r="2544" spans="129:129" x14ac:dyDescent="0.2">
      <c r="DY2544" s="185" t="s">
        <v>215</v>
      </c>
    </row>
    <row r="2545" spans="129:129" x14ac:dyDescent="0.2">
      <c r="DY2545" s="185" t="s">
        <v>215</v>
      </c>
    </row>
    <row r="2546" spans="129:129" x14ac:dyDescent="0.2">
      <c r="DY2546" s="185" t="s">
        <v>215</v>
      </c>
    </row>
    <row r="2547" spans="129:129" x14ac:dyDescent="0.2">
      <c r="DY2547" s="185" t="s">
        <v>215</v>
      </c>
    </row>
    <row r="2548" spans="129:129" x14ac:dyDescent="0.2">
      <c r="DY2548" s="185" t="s">
        <v>215</v>
      </c>
    </row>
    <row r="2549" spans="129:129" x14ac:dyDescent="0.2">
      <c r="DY2549" s="185" t="s">
        <v>215</v>
      </c>
    </row>
    <row r="2550" spans="129:129" x14ac:dyDescent="0.2">
      <c r="DY2550" s="185" t="s">
        <v>215</v>
      </c>
    </row>
    <row r="2551" spans="129:129" x14ac:dyDescent="0.2">
      <c r="DY2551" s="185" t="s">
        <v>215</v>
      </c>
    </row>
    <row r="2552" spans="129:129" x14ac:dyDescent="0.2">
      <c r="DY2552" s="185" t="s">
        <v>215</v>
      </c>
    </row>
    <row r="2553" spans="129:129" x14ac:dyDescent="0.2">
      <c r="DY2553" s="185" t="s">
        <v>215</v>
      </c>
    </row>
    <row r="2554" spans="129:129" x14ac:dyDescent="0.2">
      <c r="DY2554" s="185" t="s">
        <v>215</v>
      </c>
    </row>
    <row r="2555" spans="129:129" x14ac:dyDescent="0.2">
      <c r="DY2555" s="185" t="s">
        <v>215</v>
      </c>
    </row>
    <row r="2556" spans="129:129" x14ac:dyDescent="0.2">
      <c r="DY2556" s="185" t="s">
        <v>215</v>
      </c>
    </row>
    <row r="2557" spans="129:129" x14ac:dyDescent="0.2">
      <c r="DY2557" s="185" t="s">
        <v>215</v>
      </c>
    </row>
    <row r="2558" spans="129:129" x14ac:dyDescent="0.2">
      <c r="DY2558" s="185" t="s">
        <v>215</v>
      </c>
    </row>
    <row r="2559" spans="129:129" x14ac:dyDescent="0.2">
      <c r="DY2559" s="185" t="s">
        <v>215</v>
      </c>
    </row>
    <row r="2560" spans="129:129" x14ac:dyDescent="0.2">
      <c r="DY2560" s="185" t="s">
        <v>215</v>
      </c>
    </row>
    <row r="2561" spans="129:129" x14ac:dyDescent="0.2">
      <c r="DY2561" s="185" t="s">
        <v>215</v>
      </c>
    </row>
    <row r="2562" spans="129:129" x14ac:dyDescent="0.2">
      <c r="DY2562" s="185" t="s">
        <v>215</v>
      </c>
    </row>
    <row r="2563" spans="129:129" x14ac:dyDescent="0.2">
      <c r="DY2563" s="185" t="s">
        <v>215</v>
      </c>
    </row>
    <row r="2564" spans="129:129" x14ac:dyDescent="0.2">
      <c r="DY2564" s="185" t="s">
        <v>215</v>
      </c>
    </row>
    <row r="2565" spans="129:129" x14ac:dyDescent="0.2">
      <c r="DY2565" s="185" t="s">
        <v>215</v>
      </c>
    </row>
    <row r="2566" spans="129:129" x14ac:dyDescent="0.2">
      <c r="DY2566" s="185" t="s">
        <v>215</v>
      </c>
    </row>
    <row r="2567" spans="129:129" x14ac:dyDescent="0.2">
      <c r="DY2567" s="185" t="s">
        <v>215</v>
      </c>
    </row>
    <row r="2568" spans="129:129" x14ac:dyDescent="0.2">
      <c r="DY2568" s="185" t="s">
        <v>215</v>
      </c>
    </row>
    <row r="2569" spans="129:129" x14ac:dyDescent="0.2">
      <c r="DY2569" s="185" t="s">
        <v>215</v>
      </c>
    </row>
    <row r="2570" spans="129:129" x14ac:dyDescent="0.2">
      <c r="DY2570" s="185" t="s">
        <v>215</v>
      </c>
    </row>
    <row r="2571" spans="129:129" x14ac:dyDescent="0.2">
      <c r="DY2571" s="185" t="s">
        <v>215</v>
      </c>
    </row>
    <row r="2572" spans="129:129" x14ac:dyDescent="0.2">
      <c r="DY2572" s="185" t="s">
        <v>215</v>
      </c>
    </row>
    <row r="2573" spans="129:129" x14ac:dyDescent="0.2">
      <c r="DY2573" s="185" t="s">
        <v>215</v>
      </c>
    </row>
    <row r="2574" spans="129:129" x14ac:dyDescent="0.2">
      <c r="DY2574" s="185" t="s">
        <v>215</v>
      </c>
    </row>
    <row r="2575" spans="129:129" x14ac:dyDescent="0.2">
      <c r="DY2575" s="185" t="s">
        <v>215</v>
      </c>
    </row>
    <row r="2576" spans="129:129" x14ac:dyDescent="0.2">
      <c r="DY2576" s="185" t="s">
        <v>215</v>
      </c>
    </row>
    <row r="2577" spans="129:129" x14ac:dyDescent="0.2">
      <c r="DY2577" s="185" t="s">
        <v>215</v>
      </c>
    </row>
    <row r="2578" spans="129:129" x14ac:dyDescent="0.2">
      <c r="DY2578" s="185" t="s">
        <v>215</v>
      </c>
    </row>
    <row r="2579" spans="129:129" x14ac:dyDescent="0.2">
      <c r="DY2579" s="185" t="s">
        <v>215</v>
      </c>
    </row>
    <row r="2580" spans="129:129" x14ac:dyDescent="0.2">
      <c r="DY2580" s="185" t="s">
        <v>215</v>
      </c>
    </row>
    <row r="2581" spans="129:129" x14ac:dyDescent="0.2">
      <c r="DY2581" s="185" t="s">
        <v>215</v>
      </c>
    </row>
    <row r="2582" spans="129:129" x14ac:dyDescent="0.2">
      <c r="DY2582" s="185" t="s">
        <v>215</v>
      </c>
    </row>
    <row r="2583" spans="129:129" x14ac:dyDescent="0.2">
      <c r="DY2583" s="185" t="s">
        <v>215</v>
      </c>
    </row>
    <row r="2584" spans="129:129" x14ac:dyDescent="0.2">
      <c r="DY2584" s="185" t="s">
        <v>215</v>
      </c>
    </row>
    <row r="2585" spans="129:129" x14ac:dyDescent="0.2">
      <c r="DY2585" s="185" t="s">
        <v>215</v>
      </c>
    </row>
    <row r="2586" spans="129:129" x14ac:dyDescent="0.2">
      <c r="DY2586" s="185" t="s">
        <v>215</v>
      </c>
    </row>
    <row r="2587" spans="129:129" x14ac:dyDescent="0.2">
      <c r="DY2587" s="185" t="s">
        <v>215</v>
      </c>
    </row>
    <row r="2588" spans="129:129" x14ac:dyDescent="0.2">
      <c r="DY2588" s="185" t="s">
        <v>215</v>
      </c>
    </row>
    <row r="2589" spans="129:129" x14ac:dyDescent="0.2">
      <c r="DY2589" s="185" t="s">
        <v>215</v>
      </c>
    </row>
    <row r="2590" spans="129:129" x14ac:dyDescent="0.2">
      <c r="DY2590" s="185" t="s">
        <v>215</v>
      </c>
    </row>
    <row r="2591" spans="129:129" x14ac:dyDescent="0.2">
      <c r="DY2591" s="185" t="s">
        <v>215</v>
      </c>
    </row>
    <row r="2592" spans="129:129" x14ac:dyDescent="0.2">
      <c r="DY2592" s="185" t="s">
        <v>215</v>
      </c>
    </row>
    <row r="2593" spans="129:129" x14ac:dyDescent="0.2">
      <c r="DY2593" s="185" t="s">
        <v>215</v>
      </c>
    </row>
    <row r="2594" spans="129:129" x14ac:dyDescent="0.2">
      <c r="DY2594" s="185" t="s">
        <v>215</v>
      </c>
    </row>
    <row r="2595" spans="129:129" x14ac:dyDescent="0.2">
      <c r="DY2595" s="185" t="s">
        <v>215</v>
      </c>
    </row>
    <row r="2596" spans="129:129" x14ac:dyDescent="0.2">
      <c r="DY2596" s="185" t="s">
        <v>215</v>
      </c>
    </row>
    <row r="2597" spans="129:129" x14ac:dyDescent="0.2">
      <c r="DY2597" s="185" t="s">
        <v>215</v>
      </c>
    </row>
    <row r="2598" spans="129:129" x14ac:dyDescent="0.2">
      <c r="DY2598" s="185" t="s">
        <v>215</v>
      </c>
    </row>
    <row r="2599" spans="129:129" x14ac:dyDescent="0.2">
      <c r="DY2599" s="185" t="s">
        <v>215</v>
      </c>
    </row>
    <row r="2600" spans="129:129" x14ac:dyDescent="0.2">
      <c r="DY2600" s="185" t="s">
        <v>215</v>
      </c>
    </row>
    <row r="2601" spans="129:129" x14ac:dyDescent="0.2">
      <c r="DY2601" s="185" t="s">
        <v>215</v>
      </c>
    </row>
    <row r="2602" spans="129:129" x14ac:dyDescent="0.2">
      <c r="DY2602" s="185" t="s">
        <v>215</v>
      </c>
    </row>
    <row r="2603" spans="129:129" x14ac:dyDescent="0.2">
      <c r="DY2603" s="185" t="s">
        <v>215</v>
      </c>
    </row>
    <row r="2604" spans="129:129" x14ac:dyDescent="0.2">
      <c r="DY2604" s="185" t="s">
        <v>215</v>
      </c>
    </row>
    <row r="2605" spans="129:129" x14ac:dyDescent="0.2">
      <c r="DY2605" s="185" t="s">
        <v>215</v>
      </c>
    </row>
    <row r="2606" spans="129:129" x14ac:dyDescent="0.2">
      <c r="DY2606" s="185" t="s">
        <v>215</v>
      </c>
    </row>
    <row r="2607" spans="129:129" x14ac:dyDescent="0.2">
      <c r="DY2607" s="185" t="s">
        <v>215</v>
      </c>
    </row>
    <row r="2608" spans="129:129" x14ac:dyDescent="0.2">
      <c r="DY2608" s="185" t="s">
        <v>215</v>
      </c>
    </row>
    <row r="2609" spans="129:129" x14ac:dyDescent="0.2">
      <c r="DY2609" s="185" t="s">
        <v>215</v>
      </c>
    </row>
    <row r="2610" spans="129:129" x14ac:dyDescent="0.2">
      <c r="DY2610" s="185" t="s">
        <v>215</v>
      </c>
    </row>
    <row r="2611" spans="129:129" x14ac:dyDescent="0.2">
      <c r="DY2611" s="185" t="s">
        <v>215</v>
      </c>
    </row>
    <row r="2612" spans="129:129" x14ac:dyDescent="0.2">
      <c r="DY2612" s="185" t="s">
        <v>215</v>
      </c>
    </row>
    <row r="2613" spans="129:129" x14ac:dyDescent="0.2">
      <c r="DY2613" s="185" t="s">
        <v>215</v>
      </c>
    </row>
    <row r="2614" spans="129:129" x14ac:dyDescent="0.2">
      <c r="DY2614" s="185" t="s">
        <v>215</v>
      </c>
    </row>
    <row r="2615" spans="129:129" x14ac:dyDescent="0.2">
      <c r="DY2615" s="185" t="s">
        <v>215</v>
      </c>
    </row>
    <row r="2616" spans="129:129" x14ac:dyDescent="0.2">
      <c r="DY2616" s="185" t="s">
        <v>215</v>
      </c>
    </row>
    <row r="2617" spans="129:129" x14ac:dyDescent="0.2">
      <c r="DY2617" s="185" t="s">
        <v>215</v>
      </c>
    </row>
    <row r="2618" spans="129:129" x14ac:dyDescent="0.2">
      <c r="DY2618" s="185" t="s">
        <v>215</v>
      </c>
    </row>
    <row r="2619" spans="129:129" x14ac:dyDescent="0.2">
      <c r="DY2619" s="185" t="s">
        <v>215</v>
      </c>
    </row>
    <row r="2620" spans="129:129" x14ac:dyDescent="0.2">
      <c r="DY2620" s="185" t="s">
        <v>215</v>
      </c>
    </row>
    <row r="2621" spans="129:129" x14ac:dyDescent="0.2">
      <c r="DY2621" s="185" t="s">
        <v>215</v>
      </c>
    </row>
    <row r="2622" spans="129:129" x14ac:dyDescent="0.2">
      <c r="DY2622" s="185" t="s">
        <v>215</v>
      </c>
    </row>
    <row r="2623" spans="129:129" x14ac:dyDescent="0.2">
      <c r="DY2623" s="185" t="s">
        <v>215</v>
      </c>
    </row>
    <row r="2624" spans="129:129" x14ac:dyDescent="0.2">
      <c r="DY2624" s="185" t="s">
        <v>215</v>
      </c>
    </row>
    <row r="2625" spans="129:129" x14ac:dyDescent="0.2">
      <c r="DY2625" s="185" t="s">
        <v>215</v>
      </c>
    </row>
    <row r="2626" spans="129:129" x14ac:dyDescent="0.2">
      <c r="DY2626" s="185" t="s">
        <v>215</v>
      </c>
    </row>
    <row r="2627" spans="129:129" x14ac:dyDescent="0.2">
      <c r="DY2627" s="185" t="s">
        <v>215</v>
      </c>
    </row>
    <row r="2628" spans="129:129" x14ac:dyDescent="0.2">
      <c r="DY2628" s="185" t="s">
        <v>215</v>
      </c>
    </row>
    <row r="2629" spans="129:129" x14ac:dyDescent="0.2">
      <c r="DY2629" s="185" t="s">
        <v>215</v>
      </c>
    </row>
    <row r="2630" spans="129:129" x14ac:dyDescent="0.2">
      <c r="DY2630" s="185" t="s">
        <v>215</v>
      </c>
    </row>
    <row r="2631" spans="129:129" x14ac:dyDescent="0.2">
      <c r="DY2631" s="185" t="s">
        <v>215</v>
      </c>
    </row>
    <row r="2632" spans="129:129" x14ac:dyDescent="0.2">
      <c r="DY2632" s="185" t="s">
        <v>215</v>
      </c>
    </row>
    <row r="2633" spans="129:129" x14ac:dyDescent="0.2">
      <c r="DY2633" s="185" t="s">
        <v>215</v>
      </c>
    </row>
    <row r="2634" spans="129:129" x14ac:dyDescent="0.2">
      <c r="DY2634" s="185" t="s">
        <v>215</v>
      </c>
    </row>
    <row r="2635" spans="129:129" x14ac:dyDescent="0.2">
      <c r="DY2635" s="185" t="s">
        <v>215</v>
      </c>
    </row>
    <row r="2636" spans="129:129" x14ac:dyDescent="0.2">
      <c r="DY2636" s="185" t="s">
        <v>215</v>
      </c>
    </row>
    <row r="2637" spans="129:129" x14ac:dyDescent="0.2">
      <c r="DY2637" s="185" t="s">
        <v>215</v>
      </c>
    </row>
    <row r="2638" spans="129:129" x14ac:dyDescent="0.2">
      <c r="DY2638" s="185" t="s">
        <v>215</v>
      </c>
    </row>
    <row r="2639" spans="129:129" x14ac:dyDescent="0.2">
      <c r="DY2639" s="185" t="s">
        <v>215</v>
      </c>
    </row>
    <row r="2640" spans="129:129" x14ac:dyDescent="0.2">
      <c r="DY2640" s="185" t="s">
        <v>215</v>
      </c>
    </row>
    <row r="2641" spans="129:129" x14ac:dyDescent="0.2">
      <c r="DY2641" s="185" t="s">
        <v>215</v>
      </c>
    </row>
    <row r="2642" spans="129:129" x14ac:dyDescent="0.2">
      <c r="DY2642" s="185" t="s">
        <v>215</v>
      </c>
    </row>
    <row r="2643" spans="129:129" x14ac:dyDescent="0.2">
      <c r="DY2643" s="185" t="s">
        <v>215</v>
      </c>
    </row>
    <row r="2644" spans="129:129" x14ac:dyDescent="0.2">
      <c r="DY2644" s="185" t="s">
        <v>215</v>
      </c>
    </row>
    <row r="2645" spans="129:129" x14ac:dyDescent="0.2">
      <c r="DY2645" s="185" t="s">
        <v>215</v>
      </c>
    </row>
    <row r="2646" spans="129:129" x14ac:dyDescent="0.2">
      <c r="DY2646" s="185" t="s">
        <v>215</v>
      </c>
    </row>
    <row r="2647" spans="129:129" x14ac:dyDescent="0.2">
      <c r="DY2647" s="185" t="s">
        <v>215</v>
      </c>
    </row>
    <row r="2648" spans="129:129" x14ac:dyDescent="0.2">
      <c r="DY2648" s="185" t="s">
        <v>215</v>
      </c>
    </row>
    <row r="2649" spans="129:129" x14ac:dyDescent="0.2">
      <c r="DY2649" s="185" t="s">
        <v>215</v>
      </c>
    </row>
    <row r="2650" spans="129:129" x14ac:dyDescent="0.2">
      <c r="DY2650" s="185" t="s">
        <v>215</v>
      </c>
    </row>
    <row r="2651" spans="129:129" x14ac:dyDescent="0.2">
      <c r="DY2651" s="185" t="s">
        <v>215</v>
      </c>
    </row>
    <row r="2652" spans="129:129" x14ac:dyDescent="0.2">
      <c r="DY2652" s="185" t="s">
        <v>215</v>
      </c>
    </row>
    <row r="2653" spans="129:129" x14ac:dyDescent="0.2">
      <c r="DY2653" s="185" t="s">
        <v>215</v>
      </c>
    </row>
    <row r="2654" spans="129:129" x14ac:dyDescent="0.2">
      <c r="DY2654" s="185" t="s">
        <v>215</v>
      </c>
    </row>
    <row r="2655" spans="129:129" x14ac:dyDescent="0.2">
      <c r="DY2655" s="185" t="s">
        <v>215</v>
      </c>
    </row>
    <row r="2656" spans="129:129" x14ac:dyDescent="0.2">
      <c r="DY2656" s="185" t="s">
        <v>215</v>
      </c>
    </row>
    <row r="2657" spans="129:129" x14ac:dyDescent="0.2">
      <c r="DY2657" s="185" t="s">
        <v>215</v>
      </c>
    </row>
    <row r="2658" spans="129:129" x14ac:dyDescent="0.2">
      <c r="DY2658" s="185" t="s">
        <v>215</v>
      </c>
    </row>
    <row r="2659" spans="129:129" x14ac:dyDescent="0.2">
      <c r="DY2659" s="185" t="s">
        <v>215</v>
      </c>
    </row>
    <row r="2660" spans="129:129" x14ac:dyDescent="0.2">
      <c r="DY2660" s="185" t="s">
        <v>215</v>
      </c>
    </row>
    <row r="2661" spans="129:129" x14ac:dyDescent="0.2">
      <c r="DY2661" s="185" t="s">
        <v>215</v>
      </c>
    </row>
    <row r="2662" spans="129:129" x14ac:dyDescent="0.2">
      <c r="DY2662" s="185" t="s">
        <v>215</v>
      </c>
    </row>
    <row r="2663" spans="129:129" x14ac:dyDescent="0.2">
      <c r="DY2663" s="185" t="s">
        <v>215</v>
      </c>
    </row>
    <row r="2664" spans="129:129" x14ac:dyDescent="0.2">
      <c r="DY2664" s="185" t="s">
        <v>215</v>
      </c>
    </row>
    <row r="2665" spans="129:129" x14ac:dyDescent="0.2">
      <c r="DY2665" s="185" t="s">
        <v>215</v>
      </c>
    </row>
    <row r="2666" spans="129:129" x14ac:dyDescent="0.2">
      <c r="DY2666" s="185" t="s">
        <v>215</v>
      </c>
    </row>
    <row r="2667" spans="129:129" x14ac:dyDescent="0.2">
      <c r="DY2667" s="185" t="s">
        <v>215</v>
      </c>
    </row>
    <row r="2668" spans="129:129" x14ac:dyDescent="0.2">
      <c r="DY2668" s="185" t="s">
        <v>215</v>
      </c>
    </row>
    <row r="2669" spans="129:129" x14ac:dyDescent="0.2">
      <c r="DY2669" s="185" t="s">
        <v>215</v>
      </c>
    </row>
    <row r="2670" spans="129:129" x14ac:dyDescent="0.2">
      <c r="DY2670" s="185" t="s">
        <v>215</v>
      </c>
    </row>
    <row r="2671" spans="129:129" x14ac:dyDescent="0.2">
      <c r="DY2671" s="185" t="s">
        <v>215</v>
      </c>
    </row>
    <row r="2672" spans="129:129" x14ac:dyDescent="0.2">
      <c r="DY2672" s="185" t="s">
        <v>215</v>
      </c>
    </row>
    <row r="2673" spans="129:129" x14ac:dyDescent="0.2">
      <c r="DY2673" s="185" t="s">
        <v>215</v>
      </c>
    </row>
    <row r="2674" spans="129:129" x14ac:dyDescent="0.2">
      <c r="DY2674" s="185" t="s">
        <v>215</v>
      </c>
    </row>
    <row r="2675" spans="129:129" x14ac:dyDescent="0.2">
      <c r="DY2675" s="185" t="s">
        <v>215</v>
      </c>
    </row>
    <row r="2676" spans="129:129" x14ac:dyDescent="0.2">
      <c r="DY2676" s="185" t="s">
        <v>215</v>
      </c>
    </row>
    <row r="2677" spans="129:129" x14ac:dyDescent="0.2">
      <c r="DY2677" s="185" t="s">
        <v>215</v>
      </c>
    </row>
    <row r="2678" spans="129:129" x14ac:dyDescent="0.2">
      <c r="DY2678" s="185" t="s">
        <v>215</v>
      </c>
    </row>
    <row r="2679" spans="129:129" x14ac:dyDescent="0.2">
      <c r="DY2679" s="185" t="s">
        <v>215</v>
      </c>
    </row>
    <row r="2680" spans="129:129" x14ac:dyDescent="0.2">
      <c r="DY2680" s="185" t="s">
        <v>215</v>
      </c>
    </row>
    <row r="2681" spans="129:129" x14ac:dyDescent="0.2">
      <c r="DY2681" s="185" t="s">
        <v>215</v>
      </c>
    </row>
    <row r="2682" spans="129:129" x14ac:dyDescent="0.2">
      <c r="DY2682" s="185" t="s">
        <v>215</v>
      </c>
    </row>
    <row r="2683" spans="129:129" x14ac:dyDescent="0.2">
      <c r="DY2683" s="185" t="s">
        <v>215</v>
      </c>
    </row>
    <row r="2684" spans="129:129" x14ac:dyDescent="0.2">
      <c r="DY2684" s="185" t="s">
        <v>215</v>
      </c>
    </row>
    <row r="2685" spans="129:129" x14ac:dyDescent="0.2">
      <c r="DY2685" s="185" t="s">
        <v>215</v>
      </c>
    </row>
    <row r="2686" spans="129:129" x14ac:dyDescent="0.2">
      <c r="DY2686" s="185" t="s">
        <v>215</v>
      </c>
    </row>
    <row r="2687" spans="129:129" x14ac:dyDescent="0.2">
      <c r="DY2687" s="185" t="s">
        <v>215</v>
      </c>
    </row>
    <row r="2688" spans="129:129" x14ac:dyDescent="0.2">
      <c r="DY2688" s="185" t="s">
        <v>215</v>
      </c>
    </row>
    <row r="2689" spans="129:129" x14ac:dyDescent="0.2">
      <c r="DY2689" s="185" t="s">
        <v>215</v>
      </c>
    </row>
    <row r="2690" spans="129:129" x14ac:dyDescent="0.2">
      <c r="DY2690" s="185" t="s">
        <v>215</v>
      </c>
    </row>
    <row r="2691" spans="129:129" x14ac:dyDescent="0.2">
      <c r="DY2691" s="185" t="s">
        <v>215</v>
      </c>
    </row>
    <row r="2692" spans="129:129" x14ac:dyDescent="0.2">
      <c r="DY2692" s="185" t="s">
        <v>215</v>
      </c>
    </row>
    <row r="2693" spans="129:129" x14ac:dyDescent="0.2">
      <c r="DY2693" s="185" t="s">
        <v>215</v>
      </c>
    </row>
    <row r="2694" spans="129:129" x14ac:dyDescent="0.2">
      <c r="DY2694" s="185" t="s">
        <v>215</v>
      </c>
    </row>
    <row r="2695" spans="129:129" x14ac:dyDescent="0.2">
      <c r="DY2695" s="185" t="s">
        <v>215</v>
      </c>
    </row>
    <row r="2696" spans="129:129" x14ac:dyDescent="0.2">
      <c r="DY2696" s="185" t="s">
        <v>215</v>
      </c>
    </row>
    <row r="2697" spans="129:129" x14ac:dyDescent="0.2">
      <c r="DY2697" s="185" t="s">
        <v>215</v>
      </c>
    </row>
    <row r="2698" spans="129:129" x14ac:dyDescent="0.2">
      <c r="DY2698" s="185" t="s">
        <v>215</v>
      </c>
    </row>
    <row r="2699" spans="129:129" x14ac:dyDescent="0.2">
      <c r="DY2699" s="185" t="s">
        <v>215</v>
      </c>
    </row>
    <row r="2700" spans="129:129" x14ac:dyDescent="0.2">
      <c r="DY2700" s="185" t="s">
        <v>215</v>
      </c>
    </row>
    <row r="2701" spans="129:129" x14ac:dyDescent="0.2">
      <c r="DY2701" s="185" t="s">
        <v>215</v>
      </c>
    </row>
    <row r="2702" spans="129:129" x14ac:dyDescent="0.2">
      <c r="DY2702" s="185" t="s">
        <v>215</v>
      </c>
    </row>
    <row r="2703" spans="129:129" x14ac:dyDescent="0.2">
      <c r="DY2703" s="185" t="s">
        <v>215</v>
      </c>
    </row>
    <row r="2704" spans="129:129" x14ac:dyDescent="0.2">
      <c r="DY2704" s="185" t="s">
        <v>215</v>
      </c>
    </row>
    <row r="2705" spans="129:129" x14ac:dyDescent="0.2">
      <c r="DY2705" s="185" t="s">
        <v>215</v>
      </c>
    </row>
    <row r="2706" spans="129:129" x14ac:dyDescent="0.2">
      <c r="DY2706" s="185" t="s">
        <v>215</v>
      </c>
    </row>
    <row r="2707" spans="129:129" x14ac:dyDescent="0.2">
      <c r="DY2707" s="185" t="s">
        <v>215</v>
      </c>
    </row>
    <row r="2708" spans="129:129" x14ac:dyDescent="0.2">
      <c r="DY2708" s="185" t="s">
        <v>215</v>
      </c>
    </row>
    <row r="2709" spans="129:129" x14ac:dyDescent="0.2">
      <c r="DY2709" s="185" t="s">
        <v>215</v>
      </c>
    </row>
    <row r="2710" spans="129:129" x14ac:dyDescent="0.2">
      <c r="DY2710" s="185" t="s">
        <v>215</v>
      </c>
    </row>
    <row r="2711" spans="129:129" x14ac:dyDescent="0.2">
      <c r="DY2711" s="185" t="s">
        <v>215</v>
      </c>
    </row>
    <row r="2712" spans="129:129" x14ac:dyDescent="0.2">
      <c r="DY2712" s="185" t="s">
        <v>215</v>
      </c>
    </row>
    <row r="2713" spans="129:129" x14ac:dyDescent="0.2">
      <c r="DY2713" s="185" t="s">
        <v>215</v>
      </c>
    </row>
    <row r="2714" spans="129:129" x14ac:dyDescent="0.2">
      <c r="DY2714" s="185" t="s">
        <v>215</v>
      </c>
    </row>
    <row r="2715" spans="129:129" x14ac:dyDescent="0.2">
      <c r="DY2715" s="185" t="s">
        <v>215</v>
      </c>
    </row>
    <row r="2716" spans="129:129" x14ac:dyDescent="0.2">
      <c r="DY2716" s="185" t="s">
        <v>215</v>
      </c>
    </row>
    <row r="2717" spans="129:129" x14ac:dyDescent="0.2">
      <c r="DY2717" s="185" t="s">
        <v>215</v>
      </c>
    </row>
    <row r="2718" spans="129:129" x14ac:dyDescent="0.2">
      <c r="DY2718" s="185" t="s">
        <v>215</v>
      </c>
    </row>
    <row r="2719" spans="129:129" x14ac:dyDescent="0.2">
      <c r="DY2719" s="185" t="s">
        <v>215</v>
      </c>
    </row>
    <row r="2720" spans="129:129" x14ac:dyDescent="0.2">
      <c r="DY2720" s="185" t="s">
        <v>215</v>
      </c>
    </row>
    <row r="2721" spans="129:129" x14ac:dyDescent="0.2">
      <c r="DY2721" s="185" t="s">
        <v>215</v>
      </c>
    </row>
    <row r="2722" spans="129:129" x14ac:dyDescent="0.2">
      <c r="DY2722" s="185" t="s">
        <v>215</v>
      </c>
    </row>
    <row r="2723" spans="129:129" x14ac:dyDescent="0.2">
      <c r="DY2723" s="185" t="s">
        <v>215</v>
      </c>
    </row>
    <row r="2724" spans="129:129" x14ac:dyDescent="0.2">
      <c r="DY2724" s="185" t="s">
        <v>215</v>
      </c>
    </row>
    <row r="2725" spans="129:129" x14ac:dyDescent="0.2">
      <c r="DY2725" s="185" t="s">
        <v>215</v>
      </c>
    </row>
    <row r="2726" spans="129:129" x14ac:dyDescent="0.2">
      <c r="DY2726" s="185" t="s">
        <v>215</v>
      </c>
    </row>
    <row r="2727" spans="129:129" x14ac:dyDescent="0.2">
      <c r="DY2727" s="185" t="s">
        <v>215</v>
      </c>
    </row>
    <row r="2728" spans="129:129" x14ac:dyDescent="0.2">
      <c r="DY2728" s="185" t="s">
        <v>215</v>
      </c>
    </row>
    <row r="2729" spans="129:129" x14ac:dyDescent="0.2">
      <c r="DY2729" s="185" t="s">
        <v>215</v>
      </c>
    </row>
    <row r="2730" spans="129:129" x14ac:dyDescent="0.2">
      <c r="DY2730" s="185" t="s">
        <v>215</v>
      </c>
    </row>
    <row r="2731" spans="129:129" x14ac:dyDescent="0.2">
      <c r="DY2731" s="185" t="s">
        <v>215</v>
      </c>
    </row>
    <row r="2732" spans="129:129" x14ac:dyDescent="0.2">
      <c r="DY2732" s="185" t="s">
        <v>215</v>
      </c>
    </row>
    <row r="2733" spans="129:129" x14ac:dyDescent="0.2">
      <c r="DY2733" s="185" t="s">
        <v>215</v>
      </c>
    </row>
    <row r="2734" spans="129:129" x14ac:dyDescent="0.2">
      <c r="DY2734" s="185" t="s">
        <v>215</v>
      </c>
    </row>
    <row r="2735" spans="129:129" x14ac:dyDescent="0.2">
      <c r="DY2735" s="185" t="s">
        <v>215</v>
      </c>
    </row>
    <row r="2736" spans="129:129" x14ac:dyDescent="0.2">
      <c r="DY2736" s="185" t="s">
        <v>215</v>
      </c>
    </row>
    <row r="2737" spans="129:129" x14ac:dyDescent="0.2">
      <c r="DY2737" s="185" t="s">
        <v>215</v>
      </c>
    </row>
    <row r="2738" spans="129:129" x14ac:dyDescent="0.2">
      <c r="DY2738" s="185" t="s">
        <v>215</v>
      </c>
    </row>
    <row r="2739" spans="129:129" x14ac:dyDescent="0.2">
      <c r="DY2739" s="185" t="s">
        <v>215</v>
      </c>
    </row>
    <row r="2740" spans="129:129" x14ac:dyDescent="0.2">
      <c r="DY2740" s="185" t="s">
        <v>215</v>
      </c>
    </row>
    <row r="2741" spans="129:129" x14ac:dyDescent="0.2">
      <c r="DY2741" s="185" t="s">
        <v>215</v>
      </c>
    </row>
    <row r="2742" spans="129:129" x14ac:dyDescent="0.2">
      <c r="DY2742" s="185" t="s">
        <v>215</v>
      </c>
    </row>
    <row r="2743" spans="129:129" x14ac:dyDescent="0.2">
      <c r="DY2743" s="185" t="s">
        <v>215</v>
      </c>
    </row>
    <row r="2744" spans="129:129" x14ac:dyDescent="0.2">
      <c r="DY2744" s="185" t="s">
        <v>215</v>
      </c>
    </row>
    <row r="2745" spans="129:129" x14ac:dyDescent="0.2">
      <c r="DY2745" s="185" t="s">
        <v>215</v>
      </c>
    </row>
    <row r="2746" spans="129:129" x14ac:dyDescent="0.2">
      <c r="DY2746" s="185" t="s">
        <v>215</v>
      </c>
    </row>
    <row r="2747" spans="129:129" x14ac:dyDescent="0.2">
      <c r="DY2747" s="185" t="s">
        <v>215</v>
      </c>
    </row>
    <row r="2748" spans="129:129" x14ac:dyDescent="0.2">
      <c r="DY2748" s="185" t="s">
        <v>215</v>
      </c>
    </row>
    <row r="2749" spans="129:129" x14ac:dyDescent="0.2">
      <c r="DY2749" s="185" t="s">
        <v>215</v>
      </c>
    </row>
    <row r="2750" spans="129:129" x14ac:dyDescent="0.2">
      <c r="DY2750" s="185" t="s">
        <v>215</v>
      </c>
    </row>
    <row r="2751" spans="129:129" x14ac:dyDescent="0.2">
      <c r="DY2751" s="185" t="s">
        <v>215</v>
      </c>
    </row>
    <row r="2752" spans="129:129" x14ac:dyDescent="0.2">
      <c r="DY2752" s="185" t="s">
        <v>215</v>
      </c>
    </row>
    <row r="2753" spans="129:129" x14ac:dyDescent="0.2">
      <c r="DY2753" s="185" t="s">
        <v>215</v>
      </c>
    </row>
    <row r="2754" spans="129:129" x14ac:dyDescent="0.2">
      <c r="DY2754" s="185" t="s">
        <v>215</v>
      </c>
    </row>
    <row r="2755" spans="129:129" x14ac:dyDescent="0.2">
      <c r="DY2755" s="185" t="s">
        <v>215</v>
      </c>
    </row>
    <row r="2756" spans="129:129" x14ac:dyDescent="0.2">
      <c r="DY2756" s="185" t="s">
        <v>215</v>
      </c>
    </row>
    <row r="2757" spans="129:129" x14ac:dyDescent="0.2">
      <c r="DY2757" s="185" t="s">
        <v>215</v>
      </c>
    </row>
    <row r="2758" spans="129:129" x14ac:dyDescent="0.2">
      <c r="DY2758" s="185" t="s">
        <v>215</v>
      </c>
    </row>
    <row r="2759" spans="129:129" x14ac:dyDescent="0.2">
      <c r="DY2759" s="185" t="s">
        <v>215</v>
      </c>
    </row>
    <row r="2760" spans="129:129" x14ac:dyDescent="0.2">
      <c r="DY2760" s="185" t="s">
        <v>215</v>
      </c>
    </row>
    <row r="2761" spans="129:129" x14ac:dyDescent="0.2">
      <c r="DY2761" s="185" t="s">
        <v>215</v>
      </c>
    </row>
    <row r="2762" spans="129:129" x14ac:dyDescent="0.2">
      <c r="DY2762" s="185" t="s">
        <v>215</v>
      </c>
    </row>
    <row r="2763" spans="129:129" x14ac:dyDescent="0.2">
      <c r="DY2763" s="185" t="s">
        <v>215</v>
      </c>
    </row>
    <row r="2764" spans="129:129" x14ac:dyDescent="0.2">
      <c r="DY2764" s="185" t="s">
        <v>215</v>
      </c>
    </row>
    <row r="2765" spans="129:129" x14ac:dyDescent="0.2">
      <c r="DY2765" s="185" t="s">
        <v>215</v>
      </c>
    </row>
    <row r="2766" spans="129:129" x14ac:dyDescent="0.2">
      <c r="DY2766" s="185" t="s">
        <v>215</v>
      </c>
    </row>
    <row r="2767" spans="129:129" x14ac:dyDescent="0.2">
      <c r="DY2767" s="185" t="s">
        <v>215</v>
      </c>
    </row>
    <row r="2768" spans="129:129" x14ac:dyDescent="0.2">
      <c r="DY2768" s="185" t="s">
        <v>215</v>
      </c>
    </row>
    <row r="2769" spans="129:129" x14ac:dyDescent="0.2">
      <c r="DY2769" s="185" t="s">
        <v>215</v>
      </c>
    </row>
    <row r="2770" spans="129:129" x14ac:dyDescent="0.2">
      <c r="DY2770" s="185" t="s">
        <v>215</v>
      </c>
    </row>
    <row r="2771" spans="129:129" x14ac:dyDescent="0.2">
      <c r="DY2771" s="185" t="s">
        <v>215</v>
      </c>
    </row>
    <row r="2772" spans="129:129" x14ac:dyDescent="0.2">
      <c r="DY2772" s="185" t="s">
        <v>215</v>
      </c>
    </row>
    <row r="2773" spans="129:129" x14ac:dyDescent="0.2">
      <c r="DY2773" s="185" t="s">
        <v>215</v>
      </c>
    </row>
    <row r="2774" spans="129:129" x14ac:dyDescent="0.2">
      <c r="DY2774" s="185" t="s">
        <v>215</v>
      </c>
    </row>
    <row r="2775" spans="129:129" x14ac:dyDescent="0.2">
      <c r="DY2775" s="185" t="s">
        <v>215</v>
      </c>
    </row>
    <row r="2776" spans="129:129" x14ac:dyDescent="0.2">
      <c r="DY2776" s="185" t="s">
        <v>215</v>
      </c>
    </row>
    <row r="2777" spans="129:129" x14ac:dyDescent="0.2">
      <c r="DY2777" s="185" t="s">
        <v>215</v>
      </c>
    </row>
    <row r="2778" spans="129:129" x14ac:dyDescent="0.2">
      <c r="DY2778" s="185" t="s">
        <v>215</v>
      </c>
    </row>
    <row r="2779" spans="129:129" x14ac:dyDescent="0.2">
      <c r="DY2779" s="185" t="s">
        <v>215</v>
      </c>
    </row>
    <row r="2780" spans="129:129" x14ac:dyDescent="0.2">
      <c r="DY2780" s="185" t="s">
        <v>215</v>
      </c>
    </row>
    <row r="2781" spans="129:129" x14ac:dyDescent="0.2">
      <c r="DY2781" s="185" t="s">
        <v>215</v>
      </c>
    </row>
    <row r="2782" spans="129:129" x14ac:dyDescent="0.2">
      <c r="DY2782" s="185" t="s">
        <v>215</v>
      </c>
    </row>
    <row r="2783" spans="129:129" x14ac:dyDescent="0.2">
      <c r="DY2783" s="185" t="s">
        <v>215</v>
      </c>
    </row>
    <row r="2784" spans="129:129" x14ac:dyDescent="0.2">
      <c r="DY2784" s="185" t="s">
        <v>215</v>
      </c>
    </row>
    <row r="2785" spans="129:129" x14ac:dyDescent="0.2">
      <c r="DY2785" s="185" t="s">
        <v>215</v>
      </c>
    </row>
    <row r="2786" spans="129:129" x14ac:dyDescent="0.2">
      <c r="DY2786" s="185" t="s">
        <v>215</v>
      </c>
    </row>
    <row r="2787" spans="129:129" x14ac:dyDescent="0.2">
      <c r="DY2787" s="185" t="s">
        <v>215</v>
      </c>
    </row>
    <row r="2788" spans="129:129" x14ac:dyDescent="0.2">
      <c r="DY2788" s="185" t="s">
        <v>215</v>
      </c>
    </row>
    <row r="2789" spans="129:129" x14ac:dyDescent="0.2">
      <c r="DY2789" s="185" t="s">
        <v>215</v>
      </c>
    </row>
    <row r="2790" spans="129:129" x14ac:dyDescent="0.2">
      <c r="DY2790" s="185" t="s">
        <v>215</v>
      </c>
    </row>
    <row r="2791" spans="129:129" x14ac:dyDescent="0.2">
      <c r="DY2791" s="185" t="s">
        <v>215</v>
      </c>
    </row>
    <row r="2792" spans="129:129" x14ac:dyDescent="0.2">
      <c r="DY2792" s="185" t="s">
        <v>215</v>
      </c>
    </row>
    <row r="2793" spans="129:129" x14ac:dyDescent="0.2">
      <c r="DY2793" s="185" t="s">
        <v>215</v>
      </c>
    </row>
    <row r="2794" spans="129:129" x14ac:dyDescent="0.2">
      <c r="DY2794" s="185" t="s">
        <v>215</v>
      </c>
    </row>
    <row r="2795" spans="129:129" x14ac:dyDescent="0.2">
      <c r="DY2795" s="185" t="s">
        <v>215</v>
      </c>
    </row>
    <row r="2796" spans="129:129" x14ac:dyDescent="0.2">
      <c r="DY2796" s="185" t="s">
        <v>215</v>
      </c>
    </row>
    <row r="2797" spans="129:129" x14ac:dyDescent="0.2">
      <c r="DY2797" s="185" t="s">
        <v>215</v>
      </c>
    </row>
    <row r="2798" spans="129:129" x14ac:dyDescent="0.2">
      <c r="DY2798" s="185" t="s">
        <v>215</v>
      </c>
    </row>
    <row r="2799" spans="129:129" x14ac:dyDescent="0.2">
      <c r="DY2799" s="185" t="s">
        <v>215</v>
      </c>
    </row>
    <row r="2800" spans="129:129" x14ac:dyDescent="0.2">
      <c r="DY2800" s="185" t="s">
        <v>215</v>
      </c>
    </row>
    <row r="2801" spans="129:129" x14ac:dyDescent="0.2">
      <c r="DY2801" s="185" t="s">
        <v>215</v>
      </c>
    </row>
    <row r="2802" spans="129:129" x14ac:dyDescent="0.2">
      <c r="DY2802" s="185" t="s">
        <v>215</v>
      </c>
    </row>
    <row r="2803" spans="129:129" x14ac:dyDescent="0.2">
      <c r="DY2803" s="185" t="s">
        <v>215</v>
      </c>
    </row>
    <row r="2804" spans="129:129" x14ac:dyDescent="0.2">
      <c r="DY2804" s="185" t="s">
        <v>215</v>
      </c>
    </row>
    <row r="2805" spans="129:129" x14ac:dyDescent="0.2">
      <c r="DY2805" s="185" t="s">
        <v>215</v>
      </c>
    </row>
    <row r="2806" spans="129:129" x14ac:dyDescent="0.2">
      <c r="DY2806" s="185" t="s">
        <v>215</v>
      </c>
    </row>
    <row r="2807" spans="129:129" x14ac:dyDescent="0.2">
      <c r="DY2807" s="185" t="s">
        <v>215</v>
      </c>
    </row>
    <row r="2808" spans="129:129" x14ac:dyDescent="0.2">
      <c r="DY2808" s="185" t="s">
        <v>215</v>
      </c>
    </row>
    <row r="2809" spans="129:129" x14ac:dyDescent="0.2">
      <c r="DY2809" s="185" t="s">
        <v>215</v>
      </c>
    </row>
    <row r="2810" spans="129:129" x14ac:dyDescent="0.2">
      <c r="DY2810" s="185" t="s">
        <v>215</v>
      </c>
    </row>
    <row r="2811" spans="129:129" x14ac:dyDescent="0.2">
      <c r="DY2811" s="185" t="s">
        <v>215</v>
      </c>
    </row>
    <row r="2812" spans="129:129" x14ac:dyDescent="0.2">
      <c r="DY2812" s="185" t="s">
        <v>215</v>
      </c>
    </row>
    <row r="2813" spans="129:129" x14ac:dyDescent="0.2">
      <c r="DY2813" s="185" t="s">
        <v>215</v>
      </c>
    </row>
    <row r="2814" spans="129:129" x14ac:dyDescent="0.2">
      <c r="DY2814" s="185" t="s">
        <v>215</v>
      </c>
    </row>
    <row r="2815" spans="129:129" x14ac:dyDescent="0.2">
      <c r="DY2815" s="185" t="s">
        <v>215</v>
      </c>
    </row>
    <row r="2816" spans="129:129" x14ac:dyDescent="0.2">
      <c r="DY2816" s="185" t="s">
        <v>215</v>
      </c>
    </row>
    <row r="2817" spans="129:129" x14ac:dyDescent="0.2">
      <c r="DY2817" s="185" t="s">
        <v>215</v>
      </c>
    </row>
    <row r="2818" spans="129:129" x14ac:dyDescent="0.2">
      <c r="DY2818" s="185" t="s">
        <v>215</v>
      </c>
    </row>
    <row r="2819" spans="129:129" x14ac:dyDescent="0.2">
      <c r="DY2819" s="185" t="s">
        <v>215</v>
      </c>
    </row>
    <row r="2820" spans="129:129" x14ac:dyDescent="0.2">
      <c r="DY2820" s="185" t="s">
        <v>215</v>
      </c>
    </row>
    <row r="2821" spans="129:129" x14ac:dyDescent="0.2">
      <c r="DY2821" s="185" t="s">
        <v>215</v>
      </c>
    </row>
    <row r="2822" spans="129:129" x14ac:dyDescent="0.2">
      <c r="DY2822" s="185" t="s">
        <v>215</v>
      </c>
    </row>
    <row r="2823" spans="129:129" x14ac:dyDescent="0.2">
      <c r="DY2823" s="185" t="s">
        <v>215</v>
      </c>
    </row>
    <row r="2824" spans="129:129" x14ac:dyDescent="0.2">
      <c r="DY2824" s="185" t="s">
        <v>215</v>
      </c>
    </row>
    <row r="2825" spans="129:129" x14ac:dyDescent="0.2">
      <c r="DY2825" s="185" t="s">
        <v>215</v>
      </c>
    </row>
    <row r="2826" spans="129:129" x14ac:dyDescent="0.2">
      <c r="DY2826" s="185" t="s">
        <v>215</v>
      </c>
    </row>
    <row r="2827" spans="129:129" x14ac:dyDescent="0.2">
      <c r="DY2827" s="185" t="s">
        <v>215</v>
      </c>
    </row>
    <row r="2828" spans="129:129" x14ac:dyDescent="0.2">
      <c r="DY2828" s="185" t="s">
        <v>215</v>
      </c>
    </row>
    <row r="2829" spans="129:129" x14ac:dyDescent="0.2">
      <c r="DY2829" s="185" t="s">
        <v>215</v>
      </c>
    </row>
    <row r="2830" spans="129:129" x14ac:dyDescent="0.2">
      <c r="DY2830" s="185" t="s">
        <v>215</v>
      </c>
    </row>
    <row r="2831" spans="129:129" x14ac:dyDescent="0.2">
      <c r="DY2831" s="185" t="s">
        <v>215</v>
      </c>
    </row>
    <row r="2832" spans="129:129" x14ac:dyDescent="0.2">
      <c r="DY2832" s="185" t="s">
        <v>215</v>
      </c>
    </row>
    <row r="2833" spans="129:129" x14ac:dyDescent="0.2">
      <c r="DY2833" s="185" t="s">
        <v>215</v>
      </c>
    </row>
    <row r="2834" spans="129:129" x14ac:dyDescent="0.2">
      <c r="DY2834" s="185" t="s">
        <v>215</v>
      </c>
    </row>
    <row r="2835" spans="129:129" x14ac:dyDescent="0.2">
      <c r="DY2835" s="185" t="s">
        <v>215</v>
      </c>
    </row>
    <row r="2836" spans="129:129" x14ac:dyDescent="0.2">
      <c r="DY2836" s="185" t="s">
        <v>215</v>
      </c>
    </row>
    <row r="2837" spans="129:129" x14ac:dyDescent="0.2">
      <c r="DY2837" s="185" t="s">
        <v>215</v>
      </c>
    </row>
    <row r="2838" spans="129:129" x14ac:dyDescent="0.2">
      <c r="DY2838" s="185" t="s">
        <v>215</v>
      </c>
    </row>
    <row r="2839" spans="129:129" x14ac:dyDescent="0.2">
      <c r="DY2839" s="185" t="s">
        <v>215</v>
      </c>
    </row>
    <row r="2840" spans="129:129" x14ac:dyDescent="0.2">
      <c r="DY2840" s="185" t="s">
        <v>215</v>
      </c>
    </row>
    <row r="2841" spans="129:129" x14ac:dyDescent="0.2">
      <c r="DY2841" s="185" t="s">
        <v>215</v>
      </c>
    </row>
    <row r="2842" spans="129:129" x14ac:dyDescent="0.2">
      <c r="DY2842" s="185" t="s">
        <v>215</v>
      </c>
    </row>
    <row r="2843" spans="129:129" x14ac:dyDescent="0.2">
      <c r="DY2843" s="185" t="s">
        <v>215</v>
      </c>
    </row>
    <row r="2844" spans="129:129" x14ac:dyDescent="0.2">
      <c r="DY2844" s="185" t="s">
        <v>215</v>
      </c>
    </row>
    <row r="2845" spans="129:129" x14ac:dyDescent="0.2">
      <c r="DY2845" s="185" t="s">
        <v>215</v>
      </c>
    </row>
    <row r="2846" spans="129:129" x14ac:dyDescent="0.2">
      <c r="DY2846" s="185" t="s">
        <v>215</v>
      </c>
    </row>
    <row r="2847" spans="129:129" x14ac:dyDescent="0.2">
      <c r="DY2847" s="185" t="s">
        <v>215</v>
      </c>
    </row>
    <row r="2848" spans="129:129" x14ac:dyDescent="0.2">
      <c r="DY2848" s="185" t="s">
        <v>215</v>
      </c>
    </row>
    <row r="2849" spans="129:129" x14ac:dyDescent="0.2">
      <c r="DY2849" s="185" t="s">
        <v>215</v>
      </c>
    </row>
    <row r="2850" spans="129:129" x14ac:dyDescent="0.2">
      <c r="DY2850" s="185" t="s">
        <v>215</v>
      </c>
    </row>
    <row r="2851" spans="129:129" x14ac:dyDescent="0.2">
      <c r="DY2851" s="185" t="s">
        <v>215</v>
      </c>
    </row>
    <row r="2852" spans="129:129" x14ac:dyDescent="0.2">
      <c r="DY2852" s="185" t="s">
        <v>215</v>
      </c>
    </row>
    <row r="2853" spans="129:129" x14ac:dyDescent="0.2">
      <c r="DY2853" s="185" t="s">
        <v>215</v>
      </c>
    </row>
    <row r="2854" spans="129:129" x14ac:dyDescent="0.2">
      <c r="DY2854" s="185" t="s">
        <v>215</v>
      </c>
    </row>
    <row r="2855" spans="129:129" x14ac:dyDescent="0.2">
      <c r="DY2855" s="185" t="s">
        <v>215</v>
      </c>
    </row>
    <row r="2856" spans="129:129" x14ac:dyDescent="0.2">
      <c r="DY2856" s="185" t="s">
        <v>215</v>
      </c>
    </row>
    <row r="2857" spans="129:129" x14ac:dyDescent="0.2">
      <c r="DY2857" s="185" t="s">
        <v>215</v>
      </c>
    </row>
    <row r="2858" spans="129:129" x14ac:dyDescent="0.2">
      <c r="DY2858" s="185" t="s">
        <v>215</v>
      </c>
    </row>
    <row r="2859" spans="129:129" x14ac:dyDescent="0.2">
      <c r="DY2859" s="185" t="s">
        <v>215</v>
      </c>
    </row>
    <row r="2860" spans="129:129" x14ac:dyDescent="0.2">
      <c r="DY2860" s="185" t="s">
        <v>215</v>
      </c>
    </row>
    <row r="2861" spans="129:129" x14ac:dyDescent="0.2">
      <c r="DY2861" s="185" t="s">
        <v>215</v>
      </c>
    </row>
    <row r="2862" spans="129:129" x14ac:dyDescent="0.2">
      <c r="DY2862" s="185" t="s">
        <v>215</v>
      </c>
    </row>
    <row r="2863" spans="129:129" x14ac:dyDescent="0.2">
      <c r="DY2863" s="185" t="s">
        <v>215</v>
      </c>
    </row>
    <row r="2864" spans="129:129" x14ac:dyDescent="0.2">
      <c r="DY2864" s="185" t="s">
        <v>215</v>
      </c>
    </row>
    <row r="2865" spans="129:129" x14ac:dyDescent="0.2">
      <c r="DY2865" s="185" t="s">
        <v>215</v>
      </c>
    </row>
    <row r="2866" spans="129:129" x14ac:dyDescent="0.2">
      <c r="DY2866" s="185" t="s">
        <v>215</v>
      </c>
    </row>
    <row r="2867" spans="129:129" x14ac:dyDescent="0.2">
      <c r="DY2867" s="185" t="s">
        <v>215</v>
      </c>
    </row>
    <row r="2868" spans="129:129" x14ac:dyDescent="0.2">
      <c r="DY2868" s="185" t="s">
        <v>215</v>
      </c>
    </row>
    <row r="2869" spans="129:129" x14ac:dyDescent="0.2">
      <c r="DY2869" s="185" t="s">
        <v>215</v>
      </c>
    </row>
    <row r="2870" spans="129:129" x14ac:dyDescent="0.2">
      <c r="DY2870" s="185" t="s">
        <v>215</v>
      </c>
    </row>
    <row r="2871" spans="129:129" x14ac:dyDescent="0.2">
      <c r="DY2871" s="185" t="s">
        <v>215</v>
      </c>
    </row>
    <row r="2872" spans="129:129" x14ac:dyDescent="0.2">
      <c r="DY2872" s="185" t="s">
        <v>215</v>
      </c>
    </row>
    <row r="2873" spans="129:129" x14ac:dyDescent="0.2">
      <c r="DY2873" s="185" t="s">
        <v>215</v>
      </c>
    </row>
    <row r="2874" spans="129:129" x14ac:dyDescent="0.2">
      <c r="DY2874" s="185" t="s">
        <v>215</v>
      </c>
    </row>
    <row r="2875" spans="129:129" x14ac:dyDescent="0.2">
      <c r="DY2875" s="185" t="s">
        <v>215</v>
      </c>
    </row>
    <row r="2876" spans="129:129" x14ac:dyDescent="0.2">
      <c r="DY2876" s="185" t="s">
        <v>215</v>
      </c>
    </row>
    <row r="2877" spans="129:129" x14ac:dyDescent="0.2">
      <c r="DY2877" s="185" t="s">
        <v>215</v>
      </c>
    </row>
    <row r="2878" spans="129:129" x14ac:dyDescent="0.2">
      <c r="DY2878" s="185" t="s">
        <v>215</v>
      </c>
    </row>
    <row r="2879" spans="129:129" x14ac:dyDescent="0.2">
      <c r="DY2879" s="185" t="s">
        <v>215</v>
      </c>
    </row>
    <row r="2880" spans="129:129" x14ac:dyDescent="0.2">
      <c r="DY2880" s="185" t="s">
        <v>215</v>
      </c>
    </row>
    <row r="2881" spans="129:129" x14ac:dyDescent="0.2">
      <c r="DY2881" s="185" t="s">
        <v>215</v>
      </c>
    </row>
    <row r="2882" spans="129:129" x14ac:dyDescent="0.2">
      <c r="DY2882" s="185" t="s">
        <v>215</v>
      </c>
    </row>
    <row r="2883" spans="129:129" x14ac:dyDescent="0.2">
      <c r="DY2883" s="185" t="s">
        <v>215</v>
      </c>
    </row>
    <row r="2884" spans="129:129" x14ac:dyDescent="0.2">
      <c r="DY2884" s="185" t="s">
        <v>215</v>
      </c>
    </row>
    <row r="2885" spans="129:129" x14ac:dyDescent="0.2">
      <c r="DY2885" s="185" t="s">
        <v>215</v>
      </c>
    </row>
    <row r="2886" spans="129:129" x14ac:dyDescent="0.2">
      <c r="DY2886" s="185" t="s">
        <v>215</v>
      </c>
    </row>
    <row r="2887" spans="129:129" x14ac:dyDescent="0.2">
      <c r="DY2887" s="185" t="s">
        <v>215</v>
      </c>
    </row>
    <row r="2888" spans="129:129" x14ac:dyDescent="0.2">
      <c r="DY2888" s="185" t="s">
        <v>215</v>
      </c>
    </row>
    <row r="2889" spans="129:129" x14ac:dyDescent="0.2">
      <c r="DY2889" s="185" t="s">
        <v>215</v>
      </c>
    </row>
    <row r="2890" spans="129:129" x14ac:dyDescent="0.2">
      <c r="DY2890" s="185" t="s">
        <v>215</v>
      </c>
    </row>
    <row r="2891" spans="129:129" x14ac:dyDescent="0.2">
      <c r="DY2891" s="185" t="s">
        <v>215</v>
      </c>
    </row>
    <row r="2892" spans="129:129" x14ac:dyDescent="0.2">
      <c r="DY2892" s="185" t="s">
        <v>215</v>
      </c>
    </row>
    <row r="2893" spans="129:129" x14ac:dyDescent="0.2">
      <c r="DY2893" s="185" t="s">
        <v>215</v>
      </c>
    </row>
    <row r="2894" spans="129:129" x14ac:dyDescent="0.2">
      <c r="DY2894" s="185" t="s">
        <v>215</v>
      </c>
    </row>
    <row r="2895" spans="129:129" x14ac:dyDescent="0.2">
      <c r="DY2895" s="185" t="s">
        <v>215</v>
      </c>
    </row>
    <row r="2896" spans="129:129" x14ac:dyDescent="0.2">
      <c r="DY2896" s="185" t="s">
        <v>215</v>
      </c>
    </row>
    <row r="2897" spans="129:129" x14ac:dyDescent="0.2">
      <c r="DY2897" s="185" t="s">
        <v>215</v>
      </c>
    </row>
    <row r="2898" spans="129:129" x14ac:dyDescent="0.2">
      <c r="DY2898" s="185" t="s">
        <v>215</v>
      </c>
    </row>
    <row r="2899" spans="129:129" x14ac:dyDescent="0.2">
      <c r="DY2899" s="185" t="s">
        <v>215</v>
      </c>
    </row>
    <row r="2900" spans="129:129" x14ac:dyDescent="0.2">
      <c r="DY2900" s="185" t="s">
        <v>215</v>
      </c>
    </row>
    <row r="2901" spans="129:129" x14ac:dyDescent="0.2">
      <c r="DY2901" s="185" t="s">
        <v>215</v>
      </c>
    </row>
    <row r="2902" spans="129:129" x14ac:dyDescent="0.2">
      <c r="DY2902" s="185" t="s">
        <v>215</v>
      </c>
    </row>
    <row r="2903" spans="129:129" x14ac:dyDescent="0.2">
      <c r="DY2903" s="185" t="s">
        <v>215</v>
      </c>
    </row>
    <row r="2904" spans="129:129" x14ac:dyDescent="0.2">
      <c r="DY2904" s="185" t="s">
        <v>215</v>
      </c>
    </row>
    <row r="2905" spans="129:129" x14ac:dyDescent="0.2">
      <c r="DY2905" s="185" t="s">
        <v>215</v>
      </c>
    </row>
    <row r="2906" spans="129:129" x14ac:dyDescent="0.2">
      <c r="DY2906" s="185" t="s">
        <v>215</v>
      </c>
    </row>
    <row r="2907" spans="129:129" x14ac:dyDescent="0.2">
      <c r="DY2907" s="185" t="s">
        <v>215</v>
      </c>
    </row>
    <row r="2908" spans="129:129" x14ac:dyDescent="0.2">
      <c r="DY2908" s="185" t="s">
        <v>215</v>
      </c>
    </row>
    <row r="2909" spans="129:129" x14ac:dyDescent="0.2">
      <c r="DY2909" s="185" t="s">
        <v>215</v>
      </c>
    </row>
    <row r="2910" spans="129:129" x14ac:dyDescent="0.2">
      <c r="DY2910" s="185" t="s">
        <v>215</v>
      </c>
    </row>
    <row r="2911" spans="129:129" x14ac:dyDescent="0.2">
      <c r="DY2911" s="185" t="s">
        <v>215</v>
      </c>
    </row>
    <row r="2912" spans="129:129" x14ac:dyDescent="0.2">
      <c r="DY2912" s="185" t="s">
        <v>215</v>
      </c>
    </row>
    <row r="2913" spans="129:129" x14ac:dyDescent="0.2">
      <c r="DY2913" s="185" t="s">
        <v>215</v>
      </c>
    </row>
    <row r="2914" spans="129:129" x14ac:dyDescent="0.2">
      <c r="DY2914" s="185" t="s">
        <v>215</v>
      </c>
    </row>
    <row r="2915" spans="129:129" x14ac:dyDescent="0.2">
      <c r="DY2915" s="185" t="s">
        <v>215</v>
      </c>
    </row>
    <row r="2916" spans="129:129" x14ac:dyDescent="0.2">
      <c r="DY2916" s="185" t="s">
        <v>215</v>
      </c>
    </row>
    <row r="2917" spans="129:129" x14ac:dyDescent="0.2">
      <c r="DY2917" s="185" t="s">
        <v>215</v>
      </c>
    </row>
    <row r="2918" spans="129:129" x14ac:dyDescent="0.2">
      <c r="DY2918" s="185" t="s">
        <v>215</v>
      </c>
    </row>
    <row r="2919" spans="129:129" x14ac:dyDescent="0.2">
      <c r="DY2919" s="185" t="s">
        <v>215</v>
      </c>
    </row>
    <row r="2920" spans="129:129" x14ac:dyDescent="0.2">
      <c r="DY2920" s="185" t="s">
        <v>215</v>
      </c>
    </row>
    <row r="2921" spans="129:129" x14ac:dyDescent="0.2">
      <c r="DY2921" s="185" t="s">
        <v>215</v>
      </c>
    </row>
    <row r="2922" spans="129:129" x14ac:dyDescent="0.2">
      <c r="DY2922" s="185" t="s">
        <v>215</v>
      </c>
    </row>
    <row r="2923" spans="129:129" x14ac:dyDescent="0.2">
      <c r="DY2923" s="185" t="s">
        <v>215</v>
      </c>
    </row>
    <row r="2924" spans="129:129" x14ac:dyDescent="0.2">
      <c r="DY2924" s="185" t="s">
        <v>215</v>
      </c>
    </row>
    <row r="2925" spans="129:129" x14ac:dyDescent="0.2">
      <c r="DY2925" s="185" t="s">
        <v>215</v>
      </c>
    </row>
    <row r="2926" spans="129:129" x14ac:dyDescent="0.2">
      <c r="DY2926" s="185" t="s">
        <v>215</v>
      </c>
    </row>
    <row r="2927" spans="129:129" x14ac:dyDescent="0.2">
      <c r="DY2927" s="185" t="s">
        <v>215</v>
      </c>
    </row>
    <row r="2928" spans="129:129" x14ac:dyDescent="0.2">
      <c r="DY2928" s="185" t="s">
        <v>215</v>
      </c>
    </row>
    <row r="2929" spans="129:129" x14ac:dyDescent="0.2">
      <c r="DY2929" s="185" t="s">
        <v>215</v>
      </c>
    </row>
    <row r="2930" spans="129:129" x14ac:dyDescent="0.2">
      <c r="DY2930" s="185" t="s">
        <v>215</v>
      </c>
    </row>
    <row r="2931" spans="129:129" x14ac:dyDescent="0.2">
      <c r="DY2931" s="185" t="s">
        <v>215</v>
      </c>
    </row>
    <row r="2932" spans="129:129" x14ac:dyDescent="0.2">
      <c r="DY2932" s="185" t="s">
        <v>215</v>
      </c>
    </row>
    <row r="2933" spans="129:129" x14ac:dyDescent="0.2">
      <c r="DY2933" s="185" t="s">
        <v>215</v>
      </c>
    </row>
    <row r="2934" spans="129:129" x14ac:dyDescent="0.2">
      <c r="DY2934" s="185" t="s">
        <v>215</v>
      </c>
    </row>
    <row r="2935" spans="129:129" x14ac:dyDescent="0.2">
      <c r="DY2935" s="185" t="s">
        <v>215</v>
      </c>
    </row>
    <row r="2936" spans="129:129" x14ac:dyDescent="0.2">
      <c r="DY2936" s="185" t="s">
        <v>215</v>
      </c>
    </row>
    <row r="2937" spans="129:129" x14ac:dyDescent="0.2">
      <c r="DY2937" s="185" t="s">
        <v>215</v>
      </c>
    </row>
    <row r="2938" spans="129:129" x14ac:dyDescent="0.2">
      <c r="DY2938" s="185" t="s">
        <v>215</v>
      </c>
    </row>
    <row r="2939" spans="129:129" x14ac:dyDescent="0.2">
      <c r="DY2939" s="185" t="s">
        <v>215</v>
      </c>
    </row>
    <row r="2940" spans="129:129" x14ac:dyDescent="0.2">
      <c r="DY2940" s="185" t="s">
        <v>215</v>
      </c>
    </row>
    <row r="2941" spans="129:129" x14ac:dyDescent="0.2">
      <c r="DY2941" s="185" t="s">
        <v>215</v>
      </c>
    </row>
    <row r="2942" spans="129:129" x14ac:dyDescent="0.2">
      <c r="DY2942" s="185" t="s">
        <v>215</v>
      </c>
    </row>
    <row r="2943" spans="129:129" x14ac:dyDescent="0.2">
      <c r="DY2943" s="185" t="s">
        <v>215</v>
      </c>
    </row>
    <row r="2944" spans="129:129" x14ac:dyDescent="0.2">
      <c r="DY2944" s="185" t="s">
        <v>215</v>
      </c>
    </row>
    <row r="2945" spans="129:129" x14ac:dyDescent="0.2">
      <c r="DY2945" s="185" t="s">
        <v>215</v>
      </c>
    </row>
    <row r="2946" spans="129:129" x14ac:dyDescent="0.2">
      <c r="DY2946" s="185" t="s">
        <v>215</v>
      </c>
    </row>
    <row r="2947" spans="129:129" x14ac:dyDescent="0.2">
      <c r="DY2947" s="185" t="s">
        <v>215</v>
      </c>
    </row>
    <row r="2948" spans="129:129" x14ac:dyDescent="0.2">
      <c r="DY2948" s="185" t="s">
        <v>215</v>
      </c>
    </row>
    <row r="2949" spans="129:129" x14ac:dyDescent="0.2">
      <c r="DY2949" s="185" t="s">
        <v>215</v>
      </c>
    </row>
    <row r="2950" spans="129:129" x14ac:dyDescent="0.2">
      <c r="DY2950" s="185" t="s">
        <v>215</v>
      </c>
    </row>
    <row r="2951" spans="129:129" x14ac:dyDescent="0.2">
      <c r="DY2951" s="185" t="s">
        <v>215</v>
      </c>
    </row>
    <row r="2952" spans="129:129" x14ac:dyDescent="0.2">
      <c r="DY2952" s="185" t="s">
        <v>215</v>
      </c>
    </row>
    <row r="2953" spans="129:129" x14ac:dyDescent="0.2">
      <c r="DY2953" s="185" t="s">
        <v>215</v>
      </c>
    </row>
    <row r="2954" spans="129:129" x14ac:dyDescent="0.2">
      <c r="DY2954" s="185" t="s">
        <v>215</v>
      </c>
    </row>
    <row r="2955" spans="129:129" x14ac:dyDescent="0.2">
      <c r="DY2955" s="185" t="s">
        <v>215</v>
      </c>
    </row>
    <row r="2956" spans="129:129" x14ac:dyDescent="0.2">
      <c r="DY2956" s="185" t="s">
        <v>215</v>
      </c>
    </row>
    <row r="2957" spans="129:129" x14ac:dyDescent="0.2">
      <c r="DY2957" s="185" t="s">
        <v>215</v>
      </c>
    </row>
    <row r="2958" spans="129:129" x14ac:dyDescent="0.2">
      <c r="DY2958" s="185" t="s">
        <v>215</v>
      </c>
    </row>
    <row r="2959" spans="129:129" x14ac:dyDescent="0.2">
      <c r="DY2959" s="185" t="s">
        <v>215</v>
      </c>
    </row>
    <row r="2960" spans="129:129" x14ac:dyDescent="0.2">
      <c r="DY2960" s="185" t="s">
        <v>215</v>
      </c>
    </row>
    <row r="2961" spans="129:129" x14ac:dyDescent="0.2">
      <c r="DY2961" s="185" t="s">
        <v>215</v>
      </c>
    </row>
    <row r="2962" spans="129:129" x14ac:dyDescent="0.2">
      <c r="DY2962" s="185" t="s">
        <v>215</v>
      </c>
    </row>
    <row r="2963" spans="129:129" x14ac:dyDescent="0.2">
      <c r="DY2963" s="185" t="s">
        <v>215</v>
      </c>
    </row>
    <row r="2964" spans="129:129" x14ac:dyDescent="0.2">
      <c r="DY2964" s="185" t="s">
        <v>215</v>
      </c>
    </row>
    <row r="2965" spans="129:129" x14ac:dyDescent="0.2">
      <c r="DY2965" s="185" t="s">
        <v>215</v>
      </c>
    </row>
    <row r="2966" spans="129:129" x14ac:dyDescent="0.2">
      <c r="DY2966" s="185" t="s">
        <v>215</v>
      </c>
    </row>
    <row r="2967" spans="129:129" x14ac:dyDescent="0.2">
      <c r="DY2967" s="185" t="s">
        <v>215</v>
      </c>
    </row>
    <row r="2968" spans="129:129" x14ac:dyDescent="0.2">
      <c r="DY2968" s="185" t="s">
        <v>215</v>
      </c>
    </row>
    <row r="2969" spans="129:129" x14ac:dyDescent="0.2">
      <c r="DY2969" s="185" t="s">
        <v>215</v>
      </c>
    </row>
    <row r="2970" spans="129:129" x14ac:dyDescent="0.2">
      <c r="DY2970" s="185" t="s">
        <v>215</v>
      </c>
    </row>
    <row r="2971" spans="129:129" x14ac:dyDescent="0.2">
      <c r="DY2971" s="185" t="s">
        <v>215</v>
      </c>
    </row>
    <row r="2972" spans="129:129" x14ac:dyDescent="0.2">
      <c r="DY2972" s="185" t="s">
        <v>215</v>
      </c>
    </row>
    <row r="2973" spans="129:129" x14ac:dyDescent="0.2">
      <c r="DY2973" s="185" t="s">
        <v>215</v>
      </c>
    </row>
    <row r="2974" spans="129:129" x14ac:dyDescent="0.2">
      <c r="DY2974" s="185" t="s">
        <v>215</v>
      </c>
    </row>
    <row r="2975" spans="129:129" x14ac:dyDescent="0.2">
      <c r="DY2975" s="185" t="s">
        <v>215</v>
      </c>
    </row>
    <row r="2976" spans="129:129" x14ac:dyDescent="0.2">
      <c r="DY2976" s="185" t="s">
        <v>215</v>
      </c>
    </row>
    <row r="2977" spans="129:129" x14ac:dyDescent="0.2">
      <c r="DY2977" s="185" t="s">
        <v>215</v>
      </c>
    </row>
    <row r="2978" spans="129:129" x14ac:dyDescent="0.2">
      <c r="DY2978" s="185" t="s">
        <v>215</v>
      </c>
    </row>
    <row r="2979" spans="129:129" x14ac:dyDescent="0.2">
      <c r="DY2979" s="185" t="s">
        <v>215</v>
      </c>
    </row>
    <row r="2980" spans="129:129" x14ac:dyDescent="0.2">
      <c r="DY2980" s="185" t="s">
        <v>215</v>
      </c>
    </row>
    <row r="2981" spans="129:129" x14ac:dyDescent="0.2">
      <c r="DY2981" s="185" t="s">
        <v>215</v>
      </c>
    </row>
    <row r="2982" spans="129:129" x14ac:dyDescent="0.2">
      <c r="DY2982" s="185" t="s">
        <v>215</v>
      </c>
    </row>
    <row r="2983" spans="129:129" x14ac:dyDescent="0.2">
      <c r="DY2983" s="185" t="s">
        <v>215</v>
      </c>
    </row>
    <row r="2984" spans="129:129" x14ac:dyDescent="0.2">
      <c r="DY2984" s="185" t="s">
        <v>215</v>
      </c>
    </row>
    <row r="2985" spans="129:129" x14ac:dyDescent="0.2">
      <c r="DY2985" s="185" t="s">
        <v>215</v>
      </c>
    </row>
    <row r="2986" spans="129:129" x14ac:dyDescent="0.2">
      <c r="DY2986" s="185" t="s">
        <v>215</v>
      </c>
    </row>
    <row r="2987" spans="129:129" x14ac:dyDescent="0.2">
      <c r="DY2987" s="185" t="s">
        <v>215</v>
      </c>
    </row>
    <row r="2988" spans="129:129" x14ac:dyDescent="0.2">
      <c r="DY2988" s="185" t="s">
        <v>215</v>
      </c>
    </row>
    <row r="2989" spans="129:129" x14ac:dyDescent="0.2">
      <c r="DY2989" s="185" t="s">
        <v>215</v>
      </c>
    </row>
    <row r="2990" spans="129:129" x14ac:dyDescent="0.2">
      <c r="DY2990" s="185" t="s">
        <v>215</v>
      </c>
    </row>
    <row r="2991" spans="129:129" x14ac:dyDescent="0.2">
      <c r="DY2991" s="185" t="s">
        <v>215</v>
      </c>
    </row>
    <row r="2992" spans="129:129" x14ac:dyDescent="0.2">
      <c r="DY2992" s="185" t="s">
        <v>215</v>
      </c>
    </row>
    <row r="2993" spans="129:129" x14ac:dyDescent="0.2">
      <c r="DY2993" s="185" t="s">
        <v>215</v>
      </c>
    </row>
    <row r="2994" spans="129:129" x14ac:dyDescent="0.2">
      <c r="DY2994" s="185" t="s">
        <v>215</v>
      </c>
    </row>
    <row r="2995" spans="129:129" x14ac:dyDescent="0.2">
      <c r="DY2995" s="185" t="s">
        <v>215</v>
      </c>
    </row>
    <row r="2996" spans="129:129" x14ac:dyDescent="0.2">
      <c r="DY2996" s="185" t="s">
        <v>215</v>
      </c>
    </row>
    <row r="2997" spans="129:129" x14ac:dyDescent="0.2">
      <c r="DY2997" s="185" t="s">
        <v>215</v>
      </c>
    </row>
    <row r="2998" spans="129:129" x14ac:dyDescent="0.2">
      <c r="DY2998" s="185" t="s">
        <v>215</v>
      </c>
    </row>
    <row r="2999" spans="129:129" x14ac:dyDescent="0.2">
      <c r="DY2999" s="185" t="s">
        <v>215</v>
      </c>
    </row>
    <row r="3000" spans="129:129" x14ac:dyDescent="0.2">
      <c r="DY3000" s="185" t="s">
        <v>215</v>
      </c>
    </row>
    <row r="3001" spans="129:129" x14ac:dyDescent="0.2">
      <c r="DY3001" s="185" t="s">
        <v>215</v>
      </c>
    </row>
    <row r="3002" spans="129:129" x14ac:dyDescent="0.2">
      <c r="DY3002" s="185" t="s">
        <v>215</v>
      </c>
    </row>
    <row r="3003" spans="129:129" x14ac:dyDescent="0.2">
      <c r="DY3003" s="185" t="s">
        <v>215</v>
      </c>
    </row>
    <row r="3004" spans="129:129" x14ac:dyDescent="0.2">
      <c r="DY3004" s="185" t="s">
        <v>215</v>
      </c>
    </row>
    <row r="3005" spans="129:129" x14ac:dyDescent="0.2">
      <c r="DY3005" s="185" t="s">
        <v>215</v>
      </c>
    </row>
    <row r="3006" spans="129:129" x14ac:dyDescent="0.2">
      <c r="DY3006" s="185" t="s">
        <v>215</v>
      </c>
    </row>
    <row r="3007" spans="129:129" x14ac:dyDescent="0.2">
      <c r="DY3007" s="185" t="s">
        <v>215</v>
      </c>
    </row>
    <row r="3008" spans="129:129" x14ac:dyDescent="0.2">
      <c r="DY3008" s="185" t="s">
        <v>215</v>
      </c>
    </row>
    <row r="3009" spans="129:129" x14ac:dyDescent="0.2">
      <c r="DY3009" s="185" t="s">
        <v>215</v>
      </c>
    </row>
    <row r="3010" spans="129:129" x14ac:dyDescent="0.2">
      <c r="DY3010" s="185" t="s">
        <v>215</v>
      </c>
    </row>
    <row r="3011" spans="129:129" x14ac:dyDescent="0.2">
      <c r="DY3011" s="185" t="s">
        <v>215</v>
      </c>
    </row>
    <row r="3012" spans="129:129" x14ac:dyDescent="0.2">
      <c r="DY3012" s="185" t="s">
        <v>215</v>
      </c>
    </row>
    <row r="3013" spans="129:129" x14ac:dyDescent="0.2">
      <c r="DY3013" s="185" t="s">
        <v>215</v>
      </c>
    </row>
    <row r="3014" spans="129:129" x14ac:dyDescent="0.2">
      <c r="DY3014" s="185" t="s">
        <v>215</v>
      </c>
    </row>
    <row r="3015" spans="129:129" x14ac:dyDescent="0.2">
      <c r="DY3015" s="185" t="s">
        <v>215</v>
      </c>
    </row>
    <row r="3016" spans="129:129" x14ac:dyDescent="0.2">
      <c r="DY3016" s="185" t="s">
        <v>215</v>
      </c>
    </row>
    <row r="3017" spans="129:129" x14ac:dyDescent="0.2">
      <c r="DY3017" s="185" t="s">
        <v>215</v>
      </c>
    </row>
    <row r="3018" spans="129:129" x14ac:dyDescent="0.2">
      <c r="DY3018" s="185" t="s">
        <v>215</v>
      </c>
    </row>
    <row r="3019" spans="129:129" x14ac:dyDescent="0.2">
      <c r="DY3019" s="185" t="s">
        <v>215</v>
      </c>
    </row>
    <row r="3020" spans="129:129" x14ac:dyDescent="0.2">
      <c r="DY3020" s="185" t="s">
        <v>215</v>
      </c>
    </row>
    <row r="3021" spans="129:129" x14ac:dyDescent="0.2">
      <c r="DY3021" s="185" t="s">
        <v>215</v>
      </c>
    </row>
    <row r="3022" spans="129:129" x14ac:dyDescent="0.2">
      <c r="DY3022" s="185" t="s">
        <v>215</v>
      </c>
    </row>
    <row r="3023" spans="129:129" x14ac:dyDescent="0.2">
      <c r="DY3023" s="185" t="s">
        <v>215</v>
      </c>
    </row>
    <row r="3024" spans="129:129" x14ac:dyDescent="0.2">
      <c r="DY3024" s="185" t="s">
        <v>215</v>
      </c>
    </row>
    <row r="3025" spans="129:129" x14ac:dyDescent="0.2">
      <c r="DY3025" s="185" t="s">
        <v>215</v>
      </c>
    </row>
    <row r="3026" spans="129:129" x14ac:dyDescent="0.2">
      <c r="DY3026" s="185" t="s">
        <v>215</v>
      </c>
    </row>
    <row r="3027" spans="129:129" x14ac:dyDescent="0.2">
      <c r="DY3027" s="185" t="s">
        <v>215</v>
      </c>
    </row>
    <row r="3028" spans="129:129" x14ac:dyDescent="0.2">
      <c r="DY3028" s="185" t="s">
        <v>215</v>
      </c>
    </row>
    <row r="3029" spans="129:129" x14ac:dyDescent="0.2">
      <c r="DY3029" s="185" t="s">
        <v>215</v>
      </c>
    </row>
    <row r="3030" spans="129:129" x14ac:dyDescent="0.2">
      <c r="DY3030" s="185" t="s">
        <v>215</v>
      </c>
    </row>
    <row r="3031" spans="129:129" x14ac:dyDescent="0.2">
      <c r="DY3031" s="185" t="s">
        <v>215</v>
      </c>
    </row>
    <row r="3032" spans="129:129" x14ac:dyDescent="0.2">
      <c r="DY3032" s="185" t="s">
        <v>215</v>
      </c>
    </row>
    <row r="3033" spans="129:129" x14ac:dyDescent="0.2">
      <c r="DY3033" s="185" t="s">
        <v>215</v>
      </c>
    </row>
    <row r="3034" spans="129:129" x14ac:dyDescent="0.2">
      <c r="DY3034" s="185" t="s">
        <v>215</v>
      </c>
    </row>
    <row r="3035" spans="129:129" x14ac:dyDescent="0.2">
      <c r="DY3035" s="185" t="s">
        <v>215</v>
      </c>
    </row>
    <row r="3036" spans="129:129" x14ac:dyDescent="0.2">
      <c r="DY3036" s="185" t="s">
        <v>215</v>
      </c>
    </row>
    <row r="3037" spans="129:129" x14ac:dyDescent="0.2">
      <c r="DY3037" s="185" t="s">
        <v>215</v>
      </c>
    </row>
    <row r="3038" spans="129:129" x14ac:dyDescent="0.2">
      <c r="DY3038" s="185" t="s">
        <v>215</v>
      </c>
    </row>
    <row r="3039" spans="129:129" x14ac:dyDescent="0.2">
      <c r="DY3039" s="185" t="s">
        <v>215</v>
      </c>
    </row>
    <row r="3040" spans="129:129" x14ac:dyDescent="0.2">
      <c r="DY3040" s="185" t="s">
        <v>215</v>
      </c>
    </row>
    <row r="3041" spans="129:129" x14ac:dyDescent="0.2">
      <c r="DY3041" s="185" t="s">
        <v>215</v>
      </c>
    </row>
    <row r="3042" spans="129:129" x14ac:dyDescent="0.2">
      <c r="DY3042" s="185" t="s">
        <v>215</v>
      </c>
    </row>
    <row r="3043" spans="129:129" x14ac:dyDescent="0.2">
      <c r="DY3043" s="185" t="s">
        <v>215</v>
      </c>
    </row>
    <row r="3044" spans="129:129" x14ac:dyDescent="0.2">
      <c r="DY3044" s="185" t="s">
        <v>215</v>
      </c>
    </row>
    <row r="3045" spans="129:129" x14ac:dyDescent="0.2">
      <c r="DY3045" s="185" t="s">
        <v>215</v>
      </c>
    </row>
    <row r="3046" spans="129:129" x14ac:dyDescent="0.2">
      <c r="DY3046" s="185" t="s">
        <v>215</v>
      </c>
    </row>
    <row r="3047" spans="129:129" x14ac:dyDescent="0.2">
      <c r="DY3047" s="185" t="s">
        <v>215</v>
      </c>
    </row>
    <row r="3048" spans="129:129" x14ac:dyDescent="0.2">
      <c r="DY3048" s="185" t="s">
        <v>215</v>
      </c>
    </row>
    <row r="3049" spans="129:129" x14ac:dyDescent="0.2">
      <c r="DY3049" s="185" t="s">
        <v>215</v>
      </c>
    </row>
    <row r="3050" spans="129:129" x14ac:dyDescent="0.2">
      <c r="DY3050" s="185" t="s">
        <v>215</v>
      </c>
    </row>
    <row r="3051" spans="129:129" x14ac:dyDescent="0.2">
      <c r="DY3051" s="185" t="s">
        <v>215</v>
      </c>
    </row>
    <row r="3052" spans="129:129" x14ac:dyDescent="0.2">
      <c r="DY3052" s="185" t="s">
        <v>215</v>
      </c>
    </row>
    <row r="3053" spans="129:129" x14ac:dyDescent="0.2">
      <c r="DY3053" s="185" t="s">
        <v>215</v>
      </c>
    </row>
    <row r="3054" spans="129:129" x14ac:dyDescent="0.2">
      <c r="DY3054" s="185" t="s">
        <v>215</v>
      </c>
    </row>
    <row r="3055" spans="129:129" x14ac:dyDescent="0.2">
      <c r="DY3055" s="185" t="s">
        <v>215</v>
      </c>
    </row>
    <row r="3056" spans="129:129" x14ac:dyDescent="0.2">
      <c r="DY3056" s="185" t="s">
        <v>215</v>
      </c>
    </row>
    <row r="3057" spans="129:129" x14ac:dyDescent="0.2">
      <c r="DY3057" s="185" t="s">
        <v>215</v>
      </c>
    </row>
    <row r="3058" spans="129:129" x14ac:dyDescent="0.2">
      <c r="DY3058" s="185" t="s">
        <v>215</v>
      </c>
    </row>
    <row r="3059" spans="129:129" x14ac:dyDescent="0.2">
      <c r="DY3059" s="185" t="s">
        <v>215</v>
      </c>
    </row>
    <row r="3060" spans="129:129" x14ac:dyDescent="0.2">
      <c r="DY3060" s="185" t="s">
        <v>215</v>
      </c>
    </row>
    <row r="3061" spans="129:129" x14ac:dyDescent="0.2">
      <c r="DY3061" s="185" t="s">
        <v>215</v>
      </c>
    </row>
    <row r="3062" spans="129:129" x14ac:dyDescent="0.2">
      <c r="DY3062" s="185" t="s">
        <v>215</v>
      </c>
    </row>
    <row r="3063" spans="129:129" x14ac:dyDescent="0.2">
      <c r="DY3063" s="185" t="s">
        <v>215</v>
      </c>
    </row>
    <row r="3064" spans="129:129" x14ac:dyDescent="0.2">
      <c r="DY3064" s="185" t="s">
        <v>215</v>
      </c>
    </row>
    <row r="3065" spans="129:129" x14ac:dyDescent="0.2">
      <c r="DY3065" s="185" t="s">
        <v>215</v>
      </c>
    </row>
    <row r="3066" spans="129:129" x14ac:dyDescent="0.2">
      <c r="DY3066" s="185" t="s">
        <v>215</v>
      </c>
    </row>
    <row r="3067" spans="129:129" x14ac:dyDescent="0.2">
      <c r="DY3067" s="185" t="s">
        <v>215</v>
      </c>
    </row>
    <row r="3068" spans="129:129" x14ac:dyDescent="0.2">
      <c r="DY3068" s="185" t="s">
        <v>215</v>
      </c>
    </row>
    <row r="3069" spans="129:129" x14ac:dyDescent="0.2">
      <c r="DY3069" s="185" t="s">
        <v>215</v>
      </c>
    </row>
    <row r="3070" spans="129:129" x14ac:dyDescent="0.2">
      <c r="DY3070" s="185" t="s">
        <v>215</v>
      </c>
    </row>
    <row r="3071" spans="129:129" x14ac:dyDescent="0.2">
      <c r="DY3071" s="185" t="s">
        <v>215</v>
      </c>
    </row>
    <row r="3072" spans="129:129" x14ac:dyDescent="0.2">
      <c r="DY3072" s="185" t="s">
        <v>215</v>
      </c>
    </row>
    <row r="3073" spans="129:129" x14ac:dyDescent="0.2">
      <c r="DY3073" s="185" t="s">
        <v>215</v>
      </c>
    </row>
    <row r="3074" spans="129:129" x14ac:dyDescent="0.2">
      <c r="DY3074" s="185" t="s">
        <v>215</v>
      </c>
    </row>
    <row r="3075" spans="129:129" x14ac:dyDescent="0.2">
      <c r="DY3075" s="185" t="s">
        <v>215</v>
      </c>
    </row>
    <row r="3076" spans="129:129" x14ac:dyDescent="0.2">
      <c r="DY3076" s="185" t="s">
        <v>215</v>
      </c>
    </row>
    <row r="3077" spans="129:129" x14ac:dyDescent="0.2">
      <c r="DY3077" s="185" t="s">
        <v>215</v>
      </c>
    </row>
    <row r="3078" spans="129:129" x14ac:dyDescent="0.2">
      <c r="DY3078" s="185" t="s">
        <v>215</v>
      </c>
    </row>
    <row r="3079" spans="129:129" x14ac:dyDescent="0.2">
      <c r="DY3079" s="185" t="s">
        <v>215</v>
      </c>
    </row>
    <row r="3080" spans="129:129" x14ac:dyDescent="0.2">
      <c r="DY3080" s="185" t="s">
        <v>215</v>
      </c>
    </row>
    <row r="3081" spans="129:129" x14ac:dyDescent="0.2">
      <c r="DY3081" s="185" t="s">
        <v>215</v>
      </c>
    </row>
    <row r="3082" spans="129:129" x14ac:dyDescent="0.2">
      <c r="DY3082" s="185" t="s">
        <v>215</v>
      </c>
    </row>
    <row r="3083" spans="129:129" x14ac:dyDescent="0.2">
      <c r="DY3083" s="185" t="s">
        <v>215</v>
      </c>
    </row>
    <row r="3084" spans="129:129" x14ac:dyDescent="0.2">
      <c r="DY3084" s="185" t="s">
        <v>215</v>
      </c>
    </row>
    <row r="3085" spans="129:129" x14ac:dyDescent="0.2">
      <c r="DY3085" s="185" t="s">
        <v>215</v>
      </c>
    </row>
    <row r="3086" spans="129:129" x14ac:dyDescent="0.2">
      <c r="DY3086" s="185" t="s">
        <v>215</v>
      </c>
    </row>
    <row r="3087" spans="129:129" x14ac:dyDescent="0.2">
      <c r="DY3087" s="185" t="s">
        <v>215</v>
      </c>
    </row>
    <row r="3088" spans="129:129" x14ac:dyDescent="0.2">
      <c r="DY3088" s="185" t="s">
        <v>215</v>
      </c>
    </row>
    <row r="3089" spans="129:129" x14ac:dyDescent="0.2">
      <c r="DY3089" s="185" t="s">
        <v>215</v>
      </c>
    </row>
    <row r="3090" spans="129:129" x14ac:dyDescent="0.2">
      <c r="DY3090" s="185" t="s">
        <v>215</v>
      </c>
    </row>
    <row r="3091" spans="129:129" x14ac:dyDescent="0.2">
      <c r="DY3091" s="185" t="s">
        <v>215</v>
      </c>
    </row>
    <row r="3092" spans="129:129" x14ac:dyDescent="0.2">
      <c r="DY3092" s="185" t="s">
        <v>215</v>
      </c>
    </row>
    <row r="3093" spans="129:129" x14ac:dyDescent="0.2">
      <c r="DY3093" s="185" t="s">
        <v>215</v>
      </c>
    </row>
    <row r="3094" spans="129:129" x14ac:dyDescent="0.2">
      <c r="DY3094" s="185" t="s">
        <v>215</v>
      </c>
    </row>
    <row r="3095" spans="129:129" x14ac:dyDescent="0.2">
      <c r="DY3095" s="185" t="s">
        <v>215</v>
      </c>
    </row>
    <row r="3096" spans="129:129" x14ac:dyDescent="0.2">
      <c r="DY3096" s="185" t="s">
        <v>215</v>
      </c>
    </row>
    <row r="3097" spans="129:129" x14ac:dyDescent="0.2">
      <c r="DY3097" s="185" t="s">
        <v>215</v>
      </c>
    </row>
    <row r="3098" spans="129:129" x14ac:dyDescent="0.2">
      <c r="DY3098" s="185" t="s">
        <v>215</v>
      </c>
    </row>
    <row r="3099" spans="129:129" x14ac:dyDescent="0.2">
      <c r="DY3099" s="185" t="s">
        <v>215</v>
      </c>
    </row>
    <row r="3100" spans="129:129" x14ac:dyDescent="0.2">
      <c r="DY3100" s="185" t="s">
        <v>215</v>
      </c>
    </row>
    <row r="3101" spans="129:129" x14ac:dyDescent="0.2">
      <c r="DY3101" s="185" t="s">
        <v>215</v>
      </c>
    </row>
    <row r="3102" spans="129:129" x14ac:dyDescent="0.2">
      <c r="DY3102" s="185" t="s">
        <v>215</v>
      </c>
    </row>
    <row r="3103" spans="129:129" x14ac:dyDescent="0.2">
      <c r="DY3103" s="185" t="s">
        <v>215</v>
      </c>
    </row>
    <row r="3104" spans="129:129" x14ac:dyDescent="0.2">
      <c r="DY3104" s="185" t="s">
        <v>215</v>
      </c>
    </row>
    <row r="3105" spans="129:129" x14ac:dyDescent="0.2">
      <c r="DY3105" s="185" t="s">
        <v>215</v>
      </c>
    </row>
    <row r="3106" spans="129:129" x14ac:dyDescent="0.2">
      <c r="DY3106" s="185" t="s">
        <v>215</v>
      </c>
    </row>
    <row r="3107" spans="129:129" x14ac:dyDescent="0.2">
      <c r="DY3107" s="185" t="s">
        <v>215</v>
      </c>
    </row>
    <row r="3108" spans="129:129" x14ac:dyDescent="0.2">
      <c r="DY3108" s="185" t="s">
        <v>215</v>
      </c>
    </row>
    <row r="3109" spans="129:129" x14ac:dyDescent="0.2">
      <c r="DY3109" s="185" t="s">
        <v>215</v>
      </c>
    </row>
    <row r="3110" spans="129:129" x14ac:dyDescent="0.2">
      <c r="DY3110" s="185" t="s">
        <v>215</v>
      </c>
    </row>
    <row r="3111" spans="129:129" x14ac:dyDescent="0.2">
      <c r="DY3111" s="185" t="s">
        <v>215</v>
      </c>
    </row>
    <row r="3112" spans="129:129" x14ac:dyDescent="0.2">
      <c r="DY3112" s="185" t="s">
        <v>215</v>
      </c>
    </row>
    <row r="3113" spans="129:129" x14ac:dyDescent="0.2">
      <c r="DY3113" s="185" t="s">
        <v>215</v>
      </c>
    </row>
    <row r="3114" spans="129:129" x14ac:dyDescent="0.2">
      <c r="DY3114" s="185" t="s">
        <v>215</v>
      </c>
    </row>
    <row r="3115" spans="129:129" x14ac:dyDescent="0.2">
      <c r="DY3115" s="185" t="s">
        <v>215</v>
      </c>
    </row>
    <row r="3116" spans="129:129" x14ac:dyDescent="0.2">
      <c r="DY3116" s="185" t="s">
        <v>215</v>
      </c>
    </row>
    <row r="3117" spans="129:129" x14ac:dyDescent="0.2">
      <c r="DY3117" s="185" t="s">
        <v>215</v>
      </c>
    </row>
    <row r="3118" spans="129:129" x14ac:dyDescent="0.2">
      <c r="DY3118" s="185" t="s">
        <v>215</v>
      </c>
    </row>
    <row r="3119" spans="129:129" x14ac:dyDescent="0.2">
      <c r="DY3119" s="185" t="s">
        <v>215</v>
      </c>
    </row>
    <row r="3120" spans="129:129" x14ac:dyDescent="0.2">
      <c r="DY3120" s="185" t="s">
        <v>215</v>
      </c>
    </row>
    <row r="3121" spans="129:129" x14ac:dyDescent="0.2">
      <c r="DY3121" s="185" t="s">
        <v>215</v>
      </c>
    </row>
    <row r="3122" spans="129:129" x14ac:dyDescent="0.2">
      <c r="DY3122" s="185" t="s">
        <v>215</v>
      </c>
    </row>
    <row r="3123" spans="129:129" x14ac:dyDescent="0.2">
      <c r="DY3123" s="185" t="s">
        <v>215</v>
      </c>
    </row>
    <row r="3124" spans="129:129" x14ac:dyDescent="0.2">
      <c r="DY3124" s="185" t="s">
        <v>215</v>
      </c>
    </row>
    <row r="3125" spans="129:129" x14ac:dyDescent="0.2">
      <c r="DY3125" s="185" t="s">
        <v>215</v>
      </c>
    </row>
    <row r="3126" spans="129:129" x14ac:dyDescent="0.2">
      <c r="DY3126" s="185" t="s">
        <v>215</v>
      </c>
    </row>
    <row r="3127" spans="129:129" x14ac:dyDescent="0.2">
      <c r="DY3127" s="185" t="s">
        <v>215</v>
      </c>
    </row>
    <row r="3128" spans="129:129" x14ac:dyDescent="0.2">
      <c r="DY3128" s="185" t="s">
        <v>215</v>
      </c>
    </row>
    <row r="3129" spans="129:129" x14ac:dyDescent="0.2">
      <c r="DY3129" s="185" t="s">
        <v>215</v>
      </c>
    </row>
    <row r="3130" spans="129:129" x14ac:dyDescent="0.2">
      <c r="DY3130" s="185" t="s">
        <v>215</v>
      </c>
    </row>
    <row r="3131" spans="129:129" x14ac:dyDescent="0.2">
      <c r="DY3131" s="185" t="s">
        <v>215</v>
      </c>
    </row>
    <row r="3132" spans="129:129" x14ac:dyDescent="0.2">
      <c r="DY3132" s="185" t="s">
        <v>215</v>
      </c>
    </row>
    <row r="3133" spans="129:129" x14ac:dyDescent="0.2">
      <c r="DY3133" s="185" t="s">
        <v>215</v>
      </c>
    </row>
    <row r="3134" spans="129:129" x14ac:dyDescent="0.2">
      <c r="DY3134" s="185" t="s">
        <v>215</v>
      </c>
    </row>
    <row r="3135" spans="129:129" x14ac:dyDescent="0.2">
      <c r="DY3135" s="185" t="s">
        <v>215</v>
      </c>
    </row>
    <row r="3136" spans="129:129" x14ac:dyDescent="0.2">
      <c r="DY3136" s="185" t="s">
        <v>215</v>
      </c>
    </row>
    <row r="3137" spans="129:129" x14ac:dyDescent="0.2">
      <c r="DY3137" s="185" t="s">
        <v>215</v>
      </c>
    </row>
    <row r="3138" spans="129:129" x14ac:dyDescent="0.2">
      <c r="DY3138" s="185" t="s">
        <v>215</v>
      </c>
    </row>
    <row r="3139" spans="129:129" x14ac:dyDescent="0.2">
      <c r="DY3139" s="185" t="s">
        <v>215</v>
      </c>
    </row>
    <row r="3140" spans="129:129" x14ac:dyDescent="0.2">
      <c r="DY3140" s="185" t="s">
        <v>215</v>
      </c>
    </row>
    <row r="3141" spans="129:129" x14ac:dyDescent="0.2">
      <c r="DY3141" s="185" t="s">
        <v>215</v>
      </c>
    </row>
    <row r="3142" spans="129:129" x14ac:dyDescent="0.2">
      <c r="DY3142" s="185" t="s">
        <v>215</v>
      </c>
    </row>
    <row r="3143" spans="129:129" x14ac:dyDescent="0.2">
      <c r="DY3143" s="185" t="s">
        <v>215</v>
      </c>
    </row>
    <row r="3144" spans="129:129" x14ac:dyDescent="0.2">
      <c r="DY3144" s="185" t="s">
        <v>215</v>
      </c>
    </row>
    <row r="3145" spans="129:129" x14ac:dyDescent="0.2">
      <c r="DY3145" s="185" t="s">
        <v>215</v>
      </c>
    </row>
    <row r="3146" spans="129:129" x14ac:dyDescent="0.2">
      <c r="DY3146" s="185" t="s">
        <v>215</v>
      </c>
    </row>
    <row r="3147" spans="129:129" x14ac:dyDescent="0.2">
      <c r="DY3147" s="185" t="s">
        <v>215</v>
      </c>
    </row>
    <row r="3148" spans="129:129" x14ac:dyDescent="0.2">
      <c r="DY3148" s="185" t="s">
        <v>215</v>
      </c>
    </row>
    <row r="3149" spans="129:129" x14ac:dyDescent="0.2">
      <c r="DY3149" s="185" t="s">
        <v>215</v>
      </c>
    </row>
    <row r="3150" spans="129:129" x14ac:dyDescent="0.2">
      <c r="DY3150" s="185" t="s">
        <v>215</v>
      </c>
    </row>
    <row r="3151" spans="129:129" x14ac:dyDescent="0.2">
      <c r="DY3151" s="185" t="s">
        <v>215</v>
      </c>
    </row>
    <row r="3152" spans="129:129" x14ac:dyDescent="0.2">
      <c r="DY3152" s="185" t="s">
        <v>215</v>
      </c>
    </row>
    <row r="3153" spans="129:129" x14ac:dyDescent="0.2">
      <c r="DY3153" s="185" t="s">
        <v>215</v>
      </c>
    </row>
    <row r="3154" spans="129:129" x14ac:dyDescent="0.2">
      <c r="DY3154" s="185" t="s">
        <v>215</v>
      </c>
    </row>
    <row r="3155" spans="129:129" x14ac:dyDescent="0.2">
      <c r="DY3155" s="185" t="s">
        <v>215</v>
      </c>
    </row>
    <row r="3156" spans="129:129" x14ac:dyDescent="0.2">
      <c r="DY3156" s="185" t="s">
        <v>215</v>
      </c>
    </row>
    <row r="3157" spans="129:129" x14ac:dyDescent="0.2">
      <c r="DY3157" s="185" t="s">
        <v>215</v>
      </c>
    </row>
    <row r="3158" spans="129:129" x14ac:dyDescent="0.2">
      <c r="DY3158" s="185" t="s">
        <v>215</v>
      </c>
    </row>
    <row r="3159" spans="129:129" x14ac:dyDescent="0.2">
      <c r="DY3159" s="185" t="s">
        <v>215</v>
      </c>
    </row>
    <row r="3160" spans="129:129" x14ac:dyDescent="0.2">
      <c r="DY3160" s="185" t="s">
        <v>215</v>
      </c>
    </row>
    <row r="3161" spans="129:129" x14ac:dyDescent="0.2">
      <c r="DY3161" s="185" t="s">
        <v>215</v>
      </c>
    </row>
    <row r="3162" spans="129:129" x14ac:dyDescent="0.2">
      <c r="DY3162" s="185" t="s">
        <v>215</v>
      </c>
    </row>
    <row r="3163" spans="129:129" x14ac:dyDescent="0.2">
      <c r="DY3163" s="185" t="s">
        <v>215</v>
      </c>
    </row>
    <row r="3164" spans="129:129" x14ac:dyDescent="0.2">
      <c r="DY3164" s="185" t="s">
        <v>215</v>
      </c>
    </row>
    <row r="3165" spans="129:129" x14ac:dyDescent="0.2">
      <c r="DY3165" s="185" t="s">
        <v>215</v>
      </c>
    </row>
    <row r="3166" spans="129:129" x14ac:dyDescent="0.2">
      <c r="DY3166" s="185" t="s">
        <v>215</v>
      </c>
    </row>
    <row r="3167" spans="129:129" x14ac:dyDescent="0.2">
      <c r="DY3167" s="185" t="s">
        <v>215</v>
      </c>
    </row>
    <row r="3168" spans="129:129" x14ac:dyDescent="0.2">
      <c r="DY3168" s="185" t="s">
        <v>215</v>
      </c>
    </row>
    <row r="3169" spans="129:129" x14ac:dyDescent="0.2">
      <c r="DY3169" s="185" t="s">
        <v>215</v>
      </c>
    </row>
    <row r="3170" spans="129:129" x14ac:dyDescent="0.2">
      <c r="DY3170" s="185" t="s">
        <v>215</v>
      </c>
    </row>
    <row r="3171" spans="129:129" x14ac:dyDescent="0.2">
      <c r="DY3171" s="185" t="s">
        <v>215</v>
      </c>
    </row>
    <row r="3172" spans="129:129" x14ac:dyDescent="0.2">
      <c r="DY3172" s="185" t="s">
        <v>215</v>
      </c>
    </row>
    <row r="3173" spans="129:129" x14ac:dyDescent="0.2">
      <c r="DY3173" s="185" t="s">
        <v>215</v>
      </c>
    </row>
    <row r="3174" spans="129:129" x14ac:dyDescent="0.2">
      <c r="DY3174" s="185" t="s">
        <v>215</v>
      </c>
    </row>
    <row r="3175" spans="129:129" x14ac:dyDescent="0.2">
      <c r="DY3175" s="185" t="s">
        <v>215</v>
      </c>
    </row>
    <row r="3176" spans="129:129" x14ac:dyDescent="0.2">
      <c r="DY3176" s="185" t="s">
        <v>215</v>
      </c>
    </row>
    <row r="3177" spans="129:129" x14ac:dyDescent="0.2">
      <c r="DY3177" s="185" t="s">
        <v>215</v>
      </c>
    </row>
    <row r="3178" spans="129:129" x14ac:dyDescent="0.2">
      <c r="DY3178" s="185" t="s">
        <v>215</v>
      </c>
    </row>
    <row r="3179" spans="129:129" x14ac:dyDescent="0.2">
      <c r="DY3179" s="185" t="s">
        <v>215</v>
      </c>
    </row>
    <row r="3180" spans="129:129" x14ac:dyDescent="0.2">
      <c r="DY3180" s="185" t="s">
        <v>215</v>
      </c>
    </row>
    <row r="3181" spans="129:129" x14ac:dyDescent="0.2">
      <c r="DY3181" s="185" t="s">
        <v>215</v>
      </c>
    </row>
    <row r="3182" spans="129:129" x14ac:dyDescent="0.2">
      <c r="DY3182" s="185" t="s">
        <v>215</v>
      </c>
    </row>
    <row r="3183" spans="129:129" x14ac:dyDescent="0.2">
      <c r="DY3183" s="185" t="s">
        <v>215</v>
      </c>
    </row>
    <row r="3184" spans="129:129" x14ac:dyDescent="0.2">
      <c r="DY3184" s="185" t="s">
        <v>215</v>
      </c>
    </row>
    <row r="3185" spans="129:129" x14ac:dyDescent="0.2">
      <c r="DY3185" s="185" t="s">
        <v>215</v>
      </c>
    </row>
    <row r="3186" spans="129:129" x14ac:dyDescent="0.2">
      <c r="DY3186" s="185" t="s">
        <v>215</v>
      </c>
    </row>
    <row r="3187" spans="129:129" x14ac:dyDescent="0.2">
      <c r="DY3187" s="185" t="s">
        <v>215</v>
      </c>
    </row>
    <row r="3188" spans="129:129" x14ac:dyDescent="0.2">
      <c r="DY3188" s="185" t="s">
        <v>215</v>
      </c>
    </row>
    <row r="3189" spans="129:129" x14ac:dyDescent="0.2">
      <c r="DY3189" s="185" t="s">
        <v>215</v>
      </c>
    </row>
    <row r="3190" spans="129:129" x14ac:dyDescent="0.2">
      <c r="DY3190" s="185" t="s">
        <v>215</v>
      </c>
    </row>
    <row r="3191" spans="129:129" x14ac:dyDescent="0.2">
      <c r="DY3191" s="185" t="s">
        <v>215</v>
      </c>
    </row>
    <row r="3192" spans="129:129" x14ac:dyDescent="0.2">
      <c r="DY3192" s="185" t="s">
        <v>215</v>
      </c>
    </row>
    <row r="3193" spans="129:129" x14ac:dyDescent="0.2">
      <c r="DY3193" s="185" t="s">
        <v>215</v>
      </c>
    </row>
    <row r="3194" spans="129:129" x14ac:dyDescent="0.2">
      <c r="DY3194" s="185" t="s">
        <v>215</v>
      </c>
    </row>
    <row r="3195" spans="129:129" x14ac:dyDescent="0.2">
      <c r="DY3195" s="185" t="s">
        <v>215</v>
      </c>
    </row>
    <row r="3196" spans="129:129" x14ac:dyDescent="0.2">
      <c r="DY3196" s="185" t="s">
        <v>215</v>
      </c>
    </row>
    <row r="3197" spans="129:129" x14ac:dyDescent="0.2">
      <c r="DY3197" s="185" t="s">
        <v>215</v>
      </c>
    </row>
    <row r="3198" spans="129:129" x14ac:dyDescent="0.2">
      <c r="DY3198" s="185" t="s">
        <v>215</v>
      </c>
    </row>
    <row r="3199" spans="129:129" x14ac:dyDescent="0.2">
      <c r="DY3199" s="185" t="s">
        <v>215</v>
      </c>
    </row>
    <row r="3200" spans="129:129" x14ac:dyDescent="0.2">
      <c r="DY3200" s="185" t="s">
        <v>215</v>
      </c>
    </row>
    <row r="3201" spans="129:129" x14ac:dyDescent="0.2">
      <c r="DY3201" s="185" t="s">
        <v>215</v>
      </c>
    </row>
    <row r="3202" spans="129:129" x14ac:dyDescent="0.2">
      <c r="DY3202" s="185" t="s">
        <v>215</v>
      </c>
    </row>
    <row r="3203" spans="129:129" x14ac:dyDescent="0.2">
      <c r="DY3203" s="185" t="s">
        <v>215</v>
      </c>
    </row>
    <row r="3204" spans="129:129" x14ac:dyDescent="0.2">
      <c r="DY3204" s="185" t="s">
        <v>215</v>
      </c>
    </row>
    <row r="3205" spans="129:129" x14ac:dyDescent="0.2">
      <c r="DY3205" s="185" t="s">
        <v>215</v>
      </c>
    </row>
    <row r="3206" spans="129:129" x14ac:dyDescent="0.2">
      <c r="DY3206" s="185" t="s">
        <v>215</v>
      </c>
    </row>
    <row r="3207" spans="129:129" x14ac:dyDescent="0.2">
      <c r="DY3207" s="185" t="s">
        <v>215</v>
      </c>
    </row>
    <row r="3208" spans="129:129" x14ac:dyDescent="0.2">
      <c r="DY3208" s="185" t="s">
        <v>215</v>
      </c>
    </row>
    <row r="3209" spans="129:129" x14ac:dyDescent="0.2">
      <c r="DY3209" s="185" t="s">
        <v>215</v>
      </c>
    </row>
    <row r="3210" spans="129:129" x14ac:dyDescent="0.2">
      <c r="DY3210" s="185" t="s">
        <v>215</v>
      </c>
    </row>
    <row r="3211" spans="129:129" x14ac:dyDescent="0.2">
      <c r="DY3211" s="185" t="s">
        <v>215</v>
      </c>
    </row>
    <row r="3212" spans="129:129" x14ac:dyDescent="0.2">
      <c r="DY3212" s="185" t="s">
        <v>215</v>
      </c>
    </row>
    <row r="3213" spans="129:129" x14ac:dyDescent="0.2">
      <c r="DY3213" s="185" t="s">
        <v>215</v>
      </c>
    </row>
    <row r="3214" spans="129:129" x14ac:dyDescent="0.2">
      <c r="DY3214" s="185" t="s">
        <v>215</v>
      </c>
    </row>
    <row r="3215" spans="129:129" x14ac:dyDescent="0.2">
      <c r="DY3215" s="185" t="s">
        <v>215</v>
      </c>
    </row>
    <row r="3216" spans="129:129" x14ac:dyDescent="0.2">
      <c r="DY3216" s="185" t="s">
        <v>215</v>
      </c>
    </row>
    <row r="3217" spans="129:129" x14ac:dyDescent="0.2">
      <c r="DY3217" s="185" t="s">
        <v>215</v>
      </c>
    </row>
    <row r="3218" spans="129:129" x14ac:dyDescent="0.2">
      <c r="DY3218" s="185" t="s">
        <v>215</v>
      </c>
    </row>
    <row r="3219" spans="129:129" x14ac:dyDescent="0.2">
      <c r="DY3219" s="185" t="s">
        <v>215</v>
      </c>
    </row>
    <row r="3220" spans="129:129" x14ac:dyDescent="0.2">
      <c r="DY3220" s="185" t="s">
        <v>215</v>
      </c>
    </row>
    <row r="3221" spans="129:129" x14ac:dyDescent="0.2">
      <c r="DY3221" s="185" t="s">
        <v>215</v>
      </c>
    </row>
    <row r="3222" spans="129:129" x14ac:dyDescent="0.2">
      <c r="DY3222" s="185" t="s">
        <v>215</v>
      </c>
    </row>
    <row r="3223" spans="129:129" x14ac:dyDescent="0.2">
      <c r="DY3223" s="185" t="s">
        <v>215</v>
      </c>
    </row>
    <row r="3224" spans="129:129" x14ac:dyDescent="0.2">
      <c r="DY3224" s="185" t="s">
        <v>215</v>
      </c>
    </row>
    <row r="3225" spans="129:129" x14ac:dyDescent="0.2">
      <c r="DY3225" s="185" t="s">
        <v>215</v>
      </c>
    </row>
    <row r="3226" spans="129:129" x14ac:dyDescent="0.2">
      <c r="DY3226" s="185" t="s">
        <v>215</v>
      </c>
    </row>
    <row r="3227" spans="129:129" x14ac:dyDescent="0.2">
      <c r="DY3227" s="185" t="s">
        <v>215</v>
      </c>
    </row>
    <row r="3228" spans="129:129" x14ac:dyDescent="0.2">
      <c r="DY3228" s="185" t="s">
        <v>215</v>
      </c>
    </row>
    <row r="3229" spans="129:129" x14ac:dyDescent="0.2">
      <c r="DY3229" s="185" t="s">
        <v>215</v>
      </c>
    </row>
    <row r="3230" spans="129:129" x14ac:dyDescent="0.2">
      <c r="DY3230" s="185" t="s">
        <v>215</v>
      </c>
    </row>
    <row r="3231" spans="129:129" x14ac:dyDescent="0.2">
      <c r="DY3231" s="185" t="s">
        <v>215</v>
      </c>
    </row>
    <row r="3232" spans="129:129" x14ac:dyDescent="0.2">
      <c r="DY3232" s="185" t="s">
        <v>215</v>
      </c>
    </row>
    <row r="3233" spans="129:129" x14ac:dyDescent="0.2">
      <c r="DY3233" s="185" t="s">
        <v>215</v>
      </c>
    </row>
    <row r="3234" spans="129:129" x14ac:dyDescent="0.2">
      <c r="DY3234" s="185" t="s">
        <v>215</v>
      </c>
    </row>
    <row r="3235" spans="129:129" x14ac:dyDescent="0.2">
      <c r="DY3235" s="185" t="s">
        <v>215</v>
      </c>
    </row>
    <row r="3236" spans="129:129" x14ac:dyDescent="0.2">
      <c r="DY3236" s="185" t="s">
        <v>215</v>
      </c>
    </row>
    <row r="3237" spans="129:129" x14ac:dyDescent="0.2">
      <c r="DY3237" s="185" t="s">
        <v>215</v>
      </c>
    </row>
    <row r="3238" spans="129:129" x14ac:dyDescent="0.2">
      <c r="DY3238" s="185" t="s">
        <v>215</v>
      </c>
    </row>
    <row r="3239" spans="129:129" x14ac:dyDescent="0.2">
      <c r="DY3239" s="185" t="s">
        <v>215</v>
      </c>
    </row>
    <row r="3240" spans="129:129" x14ac:dyDescent="0.2">
      <c r="DY3240" s="185" t="s">
        <v>215</v>
      </c>
    </row>
    <row r="3241" spans="129:129" x14ac:dyDescent="0.2">
      <c r="DY3241" s="185" t="s">
        <v>215</v>
      </c>
    </row>
    <row r="3242" spans="129:129" x14ac:dyDescent="0.2">
      <c r="DY3242" s="185" t="s">
        <v>215</v>
      </c>
    </row>
    <row r="3243" spans="129:129" x14ac:dyDescent="0.2">
      <c r="DY3243" s="185" t="s">
        <v>215</v>
      </c>
    </row>
    <row r="3244" spans="129:129" x14ac:dyDescent="0.2">
      <c r="DY3244" s="185" t="s">
        <v>215</v>
      </c>
    </row>
    <row r="3245" spans="129:129" x14ac:dyDescent="0.2">
      <c r="DY3245" s="185" t="s">
        <v>215</v>
      </c>
    </row>
    <row r="3246" spans="129:129" x14ac:dyDescent="0.2">
      <c r="DY3246" s="185" t="s">
        <v>215</v>
      </c>
    </row>
    <row r="3247" spans="129:129" x14ac:dyDescent="0.2">
      <c r="DY3247" s="185" t="s">
        <v>215</v>
      </c>
    </row>
    <row r="3248" spans="129:129" x14ac:dyDescent="0.2">
      <c r="DY3248" s="185" t="s">
        <v>215</v>
      </c>
    </row>
    <row r="3249" spans="129:129" x14ac:dyDescent="0.2">
      <c r="DY3249" s="185" t="s">
        <v>215</v>
      </c>
    </row>
    <row r="3250" spans="129:129" x14ac:dyDescent="0.2">
      <c r="DY3250" s="185" t="s">
        <v>215</v>
      </c>
    </row>
    <row r="3251" spans="129:129" x14ac:dyDescent="0.2">
      <c r="DY3251" s="185" t="s">
        <v>215</v>
      </c>
    </row>
    <row r="3252" spans="129:129" x14ac:dyDescent="0.2">
      <c r="DY3252" s="185" t="s">
        <v>215</v>
      </c>
    </row>
    <row r="3253" spans="129:129" x14ac:dyDescent="0.2">
      <c r="DY3253" s="185" t="s">
        <v>215</v>
      </c>
    </row>
    <row r="3254" spans="129:129" x14ac:dyDescent="0.2">
      <c r="DY3254" s="185" t="s">
        <v>215</v>
      </c>
    </row>
    <row r="3255" spans="129:129" x14ac:dyDescent="0.2">
      <c r="DY3255" s="185" t="s">
        <v>215</v>
      </c>
    </row>
    <row r="3256" spans="129:129" x14ac:dyDescent="0.2">
      <c r="DY3256" s="185" t="s">
        <v>215</v>
      </c>
    </row>
    <row r="3257" spans="129:129" x14ac:dyDescent="0.2">
      <c r="DY3257" s="185" t="s">
        <v>215</v>
      </c>
    </row>
    <row r="3258" spans="129:129" x14ac:dyDescent="0.2">
      <c r="DY3258" s="185" t="s">
        <v>215</v>
      </c>
    </row>
    <row r="3259" spans="129:129" x14ac:dyDescent="0.2">
      <c r="DY3259" s="185" t="s">
        <v>215</v>
      </c>
    </row>
    <row r="3260" spans="129:129" x14ac:dyDescent="0.2">
      <c r="DY3260" s="185" t="s">
        <v>215</v>
      </c>
    </row>
    <row r="3261" spans="129:129" x14ac:dyDescent="0.2">
      <c r="DY3261" s="185" t="s">
        <v>215</v>
      </c>
    </row>
    <row r="3262" spans="129:129" x14ac:dyDescent="0.2">
      <c r="DY3262" s="185" t="s">
        <v>215</v>
      </c>
    </row>
    <row r="3263" spans="129:129" x14ac:dyDescent="0.2">
      <c r="DY3263" s="185" t="s">
        <v>215</v>
      </c>
    </row>
    <row r="3264" spans="129:129" x14ac:dyDescent="0.2">
      <c r="DY3264" s="185" t="s">
        <v>215</v>
      </c>
    </row>
    <row r="3265" spans="129:129" x14ac:dyDescent="0.2">
      <c r="DY3265" s="185" t="s">
        <v>215</v>
      </c>
    </row>
    <row r="3266" spans="129:129" x14ac:dyDescent="0.2">
      <c r="DY3266" s="185" t="s">
        <v>215</v>
      </c>
    </row>
    <row r="3267" spans="129:129" x14ac:dyDescent="0.2">
      <c r="DY3267" s="185" t="s">
        <v>215</v>
      </c>
    </row>
    <row r="3268" spans="129:129" x14ac:dyDescent="0.2">
      <c r="DY3268" s="185" t="s">
        <v>215</v>
      </c>
    </row>
    <row r="3269" spans="129:129" x14ac:dyDescent="0.2">
      <c r="DY3269" s="185" t="s">
        <v>215</v>
      </c>
    </row>
    <row r="3270" spans="129:129" x14ac:dyDescent="0.2">
      <c r="DY3270" s="185" t="s">
        <v>215</v>
      </c>
    </row>
    <row r="3271" spans="129:129" x14ac:dyDescent="0.2">
      <c r="DY3271" s="185" t="s">
        <v>215</v>
      </c>
    </row>
    <row r="3272" spans="129:129" x14ac:dyDescent="0.2">
      <c r="DY3272" s="185" t="s">
        <v>215</v>
      </c>
    </row>
    <row r="3273" spans="129:129" x14ac:dyDescent="0.2">
      <c r="DY3273" s="185" t="s">
        <v>215</v>
      </c>
    </row>
    <row r="3274" spans="129:129" x14ac:dyDescent="0.2">
      <c r="DY3274" s="185" t="s">
        <v>215</v>
      </c>
    </row>
    <row r="3275" spans="129:129" x14ac:dyDescent="0.2">
      <c r="DY3275" s="185" t="s">
        <v>215</v>
      </c>
    </row>
    <row r="3276" spans="129:129" x14ac:dyDescent="0.2">
      <c r="DY3276" s="185" t="s">
        <v>215</v>
      </c>
    </row>
    <row r="3277" spans="129:129" x14ac:dyDescent="0.2">
      <c r="DY3277" s="185" t="s">
        <v>215</v>
      </c>
    </row>
    <row r="3278" spans="129:129" x14ac:dyDescent="0.2">
      <c r="DY3278" s="185" t="s">
        <v>215</v>
      </c>
    </row>
    <row r="3279" spans="129:129" x14ac:dyDescent="0.2">
      <c r="DY3279" s="185" t="s">
        <v>215</v>
      </c>
    </row>
    <row r="3280" spans="129:129" x14ac:dyDescent="0.2">
      <c r="DY3280" s="185" t="s">
        <v>215</v>
      </c>
    </row>
    <row r="3281" spans="129:129" x14ac:dyDescent="0.2">
      <c r="DY3281" s="185" t="s">
        <v>215</v>
      </c>
    </row>
    <row r="3282" spans="129:129" x14ac:dyDescent="0.2">
      <c r="DY3282" s="185" t="s">
        <v>215</v>
      </c>
    </row>
    <row r="3283" spans="129:129" x14ac:dyDescent="0.2">
      <c r="DY3283" s="185" t="s">
        <v>215</v>
      </c>
    </row>
    <row r="3284" spans="129:129" x14ac:dyDescent="0.2">
      <c r="DY3284" s="185" t="s">
        <v>215</v>
      </c>
    </row>
    <row r="3285" spans="129:129" x14ac:dyDescent="0.2">
      <c r="DY3285" s="185" t="s">
        <v>215</v>
      </c>
    </row>
    <row r="3286" spans="129:129" x14ac:dyDescent="0.2">
      <c r="DY3286" s="185" t="s">
        <v>215</v>
      </c>
    </row>
    <row r="3287" spans="129:129" x14ac:dyDescent="0.2">
      <c r="DY3287" s="185" t="s">
        <v>215</v>
      </c>
    </row>
    <row r="3288" spans="129:129" x14ac:dyDescent="0.2">
      <c r="DY3288" s="185" t="s">
        <v>215</v>
      </c>
    </row>
    <row r="3289" spans="129:129" x14ac:dyDescent="0.2">
      <c r="DY3289" s="185" t="s">
        <v>215</v>
      </c>
    </row>
    <row r="3290" spans="129:129" x14ac:dyDescent="0.2">
      <c r="DY3290" s="185" t="s">
        <v>215</v>
      </c>
    </row>
    <row r="3291" spans="129:129" x14ac:dyDescent="0.2">
      <c r="DY3291" s="185" t="s">
        <v>215</v>
      </c>
    </row>
    <row r="3292" spans="129:129" x14ac:dyDescent="0.2">
      <c r="DY3292" s="185" t="s">
        <v>215</v>
      </c>
    </row>
    <row r="3293" spans="129:129" x14ac:dyDescent="0.2">
      <c r="DY3293" s="185" t="s">
        <v>215</v>
      </c>
    </row>
    <row r="3294" spans="129:129" x14ac:dyDescent="0.2">
      <c r="DY3294" s="185" t="s">
        <v>215</v>
      </c>
    </row>
    <row r="3295" spans="129:129" x14ac:dyDescent="0.2">
      <c r="DY3295" s="185" t="s">
        <v>215</v>
      </c>
    </row>
    <row r="3296" spans="129:129" x14ac:dyDescent="0.2">
      <c r="DY3296" s="185" t="s">
        <v>215</v>
      </c>
    </row>
    <row r="3297" spans="129:129" x14ac:dyDescent="0.2">
      <c r="DY3297" s="185" t="s">
        <v>215</v>
      </c>
    </row>
    <row r="3298" spans="129:129" x14ac:dyDescent="0.2">
      <c r="DY3298" s="185" t="s">
        <v>215</v>
      </c>
    </row>
    <row r="3299" spans="129:129" x14ac:dyDescent="0.2">
      <c r="DY3299" s="185" t="s">
        <v>215</v>
      </c>
    </row>
    <row r="3300" spans="129:129" x14ac:dyDescent="0.2">
      <c r="DY3300" s="185" t="s">
        <v>215</v>
      </c>
    </row>
    <row r="3301" spans="129:129" x14ac:dyDescent="0.2">
      <c r="DY3301" s="185" t="s">
        <v>215</v>
      </c>
    </row>
    <row r="3302" spans="129:129" x14ac:dyDescent="0.2">
      <c r="DY3302" s="185" t="s">
        <v>215</v>
      </c>
    </row>
    <row r="3303" spans="129:129" x14ac:dyDescent="0.2">
      <c r="DY3303" s="185" t="s">
        <v>215</v>
      </c>
    </row>
    <row r="3304" spans="129:129" x14ac:dyDescent="0.2">
      <c r="DY3304" s="185" t="s">
        <v>215</v>
      </c>
    </row>
    <row r="3305" spans="129:129" x14ac:dyDescent="0.2">
      <c r="DY3305" s="185" t="s">
        <v>215</v>
      </c>
    </row>
    <row r="3306" spans="129:129" x14ac:dyDescent="0.2">
      <c r="DY3306" s="185" t="s">
        <v>215</v>
      </c>
    </row>
    <row r="3307" spans="129:129" x14ac:dyDescent="0.2">
      <c r="DY3307" s="185" t="s">
        <v>215</v>
      </c>
    </row>
    <row r="3308" spans="129:129" x14ac:dyDescent="0.2">
      <c r="DY3308" s="185" t="s">
        <v>215</v>
      </c>
    </row>
    <row r="3309" spans="129:129" x14ac:dyDescent="0.2">
      <c r="DY3309" s="185" t="s">
        <v>215</v>
      </c>
    </row>
    <row r="3310" spans="129:129" x14ac:dyDescent="0.2">
      <c r="DY3310" s="185" t="s">
        <v>215</v>
      </c>
    </row>
    <row r="3311" spans="129:129" x14ac:dyDescent="0.2">
      <c r="DY3311" s="185" t="s">
        <v>215</v>
      </c>
    </row>
    <row r="3312" spans="129:129" x14ac:dyDescent="0.2">
      <c r="DY3312" s="185" t="s">
        <v>215</v>
      </c>
    </row>
    <row r="3313" spans="129:129" x14ac:dyDescent="0.2">
      <c r="DY3313" s="185" t="s">
        <v>215</v>
      </c>
    </row>
    <row r="3314" spans="129:129" x14ac:dyDescent="0.2">
      <c r="DY3314" s="185" t="s">
        <v>215</v>
      </c>
    </row>
    <row r="3315" spans="129:129" x14ac:dyDescent="0.2">
      <c r="DY3315" s="185" t="s">
        <v>215</v>
      </c>
    </row>
    <row r="3316" spans="129:129" x14ac:dyDescent="0.2">
      <c r="DY3316" s="185" t="s">
        <v>215</v>
      </c>
    </row>
    <row r="3317" spans="129:129" x14ac:dyDescent="0.2">
      <c r="DY3317" s="185" t="s">
        <v>215</v>
      </c>
    </row>
    <row r="3318" spans="129:129" x14ac:dyDescent="0.2">
      <c r="DY3318" s="185" t="s">
        <v>215</v>
      </c>
    </row>
    <row r="3319" spans="129:129" x14ac:dyDescent="0.2">
      <c r="DY3319" s="185" t="s">
        <v>215</v>
      </c>
    </row>
    <row r="3320" spans="129:129" x14ac:dyDescent="0.2">
      <c r="DY3320" s="185" t="s">
        <v>215</v>
      </c>
    </row>
    <row r="3321" spans="129:129" x14ac:dyDescent="0.2">
      <c r="DY3321" s="185" t="s">
        <v>215</v>
      </c>
    </row>
    <row r="3322" spans="129:129" x14ac:dyDescent="0.2">
      <c r="DY3322" s="185" t="s">
        <v>215</v>
      </c>
    </row>
    <row r="3323" spans="129:129" x14ac:dyDescent="0.2">
      <c r="DY3323" s="185" t="s">
        <v>215</v>
      </c>
    </row>
    <row r="3324" spans="129:129" x14ac:dyDescent="0.2">
      <c r="DY3324" s="185" t="s">
        <v>215</v>
      </c>
    </row>
    <row r="3325" spans="129:129" x14ac:dyDescent="0.2">
      <c r="DY3325" s="185" t="s">
        <v>215</v>
      </c>
    </row>
    <row r="3326" spans="129:129" x14ac:dyDescent="0.2">
      <c r="DY3326" s="185" t="s">
        <v>215</v>
      </c>
    </row>
    <row r="3327" spans="129:129" x14ac:dyDescent="0.2">
      <c r="DY3327" s="185" t="s">
        <v>215</v>
      </c>
    </row>
    <row r="3328" spans="129:129" x14ac:dyDescent="0.2">
      <c r="DY3328" s="185" t="s">
        <v>215</v>
      </c>
    </row>
    <row r="3329" spans="129:129" x14ac:dyDescent="0.2">
      <c r="DY3329" s="185" t="s">
        <v>215</v>
      </c>
    </row>
    <row r="3330" spans="129:129" x14ac:dyDescent="0.2">
      <c r="DY3330" s="185" t="s">
        <v>215</v>
      </c>
    </row>
    <row r="3331" spans="129:129" x14ac:dyDescent="0.2">
      <c r="DY3331" s="185" t="s">
        <v>215</v>
      </c>
    </row>
    <row r="3332" spans="129:129" x14ac:dyDescent="0.2">
      <c r="DY3332" s="185" t="s">
        <v>215</v>
      </c>
    </row>
    <row r="3333" spans="129:129" x14ac:dyDescent="0.2">
      <c r="DY3333" s="185" t="s">
        <v>215</v>
      </c>
    </row>
    <row r="3334" spans="129:129" x14ac:dyDescent="0.2">
      <c r="DY3334" s="185" t="s">
        <v>215</v>
      </c>
    </row>
    <row r="3335" spans="129:129" x14ac:dyDescent="0.2">
      <c r="DY3335" s="185" t="s">
        <v>215</v>
      </c>
    </row>
    <row r="3336" spans="129:129" x14ac:dyDescent="0.2">
      <c r="DY3336" s="185" t="s">
        <v>215</v>
      </c>
    </row>
    <row r="3337" spans="129:129" x14ac:dyDescent="0.2">
      <c r="DY3337" s="185" t="s">
        <v>215</v>
      </c>
    </row>
    <row r="3338" spans="129:129" x14ac:dyDescent="0.2">
      <c r="DY3338" s="185" t="s">
        <v>215</v>
      </c>
    </row>
    <row r="3339" spans="129:129" x14ac:dyDescent="0.2">
      <c r="DY3339" s="185" t="s">
        <v>215</v>
      </c>
    </row>
    <row r="3340" spans="129:129" x14ac:dyDescent="0.2">
      <c r="DY3340" s="185" t="s">
        <v>215</v>
      </c>
    </row>
    <row r="3341" spans="129:129" x14ac:dyDescent="0.2">
      <c r="DY3341" s="185" t="s">
        <v>215</v>
      </c>
    </row>
    <row r="3342" spans="129:129" x14ac:dyDescent="0.2">
      <c r="DY3342" s="185" t="s">
        <v>215</v>
      </c>
    </row>
    <row r="3343" spans="129:129" x14ac:dyDescent="0.2">
      <c r="DY3343" s="185" t="s">
        <v>215</v>
      </c>
    </row>
    <row r="3344" spans="129:129" x14ac:dyDescent="0.2">
      <c r="DY3344" s="185" t="s">
        <v>215</v>
      </c>
    </row>
    <row r="3345" spans="129:129" x14ac:dyDescent="0.2">
      <c r="DY3345" s="185" t="s">
        <v>215</v>
      </c>
    </row>
    <row r="3346" spans="129:129" x14ac:dyDescent="0.2">
      <c r="DY3346" s="185" t="s">
        <v>215</v>
      </c>
    </row>
    <row r="3347" spans="129:129" x14ac:dyDescent="0.2">
      <c r="DY3347" s="185" t="s">
        <v>215</v>
      </c>
    </row>
    <row r="3348" spans="129:129" x14ac:dyDescent="0.2">
      <c r="DY3348" s="185" t="s">
        <v>215</v>
      </c>
    </row>
    <row r="3349" spans="129:129" x14ac:dyDescent="0.2">
      <c r="DY3349" s="185" t="s">
        <v>215</v>
      </c>
    </row>
    <row r="3350" spans="129:129" x14ac:dyDescent="0.2">
      <c r="DY3350" s="185" t="s">
        <v>215</v>
      </c>
    </row>
    <row r="3351" spans="129:129" x14ac:dyDescent="0.2">
      <c r="DY3351" s="185" t="s">
        <v>215</v>
      </c>
    </row>
    <row r="3352" spans="129:129" x14ac:dyDescent="0.2">
      <c r="DY3352" s="185" t="s">
        <v>215</v>
      </c>
    </row>
    <row r="3353" spans="129:129" x14ac:dyDescent="0.2">
      <c r="DY3353" s="185" t="s">
        <v>215</v>
      </c>
    </row>
    <row r="3354" spans="129:129" x14ac:dyDescent="0.2">
      <c r="DY3354" s="185" t="s">
        <v>215</v>
      </c>
    </row>
    <row r="3355" spans="129:129" x14ac:dyDescent="0.2">
      <c r="DY3355" s="185" t="s">
        <v>215</v>
      </c>
    </row>
    <row r="3356" spans="129:129" x14ac:dyDescent="0.2">
      <c r="DY3356" s="185" t="s">
        <v>215</v>
      </c>
    </row>
    <row r="3357" spans="129:129" x14ac:dyDescent="0.2">
      <c r="DY3357" s="185" t="s">
        <v>215</v>
      </c>
    </row>
    <row r="3358" spans="129:129" x14ac:dyDescent="0.2">
      <c r="DY3358" s="185" t="s">
        <v>215</v>
      </c>
    </row>
    <row r="3359" spans="129:129" x14ac:dyDescent="0.2">
      <c r="DY3359" s="185" t="s">
        <v>215</v>
      </c>
    </row>
    <row r="3360" spans="129:129" x14ac:dyDescent="0.2">
      <c r="DY3360" s="185" t="s">
        <v>215</v>
      </c>
    </row>
    <row r="3361" spans="129:129" x14ac:dyDescent="0.2">
      <c r="DY3361" s="185" t="s">
        <v>215</v>
      </c>
    </row>
    <row r="3362" spans="129:129" x14ac:dyDescent="0.2">
      <c r="DY3362" s="185" t="s">
        <v>215</v>
      </c>
    </row>
    <row r="3363" spans="129:129" x14ac:dyDescent="0.2">
      <c r="DY3363" s="185" t="s">
        <v>215</v>
      </c>
    </row>
    <row r="3364" spans="129:129" x14ac:dyDescent="0.2">
      <c r="DY3364" s="185" t="s">
        <v>215</v>
      </c>
    </row>
    <row r="3365" spans="129:129" x14ac:dyDescent="0.2">
      <c r="DY3365" s="185" t="s">
        <v>215</v>
      </c>
    </row>
    <row r="3366" spans="129:129" x14ac:dyDescent="0.2">
      <c r="DY3366" s="185" t="s">
        <v>215</v>
      </c>
    </row>
    <row r="3367" spans="129:129" x14ac:dyDescent="0.2">
      <c r="DY3367" s="185" t="s">
        <v>215</v>
      </c>
    </row>
    <row r="3368" spans="129:129" x14ac:dyDescent="0.2">
      <c r="DY3368" s="185" t="s">
        <v>215</v>
      </c>
    </row>
    <row r="3369" spans="129:129" x14ac:dyDescent="0.2">
      <c r="DY3369" s="185" t="s">
        <v>215</v>
      </c>
    </row>
    <row r="3370" spans="129:129" x14ac:dyDescent="0.2">
      <c r="DY3370" s="185" t="s">
        <v>215</v>
      </c>
    </row>
    <row r="3371" spans="129:129" x14ac:dyDescent="0.2">
      <c r="DY3371" s="185" t="s">
        <v>215</v>
      </c>
    </row>
    <row r="3372" spans="129:129" x14ac:dyDescent="0.2">
      <c r="DY3372" s="185" t="s">
        <v>215</v>
      </c>
    </row>
    <row r="3373" spans="129:129" x14ac:dyDescent="0.2">
      <c r="DY3373" s="185" t="s">
        <v>215</v>
      </c>
    </row>
    <row r="3374" spans="129:129" x14ac:dyDescent="0.2">
      <c r="DY3374" s="185" t="s">
        <v>215</v>
      </c>
    </row>
    <row r="3375" spans="129:129" x14ac:dyDescent="0.2">
      <c r="DY3375" s="185" t="s">
        <v>215</v>
      </c>
    </row>
    <row r="3376" spans="129:129" x14ac:dyDescent="0.2">
      <c r="DY3376" s="185" t="s">
        <v>215</v>
      </c>
    </row>
    <row r="3377" spans="129:129" x14ac:dyDescent="0.2">
      <c r="DY3377" s="185" t="s">
        <v>215</v>
      </c>
    </row>
    <row r="3378" spans="129:129" x14ac:dyDescent="0.2">
      <c r="DY3378" s="185" t="s">
        <v>215</v>
      </c>
    </row>
    <row r="3379" spans="129:129" x14ac:dyDescent="0.2">
      <c r="DY3379" s="185" t="s">
        <v>215</v>
      </c>
    </row>
    <row r="3380" spans="129:129" x14ac:dyDescent="0.2">
      <c r="DY3380" s="185" t="s">
        <v>215</v>
      </c>
    </row>
    <row r="3381" spans="129:129" x14ac:dyDescent="0.2">
      <c r="DY3381" s="185" t="s">
        <v>215</v>
      </c>
    </row>
    <row r="3382" spans="129:129" x14ac:dyDescent="0.2">
      <c r="DY3382" s="185" t="s">
        <v>215</v>
      </c>
    </row>
    <row r="3383" spans="129:129" x14ac:dyDescent="0.2">
      <c r="DY3383" s="185" t="s">
        <v>215</v>
      </c>
    </row>
    <row r="3384" spans="129:129" x14ac:dyDescent="0.2">
      <c r="DY3384" s="185" t="s">
        <v>215</v>
      </c>
    </row>
    <row r="3385" spans="129:129" x14ac:dyDescent="0.2">
      <c r="DY3385" s="185" t="s">
        <v>215</v>
      </c>
    </row>
    <row r="3386" spans="129:129" x14ac:dyDescent="0.2">
      <c r="DY3386" s="185" t="s">
        <v>215</v>
      </c>
    </row>
    <row r="3387" spans="129:129" x14ac:dyDescent="0.2">
      <c r="DY3387" s="185" t="s">
        <v>215</v>
      </c>
    </row>
    <row r="3388" spans="129:129" x14ac:dyDescent="0.2">
      <c r="DY3388" s="185" t="s">
        <v>215</v>
      </c>
    </row>
    <row r="3389" spans="129:129" x14ac:dyDescent="0.2">
      <c r="DY3389" s="185" t="s">
        <v>215</v>
      </c>
    </row>
    <row r="3390" spans="129:129" x14ac:dyDescent="0.2">
      <c r="DY3390" s="185" t="s">
        <v>215</v>
      </c>
    </row>
    <row r="3391" spans="129:129" x14ac:dyDescent="0.2">
      <c r="DY3391" s="185" t="s">
        <v>215</v>
      </c>
    </row>
    <row r="3392" spans="129:129" x14ac:dyDescent="0.2">
      <c r="DY3392" s="185" t="s">
        <v>215</v>
      </c>
    </row>
    <row r="3393" spans="129:129" x14ac:dyDescent="0.2">
      <c r="DY3393" s="185" t="s">
        <v>215</v>
      </c>
    </row>
    <row r="3394" spans="129:129" x14ac:dyDescent="0.2">
      <c r="DY3394" s="185" t="s">
        <v>215</v>
      </c>
    </row>
    <row r="3395" spans="129:129" x14ac:dyDescent="0.2">
      <c r="DY3395" s="185" t="s">
        <v>215</v>
      </c>
    </row>
    <row r="3396" spans="129:129" x14ac:dyDescent="0.2">
      <c r="DY3396" s="185" t="s">
        <v>215</v>
      </c>
    </row>
    <row r="3397" spans="129:129" x14ac:dyDescent="0.2">
      <c r="DY3397" s="185" t="s">
        <v>215</v>
      </c>
    </row>
    <row r="3398" spans="129:129" x14ac:dyDescent="0.2">
      <c r="DY3398" s="185" t="s">
        <v>215</v>
      </c>
    </row>
    <row r="3399" spans="129:129" x14ac:dyDescent="0.2">
      <c r="DY3399" s="185" t="s">
        <v>215</v>
      </c>
    </row>
    <row r="3400" spans="129:129" x14ac:dyDescent="0.2">
      <c r="DY3400" s="185" t="s">
        <v>215</v>
      </c>
    </row>
    <row r="3401" spans="129:129" x14ac:dyDescent="0.2">
      <c r="DY3401" s="185" t="s">
        <v>215</v>
      </c>
    </row>
    <row r="3402" spans="129:129" x14ac:dyDescent="0.2">
      <c r="DY3402" s="185" t="s">
        <v>215</v>
      </c>
    </row>
    <row r="3403" spans="129:129" x14ac:dyDescent="0.2">
      <c r="DY3403" s="185" t="s">
        <v>215</v>
      </c>
    </row>
    <row r="3404" spans="129:129" x14ac:dyDescent="0.2">
      <c r="DY3404" s="185" t="s">
        <v>215</v>
      </c>
    </row>
    <row r="3405" spans="129:129" x14ac:dyDescent="0.2">
      <c r="DY3405" s="185" t="s">
        <v>215</v>
      </c>
    </row>
    <row r="3406" spans="129:129" x14ac:dyDescent="0.2">
      <c r="DY3406" s="185" t="s">
        <v>215</v>
      </c>
    </row>
    <row r="3407" spans="129:129" x14ac:dyDescent="0.2">
      <c r="DY3407" s="185" t="s">
        <v>215</v>
      </c>
    </row>
    <row r="3408" spans="129:129" x14ac:dyDescent="0.2">
      <c r="DY3408" s="185" t="s">
        <v>215</v>
      </c>
    </row>
    <row r="3409" spans="129:129" x14ac:dyDescent="0.2">
      <c r="DY3409" s="185" t="s">
        <v>215</v>
      </c>
    </row>
    <row r="3410" spans="129:129" x14ac:dyDescent="0.2">
      <c r="DY3410" s="185" t="s">
        <v>215</v>
      </c>
    </row>
    <row r="3411" spans="129:129" x14ac:dyDescent="0.2">
      <c r="DY3411" s="185" t="s">
        <v>215</v>
      </c>
    </row>
    <row r="3412" spans="129:129" x14ac:dyDescent="0.2">
      <c r="DY3412" s="185" t="s">
        <v>215</v>
      </c>
    </row>
    <row r="3413" spans="129:129" x14ac:dyDescent="0.2">
      <c r="DY3413" s="185" t="s">
        <v>215</v>
      </c>
    </row>
    <row r="3414" spans="129:129" x14ac:dyDescent="0.2">
      <c r="DY3414" s="185" t="s">
        <v>215</v>
      </c>
    </row>
    <row r="3415" spans="129:129" x14ac:dyDescent="0.2">
      <c r="DY3415" s="185" t="s">
        <v>215</v>
      </c>
    </row>
    <row r="3416" spans="129:129" x14ac:dyDescent="0.2">
      <c r="DY3416" s="185" t="s">
        <v>215</v>
      </c>
    </row>
    <row r="3417" spans="129:129" x14ac:dyDescent="0.2">
      <c r="DY3417" s="185" t="s">
        <v>215</v>
      </c>
    </row>
    <row r="3418" spans="129:129" x14ac:dyDescent="0.2">
      <c r="DY3418" s="185" t="s">
        <v>215</v>
      </c>
    </row>
    <row r="3419" spans="129:129" x14ac:dyDescent="0.2">
      <c r="DY3419" s="185" t="s">
        <v>215</v>
      </c>
    </row>
    <row r="3420" spans="129:129" x14ac:dyDescent="0.2">
      <c r="DY3420" s="185" t="s">
        <v>215</v>
      </c>
    </row>
    <row r="3421" spans="129:129" x14ac:dyDescent="0.2">
      <c r="DY3421" s="185" t="s">
        <v>215</v>
      </c>
    </row>
    <row r="3422" spans="129:129" x14ac:dyDescent="0.2">
      <c r="DY3422" s="185" t="s">
        <v>215</v>
      </c>
    </row>
    <row r="3423" spans="129:129" x14ac:dyDescent="0.2">
      <c r="DY3423" s="185" t="s">
        <v>215</v>
      </c>
    </row>
    <row r="3424" spans="129:129" x14ac:dyDescent="0.2">
      <c r="DY3424" s="185" t="s">
        <v>215</v>
      </c>
    </row>
    <row r="3425" spans="129:129" x14ac:dyDescent="0.2">
      <c r="DY3425" s="185" t="s">
        <v>215</v>
      </c>
    </row>
    <row r="3426" spans="129:129" x14ac:dyDescent="0.2">
      <c r="DY3426" s="185" t="s">
        <v>215</v>
      </c>
    </row>
    <row r="3427" spans="129:129" x14ac:dyDescent="0.2">
      <c r="DY3427" s="185" t="s">
        <v>215</v>
      </c>
    </row>
    <row r="3428" spans="129:129" x14ac:dyDescent="0.2">
      <c r="DY3428" s="185" t="s">
        <v>215</v>
      </c>
    </row>
    <row r="3429" spans="129:129" x14ac:dyDescent="0.2">
      <c r="DY3429" s="185" t="s">
        <v>215</v>
      </c>
    </row>
    <row r="3430" spans="129:129" x14ac:dyDescent="0.2">
      <c r="DY3430" s="185" t="s">
        <v>215</v>
      </c>
    </row>
    <row r="3431" spans="129:129" x14ac:dyDescent="0.2">
      <c r="DY3431" s="185" t="s">
        <v>215</v>
      </c>
    </row>
    <row r="3432" spans="129:129" x14ac:dyDescent="0.2">
      <c r="DY3432" s="185" t="s">
        <v>215</v>
      </c>
    </row>
    <row r="3433" spans="129:129" x14ac:dyDescent="0.2">
      <c r="DY3433" s="185" t="s">
        <v>215</v>
      </c>
    </row>
    <row r="3434" spans="129:129" x14ac:dyDescent="0.2">
      <c r="DY3434" s="185" t="s">
        <v>215</v>
      </c>
    </row>
    <row r="3435" spans="129:129" x14ac:dyDescent="0.2">
      <c r="DY3435" s="185" t="s">
        <v>215</v>
      </c>
    </row>
    <row r="3436" spans="129:129" x14ac:dyDescent="0.2">
      <c r="DY3436" s="185" t="s">
        <v>215</v>
      </c>
    </row>
    <row r="3437" spans="129:129" x14ac:dyDescent="0.2">
      <c r="DY3437" s="185" t="s">
        <v>215</v>
      </c>
    </row>
    <row r="3438" spans="129:129" x14ac:dyDescent="0.2">
      <c r="DY3438" s="185" t="s">
        <v>215</v>
      </c>
    </row>
    <row r="3439" spans="129:129" x14ac:dyDescent="0.2">
      <c r="DY3439" s="185" t="s">
        <v>215</v>
      </c>
    </row>
    <row r="3440" spans="129:129" x14ac:dyDescent="0.2">
      <c r="DY3440" s="185" t="s">
        <v>215</v>
      </c>
    </row>
    <row r="3441" spans="129:129" x14ac:dyDescent="0.2">
      <c r="DY3441" s="185" t="s">
        <v>215</v>
      </c>
    </row>
    <row r="3442" spans="129:129" x14ac:dyDescent="0.2">
      <c r="DY3442" s="185" t="s">
        <v>215</v>
      </c>
    </row>
    <row r="3443" spans="129:129" x14ac:dyDescent="0.2">
      <c r="DY3443" s="185" t="s">
        <v>215</v>
      </c>
    </row>
    <row r="3444" spans="129:129" x14ac:dyDescent="0.2">
      <c r="DY3444" s="185" t="s">
        <v>215</v>
      </c>
    </row>
    <row r="3445" spans="129:129" x14ac:dyDescent="0.2">
      <c r="DY3445" s="185" t="s">
        <v>215</v>
      </c>
    </row>
    <row r="3446" spans="129:129" x14ac:dyDescent="0.2">
      <c r="DY3446" s="185" t="s">
        <v>215</v>
      </c>
    </row>
    <row r="3447" spans="129:129" x14ac:dyDescent="0.2">
      <c r="DY3447" s="185" t="s">
        <v>215</v>
      </c>
    </row>
    <row r="3448" spans="129:129" x14ac:dyDescent="0.2">
      <c r="DY3448" s="185" t="s">
        <v>215</v>
      </c>
    </row>
    <row r="3449" spans="129:129" x14ac:dyDescent="0.2">
      <c r="DY3449" s="185" t="s">
        <v>215</v>
      </c>
    </row>
    <row r="3450" spans="129:129" x14ac:dyDescent="0.2">
      <c r="DY3450" s="185" t="s">
        <v>215</v>
      </c>
    </row>
    <row r="3451" spans="129:129" x14ac:dyDescent="0.2">
      <c r="DY3451" s="185" t="s">
        <v>215</v>
      </c>
    </row>
    <row r="3452" spans="129:129" x14ac:dyDescent="0.2">
      <c r="DY3452" s="185" t="s">
        <v>215</v>
      </c>
    </row>
    <row r="3453" spans="129:129" x14ac:dyDescent="0.2">
      <c r="DY3453" s="185" t="s">
        <v>215</v>
      </c>
    </row>
    <row r="3454" spans="129:129" x14ac:dyDescent="0.2">
      <c r="DY3454" s="185" t="s">
        <v>215</v>
      </c>
    </row>
    <row r="3455" spans="129:129" x14ac:dyDescent="0.2">
      <c r="DY3455" s="185" t="s">
        <v>215</v>
      </c>
    </row>
    <row r="3456" spans="129:129" x14ac:dyDescent="0.2">
      <c r="DY3456" s="185" t="s">
        <v>215</v>
      </c>
    </row>
    <row r="3457" spans="129:129" x14ac:dyDescent="0.2">
      <c r="DY3457" s="185" t="s">
        <v>215</v>
      </c>
    </row>
    <row r="3458" spans="129:129" x14ac:dyDescent="0.2">
      <c r="DY3458" s="185" t="s">
        <v>215</v>
      </c>
    </row>
    <row r="3459" spans="129:129" x14ac:dyDescent="0.2">
      <c r="DY3459" s="185" t="s">
        <v>215</v>
      </c>
    </row>
    <row r="3460" spans="129:129" x14ac:dyDescent="0.2">
      <c r="DY3460" s="185" t="s">
        <v>215</v>
      </c>
    </row>
    <row r="3461" spans="129:129" x14ac:dyDescent="0.2">
      <c r="DY3461" s="185" t="s">
        <v>215</v>
      </c>
    </row>
    <row r="3462" spans="129:129" x14ac:dyDescent="0.2">
      <c r="DY3462" s="185" t="s">
        <v>215</v>
      </c>
    </row>
    <row r="3463" spans="129:129" x14ac:dyDescent="0.2">
      <c r="DY3463" s="185" t="s">
        <v>215</v>
      </c>
    </row>
    <row r="3464" spans="129:129" x14ac:dyDescent="0.2">
      <c r="DY3464" s="185" t="s">
        <v>215</v>
      </c>
    </row>
    <row r="3465" spans="129:129" x14ac:dyDescent="0.2">
      <c r="DY3465" s="185" t="s">
        <v>215</v>
      </c>
    </row>
    <row r="3466" spans="129:129" x14ac:dyDescent="0.2">
      <c r="DY3466" s="185" t="s">
        <v>215</v>
      </c>
    </row>
    <row r="3467" spans="129:129" x14ac:dyDescent="0.2">
      <c r="DY3467" s="185" t="s">
        <v>215</v>
      </c>
    </row>
    <row r="3468" spans="129:129" x14ac:dyDescent="0.2">
      <c r="DY3468" s="185" t="s">
        <v>215</v>
      </c>
    </row>
    <row r="3469" spans="129:129" x14ac:dyDescent="0.2">
      <c r="DY3469" s="185" t="s">
        <v>215</v>
      </c>
    </row>
    <row r="3470" spans="129:129" x14ac:dyDescent="0.2">
      <c r="DY3470" s="185" t="s">
        <v>215</v>
      </c>
    </row>
    <row r="3471" spans="129:129" x14ac:dyDescent="0.2">
      <c r="DY3471" s="185" t="s">
        <v>215</v>
      </c>
    </row>
    <row r="3472" spans="129:129" x14ac:dyDescent="0.2">
      <c r="DY3472" s="185" t="s">
        <v>215</v>
      </c>
    </row>
    <row r="3473" spans="129:129" x14ac:dyDescent="0.2">
      <c r="DY3473" s="185" t="s">
        <v>215</v>
      </c>
    </row>
    <row r="3474" spans="129:129" x14ac:dyDescent="0.2">
      <c r="DY3474" s="185" t="s">
        <v>215</v>
      </c>
    </row>
    <row r="3475" spans="129:129" x14ac:dyDescent="0.2">
      <c r="DY3475" s="185" t="s">
        <v>215</v>
      </c>
    </row>
    <row r="3476" spans="129:129" x14ac:dyDescent="0.2">
      <c r="DY3476" s="185" t="s">
        <v>215</v>
      </c>
    </row>
    <row r="3477" spans="129:129" x14ac:dyDescent="0.2">
      <c r="DY3477" s="185" t="s">
        <v>215</v>
      </c>
    </row>
    <row r="3478" spans="129:129" x14ac:dyDescent="0.2">
      <c r="DY3478" s="185" t="s">
        <v>215</v>
      </c>
    </row>
    <row r="3479" spans="129:129" x14ac:dyDescent="0.2">
      <c r="DY3479" s="185" t="s">
        <v>215</v>
      </c>
    </row>
    <row r="3480" spans="129:129" x14ac:dyDescent="0.2">
      <c r="DY3480" s="185" t="s">
        <v>215</v>
      </c>
    </row>
    <row r="3481" spans="129:129" x14ac:dyDescent="0.2">
      <c r="DY3481" s="185" t="s">
        <v>215</v>
      </c>
    </row>
    <row r="3482" spans="129:129" x14ac:dyDescent="0.2">
      <c r="DY3482" s="185" t="s">
        <v>215</v>
      </c>
    </row>
    <row r="3483" spans="129:129" x14ac:dyDescent="0.2">
      <c r="DY3483" s="185" t="s">
        <v>215</v>
      </c>
    </row>
    <row r="3484" spans="129:129" x14ac:dyDescent="0.2">
      <c r="DY3484" s="185" t="s">
        <v>215</v>
      </c>
    </row>
    <row r="3485" spans="129:129" x14ac:dyDescent="0.2">
      <c r="DY3485" s="185" t="s">
        <v>215</v>
      </c>
    </row>
    <row r="3486" spans="129:129" x14ac:dyDescent="0.2">
      <c r="DY3486" s="185" t="s">
        <v>215</v>
      </c>
    </row>
    <row r="3487" spans="129:129" x14ac:dyDescent="0.2">
      <c r="DY3487" s="185" t="s">
        <v>215</v>
      </c>
    </row>
    <row r="3488" spans="129:129" x14ac:dyDescent="0.2">
      <c r="DY3488" s="185" t="s">
        <v>215</v>
      </c>
    </row>
    <row r="3489" spans="129:129" x14ac:dyDescent="0.2">
      <c r="DY3489" s="185" t="s">
        <v>215</v>
      </c>
    </row>
    <row r="3490" spans="129:129" x14ac:dyDescent="0.2">
      <c r="DY3490" s="185" t="s">
        <v>215</v>
      </c>
    </row>
    <row r="3491" spans="129:129" x14ac:dyDescent="0.2">
      <c r="DY3491" s="185" t="s">
        <v>215</v>
      </c>
    </row>
    <row r="3492" spans="129:129" x14ac:dyDescent="0.2">
      <c r="DY3492" s="185" t="s">
        <v>215</v>
      </c>
    </row>
    <row r="3493" spans="129:129" x14ac:dyDescent="0.2">
      <c r="DY3493" s="185" t="s">
        <v>215</v>
      </c>
    </row>
    <row r="3494" spans="129:129" x14ac:dyDescent="0.2">
      <c r="DY3494" s="185" t="s">
        <v>215</v>
      </c>
    </row>
    <row r="3495" spans="129:129" x14ac:dyDescent="0.2">
      <c r="DY3495" s="185" t="s">
        <v>215</v>
      </c>
    </row>
    <row r="3496" spans="129:129" x14ac:dyDescent="0.2">
      <c r="DY3496" s="185" t="s">
        <v>215</v>
      </c>
    </row>
    <row r="3497" spans="129:129" x14ac:dyDescent="0.2">
      <c r="DY3497" s="185" t="s">
        <v>215</v>
      </c>
    </row>
    <row r="3498" spans="129:129" x14ac:dyDescent="0.2">
      <c r="DY3498" s="185" t="s">
        <v>215</v>
      </c>
    </row>
    <row r="3499" spans="129:129" x14ac:dyDescent="0.2">
      <c r="DY3499" s="185" t="s">
        <v>215</v>
      </c>
    </row>
    <row r="3500" spans="129:129" x14ac:dyDescent="0.2">
      <c r="DY3500" s="185" t="s">
        <v>215</v>
      </c>
    </row>
    <row r="3501" spans="129:129" x14ac:dyDescent="0.2">
      <c r="DY3501" s="185" t="s">
        <v>215</v>
      </c>
    </row>
    <row r="3502" spans="129:129" x14ac:dyDescent="0.2">
      <c r="DY3502" s="185" t="s">
        <v>215</v>
      </c>
    </row>
    <row r="3503" spans="129:129" x14ac:dyDescent="0.2">
      <c r="DY3503" s="185" t="s">
        <v>215</v>
      </c>
    </row>
    <row r="3504" spans="129:129" x14ac:dyDescent="0.2">
      <c r="DY3504" s="185" t="s">
        <v>215</v>
      </c>
    </row>
    <row r="3505" spans="129:129" x14ac:dyDescent="0.2">
      <c r="DY3505" s="185" t="s">
        <v>215</v>
      </c>
    </row>
    <row r="3506" spans="129:129" x14ac:dyDescent="0.2">
      <c r="DY3506" s="185" t="s">
        <v>215</v>
      </c>
    </row>
    <row r="3507" spans="129:129" x14ac:dyDescent="0.2">
      <c r="DY3507" s="185" t="s">
        <v>215</v>
      </c>
    </row>
    <row r="3508" spans="129:129" x14ac:dyDescent="0.2">
      <c r="DY3508" s="185" t="s">
        <v>215</v>
      </c>
    </row>
    <row r="3509" spans="129:129" x14ac:dyDescent="0.2">
      <c r="DY3509" s="185" t="s">
        <v>215</v>
      </c>
    </row>
    <row r="3510" spans="129:129" x14ac:dyDescent="0.2">
      <c r="DY3510" s="185" t="s">
        <v>215</v>
      </c>
    </row>
    <row r="3511" spans="129:129" x14ac:dyDescent="0.2">
      <c r="DY3511" s="185" t="s">
        <v>215</v>
      </c>
    </row>
    <row r="3512" spans="129:129" x14ac:dyDescent="0.2">
      <c r="DY3512" s="185" t="s">
        <v>215</v>
      </c>
    </row>
    <row r="3513" spans="129:129" x14ac:dyDescent="0.2">
      <c r="DY3513" s="185" t="s">
        <v>215</v>
      </c>
    </row>
    <row r="3514" spans="129:129" x14ac:dyDescent="0.2">
      <c r="DY3514" s="185" t="s">
        <v>215</v>
      </c>
    </row>
    <row r="3515" spans="129:129" x14ac:dyDescent="0.2">
      <c r="DY3515" s="185" t="s">
        <v>215</v>
      </c>
    </row>
    <row r="3516" spans="129:129" x14ac:dyDescent="0.2">
      <c r="DY3516" s="185" t="s">
        <v>215</v>
      </c>
    </row>
    <row r="3517" spans="129:129" x14ac:dyDescent="0.2">
      <c r="DY3517" s="185" t="s">
        <v>215</v>
      </c>
    </row>
    <row r="3518" spans="129:129" x14ac:dyDescent="0.2">
      <c r="DY3518" s="185" t="s">
        <v>215</v>
      </c>
    </row>
    <row r="3519" spans="129:129" x14ac:dyDescent="0.2">
      <c r="DY3519" s="185" t="s">
        <v>215</v>
      </c>
    </row>
    <row r="3520" spans="129:129" x14ac:dyDescent="0.2">
      <c r="DY3520" s="185" t="s">
        <v>215</v>
      </c>
    </row>
    <row r="3521" spans="129:129" x14ac:dyDescent="0.2">
      <c r="DY3521" s="185" t="s">
        <v>215</v>
      </c>
    </row>
    <row r="3522" spans="129:129" x14ac:dyDescent="0.2">
      <c r="DY3522" s="185" t="s">
        <v>215</v>
      </c>
    </row>
    <row r="3523" spans="129:129" x14ac:dyDescent="0.2">
      <c r="DY3523" s="185" t="s">
        <v>215</v>
      </c>
    </row>
    <row r="3524" spans="129:129" x14ac:dyDescent="0.2">
      <c r="DY3524" s="185" t="s">
        <v>215</v>
      </c>
    </row>
    <row r="3525" spans="129:129" x14ac:dyDescent="0.2">
      <c r="DY3525" s="185" t="s">
        <v>215</v>
      </c>
    </row>
    <row r="3526" spans="129:129" x14ac:dyDescent="0.2">
      <c r="DY3526" s="185" t="s">
        <v>215</v>
      </c>
    </row>
    <row r="3527" spans="129:129" x14ac:dyDescent="0.2">
      <c r="DY3527" s="185" t="s">
        <v>215</v>
      </c>
    </row>
    <row r="3528" spans="129:129" x14ac:dyDescent="0.2">
      <c r="DY3528" s="185" t="s">
        <v>215</v>
      </c>
    </row>
    <row r="3529" spans="129:129" x14ac:dyDescent="0.2">
      <c r="DY3529" s="185" t="s">
        <v>215</v>
      </c>
    </row>
    <row r="3530" spans="129:129" x14ac:dyDescent="0.2">
      <c r="DY3530" s="185" t="s">
        <v>215</v>
      </c>
    </row>
    <row r="3531" spans="129:129" x14ac:dyDescent="0.2">
      <c r="DY3531" s="185" t="s">
        <v>215</v>
      </c>
    </row>
    <row r="3532" spans="129:129" x14ac:dyDescent="0.2">
      <c r="DY3532" s="185" t="s">
        <v>215</v>
      </c>
    </row>
    <row r="3533" spans="129:129" x14ac:dyDescent="0.2">
      <c r="DY3533" s="185" t="s">
        <v>215</v>
      </c>
    </row>
    <row r="3534" spans="129:129" x14ac:dyDescent="0.2">
      <c r="DY3534" s="185" t="s">
        <v>215</v>
      </c>
    </row>
    <row r="3535" spans="129:129" x14ac:dyDescent="0.2">
      <c r="DY3535" s="185" t="s">
        <v>215</v>
      </c>
    </row>
    <row r="3536" spans="129:129" x14ac:dyDescent="0.2">
      <c r="DY3536" s="185" t="s">
        <v>215</v>
      </c>
    </row>
    <row r="3537" spans="129:129" x14ac:dyDescent="0.2">
      <c r="DY3537" s="185" t="s">
        <v>215</v>
      </c>
    </row>
    <row r="3538" spans="129:129" x14ac:dyDescent="0.2">
      <c r="DY3538" s="185" t="s">
        <v>215</v>
      </c>
    </row>
    <row r="3539" spans="129:129" x14ac:dyDescent="0.2">
      <c r="DY3539" s="185" t="s">
        <v>215</v>
      </c>
    </row>
    <row r="3540" spans="129:129" x14ac:dyDescent="0.2">
      <c r="DY3540" s="185" t="s">
        <v>215</v>
      </c>
    </row>
    <row r="3541" spans="129:129" x14ac:dyDescent="0.2">
      <c r="DY3541" s="185" t="s">
        <v>215</v>
      </c>
    </row>
    <row r="3542" spans="129:129" x14ac:dyDescent="0.2">
      <c r="DY3542" s="185" t="s">
        <v>215</v>
      </c>
    </row>
    <row r="3543" spans="129:129" x14ac:dyDescent="0.2">
      <c r="DY3543" s="185" t="s">
        <v>215</v>
      </c>
    </row>
    <row r="3544" spans="129:129" x14ac:dyDescent="0.2">
      <c r="DY3544" s="185" t="s">
        <v>215</v>
      </c>
    </row>
    <row r="3545" spans="129:129" x14ac:dyDescent="0.2">
      <c r="DY3545" s="185" t="s">
        <v>215</v>
      </c>
    </row>
    <row r="3546" spans="129:129" x14ac:dyDescent="0.2">
      <c r="DY3546" s="185" t="s">
        <v>215</v>
      </c>
    </row>
    <row r="3547" spans="129:129" x14ac:dyDescent="0.2">
      <c r="DY3547" s="185" t="s">
        <v>215</v>
      </c>
    </row>
    <row r="3548" spans="129:129" x14ac:dyDescent="0.2">
      <c r="DY3548" s="185" t="s">
        <v>215</v>
      </c>
    </row>
    <row r="3549" spans="129:129" x14ac:dyDescent="0.2">
      <c r="DY3549" s="185" t="s">
        <v>215</v>
      </c>
    </row>
    <row r="3550" spans="129:129" x14ac:dyDescent="0.2">
      <c r="DY3550" s="185" t="s">
        <v>215</v>
      </c>
    </row>
    <row r="3551" spans="129:129" x14ac:dyDescent="0.2">
      <c r="DY3551" s="185" t="s">
        <v>215</v>
      </c>
    </row>
    <row r="3552" spans="129:129" x14ac:dyDescent="0.2">
      <c r="DY3552" s="185" t="s">
        <v>215</v>
      </c>
    </row>
    <row r="3553" spans="129:129" x14ac:dyDescent="0.2">
      <c r="DY3553" s="185" t="s">
        <v>215</v>
      </c>
    </row>
    <row r="3554" spans="129:129" x14ac:dyDescent="0.2">
      <c r="DY3554" s="185" t="s">
        <v>215</v>
      </c>
    </row>
    <row r="3555" spans="129:129" x14ac:dyDescent="0.2">
      <c r="DY3555" s="185" t="s">
        <v>215</v>
      </c>
    </row>
    <row r="3556" spans="129:129" x14ac:dyDescent="0.2">
      <c r="DY3556" s="185" t="s">
        <v>215</v>
      </c>
    </row>
    <row r="3557" spans="129:129" x14ac:dyDescent="0.2">
      <c r="DY3557" s="185" t="s">
        <v>215</v>
      </c>
    </row>
    <row r="3558" spans="129:129" x14ac:dyDescent="0.2">
      <c r="DY3558" s="185" t="s">
        <v>215</v>
      </c>
    </row>
    <row r="3559" spans="129:129" x14ac:dyDescent="0.2">
      <c r="DY3559" s="185" t="s">
        <v>215</v>
      </c>
    </row>
    <row r="3560" spans="129:129" x14ac:dyDescent="0.2">
      <c r="DY3560" s="185" t="s">
        <v>215</v>
      </c>
    </row>
    <row r="3561" spans="129:129" x14ac:dyDescent="0.2">
      <c r="DY3561" s="185" t="s">
        <v>215</v>
      </c>
    </row>
    <row r="3562" spans="129:129" x14ac:dyDescent="0.2">
      <c r="DY3562" s="185" t="s">
        <v>215</v>
      </c>
    </row>
    <row r="3563" spans="129:129" x14ac:dyDescent="0.2">
      <c r="DY3563" s="185" t="s">
        <v>215</v>
      </c>
    </row>
    <row r="3564" spans="129:129" x14ac:dyDescent="0.2">
      <c r="DY3564" s="185" t="s">
        <v>215</v>
      </c>
    </row>
    <row r="3565" spans="129:129" x14ac:dyDescent="0.2">
      <c r="DY3565" s="185" t="s">
        <v>215</v>
      </c>
    </row>
    <row r="3566" spans="129:129" x14ac:dyDescent="0.2">
      <c r="DY3566" s="185" t="s">
        <v>215</v>
      </c>
    </row>
    <row r="3567" spans="129:129" x14ac:dyDescent="0.2">
      <c r="DY3567" s="185" t="s">
        <v>215</v>
      </c>
    </row>
    <row r="3568" spans="129:129" x14ac:dyDescent="0.2">
      <c r="DY3568" s="185" t="s">
        <v>215</v>
      </c>
    </row>
    <row r="3569" spans="129:129" x14ac:dyDescent="0.2">
      <c r="DY3569" s="185" t="s">
        <v>215</v>
      </c>
    </row>
    <row r="3570" spans="129:129" x14ac:dyDescent="0.2">
      <c r="DY3570" s="185" t="s">
        <v>215</v>
      </c>
    </row>
    <row r="3571" spans="129:129" x14ac:dyDescent="0.2">
      <c r="DY3571" s="185" t="s">
        <v>215</v>
      </c>
    </row>
    <row r="3572" spans="129:129" x14ac:dyDescent="0.2">
      <c r="DY3572" s="185" t="s">
        <v>215</v>
      </c>
    </row>
    <row r="3573" spans="129:129" x14ac:dyDescent="0.2">
      <c r="DY3573" s="185" t="s">
        <v>215</v>
      </c>
    </row>
    <row r="3574" spans="129:129" x14ac:dyDescent="0.2">
      <c r="DY3574" s="185" t="s">
        <v>215</v>
      </c>
    </row>
    <row r="3575" spans="129:129" x14ac:dyDescent="0.2">
      <c r="DY3575" s="185" t="s">
        <v>215</v>
      </c>
    </row>
    <row r="3576" spans="129:129" x14ac:dyDescent="0.2">
      <c r="DY3576" s="185" t="s">
        <v>215</v>
      </c>
    </row>
    <row r="3577" spans="129:129" x14ac:dyDescent="0.2">
      <c r="DY3577" s="185" t="s">
        <v>215</v>
      </c>
    </row>
    <row r="3578" spans="129:129" x14ac:dyDescent="0.2">
      <c r="DY3578" s="185" t="s">
        <v>215</v>
      </c>
    </row>
    <row r="3579" spans="129:129" x14ac:dyDescent="0.2">
      <c r="DY3579" s="185" t="s">
        <v>215</v>
      </c>
    </row>
    <row r="3580" spans="129:129" x14ac:dyDescent="0.2">
      <c r="DY3580" s="185" t="s">
        <v>215</v>
      </c>
    </row>
    <row r="3581" spans="129:129" x14ac:dyDescent="0.2">
      <c r="DY3581" s="185" t="s">
        <v>215</v>
      </c>
    </row>
    <row r="3582" spans="129:129" x14ac:dyDescent="0.2">
      <c r="DY3582" s="185" t="s">
        <v>215</v>
      </c>
    </row>
    <row r="3583" spans="129:129" x14ac:dyDescent="0.2">
      <c r="DY3583" s="185" t="s">
        <v>215</v>
      </c>
    </row>
    <row r="3584" spans="129:129" x14ac:dyDescent="0.2">
      <c r="DY3584" s="185" t="s">
        <v>215</v>
      </c>
    </row>
    <row r="3585" spans="129:129" x14ac:dyDescent="0.2">
      <c r="DY3585" s="185" t="s">
        <v>215</v>
      </c>
    </row>
    <row r="3586" spans="129:129" x14ac:dyDescent="0.2">
      <c r="DY3586" s="185" t="s">
        <v>215</v>
      </c>
    </row>
    <row r="3587" spans="129:129" x14ac:dyDescent="0.2">
      <c r="DY3587" s="185" t="s">
        <v>215</v>
      </c>
    </row>
    <row r="3588" spans="129:129" x14ac:dyDescent="0.2">
      <c r="DY3588" s="185" t="s">
        <v>215</v>
      </c>
    </row>
    <row r="3589" spans="129:129" x14ac:dyDescent="0.2">
      <c r="DY3589" s="185" t="s">
        <v>215</v>
      </c>
    </row>
    <row r="3590" spans="129:129" x14ac:dyDescent="0.2">
      <c r="DY3590" s="185" t="s">
        <v>215</v>
      </c>
    </row>
    <row r="3591" spans="129:129" x14ac:dyDescent="0.2">
      <c r="DY3591" s="185" t="s">
        <v>215</v>
      </c>
    </row>
    <row r="3592" spans="129:129" x14ac:dyDescent="0.2">
      <c r="DY3592" s="185" t="s">
        <v>215</v>
      </c>
    </row>
    <row r="3593" spans="129:129" x14ac:dyDescent="0.2">
      <c r="DY3593" s="185" t="s">
        <v>215</v>
      </c>
    </row>
    <row r="3594" spans="129:129" x14ac:dyDescent="0.2">
      <c r="DY3594" s="185" t="s">
        <v>215</v>
      </c>
    </row>
    <row r="3595" spans="129:129" x14ac:dyDescent="0.2">
      <c r="DY3595" s="185" t="s">
        <v>215</v>
      </c>
    </row>
    <row r="3596" spans="129:129" x14ac:dyDescent="0.2">
      <c r="DY3596" s="185" t="s">
        <v>215</v>
      </c>
    </row>
    <row r="3597" spans="129:129" x14ac:dyDescent="0.2">
      <c r="DY3597" s="185" t="s">
        <v>215</v>
      </c>
    </row>
    <row r="3598" spans="129:129" x14ac:dyDescent="0.2">
      <c r="DY3598" s="185" t="s">
        <v>215</v>
      </c>
    </row>
    <row r="3599" spans="129:129" x14ac:dyDescent="0.2">
      <c r="DY3599" s="185" t="s">
        <v>215</v>
      </c>
    </row>
    <row r="3600" spans="129:129" x14ac:dyDescent="0.2">
      <c r="DY3600" s="185" t="s">
        <v>215</v>
      </c>
    </row>
    <row r="3601" spans="129:129" x14ac:dyDescent="0.2">
      <c r="DY3601" s="185" t="s">
        <v>215</v>
      </c>
    </row>
    <row r="3602" spans="129:129" x14ac:dyDescent="0.2">
      <c r="DY3602" s="185" t="s">
        <v>215</v>
      </c>
    </row>
    <row r="3603" spans="129:129" x14ac:dyDescent="0.2">
      <c r="DY3603" s="185" t="s">
        <v>215</v>
      </c>
    </row>
    <row r="3604" spans="129:129" x14ac:dyDescent="0.2">
      <c r="DY3604" s="185" t="s">
        <v>215</v>
      </c>
    </row>
    <row r="3605" spans="129:129" x14ac:dyDescent="0.2">
      <c r="DY3605" s="185" t="s">
        <v>215</v>
      </c>
    </row>
    <row r="3606" spans="129:129" x14ac:dyDescent="0.2">
      <c r="DY3606" s="185" t="s">
        <v>215</v>
      </c>
    </row>
    <row r="3607" spans="129:129" x14ac:dyDescent="0.2">
      <c r="DY3607" s="185" t="s">
        <v>215</v>
      </c>
    </row>
    <row r="3608" spans="129:129" x14ac:dyDescent="0.2">
      <c r="DY3608" s="185" t="s">
        <v>215</v>
      </c>
    </row>
    <row r="3609" spans="129:129" x14ac:dyDescent="0.2">
      <c r="DY3609" s="185" t="s">
        <v>215</v>
      </c>
    </row>
    <row r="3610" spans="129:129" x14ac:dyDescent="0.2">
      <c r="DY3610" s="185" t="s">
        <v>215</v>
      </c>
    </row>
    <row r="3611" spans="129:129" x14ac:dyDescent="0.2">
      <c r="DY3611" s="185" t="s">
        <v>215</v>
      </c>
    </row>
    <row r="3612" spans="129:129" x14ac:dyDescent="0.2">
      <c r="DY3612" s="185" t="s">
        <v>215</v>
      </c>
    </row>
    <row r="3613" spans="129:129" x14ac:dyDescent="0.2">
      <c r="DY3613" s="185" t="s">
        <v>215</v>
      </c>
    </row>
    <row r="3614" spans="129:129" x14ac:dyDescent="0.2">
      <c r="DY3614" s="185" t="s">
        <v>215</v>
      </c>
    </row>
    <row r="3615" spans="129:129" x14ac:dyDescent="0.2">
      <c r="DY3615" s="185" t="s">
        <v>215</v>
      </c>
    </row>
    <row r="3616" spans="129:129" x14ac:dyDescent="0.2">
      <c r="DY3616" s="185" t="s">
        <v>215</v>
      </c>
    </row>
    <row r="3617" spans="129:129" x14ac:dyDescent="0.2">
      <c r="DY3617" s="185" t="s">
        <v>215</v>
      </c>
    </row>
    <row r="3618" spans="129:129" x14ac:dyDescent="0.2">
      <c r="DY3618" s="185" t="s">
        <v>215</v>
      </c>
    </row>
    <row r="3619" spans="129:129" x14ac:dyDescent="0.2">
      <c r="DY3619" s="185" t="s">
        <v>215</v>
      </c>
    </row>
    <row r="3620" spans="129:129" x14ac:dyDescent="0.2">
      <c r="DY3620" s="185" t="s">
        <v>215</v>
      </c>
    </row>
    <row r="3621" spans="129:129" x14ac:dyDescent="0.2">
      <c r="DY3621" s="185" t="s">
        <v>215</v>
      </c>
    </row>
    <row r="3622" spans="129:129" x14ac:dyDescent="0.2">
      <c r="DY3622" s="185" t="s">
        <v>215</v>
      </c>
    </row>
    <row r="3623" spans="129:129" x14ac:dyDescent="0.2">
      <c r="DY3623" s="185" t="s">
        <v>215</v>
      </c>
    </row>
    <row r="3624" spans="129:129" x14ac:dyDescent="0.2">
      <c r="DY3624" s="185" t="s">
        <v>215</v>
      </c>
    </row>
    <row r="3625" spans="129:129" x14ac:dyDescent="0.2">
      <c r="DY3625" s="185" t="s">
        <v>215</v>
      </c>
    </row>
    <row r="3626" spans="129:129" x14ac:dyDescent="0.2">
      <c r="DY3626" s="185" t="s">
        <v>215</v>
      </c>
    </row>
    <row r="3627" spans="129:129" x14ac:dyDescent="0.2">
      <c r="DY3627" s="185" t="s">
        <v>215</v>
      </c>
    </row>
    <row r="3628" spans="129:129" x14ac:dyDescent="0.2">
      <c r="DY3628" s="185" t="s">
        <v>215</v>
      </c>
    </row>
    <row r="3629" spans="129:129" x14ac:dyDescent="0.2">
      <c r="DY3629" s="185" t="s">
        <v>215</v>
      </c>
    </row>
    <row r="3630" spans="129:129" x14ac:dyDescent="0.2">
      <c r="DY3630" s="185" t="s">
        <v>215</v>
      </c>
    </row>
    <row r="3631" spans="129:129" x14ac:dyDescent="0.2">
      <c r="DY3631" s="185" t="s">
        <v>215</v>
      </c>
    </row>
    <row r="3632" spans="129:129" x14ac:dyDescent="0.2">
      <c r="DY3632" s="185" t="s">
        <v>215</v>
      </c>
    </row>
    <row r="3633" spans="129:129" x14ac:dyDescent="0.2">
      <c r="DY3633" s="185" t="s">
        <v>215</v>
      </c>
    </row>
    <row r="3634" spans="129:129" x14ac:dyDescent="0.2">
      <c r="DY3634" s="185" t="s">
        <v>215</v>
      </c>
    </row>
    <row r="3635" spans="129:129" x14ac:dyDescent="0.2">
      <c r="DY3635" s="185" t="s">
        <v>215</v>
      </c>
    </row>
    <row r="3636" spans="129:129" x14ac:dyDescent="0.2">
      <c r="DY3636" s="185" t="s">
        <v>215</v>
      </c>
    </row>
    <row r="3637" spans="129:129" x14ac:dyDescent="0.2">
      <c r="DY3637" s="185" t="s">
        <v>215</v>
      </c>
    </row>
    <row r="3638" spans="129:129" x14ac:dyDescent="0.2">
      <c r="DY3638" s="185" t="s">
        <v>215</v>
      </c>
    </row>
    <row r="3639" spans="129:129" x14ac:dyDescent="0.2">
      <c r="DY3639" s="185" t="s">
        <v>215</v>
      </c>
    </row>
    <row r="3640" spans="129:129" x14ac:dyDescent="0.2">
      <c r="DY3640" s="185" t="s">
        <v>215</v>
      </c>
    </row>
    <row r="3641" spans="129:129" x14ac:dyDescent="0.2">
      <c r="DY3641" s="185" t="s">
        <v>215</v>
      </c>
    </row>
    <row r="3642" spans="129:129" x14ac:dyDescent="0.2">
      <c r="DY3642" s="185" t="s">
        <v>215</v>
      </c>
    </row>
    <row r="3643" spans="129:129" x14ac:dyDescent="0.2">
      <c r="DY3643" s="185" t="s">
        <v>215</v>
      </c>
    </row>
    <row r="3644" spans="129:129" x14ac:dyDescent="0.2">
      <c r="DY3644" s="185" t="s">
        <v>215</v>
      </c>
    </row>
    <row r="3645" spans="129:129" x14ac:dyDescent="0.2">
      <c r="DY3645" s="185" t="s">
        <v>215</v>
      </c>
    </row>
    <row r="3646" spans="129:129" x14ac:dyDescent="0.2">
      <c r="DY3646" s="185" t="s">
        <v>215</v>
      </c>
    </row>
    <row r="3647" spans="129:129" x14ac:dyDescent="0.2">
      <c r="DY3647" s="185" t="s">
        <v>215</v>
      </c>
    </row>
    <row r="3648" spans="129:129" x14ac:dyDescent="0.2">
      <c r="DY3648" s="185" t="s">
        <v>215</v>
      </c>
    </row>
    <row r="3649" spans="129:129" x14ac:dyDescent="0.2">
      <c r="DY3649" s="185" t="s">
        <v>215</v>
      </c>
    </row>
    <row r="3650" spans="129:129" x14ac:dyDescent="0.2">
      <c r="DY3650" s="185" t="s">
        <v>215</v>
      </c>
    </row>
    <row r="3651" spans="129:129" x14ac:dyDescent="0.2">
      <c r="DY3651" s="185" t="s">
        <v>215</v>
      </c>
    </row>
    <row r="3652" spans="129:129" x14ac:dyDescent="0.2">
      <c r="DY3652" s="185" t="s">
        <v>215</v>
      </c>
    </row>
    <row r="3653" spans="129:129" x14ac:dyDescent="0.2">
      <c r="DY3653" s="185" t="s">
        <v>215</v>
      </c>
    </row>
    <row r="3654" spans="129:129" x14ac:dyDescent="0.2">
      <c r="DY3654" s="185" t="s">
        <v>215</v>
      </c>
    </row>
    <row r="3655" spans="129:129" x14ac:dyDescent="0.2">
      <c r="DY3655" s="185" t="s">
        <v>215</v>
      </c>
    </row>
    <row r="3656" spans="129:129" x14ac:dyDescent="0.2">
      <c r="DY3656" s="185" t="s">
        <v>215</v>
      </c>
    </row>
    <row r="3657" spans="129:129" x14ac:dyDescent="0.2">
      <c r="DY3657" s="185" t="s">
        <v>215</v>
      </c>
    </row>
    <row r="3658" spans="129:129" x14ac:dyDescent="0.2">
      <c r="DY3658" s="185" t="s">
        <v>215</v>
      </c>
    </row>
    <row r="3659" spans="129:129" x14ac:dyDescent="0.2">
      <c r="DY3659" s="185" t="s">
        <v>215</v>
      </c>
    </row>
    <row r="3660" spans="129:129" x14ac:dyDescent="0.2">
      <c r="DY3660" s="185" t="s">
        <v>215</v>
      </c>
    </row>
    <row r="3661" spans="129:129" x14ac:dyDescent="0.2">
      <c r="DY3661" s="185" t="s">
        <v>215</v>
      </c>
    </row>
    <row r="3662" spans="129:129" x14ac:dyDescent="0.2">
      <c r="DY3662" s="185" t="s">
        <v>215</v>
      </c>
    </row>
    <row r="3663" spans="129:129" x14ac:dyDescent="0.2">
      <c r="DY3663" s="185" t="s">
        <v>215</v>
      </c>
    </row>
    <row r="3664" spans="129:129" x14ac:dyDescent="0.2">
      <c r="DY3664" s="185" t="s">
        <v>215</v>
      </c>
    </row>
    <row r="3665" spans="129:129" x14ac:dyDescent="0.2">
      <c r="DY3665" s="185" t="s">
        <v>215</v>
      </c>
    </row>
    <row r="3666" spans="129:129" x14ac:dyDescent="0.2">
      <c r="DY3666" s="185" t="s">
        <v>215</v>
      </c>
    </row>
    <row r="3667" spans="129:129" x14ac:dyDescent="0.2">
      <c r="DY3667" s="185" t="s">
        <v>215</v>
      </c>
    </row>
    <row r="3668" spans="129:129" x14ac:dyDescent="0.2">
      <c r="DY3668" s="185" t="s">
        <v>215</v>
      </c>
    </row>
    <row r="3669" spans="129:129" x14ac:dyDescent="0.2">
      <c r="DY3669" s="185" t="s">
        <v>215</v>
      </c>
    </row>
    <row r="3670" spans="129:129" x14ac:dyDescent="0.2">
      <c r="DY3670" s="185" t="s">
        <v>215</v>
      </c>
    </row>
    <row r="3671" spans="129:129" x14ac:dyDescent="0.2">
      <c r="DY3671" s="185" t="s">
        <v>215</v>
      </c>
    </row>
    <row r="3672" spans="129:129" x14ac:dyDescent="0.2">
      <c r="DY3672" s="185" t="s">
        <v>215</v>
      </c>
    </row>
    <row r="3673" spans="129:129" x14ac:dyDescent="0.2">
      <c r="DY3673" s="185" t="s">
        <v>215</v>
      </c>
    </row>
    <row r="3674" spans="129:129" x14ac:dyDescent="0.2">
      <c r="DY3674" s="185" t="s">
        <v>215</v>
      </c>
    </row>
    <row r="3675" spans="129:129" x14ac:dyDescent="0.2">
      <c r="DY3675" s="185" t="s">
        <v>215</v>
      </c>
    </row>
    <row r="3676" spans="129:129" x14ac:dyDescent="0.2">
      <c r="DY3676" s="185" t="s">
        <v>215</v>
      </c>
    </row>
    <row r="3677" spans="129:129" x14ac:dyDescent="0.2">
      <c r="DY3677" s="185" t="s">
        <v>215</v>
      </c>
    </row>
    <row r="3678" spans="129:129" x14ac:dyDescent="0.2">
      <c r="DY3678" s="185" t="s">
        <v>215</v>
      </c>
    </row>
    <row r="3679" spans="129:129" x14ac:dyDescent="0.2">
      <c r="DY3679" s="185" t="s">
        <v>215</v>
      </c>
    </row>
    <row r="3680" spans="129:129" x14ac:dyDescent="0.2">
      <c r="DY3680" s="185" t="s">
        <v>215</v>
      </c>
    </row>
    <row r="3681" spans="129:129" x14ac:dyDescent="0.2">
      <c r="DY3681" s="185" t="s">
        <v>215</v>
      </c>
    </row>
    <row r="3682" spans="129:129" x14ac:dyDescent="0.2">
      <c r="DY3682" s="185" t="s">
        <v>215</v>
      </c>
    </row>
    <row r="3683" spans="129:129" x14ac:dyDescent="0.2">
      <c r="DY3683" s="185" t="s">
        <v>215</v>
      </c>
    </row>
    <row r="3684" spans="129:129" x14ac:dyDescent="0.2">
      <c r="DY3684" s="185" t="s">
        <v>215</v>
      </c>
    </row>
    <row r="3685" spans="129:129" x14ac:dyDescent="0.2">
      <c r="DY3685" s="185" t="s">
        <v>215</v>
      </c>
    </row>
    <row r="3686" spans="129:129" x14ac:dyDescent="0.2">
      <c r="DY3686" s="185" t="s">
        <v>215</v>
      </c>
    </row>
    <row r="3687" spans="129:129" x14ac:dyDescent="0.2">
      <c r="DY3687" s="185" t="s">
        <v>215</v>
      </c>
    </row>
    <row r="3688" spans="129:129" x14ac:dyDescent="0.2">
      <c r="DY3688" s="185" t="s">
        <v>215</v>
      </c>
    </row>
    <row r="3689" spans="129:129" x14ac:dyDescent="0.2">
      <c r="DY3689" s="185" t="s">
        <v>215</v>
      </c>
    </row>
    <row r="3690" spans="129:129" x14ac:dyDescent="0.2">
      <c r="DY3690" s="185" t="s">
        <v>215</v>
      </c>
    </row>
    <row r="3691" spans="129:129" x14ac:dyDescent="0.2">
      <c r="DY3691" s="185" t="s">
        <v>215</v>
      </c>
    </row>
    <row r="3692" spans="129:129" x14ac:dyDescent="0.2">
      <c r="DY3692" s="185" t="s">
        <v>215</v>
      </c>
    </row>
    <row r="3693" spans="129:129" x14ac:dyDescent="0.2">
      <c r="DY3693" s="185" t="s">
        <v>215</v>
      </c>
    </row>
    <row r="3694" spans="129:129" x14ac:dyDescent="0.2">
      <c r="DY3694" s="185" t="s">
        <v>215</v>
      </c>
    </row>
    <row r="3695" spans="129:129" x14ac:dyDescent="0.2">
      <c r="DY3695" s="185" t="s">
        <v>215</v>
      </c>
    </row>
    <row r="3696" spans="129:129" x14ac:dyDescent="0.2">
      <c r="DY3696" s="185" t="s">
        <v>215</v>
      </c>
    </row>
    <row r="3697" spans="129:129" x14ac:dyDescent="0.2">
      <c r="DY3697" s="185" t="s">
        <v>215</v>
      </c>
    </row>
    <row r="3698" spans="129:129" x14ac:dyDescent="0.2">
      <c r="DY3698" s="185" t="s">
        <v>215</v>
      </c>
    </row>
    <row r="3699" spans="129:129" x14ac:dyDescent="0.2">
      <c r="DY3699" s="185" t="s">
        <v>215</v>
      </c>
    </row>
    <row r="3700" spans="129:129" x14ac:dyDescent="0.2">
      <c r="DY3700" s="185" t="s">
        <v>215</v>
      </c>
    </row>
    <row r="3701" spans="129:129" x14ac:dyDescent="0.2">
      <c r="DY3701" s="185" t="s">
        <v>215</v>
      </c>
    </row>
    <row r="3702" spans="129:129" x14ac:dyDescent="0.2">
      <c r="DY3702" s="185" t="s">
        <v>215</v>
      </c>
    </row>
    <row r="3703" spans="129:129" x14ac:dyDescent="0.2">
      <c r="DY3703" s="185" t="s">
        <v>215</v>
      </c>
    </row>
    <row r="3704" spans="129:129" x14ac:dyDescent="0.2">
      <c r="DY3704" s="185" t="s">
        <v>215</v>
      </c>
    </row>
    <row r="3705" spans="129:129" x14ac:dyDescent="0.2">
      <c r="DY3705" s="185" t="s">
        <v>215</v>
      </c>
    </row>
    <row r="3706" spans="129:129" x14ac:dyDescent="0.2">
      <c r="DY3706" s="185" t="s">
        <v>215</v>
      </c>
    </row>
    <row r="3707" spans="129:129" x14ac:dyDescent="0.2">
      <c r="DY3707" s="185" t="s">
        <v>215</v>
      </c>
    </row>
    <row r="3708" spans="129:129" x14ac:dyDescent="0.2">
      <c r="DY3708" s="185" t="s">
        <v>215</v>
      </c>
    </row>
    <row r="3709" spans="129:129" x14ac:dyDescent="0.2">
      <c r="DY3709" s="185" t="s">
        <v>215</v>
      </c>
    </row>
    <row r="3710" spans="129:129" x14ac:dyDescent="0.2">
      <c r="DY3710" s="185" t="s">
        <v>215</v>
      </c>
    </row>
    <row r="3711" spans="129:129" x14ac:dyDescent="0.2">
      <c r="DY3711" s="185" t="s">
        <v>215</v>
      </c>
    </row>
    <row r="3712" spans="129:129" x14ac:dyDescent="0.2">
      <c r="DY3712" s="185" t="s">
        <v>215</v>
      </c>
    </row>
    <row r="3713" spans="129:129" x14ac:dyDescent="0.2">
      <c r="DY3713" s="185" t="s">
        <v>215</v>
      </c>
    </row>
    <row r="3714" spans="129:129" x14ac:dyDescent="0.2">
      <c r="DY3714" s="185" t="s">
        <v>215</v>
      </c>
    </row>
    <row r="3715" spans="129:129" x14ac:dyDescent="0.2">
      <c r="DY3715" s="185" t="s">
        <v>215</v>
      </c>
    </row>
    <row r="3716" spans="129:129" x14ac:dyDescent="0.2">
      <c r="DY3716" s="185" t="s">
        <v>215</v>
      </c>
    </row>
    <row r="3717" spans="129:129" x14ac:dyDescent="0.2">
      <c r="DY3717" s="185" t="s">
        <v>215</v>
      </c>
    </row>
    <row r="3718" spans="129:129" x14ac:dyDescent="0.2">
      <c r="DY3718" s="185" t="s">
        <v>215</v>
      </c>
    </row>
    <row r="3719" spans="129:129" x14ac:dyDescent="0.2">
      <c r="DY3719" s="185" t="s">
        <v>215</v>
      </c>
    </row>
    <row r="3720" spans="129:129" x14ac:dyDescent="0.2">
      <c r="DY3720" s="185" t="s">
        <v>215</v>
      </c>
    </row>
    <row r="3721" spans="129:129" x14ac:dyDescent="0.2">
      <c r="DY3721" s="185" t="s">
        <v>215</v>
      </c>
    </row>
    <row r="3722" spans="129:129" x14ac:dyDescent="0.2">
      <c r="DY3722" s="185" t="s">
        <v>215</v>
      </c>
    </row>
    <row r="3723" spans="129:129" x14ac:dyDescent="0.2">
      <c r="DY3723" s="185" t="s">
        <v>215</v>
      </c>
    </row>
    <row r="3724" spans="129:129" x14ac:dyDescent="0.2">
      <c r="DY3724" s="185" t="s">
        <v>215</v>
      </c>
    </row>
    <row r="3725" spans="129:129" x14ac:dyDescent="0.2">
      <c r="DY3725" s="185" t="s">
        <v>215</v>
      </c>
    </row>
    <row r="3726" spans="129:129" x14ac:dyDescent="0.2">
      <c r="DY3726" s="185" t="s">
        <v>215</v>
      </c>
    </row>
    <row r="3727" spans="129:129" x14ac:dyDescent="0.2">
      <c r="DY3727" s="185" t="s">
        <v>215</v>
      </c>
    </row>
    <row r="3728" spans="129:129" x14ac:dyDescent="0.2">
      <c r="DY3728" s="185" t="s">
        <v>215</v>
      </c>
    </row>
    <row r="3729" spans="129:129" x14ac:dyDescent="0.2">
      <c r="DY3729" s="185" t="s">
        <v>215</v>
      </c>
    </row>
    <row r="3730" spans="129:129" x14ac:dyDescent="0.2">
      <c r="DY3730" s="185" t="s">
        <v>215</v>
      </c>
    </row>
    <row r="3731" spans="129:129" x14ac:dyDescent="0.2">
      <c r="DY3731" s="185" t="s">
        <v>215</v>
      </c>
    </row>
    <row r="3732" spans="129:129" x14ac:dyDescent="0.2">
      <c r="DY3732" s="185" t="s">
        <v>215</v>
      </c>
    </row>
    <row r="3733" spans="129:129" x14ac:dyDescent="0.2">
      <c r="DY3733" s="185" t="s">
        <v>215</v>
      </c>
    </row>
    <row r="3734" spans="129:129" x14ac:dyDescent="0.2">
      <c r="DY3734" s="185" t="s">
        <v>215</v>
      </c>
    </row>
    <row r="3735" spans="129:129" x14ac:dyDescent="0.2">
      <c r="DY3735" s="185" t="s">
        <v>215</v>
      </c>
    </row>
    <row r="3736" spans="129:129" x14ac:dyDescent="0.2">
      <c r="DY3736" s="185" t="s">
        <v>215</v>
      </c>
    </row>
    <row r="3737" spans="129:129" x14ac:dyDescent="0.2">
      <c r="DY3737" s="185" t="s">
        <v>215</v>
      </c>
    </row>
    <row r="3738" spans="129:129" x14ac:dyDescent="0.2">
      <c r="DY3738" s="185" t="s">
        <v>215</v>
      </c>
    </row>
    <row r="3739" spans="129:129" x14ac:dyDescent="0.2">
      <c r="DY3739" s="185" t="s">
        <v>215</v>
      </c>
    </row>
    <row r="3740" spans="129:129" x14ac:dyDescent="0.2">
      <c r="DY3740" s="185" t="s">
        <v>215</v>
      </c>
    </row>
    <row r="3741" spans="129:129" x14ac:dyDescent="0.2">
      <c r="DY3741" s="185" t="s">
        <v>215</v>
      </c>
    </row>
    <row r="3742" spans="129:129" x14ac:dyDescent="0.2">
      <c r="DY3742" s="185" t="s">
        <v>215</v>
      </c>
    </row>
    <row r="3743" spans="129:129" x14ac:dyDescent="0.2">
      <c r="DY3743" s="185" t="s">
        <v>215</v>
      </c>
    </row>
    <row r="3744" spans="129:129" x14ac:dyDescent="0.2">
      <c r="DY3744" s="185" t="s">
        <v>215</v>
      </c>
    </row>
    <row r="3745" spans="129:129" x14ac:dyDescent="0.2">
      <c r="DY3745" s="185" t="s">
        <v>215</v>
      </c>
    </row>
    <row r="3746" spans="129:129" x14ac:dyDescent="0.2">
      <c r="DY3746" s="185" t="s">
        <v>215</v>
      </c>
    </row>
    <row r="3747" spans="129:129" x14ac:dyDescent="0.2">
      <c r="DY3747" s="185" t="s">
        <v>215</v>
      </c>
    </row>
    <row r="3748" spans="129:129" x14ac:dyDescent="0.2">
      <c r="DY3748" s="185" t="s">
        <v>215</v>
      </c>
    </row>
    <row r="3749" spans="129:129" x14ac:dyDescent="0.2">
      <c r="DY3749" s="185" t="s">
        <v>215</v>
      </c>
    </row>
    <row r="3750" spans="129:129" x14ac:dyDescent="0.2">
      <c r="DY3750" s="185" t="s">
        <v>215</v>
      </c>
    </row>
    <row r="3751" spans="129:129" x14ac:dyDescent="0.2">
      <c r="DY3751" s="185" t="s">
        <v>215</v>
      </c>
    </row>
    <row r="3752" spans="129:129" x14ac:dyDescent="0.2">
      <c r="DY3752" s="185" t="s">
        <v>215</v>
      </c>
    </row>
    <row r="3753" spans="129:129" x14ac:dyDescent="0.2">
      <c r="DY3753" s="185" t="s">
        <v>215</v>
      </c>
    </row>
    <row r="3754" spans="129:129" x14ac:dyDescent="0.2">
      <c r="DY3754" s="185" t="s">
        <v>215</v>
      </c>
    </row>
    <row r="3755" spans="129:129" x14ac:dyDescent="0.2">
      <c r="DY3755" s="185" t="s">
        <v>215</v>
      </c>
    </row>
    <row r="3756" spans="129:129" x14ac:dyDescent="0.2">
      <c r="DY3756" s="185" t="s">
        <v>215</v>
      </c>
    </row>
    <row r="3757" spans="129:129" x14ac:dyDescent="0.2">
      <c r="DY3757" s="185" t="s">
        <v>215</v>
      </c>
    </row>
    <row r="3758" spans="129:129" x14ac:dyDescent="0.2">
      <c r="DY3758" s="185" t="s">
        <v>215</v>
      </c>
    </row>
    <row r="3759" spans="129:129" x14ac:dyDescent="0.2">
      <c r="DY3759" s="185" t="s">
        <v>215</v>
      </c>
    </row>
    <row r="3760" spans="129:129" x14ac:dyDescent="0.2">
      <c r="DY3760" s="185" t="s">
        <v>215</v>
      </c>
    </row>
    <row r="3761" spans="129:129" x14ac:dyDescent="0.2">
      <c r="DY3761" s="185" t="s">
        <v>215</v>
      </c>
    </row>
    <row r="3762" spans="129:129" x14ac:dyDescent="0.2">
      <c r="DY3762" s="185" t="s">
        <v>215</v>
      </c>
    </row>
    <row r="3763" spans="129:129" x14ac:dyDescent="0.2">
      <c r="DY3763" s="185" t="s">
        <v>215</v>
      </c>
    </row>
    <row r="3764" spans="129:129" x14ac:dyDescent="0.2">
      <c r="DY3764" s="185" t="s">
        <v>215</v>
      </c>
    </row>
    <row r="3765" spans="129:129" x14ac:dyDescent="0.2">
      <c r="DY3765" s="185" t="s">
        <v>215</v>
      </c>
    </row>
    <row r="3766" spans="129:129" x14ac:dyDescent="0.2">
      <c r="DY3766" s="185" t="s">
        <v>215</v>
      </c>
    </row>
    <row r="3767" spans="129:129" x14ac:dyDescent="0.2">
      <c r="DY3767" s="185" t="s">
        <v>215</v>
      </c>
    </row>
    <row r="3768" spans="129:129" x14ac:dyDescent="0.2">
      <c r="DY3768" s="185" t="s">
        <v>215</v>
      </c>
    </row>
    <row r="3769" spans="129:129" x14ac:dyDescent="0.2">
      <c r="DY3769" s="185" t="s">
        <v>215</v>
      </c>
    </row>
    <row r="3770" spans="129:129" x14ac:dyDescent="0.2">
      <c r="DY3770" s="185" t="s">
        <v>215</v>
      </c>
    </row>
    <row r="3771" spans="129:129" x14ac:dyDescent="0.2">
      <c r="DY3771" s="185" t="s">
        <v>215</v>
      </c>
    </row>
    <row r="3772" spans="129:129" x14ac:dyDescent="0.2">
      <c r="DY3772" s="185" t="s">
        <v>215</v>
      </c>
    </row>
    <row r="3773" spans="129:129" x14ac:dyDescent="0.2">
      <c r="DY3773" s="185" t="s">
        <v>215</v>
      </c>
    </row>
    <row r="3774" spans="129:129" x14ac:dyDescent="0.2">
      <c r="DY3774" s="185" t="s">
        <v>215</v>
      </c>
    </row>
    <row r="3775" spans="129:129" x14ac:dyDescent="0.2">
      <c r="DY3775" s="185" t="s">
        <v>215</v>
      </c>
    </row>
    <row r="3776" spans="129:129" x14ac:dyDescent="0.2">
      <c r="DY3776" s="185" t="s">
        <v>215</v>
      </c>
    </row>
    <row r="3777" spans="129:129" x14ac:dyDescent="0.2">
      <c r="DY3777" s="185" t="s">
        <v>215</v>
      </c>
    </row>
    <row r="3778" spans="129:129" x14ac:dyDescent="0.2">
      <c r="DY3778" s="185" t="s">
        <v>215</v>
      </c>
    </row>
    <row r="3779" spans="129:129" x14ac:dyDescent="0.2">
      <c r="DY3779" s="185" t="s">
        <v>215</v>
      </c>
    </row>
    <row r="3780" spans="129:129" x14ac:dyDescent="0.2">
      <c r="DY3780" s="185" t="s">
        <v>215</v>
      </c>
    </row>
    <row r="3781" spans="129:129" x14ac:dyDescent="0.2">
      <c r="DY3781" s="185" t="s">
        <v>215</v>
      </c>
    </row>
    <row r="3782" spans="129:129" x14ac:dyDescent="0.2">
      <c r="DY3782" s="185" t="s">
        <v>215</v>
      </c>
    </row>
    <row r="3783" spans="129:129" x14ac:dyDescent="0.2">
      <c r="DY3783" s="185" t="s">
        <v>215</v>
      </c>
    </row>
    <row r="3784" spans="129:129" x14ac:dyDescent="0.2">
      <c r="DY3784" s="185" t="s">
        <v>215</v>
      </c>
    </row>
    <row r="3785" spans="129:129" x14ac:dyDescent="0.2">
      <c r="DY3785" s="185" t="s">
        <v>215</v>
      </c>
    </row>
    <row r="3786" spans="129:129" x14ac:dyDescent="0.2">
      <c r="DY3786" s="185" t="s">
        <v>215</v>
      </c>
    </row>
    <row r="3787" spans="129:129" x14ac:dyDescent="0.2">
      <c r="DY3787" s="185" t="s">
        <v>215</v>
      </c>
    </row>
    <row r="3788" spans="129:129" x14ac:dyDescent="0.2">
      <c r="DY3788" s="185" t="s">
        <v>215</v>
      </c>
    </row>
    <row r="3789" spans="129:129" x14ac:dyDescent="0.2">
      <c r="DY3789" s="185" t="s">
        <v>215</v>
      </c>
    </row>
    <row r="3790" spans="129:129" x14ac:dyDescent="0.2">
      <c r="DY3790" s="185" t="s">
        <v>215</v>
      </c>
    </row>
    <row r="3791" spans="129:129" x14ac:dyDescent="0.2">
      <c r="DY3791" s="185" t="s">
        <v>215</v>
      </c>
    </row>
    <row r="3792" spans="129:129" x14ac:dyDescent="0.2">
      <c r="DY3792" s="185" t="s">
        <v>215</v>
      </c>
    </row>
    <row r="3793" spans="129:129" x14ac:dyDescent="0.2">
      <c r="DY3793" s="185" t="s">
        <v>215</v>
      </c>
    </row>
    <row r="3794" spans="129:129" x14ac:dyDescent="0.2">
      <c r="DY3794" s="185" t="s">
        <v>215</v>
      </c>
    </row>
    <row r="3795" spans="129:129" x14ac:dyDescent="0.2">
      <c r="DY3795" s="185" t="s">
        <v>215</v>
      </c>
    </row>
    <row r="3796" spans="129:129" x14ac:dyDescent="0.2">
      <c r="DY3796" s="185" t="s">
        <v>215</v>
      </c>
    </row>
    <row r="3797" spans="129:129" x14ac:dyDescent="0.2">
      <c r="DY3797" s="185" t="s">
        <v>215</v>
      </c>
    </row>
    <row r="3798" spans="129:129" x14ac:dyDescent="0.2">
      <c r="DY3798" s="185" t="s">
        <v>215</v>
      </c>
    </row>
    <row r="3799" spans="129:129" x14ac:dyDescent="0.2">
      <c r="DY3799" s="185" t="s">
        <v>215</v>
      </c>
    </row>
    <row r="3800" spans="129:129" x14ac:dyDescent="0.2">
      <c r="DY3800" s="185" t="s">
        <v>215</v>
      </c>
    </row>
    <row r="3801" spans="129:129" x14ac:dyDescent="0.2">
      <c r="DY3801" s="185" t="s">
        <v>215</v>
      </c>
    </row>
    <row r="3802" spans="129:129" x14ac:dyDescent="0.2">
      <c r="DY3802" s="185" t="s">
        <v>215</v>
      </c>
    </row>
    <row r="3803" spans="129:129" x14ac:dyDescent="0.2">
      <c r="DY3803" s="185" t="s">
        <v>215</v>
      </c>
    </row>
    <row r="3804" spans="129:129" x14ac:dyDescent="0.2">
      <c r="DY3804" s="185" t="s">
        <v>215</v>
      </c>
    </row>
    <row r="3805" spans="129:129" x14ac:dyDescent="0.2">
      <c r="DY3805" s="185" t="s">
        <v>215</v>
      </c>
    </row>
    <row r="3806" spans="129:129" x14ac:dyDescent="0.2">
      <c r="DY3806" s="185" t="s">
        <v>215</v>
      </c>
    </row>
    <row r="3807" spans="129:129" x14ac:dyDescent="0.2">
      <c r="DY3807" s="185" t="s">
        <v>215</v>
      </c>
    </row>
    <row r="3808" spans="129:129" x14ac:dyDescent="0.2">
      <c r="DY3808" s="185" t="s">
        <v>215</v>
      </c>
    </row>
    <row r="3809" spans="129:129" x14ac:dyDescent="0.2">
      <c r="DY3809" s="185" t="s">
        <v>215</v>
      </c>
    </row>
    <row r="3810" spans="129:129" x14ac:dyDescent="0.2">
      <c r="DY3810" s="185" t="s">
        <v>215</v>
      </c>
    </row>
    <row r="3811" spans="129:129" x14ac:dyDescent="0.2">
      <c r="DY3811" s="185" t="s">
        <v>215</v>
      </c>
    </row>
    <row r="3812" spans="129:129" x14ac:dyDescent="0.2">
      <c r="DY3812" s="185" t="s">
        <v>215</v>
      </c>
    </row>
    <row r="3813" spans="129:129" x14ac:dyDescent="0.2">
      <c r="DY3813" s="185" t="s">
        <v>215</v>
      </c>
    </row>
    <row r="3814" spans="129:129" x14ac:dyDescent="0.2">
      <c r="DY3814" s="185" t="s">
        <v>215</v>
      </c>
    </row>
    <row r="3815" spans="129:129" x14ac:dyDescent="0.2">
      <c r="DY3815" s="185" t="s">
        <v>215</v>
      </c>
    </row>
    <row r="3816" spans="129:129" x14ac:dyDescent="0.2">
      <c r="DY3816" s="185" t="s">
        <v>215</v>
      </c>
    </row>
    <row r="3817" spans="129:129" x14ac:dyDescent="0.2">
      <c r="DY3817" s="185" t="s">
        <v>215</v>
      </c>
    </row>
    <row r="3818" spans="129:129" x14ac:dyDescent="0.2">
      <c r="DY3818" s="185" t="s">
        <v>215</v>
      </c>
    </row>
    <row r="3819" spans="129:129" x14ac:dyDescent="0.2">
      <c r="DY3819" s="185" t="s">
        <v>215</v>
      </c>
    </row>
    <row r="3820" spans="129:129" x14ac:dyDescent="0.2">
      <c r="DY3820" s="185" t="s">
        <v>215</v>
      </c>
    </row>
    <row r="3821" spans="129:129" x14ac:dyDescent="0.2">
      <c r="DY3821" s="185" t="s">
        <v>215</v>
      </c>
    </row>
    <row r="3822" spans="129:129" x14ac:dyDescent="0.2">
      <c r="DY3822" s="185" t="s">
        <v>215</v>
      </c>
    </row>
    <row r="3823" spans="129:129" x14ac:dyDescent="0.2">
      <c r="DY3823" s="185" t="s">
        <v>215</v>
      </c>
    </row>
    <row r="3824" spans="129:129" x14ac:dyDescent="0.2">
      <c r="DY3824" s="185" t="s">
        <v>215</v>
      </c>
    </row>
    <row r="3825" spans="129:129" x14ac:dyDescent="0.2">
      <c r="DY3825" s="185" t="s">
        <v>215</v>
      </c>
    </row>
    <row r="3826" spans="129:129" x14ac:dyDescent="0.2">
      <c r="DY3826" s="185" t="s">
        <v>215</v>
      </c>
    </row>
    <row r="3827" spans="129:129" x14ac:dyDescent="0.2">
      <c r="DY3827" s="185" t="s">
        <v>215</v>
      </c>
    </row>
    <row r="3828" spans="129:129" x14ac:dyDescent="0.2">
      <c r="DY3828" s="185" t="s">
        <v>215</v>
      </c>
    </row>
    <row r="3829" spans="129:129" x14ac:dyDescent="0.2">
      <c r="DY3829" s="185" t="s">
        <v>215</v>
      </c>
    </row>
    <row r="3830" spans="129:129" x14ac:dyDescent="0.2">
      <c r="DY3830" s="185" t="s">
        <v>215</v>
      </c>
    </row>
    <row r="3831" spans="129:129" x14ac:dyDescent="0.2">
      <c r="DY3831" s="185" t="s">
        <v>215</v>
      </c>
    </row>
    <row r="3832" spans="129:129" x14ac:dyDescent="0.2">
      <c r="DY3832" s="185" t="s">
        <v>215</v>
      </c>
    </row>
    <row r="3833" spans="129:129" x14ac:dyDescent="0.2">
      <c r="DY3833" s="185" t="s">
        <v>215</v>
      </c>
    </row>
    <row r="3834" spans="129:129" x14ac:dyDescent="0.2">
      <c r="DY3834" s="185" t="s">
        <v>215</v>
      </c>
    </row>
    <row r="3835" spans="129:129" x14ac:dyDescent="0.2">
      <c r="DY3835" s="185" t="s">
        <v>215</v>
      </c>
    </row>
    <row r="3836" spans="129:129" x14ac:dyDescent="0.2">
      <c r="DY3836" s="185" t="s">
        <v>215</v>
      </c>
    </row>
    <row r="3837" spans="129:129" x14ac:dyDescent="0.2">
      <c r="DY3837" s="185" t="s">
        <v>215</v>
      </c>
    </row>
    <row r="3838" spans="129:129" x14ac:dyDescent="0.2">
      <c r="DY3838" s="185" t="s">
        <v>215</v>
      </c>
    </row>
    <row r="3839" spans="129:129" x14ac:dyDescent="0.2">
      <c r="DY3839" s="185" t="s">
        <v>215</v>
      </c>
    </row>
    <row r="3840" spans="129:129" x14ac:dyDescent="0.2">
      <c r="DY3840" s="185" t="s">
        <v>215</v>
      </c>
    </row>
    <row r="3841" spans="129:129" x14ac:dyDescent="0.2">
      <c r="DY3841" s="185" t="s">
        <v>215</v>
      </c>
    </row>
    <row r="3842" spans="129:129" x14ac:dyDescent="0.2">
      <c r="DY3842" s="185" t="s">
        <v>215</v>
      </c>
    </row>
    <row r="3843" spans="129:129" x14ac:dyDescent="0.2">
      <c r="DY3843" s="185" t="s">
        <v>215</v>
      </c>
    </row>
    <row r="3844" spans="129:129" x14ac:dyDescent="0.2">
      <c r="DY3844" s="185" t="s">
        <v>215</v>
      </c>
    </row>
    <row r="3845" spans="129:129" x14ac:dyDescent="0.2">
      <c r="DY3845" s="185" t="s">
        <v>215</v>
      </c>
    </row>
    <row r="3846" spans="129:129" x14ac:dyDescent="0.2">
      <c r="DY3846" s="185" t="s">
        <v>215</v>
      </c>
    </row>
    <row r="3847" spans="129:129" x14ac:dyDescent="0.2">
      <c r="DY3847" s="185" t="s">
        <v>215</v>
      </c>
    </row>
    <row r="3848" spans="129:129" x14ac:dyDescent="0.2">
      <c r="DY3848" s="185" t="s">
        <v>215</v>
      </c>
    </row>
    <row r="3849" spans="129:129" x14ac:dyDescent="0.2">
      <c r="DY3849" s="185" t="s">
        <v>215</v>
      </c>
    </row>
    <row r="3850" spans="129:129" x14ac:dyDescent="0.2">
      <c r="DY3850" s="185" t="s">
        <v>215</v>
      </c>
    </row>
    <row r="3851" spans="129:129" x14ac:dyDescent="0.2">
      <c r="DY3851" s="185" t="s">
        <v>215</v>
      </c>
    </row>
    <row r="3852" spans="129:129" x14ac:dyDescent="0.2">
      <c r="DY3852" s="185" t="s">
        <v>215</v>
      </c>
    </row>
    <row r="3853" spans="129:129" x14ac:dyDescent="0.2">
      <c r="DY3853" s="185" t="s">
        <v>215</v>
      </c>
    </row>
    <row r="3854" spans="129:129" x14ac:dyDescent="0.2">
      <c r="DY3854" s="185" t="s">
        <v>215</v>
      </c>
    </row>
    <row r="3855" spans="129:129" x14ac:dyDescent="0.2">
      <c r="DY3855" s="185" t="s">
        <v>215</v>
      </c>
    </row>
    <row r="3856" spans="129:129" x14ac:dyDescent="0.2">
      <c r="DY3856" s="185" t="s">
        <v>215</v>
      </c>
    </row>
    <row r="3857" spans="129:129" x14ac:dyDescent="0.2">
      <c r="DY3857" s="185" t="s">
        <v>215</v>
      </c>
    </row>
    <row r="3858" spans="129:129" x14ac:dyDescent="0.2">
      <c r="DY3858" s="185" t="s">
        <v>215</v>
      </c>
    </row>
    <row r="3859" spans="129:129" x14ac:dyDescent="0.2">
      <c r="DY3859" s="185" t="s">
        <v>215</v>
      </c>
    </row>
    <row r="3860" spans="129:129" x14ac:dyDescent="0.2">
      <c r="DY3860" s="185" t="s">
        <v>215</v>
      </c>
    </row>
    <row r="3861" spans="129:129" x14ac:dyDescent="0.2">
      <c r="DY3861" s="185" t="s">
        <v>215</v>
      </c>
    </row>
    <row r="3862" spans="129:129" x14ac:dyDescent="0.2">
      <c r="DY3862" s="185" t="s">
        <v>215</v>
      </c>
    </row>
    <row r="3863" spans="129:129" x14ac:dyDescent="0.2">
      <c r="DY3863" s="185" t="s">
        <v>215</v>
      </c>
    </row>
    <row r="3864" spans="129:129" x14ac:dyDescent="0.2">
      <c r="DY3864" s="185" t="s">
        <v>215</v>
      </c>
    </row>
    <row r="3865" spans="129:129" x14ac:dyDescent="0.2">
      <c r="DY3865" s="185" t="s">
        <v>215</v>
      </c>
    </row>
    <row r="3866" spans="129:129" x14ac:dyDescent="0.2">
      <c r="DY3866" s="185" t="s">
        <v>215</v>
      </c>
    </row>
    <row r="3867" spans="129:129" x14ac:dyDescent="0.2">
      <c r="DY3867" s="185" t="s">
        <v>215</v>
      </c>
    </row>
    <row r="3868" spans="129:129" x14ac:dyDescent="0.2">
      <c r="DY3868" s="185" t="s">
        <v>215</v>
      </c>
    </row>
    <row r="3869" spans="129:129" x14ac:dyDescent="0.2">
      <c r="DY3869" s="185" t="s">
        <v>215</v>
      </c>
    </row>
    <row r="3870" spans="129:129" x14ac:dyDescent="0.2">
      <c r="DY3870" s="185" t="s">
        <v>215</v>
      </c>
    </row>
    <row r="3871" spans="129:129" x14ac:dyDescent="0.2">
      <c r="DY3871" s="185" t="s">
        <v>215</v>
      </c>
    </row>
    <row r="3872" spans="129:129" x14ac:dyDescent="0.2">
      <c r="DY3872" s="185" t="s">
        <v>215</v>
      </c>
    </row>
    <row r="3873" spans="129:129" x14ac:dyDescent="0.2">
      <c r="DY3873" s="185" t="s">
        <v>215</v>
      </c>
    </row>
    <row r="3874" spans="129:129" x14ac:dyDescent="0.2">
      <c r="DY3874" s="185" t="s">
        <v>215</v>
      </c>
    </row>
    <row r="3875" spans="129:129" x14ac:dyDescent="0.2">
      <c r="DY3875" s="185" t="s">
        <v>215</v>
      </c>
    </row>
    <row r="3876" spans="129:129" x14ac:dyDescent="0.2">
      <c r="DY3876" s="185" t="s">
        <v>215</v>
      </c>
    </row>
    <row r="3877" spans="129:129" x14ac:dyDescent="0.2">
      <c r="DY3877" s="185" t="s">
        <v>215</v>
      </c>
    </row>
    <row r="3878" spans="129:129" x14ac:dyDescent="0.2">
      <c r="DY3878" s="185" t="s">
        <v>215</v>
      </c>
    </row>
    <row r="3879" spans="129:129" x14ac:dyDescent="0.2">
      <c r="DY3879" s="185" t="s">
        <v>215</v>
      </c>
    </row>
    <row r="3880" spans="129:129" x14ac:dyDescent="0.2">
      <c r="DY3880" s="185" t="s">
        <v>215</v>
      </c>
    </row>
    <row r="3881" spans="129:129" x14ac:dyDescent="0.2">
      <c r="DY3881" s="185" t="s">
        <v>215</v>
      </c>
    </row>
    <row r="3882" spans="129:129" x14ac:dyDescent="0.2">
      <c r="DY3882" s="185" t="s">
        <v>215</v>
      </c>
    </row>
    <row r="3883" spans="129:129" x14ac:dyDescent="0.2">
      <c r="DY3883" s="185" t="s">
        <v>215</v>
      </c>
    </row>
    <row r="3884" spans="129:129" x14ac:dyDescent="0.2">
      <c r="DY3884" s="185" t="s">
        <v>215</v>
      </c>
    </row>
    <row r="3885" spans="129:129" x14ac:dyDescent="0.2">
      <c r="DY3885" s="185" t="s">
        <v>215</v>
      </c>
    </row>
    <row r="3886" spans="129:129" x14ac:dyDescent="0.2">
      <c r="DY3886" s="185" t="s">
        <v>215</v>
      </c>
    </row>
    <row r="3887" spans="129:129" x14ac:dyDescent="0.2">
      <c r="DY3887" s="185" t="s">
        <v>215</v>
      </c>
    </row>
    <row r="3888" spans="129:129" x14ac:dyDescent="0.2">
      <c r="DY3888" s="185" t="s">
        <v>215</v>
      </c>
    </row>
    <row r="3889" spans="129:129" x14ac:dyDescent="0.2">
      <c r="DY3889" s="185" t="s">
        <v>215</v>
      </c>
    </row>
    <row r="3890" spans="129:129" x14ac:dyDescent="0.2">
      <c r="DY3890" s="185" t="s">
        <v>215</v>
      </c>
    </row>
    <row r="3891" spans="129:129" x14ac:dyDescent="0.2">
      <c r="DY3891" s="185" t="s">
        <v>215</v>
      </c>
    </row>
    <row r="3892" spans="129:129" x14ac:dyDescent="0.2">
      <c r="DY3892" s="185" t="s">
        <v>215</v>
      </c>
    </row>
    <row r="3893" spans="129:129" x14ac:dyDescent="0.2">
      <c r="DY3893" s="185" t="s">
        <v>215</v>
      </c>
    </row>
    <row r="3894" spans="129:129" x14ac:dyDescent="0.2">
      <c r="DY3894" s="185" t="s">
        <v>215</v>
      </c>
    </row>
    <row r="3895" spans="129:129" x14ac:dyDescent="0.2">
      <c r="DY3895" s="185" t="s">
        <v>215</v>
      </c>
    </row>
    <row r="3896" spans="129:129" x14ac:dyDescent="0.2">
      <c r="DY3896" s="185" t="s">
        <v>215</v>
      </c>
    </row>
    <row r="3897" spans="129:129" x14ac:dyDescent="0.2">
      <c r="DY3897" s="185" t="s">
        <v>215</v>
      </c>
    </row>
    <row r="3898" spans="129:129" x14ac:dyDescent="0.2">
      <c r="DY3898" s="185" t="s">
        <v>215</v>
      </c>
    </row>
    <row r="3899" spans="129:129" x14ac:dyDescent="0.2">
      <c r="DY3899" s="185" t="s">
        <v>215</v>
      </c>
    </row>
    <row r="3900" spans="129:129" x14ac:dyDescent="0.2">
      <c r="DY3900" s="185" t="s">
        <v>215</v>
      </c>
    </row>
    <row r="3901" spans="129:129" x14ac:dyDescent="0.2">
      <c r="DY3901" s="185" t="s">
        <v>215</v>
      </c>
    </row>
    <row r="3902" spans="129:129" x14ac:dyDescent="0.2">
      <c r="DY3902" s="185" t="s">
        <v>215</v>
      </c>
    </row>
    <row r="3903" spans="129:129" x14ac:dyDescent="0.2">
      <c r="DY3903" s="185" t="s">
        <v>215</v>
      </c>
    </row>
    <row r="3904" spans="129:129" x14ac:dyDescent="0.2">
      <c r="DY3904" s="185" t="s">
        <v>215</v>
      </c>
    </row>
    <row r="3905" spans="129:129" x14ac:dyDescent="0.2">
      <c r="DY3905" s="185" t="s">
        <v>215</v>
      </c>
    </row>
    <row r="3906" spans="129:129" x14ac:dyDescent="0.2">
      <c r="DY3906" s="185" t="s">
        <v>215</v>
      </c>
    </row>
    <row r="3907" spans="129:129" x14ac:dyDescent="0.2">
      <c r="DY3907" s="185" t="s">
        <v>215</v>
      </c>
    </row>
    <row r="3908" spans="129:129" x14ac:dyDescent="0.2">
      <c r="DY3908" s="185" t="s">
        <v>215</v>
      </c>
    </row>
    <row r="3909" spans="129:129" x14ac:dyDescent="0.2">
      <c r="DY3909" s="185" t="s">
        <v>215</v>
      </c>
    </row>
    <row r="3910" spans="129:129" x14ac:dyDescent="0.2">
      <c r="DY3910" s="185" t="s">
        <v>215</v>
      </c>
    </row>
    <row r="3911" spans="129:129" x14ac:dyDescent="0.2">
      <c r="DY3911" s="185" t="s">
        <v>215</v>
      </c>
    </row>
    <row r="3912" spans="129:129" x14ac:dyDescent="0.2">
      <c r="DY3912" s="185" t="s">
        <v>215</v>
      </c>
    </row>
    <row r="3913" spans="129:129" x14ac:dyDescent="0.2">
      <c r="DY3913" s="185" t="s">
        <v>215</v>
      </c>
    </row>
    <row r="3914" spans="129:129" x14ac:dyDescent="0.2">
      <c r="DY3914" s="185" t="s">
        <v>215</v>
      </c>
    </row>
    <row r="3915" spans="129:129" x14ac:dyDescent="0.2">
      <c r="DY3915" s="185" t="s">
        <v>215</v>
      </c>
    </row>
    <row r="3916" spans="129:129" x14ac:dyDescent="0.2">
      <c r="DY3916" s="185" t="s">
        <v>215</v>
      </c>
    </row>
    <row r="3917" spans="129:129" x14ac:dyDescent="0.2">
      <c r="DY3917" s="185" t="s">
        <v>215</v>
      </c>
    </row>
    <row r="3918" spans="129:129" x14ac:dyDescent="0.2">
      <c r="DY3918" s="185" t="s">
        <v>215</v>
      </c>
    </row>
    <row r="3919" spans="129:129" x14ac:dyDescent="0.2">
      <c r="DY3919" s="185" t="s">
        <v>215</v>
      </c>
    </row>
    <row r="3920" spans="129:129" x14ac:dyDescent="0.2">
      <c r="DY3920" s="185" t="s">
        <v>215</v>
      </c>
    </row>
    <row r="3921" spans="129:129" x14ac:dyDescent="0.2">
      <c r="DY3921" s="185" t="s">
        <v>215</v>
      </c>
    </row>
    <row r="3922" spans="129:129" x14ac:dyDescent="0.2">
      <c r="DY3922" s="185" t="s">
        <v>215</v>
      </c>
    </row>
    <row r="3923" spans="129:129" x14ac:dyDescent="0.2">
      <c r="DY3923" s="185" t="s">
        <v>215</v>
      </c>
    </row>
    <row r="3924" spans="129:129" x14ac:dyDescent="0.2">
      <c r="DY3924" s="185" t="s">
        <v>215</v>
      </c>
    </row>
    <row r="3925" spans="129:129" x14ac:dyDescent="0.2">
      <c r="DY3925" s="185" t="s">
        <v>215</v>
      </c>
    </row>
    <row r="3926" spans="129:129" x14ac:dyDescent="0.2">
      <c r="DY3926" s="185" t="s">
        <v>215</v>
      </c>
    </row>
    <row r="3927" spans="129:129" x14ac:dyDescent="0.2">
      <c r="DY3927" s="185" t="s">
        <v>215</v>
      </c>
    </row>
    <row r="3928" spans="129:129" x14ac:dyDescent="0.2">
      <c r="DY3928" s="185" t="s">
        <v>215</v>
      </c>
    </row>
    <row r="3929" spans="129:129" x14ac:dyDescent="0.2">
      <c r="DY3929" s="185" t="s">
        <v>215</v>
      </c>
    </row>
    <row r="3930" spans="129:129" x14ac:dyDescent="0.2">
      <c r="DY3930" s="185" t="s">
        <v>215</v>
      </c>
    </row>
    <row r="3931" spans="129:129" x14ac:dyDescent="0.2">
      <c r="DY3931" s="185" t="s">
        <v>215</v>
      </c>
    </row>
    <row r="3932" spans="129:129" x14ac:dyDescent="0.2">
      <c r="DY3932" s="185" t="s">
        <v>215</v>
      </c>
    </row>
    <row r="3933" spans="129:129" x14ac:dyDescent="0.2">
      <c r="DY3933" s="185" t="s">
        <v>215</v>
      </c>
    </row>
    <row r="3934" spans="129:129" x14ac:dyDescent="0.2">
      <c r="DY3934" s="185" t="s">
        <v>215</v>
      </c>
    </row>
    <row r="3935" spans="129:129" x14ac:dyDescent="0.2">
      <c r="DY3935" s="185" t="s">
        <v>215</v>
      </c>
    </row>
    <row r="3936" spans="129:129" x14ac:dyDescent="0.2">
      <c r="DY3936" s="185" t="s">
        <v>215</v>
      </c>
    </row>
    <row r="3937" spans="129:129" x14ac:dyDescent="0.2">
      <c r="DY3937" s="185" t="s">
        <v>215</v>
      </c>
    </row>
    <row r="3938" spans="129:129" x14ac:dyDescent="0.2">
      <c r="DY3938" s="185" t="s">
        <v>215</v>
      </c>
    </row>
    <row r="3939" spans="129:129" x14ac:dyDescent="0.2">
      <c r="DY3939" s="185" t="s">
        <v>215</v>
      </c>
    </row>
    <row r="3940" spans="129:129" x14ac:dyDescent="0.2">
      <c r="DY3940" s="185" t="s">
        <v>215</v>
      </c>
    </row>
    <row r="3941" spans="129:129" x14ac:dyDescent="0.2">
      <c r="DY3941" s="185" t="s">
        <v>215</v>
      </c>
    </row>
    <row r="3942" spans="129:129" x14ac:dyDescent="0.2">
      <c r="DY3942" s="185" t="s">
        <v>215</v>
      </c>
    </row>
    <row r="3943" spans="129:129" x14ac:dyDescent="0.2">
      <c r="DY3943" s="185" t="s">
        <v>215</v>
      </c>
    </row>
    <row r="3944" spans="129:129" x14ac:dyDescent="0.2">
      <c r="DY3944" s="185" t="s">
        <v>215</v>
      </c>
    </row>
    <row r="3945" spans="129:129" x14ac:dyDescent="0.2">
      <c r="DY3945" s="185" t="s">
        <v>215</v>
      </c>
    </row>
    <row r="3946" spans="129:129" x14ac:dyDescent="0.2">
      <c r="DY3946" s="185" t="s">
        <v>215</v>
      </c>
    </row>
    <row r="3947" spans="129:129" x14ac:dyDescent="0.2">
      <c r="DY3947" s="185" t="s">
        <v>215</v>
      </c>
    </row>
    <row r="3948" spans="129:129" x14ac:dyDescent="0.2">
      <c r="DY3948" s="185" t="s">
        <v>215</v>
      </c>
    </row>
    <row r="3949" spans="129:129" x14ac:dyDescent="0.2">
      <c r="DY3949" s="185" t="s">
        <v>215</v>
      </c>
    </row>
    <row r="3950" spans="129:129" x14ac:dyDescent="0.2">
      <c r="DY3950" s="185" t="s">
        <v>215</v>
      </c>
    </row>
    <row r="3951" spans="129:129" x14ac:dyDescent="0.2">
      <c r="DY3951" s="185" t="s">
        <v>215</v>
      </c>
    </row>
    <row r="3952" spans="129:129" x14ac:dyDescent="0.2">
      <c r="DY3952" s="185" t="s">
        <v>215</v>
      </c>
    </row>
    <row r="3953" spans="129:129" x14ac:dyDescent="0.2">
      <c r="DY3953" s="185" t="s">
        <v>215</v>
      </c>
    </row>
    <row r="3954" spans="129:129" x14ac:dyDescent="0.2">
      <c r="DY3954" s="185" t="s">
        <v>215</v>
      </c>
    </row>
    <row r="3955" spans="129:129" x14ac:dyDescent="0.2">
      <c r="DY3955" s="185" t="s">
        <v>215</v>
      </c>
    </row>
    <row r="3956" spans="129:129" x14ac:dyDescent="0.2">
      <c r="DY3956" s="185" t="s">
        <v>215</v>
      </c>
    </row>
    <row r="3957" spans="129:129" x14ac:dyDescent="0.2">
      <c r="DY3957" s="185" t="s">
        <v>215</v>
      </c>
    </row>
    <row r="3958" spans="129:129" x14ac:dyDescent="0.2">
      <c r="DY3958" s="185" t="s">
        <v>215</v>
      </c>
    </row>
    <row r="3959" spans="129:129" x14ac:dyDescent="0.2">
      <c r="DY3959" s="185" t="s">
        <v>215</v>
      </c>
    </row>
    <row r="3960" spans="129:129" x14ac:dyDescent="0.2">
      <c r="DY3960" s="185" t="s">
        <v>215</v>
      </c>
    </row>
    <row r="3961" spans="129:129" x14ac:dyDescent="0.2">
      <c r="DY3961" s="185" t="s">
        <v>215</v>
      </c>
    </row>
    <row r="3962" spans="129:129" x14ac:dyDescent="0.2">
      <c r="DY3962" s="185" t="s">
        <v>215</v>
      </c>
    </row>
    <row r="3963" spans="129:129" x14ac:dyDescent="0.2">
      <c r="DY3963" s="185" t="s">
        <v>215</v>
      </c>
    </row>
    <row r="3964" spans="129:129" x14ac:dyDescent="0.2">
      <c r="DY3964" s="185" t="s">
        <v>215</v>
      </c>
    </row>
    <row r="3965" spans="129:129" x14ac:dyDescent="0.2">
      <c r="DY3965" s="185" t="s">
        <v>215</v>
      </c>
    </row>
    <row r="3966" spans="129:129" x14ac:dyDescent="0.2">
      <c r="DY3966" s="185" t="s">
        <v>215</v>
      </c>
    </row>
    <row r="3967" spans="129:129" x14ac:dyDescent="0.2">
      <c r="DY3967" s="185" t="s">
        <v>215</v>
      </c>
    </row>
    <row r="3968" spans="129:129" x14ac:dyDescent="0.2">
      <c r="DY3968" s="185" t="s">
        <v>215</v>
      </c>
    </row>
    <row r="3969" spans="129:129" x14ac:dyDescent="0.2">
      <c r="DY3969" s="185" t="s">
        <v>215</v>
      </c>
    </row>
    <row r="3970" spans="129:129" x14ac:dyDescent="0.2">
      <c r="DY3970" s="185" t="s">
        <v>215</v>
      </c>
    </row>
    <row r="3971" spans="129:129" x14ac:dyDescent="0.2">
      <c r="DY3971" s="185" t="s">
        <v>215</v>
      </c>
    </row>
    <row r="3972" spans="129:129" x14ac:dyDescent="0.2">
      <c r="DY3972" s="185" t="s">
        <v>215</v>
      </c>
    </row>
    <row r="3973" spans="129:129" x14ac:dyDescent="0.2">
      <c r="DY3973" s="185" t="s">
        <v>215</v>
      </c>
    </row>
    <row r="3974" spans="129:129" x14ac:dyDescent="0.2">
      <c r="DY3974" s="185" t="s">
        <v>215</v>
      </c>
    </row>
    <row r="3975" spans="129:129" x14ac:dyDescent="0.2">
      <c r="DY3975" s="185" t="s">
        <v>215</v>
      </c>
    </row>
    <row r="3976" spans="129:129" x14ac:dyDescent="0.2">
      <c r="DY3976" s="185" t="s">
        <v>215</v>
      </c>
    </row>
    <row r="3977" spans="129:129" x14ac:dyDescent="0.2">
      <c r="DY3977" s="185" t="s">
        <v>215</v>
      </c>
    </row>
    <row r="3978" spans="129:129" x14ac:dyDescent="0.2">
      <c r="DY3978" s="185" t="s">
        <v>215</v>
      </c>
    </row>
    <row r="3979" spans="129:129" x14ac:dyDescent="0.2">
      <c r="DY3979" s="185" t="s">
        <v>215</v>
      </c>
    </row>
    <row r="3980" spans="129:129" x14ac:dyDescent="0.2">
      <c r="DY3980" s="185" t="s">
        <v>215</v>
      </c>
    </row>
    <row r="3981" spans="129:129" x14ac:dyDescent="0.2">
      <c r="DY3981" s="185" t="s">
        <v>215</v>
      </c>
    </row>
    <row r="3982" spans="129:129" x14ac:dyDescent="0.2">
      <c r="DY3982" s="185" t="s">
        <v>215</v>
      </c>
    </row>
    <row r="3983" spans="129:129" x14ac:dyDescent="0.2">
      <c r="DY3983" s="185" t="s">
        <v>215</v>
      </c>
    </row>
    <row r="3984" spans="129:129" x14ac:dyDescent="0.2">
      <c r="DY3984" s="185" t="s">
        <v>215</v>
      </c>
    </row>
    <row r="3985" spans="129:129" x14ac:dyDescent="0.2">
      <c r="DY3985" s="185" t="s">
        <v>215</v>
      </c>
    </row>
    <row r="3986" spans="129:129" x14ac:dyDescent="0.2">
      <c r="DY3986" s="185" t="s">
        <v>215</v>
      </c>
    </row>
    <row r="3987" spans="129:129" x14ac:dyDescent="0.2">
      <c r="DY3987" s="185" t="s">
        <v>215</v>
      </c>
    </row>
    <row r="3988" spans="129:129" x14ac:dyDescent="0.2">
      <c r="DY3988" s="185" t="s">
        <v>215</v>
      </c>
    </row>
    <row r="3989" spans="129:129" x14ac:dyDescent="0.2">
      <c r="DY3989" s="185" t="s">
        <v>215</v>
      </c>
    </row>
    <row r="3990" spans="129:129" x14ac:dyDescent="0.2">
      <c r="DY3990" s="185" t="s">
        <v>215</v>
      </c>
    </row>
    <row r="3991" spans="129:129" x14ac:dyDescent="0.2">
      <c r="DY3991" s="185" t="s">
        <v>215</v>
      </c>
    </row>
    <row r="3992" spans="129:129" x14ac:dyDescent="0.2">
      <c r="DY3992" s="185" t="s">
        <v>215</v>
      </c>
    </row>
    <row r="3993" spans="129:129" x14ac:dyDescent="0.2">
      <c r="DY3993" s="185" t="s">
        <v>215</v>
      </c>
    </row>
    <row r="3994" spans="129:129" x14ac:dyDescent="0.2">
      <c r="DY3994" s="185" t="s">
        <v>215</v>
      </c>
    </row>
    <row r="3995" spans="129:129" x14ac:dyDescent="0.2">
      <c r="DY3995" s="185" t="s">
        <v>215</v>
      </c>
    </row>
    <row r="3996" spans="129:129" x14ac:dyDescent="0.2">
      <c r="DY3996" s="185" t="s">
        <v>215</v>
      </c>
    </row>
    <row r="3997" spans="129:129" x14ac:dyDescent="0.2">
      <c r="DY3997" s="185" t="s">
        <v>215</v>
      </c>
    </row>
    <row r="3998" spans="129:129" x14ac:dyDescent="0.2">
      <c r="DY3998" s="185" t="s">
        <v>215</v>
      </c>
    </row>
    <row r="3999" spans="129:129" x14ac:dyDescent="0.2">
      <c r="DY3999" s="185" t="s">
        <v>215</v>
      </c>
    </row>
    <row r="4000" spans="129:129" x14ac:dyDescent="0.2">
      <c r="DY4000" s="185" t="s">
        <v>215</v>
      </c>
    </row>
    <row r="4001" spans="129:129" x14ac:dyDescent="0.2">
      <c r="DY4001" s="185" t="s">
        <v>215</v>
      </c>
    </row>
    <row r="4002" spans="129:129" x14ac:dyDescent="0.2">
      <c r="DY4002" s="185" t="s">
        <v>215</v>
      </c>
    </row>
    <row r="4003" spans="129:129" x14ac:dyDescent="0.2">
      <c r="DY4003" s="185" t="s">
        <v>215</v>
      </c>
    </row>
    <row r="4004" spans="129:129" x14ac:dyDescent="0.2">
      <c r="DY4004" s="185" t="s">
        <v>215</v>
      </c>
    </row>
    <row r="4005" spans="129:129" x14ac:dyDescent="0.2">
      <c r="DY4005" s="185" t="s">
        <v>215</v>
      </c>
    </row>
    <row r="4006" spans="129:129" x14ac:dyDescent="0.2">
      <c r="DY4006" s="185" t="s">
        <v>215</v>
      </c>
    </row>
    <row r="4007" spans="129:129" x14ac:dyDescent="0.2">
      <c r="DY4007" s="185" t="s">
        <v>215</v>
      </c>
    </row>
    <row r="4008" spans="129:129" x14ac:dyDescent="0.2">
      <c r="DY4008" s="185" t="s">
        <v>215</v>
      </c>
    </row>
    <row r="4009" spans="129:129" x14ac:dyDescent="0.2">
      <c r="DY4009" s="185" t="s">
        <v>215</v>
      </c>
    </row>
    <row r="4010" spans="129:129" x14ac:dyDescent="0.2">
      <c r="DY4010" s="185" t="s">
        <v>215</v>
      </c>
    </row>
    <row r="4011" spans="129:129" x14ac:dyDescent="0.2">
      <c r="DY4011" s="185" t="s">
        <v>215</v>
      </c>
    </row>
    <row r="4012" spans="129:129" x14ac:dyDescent="0.2">
      <c r="DY4012" s="185" t="s">
        <v>215</v>
      </c>
    </row>
    <row r="4013" spans="129:129" x14ac:dyDescent="0.2">
      <c r="DY4013" s="185" t="s">
        <v>215</v>
      </c>
    </row>
    <row r="4014" spans="129:129" x14ac:dyDescent="0.2">
      <c r="DY4014" s="185" t="s">
        <v>215</v>
      </c>
    </row>
    <row r="4015" spans="129:129" x14ac:dyDescent="0.2">
      <c r="DY4015" s="185" t="s">
        <v>215</v>
      </c>
    </row>
    <row r="4016" spans="129:129" x14ac:dyDescent="0.2">
      <c r="DY4016" s="185" t="s">
        <v>215</v>
      </c>
    </row>
    <row r="4017" spans="129:129" x14ac:dyDescent="0.2">
      <c r="DY4017" s="185" t="s">
        <v>215</v>
      </c>
    </row>
    <row r="4018" spans="129:129" x14ac:dyDescent="0.2">
      <c r="DY4018" s="185" t="s">
        <v>215</v>
      </c>
    </row>
    <row r="4019" spans="129:129" x14ac:dyDescent="0.2">
      <c r="DY4019" s="185" t="s">
        <v>215</v>
      </c>
    </row>
    <row r="4020" spans="129:129" x14ac:dyDescent="0.2">
      <c r="DY4020" s="185" t="s">
        <v>215</v>
      </c>
    </row>
    <row r="4021" spans="129:129" x14ac:dyDescent="0.2">
      <c r="DY4021" s="185" t="s">
        <v>215</v>
      </c>
    </row>
    <row r="4022" spans="129:129" x14ac:dyDescent="0.2">
      <c r="DY4022" s="185" t="s">
        <v>215</v>
      </c>
    </row>
    <row r="4023" spans="129:129" x14ac:dyDescent="0.2">
      <c r="DY4023" s="185" t="s">
        <v>215</v>
      </c>
    </row>
    <row r="4024" spans="129:129" x14ac:dyDescent="0.2">
      <c r="DY4024" s="185" t="s">
        <v>215</v>
      </c>
    </row>
    <row r="4025" spans="129:129" x14ac:dyDescent="0.2">
      <c r="DY4025" s="185" t="s">
        <v>215</v>
      </c>
    </row>
    <row r="4026" spans="129:129" x14ac:dyDescent="0.2">
      <c r="DY4026" s="185" t="s">
        <v>215</v>
      </c>
    </row>
    <row r="4027" spans="129:129" x14ac:dyDescent="0.2">
      <c r="DY4027" s="185" t="s">
        <v>215</v>
      </c>
    </row>
    <row r="4028" spans="129:129" x14ac:dyDescent="0.2">
      <c r="DY4028" s="185" t="s">
        <v>215</v>
      </c>
    </row>
    <row r="4029" spans="129:129" x14ac:dyDescent="0.2">
      <c r="DY4029" s="185" t="s">
        <v>215</v>
      </c>
    </row>
    <row r="4030" spans="129:129" x14ac:dyDescent="0.2">
      <c r="DY4030" s="185" t="s">
        <v>215</v>
      </c>
    </row>
    <row r="4031" spans="129:129" x14ac:dyDescent="0.2">
      <c r="DY4031" s="185" t="s">
        <v>215</v>
      </c>
    </row>
    <row r="4032" spans="129:129" x14ac:dyDescent="0.2">
      <c r="DY4032" s="185" t="s">
        <v>215</v>
      </c>
    </row>
    <row r="4033" spans="129:129" x14ac:dyDescent="0.2">
      <c r="DY4033" s="185" t="s">
        <v>215</v>
      </c>
    </row>
    <row r="4034" spans="129:129" x14ac:dyDescent="0.2">
      <c r="DY4034" s="185" t="s">
        <v>215</v>
      </c>
    </row>
    <row r="4035" spans="129:129" x14ac:dyDescent="0.2">
      <c r="DY4035" s="185" t="s">
        <v>215</v>
      </c>
    </row>
    <row r="4036" spans="129:129" x14ac:dyDescent="0.2">
      <c r="DY4036" s="185" t="s">
        <v>215</v>
      </c>
    </row>
    <row r="4037" spans="129:129" x14ac:dyDescent="0.2">
      <c r="DY4037" s="185" t="s">
        <v>215</v>
      </c>
    </row>
    <row r="4038" spans="129:129" x14ac:dyDescent="0.2">
      <c r="DY4038" s="185" t="s">
        <v>215</v>
      </c>
    </row>
    <row r="4039" spans="129:129" x14ac:dyDescent="0.2">
      <c r="DY4039" s="185" t="s">
        <v>215</v>
      </c>
    </row>
    <row r="4040" spans="129:129" x14ac:dyDescent="0.2">
      <c r="DY4040" s="185" t="s">
        <v>215</v>
      </c>
    </row>
    <row r="4041" spans="129:129" x14ac:dyDescent="0.2">
      <c r="DY4041" s="185" t="s">
        <v>215</v>
      </c>
    </row>
    <row r="4042" spans="129:129" x14ac:dyDescent="0.2">
      <c r="DY4042" s="185" t="s">
        <v>215</v>
      </c>
    </row>
    <row r="4043" spans="129:129" x14ac:dyDescent="0.2">
      <c r="DY4043" s="185" t="s">
        <v>215</v>
      </c>
    </row>
    <row r="4044" spans="129:129" x14ac:dyDescent="0.2">
      <c r="DY4044" s="185" t="s">
        <v>215</v>
      </c>
    </row>
    <row r="4045" spans="129:129" x14ac:dyDescent="0.2">
      <c r="DY4045" s="185" t="s">
        <v>215</v>
      </c>
    </row>
    <row r="4046" spans="129:129" x14ac:dyDescent="0.2">
      <c r="DY4046" s="185" t="s">
        <v>215</v>
      </c>
    </row>
    <row r="4047" spans="129:129" x14ac:dyDescent="0.2">
      <c r="DY4047" s="185" t="s">
        <v>215</v>
      </c>
    </row>
    <row r="4048" spans="129:129" x14ac:dyDescent="0.2">
      <c r="DY4048" s="185" t="s">
        <v>215</v>
      </c>
    </row>
    <row r="4049" spans="129:129" x14ac:dyDescent="0.2">
      <c r="DY4049" s="185" t="s">
        <v>215</v>
      </c>
    </row>
    <row r="4050" spans="129:129" x14ac:dyDescent="0.2">
      <c r="DY4050" s="185" t="s">
        <v>215</v>
      </c>
    </row>
    <row r="4051" spans="129:129" x14ac:dyDescent="0.2">
      <c r="DY4051" s="185" t="s">
        <v>215</v>
      </c>
    </row>
    <row r="4052" spans="129:129" x14ac:dyDescent="0.2">
      <c r="DY4052" s="185" t="s">
        <v>215</v>
      </c>
    </row>
    <row r="4053" spans="129:129" x14ac:dyDescent="0.2">
      <c r="DY4053" s="185" t="s">
        <v>215</v>
      </c>
    </row>
    <row r="4054" spans="129:129" x14ac:dyDescent="0.2">
      <c r="DY4054" s="185" t="s">
        <v>215</v>
      </c>
    </row>
    <row r="4055" spans="129:129" x14ac:dyDescent="0.2">
      <c r="DY4055" s="185" t="s">
        <v>215</v>
      </c>
    </row>
    <row r="4056" spans="129:129" x14ac:dyDescent="0.2">
      <c r="DY4056" s="185" t="s">
        <v>215</v>
      </c>
    </row>
    <row r="4057" spans="129:129" x14ac:dyDescent="0.2">
      <c r="DY4057" s="185" t="s">
        <v>215</v>
      </c>
    </row>
    <row r="4058" spans="129:129" x14ac:dyDescent="0.2">
      <c r="DY4058" s="185" t="s">
        <v>215</v>
      </c>
    </row>
    <row r="4059" spans="129:129" x14ac:dyDescent="0.2">
      <c r="DY4059" s="185" t="s">
        <v>215</v>
      </c>
    </row>
    <row r="4060" spans="129:129" x14ac:dyDescent="0.2">
      <c r="DY4060" s="185" t="s">
        <v>215</v>
      </c>
    </row>
    <row r="4061" spans="129:129" x14ac:dyDescent="0.2">
      <c r="DY4061" s="185" t="s">
        <v>215</v>
      </c>
    </row>
    <row r="4062" spans="129:129" x14ac:dyDescent="0.2">
      <c r="DY4062" s="185" t="s">
        <v>215</v>
      </c>
    </row>
    <row r="4063" spans="129:129" x14ac:dyDescent="0.2">
      <c r="DY4063" s="185" t="s">
        <v>215</v>
      </c>
    </row>
    <row r="4064" spans="129:129" x14ac:dyDescent="0.2">
      <c r="DY4064" s="185" t="s">
        <v>215</v>
      </c>
    </row>
    <row r="4065" spans="129:129" x14ac:dyDescent="0.2">
      <c r="DY4065" s="185" t="s">
        <v>215</v>
      </c>
    </row>
    <row r="4066" spans="129:129" x14ac:dyDescent="0.2">
      <c r="DY4066" s="185" t="s">
        <v>215</v>
      </c>
    </row>
    <row r="4067" spans="129:129" x14ac:dyDescent="0.2">
      <c r="DY4067" s="185" t="s">
        <v>215</v>
      </c>
    </row>
    <row r="4068" spans="129:129" x14ac:dyDescent="0.2">
      <c r="DY4068" s="185" t="s">
        <v>215</v>
      </c>
    </row>
    <row r="4069" spans="129:129" x14ac:dyDescent="0.2">
      <c r="DY4069" s="185" t="s">
        <v>215</v>
      </c>
    </row>
    <row r="4070" spans="129:129" x14ac:dyDescent="0.2">
      <c r="DY4070" s="185" t="s">
        <v>215</v>
      </c>
    </row>
    <row r="4071" spans="129:129" x14ac:dyDescent="0.2">
      <c r="DY4071" s="185" t="s">
        <v>215</v>
      </c>
    </row>
    <row r="4072" spans="129:129" x14ac:dyDescent="0.2">
      <c r="DY4072" s="185" t="s">
        <v>215</v>
      </c>
    </row>
    <row r="4073" spans="129:129" x14ac:dyDescent="0.2">
      <c r="DY4073" s="185" t="s">
        <v>215</v>
      </c>
    </row>
    <row r="4074" spans="129:129" x14ac:dyDescent="0.2">
      <c r="DY4074" s="185" t="s">
        <v>215</v>
      </c>
    </row>
    <row r="4075" spans="129:129" x14ac:dyDescent="0.2">
      <c r="DY4075" s="185" t="s">
        <v>215</v>
      </c>
    </row>
    <row r="4076" spans="129:129" x14ac:dyDescent="0.2">
      <c r="DY4076" s="185" t="s">
        <v>215</v>
      </c>
    </row>
    <row r="4077" spans="129:129" x14ac:dyDescent="0.2">
      <c r="DY4077" s="185" t="s">
        <v>215</v>
      </c>
    </row>
    <row r="4078" spans="129:129" x14ac:dyDescent="0.2">
      <c r="DY4078" s="185" t="s">
        <v>215</v>
      </c>
    </row>
    <row r="4079" spans="129:129" x14ac:dyDescent="0.2">
      <c r="DY4079" s="185" t="s">
        <v>215</v>
      </c>
    </row>
    <row r="4080" spans="129:129" x14ac:dyDescent="0.2">
      <c r="DY4080" s="185" t="s">
        <v>215</v>
      </c>
    </row>
    <row r="4081" spans="129:129" x14ac:dyDescent="0.2">
      <c r="DY4081" s="185" t="s">
        <v>215</v>
      </c>
    </row>
    <row r="4082" spans="129:129" x14ac:dyDescent="0.2">
      <c r="DY4082" s="185" t="s">
        <v>215</v>
      </c>
    </row>
    <row r="4083" spans="129:129" x14ac:dyDescent="0.2">
      <c r="DY4083" s="185" t="s">
        <v>215</v>
      </c>
    </row>
    <row r="4084" spans="129:129" x14ac:dyDescent="0.2">
      <c r="DY4084" s="185" t="s">
        <v>215</v>
      </c>
    </row>
    <row r="4085" spans="129:129" x14ac:dyDescent="0.2">
      <c r="DY4085" s="185" t="s">
        <v>215</v>
      </c>
    </row>
    <row r="4086" spans="129:129" x14ac:dyDescent="0.2">
      <c r="DY4086" s="185" t="s">
        <v>215</v>
      </c>
    </row>
    <row r="4087" spans="129:129" x14ac:dyDescent="0.2">
      <c r="DY4087" s="185" t="s">
        <v>215</v>
      </c>
    </row>
    <row r="4088" spans="129:129" x14ac:dyDescent="0.2">
      <c r="DY4088" s="185" t="s">
        <v>215</v>
      </c>
    </row>
    <row r="4089" spans="129:129" x14ac:dyDescent="0.2">
      <c r="DY4089" s="185" t="s">
        <v>215</v>
      </c>
    </row>
    <row r="4090" spans="129:129" x14ac:dyDescent="0.2">
      <c r="DY4090" s="185" t="s">
        <v>215</v>
      </c>
    </row>
    <row r="4091" spans="129:129" x14ac:dyDescent="0.2">
      <c r="DY4091" s="185" t="s">
        <v>215</v>
      </c>
    </row>
    <row r="4092" spans="129:129" x14ac:dyDescent="0.2">
      <c r="DY4092" s="185" t="s">
        <v>215</v>
      </c>
    </row>
    <row r="4093" spans="129:129" x14ac:dyDescent="0.2">
      <c r="DY4093" s="185" t="s">
        <v>215</v>
      </c>
    </row>
    <row r="4094" spans="129:129" x14ac:dyDescent="0.2">
      <c r="DY4094" s="185" t="s">
        <v>215</v>
      </c>
    </row>
    <row r="4095" spans="129:129" x14ac:dyDescent="0.2">
      <c r="DY4095" s="185" t="s">
        <v>215</v>
      </c>
    </row>
    <row r="4096" spans="129:129" x14ac:dyDescent="0.2">
      <c r="DY4096" s="185" t="s">
        <v>215</v>
      </c>
    </row>
    <row r="4097" spans="129:129" x14ac:dyDescent="0.2">
      <c r="DY4097" s="185" t="s">
        <v>215</v>
      </c>
    </row>
    <row r="4098" spans="129:129" x14ac:dyDescent="0.2">
      <c r="DY4098" s="185" t="s">
        <v>215</v>
      </c>
    </row>
    <row r="4099" spans="129:129" x14ac:dyDescent="0.2">
      <c r="DY4099" s="185" t="s">
        <v>215</v>
      </c>
    </row>
    <row r="4100" spans="129:129" x14ac:dyDescent="0.2">
      <c r="DY4100" s="185" t="s">
        <v>215</v>
      </c>
    </row>
    <row r="4101" spans="129:129" x14ac:dyDescent="0.2">
      <c r="DY4101" s="185" t="s">
        <v>215</v>
      </c>
    </row>
    <row r="4102" spans="129:129" x14ac:dyDescent="0.2">
      <c r="DY4102" s="185" t="s">
        <v>215</v>
      </c>
    </row>
    <row r="4103" spans="129:129" x14ac:dyDescent="0.2">
      <c r="DY4103" s="185" t="s">
        <v>215</v>
      </c>
    </row>
    <row r="4104" spans="129:129" x14ac:dyDescent="0.2">
      <c r="DY4104" s="185" t="s">
        <v>215</v>
      </c>
    </row>
    <row r="4105" spans="129:129" x14ac:dyDescent="0.2">
      <c r="DY4105" s="185" t="s">
        <v>215</v>
      </c>
    </row>
    <row r="4106" spans="129:129" x14ac:dyDescent="0.2">
      <c r="DY4106" s="185" t="s">
        <v>215</v>
      </c>
    </row>
    <row r="4107" spans="129:129" x14ac:dyDescent="0.2">
      <c r="DY4107" s="185" t="s">
        <v>215</v>
      </c>
    </row>
    <row r="4108" spans="129:129" x14ac:dyDescent="0.2">
      <c r="DY4108" s="185" t="s">
        <v>215</v>
      </c>
    </row>
    <row r="4109" spans="129:129" x14ac:dyDescent="0.2">
      <c r="DY4109" s="185" t="s">
        <v>215</v>
      </c>
    </row>
    <row r="4110" spans="129:129" x14ac:dyDescent="0.2">
      <c r="DY4110" s="185" t="s">
        <v>215</v>
      </c>
    </row>
    <row r="4111" spans="129:129" x14ac:dyDescent="0.2">
      <c r="DY4111" s="185" t="s">
        <v>215</v>
      </c>
    </row>
    <row r="4112" spans="129:129" x14ac:dyDescent="0.2">
      <c r="DY4112" s="185" t="s">
        <v>215</v>
      </c>
    </row>
    <row r="4113" spans="129:129" x14ac:dyDescent="0.2">
      <c r="DY4113" s="185" t="s">
        <v>215</v>
      </c>
    </row>
    <row r="4114" spans="129:129" x14ac:dyDescent="0.2">
      <c r="DY4114" s="185" t="s">
        <v>215</v>
      </c>
    </row>
    <row r="4115" spans="129:129" x14ac:dyDescent="0.2">
      <c r="DY4115" s="185" t="s">
        <v>215</v>
      </c>
    </row>
    <row r="4116" spans="129:129" x14ac:dyDescent="0.2">
      <c r="DY4116" s="185" t="s">
        <v>215</v>
      </c>
    </row>
    <row r="4117" spans="129:129" x14ac:dyDescent="0.2">
      <c r="DY4117" s="185" t="s">
        <v>215</v>
      </c>
    </row>
    <row r="4118" spans="129:129" x14ac:dyDescent="0.2">
      <c r="DY4118" s="185" t="s">
        <v>215</v>
      </c>
    </row>
    <row r="4119" spans="129:129" x14ac:dyDescent="0.2">
      <c r="DY4119" s="185" t="s">
        <v>215</v>
      </c>
    </row>
    <row r="4120" spans="129:129" x14ac:dyDescent="0.2">
      <c r="DY4120" s="185" t="s">
        <v>215</v>
      </c>
    </row>
    <row r="4121" spans="129:129" x14ac:dyDescent="0.2">
      <c r="DY4121" s="185" t="s">
        <v>215</v>
      </c>
    </row>
    <row r="4122" spans="129:129" x14ac:dyDescent="0.2">
      <c r="DY4122" s="185" t="s">
        <v>215</v>
      </c>
    </row>
    <row r="4123" spans="129:129" x14ac:dyDescent="0.2">
      <c r="DY4123" s="185" t="s">
        <v>215</v>
      </c>
    </row>
    <row r="4124" spans="129:129" x14ac:dyDescent="0.2">
      <c r="DY4124" s="185" t="s">
        <v>215</v>
      </c>
    </row>
    <row r="4125" spans="129:129" x14ac:dyDescent="0.2">
      <c r="DY4125" s="185" t="s">
        <v>215</v>
      </c>
    </row>
    <row r="4126" spans="129:129" x14ac:dyDescent="0.2">
      <c r="DY4126" s="185" t="s">
        <v>215</v>
      </c>
    </row>
    <row r="4127" spans="129:129" x14ac:dyDescent="0.2">
      <c r="DY4127" s="185" t="s">
        <v>215</v>
      </c>
    </row>
    <row r="4128" spans="129:129" x14ac:dyDescent="0.2">
      <c r="DY4128" s="185" t="s">
        <v>215</v>
      </c>
    </row>
    <row r="4129" spans="129:129" x14ac:dyDescent="0.2">
      <c r="DY4129" s="185" t="s">
        <v>215</v>
      </c>
    </row>
    <row r="4130" spans="129:129" x14ac:dyDescent="0.2">
      <c r="DY4130" s="185" t="s">
        <v>215</v>
      </c>
    </row>
    <row r="4131" spans="129:129" x14ac:dyDescent="0.2">
      <c r="DY4131" s="185" t="s">
        <v>215</v>
      </c>
    </row>
    <row r="4132" spans="129:129" x14ac:dyDescent="0.2">
      <c r="DY4132" s="185" t="s">
        <v>215</v>
      </c>
    </row>
    <row r="4133" spans="129:129" x14ac:dyDescent="0.2">
      <c r="DY4133" s="185" t="s">
        <v>215</v>
      </c>
    </row>
    <row r="4134" spans="129:129" x14ac:dyDescent="0.2">
      <c r="DY4134" s="185" t="s">
        <v>215</v>
      </c>
    </row>
    <row r="4135" spans="129:129" x14ac:dyDescent="0.2">
      <c r="DY4135" s="185" t="s">
        <v>215</v>
      </c>
    </row>
    <row r="4136" spans="129:129" x14ac:dyDescent="0.2">
      <c r="DY4136" s="185" t="s">
        <v>215</v>
      </c>
    </row>
    <row r="4137" spans="129:129" x14ac:dyDescent="0.2">
      <c r="DY4137" s="185" t="s">
        <v>215</v>
      </c>
    </row>
    <row r="4138" spans="129:129" x14ac:dyDescent="0.2">
      <c r="DY4138" s="185" t="s">
        <v>215</v>
      </c>
    </row>
    <row r="4139" spans="129:129" x14ac:dyDescent="0.2">
      <c r="DY4139" s="185" t="s">
        <v>215</v>
      </c>
    </row>
    <row r="4140" spans="129:129" x14ac:dyDescent="0.2">
      <c r="DY4140" s="185" t="s">
        <v>215</v>
      </c>
    </row>
    <row r="4141" spans="129:129" x14ac:dyDescent="0.2">
      <c r="DY4141" s="185" t="s">
        <v>215</v>
      </c>
    </row>
    <row r="4142" spans="129:129" x14ac:dyDescent="0.2">
      <c r="DY4142" s="185" t="s">
        <v>215</v>
      </c>
    </row>
    <row r="4143" spans="129:129" x14ac:dyDescent="0.2">
      <c r="DY4143" s="185" t="s">
        <v>215</v>
      </c>
    </row>
    <row r="4144" spans="129:129" x14ac:dyDescent="0.2">
      <c r="DY4144" s="185" t="s">
        <v>215</v>
      </c>
    </row>
    <row r="4145" spans="129:129" x14ac:dyDescent="0.2">
      <c r="DY4145" s="185" t="s">
        <v>215</v>
      </c>
    </row>
    <row r="4146" spans="129:129" x14ac:dyDescent="0.2">
      <c r="DY4146" s="185" t="s">
        <v>215</v>
      </c>
    </row>
    <row r="4147" spans="129:129" x14ac:dyDescent="0.2">
      <c r="DY4147" s="185" t="s">
        <v>215</v>
      </c>
    </row>
    <row r="4148" spans="129:129" x14ac:dyDescent="0.2">
      <c r="DY4148" s="185" t="s">
        <v>215</v>
      </c>
    </row>
    <row r="4149" spans="129:129" x14ac:dyDescent="0.2">
      <c r="DY4149" s="185" t="s">
        <v>215</v>
      </c>
    </row>
    <row r="4150" spans="129:129" x14ac:dyDescent="0.2">
      <c r="DY4150" s="185" t="s">
        <v>215</v>
      </c>
    </row>
    <row r="4151" spans="129:129" x14ac:dyDescent="0.2">
      <c r="DY4151" s="185" t="s">
        <v>215</v>
      </c>
    </row>
    <row r="4152" spans="129:129" x14ac:dyDescent="0.2">
      <c r="DY4152" s="185" t="s">
        <v>215</v>
      </c>
    </row>
    <row r="4153" spans="129:129" x14ac:dyDescent="0.2">
      <c r="DY4153" s="185" t="s">
        <v>215</v>
      </c>
    </row>
    <row r="4154" spans="129:129" x14ac:dyDescent="0.2">
      <c r="DY4154" s="185" t="s">
        <v>215</v>
      </c>
    </row>
    <row r="4155" spans="129:129" x14ac:dyDescent="0.2">
      <c r="DY4155" s="185" t="s">
        <v>215</v>
      </c>
    </row>
    <row r="4156" spans="129:129" x14ac:dyDescent="0.2">
      <c r="DY4156" s="185" t="s">
        <v>215</v>
      </c>
    </row>
    <row r="4157" spans="129:129" x14ac:dyDescent="0.2">
      <c r="DY4157" s="185" t="s">
        <v>215</v>
      </c>
    </row>
    <row r="4158" spans="129:129" x14ac:dyDescent="0.2">
      <c r="DY4158" s="185" t="s">
        <v>215</v>
      </c>
    </row>
    <row r="4159" spans="129:129" x14ac:dyDescent="0.2">
      <c r="DY4159" s="185" t="s">
        <v>215</v>
      </c>
    </row>
    <row r="4160" spans="129:129" x14ac:dyDescent="0.2">
      <c r="DY4160" s="185" t="s">
        <v>215</v>
      </c>
    </row>
    <row r="4161" spans="129:129" x14ac:dyDescent="0.2">
      <c r="DY4161" s="185" t="s">
        <v>215</v>
      </c>
    </row>
    <row r="4162" spans="129:129" x14ac:dyDescent="0.2">
      <c r="DY4162" s="185" t="s">
        <v>215</v>
      </c>
    </row>
    <row r="4163" spans="129:129" x14ac:dyDescent="0.2">
      <c r="DY4163" s="185" t="s">
        <v>215</v>
      </c>
    </row>
    <row r="4164" spans="129:129" x14ac:dyDescent="0.2">
      <c r="DY4164" s="185" t="s">
        <v>215</v>
      </c>
    </row>
    <row r="4165" spans="129:129" x14ac:dyDescent="0.2">
      <c r="DY4165" s="185" t="s">
        <v>215</v>
      </c>
    </row>
    <row r="4166" spans="129:129" x14ac:dyDescent="0.2">
      <c r="DY4166" s="185" t="s">
        <v>215</v>
      </c>
    </row>
    <row r="4167" spans="129:129" x14ac:dyDescent="0.2">
      <c r="DY4167" s="185" t="s">
        <v>215</v>
      </c>
    </row>
    <row r="4168" spans="129:129" x14ac:dyDescent="0.2">
      <c r="DY4168" s="185" t="s">
        <v>215</v>
      </c>
    </row>
    <row r="4169" spans="129:129" x14ac:dyDescent="0.2">
      <c r="DY4169" s="185" t="s">
        <v>215</v>
      </c>
    </row>
    <row r="4170" spans="129:129" x14ac:dyDescent="0.2">
      <c r="DY4170" s="185" t="s">
        <v>215</v>
      </c>
    </row>
    <row r="4171" spans="129:129" x14ac:dyDescent="0.2">
      <c r="DY4171" s="185" t="s">
        <v>215</v>
      </c>
    </row>
    <row r="4172" spans="129:129" x14ac:dyDescent="0.2">
      <c r="DY4172" s="185" t="s">
        <v>215</v>
      </c>
    </row>
    <row r="4173" spans="129:129" x14ac:dyDescent="0.2">
      <c r="DY4173" s="185" t="s">
        <v>215</v>
      </c>
    </row>
    <row r="4174" spans="129:129" x14ac:dyDescent="0.2">
      <c r="DY4174" s="185" t="s">
        <v>215</v>
      </c>
    </row>
    <row r="4175" spans="129:129" x14ac:dyDescent="0.2">
      <c r="DY4175" s="185" t="s">
        <v>215</v>
      </c>
    </row>
    <row r="4176" spans="129:129" x14ac:dyDescent="0.2">
      <c r="DY4176" s="185" t="s">
        <v>215</v>
      </c>
    </row>
    <row r="4177" spans="129:129" x14ac:dyDescent="0.2">
      <c r="DY4177" s="185" t="s">
        <v>215</v>
      </c>
    </row>
    <row r="4178" spans="129:129" x14ac:dyDescent="0.2">
      <c r="DY4178" s="185" t="s">
        <v>215</v>
      </c>
    </row>
    <row r="4179" spans="129:129" x14ac:dyDescent="0.2">
      <c r="DY4179" s="185" t="s">
        <v>215</v>
      </c>
    </row>
    <row r="4180" spans="129:129" x14ac:dyDescent="0.2">
      <c r="DY4180" s="185" t="s">
        <v>215</v>
      </c>
    </row>
    <row r="4181" spans="129:129" x14ac:dyDescent="0.2">
      <c r="DY4181" s="185" t="s">
        <v>215</v>
      </c>
    </row>
    <row r="4182" spans="129:129" x14ac:dyDescent="0.2">
      <c r="DY4182" s="185" t="s">
        <v>215</v>
      </c>
    </row>
    <row r="4183" spans="129:129" x14ac:dyDescent="0.2">
      <c r="DY4183" s="185" t="s">
        <v>215</v>
      </c>
    </row>
    <row r="4184" spans="129:129" x14ac:dyDescent="0.2">
      <c r="DY4184" s="185" t="s">
        <v>215</v>
      </c>
    </row>
    <row r="4185" spans="129:129" x14ac:dyDescent="0.2">
      <c r="DY4185" s="185" t="s">
        <v>215</v>
      </c>
    </row>
    <row r="4186" spans="129:129" x14ac:dyDescent="0.2">
      <c r="DY4186" s="185" t="s">
        <v>215</v>
      </c>
    </row>
    <row r="4187" spans="129:129" x14ac:dyDescent="0.2">
      <c r="DY4187" s="185" t="s">
        <v>215</v>
      </c>
    </row>
    <row r="4188" spans="129:129" x14ac:dyDescent="0.2">
      <c r="DY4188" s="185" t="s">
        <v>215</v>
      </c>
    </row>
    <row r="4189" spans="129:129" x14ac:dyDescent="0.2">
      <c r="DY4189" s="185" t="s">
        <v>215</v>
      </c>
    </row>
    <row r="4190" spans="129:129" x14ac:dyDescent="0.2">
      <c r="DY4190" s="185" t="s">
        <v>215</v>
      </c>
    </row>
    <row r="4191" spans="129:129" x14ac:dyDescent="0.2">
      <c r="DY4191" s="185" t="s">
        <v>215</v>
      </c>
    </row>
    <row r="4192" spans="129:129" x14ac:dyDescent="0.2">
      <c r="DY4192" s="185" t="s">
        <v>215</v>
      </c>
    </row>
    <row r="4193" spans="129:129" x14ac:dyDescent="0.2">
      <c r="DY4193" s="185" t="s">
        <v>215</v>
      </c>
    </row>
    <row r="4194" spans="129:129" x14ac:dyDescent="0.2">
      <c r="DY4194" s="185" t="s">
        <v>215</v>
      </c>
    </row>
    <row r="4195" spans="129:129" x14ac:dyDescent="0.2">
      <c r="DY4195" s="185" t="s">
        <v>215</v>
      </c>
    </row>
    <row r="4196" spans="129:129" x14ac:dyDescent="0.2">
      <c r="DY4196" s="185" t="s">
        <v>215</v>
      </c>
    </row>
    <row r="4197" spans="129:129" x14ac:dyDescent="0.2">
      <c r="DY4197" s="185" t="s">
        <v>215</v>
      </c>
    </row>
    <row r="4198" spans="129:129" x14ac:dyDescent="0.2">
      <c r="DY4198" s="185" t="s">
        <v>215</v>
      </c>
    </row>
    <row r="4199" spans="129:129" x14ac:dyDescent="0.2">
      <c r="DY4199" s="185" t="s">
        <v>215</v>
      </c>
    </row>
    <row r="4200" spans="129:129" x14ac:dyDescent="0.2">
      <c r="DY4200" s="185" t="s">
        <v>215</v>
      </c>
    </row>
    <row r="4201" spans="129:129" x14ac:dyDescent="0.2">
      <c r="DY4201" s="185" t="s">
        <v>215</v>
      </c>
    </row>
    <row r="4202" spans="129:129" x14ac:dyDescent="0.2">
      <c r="DY4202" s="185" t="s">
        <v>215</v>
      </c>
    </row>
    <row r="4203" spans="129:129" x14ac:dyDescent="0.2">
      <c r="DY4203" s="185" t="s">
        <v>215</v>
      </c>
    </row>
    <row r="4204" spans="129:129" x14ac:dyDescent="0.2">
      <c r="DY4204" s="185" t="s">
        <v>215</v>
      </c>
    </row>
    <row r="4205" spans="129:129" x14ac:dyDescent="0.2">
      <c r="DY4205" s="185" t="s">
        <v>215</v>
      </c>
    </row>
    <row r="4206" spans="129:129" x14ac:dyDescent="0.2">
      <c r="DY4206" s="185" t="s">
        <v>215</v>
      </c>
    </row>
    <row r="4207" spans="129:129" x14ac:dyDescent="0.2">
      <c r="DY4207" s="185" t="s">
        <v>215</v>
      </c>
    </row>
    <row r="4208" spans="129:129" x14ac:dyDescent="0.2">
      <c r="DY4208" s="185" t="s">
        <v>215</v>
      </c>
    </row>
    <row r="4209" spans="129:129" x14ac:dyDescent="0.2">
      <c r="DY4209" s="185" t="s">
        <v>215</v>
      </c>
    </row>
    <row r="4210" spans="129:129" x14ac:dyDescent="0.2">
      <c r="DY4210" s="185" t="s">
        <v>215</v>
      </c>
    </row>
    <row r="4211" spans="129:129" x14ac:dyDescent="0.2">
      <c r="DY4211" s="185" t="s">
        <v>215</v>
      </c>
    </row>
    <row r="4212" spans="129:129" x14ac:dyDescent="0.2">
      <c r="DY4212" s="185" t="s">
        <v>215</v>
      </c>
    </row>
    <row r="4213" spans="129:129" x14ac:dyDescent="0.2">
      <c r="DY4213" s="185" t="s">
        <v>215</v>
      </c>
    </row>
    <row r="4214" spans="129:129" x14ac:dyDescent="0.2">
      <c r="DY4214" s="185" t="s">
        <v>215</v>
      </c>
    </row>
    <row r="4215" spans="129:129" x14ac:dyDescent="0.2">
      <c r="DY4215" s="185" t="s">
        <v>215</v>
      </c>
    </row>
    <row r="4216" spans="129:129" x14ac:dyDescent="0.2">
      <c r="DY4216" s="185" t="s">
        <v>215</v>
      </c>
    </row>
    <row r="4217" spans="129:129" x14ac:dyDescent="0.2">
      <c r="DY4217" s="185" t="s">
        <v>215</v>
      </c>
    </row>
    <row r="4218" spans="129:129" x14ac:dyDescent="0.2">
      <c r="DY4218" s="185" t="s">
        <v>215</v>
      </c>
    </row>
    <row r="4219" spans="129:129" x14ac:dyDescent="0.2">
      <c r="DY4219" s="185" t="s">
        <v>215</v>
      </c>
    </row>
    <row r="4220" spans="129:129" x14ac:dyDescent="0.2">
      <c r="DY4220" s="185" t="s">
        <v>215</v>
      </c>
    </row>
    <row r="4221" spans="129:129" x14ac:dyDescent="0.2">
      <c r="DY4221" s="185" t="s">
        <v>215</v>
      </c>
    </row>
    <row r="4222" spans="129:129" x14ac:dyDescent="0.2">
      <c r="DY4222" s="185" t="s">
        <v>215</v>
      </c>
    </row>
    <row r="4223" spans="129:129" x14ac:dyDescent="0.2">
      <c r="DY4223" s="185" t="s">
        <v>215</v>
      </c>
    </row>
    <row r="4224" spans="129:129" x14ac:dyDescent="0.2">
      <c r="DY4224" s="185" t="s">
        <v>215</v>
      </c>
    </row>
    <row r="4225" spans="129:129" x14ac:dyDescent="0.2">
      <c r="DY4225" s="185" t="s">
        <v>215</v>
      </c>
    </row>
    <row r="4226" spans="129:129" x14ac:dyDescent="0.2">
      <c r="DY4226" s="185" t="s">
        <v>215</v>
      </c>
    </row>
    <row r="4227" spans="129:129" x14ac:dyDescent="0.2">
      <c r="DY4227" s="185" t="s">
        <v>215</v>
      </c>
    </row>
    <row r="4228" spans="129:129" x14ac:dyDescent="0.2">
      <c r="DY4228" s="185" t="s">
        <v>215</v>
      </c>
    </row>
    <row r="4229" spans="129:129" x14ac:dyDescent="0.2">
      <c r="DY4229" s="185" t="s">
        <v>215</v>
      </c>
    </row>
    <row r="4230" spans="129:129" x14ac:dyDescent="0.2">
      <c r="DY4230" s="185" t="s">
        <v>215</v>
      </c>
    </row>
    <row r="4231" spans="129:129" x14ac:dyDescent="0.2">
      <c r="DY4231" s="185" t="s">
        <v>215</v>
      </c>
    </row>
    <row r="4232" spans="129:129" x14ac:dyDescent="0.2">
      <c r="DY4232" s="185" t="s">
        <v>215</v>
      </c>
    </row>
    <row r="4233" spans="129:129" x14ac:dyDescent="0.2">
      <c r="DY4233" s="185" t="s">
        <v>215</v>
      </c>
    </row>
    <row r="4234" spans="129:129" x14ac:dyDescent="0.2">
      <c r="DY4234" s="185" t="s">
        <v>215</v>
      </c>
    </row>
    <row r="4235" spans="129:129" x14ac:dyDescent="0.2">
      <c r="DY4235" s="185" t="s">
        <v>215</v>
      </c>
    </row>
    <row r="4236" spans="129:129" x14ac:dyDescent="0.2">
      <c r="DY4236" s="185" t="s">
        <v>215</v>
      </c>
    </row>
    <row r="4237" spans="129:129" x14ac:dyDescent="0.2">
      <c r="DY4237" s="185" t="s">
        <v>215</v>
      </c>
    </row>
    <row r="4238" spans="129:129" x14ac:dyDescent="0.2">
      <c r="DY4238" s="185" t="s">
        <v>215</v>
      </c>
    </row>
    <row r="4239" spans="129:129" x14ac:dyDescent="0.2">
      <c r="DY4239" s="185" t="s">
        <v>215</v>
      </c>
    </row>
    <row r="4240" spans="129:129" x14ac:dyDescent="0.2">
      <c r="DY4240" s="185" t="s">
        <v>215</v>
      </c>
    </row>
    <row r="4241" spans="129:129" x14ac:dyDescent="0.2">
      <c r="DY4241" s="185" t="s">
        <v>215</v>
      </c>
    </row>
    <row r="4242" spans="129:129" x14ac:dyDescent="0.2">
      <c r="DY4242" s="185" t="s">
        <v>215</v>
      </c>
    </row>
    <row r="4243" spans="129:129" x14ac:dyDescent="0.2">
      <c r="DY4243" s="185" t="s">
        <v>215</v>
      </c>
    </row>
    <row r="4244" spans="129:129" x14ac:dyDescent="0.2">
      <c r="DY4244" s="185" t="s">
        <v>215</v>
      </c>
    </row>
    <row r="4245" spans="129:129" x14ac:dyDescent="0.2">
      <c r="DY4245" s="185" t="s">
        <v>215</v>
      </c>
    </row>
    <row r="4246" spans="129:129" x14ac:dyDescent="0.2">
      <c r="DY4246" s="185" t="s">
        <v>215</v>
      </c>
    </row>
    <row r="4247" spans="129:129" x14ac:dyDescent="0.2">
      <c r="DY4247" s="185" t="s">
        <v>215</v>
      </c>
    </row>
    <row r="4248" spans="129:129" x14ac:dyDescent="0.2">
      <c r="DY4248" s="185" t="s">
        <v>215</v>
      </c>
    </row>
    <row r="4249" spans="129:129" x14ac:dyDescent="0.2">
      <c r="DY4249" s="185" t="s">
        <v>215</v>
      </c>
    </row>
    <row r="4250" spans="129:129" x14ac:dyDescent="0.2">
      <c r="DY4250" s="185" t="s">
        <v>215</v>
      </c>
    </row>
    <row r="4251" spans="129:129" x14ac:dyDescent="0.2">
      <c r="DY4251" s="185" t="s">
        <v>215</v>
      </c>
    </row>
    <row r="4252" spans="129:129" x14ac:dyDescent="0.2">
      <c r="DY4252" s="185" t="s">
        <v>215</v>
      </c>
    </row>
    <row r="4253" spans="129:129" x14ac:dyDescent="0.2">
      <c r="DY4253" s="185" t="s">
        <v>215</v>
      </c>
    </row>
    <row r="4254" spans="129:129" x14ac:dyDescent="0.2">
      <c r="DY4254" s="185" t="s">
        <v>215</v>
      </c>
    </row>
    <row r="4255" spans="129:129" x14ac:dyDescent="0.2">
      <c r="DY4255" s="185" t="s">
        <v>215</v>
      </c>
    </row>
    <row r="4256" spans="129:129" x14ac:dyDescent="0.2">
      <c r="DY4256" s="185" t="s">
        <v>215</v>
      </c>
    </row>
    <row r="4257" spans="129:129" x14ac:dyDescent="0.2">
      <c r="DY4257" s="185" t="s">
        <v>215</v>
      </c>
    </row>
    <row r="4258" spans="129:129" x14ac:dyDescent="0.2">
      <c r="DY4258" s="185" t="s">
        <v>215</v>
      </c>
    </row>
    <row r="4259" spans="129:129" x14ac:dyDescent="0.2">
      <c r="DY4259" s="185" t="s">
        <v>215</v>
      </c>
    </row>
    <row r="4260" spans="129:129" x14ac:dyDescent="0.2">
      <c r="DY4260" s="185" t="s">
        <v>215</v>
      </c>
    </row>
    <row r="4261" spans="129:129" x14ac:dyDescent="0.2">
      <c r="DY4261" s="185" t="s">
        <v>215</v>
      </c>
    </row>
    <row r="4262" spans="129:129" x14ac:dyDescent="0.2">
      <c r="DY4262" s="185" t="s">
        <v>215</v>
      </c>
    </row>
    <row r="4263" spans="129:129" x14ac:dyDescent="0.2">
      <c r="DY4263" s="185" t="s">
        <v>215</v>
      </c>
    </row>
    <row r="4264" spans="129:129" x14ac:dyDescent="0.2">
      <c r="DY4264" s="185" t="s">
        <v>215</v>
      </c>
    </row>
    <row r="4265" spans="129:129" x14ac:dyDescent="0.2">
      <c r="DY4265" s="185" t="s">
        <v>215</v>
      </c>
    </row>
    <row r="4266" spans="129:129" x14ac:dyDescent="0.2">
      <c r="DY4266" s="185" t="s">
        <v>215</v>
      </c>
    </row>
    <row r="4267" spans="129:129" x14ac:dyDescent="0.2">
      <c r="DY4267" s="185" t="s">
        <v>215</v>
      </c>
    </row>
    <row r="4268" spans="129:129" x14ac:dyDescent="0.2">
      <c r="DY4268" s="185" t="s">
        <v>215</v>
      </c>
    </row>
    <row r="4269" spans="129:129" x14ac:dyDescent="0.2">
      <c r="DY4269" s="185" t="s">
        <v>215</v>
      </c>
    </row>
    <row r="4270" spans="129:129" x14ac:dyDescent="0.2">
      <c r="DY4270" s="185" t="s">
        <v>215</v>
      </c>
    </row>
    <row r="4271" spans="129:129" x14ac:dyDescent="0.2">
      <c r="DY4271" s="185" t="s">
        <v>215</v>
      </c>
    </row>
    <row r="4272" spans="129:129" x14ac:dyDescent="0.2">
      <c r="DY4272" s="185" t="s">
        <v>215</v>
      </c>
    </row>
    <row r="4273" spans="129:129" x14ac:dyDescent="0.2">
      <c r="DY4273" s="185" t="s">
        <v>215</v>
      </c>
    </row>
    <row r="4274" spans="129:129" x14ac:dyDescent="0.2">
      <c r="DY4274" s="185" t="s">
        <v>215</v>
      </c>
    </row>
    <row r="4275" spans="129:129" x14ac:dyDescent="0.2">
      <c r="DY4275" s="185" t="s">
        <v>215</v>
      </c>
    </row>
    <row r="4276" spans="129:129" x14ac:dyDescent="0.2">
      <c r="DY4276" s="185" t="s">
        <v>215</v>
      </c>
    </row>
    <row r="4277" spans="129:129" x14ac:dyDescent="0.2">
      <c r="DY4277" s="185" t="s">
        <v>215</v>
      </c>
    </row>
    <row r="4278" spans="129:129" x14ac:dyDescent="0.2">
      <c r="DY4278" s="185" t="s">
        <v>215</v>
      </c>
    </row>
    <row r="4279" spans="129:129" x14ac:dyDescent="0.2">
      <c r="DY4279" s="185" t="s">
        <v>215</v>
      </c>
    </row>
    <row r="4280" spans="129:129" x14ac:dyDescent="0.2">
      <c r="DY4280" s="185" t="s">
        <v>215</v>
      </c>
    </row>
    <row r="4281" spans="129:129" x14ac:dyDescent="0.2">
      <c r="DY4281" s="185" t="s">
        <v>215</v>
      </c>
    </row>
    <row r="4282" spans="129:129" x14ac:dyDescent="0.2">
      <c r="DY4282" s="185" t="s">
        <v>215</v>
      </c>
    </row>
    <row r="4283" spans="129:129" x14ac:dyDescent="0.2">
      <c r="DY4283" s="185" t="s">
        <v>215</v>
      </c>
    </row>
    <row r="4284" spans="129:129" x14ac:dyDescent="0.2">
      <c r="DY4284" s="185" t="s">
        <v>215</v>
      </c>
    </row>
    <row r="4285" spans="129:129" x14ac:dyDescent="0.2">
      <c r="DY4285" s="185" t="s">
        <v>215</v>
      </c>
    </row>
    <row r="4286" spans="129:129" x14ac:dyDescent="0.2">
      <c r="DY4286" s="185" t="s">
        <v>215</v>
      </c>
    </row>
    <row r="4287" spans="129:129" x14ac:dyDescent="0.2">
      <c r="DY4287" s="185" t="s">
        <v>215</v>
      </c>
    </row>
    <row r="4288" spans="129:129" x14ac:dyDescent="0.2">
      <c r="DY4288" s="185" t="s">
        <v>215</v>
      </c>
    </row>
    <row r="4289" spans="129:129" x14ac:dyDescent="0.2">
      <c r="DY4289" s="185" t="s">
        <v>215</v>
      </c>
    </row>
    <row r="4290" spans="129:129" x14ac:dyDescent="0.2">
      <c r="DY4290" s="185" t="s">
        <v>215</v>
      </c>
    </row>
    <row r="4291" spans="129:129" x14ac:dyDescent="0.2">
      <c r="DY4291" s="185" t="s">
        <v>215</v>
      </c>
    </row>
    <row r="4292" spans="129:129" x14ac:dyDescent="0.2">
      <c r="DY4292" s="185" t="s">
        <v>215</v>
      </c>
    </row>
    <row r="4293" spans="129:129" x14ac:dyDescent="0.2">
      <c r="DY4293" s="185" t="s">
        <v>215</v>
      </c>
    </row>
    <row r="4294" spans="129:129" x14ac:dyDescent="0.2">
      <c r="DY4294" s="185" t="s">
        <v>215</v>
      </c>
    </row>
    <row r="4295" spans="129:129" x14ac:dyDescent="0.2">
      <c r="DY4295" s="185" t="s">
        <v>215</v>
      </c>
    </row>
    <row r="4296" spans="129:129" x14ac:dyDescent="0.2">
      <c r="DY4296" s="185" t="s">
        <v>215</v>
      </c>
    </row>
    <row r="4297" spans="129:129" x14ac:dyDescent="0.2">
      <c r="DY4297" s="185" t="s">
        <v>215</v>
      </c>
    </row>
    <row r="4298" spans="129:129" x14ac:dyDescent="0.2">
      <c r="DY4298" s="185" t="s">
        <v>215</v>
      </c>
    </row>
    <row r="4299" spans="129:129" x14ac:dyDescent="0.2">
      <c r="DY4299" s="185" t="s">
        <v>215</v>
      </c>
    </row>
    <row r="4300" spans="129:129" x14ac:dyDescent="0.2">
      <c r="DY4300" s="185" t="s">
        <v>215</v>
      </c>
    </row>
    <row r="4301" spans="129:129" x14ac:dyDescent="0.2">
      <c r="DY4301" s="185" t="s">
        <v>215</v>
      </c>
    </row>
    <row r="4302" spans="129:129" x14ac:dyDescent="0.2">
      <c r="DY4302" s="185" t="s">
        <v>215</v>
      </c>
    </row>
    <row r="4303" spans="129:129" x14ac:dyDescent="0.2">
      <c r="DY4303" s="185" t="s">
        <v>215</v>
      </c>
    </row>
    <row r="4304" spans="129:129" x14ac:dyDescent="0.2">
      <c r="DY4304" s="185" t="s">
        <v>215</v>
      </c>
    </row>
    <row r="4305" spans="129:129" x14ac:dyDescent="0.2">
      <c r="DY4305" s="185" t="s">
        <v>215</v>
      </c>
    </row>
    <row r="4306" spans="129:129" x14ac:dyDescent="0.2">
      <c r="DY4306" s="185" t="s">
        <v>215</v>
      </c>
    </row>
    <row r="4307" spans="129:129" x14ac:dyDescent="0.2">
      <c r="DY4307" s="185" t="s">
        <v>215</v>
      </c>
    </row>
    <row r="4308" spans="129:129" x14ac:dyDescent="0.2">
      <c r="DY4308" s="185" t="s">
        <v>215</v>
      </c>
    </row>
    <row r="4309" spans="129:129" x14ac:dyDescent="0.2">
      <c r="DY4309" s="185" t="s">
        <v>215</v>
      </c>
    </row>
    <row r="4310" spans="129:129" x14ac:dyDescent="0.2">
      <c r="DY4310" s="185" t="s">
        <v>215</v>
      </c>
    </row>
    <row r="4311" spans="129:129" x14ac:dyDescent="0.2">
      <c r="DY4311" s="185" t="s">
        <v>215</v>
      </c>
    </row>
    <row r="4312" spans="129:129" x14ac:dyDescent="0.2">
      <c r="DY4312" s="185" t="s">
        <v>215</v>
      </c>
    </row>
    <row r="4313" spans="129:129" x14ac:dyDescent="0.2">
      <c r="DY4313" s="185" t="s">
        <v>215</v>
      </c>
    </row>
    <row r="4314" spans="129:129" x14ac:dyDescent="0.2">
      <c r="DY4314" s="185" t="s">
        <v>215</v>
      </c>
    </row>
    <row r="4315" spans="129:129" x14ac:dyDescent="0.2">
      <c r="DY4315" s="185" t="s">
        <v>215</v>
      </c>
    </row>
    <row r="4316" spans="129:129" x14ac:dyDescent="0.2">
      <c r="DY4316" s="185" t="s">
        <v>215</v>
      </c>
    </row>
    <row r="4317" spans="129:129" x14ac:dyDescent="0.2">
      <c r="DY4317" s="185" t="s">
        <v>215</v>
      </c>
    </row>
    <row r="4318" spans="129:129" x14ac:dyDescent="0.2">
      <c r="DY4318" s="185" t="s">
        <v>215</v>
      </c>
    </row>
    <row r="4319" spans="129:129" x14ac:dyDescent="0.2">
      <c r="DY4319" s="185" t="s">
        <v>215</v>
      </c>
    </row>
    <row r="4320" spans="129:129" x14ac:dyDescent="0.2">
      <c r="DY4320" s="185" t="s">
        <v>215</v>
      </c>
    </row>
    <row r="4321" spans="129:129" x14ac:dyDescent="0.2">
      <c r="DY4321" s="185" t="s">
        <v>215</v>
      </c>
    </row>
    <row r="4322" spans="129:129" x14ac:dyDescent="0.2">
      <c r="DY4322" s="185" t="s">
        <v>215</v>
      </c>
    </row>
    <row r="4323" spans="129:129" x14ac:dyDescent="0.2">
      <c r="DY4323" s="185" t="s">
        <v>215</v>
      </c>
    </row>
    <row r="4324" spans="129:129" x14ac:dyDescent="0.2">
      <c r="DY4324" s="185" t="s">
        <v>215</v>
      </c>
    </row>
    <row r="4325" spans="129:129" x14ac:dyDescent="0.2">
      <c r="DY4325" s="185" t="s">
        <v>215</v>
      </c>
    </row>
    <row r="4326" spans="129:129" x14ac:dyDescent="0.2">
      <c r="DY4326" s="185" t="s">
        <v>215</v>
      </c>
    </row>
    <row r="4327" spans="129:129" x14ac:dyDescent="0.2">
      <c r="DY4327" s="185" t="s">
        <v>215</v>
      </c>
    </row>
    <row r="4328" spans="129:129" x14ac:dyDescent="0.2">
      <c r="DY4328" s="185" t="s">
        <v>215</v>
      </c>
    </row>
    <row r="4329" spans="129:129" x14ac:dyDescent="0.2">
      <c r="DY4329" s="185" t="s">
        <v>215</v>
      </c>
    </row>
    <row r="4330" spans="129:129" x14ac:dyDescent="0.2">
      <c r="DY4330" s="185" t="s">
        <v>215</v>
      </c>
    </row>
    <row r="4331" spans="129:129" x14ac:dyDescent="0.2">
      <c r="DY4331" s="185" t="s">
        <v>215</v>
      </c>
    </row>
    <row r="4332" spans="129:129" x14ac:dyDescent="0.2">
      <c r="DY4332" s="185" t="s">
        <v>215</v>
      </c>
    </row>
    <row r="4333" spans="129:129" x14ac:dyDescent="0.2">
      <c r="DY4333" s="185" t="s">
        <v>215</v>
      </c>
    </row>
    <row r="4334" spans="129:129" x14ac:dyDescent="0.2">
      <c r="DY4334" s="185" t="s">
        <v>215</v>
      </c>
    </row>
    <row r="4335" spans="129:129" x14ac:dyDescent="0.2">
      <c r="DY4335" s="185" t="s">
        <v>215</v>
      </c>
    </row>
    <row r="4336" spans="129:129" x14ac:dyDescent="0.2">
      <c r="DY4336" s="185" t="s">
        <v>215</v>
      </c>
    </row>
    <row r="4337" spans="129:129" x14ac:dyDescent="0.2">
      <c r="DY4337" s="185" t="s">
        <v>215</v>
      </c>
    </row>
    <row r="4338" spans="129:129" x14ac:dyDescent="0.2">
      <c r="DY4338" s="185" t="s">
        <v>215</v>
      </c>
    </row>
    <row r="4339" spans="129:129" x14ac:dyDescent="0.2">
      <c r="DY4339" s="185" t="s">
        <v>215</v>
      </c>
    </row>
    <row r="4340" spans="129:129" x14ac:dyDescent="0.2">
      <c r="DY4340" s="185" t="s">
        <v>215</v>
      </c>
    </row>
    <row r="4341" spans="129:129" x14ac:dyDescent="0.2">
      <c r="DY4341" s="185" t="s">
        <v>215</v>
      </c>
    </row>
    <row r="4342" spans="129:129" x14ac:dyDescent="0.2">
      <c r="DY4342" s="185" t="s">
        <v>215</v>
      </c>
    </row>
    <row r="4343" spans="129:129" x14ac:dyDescent="0.2">
      <c r="DY4343" s="185" t="s">
        <v>215</v>
      </c>
    </row>
    <row r="4344" spans="129:129" x14ac:dyDescent="0.2">
      <c r="DY4344" s="185" t="s">
        <v>215</v>
      </c>
    </row>
    <row r="4345" spans="129:129" x14ac:dyDescent="0.2">
      <c r="DY4345" s="185" t="s">
        <v>215</v>
      </c>
    </row>
    <row r="4346" spans="129:129" x14ac:dyDescent="0.2">
      <c r="DY4346" s="185" t="s">
        <v>215</v>
      </c>
    </row>
    <row r="4347" spans="129:129" x14ac:dyDescent="0.2">
      <c r="DY4347" s="185" t="s">
        <v>215</v>
      </c>
    </row>
    <row r="4348" spans="129:129" x14ac:dyDescent="0.2">
      <c r="DY4348" s="185" t="s">
        <v>215</v>
      </c>
    </row>
    <row r="4349" spans="129:129" x14ac:dyDescent="0.2">
      <c r="DY4349" s="185" t="s">
        <v>215</v>
      </c>
    </row>
    <row r="4350" spans="129:129" x14ac:dyDescent="0.2">
      <c r="DY4350" s="185" t="s">
        <v>215</v>
      </c>
    </row>
    <row r="4351" spans="129:129" x14ac:dyDescent="0.2">
      <c r="DY4351" s="185" t="s">
        <v>215</v>
      </c>
    </row>
    <row r="4352" spans="129:129" x14ac:dyDescent="0.2">
      <c r="DY4352" s="185" t="s">
        <v>215</v>
      </c>
    </row>
    <row r="4353" spans="129:129" x14ac:dyDescent="0.2">
      <c r="DY4353" s="185" t="s">
        <v>215</v>
      </c>
    </row>
    <row r="4354" spans="129:129" x14ac:dyDescent="0.2">
      <c r="DY4354" s="185" t="s">
        <v>215</v>
      </c>
    </row>
    <row r="4355" spans="129:129" x14ac:dyDescent="0.2">
      <c r="DY4355" s="185" t="s">
        <v>215</v>
      </c>
    </row>
    <row r="4356" spans="129:129" x14ac:dyDescent="0.2">
      <c r="DY4356" s="185" t="s">
        <v>215</v>
      </c>
    </row>
    <row r="4357" spans="129:129" x14ac:dyDescent="0.2">
      <c r="DY4357" s="185" t="s">
        <v>215</v>
      </c>
    </row>
    <row r="4358" spans="129:129" x14ac:dyDescent="0.2">
      <c r="DY4358" s="185" t="s">
        <v>215</v>
      </c>
    </row>
    <row r="4359" spans="129:129" x14ac:dyDescent="0.2">
      <c r="DY4359" s="185" t="s">
        <v>215</v>
      </c>
    </row>
    <row r="4360" spans="129:129" x14ac:dyDescent="0.2">
      <c r="DY4360" s="185" t="s">
        <v>215</v>
      </c>
    </row>
    <row r="4361" spans="129:129" x14ac:dyDescent="0.2">
      <c r="DY4361" s="185" t="s">
        <v>215</v>
      </c>
    </row>
    <row r="4362" spans="129:129" x14ac:dyDescent="0.2">
      <c r="DY4362" s="185" t="s">
        <v>215</v>
      </c>
    </row>
    <row r="4363" spans="129:129" x14ac:dyDescent="0.2">
      <c r="DY4363" s="185" t="s">
        <v>215</v>
      </c>
    </row>
    <row r="4364" spans="129:129" x14ac:dyDescent="0.2">
      <c r="DY4364" s="185" t="s">
        <v>215</v>
      </c>
    </row>
    <row r="4365" spans="129:129" x14ac:dyDescent="0.2">
      <c r="DY4365" s="185" t="s">
        <v>215</v>
      </c>
    </row>
    <row r="4366" spans="129:129" x14ac:dyDescent="0.2">
      <c r="DY4366" s="185" t="s">
        <v>215</v>
      </c>
    </row>
    <row r="4367" spans="129:129" x14ac:dyDescent="0.2">
      <c r="DY4367" s="185" t="s">
        <v>215</v>
      </c>
    </row>
    <row r="4368" spans="129:129" x14ac:dyDescent="0.2">
      <c r="DY4368" s="185" t="s">
        <v>215</v>
      </c>
    </row>
    <row r="4369" spans="129:129" x14ac:dyDescent="0.2">
      <c r="DY4369" s="185" t="s">
        <v>215</v>
      </c>
    </row>
    <row r="4370" spans="129:129" x14ac:dyDescent="0.2">
      <c r="DY4370" s="185" t="s">
        <v>215</v>
      </c>
    </row>
    <row r="4371" spans="129:129" x14ac:dyDescent="0.2">
      <c r="DY4371" s="185" t="s">
        <v>215</v>
      </c>
    </row>
    <row r="4372" spans="129:129" x14ac:dyDescent="0.2">
      <c r="DY4372" s="185" t="s">
        <v>215</v>
      </c>
    </row>
    <row r="4373" spans="129:129" x14ac:dyDescent="0.2">
      <c r="DY4373" s="185" t="s">
        <v>215</v>
      </c>
    </row>
    <row r="4374" spans="129:129" x14ac:dyDescent="0.2">
      <c r="DY4374" s="185" t="s">
        <v>215</v>
      </c>
    </row>
    <row r="4375" spans="129:129" x14ac:dyDescent="0.2">
      <c r="DY4375" s="185" t="s">
        <v>215</v>
      </c>
    </row>
    <row r="4376" spans="129:129" x14ac:dyDescent="0.2">
      <c r="DY4376" s="185" t="s">
        <v>215</v>
      </c>
    </row>
    <row r="4377" spans="129:129" x14ac:dyDescent="0.2">
      <c r="DY4377" s="185" t="s">
        <v>215</v>
      </c>
    </row>
    <row r="4378" spans="129:129" x14ac:dyDescent="0.2">
      <c r="DY4378" s="185" t="s">
        <v>215</v>
      </c>
    </row>
    <row r="4379" spans="129:129" x14ac:dyDescent="0.2">
      <c r="DY4379" s="185" t="s">
        <v>215</v>
      </c>
    </row>
    <row r="4380" spans="129:129" x14ac:dyDescent="0.2">
      <c r="DY4380" s="185" t="s">
        <v>215</v>
      </c>
    </row>
    <row r="4381" spans="129:129" x14ac:dyDescent="0.2">
      <c r="DY4381" s="185" t="s">
        <v>215</v>
      </c>
    </row>
    <row r="4382" spans="129:129" x14ac:dyDescent="0.2">
      <c r="DY4382" s="185" t="s">
        <v>215</v>
      </c>
    </row>
    <row r="4383" spans="129:129" x14ac:dyDescent="0.2">
      <c r="DY4383" s="185" t="s">
        <v>215</v>
      </c>
    </row>
    <row r="4384" spans="129:129" x14ac:dyDescent="0.2">
      <c r="DY4384" s="185" t="s">
        <v>215</v>
      </c>
    </row>
    <row r="4385" spans="129:129" x14ac:dyDescent="0.2">
      <c r="DY4385" s="185" t="s">
        <v>215</v>
      </c>
    </row>
    <row r="4386" spans="129:129" x14ac:dyDescent="0.2">
      <c r="DY4386" s="185" t="s">
        <v>215</v>
      </c>
    </row>
    <row r="4387" spans="129:129" x14ac:dyDescent="0.2">
      <c r="DY4387" s="185" t="s">
        <v>215</v>
      </c>
    </row>
    <row r="4388" spans="129:129" x14ac:dyDescent="0.2">
      <c r="DY4388" s="185" t="s">
        <v>215</v>
      </c>
    </row>
    <row r="4389" spans="129:129" x14ac:dyDescent="0.2">
      <c r="DY4389" s="185" t="s">
        <v>215</v>
      </c>
    </row>
    <row r="4390" spans="129:129" x14ac:dyDescent="0.2">
      <c r="DY4390" s="185" t="s">
        <v>215</v>
      </c>
    </row>
    <row r="4391" spans="129:129" x14ac:dyDescent="0.2">
      <c r="DY4391" s="185" t="s">
        <v>215</v>
      </c>
    </row>
    <row r="4392" spans="129:129" x14ac:dyDescent="0.2">
      <c r="DY4392" s="185" t="s">
        <v>215</v>
      </c>
    </row>
    <row r="4393" spans="129:129" x14ac:dyDescent="0.2">
      <c r="DY4393" s="185" t="s">
        <v>215</v>
      </c>
    </row>
    <row r="4394" spans="129:129" x14ac:dyDescent="0.2">
      <c r="DY4394" s="185" t="s">
        <v>215</v>
      </c>
    </row>
    <row r="4395" spans="129:129" x14ac:dyDescent="0.2">
      <c r="DY4395" s="185" t="s">
        <v>215</v>
      </c>
    </row>
    <row r="4396" spans="129:129" x14ac:dyDescent="0.2">
      <c r="DY4396" s="185" t="s">
        <v>215</v>
      </c>
    </row>
    <row r="4397" spans="129:129" x14ac:dyDescent="0.2">
      <c r="DY4397" s="185" t="s">
        <v>215</v>
      </c>
    </row>
    <row r="4398" spans="129:129" x14ac:dyDescent="0.2">
      <c r="DY4398" s="185" t="s">
        <v>215</v>
      </c>
    </row>
    <row r="4399" spans="129:129" x14ac:dyDescent="0.2">
      <c r="DY4399" s="185" t="s">
        <v>215</v>
      </c>
    </row>
    <row r="4400" spans="129:129" x14ac:dyDescent="0.2">
      <c r="DY4400" s="185" t="s">
        <v>215</v>
      </c>
    </row>
    <row r="4401" spans="129:129" x14ac:dyDescent="0.2">
      <c r="DY4401" s="185" t="s">
        <v>215</v>
      </c>
    </row>
    <row r="4402" spans="129:129" x14ac:dyDescent="0.2">
      <c r="DY4402" s="185" t="s">
        <v>215</v>
      </c>
    </row>
    <row r="4403" spans="129:129" x14ac:dyDescent="0.2">
      <c r="DY4403" s="185" t="s">
        <v>215</v>
      </c>
    </row>
    <row r="4404" spans="129:129" x14ac:dyDescent="0.2">
      <c r="DY4404" s="185" t="s">
        <v>215</v>
      </c>
    </row>
    <row r="4405" spans="129:129" x14ac:dyDescent="0.2">
      <c r="DY4405" s="185" t="s">
        <v>215</v>
      </c>
    </row>
    <row r="4406" spans="129:129" x14ac:dyDescent="0.2">
      <c r="DY4406" s="185" t="s">
        <v>215</v>
      </c>
    </row>
    <row r="4407" spans="129:129" x14ac:dyDescent="0.2">
      <c r="DY4407" s="185" t="s">
        <v>215</v>
      </c>
    </row>
    <row r="4408" spans="129:129" x14ac:dyDescent="0.2">
      <c r="DY4408" s="185" t="s">
        <v>215</v>
      </c>
    </row>
    <row r="4409" spans="129:129" x14ac:dyDescent="0.2">
      <c r="DY4409" s="185" t="s">
        <v>215</v>
      </c>
    </row>
    <row r="4410" spans="129:129" x14ac:dyDescent="0.2">
      <c r="DY4410" s="185" t="s">
        <v>215</v>
      </c>
    </row>
    <row r="4411" spans="129:129" x14ac:dyDescent="0.2">
      <c r="DY4411" s="185" t="s">
        <v>215</v>
      </c>
    </row>
    <row r="4412" spans="129:129" x14ac:dyDescent="0.2">
      <c r="DY4412" s="185" t="s">
        <v>215</v>
      </c>
    </row>
    <row r="4413" spans="129:129" x14ac:dyDescent="0.2">
      <c r="DY4413" s="185" t="s">
        <v>215</v>
      </c>
    </row>
    <row r="4414" spans="129:129" x14ac:dyDescent="0.2">
      <c r="DY4414" s="185" t="s">
        <v>215</v>
      </c>
    </row>
    <row r="4415" spans="129:129" x14ac:dyDescent="0.2">
      <c r="DY4415" s="185" t="s">
        <v>215</v>
      </c>
    </row>
    <row r="4416" spans="129:129" x14ac:dyDescent="0.2">
      <c r="DY4416" s="185" t="s">
        <v>215</v>
      </c>
    </row>
    <row r="4417" spans="129:129" x14ac:dyDescent="0.2">
      <c r="DY4417" s="185" t="s">
        <v>215</v>
      </c>
    </row>
    <row r="4418" spans="129:129" x14ac:dyDescent="0.2">
      <c r="DY4418" s="185" t="s">
        <v>215</v>
      </c>
    </row>
    <row r="4419" spans="129:129" x14ac:dyDescent="0.2">
      <c r="DY4419" s="185" t="s">
        <v>215</v>
      </c>
    </row>
    <row r="4420" spans="129:129" x14ac:dyDescent="0.2">
      <c r="DY4420" s="185" t="s">
        <v>215</v>
      </c>
    </row>
    <row r="4421" spans="129:129" x14ac:dyDescent="0.2">
      <c r="DY4421" s="185" t="s">
        <v>215</v>
      </c>
    </row>
    <row r="4422" spans="129:129" x14ac:dyDescent="0.2">
      <c r="DY4422" s="185" t="s">
        <v>215</v>
      </c>
    </row>
    <row r="4423" spans="129:129" x14ac:dyDescent="0.2">
      <c r="DY4423" s="185" t="s">
        <v>215</v>
      </c>
    </row>
    <row r="4424" spans="129:129" x14ac:dyDescent="0.2">
      <c r="DY4424" s="185" t="s">
        <v>215</v>
      </c>
    </row>
    <row r="4425" spans="129:129" x14ac:dyDescent="0.2">
      <c r="DY4425" s="185" t="s">
        <v>215</v>
      </c>
    </row>
    <row r="4426" spans="129:129" x14ac:dyDescent="0.2">
      <c r="DY4426" s="185" t="s">
        <v>215</v>
      </c>
    </row>
    <row r="4427" spans="129:129" x14ac:dyDescent="0.2">
      <c r="DY4427" s="185" t="s">
        <v>215</v>
      </c>
    </row>
    <row r="4428" spans="129:129" x14ac:dyDescent="0.2">
      <c r="DY4428" s="185" t="s">
        <v>215</v>
      </c>
    </row>
    <row r="4429" spans="129:129" x14ac:dyDescent="0.2">
      <c r="DY4429" s="185" t="s">
        <v>215</v>
      </c>
    </row>
    <row r="4430" spans="129:129" x14ac:dyDescent="0.2">
      <c r="DY4430" s="185" t="s">
        <v>215</v>
      </c>
    </row>
    <row r="4431" spans="129:129" x14ac:dyDescent="0.2">
      <c r="DY4431" s="185" t="s">
        <v>215</v>
      </c>
    </row>
    <row r="4432" spans="129:129" x14ac:dyDescent="0.2">
      <c r="DY4432" s="185" t="s">
        <v>215</v>
      </c>
    </row>
    <row r="4433" spans="129:129" x14ac:dyDescent="0.2">
      <c r="DY4433" s="185" t="s">
        <v>215</v>
      </c>
    </row>
    <row r="4434" spans="129:129" x14ac:dyDescent="0.2">
      <c r="DY4434" s="185" t="s">
        <v>215</v>
      </c>
    </row>
    <row r="4435" spans="129:129" x14ac:dyDescent="0.2">
      <c r="DY4435" s="185" t="s">
        <v>215</v>
      </c>
    </row>
    <row r="4436" spans="129:129" x14ac:dyDescent="0.2">
      <c r="DY4436" s="185" t="s">
        <v>215</v>
      </c>
    </row>
    <row r="4437" spans="129:129" x14ac:dyDescent="0.2">
      <c r="DY4437" s="185" t="s">
        <v>215</v>
      </c>
    </row>
    <row r="4438" spans="129:129" x14ac:dyDescent="0.2">
      <c r="DY4438" s="185" t="s">
        <v>215</v>
      </c>
    </row>
    <row r="4439" spans="129:129" x14ac:dyDescent="0.2">
      <c r="DY4439" s="185" t="s">
        <v>215</v>
      </c>
    </row>
    <row r="4440" spans="129:129" x14ac:dyDescent="0.2">
      <c r="DY4440" s="185" t="s">
        <v>215</v>
      </c>
    </row>
    <row r="4441" spans="129:129" x14ac:dyDescent="0.2">
      <c r="DY4441" s="185" t="s">
        <v>215</v>
      </c>
    </row>
    <row r="4442" spans="129:129" x14ac:dyDescent="0.2">
      <c r="DY4442" s="185" t="s">
        <v>215</v>
      </c>
    </row>
    <row r="4443" spans="129:129" x14ac:dyDescent="0.2">
      <c r="DY4443" s="185" t="s">
        <v>215</v>
      </c>
    </row>
    <row r="4444" spans="129:129" x14ac:dyDescent="0.2">
      <c r="DY4444" s="185" t="s">
        <v>215</v>
      </c>
    </row>
    <row r="4445" spans="129:129" x14ac:dyDescent="0.2">
      <c r="DY4445" s="185" t="s">
        <v>215</v>
      </c>
    </row>
    <row r="4446" spans="129:129" x14ac:dyDescent="0.2">
      <c r="DY4446" s="185" t="s">
        <v>215</v>
      </c>
    </row>
    <row r="4447" spans="129:129" x14ac:dyDescent="0.2">
      <c r="DY4447" s="185" t="s">
        <v>215</v>
      </c>
    </row>
    <row r="4448" spans="129:129" x14ac:dyDescent="0.2">
      <c r="DY4448" s="185" t="s">
        <v>215</v>
      </c>
    </row>
    <row r="4449" spans="129:129" x14ac:dyDescent="0.2">
      <c r="DY4449" s="185" t="s">
        <v>215</v>
      </c>
    </row>
    <row r="4450" spans="129:129" x14ac:dyDescent="0.2">
      <c r="DY4450" s="185" t="s">
        <v>215</v>
      </c>
    </row>
    <row r="4451" spans="129:129" x14ac:dyDescent="0.2">
      <c r="DY4451" s="185" t="s">
        <v>215</v>
      </c>
    </row>
    <row r="4452" spans="129:129" x14ac:dyDescent="0.2">
      <c r="DY4452" s="185" t="s">
        <v>215</v>
      </c>
    </row>
    <row r="4453" spans="129:129" x14ac:dyDescent="0.2">
      <c r="DY4453" s="185" t="s">
        <v>215</v>
      </c>
    </row>
    <row r="4454" spans="129:129" x14ac:dyDescent="0.2">
      <c r="DY4454" s="185" t="s">
        <v>215</v>
      </c>
    </row>
    <row r="4455" spans="129:129" x14ac:dyDescent="0.2">
      <c r="DY4455" s="185" t="s">
        <v>215</v>
      </c>
    </row>
    <row r="4456" spans="129:129" x14ac:dyDescent="0.2">
      <c r="DY4456" s="185" t="s">
        <v>215</v>
      </c>
    </row>
    <row r="4457" spans="129:129" x14ac:dyDescent="0.2">
      <c r="DY4457" s="185" t="s">
        <v>215</v>
      </c>
    </row>
    <row r="4458" spans="129:129" x14ac:dyDescent="0.2">
      <c r="DY4458" s="185" t="s">
        <v>215</v>
      </c>
    </row>
    <row r="4459" spans="129:129" x14ac:dyDescent="0.2">
      <c r="DY4459" s="185" t="s">
        <v>215</v>
      </c>
    </row>
    <row r="4460" spans="129:129" x14ac:dyDescent="0.2">
      <c r="DY4460" s="185" t="s">
        <v>215</v>
      </c>
    </row>
    <row r="4461" spans="129:129" x14ac:dyDescent="0.2">
      <c r="DY4461" s="185" t="s">
        <v>215</v>
      </c>
    </row>
    <row r="4462" spans="129:129" x14ac:dyDescent="0.2">
      <c r="DY4462" s="185" t="s">
        <v>215</v>
      </c>
    </row>
    <row r="4463" spans="129:129" x14ac:dyDescent="0.2">
      <c r="DY4463" s="185" t="s">
        <v>215</v>
      </c>
    </row>
    <row r="4464" spans="129:129" x14ac:dyDescent="0.2">
      <c r="DY4464" s="185" t="s">
        <v>215</v>
      </c>
    </row>
    <row r="4465" spans="129:129" x14ac:dyDescent="0.2">
      <c r="DY4465" s="185" t="s">
        <v>215</v>
      </c>
    </row>
    <row r="4466" spans="129:129" x14ac:dyDescent="0.2">
      <c r="DY4466" s="185" t="s">
        <v>215</v>
      </c>
    </row>
    <row r="4467" spans="129:129" x14ac:dyDescent="0.2">
      <c r="DY4467" s="185" t="s">
        <v>215</v>
      </c>
    </row>
    <row r="4468" spans="129:129" x14ac:dyDescent="0.2">
      <c r="DY4468" s="185" t="s">
        <v>215</v>
      </c>
    </row>
    <row r="4469" spans="129:129" x14ac:dyDescent="0.2">
      <c r="DY4469" s="185" t="s">
        <v>215</v>
      </c>
    </row>
    <row r="4470" spans="129:129" x14ac:dyDescent="0.2">
      <c r="DY4470" s="185" t="s">
        <v>215</v>
      </c>
    </row>
    <row r="4471" spans="129:129" x14ac:dyDescent="0.2">
      <c r="DY4471" s="185" t="s">
        <v>215</v>
      </c>
    </row>
    <row r="4472" spans="129:129" x14ac:dyDescent="0.2">
      <c r="DY4472" s="185" t="s">
        <v>215</v>
      </c>
    </row>
    <row r="4473" spans="129:129" x14ac:dyDescent="0.2">
      <c r="DY4473" s="185" t="s">
        <v>215</v>
      </c>
    </row>
    <row r="4474" spans="129:129" x14ac:dyDescent="0.2">
      <c r="DY4474" s="185" t="s">
        <v>215</v>
      </c>
    </row>
    <row r="4475" spans="129:129" x14ac:dyDescent="0.2">
      <c r="DY4475" s="185" t="s">
        <v>215</v>
      </c>
    </row>
    <row r="4476" spans="129:129" x14ac:dyDescent="0.2">
      <c r="DY4476" s="185" t="s">
        <v>215</v>
      </c>
    </row>
    <row r="4477" spans="129:129" x14ac:dyDescent="0.2">
      <c r="DY4477" s="185" t="s">
        <v>215</v>
      </c>
    </row>
    <row r="4478" spans="129:129" x14ac:dyDescent="0.2">
      <c r="DY4478" s="185" t="s">
        <v>215</v>
      </c>
    </row>
    <row r="4479" spans="129:129" x14ac:dyDescent="0.2">
      <c r="DY4479" s="185" t="s">
        <v>215</v>
      </c>
    </row>
    <row r="4480" spans="129:129" x14ac:dyDescent="0.2">
      <c r="DY4480" s="185" t="s">
        <v>215</v>
      </c>
    </row>
    <row r="4481" spans="129:129" x14ac:dyDescent="0.2">
      <c r="DY4481" s="185" t="s">
        <v>215</v>
      </c>
    </row>
    <row r="4482" spans="129:129" x14ac:dyDescent="0.2">
      <c r="DY4482" s="185" t="s">
        <v>215</v>
      </c>
    </row>
    <row r="4483" spans="129:129" x14ac:dyDescent="0.2">
      <c r="DY4483" s="185" t="s">
        <v>215</v>
      </c>
    </row>
    <row r="4484" spans="129:129" x14ac:dyDescent="0.2">
      <c r="DY4484" s="185" t="s">
        <v>215</v>
      </c>
    </row>
    <row r="4485" spans="129:129" x14ac:dyDescent="0.2">
      <c r="DY4485" s="185" t="s">
        <v>215</v>
      </c>
    </row>
    <row r="4486" spans="129:129" x14ac:dyDescent="0.2">
      <c r="DY4486" s="185" t="s">
        <v>215</v>
      </c>
    </row>
    <row r="4487" spans="129:129" x14ac:dyDescent="0.2">
      <c r="DY4487" s="185" t="s">
        <v>215</v>
      </c>
    </row>
    <row r="4488" spans="129:129" x14ac:dyDescent="0.2">
      <c r="DY4488" s="185" t="s">
        <v>215</v>
      </c>
    </row>
    <row r="4489" spans="129:129" x14ac:dyDescent="0.2">
      <c r="DY4489" s="185" t="s">
        <v>215</v>
      </c>
    </row>
    <row r="4490" spans="129:129" x14ac:dyDescent="0.2">
      <c r="DY4490" s="185" t="s">
        <v>215</v>
      </c>
    </row>
    <row r="4491" spans="129:129" x14ac:dyDescent="0.2">
      <c r="DY4491" s="185" t="s">
        <v>215</v>
      </c>
    </row>
    <row r="4492" spans="129:129" x14ac:dyDescent="0.2">
      <c r="DY4492" s="185" t="s">
        <v>215</v>
      </c>
    </row>
    <row r="4493" spans="129:129" x14ac:dyDescent="0.2">
      <c r="DY4493" s="185" t="s">
        <v>215</v>
      </c>
    </row>
    <row r="4494" spans="129:129" x14ac:dyDescent="0.2">
      <c r="DY4494" s="185" t="s">
        <v>215</v>
      </c>
    </row>
    <row r="4495" spans="129:129" x14ac:dyDescent="0.2">
      <c r="DY4495" s="185" t="s">
        <v>215</v>
      </c>
    </row>
    <row r="4496" spans="129:129" x14ac:dyDescent="0.2">
      <c r="DY4496" s="185" t="s">
        <v>215</v>
      </c>
    </row>
    <row r="4497" spans="129:129" x14ac:dyDescent="0.2">
      <c r="DY4497" s="185" t="s">
        <v>215</v>
      </c>
    </row>
    <row r="4498" spans="129:129" x14ac:dyDescent="0.2">
      <c r="DY4498" s="185" t="s">
        <v>215</v>
      </c>
    </row>
    <row r="4499" spans="129:129" x14ac:dyDescent="0.2">
      <c r="DY4499" s="185" t="s">
        <v>215</v>
      </c>
    </row>
    <row r="4500" spans="129:129" x14ac:dyDescent="0.2">
      <c r="DY4500" s="185" t="s">
        <v>215</v>
      </c>
    </row>
    <row r="4501" spans="129:129" x14ac:dyDescent="0.2">
      <c r="DY4501" s="185" t="s">
        <v>215</v>
      </c>
    </row>
    <row r="4502" spans="129:129" x14ac:dyDescent="0.2">
      <c r="DY4502" s="185" t="s">
        <v>215</v>
      </c>
    </row>
    <row r="4503" spans="129:129" x14ac:dyDescent="0.2">
      <c r="DY4503" s="185" t="s">
        <v>215</v>
      </c>
    </row>
    <row r="4504" spans="129:129" x14ac:dyDescent="0.2">
      <c r="DY4504" s="185" t="s">
        <v>215</v>
      </c>
    </row>
    <row r="4505" spans="129:129" x14ac:dyDescent="0.2">
      <c r="DY4505" s="185" t="s">
        <v>215</v>
      </c>
    </row>
    <row r="4506" spans="129:129" x14ac:dyDescent="0.2">
      <c r="DY4506" s="185" t="s">
        <v>215</v>
      </c>
    </row>
    <row r="4507" spans="129:129" x14ac:dyDescent="0.2">
      <c r="DY4507" s="185" t="s">
        <v>215</v>
      </c>
    </row>
    <row r="4508" spans="129:129" x14ac:dyDescent="0.2">
      <c r="DY4508" s="185" t="s">
        <v>215</v>
      </c>
    </row>
    <row r="4509" spans="129:129" x14ac:dyDescent="0.2">
      <c r="DY4509" s="185" t="s">
        <v>215</v>
      </c>
    </row>
    <row r="4510" spans="129:129" x14ac:dyDescent="0.2">
      <c r="DY4510" s="185" t="s">
        <v>215</v>
      </c>
    </row>
    <row r="4511" spans="129:129" x14ac:dyDescent="0.2">
      <c r="DY4511" s="185" t="s">
        <v>215</v>
      </c>
    </row>
    <row r="4512" spans="129:129" x14ac:dyDescent="0.2">
      <c r="DY4512" s="185" t="s">
        <v>215</v>
      </c>
    </row>
    <row r="4513" spans="129:129" x14ac:dyDescent="0.2">
      <c r="DY4513" s="185" t="s">
        <v>215</v>
      </c>
    </row>
    <row r="4514" spans="129:129" x14ac:dyDescent="0.2">
      <c r="DY4514" s="185" t="s">
        <v>215</v>
      </c>
    </row>
    <row r="4515" spans="129:129" x14ac:dyDescent="0.2">
      <c r="DY4515" s="185" t="s">
        <v>215</v>
      </c>
    </row>
    <row r="4516" spans="129:129" x14ac:dyDescent="0.2">
      <c r="DY4516" s="185" t="s">
        <v>215</v>
      </c>
    </row>
    <row r="4517" spans="129:129" x14ac:dyDescent="0.2">
      <c r="DY4517" s="185" t="s">
        <v>215</v>
      </c>
    </row>
    <row r="4518" spans="129:129" x14ac:dyDescent="0.2">
      <c r="DY4518" s="185" t="s">
        <v>215</v>
      </c>
    </row>
    <row r="4519" spans="129:129" x14ac:dyDescent="0.2">
      <c r="DY4519" s="185" t="s">
        <v>215</v>
      </c>
    </row>
    <row r="4520" spans="129:129" x14ac:dyDescent="0.2">
      <c r="DY4520" s="185" t="s">
        <v>215</v>
      </c>
    </row>
    <row r="4521" spans="129:129" x14ac:dyDescent="0.2">
      <c r="DY4521" s="185" t="s">
        <v>215</v>
      </c>
    </row>
    <row r="4522" spans="129:129" x14ac:dyDescent="0.2">
      <c r="DY4522" s="185" t="s">
        <v>215</v>
      </c>
    </row>
    <row r="4523" spans="129:129" x14ac:dyDescent="0.2">
      <c r="DY4523" s="185" t="s">
        <v>215</v>
      </c>
    </row>
    <row r="4524" spans="129:129" x14ac:dyDescent="0.2">
      <c r="DY4524" s="185" t="s">
        <v>215</v>
      </c>
    </row>
    <row r="4525" spans="129:129" x14ac:dyDescent="0.2">
      <c r="DY4525" s="185" t="s">
        <v>215</v>
      </c>
    </row>
    <row r="4526" spans="129:129" x14ac:dyDescent="0.2">
      <c r="DY4526" s="185" t="s">
        <v>215</v>
      </c>
    </row>
    <row r="4527" spans="129:129" x14ac:dyDescent="0.2">
      <c r="DY4527" s="185" t="s">
        <v>215</v>
      </c>
    </row>
    <row r="4528" spans="129:129" x14ac:dyDescent="0.2">
      <c r="DY4528" s="185" t="s">
        <v>215</v>
      </c>
    </row>
    <row r="4529" spans="129:129" x14ac:dyDescent="0.2">
      <c r="DY4529" s="185" t="s">
        <v>215</v>
      </c>
    </row>
    <row r="4530" spans="129:129" x14ac:dyDescent="0.2">
      <c r="DY4530" s="185" t="s">
        <v>215</v>
      </c>
    </row>
    <row r="4531" spans="129:129" x14ac:dyDescent="0.2">
      <c r="DY4531" s="185" t="s">
        <v>215</v>
      </c>
    </row>
    <row r="4532" spans="129:129" x14ac:dyDescent="0.2">
      <c r="DY4532" s="185" t="s">
        <v>215</v>
      </c>
    </row>
    <row r="4533" spans="129:129" x14ac:dyDescent="0.2">
      <c r="DY4533" s="185" t="s">
        <v>215</v>
      </c>
    </row>
    <row r="4534" spans="129:129" x14ac:dyDescent="0.2">
      <c r="DY4534" s="185" t="s">
        <v>215</v>
      </c>
    </row>
    <row r="4535" spans="129:129" x14ac:dyDescent="0.2">
      <c r="DY4535" s="185" t="s">
        <v>215</v>
      </c>
    </row>
    <row r="4536" spans="129:129" x14ac:dyDescent="0.2">
      <c r="DY4536" s="185" t="s">
        <v>215</v>
      </c>
    </row>
    <row r="4537" spans="129:129" x14ac:dyDescent="0.2">
      <c r="DY4537" s="185" t="s">
        <v>215</v>
      </c>
    </row>
    <row r="4538" spans="129:129" x14ac:dyDescent="0.2">
      <c r="DY4538" s="185" t="s">
        <v>215</v>
      </c>
    </row>
    <row r="4539" spans="129:129" x14ac:dyDescent="0.2">
      <c r="DY4539" s="185" t="s">
        <v>215</v>
      </c>
    </row>
    <row r="4540" spans="129:129" x14ac:dyDescent="0.2">
      <c r="DY4540" s="185" t="s">
        <v>215</v>
      </c>
    </row>
    <row r="4541" spans="129:129" x14ac:dyDescent="0.2">
      <c r="DY4541" s="185" t="s">
        <v>215</v>
      </c>
    </row>
    <row r="4542" spans="129:129" x14ac:dyDescent="0.2">
      <c r="DY4542" s="185" t="s">
        <v>215</v>
      </c>
    </row>
    <row r="4543" spans="129:129" x14ac:dyDescent="0.2">
      <c r="DY4543" s="185" t="s">
        <v>215</v>
      </c>
    </row>
    <row r="4544" spans="129:129" x14ac:dyDescent="0.2">
      <c r="DY4544" s="185" t="s">
        <v>215</v>
      </c>
    </row>
    <row r="4545" spans="129:129" x14ac:dyDescent="0.2">
      <c r="DY4545" s="185" t="s">
        <v>215</v>
      </c>
    </row>
    <row r="4546" spans="129:129" x14ac:dyDescent="0.2">
      <c r="DY4546" s="185" t="s">
        <v>215</v>
      </c>
    </row>
    <row r="4547" spans="129:129" x14ac:dyDescent="0.2">
      <c r="DY4547" s="185" t="s">
        <v>215</v>
      </c>
    </row>
    <row r="4548" spans="129:129" x14ac:dyDescent="0.2">
      <c r="DY4548" s="185" t="s">
        <v>215</v>
      </c>
    </row>
    <row r="4549" spans="129:129" x14ac:dyDescent="0.2">
      <c r="DY4549" s="185" t="s">
        <v>215</v>
      </c>
    </row>
    <row r="4550" spans="129:129" x14ac:dyDescent="0.2">
      <c r="DY4550" s="185" t="s">
        <v>215</v>
      </c>
    </row>
    <row r="4551" spans="129:129" x14ac:dyDescent="0.2">
      <c r="DY4551" s="185" t="s">
        <v>215</v>
      </c>
    </row>
    <row r="4552" spans="129:129" x14ac:dyDescent="0.2">
      <c r="DY4552" s="185" t="s">
        <v>215</v>
      </c>
    </row>
    <row r="4553" spans="129:129" x14ac:dyDescent="0.2">
      <c r="DY4553" s="185" t="s">
        <v>215</v>
      </c>
    </row>
    <row r="4554" spans="129:129" x14ac:dyDescent="0.2">
      <c r="DY4554" s="185" t="s">
        <v>215</v>
      </c>
    </row>
    <row r="4555" spans="129:129" x14ac:dyDescent="0.2">
      <c r="DY4555" s="185" t="s">
        <v>215</v>
      </c>
    </row>
    <row r="4556" spans="129:129" x14ac:dyDescent="0.2">
      <c r="DY4556" s="185" t="s">
        <v>215</v>
      </c>
    </row>
    <row r="4557" spans="129:129" x14ac:dyDescent="0.2">
      <c r="DY4557" s="185" t="s">
        <v>215</v>
      </c>
    </row>
    <row r="4558" spans="129:129" x14ac:dyDescent="0.2">
      <c r="DY4558" s="185" t="s">
        <v>215</v>
      </c>
    </row>
    <row r="4559" spans="129:129" x14ac:dyDescent="0.2">
      <c r="DY4559" s="185" t="s">
        <v>215</v>
      </c>
    </row>
    <row r="4560" spans="129:129" x14ac:dyDescent="0.2">
      <c r="DY4560" s="185" t="s">
        <v>215</v>
      </c>
    </row>
    <row r="4561" spans="129:129" x14ac:dyDescent="0.2">
      <c r="DY4561" s="185" t="s">
        <v>215</v>
      </c>
    </row>
    <row r="4562" spans="129:129" x14ac:dyDescent="0.2">
      <c r="DY4562" s="185" t="s">
        <v>215</v>
      </c>
    </row>
    <row r="4563" spans="129:129" x14ac:dyDescent="0.2">
      <c r="DY4563" s="185" t="s">
        <v>215</v>
      </c>
    </row>
    <row r="4564" spans="129:129" x14ac:dyDescent="0.2">
      <c r="DY4564" s="185" t="s">
        <v>215</v>
      </c>
    </row>
    <row r="4565" spans="129:129" x14ac:dyDescent="0.2">
      <c r="DY4565" s="185" t="s">
        <v>215</v>
      </c>
    </row>
    <row r="4566" spans="129:129" x14ac:dyDescent="0.2">
      <c r="DY4566" s="185" t="s">
        <v>215</v>
      </c>
    </row>
    <row r="4567" spans="129:129" x14ac:dyDescent="0.2">
      <c r="DY4567" s="185" t="s">
        <v>215</v>
      </c>
    </row>
    <row r="4568" spans="129:129" x14ac:dyDescent="0.2">
      <c r="DY4568" s="185" t="s">
        <v>215</v>
      </c>
    </row>
    <row r="4569" spans="129:129" x14ac:dyDescent="0.2">
      <c r="DY4569" s="185" t="s">
        <v>215</v>
      </c>
    </row>
    <row r="4570" spans="129:129" x14ac:dyDescent="0.2">
      <c r="DY4570" s="185" t="s">
        <v>215</v>
      </c>
    </row>
    <row r="4571" spans="129:129" x14ac:dyDescent="0.2">
      <c r="DY4571" s="185" t="s">
        <v>215</v>
      </c>
    </row>
    <row r="4572" spans="129:129" x14ac:dyDescent="0.2">
      <c r="DY4572" s="185" t="s">
        <v>215</v>
      </c>
    </row>
    <row r="4573" spans="129:129" x14ac:dyDescent="0.2">
      <c r="DY4573" s="185" t="s">
        <v>215</v>
      </c>
    </row>
    <row r="4574" spans="129:129" x14ac:dyDescent="0.2">
      <c r="DY4574" s="185" t="s">
        <v>215</v>
      </c>
    </row>
    <row r="4575" spans="129:129" x14ac:dyDescent="0.2">
      <c r="DY4575" s="185" t="s">
        <v>215</v>
      </c>
    </row>
    <row r="4576" spans="129:129" x14ac:dyDescent="0.2">
      <c r="DY4576" s="185" t="s">
        <v>215</v>
      </c>
    </row>
    <row r="4577" spans="129:129" x14ac:dyDescent="0.2">
      <c r="DY4577" s="185" t="s">
        <v>215</v>
      </c>
    </row>
    <row r="4578" spans="129:129" x14ac:dyDescent="0.2">
      <c r="DY4578" s="185" t="s">
        <v>215</v>
      </c>
    </row>
    <row r="4579" spans="129:129" x14ac:dyDescent="0.2">
      <c r="DY4579" s="185" t="s">
        <v>215</v>
      </c>
    </row>
    <row r="4580" spans="129:129" x14ac:dyDescent="0.2">
      <c r="DY4580" s="185" t="s">
        <v>215</v>
      </c>
    </row>
    <row r="4581" spans="129:129" x14ac:dyDescent="0.2">
      <c r="DY4581" s="185" t="s">
        <v>215</v>
      </c>
    </row>
    <row r="4582" spans="129:129" x14ac:dyDescent="0.2">
      <c r="DY4582" s="185" t="s">
        <v>215</v>
      </c>
    </row>
    <row r="4583" spans="129:129" x14ac:dyDescent="0.2">
      <c r="DY4583" s="185" t="s">
        <v>215</v>
      </c>
    </row>
    <row r="4584" spans="129:129" x14ac:dyDescent="0.2">
      <c r="DY4584" s="185" t="s">
        <v>215</v>
      </c>
    </row>
    <row r="4585" spans="129:129" x14ac:dyDescent="0.2">
      <c r="DY4585" s="185" t="s">
        <v>215</v>
      </c>
    </row>
    <row r="4586" spans="129:129" x14ac:dyDescent="0.2">
      <c r="DY4586" s="185" t="s">
        <v>215</v>
      </c>
    </row>
    <row r="4587" spans="129:129" x14ac:dyDescent="0.2">
      <c r="DY4587" s="185" t="s">
        <v>215</v>
      </c>
    </row>
    <row r="4588" spans="129:129" x14ac:dyDescent="0.2">
      <c r="DY4588" s="185" t="s">
        <v>215</v>
      </c>
    </row>
    <row r="4589" spans="129:129" x14ac:dyDescent="0.2">
      <c r="DY4589" s="185" t="s">
        <v>215</v>
      </c>
    </row>
    <row r="4590" spans="129:129" x14ac:dyDescent="0.2">
      <c r="DY4590" s="185" t="s">
        <v>215</v>
      </c>
    </row>
    <row r="4591" spans="129:129" x14ac:dyDescent="0.2">
      <c r="DY4591" s="185" t="s">
        <v>215</v>
      </c>
    </row>
    <row r="4592" spans="129:129" x14ac:dyDescent="0.2">
      <c r="DY4592" s="185" t="s">
        <v>215</v>
      </c>
    </row>
    <row r="4593" spans="129:129" x14ac:dyDescent="0.2">
      <c r="DY4593" s="185" t="s">
        <v>215</v>
      </c>
    </row>
    <row r="4594" spans="129:129" x14ac:dyDescent="0.2">
      <c r="DY4594" s="185" t="s">
        <v>215</v>
      </c>
    </row>
    <row r="4595" spans="129:129" x14ac:dyDescent="0.2">
      <c r="DY4595" s="185" t="s">
        <v>215</v>
      </c>
    </row>
    <row r="4596" spans="129:129" x14ac:dyDescent="0.2">
      <c r="DY4596" s="185" t="s">
        <v>215</v>
      </c>
    </row>
    <row r="4597" spans="129:129" x14ac:dyDescent="0.2">
      <c r="DY4597" s="185" t="s">
        <v>215</v>
      </c>
    </row>
    <row r="4598" spans="129:129" x14ac:dyDescent="0.2">
      <c r="DY4598" s="185" t="s">
        <v>215</v>
      </c>
    </row>
    <row r="4599" spans="129:129" x14ac:dyDescent="0.2">
      <c r="DY4599" s="185" t="s">
        <v>215</v>
      </c>
    </row>
    <row r="4600" spans="129:129" x14ac:dyDescent="0.2">
      <c r="DY4600" s="185" t="s">
        <v>215</v>
      </c>
    </row>
    <row r="4601" spans="129:129" x14ac:dyDescent="0.2">
      <c r="DY4601" s="185" t="s">
        <v>215</v>
      </c>
    </row>
    <row r="4602" spans="129:129" x14ac:dyDescent="0.2">
      <c r="DY4602" s="185" t="s">
        <v>215</v>
      </c>
    </row>
    <row r="4603" spans="129:129" x14ac:dyDescent="0.2">
      <c r="DY4603" s="185" t="s">
        <v>215</v>
      </c>
    </row>
    <row r="4604" spans="129:129" x14ac:dyDescent="0.2">
      <c r="DY4604" s="185" t="s">
        <v>215</v>
      </c>
    </row>
    <row r="4605" spans="129:129" x14ac:dyDescent="0.2">
      <c r="DY4605" s="185" t="s">
        <v>215</v>
      </c>
    </row>
    <row r="4606" spans="129:129" x14ac:dyDescent="0.2">
      <c r="DY4606" s="185" t="s">
        <v>215</v>
      </c>
    </row>
    <row r="4607" spans="129:129" x14ac:dyDescent="0.2">
      <c r="DY4607" s="185" t="s">
        <v>215</v>
      </c>
    </row>
    <row r="4608" spans="129:129" x14ac:dyDescent="0.2">
      <c r="DY4608" s="185" t="s">
        <v>215</v>
      </c>
    </row>
    <row r="4609" spans="129:129" x14ac:dyDescent="0.2">
      <c r="DY4609" s="185" t="s">
        <v>215</v>
      </c>
    </row>
    <row r="4610" spans="129:129" x14ac:dyDescent="0.2">
      <c r="DY4610" s="185" t="s">
        <v>215</v>
      </c>
    </row>
    <row r="4611" spans="129:129" x14ac:dyDescent="0.2">
      <c r="DY4611" s="185" t="s">
        <v>215</v>
      </c>
    </row>
    <row r="4612" spans="129:129" x14ac:dyDescent="0.2">
      <c r="DY4612" s="185" t="s">
        <v>215</v>
      </c>
    </row>
    <row r="4613" spans="129:129" x14ac:dyDescent="0.2">
      <c r="DY4613" s="185" t="s">
        <v>215</v>
      </c>
    </row>
    <row r="4614" spans="129:129" x14ac:dyDescent="0.2">
      <c r="DY4614" s="185" t="s">
        <v>215</v>
      </c>
    </row>
    <row r="4615" spans="129:129" x14ac:dyDescent="0.2">
      <c r="DY4615" s="185" t="s">
        <v>215</v>
      </c>
    </row>
    <row r="4616" spans="129:129" x14ac:dyDescent="0.2">
      <c r="DY4616" s="185" t="s">
        <v>215</v>
      </c>
    </row>
    <row r="4617" spans="129:129" x14ac:dyDescent="0.2">
      <c r="DY4617" s="185" t="s">
        <v>215</v>
      </c>
    </row>
    <row r="4618" spans="129:129" x14ac:dyDescent="0.2">
      <c r="DY4618" s="185" t="s">
        <v>215</v>
      </c>
    </row>
    <row r="4619" spans="129:129" x14ac:dyDescent="0.2">
      <c r="DY4619" s="185" t="s">
        <v>215</v>
      </c>
    </row>
    <row r="4620" spans="129:129" x14ac:dyDescent="0.2">
      <c r="DY4620" s="185" t="s">
        <v>215</v>
      </c>
    </row>
    <row r="4621" spans="129:129" x14ac:dyDescent="0.2">
      <c r="DY4621" s="185" t="s">
        <v>215</v>
      </c>
    </row>
    <row r="4622" spans="129:129" x14ac:dyDescent="0.2">
      <c r="DY4622" s="185" t="s">
        <v>215</v>
      </c>
    </row>
    <row r="4623" spans="129:129" x14ac:dyDescent="0.2">
      <c r="DY4623" s="185" t="s">
        <v>215</v>
      </c>
    </row>
    <row r="4624" spans="129:129" x14ac:dyDescent="0.2">
      <c r="DY4624" s="185" t="s">
        <v>215</v>
      </c>
    </row>
    <row r="4625" spans="129:129" x14ac:dyDescent="0.2">
      <c r="DY4625" s="185" t="s">
        <v>215</v>
      </c>
    </row>
    <row r="4626" spans="129:129" x14ac:dyDescent="0.2">
      <c r="DY4626" s="185" t="s">
        <v>215</v>
      </c>
    </row>
    <row r="4627" spans="129:129" x14ac:dyDescent="0.2">
      <c r="DY4627" s="185" t="s">
        <v>215</v>
      </c>
    </row>
    <row r="4628" spans="129:129" x14ac:dyDescent="0.2">
      <c r="DY4628" s="185" t="s">
        <v>215</v>
      </c>
    </row>
    <row r="4629" spans="129:129" x14ac:dyDescent="0.2">
      <c r="DY4629" s="185" t="s">
        <v>215</v>
      </c>
    </row>
    <row r="4630" spans="129:129" x14ac:dyDescent="0.2">
      <c r="DY4630" s="185" t="s">
        <v>215</v>
      </c>
    </row>
    <row r="4631" spans="129:129" x14ac:dyDescent="0.2">
      <c r="DY4631" s="185" t="s">
        <v>215</v>
      </c>
    </row>
    <row r="4632" spans="129:129" x14ac:dyDescent="0.2">
      <c r="DY4632" s="185" t="s">
        <v>215</v>
      </c>
    </row>
    <row r="4633" spans="129:129" x14ac:dyDescent="0.2">
      <c r="DY4633" s="185" t="s">
        <v>215</v>
      </c>
    </row>
    <row r="4634" spans="129:129" x14ac:dyDescent="0.2">
      <c r="DY4634" s="185" t="s">
        <v>215</v>
      </c>
    </row>
    <row r="4635" spans="129:129" x14ac:dyDescent="0.2">
      <c r="DY4635" s="185" t="s">
        <v>215</v>
      </c>
    </row>
    <row r="4636" spans="129:129" x14ac:dyDescent="0.2">
      <c r="DY4636" s="185" t="s">
        <v>215</v>
      </c>
    </row>
    <row r="4637" spans="129:129" x14ac:dyDescent="0.2">
      <c r="DY4637" s="185" t="s">
        <v>215</v>
      </c>
    </row>
    <row r="4638" spans="129:129" x14ac:dyDescent="0.2">
      <c r="DY4638" s="185" t="s">
        <v>215</v>
      </c>
    </row>
    <row r="4639" spans="129:129" x14ac:dyDescent="0.2">
      <c r="DY4639" s="185" t="s">
        <v>215</v>
      </c>
    </row>
    <row r="4640" spans="129:129" x14ac:dyDescent="0.2">
      <c r="DY4640" s="185" t="s">
        <v>215</v>
      </c>
    </row>
    <row r="4641" spans="129:129" x14ac:dyDescent="0.2">
      <c r="DY4641" s="185" t="s">
        <v>215</v>
      </c>
    </row>
    <row r="4642" spans="129:129" x14ac:dyDescent="0.2">
      <c r="DY4642" s="185" t="s">
        <v>215</v>
      </c>
    </row>
    <row r="4643" spans="129:129" x14ac:dyDescent="0.2">
      <c r="DY4643" s="185" t="s">
        <v>215</v>
      </c>
    </row>
    <row r="4644" spans="129:129" x14ac:dyDescent="0.2">
      <c r="DY4644" s="185" t="s">
        <v>215</v>
      </c>
    </row>
    <row r="4645" spans="129:129" x14ac:dyDescent="0.2">
      <c r="DY4645" s="185" t="s">
        <v>215</v>
      </c>
    </row>
    <row r="4646" spans="129:129" x14ac:dyDescent="0.2">
      <c r="DY4646" s="185" t="s">
        <v>215</v>
      </c>
    </row>
    <row r="4647" spans="129:129" x14ac:dyDescent="0.2">
      <c r="DY4647" s="185" t="s">
        <v>215</v>
      </c>
    </row>
    <row r="4648" spans="129:129" x14ac:dyDescent="0.2">
      <c r="DY4648" s="185" t="s">
        <v>215</v>
      </c>
    </row>
    <row r="4649" spans="129:129" x14ac:dyDescent="0.2">
      <c r="DY4649" s="185" t="s">
        <v>215</v>
      </c>
    </row>
    <row r="4650" spans="129:129" x14ac:dyDescent="0.2">
      <c r="DY4650" s="185" t="s">
        <v>215</v>
      </c>
    </row>
    <row r="4651" spans="129:129" x14ac:dyDescent="0.2">
      <c r="DY4651" s="185" t="s">
        <v>215</v>
      </c>
    </row>
    <row r="4652" spans="129:129" x14ac:dyDescent="0.2">
      <c r="DY4652" s="185" t="s">
        <v>215</v>
      </c>
    </row>
    <row r="4653" spans="129:129" x14ac:dyDescent="0.2">
      <c r="DY4653" s="185" t="s">
        <v>215</v>
      </c>
    </row>
    <row r="4654" spans="129:129" x14ac:dyDescent="0.2">
      <c r="DY4654" s="185" t="s">
        <v>215</v>
      </c>
    </row>
    <row r="4655" spans="129:129" x14ac:dyDescent="0.2">
      <c r="DY4655" s="185" t="s">
        <v>215</v>
      </c>
    </row>
    <row r="4656" spans="129:129" x14ac:dyDescent="0.2">
      <c r="DY4656" s="185" t="s">
        <v>215</v>
      </c>
    </row>
    <row r="4657" spans="129:129" x14ac:dyDescent="0.2">
      <c r="DY4657" s="185" t="s">
        <v>215</v>
      </c>
    </row>
    <row r="4658" spans="129:129" x14ac:dyDescent="0.2">
      <c r="DY4658" s="185" t="s">
        <v>215</v>
      </c>
    </row>
    <row r="4659" spans="129:129" x14ac:dyDescent="0.2">
      <c r="DY4659" s="185" t="s">
        <v>215</v>
      </c>
    </row>
    <row r="4660" spans="129:129" x14ac:dyDescent="0.2">
      <c r="DY4660" s="185" t="s">
        <v>215</v>
      </c>
    </row>
    <row r="4661" spans="129:129" x14ac:dyDescent="0.2">
      <c r="DY4661" s="185" t="s">
        <v>215</v>
      </c>
    </row>
    <row r="4662" spans="129:129" x14ac:dyDescent="0.2">
      <c r="DY4662" s="185" t="s">
        <v>215</v>
      </c>
    </row>
    <row r="4663" spans="129:129" x14ac:dyDescent="0.2">
      <c r="DY4663" s="185" t="s">
        <v>215</v>
      </c>
    </row>
    <row r="4664" spans="129:129" x14ac:dyDescent="0.2">
      <c r="DY4664" s="185" t="s">
        <v>215</v>
      </c>
    </row>
    <row r="4665" spans="129:129" x14ac:dyDescent="0.2">
      <c r="DY4665" s="185" t="s">
        <v>215</v>
      </c>
    </row>
    <row r="4666" spans="129:129" x14ac:dyDescent="0.2">
      <c r="DY4666" s="185" t="s">
        <v>215</v>
      </c>
    </row>
    <row r="4667" spans="129:129" x14ac:dyDescent="0.2">
      <c r="DY4667" s="185" t="s">
        <v>215</v>
      </c>
    </row>
    <row r="4668" spans="129:129" x14ac:dyDescent="0.2">
      <c r="DY4668" s="185" t="s">
        <v>215</v>
      </c>
    </row>
    <row r="4669" spans="129:129" x14ac:dyDescent="0.2">
      <c r="DY4669" s="185" t="s">
        <v>215</v>
      </c>
    </row>
    <row r="4670" spans="129:129" x14ac:dyDescent="0.2">
      <c r="DY4670" s="185" t="s">
        <v>215</v>
      </c>
    </row>
    <row r="4671" spans="129:129" x14ac:dyDescent="0.2">
      <c r="DY4671" s="185" t="s">
        <v>215</v>
      </c>
    </row>
    <row r="4672" spans="129:129" x14ac:dyDescent="0.2">
      <c r="DY4672" s="185" t="s">
        <v>215</v>
      </c>
    </row>
    <row r="4673" spans="129:129" x14ac:dyDescent="0.2">
      <c r="DY4673" s="185" t="s">
        <v>215</v>
      </c>
    </row>
    <row r="4674" spans="129:129" x14ac:dyDescent="0.2">
      <c r="DY4674" s="185" t="s">
        <v>215</v>
      </c>
    </row>
    <row r="4675" spans="129:129" x14ac:dyDescent="0.2">
      <c r="DY4675" s="185" t="s">
        <v>215</v>
      </c>
    </row>
    <row r="4676" spans="129:129" x14ac:dyDescent="0.2">
      <c r="DY4676" s="185" t="s">
        <v>215</v>
      </c>
    </row>
    <row r="4677" spans="129:129" x14ac:dyDescent="0.2">
      <c r="DY4677" s="185" t="s">
        <v>215</v>
      </c>
    </row>
    <row r="4678" spans="129:129" x14ac:dyDescent="0.2">
      <c r="DY4678" s="185" t="s">
        <v>215</v>
      </c>
    </row>
    <row r="4679" spans="129:129" x14ac:dyDescent="0.2">
      <c r="DY4679" s="185" t="s">
        <v>215</v>
      </c>
    </row>
    <row r="4680" spans="129:129" x14ac:dyDescent="0.2">
      <c r="DY4680" s="185" t="s">
        <v>215</v>
      </c>
    </row>
    <row r="4681" spans="129:129" x14ac:dyDescent="0.2">
      <c r="DY4681" s="185" t="s">
        <v>215</v>
      </c>
    </row>
    <row r="4682" spans="129:129" x14ac:dyDescent="0.2">
      <c r="DY4682" s="185" t="s">
        <v>215</v>
      </c>
    </row>
    <row r="4683" spans="129:129" x14ac:dyDescent="0.2">
      <c r="DY4683" s="185" t="s">
        <v>215</v>
      </c>
    </row>
    <row r="4684" spans="129:129" x14ac:dyDescent="0.2">
      <c r="DY4684" s="185" t="s">
        <v>215</v>
      </c>
    </row>
    <row r="4685" spans="129:129" x14ac:dyDescent="0.2">
      <c r="DY4685" s="185" t="s">
        <v>215</v>
      </c>
    </row>
    <row r="4686" spans="129:129" x14ac:dyDescent="0.2">
      <c r="DY4686" s="185" t="s">
        <v>215</v>
      </c>
    </row>
    <row r="4687" spans="129:129" x14ac:dyDescent="0.2">
      <c r="DY4687" s="185" t="s">
        <v>215</v>
      </c>
    </row>
    <row r="4688" spans="129:129" x14ac:dyDescent="0.2">
      <c r="DY4688" s="185" t="s">
        <v>215</v>
      </c>
    </row>
    <row r="4689" spans="129:129" x14ac:dyDescent="0.2">
      <c r="DY4689" s="185" t="s">
        <v>215</v>
      </c>
    </row>
    <row r="4690" spans="129:129" x14ac:dyDescent="0.2">
      <c r="DY4690" s="185" t="s">
        <v>215</v>
      </c>
    </row>
    <row r="4691" spans="129:129" x14ac:dyDescent="0.2">
      <c r="DY4691" s="185" t="s">
        <v>215</v>
      </c>
    </row>
    <row r="4692" spans="129:129" x14ac:dyDescent="0.2">
      <c r="DY4692" s="185" t="s">
        <v>215</v>
      </c>
    </row>
    <row r="4693" spans="129:129" x14ac:dyDescent="0.2">
      <c r="DY4693" s="185" t="s">
        <v>215</v>
      </c>
    </row>
    <row r="4694" spans="129:129" x14ac:dyDescent="0.2">
      <c r="DY4694" s="185" t="s">
        <v>215</v>
      </c>
    </row>
    <row r="4695" spans="129:129" x14ac:dyDescent="0.2">
      <c r="DY4695" s="185" t="s">
        <v>215</v>
      </c>
    </row>
    <row r="4696" spans="129:129" x14ac:dyDescent="0.2">
      <c r="DY4696" s="185" t="s">
        <v>215</v>
      </c>
    </row>
    <row r="4697" spans="129:129" x14ac:dyDescent="0.2">
      <c r="DY4697" s="185" t="s">
        <v>215</v>
      </c>
    </row>
    <row r="4698" spans="129:129" x14ac:dyDescent="0.2">
      <c r="DY4698" s="185" t="s">
        <v>215</v>
      </c>
    </row>
    <row r="4699" spans="129:129" x14ac:dyDescent="0.2">
      <c r="DY4699" s="185" t="s">
        <v>215</v>
      </c>
    </row>
    <row r="4700" spans="129:129" x14ac:dyDescent="0.2">
      <c r="DY4700" s="185" t="s">
        <v>215</v>
      </c>
    </row>
    <row r="4701" spans="129:129" x14ac:dyDescent="0.2">
      <c r="DY4701" s="185" t="s">
        <v>215</v>
      </c>
    </row>
    <row r="4702" spans="129:129" x14ac:dyDescent="0.2">
      <c r="DY4702" s="185" t="s">
        <v>215</v>
      </c>
    </row>
    <row r="4703" spans="129:129" x14ac:dyDescent="0.2">
      <c r="DY4703" s="185" t="s">
        <v>215</v>
      </c>
    </row>
    <row r="4704" spans="129:129" x14ac:dyDescent="0.2">
      <c r="DY4704" s="185" t="s">
        <v>215</v>
      </c>
    </row>
    <row r="4705" spans="129:129" x14ac:dyDescent="0.2">
      <c r="DY4705" s="185" t="s">
        <v>215</v>
      </c>
    </row>
    <row r="4706" spans="129:129" x14ac:dyDescent="0.2">
      <c r="DY4706" s="185" t="s">
        <v>215</v>
      </c>
    </row>
    <row r="4707" spans="129:129" x14ac:dyDescent="0.2">
      <c r="DY4707" s="185" t="s">
        <v>215</v>
      </c>
    </row>
    <row r="4708" spans="129:129" x14ac:dyDescent="0.2">
      <c r="DY4708" s="185" t="s">
        <v>215</v>
      </c>
    </row>
    <row r="4709" spans="129:129" x14ac:dyDescent="0.2">
      <c r="DY4709" s="185" t="s">
        <v>215</v>
      </c>
    </row>
    <row r="4710" spans="129:129" x14ac:dyDescent="0.2">
      <c r="DY4710" s="185" t="s">
        <v>215</v>
      </c>
    </row>
    <row r="4711" spans="129:129" x14ac:dyDescent="0.2">
      <c r="DY4711" s="185" t="s">
        <v>215</v>
      </c>
    </row>
    <row r="4712" spans="129:129" x14ac:dyDescent="0.2">
      <c r="DY4712" s="185" t="s">
        <v>215</v>
      </c>
    </row>
    <row r="4713" spans="129:129" x14ac:dyDescent="0.2">
      <c r="DY4713" s="185" t="s">
        <v>215</v>
      </c>
    </row>
    <row r="4714" spans="129:129" x14ac:dyDescent="0.2">
      <c r="DY4714" s="185" t="s">
        <v>215</v>
      </c>
    </row>
    <row r="4715" spans="129:129" x14ac:dyDescent="0.2">
      <c r="DY4715" s="185" t="s">
        <v>215</v>
      </c>
    </row>
    <row r="4716" spans="129:129" x14ac:dyDescent="0.2">
      <c r="DY4716" s="185" t="s">
        <v>215</v>
      </c>
    </row>
    <row r="4717" spans="129:129" x14ac:dyDescent="0.2">
      <c r="DY4717" s="185" t="s">
        <v>215</v>
      </c>
    </row>
    <row r="4718" spans="129:129" x14ac:dyDescent="0.2">
      <c r="DY4718" s="185" t="s">
        <v>215</v>
      </c>
    </row>
    <row r="4719" spans="129:129" x14ac:dyDescent="0.2">
      <c r="DY4719" s="185" t="s">
        <v>215</v>
      </c>
    </row>
    <row r="4720" spans="129:129" x14ac:dyDescent="0.2">
      <c r="DY4720" s="185" t="s">
        <v>215</v>
      </c>
    </row>
    <row r="4721" spans="129:129" x14ac:dyDescent="0.2">
      <c r="DY4721" s="185" t="s">
        <v>215</v>
      </c>
    </row>
    <row r="4722" spans="129:129" x14ac:dyDescent="0.2">
      <c r="DY4722" s="185" t="s">
        <v>215</v>
      </c>
    </row>
    <row r="4723" spans="129:129" x14ac:dyDescent="0.2">
      <c r="DY4723" s="185" t="s">
        <v>215</v>
      </c>
    </row>
    <row r="4724" spans="129:129" x14ac:dyDescent="0.2">
      <c r="DY4724" s="185" t="s">
        <v>215</v>
      </c>
    </row>
    <row r="4725" spans="129:129" x14ac:dyDescent="0.2">
      <c r="DY4725" s="185" t="s">
        <v>215</v>
      </c>
    </row>
    <row r="4726" spans="129:129" x14ac:dyDescent="0.2">
      <c r="DY4726" s="185" t="s">
        <v>215</v>
      </c>
    </row>
    <row r="4727" spans="129:129" x14ac:dyDescent="0.2">
      <c r="DY4727" s="185" t="s">
        <v>215</v>
      </c>
    </row>
    <row r="4728" spans="129:129" x14ac:dyDescent="0.2">
      <c r="DY4728" s="185" t="s">
        <v>215</v>
      </c>
    </row>
    <row r="4729" spans="129:129" x14ac:dyDescent="0.2">
      <c r="DY4729" s="185" t="s">
        <v>215</v>
      </c>
    </row>
    <row r="4730" spans="129:129" x14ac:dyDescent="0.2">
      <c r="DY4730" s="185" t="s">
        <v>215</v>
      </c>
    </row>
    <row r="4731" spans="129:129" x14ac:dyDescent="0.2">
      <c r="DY4731" s="185" t="s">
        <v>215</v>
      </c>
    </row>
    <row r="4732" spans="129:129" x14ac:dyDescent="0.2">
      <c r="DY4732" s="185" t="s">
        <v>215</v>
      </c>
    </row>
    <row r="4733" spans="129:129" x14ac:dyDescent="0.2">
      <c r="DY4733" s="185" t="s">
        <v>215</v>
      </c>
    </row>
    <row r="4734" spans="129:129" x14ac:dyDescent="0.2">
      <c r="DY4734" s="185" t="s">
        <v>215</v>
      </c>
    </row>
    <row r="4735" spans="129:129" x14ac:dyDescent="0.2">
      <c r="DY4735" s="185" t="s">
        <v>215</v>
      </c>
    </row>
    <row r="4736" spans="129:129" x14ac:dyDescent="0.2">
      <c r="DY4736" s="185" t="s">
        <v>215</v>
      </c>
    </row>
    <row r="4737" spans="129:129" x14ac:dyDescent="0.2">
      <c r="DY4737" s="185" t="s">
        <v>215</v>
      </c>
    </row>
    <row r="4738" spans="129:129" x14ac:dyDescent="0.2">
      <c r="DY4738" s="185" t="s">
        <v>215</v>
      </c>
    </row>
    <row r="4739" spans="129:129" x14ac:dyDescent="0.2">
      <c r="DY4739" s="185" t="s">
        <v>215</v>
      </c>
    </row>
    <row r="4740" spans="129:129" x14ac:dyDescent="0.2">
      <c r="DY4740" s="185" t="s">
        <v>215</v>
      </c>
    </row>
    <row r="4741" spans="129:129" x14ac:dyDescent="0.2">
      <c r="DY4741" s="185" t="s">
        <v>215</v>
      </c>
    </row>
    <row r="4742" spans="129:129" x14ac:dyDescent="0.2">
      <c r="DY4742" s="185" t="s">
        <v>215</v>
      </c>
    </row>
    <row r="4743" spans="129:129" x14ac:dyDescent="0.2">
      <c r="DY4743" s="185" t="s">
        <v>215</v>
      </c>
    </row>
    <row r="4744" spans="129:129" x14ac:dyDescent="0.2">
      <c r="DY4744" s="185" t="s">
        <v>215</v>
      </c>
    </row>
    <row r="4745" spans="129:129" x14ac:dyDescent="0.2">
      <c r="DY4745" s="185" t="s">
        <v>215</v>
      </c>
    </row>
    <row r="4746" spans="129:129" x14ac:dyDescent="0.2">
      <c r="DY4746" s="185" t="s">
        <v>215</v>
      </c>
    </row>
    <row r="4747" spans="129:129" x14ac:dyDescent="0.2">
      <c r="DY4747" s="185" t="s">
        <v>215</v>
      </c>
    </row>
    <row r="4748" spans="129:129" x14ac:dyDescent="0.2">
      <c r="DY4748" s="185" t="s">
        <v>215</v>
      </c>
    </row>
    <row r="4749" spans="129:129" x14ac:dyDescent="0.2">
      <c r="DY4749" s="185" t="s">
        <v>215</v>
      </c>
    </row>
    <row r="4750" spans="129:129" x14ac:dyDescent="0.2">
      <c r="DY4750" s="185" t="s">
        <v>215</v>
      </c>
    </row>
    <row r="4751" spans="129:129" x14ac:dyDescent="0.2">
      <c r="DY4751" s="185" t="s">
        <v>215</v>
      </c>
    </row>
    <row r="4752" spans="129:129" x14ac:dyDescent="0.2">
      <c r="DY4752" s="185" t="s">
        <v>215</v>
      </c>
    </row>
    <row r="4753" spans="129:129" x14ac:dyDescent="0.2">
      <c r="DY4753" s="185" t="s">
        <v>215</v>
      </c>
    </row>
    <row r="4754" spans="129:129" x14ac:dyDescent="0.2">
      <c r="DY4754" s="185" t="s">
        <v>215</v>
      </c>
    </row>
    <row r="4755" spans="129:129" x14ac:dyDescent="0.2">
      <c r="DY4755" s="185" t="s">
        <v>215</v>
      </c>
    </row>
    <row r="4756" spans="129:129" x14ac:dyDescent="0.2">
      <c r="DY4756" s="185" t="s">
        <v>215</v>
      </c>
    </row>
    <row r="4757" spans="129:129" x14ac:dyDescent="0.2">
      <c r="DY4757" s="185" t="s">
        <v>215</v>
      </c>
    </row>
    <row r="4758" spans="129:129" x14ac:dyDescent="0.2">
      <c r="DY4758" s="185" t="s">
        <v>215</v>
      </c>
    </row>
    <row r="4759" spans="129:129" x14ac:dyDescent="0.2">
      <c r="DY4759" s="185" t="s">
        <v>215</v>
      </c>
    </row>
    <row r="4760" spans="129:129" x14ac:dyDescent="0.2">
      <c r="DY4760" s="185" t="s">
        <v>215</v>
      </c>
    </row>
    <row r="4761" spans="129:129" x14ac:dyDescent="0.2">
      <c r="DY4761" s="185" t="s">
        <v>215</v>
      </c>
    </row>
    <row r="4762" spans="129:129" x14ac:dyDescent="0.2">
      <c r="DY4762" s="185" t="s">
        <v>215</v>
      </c>
    </row>
    <row r="4763" spans="129:129" x14ac:dyDescent="0.2">
      <c r="DY4763" s="185" t="s">
        <v>215</v>
      </c>
    </row>
    <row r="4764" spans="129:129" x14ac:dyDescent="0.2">
      <c r="DY4764" s="185" t="s">
        <v>215</v>
      </c>
    </row>
    <row r="4765" spans="129:129" x14ac:dyDescent="0.2">
      <c r="DY4765" s="185" t="s">
        <v>215</v>
      </c>
    </row>
    <row r="4766" spans="129:129" x14ac:dyDescent="0.2">
      <c r="DY4766" s="185" t="s">
        <v>215</v>
      </c>
    </row>
    <row r="4767" spans="129:129" x14ac:dyDescent="0.2">
      <c r="DY4767" s="185" t="s">
        <v>215</v>
      </c>
    </row>
    <row r="4768" spans="129:129" x14ac:dyDescent="0.2">
      <c r="DY4768" s="185" t="s">
        <v>215</v>
      </c>
    </row>
    <row r="4769" spans="129:129" x14ac:dyDescent="0.2">
      <c r="DY4769" s="185" t="s">
        <v>215</v>
      </c>
    </row>
    <row r="4770" spans="129:129" x14ac:dyDescent="0.2">
      <c r="DY4770" s="185" t="s">
        <v>215</v>
      </c>
    </row>
    <row r="4771" spans="129:129" x14ac:dyDescent="0.2">
      <c r="DY4771" s="185" t="s">
        <v>215</v>
      </c>
    </row>
    <row r="4772" spans="129:129" x14ac:dyDescent="0.2">
      <c r="DY4772" s="185" t="s">
        <v>215</v>
      </c>
    </row>
    <row r="4773" spans="129:129" x14ac:dyDescent="0.2">
      <c r="DY4773" s="185" t="s">
        <v>215</v>
      </c>
    </row>
    <row r="4774" spans="129:129" x14ac:dyDescent="0.2">
      <c r="DY4774" s="185" t="s">
        <v>215</v>
      </c>
    </row>
    <row r="4775" spans="129:129" x14ac:dyDescent="0.2">
      <c r="DY4775" s="185" t="s">
        <v>215</v>
      </c>
    </row>
    <row r="4776" spans="129:129" x14ac:dyDescent="0.2">
      <c r="DY4776" s="185" t="s">
        <v>215</v>
      </c>
    </row>
    <row r="4777" spans="129:129" x14ac:dyDescent="0.2">
      <c r="DY4777" s="185" t="s">
        <v>215</v>
      </c>
    </row>
    <row r="4778" spans="129:129" x14ac:dyDescent="0.2">
      <c r="DY4778" s="185" t="s">
        <v>215</v>
      </c>
    </row>
    <row r="4779" spans="129:129" x14ac:dyDescent="0.2">
      <c r="DY4779" s="185" t="s">
        <v>215</v>
      </c>
    </row>
    <row r="4780" spans="129:129" x14ac:dyDescent="0.2">
      <c r="DY4780" s="185" t="s">
        <v>215</v>
      </c>
    </row>
    <row r="4781" spans="129:129" x14ac:dyDescent="0.2">
      <c r="DY4781" s="185" t="s">
        <v>215</v>
      </c>
    </row>
    <row r="4782" spans="129:129" x14ac:dyDescent="0.2">
      <c r="DY4782" s="185" t="s">
        <v>215</v>
      </c>
    </row>
    <row r="4783" spans="129:129" x14ac:dyDescent="0.2">
      <c r="DY4783" s="185" t="s">
        <v>215</v>
      </c>
    </row>
    <row r="4784" spans="129:129" x14ac:dyDescent="0.2">
      <c r="DY4784" s="185" t="s">
        <v>215</v>
      </c>
    </row>
    <row r="4785" spans="129:129" x14ac:dyDescent="0.2">
      <c r="DY4785" s="185" t="s">
        <v>215</v>
      </c>
    </row>
    <row r="4786" spans="129:129" x14ac:dyDescent="0.2">
      <c r="DY4786" s="185" t="s">
        <v>215</v>
      </c>
    </row>
    <row r="4787" spans="129:129" x14ac:dyDescent="0.2">
      <c r="DY4787" s="185" t="s">
        <v>215</v>
      </c>
    </row>
    <row r="4788" spans="129:129" x14ac:dyDescent="0.2">
      <c r="DY4788" s="185" t="s">
        <v>215</v>
      </c>
    </row>
    <row r="4789" spans="129:129" x14ac:dyDescent="0.2">
      <c r="DY4789" s="185" t="s">
        <v>215</v>
      </c>
    </row>
    <row r="4790" spans="129:129" x14ac:dyDescent="0.2">
      <c r="DY4790" s="185" t="s">
        <v>215</v>
      </c>
    </row>
    <row r="4791" spans="129:129" x14ac:dyDescent="0.2">
      <c r="DY4791" s="185" t="s">
        <v>215</v>
      </c>
    </row>
    <row r="4792" spans="129:129" x14ac:dyDescent="0.2">
      <c r="DY4792" s="185" t="s">
        <v>215</v>
      </c>
    </row>
    <row r="4793" spans="129:129" x14ac:dyDescent="0.2">
      <c r="DY4793" s="185" t="s">
        <v>215</v>
      </c>
    </row>
    <row r="4794" spans="129:129" x14ac:dyDescent="0.2">
      <c r="DY4794" s="185" t="s">
        <v>215</v>
      </c>
    </row>
    <row r="4795" spans="129:129" x14ac:dyDescent="0.2">
      <c r="DY4795" s="185" t="s">
        <v>215</v>
      </c>
    </row>
    <row r="4796" spans="129:129" x14ac:dyDescent="0.2">
      <c r="DY4796" s="185" t="s">
        <v>215</v>
      </c>
    </row>
    <row r="4797" spans="129:129" x14ac:dyDescent="0.2">
      <c r="DY4797" s="185" t="s">
        <v>215</v>
      </c>
    </row>
    <row r="4798" spans="129:129" x14ac:dyDescent="0.2">
      <c r="DY4798" s="185" t="s">
        <v>215</v>
      </c>
    </row>
    <row r="4799" spans="129:129" x14ac:dyDescent="0.2">
      <c r="DY4799" s="185" t="s">
        <v>215</v>
      </c>
    </row>
    <row r="4800" spans="129:129" x14ac:dyDescent="0.2">
      <c r="DY4800" s="185" t="s">
        <v>215</v>
      </c>
    </row>
    <row r="4801" spans="129:129" x14ac:dyDescent="0.2">
      <c r="DY4801" s="185" t="s">
        <v>215</v>
      </c>
    </row>
    <row r="4802" spans="129:129" x14ac:dyDescent="0.2">
      <c r="DY4802" s="185" t="s">
        <v>215</v>
      </c>
    </row>
    <row r="4803" spans="129:129" x14ac:dyDescent="0.2">
      <c r="DY4803" s="185" t="s">
        <v>215</v>
      </c>
    </row>
    <row r="4804" spans="129:129" x14ac:dyDescent="0.2">
      <c r="DY4804" s="185" t="s">
        <v>215</v>
      </c>
    </row>
    <row r="4805" spans="129:129" x14ac:dyDescent="0.2">
      <c r="DY4805" s="185" t="s">
        <v>215</v>
      </c>
    </row>
    <row r="4806" spans="129:129" x14ac:dyDescent="0.2">
      <c r="DY4806" s="185" t="s">
        <v>215</v>
      </c>
    </row>
    <row r="4807" spans="129:129" x14ac:dyDescent="0.2">
      <c r="DY4807" s="185" t="s">
        <v>215</v>
      </c>
    </row>
    <row r="4808" spans="129:129" x14ac:dyDescent="0.2">
      <c r="DY4808" s="185" t="s">
        <v>215</v>
      </c>
    </row>
    <row r="4809" spans="129:129" x14ac:dyDescent="0.2">
      <c r="DY4809" s="185" t="s">
        <v>215</v>
      </c>
    </row>
    <row r="4810" spans="129:129" x14ac:dyDescent="0.2">
      <c r="DY4810" s="185" t="s">
        <v>215</v>
      </c>
    </row>
    <row r="4811" spans="129:129" x14ac:dyDescent="0.2">
      <c r="DY4811" s="185" t="s">
        <v>215</v>
      </c>
    </row>
    <row r="4812" spans="129:129" x14ac:dyDescent="0.2">
      <c r="DY4812" s="185" t="s">
        <v>215</v>
      </c>
    </row>
    <row r="4813" spans="129:129" x14ac:dyDescent="0.2">
      <c r="DY4813" s="185" t="s">
        <v>215</v>
      </c>
    </row>
    <row r="4814" spans="129:129" x14ac:dyDescent="0.2">
      <c r="DY4814" s="185" t="s">
        <v>215</v>
      </c>
    </row>
    <row r="4815" spans="129:129" x14ac:dyDescent="0.2">
      <c r="DY4815" s="185" t="s">
        <v>215</v>
      </c>
    </row>
    <row r="4816" spans="129:129" x14ac:dyDescent="0.2">
      <c r="DY4816" s="185" t="s">
        <v>215</v>
      </c>
    </row>
    <row r="4817" spans="129:129" x14ac:dyDescent="0.2">
      <c r="DY4817" s="185" t="s">
        <v>215</v>
      </c>
    </row>
    <row r="4818" spans="129:129" x14ac:dyDescent="0.2">
      <c r="DY4818" s="185" t="s">
        <v>215</v>
      </c>
    </row>
    <row r="4819" spans="129:129" x14ac:dyDescent="0.2">
      <c r="DY4819" s="185" t="s">
        <v>215</v>
      </c>
    </row>
    <row r="4820" spans="129:129" x14ac:dyDescent="0.2">
      <c r="DY4820" s="185" t="s">
        <v>215</v>
      </c>
    </row>
    <row r="4821" spans="129:129" x14ac:dyDescent="0.2">
      <c r="DY4821" s="185" t="s">
        <v>215</v>
      </c>
    </row>
    <row r="4822" spans="129:129" x14ac:dyDescent="0.2">
      <c r="DY4822" s="185" t="s">
        <v>215</v>
      </c>
    </row>
    <row r="4823" spans="129:129" x14ac:dyDescent="0.2">
      <c r="DY4823" s="185" t="s">
        <v>215</v>
      </c>
    </row>
    <row r="4824" spans="129:129" x14ac:dyDescent="0.2">
      <c r="DY4824" s="185" t="s">
        <v>215</v>
      </c>
    </row>
    <row r="4825" spans="129:129" x14ac:dyDescent="0.2">
      <c r="DY4825" s="185" t="s">
        <v>215</v>
      </c>
    </row>
    <row r="4826" spans="129:129" x14ac:dyDescent="0.2">
      <c r="DY4826" s="185" t="s">
        <v>215</v>
      </c>
    </row>
    <row r="4827" spans="129:129" x14ac:dyDescent="0.2">
      <c r="DY4827" s="185" t="s">
        <v>215</v>
      </c>
    </row>
    <row r="4828" spans="129:129" x14ac:dyDescent="0.2">
      <c r="DY4828" s="185" t="s">
        <v>215</v>
      </c>
    </row>
    <row r="4829" spans="129:129" x14ac:dyDescent="0.2">
      <c r="DY4829" s="185" t="s">
        <v>215</v>
      </c>
    </row>
    <row r="4830" spans="129:129" x14ac:dyDescent="0.2">
      <c r="DY4830" s="185" t="s">
        <v>215</v>
      </c>
    </row>
    <row r="4831" spans="129:129" x14ac:dyDescent="0.2">
      <c r="DY4831" s="185" t="s">
        <v>215</v>
      </c>
    </row>
    <row r="4832" spans="129:129" x14ac:dyDescent="0.2">
      <c r="DY4832" s="185" t="s">
        <v>215</v>
      </c>
    </row>
    <row r="4833" spans="129:129" x14ac:dyDescent="0.2">
      <c r="DY4833" s="185" t="s">
        <v>215</v>
      </c>
    </row>
    <row r="4834" spans="129:129" x14ac:dyDescent="0.2">
      <c r="DY4834" s="185" t="s">
        <v>215</v>
      </c>
    </row>
    <row r="4835" spans="129:129" x14ac:dyDescent="0.2">
      <c r="DY4835" s="185" t="s">
        <v>215</v>
      </c>
    </row>
    <row r="4836" spans="129:129" x14ac:dyDescent="0.2">
      <c r="DY4836" s="185" t="s">
        <v>215</v>
      </c>
    </row>
    <row r="4837" spans="129:129" x14ac:dyDescent="0.2">
      <c r="DY4837" s="185" t="s">
        <v>215</v>
      </c>
    </row>
    <row r="4838" spans="129:129" x14ac:dyDescent="0.2">
      <c r="DY4838" s="185" t="s">
        <v>215</v>
      </c>
    </row>
    <row r="4839" spans="129:129" x14ac:dyDescent="0.2">
      <c r="DY4839" s="185" t="s">
        <v>215</v>
      </c>
    </row>
    <row r="4840" spans="129:129" x14ac:dyDescent="0.2">
      <c r="DY4840" s="185" t="s">
        <v>215</v>
      </c>
    </row>
    <row r="4841" spans="129:129" x14ac:dyDescent="0.2">
      <c r="DY4841" s="185" t="s">
        <v>215</v>
      </c>
    </row>
    <row r="4842" spans="129:129" x14ac:dyDescent="0.2">
      <c r="DY4842" s="185" t="s">
        <v>215</v>
      </c>
    </row>
    <row r="4843" spans="129:129" x14ac:dyDescent="0.2">
      <c r="DY4843" s="185" t="s">
        <v>215</v>
      </c>
    </row>
    <row r="4844" spans="129:129" x14ac:dyDescent="0.2">
      <c r="DY4844" s="185" t="s">
        <v>215</v>
      </c>
    </row>
    <row r="4845" spans="129:129" x14ac:dyDescent="0.2">
      <c r="DY4845" s="185" t="s">
        <v>215</v>
      </c>
    </row>
    <row r="4846" spans="129:129" x14ac:dyDescent="0.2">
      <c r="DY4846" s="185" t="s">
        <v>215</v>
      </c>
    </row>
    <row r="4847" spans="129:129" x14ac:dyDescent="0.2">
      <c r="DY4847" s="185" t="s">
        <v>215</v>
      </c>
    </row>
    <row r="4848" spans="129:129" x14ac:dyDescent="0.2">
      <c r="DY4848" s="185" t="s">
        <v>215</v>
      </c>
    </row>
    <row r="4849" spans="129:129" x14ac:dyDescent="0.2">
      <c r="DY4849" s="185" t="s">
        <v>215</v>
      </c>
    </row>
    <row r="4850" spans="129:129" x14ac:dyDescent="0.2">
      <c r="DY4850" s="185" t="s">
        <v>215</v>
      </c>
    </row>
    <row r="4851" spans="129:129" x14ac:dyDescent="0.2">
      <c r="DY4851" s="185" t="s">
        <v>215</v>
      </c>
    </row>
    <row r="4852" spans="129:129" x14ac:dyDescent="0.2">
      <c r="DY4852" s="185" t="s">
        <v>215</v>
      </c>
    </row>
    <row r="4853" spans="129:129" x14ac:dyDescent="0.2">
      <c r="DY4853" s="185" t="s">
        <v>215</v>
      </c>
    </row>
    <row r="4854" spans="129:129" x14ac:dyDescent="0.2">
      <c r="DY4854" s="185" t="s">
        <v>215</v>
      </c>
    </row>
    <row r="4855" spans="129:129" x14ac:dyDescent="0.2">
      <c r="DY4855" s="185" t="s">
        <v>215</v>
      </c>
    </row>
    <row r="4856" spans="129:129" x14ac:dyDescent="0.2">
      <c r="DY4856" s="185" t="s">
        <v>215</v>
      </c>
    </row>
    <row r="4857" spans="129:129" x14ac:dyDescent="0.2">
      <c r="DY4857" s="185" t="s">
        <v>215</v>
      </c>
    </row>
    <row r="4858" spans="129:129" x14ac:dyDescent="0.2">
      <c r="DY4858" s="185" t="s">
        <v>215</v>
      </c>
    </row>
    <row r="4859" spans="129:129" x14ac:dyDescent="0.2">
      <c r="DY4859" s="185" t="s">
        <v>215</v>
      </c>
    </row>
    <row r="4860" spans="129:129" x14ac:dyDescent="0.2">
      <c r="DY4860" s="185" t="s">
        <v>215</v>
      </c>
    </row>
    <row r="4861" spans="129:129" x14ac:dyDescent="0.2">
      <c r="DY4861" s="185" t="s">
        <v>215</v>
      </c>
    </row>
    <row r="4862" spans="129:129" x14ac:dyDescent="0.2">
      <c r="DY4862" s="185" t="s">
        <v>215</v>
      </c>
    </row>
    <row r="4863" spans="129:129" x14ac:dyDescent="0.2">
      <c r="DY4863" s="185" t="s">
        <v>215</v>
      </c>
    </row>
    <row r="4864" spans="129:129" x14ac:dyDescent="0.2">
      <c r="DY4864" s="185" t="s">
        <v>215</v>
      </c>
    </row>
    <row r="4865" spans="129:129" x14ac:dyDescent="0.2">
      <c r="DY4865" s="185" t="s">
        <v>215</v>
      </c>
    </row>
    <row r="4866" spans="129:129" x14ac:dyDescent="0.2">
      <c r="DY4866" s="185" t="s">
        <v>215</v>
      </c>
    </row>
    <row r="4867" spans="129:129" x14ac:dyDescent="0.2">
      <c r="DY4867" s="185" t="s">
        <v>215</v>
      </c>
    </row>
    <row r="4868" spans="129:129" x14ac:dyDescent="0.2">
      <c r="DY4868" s="185" t="s">
        <v>215</v>
      </c>
    </row>
    <row r="4869" spans="129:129" x14ac:dyDescent="0.2">
      <c r="DY4869" s="185" t="s">
        <v>215</v>
      </c>
    </row>
    <row r="4870" spans="129:129" x14ac:dyDescent="0.2">
      <c r="DY4870" s="185" t="s">
        <v>215</v>
      </c>
    </row>
    <row r="4871" spans="129:129" x14ac:dyDescent="0.2">
      <c r="DY4871" s="185" t="s">
        <v>215</v>
      </c>
    </row>
    <row r="4872" spans="129:129" x14ac:dyDescent="0.2">
      <c r="DY4872" s="185" t="s">
        <v>215</v>
      </c>
    </row>
    <row r="4873" spans="129:129" x14ac:dyDescent="0.2">
      <c r="DY4873" s="185" t="s">
        <v>215</v>
      </c>
    </row>
    <row r="4874" spans="129:129" x14ac:dyDescent="0.2">
      <c r="DY4874" s="185" t="s">
        <v>215</v>
      </c>
    </row>
    <row r="4875" spans="129:129" x14ac:dyDescent="0.2">
      <c r="DY4875" s="185" t="s">
        <v>215</v>
      </c>
    </row>
    <row r="4876" spans="129:129" x14ac:dyDescent="0.2">
      <c r="DY4876" s="185" t="s">
        <v>215</v>
      </c>
    </row>
    <row r="4877" spans="129:129" x14ac:dyDescent="0.2">
      <c r="DY4877" s="185" t="s">
        <v>215</v>
      </c>
    </row>
    <row r="4878" spans="129:129" x14ac:dyDescent="0.2">
      <c r="DY4878" s="185" t="s">
        <v>215</v>
      </c>
    </row>
    <row r="4879" spans="129:129" x14ac:dyDescent="0.2">
      <c r="DY4879" s="185" t="s">
        <v>215</v>
      </c>
    </row>
    <row r="4880" spans="129:129" x14ac:dyDescent="0.2">
      <c r="DY4880" s="185" t="s">
        <v>215</v>
      </c>
    </row>
    <row r="4881" spans="129:129" x14ac:dyDescent="0.2">
      <c r="DY4881" s="185" t="s">
        <v>215</v>
      </c>
    </row>
    <row r="4882" spans="129:129" x14ac:dyDescent="0.2">
      <c r="DY4882" s="185" t="s">
        <v>215</v>
      </c>
    </row>
    <row r="4883" spans="129:129" x14ac:dyDescent="0.2">
      <c r="DY4883" s="185" t="s">
        <v>215</v>
      </c>
    </row>
    <row r="4884" spans="129:129" x14ac:dyDescent="0.2">
      <c r="DY4884" s="185" t="s">
        <v>215</v>
      </c>
    </row>
    <row r="4885" spans="129:129" x14ac:dyDescent="0.2">
      <c r="DY4885" s="185" t="s">
        <v>215</v>
      </c>
    </row>
    <row r="4886" spans="129:129" x14ac:dyDescent="0.2">
      <c r="DY4886" s="185" t="s">
        <v>215</v>
      </c>
    </row>
    <row r="4887" spans="129:129" x14ac:dyDescent="0.2">
      <c r="DY4887" s="185" t="s">
        <v>215</v>
      </c>
    </row>
    <row r="4888" spans="129:129" x14ac:dyDescent="0.2">
      <c r="DY4888" s="185" t="s">
        <v>215</v>
      </c>
    </row>
    <row r="4889" spans="129:129" x14ac:dyDescent="0.2">
      <c r="DY4889" s="185" t="s">
        <v>215</v>
      </c>
    </row>
    <row r="4890" spans="129:129" x14ac:dyDescent="0.2">
      <c r="DY4890" s="185" t="s">
        <v>215</v>
      </c>
    </row>
    <row r="4891" spans="129:129" x14ac:dyDescent="0.2">
      <c r="DY4891" s="185" t="s">
        <v>215</v>
      </c>
    </row>
    <row r="4892" spans="129:129" x14ac:dyDescent="0.2">
      <c r="DY4892" s="185" t="s">
        <v>215</v>
      </c>
    </row>
    <row r="4893" spans="129:129" x14ac:dyDescent="0.2">
      <c r="DY4893" s="185" t="s">
        <v>215</v>
      </c>
    </row>
    <row r="4894" spans="129:129" x14ac:dyDescent="0.2">
      <c r="DY4894" s="185" t="s">
        <v>215</v>
      </c>
    </row>
    <row r="4895" spans="129:129" x14ac:dyDescent="0.2">
      <c r="DY4895" s="185" t="s">
        <v>215</v>
      </c>
    </row>
    <row r="4896" spans="129:129" x14ac:dyDescent="0.2">
      <c r="DY4896" s="185" t="s">
        <v>215</v>
      </c>
    </row>
    <row r="4897" spans="129:129" x14ac:dyDescent="0.2">
      <c r="DY4897" s="185" t="s">
        <v>215</v>
      </c>
    </row>
    <row r="4898" spans="129:129" x14ac:dyDescent="0.2">
      <c r="DY4898" s="185" t="s">
        <v>215</v>
      </c>
    </row>
    <row r="4899" spans="129:129" x14ac:dyDescent="0.2">
      <c r="DY4899" s="185" t="s">
        <v>215</v>
      </c>
    </row>
    <row r="4900" spans="129:129" x14ac:dyDescent="0.2">
      <c r="DY4900" s="185" t="s">
        <v>215</v>
      </c>
    </row>
    <row r="4901" spans="129:129" x14ac:dyDescent="0.2">
      <c r="DY4901" s="185" t="s">
        <v>215</v>
      </c>
    </row>
    <row r="4902" spans="129:129" x14ac:dyDescent="0.2">
      <c r="DY4902" s="185" t="s">
        <v>215</v>
      </c>
    </row>
    <row r="4903" spans="129:129" x14ac:dyDescent="0.2">
      <c r="DY4903" s="185" t="s">
        <v>215</v>
      </c>
    </row>
    <row r="4904" spans="129:129" x14ac:dyDescent="0.2">
      <c r="DY4904" s="185" t="s">
        <v>215</v>
      </c>
    </row>
    <row r="4905" spans="129:129" x14ac:dyDescent="0.2">
      <c r="DY4905" s="185" t="s">
        <v>215</v>
      </c>
    </row>
    <row r="4906" spans="129:129" x14ac:dyDescent="0.2">
      <c r="DY4906" s="185" t="s">
        <v>215</v>
      </c>
    </row>
    <row r="4907" spans="129:129" x14ac:dyDescent="0.2">
      <c r="DY4907" s="185" t="s">
        <v>215</v>
      </c>
    </row>
    <row r="4908" spans="129:129" x14ac:dyDescent="0.2">
      <c r="DY4908" s="185" t="s">
        <v>215</v>
      </c>
    </row>
    <row r="4909" spans="129:129" x14ac:dyDescent="0.2">
      <c r="DY4909" s="185" t="s">
        <v>215</v>
      </c>
    </row>
    <row r="4910" spans="129:129" x14ac:dyDescent="0.2">
      <c r="DY4910" s="185" t="s">
        <v>215</v>
      </c>
    </row>
    <row r="4911" spans="129:129" x14ac:dyDescent="0.2">
      <c r="DY4911" s="185" t="s">
        <v>215</v>
      </c>
    </row>
    <row r="4912" spans="129:129" x14ac:dyDescent="0.2">
      <c r="DY4912" s="185" t="s">
        <v>215</v>
      </c>
    </row>
    <row r="4913" spans="129:129" x14ac:dyDescent="0.2">
      <c r="DY4913" s="185" t="s">
        <v>215</v>
      </c>
    </row>
    <row r="4914" spans="129:129" x14ac:dyDescent="0.2">
      <c r="DY4914" s="185" t="s">
        <v>215</v>
      </c>
    </row>
    <row r="4915" spans="129:129" x14ac:dyDescent="0.2">
      <c r="DY4915" s="185" t="s">
        <v>215</v>
      </c>
    </row>
    <row r="4916" spans="129:129" x14ac:dyDescent="0.2">
      <c r="DY4916" s="185" t="s">
        <v>215</v>
      </c>
    </row>
    <row r="4917" spans="129:129" x14ac:dyDescent="0.2">
      <c r="DY4917" s="185" t="s">
        <v>215</v>
      </c>
    </row>
    <row r="4918" spans="129:129" x14ac:dyDescent="0.2">
      <c r="DY4918" s="185" t="s">
        <v>215</v>
      </c>
    </row>
    <row r="4919" spans="129:129" x14ac:dyDescent="0.2">
      <c r="DY4919" s="185" t="s">
        <v>215</v>
      </c>
    </row>
    <row r="4920" spans="129:129" x14ac:dyDescent="0.2">
      <c r="DY4920" s="185" t="s">
        <v>215</v>
      </c>
    </row>
    <row r="4921" spans="129:129" x14ac:dyDescent="0.2">
      <c r="DY4921" s="185" t="s">
        <v>215</v>
      </c>
    </row>
    <row r="4922" spans="129:129" x14ac:dyDescent="0.2">
      <c r="DY4922" s="185" t="s">
        <v>215</v>
      </c>
    </row>
    <row r="4923" spans="129:129" x14ac:dyDescent="0.2">
      <c r="DY4923" s="185" t="s">
        <v>215</v>
      </c>
    </row>
    <row r="4924" spans="129:129" x14ac:dyDescent="0.2">
      <c r="DY4924" s="185" t="s">
        <v>215</v>
      </c>
    </row>
    <row r="4925" spans="129:129" x14ac:dyDescent="0.2">
      <c r="DY4925" s="185" t="s">
        <v>215</v>
      </c>
    </row>
    <row r="4926" spans="129:129" x14ac:dyDescent="0.2">
      <c r="DY4926" s="185" t="s">
        <v>215</v>
      </c>
    </row>
    <row r="4927" spans="129:129" x14ac:dyDescent="0.2">
      <c r="DY4927" s="185" t="s">
        <v>215</v>
      </c>
    </row>
    <row r="4928" spans="129:129" x14ac:dyDescent="0.2">
      <c r="DY4928" s="185" t="s">
        <v>215</v>
      </c>
    </row>
    <row r="4929" spans="129:129" x14ac:dyDescent="0.2">
      <c r="DY4929" s="185" t="s">
        <v>215</v>
      </c>
    </row>
    <row r="4930" spans="129:129" x14ac:dyDescent="0.2">
      <c r="DY4930" s="185" t="s">
        <v>215</v>
      </c>
    </row>
    <row r="4931" spans="129:129" x14ac:dyDescent="0.2">
      <c r="DY4931" s="185" t="s">
        <v>215</v>
      </c>
    </row>
    <row r="4932" spans="129:129" x14ac:dyDescent="0.2">
      <c r="DY4932" s="185" t="s">
        <v>215</v>
      </c>
    </row>
    <row r="4933" spans="129:129" x14ac:dyDescent="0.2">
      <c r="DY4933" s="185" t="s">
        <v>215</v>
      </c>
    </row>
    <row r="4934" spans="129:129" x14ac:dyDescent="0.2">
      <c r="DY4934" s="185" t="s">
        <v>215</v>
      </c>
    </row>
    <row r="4935" spans="129:129" x14ac:dyDescent="0.2">
      <c r="DY4935" s="185" t="s">
        <v>215</v>
      </c>
    </row>
    <row r="4936" spans="129:129" x14ac:dyDescent="0.2">
      <c r="DY4936" s="185" t="s">
        <v>215</v>
      </c>
    </row>
    <row r="4937" spans="129:129" x14ac:dyDescent="0.2">
      <c r="DY4937" s="185" t="s">
        <v>215</v>
      </c>
    </row>
    <row r="4938" spans="129:129" x14ac:dyDescent="0.2">
      <c r="DY4938" s="185" t="s">
        <v>215</v>
      </c>
    </row>
    <row r="4939" spans="129:129" x14ac:dyDescent="0.2">
      <c r="DY4939" s="185" t="s">
        <v>215</v>
      </c>
    </row>
    <row r="4940" spans="129:129" x14ac:dyDescent="0.2">
      <c r="DY4940" s="185" t="s">
        <v>215</v>
      </c>
    </row>
    <row r="4941" spans="129:129" x14ac:dyDescent="0.2">
      <c r="DY4941" s="185" t="s">
        <v>215</v>
      </c>
    </row>
    <row r="4942" spans="129:129" x14ac:dyDescent="0.2">
      <c r="DY4942" s="185" t="s">
        <v>215</v>
      </c>
    </row>
    <row r="4943" spans="129:129" x14ac:dyDescent="0.2">
      <c r="DY4943" s="185" t="s">
        <v>215</v>
      </c>
    </row>
    <row r="4944" spans="129:129" x14ac:dyDescent="0.2">
      <c r="DY4944" s="185" t="s">
        <v>215</v>
      </c>
    </row>
    <row r="4945" spans="129:129" x14ac:dyDescent="0.2">
      <c r="DY4945" s="185" t="s">
        <v>215</v>
      </c>
    </row>
    <row r="4946" spans="129:129" x14ac:dyDescent="0.2">
      <c r="DY4946" s="185" t="s">
        <v>215</v>
      </c>
    </row>
    <row r="4947" spans="129:129" x14ac:dyDescent="0.2">
      <c r="DY4947" s="185" t="s">
        <v>215</v>
      </c>
    </row>
    <row r="4948" spans="129:129" x14ac:dyDescent="0.2">
      <c r="DY4948" s="185" t="s">
        <v>215</v>
      </c>
    </row>
    <row r="4949" spans="129:129" x14ac:dyDescent="0.2">
      <c r="DY4949" s="185" t="s">
        <v>215</v>
      </c>
    </row>
    <row r="4950" spans="129:129" x14ac:dyDescent="0.2">
      <c r="DY4950" s="185" t="s">
        <v>215</v>
      </c>
    </row>
    <row r="4951" spans="129:129" x14ac:dyDescent="0.2">
      <c r="DY4951" s="185" t="s">
        <v>215</v>
      </c>
    </row>
    <row r="4952" spans="129:129" x14ac:dyDescent="0.2">
      <c r="DY4952" s="185" t="s">
        <v>215</v>
      </c>
    </row>
    <row r="4953" spans="129:129" x14ac:dyDescent="0.2">
      <c r="DY4953" s="185" t="s">
        <v>215</v>
      </c>
    </row>
    <row r="4954" spans="129:129" x14ac:dyDescent="0.2">
      <c r="DY4954" s="185" t="s">
        <v>215</v>
      </c>
    </row>
    <row r="4955" spans="129:129" x14ac:dyDescent="0.2">
      <c r="DY4955" s="185" t="s">
        <v>215</v>
      </c>
    </row>
    <row r="4956" spans="129:129" x14ac:dyDescent="0.2">
      <c r="DY4956" s="185" t="s">
        <v>215</v>
      </c>
    </row>
    <row r="4957" spans="129:129" x14ac:dyDescent="0.2">
      <c r="DY4957" s="185" t="s">
        <v>215</v>
      </c>
    </row>
    <row r="4958" spans="129:129" x14ac:dyDescent="0.2">
      <c r="DY4958" s="185" t="s">
        <v>215</v>
      </c>
    </row>
    <row r="4959" spans="129:129" x14ac:dyDescent="0.2">
      <c r="DY4959" s="185" t="s">
        <v>215</v>
      </c>
    </row>
    <row r="4960" spans="129:129" x14ac:dyDescent="0.2">
      <c r="DY4960" s="185" t="s">
        <v>215</v>
      </c>
    </row>
    <row r="4961" spans="129:129" x14ac:dyDescent="0.2">
      <c r="DY4961" s="185" t="s">
        <v>215</v>
      </c>
    </row>
    <row r="4962" spans="129:129" x14ac:dyDescent="0.2">
      <c r="DY4962" s="185" t="s">
        <v>215</v>
      </c>
    </row>
    <row r="4963" spans="129:129" x14ac:dyDescent="0.2">
      <c r="DY4963" s="185" t="s">
        <v>215</v>
      </c>
    </row>
    <row r="4964" spans="129:129" x14ac:dyDescent="0.2">
      <c r="DY4964" s="185" t="s">
        <v>215</v>
      </c>
    </row>
    <row r="4965" spans="129:129" x14ac:dyDescent="0.2">
      <c r="DY4965" s="185" t="s">
        <v>215</v>
      </c>
    </row>
    <row r="4966" spans="129:129" x14ac:dyDescent="0.2">
      <c r="DY4966" s="185" t="s">
        <v>215</v>
      </c>
    </row>
    <row r="4967" spans="129:129" x14ac:dyDescent="0.2">
      <c r="DY4967" s="185" t="s">
        <v>215</v>
      </c>
    </row>
    <row r="4968" spans="129:129" x14ac:dyDescent="0.2">
      <c r="DY4968" s="185" t="s">
        <v>215</v>
      </c>
    </row>
    <row r="4969" spans="129:129" x14ac:dyDescent="0.2">
      <c r="DY4969" s="185" t="s">
        <v>215</v>
      </c>
    </row>
    <row r="4970" spans="129:129" x14ac:dyDescent="0.2">
      <c r="DY4970" s="185" t="s">
        <v>215</v>
      </c>
    </row>
    <row r="4971" spans="129:129" x14ac:dyDescent="0.2">
      <c r="DY4971" s="185" t="s">
        <v>215</v>
      </c>
    </row>
    <row r="4972" spans="129:129" x14ac:dyDescent="0.2">
      <c r="DY4972" s="185" t="s">
        <v>215</v>
      </c>
    </row>
    <row r="4973" spans="129:129" x14ac:dyDescent="0.2">
      <c r="DY4973" s="185" t="s">
        <v>215</v>
      </c>
    </row>
    <row r="4974" spans="129:129" x14ac:dyDescent="0.2">
      <c r="DY4974" s="185" t="s">
        <v>215</v>
      </c>
    </row>
    <row r="4975" spans="129:129" x14ac:dyDescent="0.2">
      <c r="DY4975" s="185" t="s">
        <v>215</v>
      </c>
    </row>
    <row r="4976" spans="129:129" x14ac:dyDescent="0.2">
      <c r="DY4976" s="185" t="s">
        <v>215</v>
      </c>
    </row>
    <row r="4977" spans="129:129" x14ac:dyDescent="0.2">
      <c r="DY4977" s="185" t="s">
        <v>215</v>
      </c>
    </row>
    <row r="4978" spans="129:129" x14ac:dyDescent="0.2">
      <c r="DY4978" s="185" t="s">
        <v>215</v>
      </c>
    </row>
    <row r="4979" spans="129:129" x14ac:dyDescent="0.2">
      <c r="DY4979" s="185" t="s">
        <v>215</v>
      </c>
    </row>
    <row r="4980" spans="129:129" x14ac:dyDescent="0.2">
      <c r="DY4980" s="185" t="s">
        <v>215</v>
      </c>
    </row>
    <row r="4981" spans="129:129" x14ac:dyDescent="0.2">
      <c r="DY4981" s="185" t="s">
        <v>215</v>
      </c>
    </row>
    <row r="4982" spans="129:129" x14ac:dyDescent="0.2">
      <c r="DY4982" s="185" t="s">
        <v>215</v>
      </c>
    </row>
    <row r="4983" spans="129:129" x14ac:dyDescent="0.2">
      <c r="DY4983" s="185" t="s">
        <v>215</v>
      </c>
    </row>
    <row r="4984" spans="129:129" x14ac:dyDescent="0.2">
      <c r="DY4984" s="185" t="s">
        <v>215</v>
      </c>
    </row>
    <row r="4985" spans="129:129" x14ac:dyDescent="0.2">
      <c r="DY4985" s="185" t="s">
        <v>215</v>
      </c>
    </row>
    <row r="4986" spans="129:129" x14ac:dyDescent="0.2">
      <c r="DY4986" s="185" t="s">
        <v>215</v>
      </c>
    </row>
    <row r="4987" spans="129:129" x14ac:dyDescent="0.2">
      <c r="DY4987" s="185" t="s">
        <v>215</v>
      </c>
    </row>
    <row r="4988" spans="129:129" x14ac:dyDescent="0.2">
      <c r="DY4988" s="185" t="s">
        <v>215</v>
      </c>
    </row>
    <row r="4989" spans="129:129" x14ac:dyDescent="0.2">
      <c r="DY4989" s="185" t="s">
        <v>215</v>
      </c>
    </row>
    <row r="4990" spans="129:129" x14ac:dyDescent="0.2">
      <c r="DY4990" s="185" t="s">
        <v>215</v>
      </c>
    </row>
    <row r="4991" spans="129:129" x14ac:dyDescent="0.2">
      <c r="DY4991" s="185" t="s">
        <v>215</v>
      </c>
    </row>
    <row r="4992" spans="129:129" x14ac:dyDescent="0.2">
      <c r="DY4992" s="185" t="s">
        <v>215</v>
      </c>
    </row>
    <row r="4993" spans="129:129" x14ac:dyDescent="0.2">
      <c r="DY4993" s="185" t="s">
        <v>215</v>
      </c>
    </row>
    <row r="4994" spans="129:129" x14ac:dyDescent="0.2">
      <c r="DY4994" s="185" t="s">
        <v>215</v>
      </c>
    </row>
    <row r="4995" spans="129:129" x14ac:dyDescent="0.2">
      <c r="DY4995" s="185" t="s">
        <v>215</v>
      </c>
    </row>
    <row r="4996" spans="129:129" x14ac:dyDescent="0.2">
      <c r="DY4996" s="185" t="s">
        <v>215</v>
      </c>
    </row>
    <row r="4997" spans="129:129" x14ac:dyDescent="0.2">
      <c r="DY4997" s="185" t="s">
        <v>215</v>
      </c>
    </row>
    <row r="4998" spans="129:129" x14ac:dyDescent="0.2">
      <c r="DY4998" s="185" t="s">
        <v>215</v>
      </c>
    </row>
    <row r="4999" spans="129:129" x14ac:dyDescent="0.2">
      <c r="DY4999" s="185" t="s">
        <v>215</v>
      </c>
    </row>
    <row r="5000" spans="129:129" x14ac:dyDescent="0.2">
      <c r="DY5000" s="185" t="s">
        <v>215</v>
      </c>
    </row>
    <row r="5001" spans="129:129" x14ac:dyDescent="0.2">
      <c r="DY5001" s="185" t="s">
        <v>215</v>
      </c>
    </row>
    <row r="5002" spans="129:129" x14ac:dyDescent="0.2">
      <c r="DY5002" s="185" t="s">
        <v>215</v>
      </c>
    </row>
    <row r="5003" spans="129:129" x14ac:dyDescent="0.2">
      <c r="DY5003" s="185" t="s">
        <v>215</v>
      </c>
    </row>
    <row r="5004" spans="129:129" x14ac:dyDescent="0.2">
      <c r="DY5004" s="185" t="s">
        <v>215</v>
      </c>
    </row>
    <row r="5005" spans="129:129" x14ac:dyDescent="0.2">
      <c r="DY5005" s="185" t="s">
        <v>215</v>
      </c>
    </row>
    <row r="5006" spans="129:129" x14ac:dyDescent="0.2">
      <c r="DY5006" s="185" t="s">
        <v>215</v>
      </c>
    </row>
    <row r="5007" spans="129:129" x14ac:dyDescent="0.2">
      <c r="DY5007" s="185" t="s">
        <v>215</v>
      </c>
    </row>
    <row r="5008" spans="129:129" x14ac:dyDescent="0.2">
      <c r="DY5008" s="185" t="s">
        <v>215</v>
      </c>
    </row>
    <row r="5009" spans="129:129" x14ac:dyDescent="0.2">
      <c r="DY5009" s="185" t="s">
        <v>215</v>
      </c>
    </row>
    <row r="5010" spans="129:129" x14ac:dyDescent="0.2">
      <c r="DY5010" s="185" t="s">
        <v>215</v>
      </c>
    </row>
    <row r="5011" spans="129:129" x14ac:dyDescent="0.2">
      <c r="DY5011" s="185" t="s">
        <v>215</v>
      </c>
    </row>
    <row r="5012" spans="129:129" x14ac:dyDescent="0.2">
      <c r="DY5012" s="185" t="s">
        <v>215</v>
      </c>
    </row>
    <row r="5013" spans="129:129" x14ac:dyDescent="0.2">
      <c r="DY5013" s="185" t="s">
        <v>215</v>
      </c>
    </row>
    <row r="5014" spans="129:129" x14ac:dyDescent="0.2">
      <c r="DY5014" s="185" t="s">
        <v>215</v>
      </c>
    </row>
    <row r="5015" spans="129:129" x14ac:dyDescent="0.2">
      <c r="DY5015" s="185" t="s">
        <v>215</v>
      </c>
    </row>
    <row r="5016" spans="129:129" x14ac:dyDescent="0.2">
      <c r="DY5016" s="185" t="s">
        <v>215</v>
      </c>
    </row>
    <row r="5017" spans="129:129" x14ac:dyDescent="0.2">
      <c r="DY5017" s="185" t="s">
        <v>215</v>
      </c>
    </row>
    <row r="5018" spans="129:129" x14ac:dyDescent="0.2">
      <c r="DY5018" s="185" t="s">
        <v>215</v>
      </c>
    </row>
    <row r="5019" spans="129:129" x14ac:dyDescent="0.2">
      <c r="DY5019" s="185" t="s">
        <v>215</v>
      </c>
    </row>
    <row r="5020" spans="129:129" x14ac:dyDescent="0.2">
      <c r="DY5020" s="185" t="s">
        <v>215</v>
      </c>
    </row>
    <row r="5021" spans="129:129" x14ac:dyDescent="0.2">
      <c r="DY5021" s="185" t="s">
        <v>215</v>
      </c>
    </row>
    <row r="5022" spans="129:129" x14ac:dyDescent="0.2">
      <c r="DY5022" s="185" t="s">
        <v>215</v>
      </c>
    </row>
    <row r="5023" spans="129:129" x14ac:dyDescent="0.2">
      <c r="DY5023" s="185" t="s">
        <v>215</v>
      </c>
    </row>
    <row r="5024" spans="129:129" x14ac:dyDescent="0.2">
      <c r="DY5024" s="185" t="s">
        <v>215</v>
      </c>
    </row>
    <row r="5025" spans="129:129" x14ac:dyDescent="0.2">
      <c r="DY5025" s="185" t="s">
        <v>215</v>
      </c>
    </row>
    <row r="5026" spans="129:129" x14ac:dyDescent="0.2">
      <c r="DY5026" s="185" t="s">
        <v>215</v>
      </c>
    </row>
    <row r="5027" spans="129:129" x14ac:dyDescent="0.2">
      <c r="DY5027" s="185" t="s">
        <v>215</v>
      </c>
    </row>
    <row r="5028" spans="129:129" x14ac:dyDescent="0.2">
      <c r="DY5028" s="185" t="s">
        <v>215</v>
      </c>
    </row>
    <row r="5029" spans="129:129" x14ac:dyDescent="0.2">
      <c r="DY5029" s="185" t="s">
        <v>215</v>
      </c>
    </row>
    <row r="5030" spans="129:129" x14ac:dyDescent="0.2">
      <c r="DY5030" s="185" t="s">
        <v>215</v>
      </c>
    </row>
    <row r="5031" spans="129:129" x14ac:dyDescent="0.2">
      <c r="DY5031" s="185" t="s">
        <v>215</v>
      </c>
    </row>
    <row r="5032" spans="129:129" x14ac:dyDescent="0.2">
      <c r="DY5032" s="185" t="s">
        <v>215</v>
      </c>
    </row>
    <row r="5033" spans="129:129" x14ac:dyDescent="0.2">
      <c r="DY5033" s="185" t="s">
        <v>215</v>
      </c>
    </row>
    <row r="5034" spans="129:129" x14ac:dyDescent="0.2">
      <c r="DY5034" s="185" t="s">
        <v>215</v>
      </c>
    </row>
    <row r="5035" spans="129:129" x14ac:dyDescent="0.2">
      <c r="DY5035" s="185" t="s">
        <v>215</v>
      </c>
    </row>
    <row r="5036" spans="129:129" x14ac:dyDescent="0.2">
      <c r="DY5036" s="185" t="s">
        <v>215</v>
      </c>
    </row>
    <row r="5037" spans="129:129" x14ac:dyDescent="0.2">
      <c r="DY5037" s="185" t="s">
        <v>215</v>
      </c>
    </row>
    <row r="5038" spans="129:129" x14ac:dyDescent="0.2">
      <c r="DY5038" s="185" t="s">
        <v>215</v>
      </c>
    </row>
    <row r="5039" spans="129:129" x14ac:dyDescent="0.2">
      <c r="DY5039" s="185" t="s">
        <v>215</v>
      </c>
    </row>
    <row r="5040" spans="129:129" x14ac:dyDescent="0.2">
      <c r="DY5040" s="185" t="s">
        <v>215</v>
      </c>
    </row>
    <row r="5041" spans="129:129" x14ac:dyDescent="0.2">
      <c r="DY5041" s="185" t="s">
        <v>215</v>
      </c>
    </row>
    <row r="5042" spans="129:129" x14ac:dyDescent="0.2">
      <c r="DY5042" s="185" t="s">
        <v>215</v>
      </c>
    </row>
    <row r="5043" spans="129:129" x14ac:dyDescent="0.2">
      <c r="DY5043" s="185" t="s">
        <v>215</v>
      </c>
    </row>
    <row r="5044" spans="129:129" x14ac:dyDescent="0.2">
      <c r="DY5044" s="185" t="s">
        <v>215</v>
      </c>
    </row>
    <row r="5045" spans="129:129" x14ac:dyDescent="0.2">
      <c r="DY5045" s="185" t="s">
        <v>215</v>
      </c>
    </row>
    <row r="5046" spans="129:129" x14ac:dyDescent="0.2">
      <c r="DY5046" s="185" t="s">
        <v>215</v>
      </c>
    </row>
    <row r="5047" spans="129:129" x14ac:dyDescent="0.2">
      <c r="DY5047" s="185" t="s">
        <v>215</v>
      </c>
    </row>
    <row r="5048" spans="129:129" x14ac:dyDescent="0.2">
      <c r="DY5048" s="185" t="s">
        <v>215</v>
      </c>
    </row>
    <row r="5049" spans="129:129" x14ac:dyDescent="0.2">
      <c r="DY5049" s="185" t="s">
        <v>215</v>
      </c>
    </row>
    <row r="5050" spans="129:129" x14ac:dyDescent="0.2">
      <c r="DY5050" s="185" t="s">
        <v>215</v>
      </c>
    </row>
    <row r="5051" spans="129:129" x14ac:dyDescent="0.2">
      <c r="DY5051" s="185" t="s">
        <v>215</v>
      </c>
    </row>
    <row r="5052" spans="129:129" x14ac:dyDescent="0.2">
      <c r="DY5052" s="185" t="s">
        <v>215</v>
      </c>
    </row>
    <row r="5053" spans="129:129" x14ac:dyDescent="0.2">
      <c r="DY5053" s="185" t="s">
        <v>215</v>
      </c>
    </row>
    <row r="5054" spans="129:129" x14ac:dyDescent="0.2">
      <c r="DY5054" s="185" t="s">
        <v>215</v>
      </c>
    </row>
    <row r="5055" spans="129:129" x14ac:dyDescent="0.2">
      <c r="DY5055" s="185" t="s">
        <v>215</v>
      </c>
    </row>
    <row r="5056" spans="129:129" x14ac:dyDescent="0.2">
      <c r="DY5056" s="185" t="s">
        <v>215</v>
      </c>
    </row>
    <row r="5057" spans="129:129" x14ac:dyDescent="0.2">
      <c r="DY5057" s="185" t="s">
        <v>215</v>
      </c>
    </row>
    <row r="5058" spans="129:129" x14ac:dyDescent="0.2">
      <c r="DY5058" s="185" t="s">
        <v>215</v>
      </c>
    </row>
    <row r="5059" spans="129:129" x14ac:dyDescent="0.2">
      <c r="DY5059" s="185" t="s">
        <v>215</v>
      </c>
    </row>
    <row r="5060" spans="129:129" x14ac:dyDescent="0.2">
      <c r="DY5060" s="185" t="s">
        <v>215</v>
      </c>
    </row>
    <row r="5061" spans="129:129" x14ac:dyDescent="0.2">
      <c r="DY5061" s="185" t="s">
        <v>215</v>
      </c>
    </row>
    <row r="5062" spans="129:129" x14ac:dyDescent="0.2">
      <c r="DY5062" s="185" t="s">
        <v>215</v>
      </c>
    </row>
    <row r="5063" spans="129:129" x14ac:dyDescent="0.2">
      <c r="DY5063" s="185" t="s">
        <v>215</v>
      </c>
    </row>
    <row r="5064" spans="129:129" x14ac:dyDescent="0.2">
      <c r="DY5064" s="185" t="s">
        <v>215</v>
      </c>
    </row>
    <row r="5065" spans="129:129" x14ac:dyDescent="0.2">
      <c r="DY5065" s="185" t="s">
        <v>215</v>
      </c>
    </row>
    <row r="5066" spans="129:129" x14ac:dyDescent="0.2">
      <c r="DY5066" s="185" t="s">
        <v>215</v>
      </c>
    </row>
    <row r="5067" spans="129:129" x14ac:dyDescent="0.2">
      <c r="DY5067" s="185" t="s">
        <v>215</v>
      </c>
    </row>
    <row r="5068" spans="129:129" x14ac:dyDescent="0.2">
      <c r="DY5068" s="185" t="s">
        <v>215</v>
      </c>
    </row>
    <row r="5069" spans="129:129" x14ac:dyDescent="0.2">
      <c r="DY5069" s="185" t="s">
        <v>215</v>
      </c>
    </row>
    <row r="5070" spans="129:129" x14ac:dyDescent="0.2">
      <c r="DY5070" s="185" t="s">
        <v>215</v>
      </c>
    </row>
    <row r="5071" spans="129:129" x14ac:dyDescent="0.2">
      <c r="DY5071" s="185" t="s">
        <v>215</v>
      </c>
    </row>
    <row r="5072" spans="129:129" x14ac:dyDescent="0.2">
      <c r="DY5072" s="185" t="s">
        <v>215</v>
      </c>
    </row>
    <row r="5073" spans="129:129" x14ac:dyDescent="0.2">
      <c r="DY5073" s="185" t="s">
        <v>215</v>
      </c>
    </row>
    <row r="5074" spans="129:129" x14ac:dyDescent="0.2">
      <c r="DY5074" s="185" t="s">
        <v>215</v>
      </c>
    </row>
    <row r="5075" spans="129:129" x14ac:dyDescent="0.2">
      <c r="DY5075" s="185" t="s">
        <v>215</v>
      </c>
    </row>
    <row r="5076" spans="129:129" x14ac:dyDescent="0.2">
      <c r="DY5076" s="185" t="s">
        <v>215</v>
      </c>
    </row>
    <row r="5077" spans="129:129" x14ac:dyDescent="0.2">
      <c r="DY5077" s="185" t="s">
        <v>215</v>
      </c>
    </row>
    <row r="5078" spans="129:129" x14ac:dyDescent="0.2">
      <c r="DY5078" s="185" t="s">
        <v>215</v>
      </c>
    </row>
    <row r="5079" spans="129:129" x14ac:dyDescent="0.2">
      <c r="DY5079" s="185" t="s">
        <v>215</v>
      </c>
    </row>
    <row r="5080" spans="129:129" x14ac:dyDescent="0.2">
      <c r="DY5080" s="185" t="s">
        <v>215</v>
      </c>
    </row>
    <row r="5081" spans="129:129" x14ac:dyDescent="0.2">
      <c r="DY5081" s="185" t="s">
        <v>215</v>
      </c>
    </row>
    <row r="5082" spans="129:129" x14ac:dyDescent="0.2">
      <c r="DY5082" s="185" t="s">
        <v>215</v>
      </c>
    </row>
    <row r="5083" spans="129:129" x14ac:dyDescent="0.2">
      <c r="DY5083" s="185" t="s">
        <v>215</v>
      </c>
    </row>
    <row r="5084" spans="129:129" x14ac:dyDescent="0.2">
      <c r="DY5084" s="185" t="s">
        <v>215</v>
      </c>
    </row>
    <row r="5085" spans="129:129" x14ac:dyDescent="0.2">
      <c r="DY5085" s="185" t="s">
        <v>215</v>
      </c>
    </row>
    <row r="5086" spans="129:129" x14ac:dyDescent="0.2">
      <c r="DY5086" s="185" t="s">
        <v>215</v>
      </c>
    </row>
    <row r="5087" spans="129:129" x14ac:dyDescent="0.2">
      <c r="DY5087" s="185" t="s">
        <v>215</v>
      </c>
    </row>
    <row r="5088" spans="129:129" x14ac:dyDescent="0.2">
      <c r="DY5088" s="185" t="s">
        <v>215</v>
      </c>
    </row>
    <row r="5089" spans="129:129" x14ac:dyDescent="0.2">
      <c r="DY5089" s="185" t="s">
        <v>215</v>
      </c>
    </row>
    <row r="5090" spans="129:129" x14ac:dyDescent="0.2">
      <c r="DY5090" s="185" t="s">
        <v>215</v>
      </c>
    </row>
    <row r="5091" spans="129:129" x14ac:dyDescent="0.2">
      <c r="DY5091" s="185" t="s">
        <v>215</v>
      </c>
    </row>
    <row r="5092" spans="129:129" x14ac:dyDescent="0.2">
      <c r="DY5092" s="185" t="s">
        <v>215</v>
      </c>
    </row>
    <row r="5093" spans="129:129" x14ac:dyDescent="0.2">
      <c r="DY5093" s="185" t="s">
        <v>215</v>
      </c>
    </row>
    <row r="5094" spans="129:129" x14ac:dyDescent="0.2">
      <c r="DY5094" s="185" t="s">
        <v>215</v>
      </c>
    </row>
    <row r="5095" spans="129:129" x14ac:dyDescent="0.2">
      <c r="DY5095" s="185" t="s">
        <v>215</v>
      </c>
    </row>
    <row r="5096" spans="129:129" x14ac:dyDescent="0.2">
      <c r="DY5096" s="185" t="s">
        <v>215</v>
      </c>
    </row>
    <row r="5097" spans="129:129" x14ac:dyDescent="0.2">
      <c r="DY5097" s="185" t="s">
        <v>215</v>
      </c>
    </row>
    <row r="5098" spans="129:129" x14ac:dyDescent="0.2">
      <c r="DY5098" s="185" t="s">
        <v>215</v>
      </c>
    </row>
    <row r="5099" spans="129:129" x14ac:dyDescent="0.2">
      <c r="DY5099" s="185" t="s">
        <v>215</v>
      </c>
    </row>
    <row r="5100" spans="129:129" x14ac:dyDescent="0.2">
      <c r="DY5100" s="185" t="s">
        <v>215</v>
      </c>
    </row>
    <row r="5101" spans="129:129" x14ac:dyDescent="0.2">
      <c r="DY5101" s="185" t="s">
        <v>215</v>
      </c>
    </row>
    <row r="5102" spans="129:129" x14ac:dyDescent="0.2">
      <c r="DY5102" s="185" t="s">
        <v>215</v>
      </c>
    </row>
    <row r="5103" spans="129:129" x14ac:dyDescent="0.2">
      <c r="DY5103" s="185" t="s">
        <v>215</v>
      </c>
    </row>
    <row r="5104" spans="129:129" x14ac:dyDescent="0.2">
      <c r="DY5104" s="185" t="s">
        <v>215</v>
      </c>
    </row>
    <row r="5105" spans="129:129" x14ac:dyDescent="0.2">
      <c r="DY5105" s="185" t="s">
        <v>215</v>
      </c>
    </row>
    <row r="5106" spans="129:129" x14ac:dyDescent="0.2">
      <c r="DY5106" s="185" t="s">
        <v>215</v>
      </c>
    </row>
    <row r="5107" spans="129:129" x14ac:dyDescent="0.2">
      <c r="DY5107" s="185" t="s">
        <v>215</v>
      </c>
    </row>
    <row r="5108" spans="129:129" x14ac:dyDescent="0.2">
      <c r="DY5108" s="185" t="s">
        <v>215</v>
      </c>
    </row>
    <row r="5109" spans="129:129" x14ac:dyDescent="0.2">
      <c r="DY5109" s="185" t="s">
        <v>215</v>
      </c>
    </row>
    <row r="5110" spans="129:129" x14ac:dyDescent="0.2">
      <c r="DY5110" s="185" t="s">
        <v>215</v>
      </c>
    </row>
    <row r="5111" spans="129:129" x14ac:dyDescent="0.2">
      <c r="DY5111" s="185" t="s">
        <v>215</v>
      </c>
    </row>
    <row r="5112" spans="129:129" x14ac:dyDescent="0.2">
      <c r="DY5112" s="185" t="s">
        <v>215</v>
      </c>
    </row>
    <row r="5113" spans="129:129" x14ac:dyDescent="0.2">
      <c r="DY5113" s="185" t="s">
        <v>215</v>
      </c>
    </row>
    <row r="5114" spans="129:129" x14ac:dyDescent="0.2">
      <c r="DY5114" s="185" t="s">
        <v>215</v>
      </c>
    </row>
    <row r="5115" spans="129:129" x14ac:dyDescent="0.2">
      <c r="DY5115" s="185" t="s">
        <v>215</v>
      </c>
    </row>
    <row r="5116" spans="129:129" x14ac:dyDescent="0.2">
      <c r="DY5116" s="185" t="s">
        <v>215</v>
      </c>
    </row>
    <row r="5117" spans="129:129" x14ac:dyDescent="0.2">
      <c r="DY5117" s="185" t="s">
        <v>215</v>
      </c>
    </row>
    <row r="5118" spans="129:129" x14ac:dyDescent="0.2">
      <c r="DY5118" s="185" t="s">
        <v>215</v>
      </c>
    </row>
    <row r="5119" spans="129:129" x14ac:dyDescent="0.2">
      <c r="DY5119" s="185" t="s">
        <v>215</v>
      </c>
    </row>
    <row r="5120" spans="129:129" x14ac:dyDescent="0.2">
      <c r="DY5120" s="185" t="s">
        <v>215</v>
      </c>
    </row>
    <row r="5121" spans="129:129" x14ac:dyDescent="0.2">
      <c r="DY5121" s="185" t="s">
        <v>215</v>
      </c>
    </row>
    <row r="5122" spans="129:129" x14ac:dyDescent="0.2">
      <c r="DY5122" s="185" t="s">
        <v>215</v>
      </c>
    </row>
    <row r="5123" spans="129:129" x14ac:dyDescent="0.2">
      <c r="DY5123" s="185" t="s">
        <v>215</v>
      </c>
    </row>
    <row r="5124" spans="129:129" x14ac:dyDescent="0.2">
      <c r="DY5124" s="185" t="s">
        <v>215</v>
      </c>
    </row>
    <row r="5125" spans="129:129" x14ac:dyDescent="0.2">
      <c r="DY5125" s="185" t="s">
        <v>215</v>
      </c>
    </row>
    <row r="5126" spans="129:129" x14ac:dyDescent="0.2">
      <c r="DY5126" s="185" t="s">
        <v>215</v>
      </c>
    </row>
    <row r="5127" spans="129:129" x14ac:dyDescent="0.2">
      <c r="DY5127" s="185" t="s">
        <v>215</v>
      </c>
    </row>
    <row r="5128" spans="129:129" x14ac:dyDescent="0.2">
      <c r="DY5128" s="185" t="s">
        <v>215</v>
      </c>
    </row>
    <row r="5129" spans="129:129" x14ac:dyDescent="0.2">
      <c r="DY5129" s="185" t="s">
        <v>215</v>
      </c>
    </row>
    <row r="5130" spans="129:129" x14ac:dyDescent="0.2">
      <c r="DY5130" s="185" t="s">
        <v>215</v>
      </c>
    </row>
    <row r="5131" spans="129:129" x14ac:dyDescent="0.2">
      <c r="DY5131" s="185" t="s">
        <v>215</v>
      </c>
    </row>
    <row r="5132" spans="129:129" x14ac:dyDescent="0.2">
      <c r="DY5132" s="185" t="s">
        <v>215</v>
      </c>
    </row>
    <row r="5133" spans="129:129" x14ac:dyDescent="0.2">
      <c r="DY5133" s="185" t="s">
        <v>215</v>
      </c>
    </row>
    <row r="5134" spans="129:129" x14ac:dyDescent="0.2">
      <c r="DY5134" s="185" t="s">
        <v>215</v>
      </c>
    </row>
    <row r="5135" spans="129:129" x14ac:dyDescent="0.2">
      <c r="DY5135" s="185" t="s">
        <v>215</v>
      </c>
    </row>
    <row r="5136" spans="129:129" x14ac:dyDescent="0.2">
      <c r="DY5136" s="185" t="s">
        <v>215</v>
      </c>
    </row>
    <row r="5137" spans="129:129" x14ac:dyDescent="0.2">
      <c r="DY5137" s="185" t="s">
        <v>215</v>
      </c>
    </row>
    <row r="5138" spans="129:129" x14ac:dyDescent="0.2">
      <c r="DY5138" s="185" t="s">
        <v>215</v>
      </c>
    </row>
    <row r="5139" spans="129:129" x14ac:dyDescent="0.2">
      <c r="DY5139" s="185" t="s">
        <v>215</v>
      </c>
    </row>
    <row r="5140" spans="129:129" x14ac:dyDescent="0.2">
      <c r="DY5140" s="185" t="s">
        <v>215</v>
      </c>
    </row>
    <row r="5141" spans="129:129" x14ac:dyDescent="0.2">
      <c r="DY5141" s="185" t="s">
        <v>215</v>
      </c>
    </row>
    <row r="5142" spans="129:129" x14ac:dyDescent="0.2">
      <c r="DY5142" s="185" t="s">
        <v>215</v>
      </c>
    </row>
    <row r="5143" spans="129:129" x14ac:dyDescent="0.2">
      <c r="DY5143" s="185" t="s">
        <v>215</v>
      </c>
    </row>
    <row r="5144" spans="129:129" x14ac:dyDescent="0.2">
      <c r="DY5144" s="185" t="s">
        <v>215</v>
      </c>
    </row>
    <row r="5145" spans="129:129" x14ac:dyDescent="0.2">
      <c r="DY5145" s="185" t="s">
        <v>215</v>
      </c>
    </row>
    <row r="5146" spans="129:129" x14ac:dyDescent="0.2">
      <c r="DY5146" s="185" t="s">
        <v>215</v>
      </c>
    </row>
    <row r="5147" spans="129:129" x14ac:dyDescent="0.2">
      <c r="DY5147" s="185" t="s">
        <v>215</v>
      </c>
    </row>
    <row r="5148" spans="129:129" x14ac:dyDescent="0.2">
      <c r="DY5148" s="185" t="s">
        <v>215</v>
      </c>
    </row>
    <row r="5149" spans="129:129" x14ac:dyDescent="0.2">
      <c r="DY5149" s="185" t="s">
        <v>215</v>
      </c>
    </row>
    <row r="5150" spans="129:129" x14ac:dyDescent="0.2">
      <c r="DY5150" s="185" t="s">
        <v>215</v>
      </c>
    </row>
    <row r="5151" spans="129:129" x14ac:dyDescent="0.2">
      <c r="DY5151" s="185" t="s">
        <v>215</v>
      </c>
    </row>
    <row r="5152" spans="129:129" x14ac:dyDescent="0.2">
      <c r="DY5152" s="185" t="s">
        <v>215</v>
      </c>
    </row>
    <row r="5153" spans="129:129" x14ac:dyDescent="0.2">
      <c r="DY5153" s="185" t="s">
        <v>215</v>
      </c>
    </row>
    <row r="5154" spans="129:129" x14ac:dyDescent="0.2">
      <c r="DY5154" s="185" t="s">
        <v>215</v>
      </c>
    </row>
    <row r="5155" spans="129:129" x14ac:dyDescent="0.2">
      <c r="DY5155" s="185" t="s">
        <v>215</v>
      </c>
    </row>
    <row r="5156" spans="129:129" x14ac:dyDescent="0.2">
      <c r="DY5156" s="185" t="s">
        <v>215</v>
      </c>
    </row>
    <row r="5157" spans="129:129" x14ac:dyDescent="0.2">
      <c r="DY5157" s="185" t="s">
        <v>215</v>
      </c>
    </row>
    <row r="5158" spans="129:129" x14ac:dyDescent="0.2">
      <c r="DY5158" s="185" t="s">
        <v>215</v>
      </c>
    </row>
    <row r="5159" spans="129:129" x14ac:dyDescent="0.2">
      <c r="DY5159" s="185" t="s">
        <v>215</v>
      </c>
    </row>
    <row r="5160" spans="129:129" x14ac:dyDescent="0.2">
      <c r="DY5160" s="185" t="s">
        <v>215</v>
      </c>
    </row>
    <row r="5161" spans="129:129" x14ac:dyDescent="0.2">
      <c r="DY5161" s="185" t="s">
        <v>215</v>
      </c>
    </row>
    <row r="5162" spans="129:129" x14ac:dyDescent="0.2">
      <c r="DY5162" s="185" t="s">
        <v>215</v>
      </c>
    </row>
    <row r="5163" spans="129:129" x14ac:dyDescent="0.2">
      <c r="DY5163" s="185" t="s">
        <v>215</v>
      </c>
    </row>
    <row r="5164" spans="129:129" x14ac:dyDescent="0.2">
      <c r="DY5164" s="185" t="s">
        <v>215</v>
      </c>
    </row>
    <row r="5165" spans="129:129" x14ac:dyDescent="0.2">
      <c r="DY5165" s="185" t="s">
        <v>215</v>
      </c>
    </row>
    <row r="5166" spans="129:129" x14ac:dyDescent="0.2">
      <c r="DY5166" s="185" t="s">
        <v>215</v>
      </c>
    </row>
    <row r="5167" spans="129:129" x14ac:dyDescent="0.2">
      <c r="DY5167" s="185" t="s">
        <v>215</v>
      </c>
    </row>
    <row r="5168" spans="129:129" x14ac:dyDescent="0.2">
      <c r="DY5168" s="185" t="s">
        <v>215</v>
      </c>
    </row>
    <row r="5169" spans="129:129" x14ac:dyDescent="0.2">
      <c r="DY5169" s="185" t="s">
        <v>215</v>
      </c>
    </row>
    <row r="5170" spans="129:129" x14ac:dyDescent="0.2">
      <c r="DY5170" s="185" t="s">
        <v>215</v>
      </c>
    </row>
    <row r="5171" spans="129:129" x14ac:dyDescent="0.2">
      <c r="DY5171" s="185" t="s">
        <v>215</v>
      </c>
    </row>
    <row r="5172" spans="129:129" x14ac:dyDescent="0.2">
      <c r="DY5172" s="185" t="s">
        <v>215</v>
      </c>
    </row>
    <row r="5173" spans="129:129" x14ac:dyDescent="0.2">
      <c r="DY5173" s="185" t="s">
        <v>215</v>
      </c>
    </row>
    <row r="5174" spans="129:129" x14ac:dyDescent="0.2">
      <c r="DY5174" s="185" t="s">
        <v>215</v>
      </c>
    </row>
    <row r="5175" spans="129:129" x14ac:dyDescent="0.2">
      <c r="DY5175" s="185" t="s">
        <v>215</v>
      </c>
    </row>
    <row r="5176" spans="129:129" x14ac:dyDescent="0.2">
      <c r="DY5176" s="185" t="s">
        <v>215</v>
      </c>
    </row>
    <row r="5177" spans="129:129" x14ac:dyDescent="0.2">
      <c r="DY5177" s="185" t="s">
        <v>215</v>
      </c>
    </row>
    <row r="5178" spans="129:129" x14ac:dyDescent="0.2">
      <c r="DY5178" s="185" t="s">
        <v>215</v>
      </c>
    </row>
    <row r="5179" spans="129:129" x14ac:dyDescent="0.2">
      <c r="DY5179" s="185" t="s">
        <v>215</v>
      </c>
    </row>
    <row r="5180" spans="129:129" x14ac:dyDescent="0.2">
      <c r="DY5180" s="185" t="s">
        <v>215</v>
      </c>
    </row>
    <row r="5181" spans="129:129" x14ac:dyDescent="0.2">
      <c r="DY5181" s="185" t="s">
        <v>215</v>
      </c>
    </row>
    <row r="5182" spans="129:129" x14ac:dyDescent="0.2">
      <c r="DY5182" s="185" t="s">
        <v>215</v>
      </c>
    </row>
    <row r="5183" spans="129:129" x14ac:dyDescent="0.2">
      <c r="DY5183" s="185" t="s">
        <v>215</v>
      </c>
    </row>
    <row r="5184" spans="129:129" x14ac:dyDescent="0.2">
      <c r="DY5184" s="185" t="s">
        <v>215</v>
      </c>
    </row>
    <row r="5185" spans="129:129" x14ac:dyDescent="0.2">
      <c r="DY5185" s="185" t="s">
        <v>215</v>
      </c>
    </row>
    <row r="5186" spans="129:129" x14ac:dyDescent="0.2">
      <c r="DY5186" s="185" t="s">
        <v>215</v>
      </c>
    </row>
    <row r="5187" spans="129:129" x14ac:dyDescent="0.2">
      <c r="DY5187" s="185" t="s">
        <v>215</v>
      </c>
    </row>
    <row r="5188" spans="129:129" x14ac:dyDescent="0.2">
      <c r="DY5188" s="185" t="s">
        <v>215</v>
      </c>
    </row>
    <row r="5189" spans="129:129" x14ac:dyDescent="0.2">
      <c r="DY5189" s="185" t="s">
        <v>215</v>
      </c>
    </row>
    <row r="5190" spans="129:129" x14ac:dyDescent="0.2">
      <c r="DY5190" s="185" t="s">
        <v>215</v>
      </c>
    </row>
    <row r="5191" spans="129:129" x14ac:dyDescent="0.2">
      <c r="DY5191" s="185" t="s">
        <v>215</v>
      </c>
    </row>
    <row r="5192" spans="129:129" x14ac:dyDescent="0.2">
      <c r="DY5192" s="185" t="s">
        <v>215</v>
      </c>
    </row>
    <row r="5193" spans="129:129" x14ac:dyDescent="0.2">
      <c r="DY5193" s="185" t="s">
        <v>215</v>
      </c>
    </row>
    <row r="5194" spans="129:129" x14ac:dyDescent="0.2">
      <c r="DY5194" s="185" t="s">
        <v>215</v>
      </c>
    </row>
    <row r="5195" spans="129:129" x14ac:dyDescent="0.2">
      <c r="DY5195" s="185" t="s">
        <v>215</v>
      </c>
    </row>
    <row r="5196" spans="129:129" x14ac:dyDescent="0.2">
      <c r="DY5196" s="185" t="s">
        <v>215</v>
      </c>
    </row>
    <row r="5197" spans="129:129" x14ac:dyDescent="0.2">
      <c r="DY5197" s="185" t="s">
        <v>215</v>
      </c>
    </row>
    <row r="5198" spans="129:129" x14ac:dyDescent="0.2">
      <c r="DY5198" s="185" t="s">
        <v>215</v>
      </c>
    </row>
    <row r="5199" spans="129:129" x14ac:dyDescent="0.2">
      <c r="DY5199" s="185" t="s">
        <v>215</v>
      </c>
    </row>
    <row r="5200" spans="129:129" x14ac:dyDescent="0.2">
      <c r="DY5200" s="185" t="s">
        <v>215</v>
      </c>
    </row>
    <row r="5201" spans="129:129" x14ac:dyDescent="0.2">
      <c r="DY5201" s="185" t="s">
        <v>215</v>
      </c>
    </row>
    <row r="5202" spans="129:129" x14ac:dyDescent="0.2">
      <c r="DY5202" s="185" t="s">
        <v>215</v>
      </c>
    </row>
    <row r="5203" spans="129:129" x14ac:dyDescent="0.2">
      <c r="DY5203" s="185" t="s">
        <v>215</v>
      </c>
    </row>
    <row r="5204" spans="129:129" x14ac:dyDescent="0.2">
      <c r="DY5204" s="185" t="s">
        <v>215</v>
      </c>
    </row>
    <row r="5205" spans="129:129" x14ac:dyDescent="0.2">
      <c r="DY5205" s="185" t="s">
        <v>215</v>
      </c>
    </row>
    <row r="5206" spans="129:129" x14ac:dyDescent="0.2">
      <c r="DY5206" s="185" t="s">
        <v>215</v>
      </c>
    </row>
    <row r="5207" spans="129:129" x14ac:dyDescent="0.2">
      <c r="DY5207" s="185" t="s">
        <v>215</v>
      </c>
    </row>
    <row r="5208" spans="129:129" x14ac:dyDescent="0.2">
      <c r="DY5208" s="185" t="s">
        <v>215</v>
      </c>
    </row>
    <row r="5209" spans="129:129" x14ac:dyDescent="0.2">
      <c r="DY5209" s="185" t="s">
        <v>215</v>
      </c>
    </row>
    <row r="5210" spans="129:129" x14ac:dyDescent="0.2">
      <c r="DY5210" s="185" t="s">
        <v>215</v>
      </c>
    </row>
    <row r="5211" spans="129:129" x14ac:dyDescent="0.2">
      <c r="DY5211" s="185" t="s">
        <v>215</v>
      </c>
    </row>
    <row r="5212" spans="129:129" x14ac:dyDescent="0.2">
      <c r="DY5212" s="185" t="s">
        <v>215</v>
      </c>
    </row>
    <row r="5213" spans="129:129" x14ac:dyDescent="0.2">
      <c r="DY5213" s="185" t="s">
        <v>215</v>
      </c>
    </row>
    <row r="5214" spans="129:129" x14ac:dyDescent="0.2">
      <c r="DY5214" s="185" t="s">
        <v>215</v>
      </c>
    </row>
    <row r="5215" spans="129:129" x14ac:dyDescent="0.2">
      <c r="DY5215" s="185" t="s">
        <v>215</v>
      </c>
    </row>
    <row r="5216" spans="129:129" x14ac:dyDescent="0.2">
      <c r="DY5216" s="185" t="s">
        <v>215</v>
      </c>
    </row>
    <row r="5217" spans="129:129" x14ac:dyDescent="0.2">
      <c r="DY5217" s="185" t="s">
        <v>215</v>
      </c>
    </row>
    <row r="5218" spans="129:129" x14ac:dyDescent="0.2">
      <c r="DY5218" s="185" t="s">
        <v>215</v>
      </c>
    </row>
    <row r="5219" spans="129:129" x14ac:dyDescent="0.2">
      <c r="DY5219" s="185" t="s">
        <v>215</v>
      </c>
    </row>
    <row r="5220" spans="129:129" x14ac:dyDescent="0.2">
      <c r="DY5220" s="185" t="s">
        <v>215</v>
      </c>
    </row>
    <row r="5221" spans="129:129" x14ac:dyDescent="0.2">
      <c r="DY5221" s="185" t="s">
        <v>215</v>
      </c>
    </row>
    <row r="5222" spans="129:129" x14ac:dyDescent="0.2">
      <c r="DY5222" s="185" t="s">
        <v>215</v>
      </c>
    </row>
    <row r="5223" spans="129:129" x14ac:dyDescent="0.2">
      <c r="DY5223" s="185" t="s">
        <v>215</v>
      </c>
    </row>
    <row r="5224" spans="129:129" x14ac:dyDescent="0.2">
      <c r="DY5224" s="185" t="s">
        <v>215</v>
      </c>
    </row>
    <row r="5225" spans="129:129" x14ac:dyDescent="0.2">
      <c r="DY5225" s="185" t="s">
        <v>215</v>
      </c>
    </row>
    <row r="5226" spans="129:129" x14ac:dyDescent="0.2">
      <c r="DY5226" s="185" t="s">
        <v>215</v>
      </c>
    </row>
    <row r="5227" spans="129:129" x14ac:dyDescent="0.2">
      <c r="DY5227" s="185" t="s">
        <v>215</v>
      </c>
    </row>
    <row r="5228" spans="129:129" x14ac:dyDescent="0.2">
      <c r="DY5228" s="185" t="s">
        <v>215</v>
      </c>
    </row>
    <row r="5229" spans="129:129" x14ac:dyDescent="0.2">
      <c r="DY5229" s="185" t="s">
        <v>215</v>
      </c>
    </row>
    <row r="5230" spans="129:129" x14ac:dyDescent="0.2">
      <c r="DY5230" s="185" t="s">
        <v>215</v>
      </c>
    </row>
    <row r="5231" spans="129:129" x14ac:dyDescent="0.2">
      <c r="DY5231" s="185" t="s">
        <v>215</v>
      </c>
    </row>
    <row r="5232" spans="129:129" x14ac:dyDescent="0.2">
      <c r="DY5232" s="185" t="s">
        <v>215</v>
      </c>
    </row>
    <row r="5233" spans="129:129" x14ac:dyDescent="0.2">
      <c r="DY5233" s="185" t="s">
        <v>215</v>
      </c>
    </row>
    <row r="5234" spans="129:129" x14ac:dyDescent="0.2">
      <c r="DY5234" s="185" t="s">
        <v>215</v>
      </c>
    </row>
    <row r="5235" spans="129:129" x14ac:dyDescent="0.2">
      <c r="DY5235" s="185" t="s">
        <v>215</v>
      </c>
    </row>
    <row r="5236" spans="129:129" x14ac:dyDescent="0.2">
      <c r="DY5236" s="185" t="s">
        <v>215</v>
      </c>
    </row>
    <row r="5237" spans="129:129" x14ac:dyDescent="0.2">
      <c r="DY5237" s="185" t="s">
        <v>215</v>
      </c>
    </row>
    <row r="5238" spans="129:129" x14ac:dyDescent="0.2">
      <c r="DY5238" s="185" t="s">
        <v>215</v>
      </c>
    </row>
    <row r="5239" spans="129:129" x14ac:dyDescent="0.2">
      <c r="DY5239" s="185" t="s">
        <v>215</v>
      </c>
    </row>
    <row r="5240" spans="129:129" x14ac:dyDescent="0.2">
      <c r="DY5240" s="185" t="s">
        <v>215</v>
      </c>
    </row>
    <row r="5241" spans="129:129" x14ac:dyDescent="0.2">
      <c r="DY5241" s="185" t="s">
        <v>215</v>
      </c>
    </row>
    <row r="5242" spans="129:129" x14ac:dyDescent="0.2">
      <c r="DY5242" s="185" t="s">
        <v>215</v>
      </c>
    </row>
    <row r="5243" spans="129:129" x14ac:dyDescent="0.2">
      <c r="DY5243" s="185" t="s">
        <v>215</v>
      </c>
    </row>
    <row r="5244" spans="129:129" x14ac:dyDescent="0.2">
      <c r="DY5244" s="185" t="s">
        <v>215</v>
      </c>
    </row>
    <row r="5245" spans="129:129" x14ac:dyDescent="0.2">
      <c r="DY5245" s="185" t="s">
        <v>215</v>
      </c>
    </row>
    <row r="5246" spans="129:129" x14ac:dyDescent="0.2">
      <c r="DY5246" s="185" t="s">
        <v>215</v>
      </c>
    </row>
    <row r="5247" spans="129:129" x14ac:dyDescent="0.2">
      <c r="DY5247" s="185" t="s">
        <v>215</v>
      </c>
    </row>
    <row r="5248" spans="129:129" x14ac:dyDescent="0.2">
      <c r="DY5248" s="185" t="s">
        <v>215</v>
      </c>
    </row>
    <row r="5249" spans="129:129" x14ac:dyDescent="0.2">
      <c r="DY5249" s="185" t="s">
        <v>215</v>
      </c>
    </row>
    <row r="5250" spans="129:129" x14ac:dyDescent="0.2">
      <c r="DY5250" s="185" t="s">
        <v>215</v>
      </c>
    </row>
    <row r="5251" spans="129:129" x14ac:dyDescent="0.2">
      <c r="DY5251" s="185" t="s">
        <v>215</v>
      </c>
    </row>
    <row r="5252" spans="129:129" x14ac:dyDescent="0.2">
      <c r="DY5252" s="185" t="s">
        <v>215</v>
      </c>
    </row>
    <row r="5253" spans="129:129" x14ac:dyDescent="0.2">
      <c r="DY5253" s="185" t="s">
        <v>215</v>
      </c>
    </row>
    <row r="5254" spans="129:129" x14ac:dyDescent="0.2">
      <c r="DY5254" s="185" t="s">
        <v>215</v>
      </c>
    </row>
    <row r="5255" spans="129:129" x14ac:dyDescent="0.2">
      <c r="DY5255" s="185" t="s">
        <v>215</v>
      </c>
    </row>
    <row r="5256" spans="129:129" x14ac:dyDescent="0.2">
      <c r="DY5256" s="185" t="s">
        <v>215</v>
      </c>
    </row>
    <row r="5257" spans="129:129" x14ac:dyDescent="0.2">
      <c r="DY5257" s="185" t="s">
        <v>215</v>
      </c>
    </row>
    <row r="5258" spans="129:129" x14ac:dyDescent="0.2">
      <c r="DY5258" s="185" t="s">
        <v>215</v>
      </c>
    </row>
    <row r="5259" spans="129:129" x14ac:dyDescent="0.2">
      <c r="DY5259" s="185" t="s">
        <v>215</v>
      </c>
    </row>
    <row r="5260" spans="129:129" x14ac:dyDescent="0.2">
      <c r="DY5260" s="185" t="s">
        <v>215</v>
      </c>
    </row>
    <row r="5261" spans="129:129" x14ac:dyDescent="0.2">
      <c r="DY5261" s="185" t="s">
        <v>215</v>
      </c>
    </row>
    <row r="5262" spans="129:129" x14ac:dyDescent="0.2">
      <c r="DY5262" s="185" t="s">
        <v>215</v>
      </c>
    </row>
    <row r="5263" spans="129:129" x14ac:dyDescent="0.2">
      <c r="DY5263" s="185" t="s">
        <v>215</v>
      </c>
    </row>
    <row r="5264" spans="129:129" x14ac:dyDescent="0.2">
      <c r="DY5264" s="185" t="s">
        <v>215</v>
      </c>
    </row>
    <row r="5265" spans="129:129" x14ac:dyDescent="0.2">
      <c r="DY5265" s="185" t="s">
        <v>215</v>
      </c>
    </row>
    <row r="5266" spans="129:129" x14ac:dyDescent="0.2">
      <c r="DY5266" s="185" t="s">
        <v>215</v>
      </c>
    </row>
    <row r="5267" spans="129:129" x14ac:dyDescent="0.2">
      <c r="DY5267" s="185" t="s">
        <v>215</v>
      </c>
    </row>
    <row r="5268" spans="129:129" x14ac:dyDescent="0.2">
      <c r="DY5268" s="185" t="s">
        <v>215</v>
      </c>
    </row>
    <row r="5269" spans="129:129" x14ac:dyDescent="0.2">
      <c r="DY5269" s="185" t="s">
        <v>215</v>
      </c>
    </row>
    <row r="5270" spans="129:129" x14ac:dyDescent="0.2">
      <c r="DY5270" s="185" t="s">
        <v>215</v>
      </c>
    </row>
    <row r="5271" spans="129:129" x14ac:dyDescent="0.2">
      <c r="DY5271" s="185" t="s">
        <v>215</v>
      </c>
    </row>
    <row r="5272" spans="129:129" x14ac:dyDescent="0.2">
      <c r="DY5272" s="185" t="s">
        <v>215</v>
      </c>
    </row>
    <row r="5273" spans="129:129" x14ac:dyDescent="0.2">
      <c r="DY5273" s="185" t="s">
        <v>215</v>
      </c>
    </row>
    <row r="5274" spans="129:129" x14ac:dyDescent="0.2">
      <c r="DY5274" s="185" t="s">
        <v>215</v>
      </c>
    </row>
    <row r="5275" spans="129:129" x14ac:dyDescent="0.2">
      <c r="DY5275" s="185" t="s">
        <v>215</v>
      </c>
    </row>
    <row r="5276" spans="129:129" x14ac:dyDescent="0.2">
      <c r="DY5276" s="185" t="s">
        <v>215</v>
      </c>
    </row>
    <row r="5277" spans="129:129" x14ac:dyDescent="0.2">
      <c r="DY5277" s="185" t="s">
        <v>215</v>
      </c>
    </row>
    <row r="5278" spans="129:129" x14ac:dyDescent="0.2">
      <c r="DY5278" s="185" t="s">
        <v>215</v>
      </c>
    </row>
    <row r="5279" spans="129:129" x14ac:dyDescent="0.2">
      <c r="DY5279" s="185" t="s">
        <v>215</v>
      </c>
    </row>
    <row r="5280" spans="129:129" x14ac:dyDescent="0.2">
      <c r="DY5280" s="185" t="s">
        <v>215</v>
      </c>
    </row>
    <row r="5281" spans="129:129" x14ac:dyDescent="0.2">
      <c r="DY5281" s="185" t="s">
        <v>215</v>
      </c>
    </row>
    <row r="5282" spans="129:129" x14ac:dyDescent="0.2">
      <c r="DY5282" s="185" t="s">
        <v>215</v>
      </c>
    </row>
    <row r="5283" spans="129:129" x14ac:dyDescent="0.2">
      <c r="DY5283" s="185" t="s">
        <v>215</v>
      </c>
    </row>
    <row r="5284" spans="129:129" x14ac:dyDescent="0.2">
      <c r="DY5284" s="185" t="s">
        <v>215</v>
      </c>
    </row>
    <row r="5285" spans="129:129" x14ac:dyDescent="0.2">
      <c r="DY5285" s="185" t="s">
        <v>215</v>
      </c>
    </row>
    <row r="5286" spans="129:129" x14ac:dyDescent="0.2">
      <c r="DY5286" s="185" t="s">
        <v>215</v>
      </c>
    </row>
    <row r="5287" spans="129:129" x14ac:dyDescent="0.2">
      <c r="DY5287" s="185" t="s">
        <v>215</v>
      </c>
    </row>
    <row r="5288" spans="129:129" x14ac:dyDescent="0.2">
      <c r="DY5288" s="185" t="s">
        <v>215</v>
      </c>
    </row>
    <row r="5289" spans="129:129" x14ac:dyDescent="0.2">
      <c r="DY5289" s="185" t="s">
        <v>215</v>
      </c>
    </row>
    <row r="5290" spans="129:129" x14ac:dyDescent="0.2">
      <c r="DY5290" s="185" t="s">
        <v>215</v>
      </c>
    </row>
    <row r="5291" spans="129:129" x14ac:dyDescent="0.2">
      <c r="DY5291" s="185" t="s">
        <v>215</v>
      </c>
    </row>
    <row r="5292" spans="129:129" x14ac:dyDescent="0.2">
      <c r="DY5292" s="185" t="s">
        <v>215</v>
      </c>
    </row>
    <row r="5293" spans="129:129" x14ac:dyDescent="0.2">
      <c r="DY5293" s="185" t="s">
        <v>215</v>
      </c>
    </row>
    <row r="5294" spans="129:129" x14ac:dyDescent="0.2">
      <c r="DY5294" s="185" t="s">
        <v>215</v>
      </c>
    </row>
    <row r="5295" spans="129:129" x14ac:dyDescent="0.2">
      <c r="DY5295" s="185" t="s">
        <v>215</v>
      </c>
    </row>
    <row r="5296" spans="129:129" x14ac:dyDescent="0.2">
      <c r="DY5296" s="185" t="s">
        <v>215</v>
      </c>
    </row>
    <row r="5297" spans="129:129" x14ac:dyDescent="0.2">
      <c r="DY5297" s="185" t="s">
        <v>215</v>
      </c>
    </row>
    <row r="5298" spans="129:129" x14ac:dyDescent="0.2">
      <c r="DY5298" s="185" t="s">
        <v>215</v>
      </c>
    </row>
    <row r="5299" spans="129:129" x14ac:dyDescent="0.2">
      <c r="DY5299" s="185" t="s">
        <v>215</v>
      </c>
    </row>
    <row r="5300" spans="129:129" x14ac:dyDescent="0.2">
      <c r="DY5300" s="185" t="s">
        <v>215</v>
      </c>
    </row>
    <row r="5301" spans="129:129" x14ac:dyDescent="0.2">
      <c r="DY5301" s="185" t="s">
        <v>215</v>
      </c>
    </row>
    <row r="5302" spans="129:129" x14ac:dyDescent="0.2">
      <c r="DY5302" s="185" t="s">
        <v>215</v>
      </c>
    </row>
    <row r="5303" spans="129:129" x14ac:dyDescent="0.2">
      <c r="DY5303" s="185" t="s">
        <v>215</v>
      </c>
    </row>
    <row r="5304" spans="129:129" x14ac:dyDescent="0.2">
      <c r="DY5304" s="185" t="s">
        <v>215</v>
      </c>
    </row>
    <row r="5305" spans="129:129" x14ac:dyDescent="0.2">
      <c r="DY5305" s="185" t="s">
        <v>215</v>
      </c>
    </row>
    <row r="5306" spans="129:129" x14ac:dyDescent="0.2">
      <c r="DY5306" s="185" t="s">
        <v>215</v>
      </c>
    </row>
    <row r="5307" spans="129:129" x14ac:dyDescent="0.2">
      <c r="DY5307" s="185" t="s">
        <v>215</v>
      </c>
    </row>
    <row r="5308" spans="129:129" x14ac:dyDescent="0.2">
      <c r="DY5308" s="185" t="s">
        <v>215</v>
      </c>
    </row>
    <row r="5309" spans="129:129" x14ac:dyDescent="0.2">
      <c r="DY5309" s="185" t="s">
        <v>215</v>
      </c>
    </row>
    <row r="5310" spans="129:129" x14ac:dyDescent="0.2">
      <c r="DY5310" s="185" t="s">
        <v>215</v>
      </c>
    </row>
    <row r="5311" spans="129:129" x14ac:dyDescent="0.2">
      <c r="DY5311" s="185" t="s">
        <v>215</v>
      </c>
    </row>
    <row r="5312" spans="129:129" x14ac:dyDescent="0.2">
      <c r="DY5312" s="185" t="s">
        <v>215</v>
      </c>
    </row>
    <row r="5313" spans="129:129" x14ac:dyDescent="0.2">
      <c r="DY5313" s="185" t="s">
        <v>215</v>
      </c>
    </row>
    <row r="5314" spans="129:129" x14ac:dyDescent="0.2">
      <c r="DY5314" s="185" t="s">
        <v>215</v>
      </c>
    </row>
    <row r="5315" spans="129:129" x14ac:dyDescent="0.2">
      <c r="DY5315" s="185" t="s">
        <v>215</v>
      </c>
    </row>
    <row r="5316" spans="129:129" x14ac:dyDescent="0.2">
      <c r="DY5316" s="185" t="s">
        <v>215</v>
      </c>
    </row>
    <row r="5317" spans="129:129" x14ac:dyDescent="0.2">
      <c r="DY5317" s="185" t="s">
        <v>215</v>
      </c>
    </row>
    <row r="5318" spans="129:129" x14ac:dyDescent="0.2">
      <c r="DY5318" s="185" t="s">
        <v>215</v>
      </c>
    </row>
    <row r="5319" spans="129:129" x14ac:dyDescent="0.2">
      <c r="DY5319" s="185" t="s">
        <v>215</v>
      </c>
    </row>
    <row r="5320" spans="129:129" x14ac:dyDescent="0.2">
      <c r="DY5320" s="185" t="s">
        <v>215</v>
      </c>
    </row>
    <row r="5321" spans="129:129" x14ac:dyDescent="0.2">
      <c r="DY5321" s="185" t="s">
        <v>215</v>
      </c>
    </row>
    <row r="5322" spans="129:129" x14ac:dyDescent="0.2">
      <c r="DY5322" s="185" t="s">
        <v>215</v>
      </c>
    </row>
    <row r="5323" spans="129:129" x14ac:dyDescent="0.2">
      <c r="DY5323" s="185" t="s">
        <v>215</v>
      </c>
    </row>
    <row r="5324" spans="129:129" x14ac:dyDescent="0.2">
      <c r="DY5324" s="185" t="s">
        <v>215</v>
      </c>
    </row>
    <row r="5325" spans="129:129" x14ac:dyDescent="0.2">
      <c r="DY5325" s="185" t="s">
        <v>215</v>
      </c>
    </row>
    <row r="5326" spans="129:129" x14ac:dyDescent="0.2">
      <c r="DY5326" s="185" t="s">
        <v>215</v>
      </c>
    </row>
    <row r="5327" spans="129:129" x14ac:dyDescent="0.2">
      <c r="DY5327" s="185" t="s">
        <v>215</v>
      </c>
    </row>
    <row r="5328" spans="129:129" x14ac:dyDescent="0.2">
      <c r="DY5328" s="185" t="s">
        <v>215</v>
      </c>
    </row>
    <row r="5329" spans="129:129" x14ac:dyDescent="0.2">
      <c r="DY5329" s="185" t="s">
        <v>215</v>
      </c>
    </row>
    <row r="5330" spans="129:129" x14ac:dyDescent="0.2">
      <c r="DY5330" s="185" t="s">
        <v>215</v>
      </c>
    </row>
    <row r="5331" spans="129:129" x14ac:dyDescent="0.2">
      <c r="DY5331" s="185" t="s">
        <v>215</v>
      </c>
    </row>
    <row r="5332" spans="129:129" x14ac:dyDescent="0.2">
      <c r="DY5332" s="185" t="s">
        <v>215</v>
      </c>
    </row>
    <row r="5333" spans="129:129" x14ac:dyDescent="0.2">
      <c r="DY5333" s="185" t="s">
        <v>215</v>
      </c>
    </row>
    <row r="5334" spans="129:129" x14ac:dyDescent="0.2">
      <c r="DY5334" s="185" t="s">
        <v>215</v>
      </c>
    </row>
    <row r="5335" spans="129:129" x14ac:dyDescent="0.2">
      <c r="DY5335" s="185" t="s">
        <v>215</v>
      </c>
    </row>
    <row r="5336" spans="129:129" x14ac:dyDescent="0.2">
      <c r="DY5336" s="185" t="s">
        <v>215</v>
      </c>
    </row>
    <row r="5337" spans="129:129" x14ac:dyDescent="0.2">
      <c r="DY5337" s="185" t="s">
        <v>215</v>
      </c>
    </row>
    <row r="5338" spans="129:129" x14ac:dyDescent="0.2">
      <c r="DY5338" s="185" t="s">
        <v>215</v>
      </c>
    </row>
    <row r="5339" spans="129:129" x14ac:dyDescent="0.2">
      <c r="DY5339" s="185" t="s">
        <v>215</v>
      </c>
    </row>
    <row r="5340" spans="129:129" x14ac:dyDescent="0.2">
      <c r="DY5340" s="185" t="s">
        <v>215</v>
      </c>
    </row>
    <row r="5341" spans="129:129" x14ac:dyDescent="0.2">
      <c r="DY5341" s="185" t="s">
        <v>215</v>
      </c>
    </row>
    <row r="5342" spans="129:129" x14ac:dyDescent="0.2">
      <c r="DY5342" s="185" t="s">
        <v>215</v>
      </c>
    </row>
    <row r="5343" spans="129:129" x14ac:dyDescent="0.2">
      <c r="DY5343" s="185" t="s">
        <v>215</v>
      </c>
    </row>
    <row r="5344" spans="129:129" x14ac:dyDescent="0.2">
      <c r="DY5344" s="185" t="s">
        <v>215</v>
      </c>
    </row>
    <row r="5345" spans="129:129" x14ac:dyDescent="0.2">
      <c r="DY5345" s="185" t="s">
        <v>215</v>
      </c>
    </row>
    <row r="5346" spans="129:129" x14ac:dyDescent="0.2">
      <c r="DY5346" s="185" t="s">
        <v>215</v>
      </c>
    </row>
    <row r="5347" spans="129:129" x14ac:dyDescent="0.2">
      <c r="DY5347" s="185" t="s">
        <v>215</v>
      </c>
    </row>
    <row r="5348" spans="129:129" x14ac:dyDescent="0.2">
      <c r="DY5348" s="185" t="s">
        <v>215</v>
      </c>
    </row>
    <row r="5349" spans="129:129" x14ac:dyDescent="0.2">
      <c r="DY5349" s="185" t="s">
        <v>215</v>
      </c>
    </row>
    <row r="5350" spans="129:129" x14ac:dyDescent="0.2">
      <c r="DY5350" s="185" t="s">
        <v>215</v>
      </c>
    </row>
    <row r="5351" spans="129:129" x14ac:dyDescent="0.2">
      <c r="DY5351" s="185" t="s">
        <v>215</v>
      </c>
    </row>
    <row r="5352" spans="129:129" x14ac:dyDescent="0.2">
      <c r="DY5352" s="185" t="s">
        <v>215</v>
      </c>
    </row>
    <row r="5353" spans="129:129" x14ac:dyDescent="0.2">
      <c r="DY5353" s="185" t="s">
        <v>215</v>
      </c>
    </row>
    <row r="5354" spans="129:129" x14ac:dyDescent="0.2">
      <c r="DY5354" s="185" t="s">
        <v>215</v>
      </c>
    </row>
    <row r="5355" spans="129:129" x14ac:dyDescent="0.2">
      <c r="DY5355" s="185" t="s">
        <v>215</v>
      </c>
    </row>
    <row r="5356" spans="129:129" x14ac:dyDescent="0.2">
      <c r="DY5356" s="185" t="s">
        <v>215</v>
      </c>
    </row>
    <row r="5357" spans="129:129" x14ac:dyDescent="0.2">
      <c r="DY5357" s="185" t="s">
        <v>215</v>
      </c>
    </row>
    <row r="5358" spans="129:129" x14ac:dyDescent="0.2">
      <c r="DY5358" s="185" t="s">
        <v>215</v>
      </c>
    </row>
    <row r="5359" spans="129:129" x14ac:dyDescent="0.2">
      <c r="DY5359" s="185" t="s">
        <v>215</v>
      </c>
    </row>
    <row r="5360" spans="129:129" x14ac:dyDescent="0.2">
      <c r="DY5360" s="185" t="s">
        <v>215</v>
      </c>
    </row>
    <row r="5361" spans="129:129" x14ac:dyDescent="0.2">
      <c r="DY5361" s="185" t="s">
        <v>215</v>
      </c>
    </row>
    <row r="5362" spans="129:129" x14ac:dyDescent="0.2">
      <c r="DY5362" s="185" t="s">
        <v>215</v>
      </c>
    </row>
    <row r="5363" spans="129:129" x14ac:dyDescent="0.2">
      <c r="DY5363" s="185" t="s">
        <v>215</v>
      </c>
    </row>
    <row r="5364" spans="129:129" x14ac:dyDescent="0.2">
      <c r="DY5364" s="185" t="s">
        <v>215</v>
      </c>
    </row>
    <row r="5365" spans="129:129" x14ac:dyDescent="0.2">
      <c r="DY5365" s="185" t="s">
        <v>215</v>
      </c>
    </row>
    <row r="5366" spans="129:129" x14ac:dyDescent="0.2">
      <c r="DY5366" s="185" t="s">
        <v>215</v>
      </c>
    </row>
    <row r="5367" spans="129:129" x14ac:dyDescent="0.2">
      <c r="DY5367" s="185" t="s">
        <v>215</v>
      </c>
    </row>
    <row r="5368" spans="129:129" x14ac:dyDescent="0.2">
      <c r="DY5368" s="185" t="s">
        <v>215</v>
      </c>
    </row>
    <row r="5369" spans="129:129" x14ac:dyDescent="0.2">
      <c r="DY5369" s="185" t="s">
        <v>215</v>
      </c>
    </row>
    <row r="5370" spans="129:129" x14ac:dyDescent="0.2">
      <c r="DY5370" s="185" t="s">
        <v>215</v>
      </c>
    </row>
    <row r="5371" spans="129:129" x14ac:dyDescent="0.2">
      <c r="DY5371" s="185" t="s">
        <v>215</v>
      </c>
    </row>
    <row r="5372" spans="129:129" x14ac:dyDescent="0.2">
      <c r="DY5372" s="185" t="s">
        <v>215</v>
      </c>
    </row>
    <row r="5373" spans="129:129" x14ac:dyDescent="0.2">
      <c r="DY5373" s="185" t="s">
        <v>215</v>
      </c>
    </row>
    <row r="5374" spans="129:129" x14ac:dyDescent="0.2">
      <c r="DY5374" s="185" t="s">
        <v>215</v>
      </c>
    </row>
    <row r="5375" spans="129:129" x14ac:dyDescent="0.2">
      <c r="DY5375" s="185" t="s">
        <v>215</v>
      </c>
    </row>
    <row r="5376" spans="129:129" x14ac:dyDescent="0.2">
      <c r="DY5376" s="185" t="s">
        <v>215</v>
      </c>
    </row>
    <row r="5377" spans="129:129" x14ac:dyDescent="0.2">
      <c r="DY5377" s="185" t="s">
        <v>215</v>
      </c>
    </row>
    <row r="5378" spans="129:129" x14ac:dyDescent="0.2">
      <c r="DY5378" s="185" t="s">
        <v>215</v>
      </c>
    </row>
    <row r="5379" spans="129:129" x14ac:dyDescent="0.2">
      <c r="DY5379" s="185" t="s">
        <v>215</v>
      </c>
    </row>
    <row r="5380" spans="129:129" x14ac:dyDescent="0.2">
      <c r="DY5380" s="185" t="s">
        <v>215</v>
      </c>
    </row>
    <row r="5381" spans="129:129" x14ac:dyDescent="0.2">
      <c r="DY5381" s="185" t="s">
        <v>215</v>
      </c>
    </row>
    <row r="5382" spans="129:129" x14ac:dyDescent="0.2">
      <c r="DY5382" s="185" t="s">
        <v>215</v>
      </c>
    </row>
    <row r="5383" spans="129:129" x14ac:dyDescent="0.2">
      <c r="DY5383" s="185" t="s">
        <v>215</v>
      </c>
    </row>
    <row r="5384" spans="129:129" x14ac:dyDescent="0.2">
      <c r="DY5384" s="185" t="s">
        <v>215</v>
      </c>
    </row>
    <row r="5385" spans="129:129" x14ac:dyDescent="0.2">
      <c r="DY5385" s="185" t="s">
        <v>215</v>
      </c>
    </row>
    <row r="5386" spans="129:129" x14ac:dyDescent="0.2">
      <c r="DY5386" s="185" t="s">
        <v>215</v>
      </c>
    </row>
    <row r="5387" spans="129:129" x14ac:dyDescent="0.2">
      <c r="DY5387" s="185" t="s">
        <v>215</v>
      </c>
    </row>
    <row r="5388" spans="129:129" x14ac:dyDescent="0.2">
      <c r="DY5388" s="185" t="s">
        <v>215</v>
      </c>
    </row>
    <row r="5389" spans="129:129" x14ac:dyDescent="0.2">
      <c r="DY5389" s="185" t="s">
        <v>215</v>
      </c>
    </row>
    <row r="5390" spans="129:129" x14ac:dyDescent="0.2">
      <c r="DY5390" s="185" t="s">
        <v>215</v>
      </c>
    </row>
    <row r="5391" spans="129:129" x14ac:dyDescent="0.2">
      <c r="DY5391" s="185" t="s">
        <v>215</v>
      </c>
    </row>
    <row r="5392" spans="129:129" x14ac:dyDescent="0.2">
      <c r="DY5392" s="185" t="s">
        <v>215</v>
      </c>
    </row>
    <row r="5393" spans="129:129" x14ac:dyDescent="0.2">
      <c r="DY5393" s="185" t="s">
        <v>215</v>
      </c>
    </row>
    <row r="5394" spans="129:129" x14ac:dyDescent="0.2">
      <c r="DY5394" s="185" t="s">
        <v>215</v>
      </c>
    </row>
    <row r="5395" spans="129:129" x14ac:dyDescent="0.2">
      <c r="DY5395" s="185" t="s">
        <v>215</v>
      </c>
    </row>
    <row r="5396" spans="129:129" x14ac:dyDescent="0.2">
      <c r="DY5396" s="185" t="s">
        <v>215</v>
      </c>
    </row>
    <row r="5397" spans="129:129" x14ac:dyDescent="0.2">
      <c r="DY5397" s="185" t="s">
        <v>215</v>
      </c>
    </row>
    <row r="5398" spans="129:129" x14ac:dyDescent="0.2">
      <c r="DY5398" s="185" t="s">
        <v>215</v>
      </c>
    </row>
    <row r="5399" spans="129:129" x14ac:dyDescent="0.2">
      <c r="DY5399" s="185" t="s">
        <v>215</v>
      </c>
    </row>
    <row r="5400" spans="129:129" x14ac:dyDescent="0.2">
      <c r="DY5400" s="185" t="s">
        <v>215</v>
      </c>
    </row>
    <row r="5401" spans="129:129" x14ac:dyDescent="0.2">
      <c r="DY5401" s="185" t="s">
        <v>215</v>
      </c>
    </row>
    <row r="5402" spans="129:129" x14ac:dyDescent="0.2">
      <c r="DY5402" s="185" t="s">
        <v>215</v>
      </c>
    </row>
    <row r="5403" spans="129:129" x14ac:dyDescent="0.2">
      <c r="DY5403" s="185" t="s">
        <v>215</v>
      </c>
    </row>
    <row r="5404" spans="129:129" x14ac:dyDescent="0.2">
      <c r="DY5404" s="185" t="s">
        <v>215</v>
      </c>
    </row>
    <row r="5405" spans="129:129" x14ac:dyDescent="0.2">
      <c r="DY5405" s="185" t="s">
        <v>215</v>
      </c>
    </row>
    <row r="5406" spans="129:129" x14ac:dyDescent="0.2">
      <c r="DY5406" s="185" t="s">
        <v>215</v>
      </c>
    </row>
    <row r="5407" spans="129:129" x14ac:dyDescent="0.2">
      <c r="DY5407" s="185" t="s">
        <v>215</v>
      </c>
    </row>
    <row r="5408" spans="129:129" x14ac:dyDescent="0.2">
      <c r="DY5408" s="185" t="s">
        <v>215</v>
      </c>
    </row>
    <row r="5409" spans="129:129" x14ac:dyDescent="0.2">
      <c r="DY5409" s="185" t="s">
        <v>215</v>
      </c>
    </row>
    <row r="5410" spans="129:129" x14ac:dyDescent="0.2">
      <c r="DY5410" s="185" t="s">
        <v>215</v>
      </c>
    </row>
    <row r="5411" spans="129:129" x14ac:dyDescent="0.2">
      <c r="DY5411" s="185" t="s">
        <v>215</v>
      </c>
    </row>
    <row r="5412" spans="129:129" x14ac:dyDescent="0.2">
      <c r="DY5412" s="185" t="s">
        <v>215</v>
      </c>
    </row>
    <row r="5413" spans="129:129" x14ac:dyDescent="0.2">
      <c r="DY5413" s="185" t="s">
        <v>215</v>
      </c>
    </row>
    <row r="5414" spans="129:129" x14ac:dyDescent="0.2">
      <c r="DY5414" s="185" t="s">
        <v>215</v>
      </c>
    </row>
    <row r="5415" spans="129:129" x14ac:dyDescent="0.2">
      <c r="DY5415" s="185" t="s">
        <v>215</v>
      </c>
    </row>
    <row r="5416" spans="129:129" x14ac:dyDescent="0.2">
      <c r="DY5416" s="185" t="s">
        <v>215</v>
      </c>
    </row>
    <row r="5417" spans="129:129" x14ac:dyDescent="0.2">
      <c r="DY5417" s="185" t="s">
        <v>215</v>
      </c>
    </row>
    <row r="5418" spans="129:129" x14ac:dyDescent="0.2">
      <c r="DY5418" s="185" t="s">
        <v>215</v>
      </c>
    </row>
    <row r="5419" spans="129:129" x14ac:dyDescent="0.2">
      <c r="DY5419" s="185" t="s">
        <v>215</v>
      </c>
    </row>
    <row r="5420" spans="129:129" x14ac:dyDescent="0.2">
      <c r="DY5420" s="185" t="s">
        <v>215</v>
      </c>
    </row>
    <row r="5421" spans="129:129" x14ac:dyDescent="0.2">
      <c r="DY5421" s="185" t="s">
        <v>215</v>
      </c>
    </row>
    <row r="5422" spans="129:129" x14ac:dyDescent="0.2">
      <c r="DY5422" s="185" t="s">
        <v>215</v>
      </c>
    </row>
    <row r="5423" spans="129:129" x14ac:dyDescent="0.2">
      <c r="DY5423" s="185" t="s">
        <v>215</v>
      </c>
    </row>
    <row r="5424" spans="129:129" x14ac:dyDescent="0.2">
      <c r="DY5424" s="185" t="s">
        <v>215</v>
      </c>
    </row>
    <row r="5425" spans="129:129" x14ac:dyDescent="0.2">
      <c r="DY5425" s="185" t="s">
        <v>215</v>
      </c>
    </row>
    <row r="5426" spans="129:129" x14ac:dyDescent="0.2">
      <c r="DY5426" s="185" t="s">
        <v>215</v>
      </c>
    </row>
    <row r="5427" spans="129:129" x14ac:dyDescent="0.2">
      <c r="DY5427" s="185" t="s">
        <v>215</v>
      </c>
    </row>
    <row r="5428" spans="129:129" x14ac:dyDescent="0.2">
      <c r="DY5428" s="185" t="s">
        <v>215</v>
      </c>
    </row>
    <row r="5429" spans="129:129" x14ac:dyDescent="0.2">
      <c r="DY5429" s="185" t="s">
        <v>215</v>
      </c>
    </row>
    <row r="5430" spans="129:129" x14ac:dyDescent="0.2">
      <c r="DY5430" s="185" t="s">
        <v>215</v>
      </c>
    </row>
    <row r="5431" spans="129:129" x14ac:dyDescent="0.2">
      <c r="DY5431" s="185" t="s">
        <v>215</v>
      </c>
    </row>
    <row r="5432" spans="129:129" x14ac:dyDescent="0.2">
      <c r="DY5432" s="185" t="s">
        <v>215</v>
      </c>
    </row>
    <row r="5433" spans="129:129" x14ac:dyDescent="0.2">
      <c r="DY5433" s="185" t="s">
        <v>215</v>
      </c>
    </row>
    <row r="5434" spans="129:129" x14ac:dyDescent="0.2">
      <c r="DY5434" s="185" t="s">
        <v>215</v>
      </c>
    </row>
    <row r="5435" spans="129:129" x14ac:dyDescent="0.2">
      <c r="DY5435" s="185" t="s">
        <v>215</v>
      </c>
    </row>
    <row r="5436" spans="129:129" x14ac:dyDescent="0.2">
      <c r="DY5436" s="185" t="s">
        <v>215</v>
      </c>
    </row>
    <row r="5437" spans="129:129" x14ac:dyDescent="0.2">
      <c r="DY5437" s="185" t="s">
        <v>215</v>
      </c>
    </row>
    <row r="5438" spans="129:129" x14ac:dyDescent="0.2">
      <c r="DY5438" s="185" t="s">
        <v>215</v>
      </c>
    </row>
    <row r="5439" spans="129:129" x14ac:dyDescent="0.2">
      <c r="DY5439" s="185" t="s">
        <v>215</v>
      </c>
    </row>
    <row r="5440" spans="129:129" x14ac:dyDescent="0.2">
      <c r="DY5440" s="185" t="s">
        <v>215</v>
      </c>
    </row>
    <row r="5441" spans="129:129" x14ac:dyDescent="0.2">
      <c r="DY5441" s="185" t="s">
        <v>215</v>
      </c>
    </row>
    <row r="5442" spans="129:129" x14ac:dyDescent="0.2">
      <c r="DY5442" s="185" t="s">
        <v>215</v>
      </c>
    </row>
    <row r="5443" spans="129:129" x14ac:dyDescent="0.2">
      <c r="DY5443" s="185" t="s">
        <v>215</v>
      </c>
    </row>
    <row r="5444" spans="129:129" x14ac:dyDescent="0.2">
      <c r="DY5444" s="185" t="s">
        <v>215</v>
      </c>
    </row>
    <row r="5445" spans="129:129" x14ac:dyDescent="0.2">
      <c r="DY5445" s="185" t="s">
        <v>215</v>
      </c>
    </row>
    <row r="5446" spans="129:129" x14ac:dyDescent="0.2">
      <c r="DY5446" s="185" t="s">
        <v>215</v>
      </c>
    </row>
    <row r="5447" spans="129:129" x14ac:dyDescent="0.2">
      <c r="DY5447" s="185" t="s">
        <v>215</v>
      </c>
    </row>
    <row r="5448" spans="129:129" x14ac:dyDescent="0.2">
      <c r="DY5448" s="185" t="s">
        <v>215</v>
      </c>
    </row>
    <row r="5449" spans="129:129" x14ac:dyDescent="0.2">
      <c r="DY5449" s="185" t="s">
        <v>215</v>
      </c>
    </row>
    <row r="5450" spans="129:129" x14ac:dyDescent="0.2">
      <c r="DY5450" s="185" t="s">
        <v>215</v>
      </c>
    </row>
    <row r="5451" spans="129:129" x14ac:dyDescent="0.2">
      <c r="DY5451" s="185" t="s">
        <v>215</v>
      </c>
    </row>
    <row r="5452" spans="129:129" x14ac:dyDescent="0.2">
      <c r="DY5452" s="185" t="s">
        <v>215</v>
      </c>
    </row>
    <row r="5453" spans="129:129" x14ac:dyDescent="0.2">
      <c r="DY5453" s="185" t="s">
        <v>215</v>
      </c>
    </row>
    <row r="5454" spans="129:129" x14ac:dyDescent="0.2">
      <c r="DY5454" s="185" t="s">
        <v>215</v>
      </c>
    </row>
    <row r="5455" spans="129:129" x14ac:dyDescent="0.2">
      <c r="DY5455" s="185" t="s">
        <v>215</v>
      </c>
    </row>
    <row r="5456" spans="129:129" x14ac:dyDescent="0.2">
      <c r="DY5456" s="185" t="s">
        <v>215</v>
      </c>
    </row>
    <row r="5457" spans="129:129" x14ac:dyDescent="0.2">
      <c r="DY5457" s="185" t="s">
        <v>215</v>
      </c>
    </row>
    <row r="5458" spans="129:129" x14ac:dyDescent="0.2">
      <c r="DY5458" s="185" t="s">
        <v>215</v>
      </c>
    </row>
    <row r="5459" spans="129:129" x14ac:dyDescent="0.2">
      <c r="DY5459" s="185" t="s">
        <v>215</v>
      </c>
    </row>
    <row r="5460" spans="129:129" x14ac:dyDescent="0.2">
      <c r="DY5460" s="185" t="s">
        <v>215</v>
      </c>
    </row>
    <row r="5461" spans="129:129" x14ac:dyDescent="0.2">
      <c r="DY5461" s="185" t="s">
        <v>215</v>
      </c>
    </row>
    <row r="5462" spans="129:129" x14ac:dyDescent="0.2">
      <c r="DY5462" s="185" t="s">
        <v>215</v>
      </c>
    </row>
    <row r="5463" spans="129:129" x14ac:dyDescent="0.2">
      <c r="DY5463" s="185" t="s">
        <v>215</v>
      </c>
    </row>
    <row r="5464" spans="129:129" x14ac:dyDescent="0.2">
      <c r="DY5464" s="185" t="s">
        <v>215</v>
      </c>
    </row>
    <row r="5465" spans="129:129" x14ac:dyDescent="0.2">
      <c r="DY5465" s="185" t="s">
        <v>215</v>
      </c>
    </row>
    <row r="5466" spans="129:129" x14ac:dyDescent="0.2">
      <c r="DY5466" s="185" t="s">
        <v>215</v>
      </c>
    </row>
    <row r="5467" spans="129:129" x14ac:dyDescent="0.2">
      <c r="DY5467" s="185" t="s">
        <v>215</v>
      </c>
    </row>
    <row r="5468" spans="129:129" x14ac:dyDescent="0.2">
      <c r="DY5468" s="185" t="s">
        <v>215</v>
      </c>
    </row>
    <row r="5469" spans="129:129" x14ac:dyDescent="0.2">
      <c r="DY5469" s="185" t="s">
        <v>215</v>
      </c>
    </row>
    <row r="5470" spans="129:129" x14ac:dyDescent="0.2">
      <c r="DY5470" s="185" t="s">
        <v>215</v>
      </c>
    </row>
    <row r="5471" spans="129:129" x14ac:dyDescent="0.2">
      <c r="DY5471" s="185" t="s">
        <v>215</v>
      </c>
    </row>
    <row r="5472" spans="129:129" x14ac:dyDescent="0.2">
      <c r="DY5472" s="185" t="s">
        <v>215</v>
      </c>
    </row>
    <row r="5473" spans="129:129" x14ac:dyDescent="0.2">
      <c r="DY5473" s="185" t="s">
        <v>215</v>
      </c>
    </row>
    <row r="5474" spans="129:129" x14ac:dyDescent="0.2">
      <c r="DY5474" s="185" t="s">
        <v>215</v>
      </c>
    </row>
    <row r="5475" spans="129:129" x14ac:dyDescent="0.2">
      <c r="DY5475" s="185" t="s">
        <v>215</v>
      </c>
    </row>
    <row r="5476" spans="129:129" x14ac:dyDescent="0.2">
      <c r="DY5476" s="185" t="s">
        <v>215</v>
      </c>
    </row>
    <row r="5477" spans="129:129" x14ac:dyDescent="0.2">
      <c r="DY5477" s="185" t="s">
        <v>215</v>
      </c>
    </row>
    <row r="5478" spans="129:129" x14ac:dyDescent="0.2">
      <c r="DY5478" s="185" t="s">
        <v>215</v>
      </c>
    </row>
    <row r="5479" spans="129:129" x14ac:dyDescent="0.2">
      <c r="DY5479" s="185" t="s">
        <v>215</v>
      </c>
    </row>
    <row r="5480" spans="129:129" x14ac:dyDescent="0.2">
      <c r="DY5480" s="185" t="s">
        <v>215</v>
      </c>
    </row>
    <row r="5481" spans="129:129" x14ac:dyDescent="0.2">
      <c r="DY5481" s="185" t="s">
        <v>215</v>
      </c>
    </row>
    <row r="5482" spans="129:129" x14ac:dyDescent="0.2">
      <c r="DY5482" s="185" t="s">
        <v>215</v>
      </c>
    </row>
    <row r="5483" spans="129:129" x14ac:dyDescent="0.2">
      <c r="DY5483" s="185" t="s">
        <v>215</v>
      </c>
    </row>
    <row r="5484" spans="129:129" x14ac:dyDescent="0.2">
      <c r="DY5484" s="185" t="s">
        <v>215</v>
      </c>
    </row>
    <row r="5485" spans="129:129" x14ac:dyDescent="0.2">
      <c r="DY5485" s="185" t="s">
        <v>215</v>
      </c>
    </row>
    <row r="5486" spans="129:129" x14ac:dyDescent="0.2">
      <c r="DY5486" s="185" t="s">
        <v>215</v>
      </c>
    </row>
    <row r="5487" spans="129:129" x14ac:dyDescent="0.2">
      <c r="DY5487" s="185" t="s">
        <v>215</v>
      </c>
    </row>
    <row r="5488" spans="129:129" x14ac:dyDescent="0.2">
      <c r="DY5488" s="185" t="s">
        <v>215</v>
      </c>
    </row>
    <row r="5489" spans="129:129" x14ac:dyDescent="0.2">
      <c r="DY5489" s="185" t="s">
        <v>215</v>
      </c>
    </row>
    <row r="5490" spans="129:129" x14ac:dyDescent="0.2">
      <c r="DY5490" s="185" t="s">
        <v>215</v>
      </c>
    </row>
    <row r="5491" spans="129:129" x14ac:dyDescent="0.2">
      <c r="DY5491" s="185" t="s">
        <v>215</v>
      </c>
    </row>
    <row r="5492" spans="129:129" x14ac:dyDescent="0.2">
      <c r="DY5492" s="185" t="s">
        <v>215</v>
      </c>
    </row>
    <row r="5493" spans="129:129" x14ac:dyDescent="0.2">
      <c r="DY5493" s="185" t="s">
        <v>215</v>
      </c>
    </row>
    <row r="5494" spans="129:129" x14ac:dyDescent="0.2">
      <c r="DY5494" s="185" t="s">
        <v>215</v>
      </c>
    </row>
    <row r="5495" spans="129:129" x14ac:dyDescent="0.2">
      <c r="DY5495" s="185" t="s">
        <v>215</v>
      </c>
    </row>
    <row r="5496" spans="129:129" x14ac:dyDescent="0.2">
      <c r="DY5496" s="185" t="s">
        <v>215</v>
      </c>
    </row>
    <row r="5497" spans="129:129" x14ac:dyDescent="0.2">
      <c r="DY5497" s="185" t="s">
        <v>215</v>
      </c>
    </row>
    <row r="5498" spans="129:129" x14ac:dyDescent="0.2">
      <c r="DY5498" s="185" t="s">
        <v>215</v>
      </c>
    </row>
    <row r="5499" spans="129:129" x14ac:dyDescent="0.2">
      <c r="DY5499" s="185" t="s">
        <v>215</v>
      </c>
    </row>
    <row r="5500" spans="129:129" x14ac:dyDescent="0.2">
      <c r="DY5500" s="185" t="s">
        <v>215</v>
      </c>
    </row>
    <row r="5501" spans="129:129" x14ac:dyDescent="0.2">
      <c r="DY5501" s="185" t="s">
        <v>215</v>
      </c>
    </row>
    <row r="5502" spans="129:129" x14ac:dyDescent="0.2">
      <c r="DY5502" s="185" t="s">
        <v>215</v>
      </c>
    </row>
    <row r="5503" spans="129:129" x14ac:dyDescent="0.2">
      <c r="DY5503" s="185" t="s">
        <v>215</v>
      </c>
    </row>
    <row r="5504" spans="129:129" x14ac:dyDescent="0.2">
      <c r="DY5504" s="185" t="s">
        <v>215</v>
      </c>
    </row>
    <row r="5505" spans="129:129" x14ac:dyDescent="0.2">
      <c r="DY5505" s="185" t="s">
        <v>215</v>
      </c>
    </row>
    <row r="5506" spans="129:129" x14ac:dyDescent="0.2">
      <c r="DY5506" s="185" t="s">
        <v>215</v>
      </c>
    </row>
    <row r="5507" spans="129:129" x14ac:dyDescent="0.2">
      <c r="DY5507" s="185" t="s">
        <v>215</v>
      </c>
    </row>
    <row r="5508" spans="129:129" x14ac:dyDescent="0.2">
      <c r="DY5508" s="185" t="s">
        <v>215</v>
      </c>
    </row>
    <row r="5509" spans="129:129" x14ac:dyDescent="0.2">
      <c r="DY5509" s="185" t="s">
        <v>215</v>
      </c>
    </row>
    <row r="5510" spans="129:129" x14ac:dyDescent="0.2">
      <c r="DY5510" s="185" t="s">
        <v>215</v>
      </c>
    </row>
    <row r="5511" spans="129:129" x14ac:dyDescent="0.2">
      <c r="DY5511" s="185" t="s">
        <v>215</v>
      </c>
    </row>
    <row r="5512" spans="129:129" x14ac:dyDescent="0.2">
      <c r="DY5512" s="185" t="s">
        <v>215</v>
      </c>
    </row>
    <row r="5513" spans="129:129" x14ac:dyDescent="0.2">
      <c r="DY5513" s="185" t="s">
        <v>215</v>
      </c>
    </row>
    <row r="5514" spans="129:129" x14ac:dyDescent="0.2">
      <c r="DY5514" s="185" t="s">
        <v>215</v>
      </c>
    </row>
    <row r="5515" spans="129:129" x14ac:dyDescent="0.2">
      <c r="DY5515" s="185" t="s">
        <v>215</v>
      </c>
    </row>
    <row r="5516" spans="129:129" x14ac:dyDescent="0.2">
      <c r="DY5516" s="185" t="s">
        <v>215</v>
      </c>
    </row>
    <row r="5517" spans="129:129" x14ac:dyDescent="0.2">
      <c r="DY5517" s="185" t="s">
        <v>215</v>
      </c>
    </row>
    <row r="5518" spans="129:129" x14ac:dyDescent="0.2">
      <c r="DY5518" s="185" t="s">
        <v>215</v>
      </c>
    </row>
    <row r="5519" spans="129:129" x14ac:dyDescent="0.2">
      <c r="DY5519" s="185" t="s">
        <v>215</v>
      </c>
    </row>
    <row r="5520" spans="129:129" x14ac:dyDescent="0.2">
      <c r="DY5520" s="185" t="s">
        <v>215</v>
      </c>
    </row>
    <row r="5521" spans="129:129" x14ac:dyDescent="0.2">
      <c r="DY5521" s="185" t="s">
        <v>215</v>
      </c>
    </row>
    <row r="5522" spans="129:129" x14ac:dyDescent="0.2">
      <c r="DY5522" s="185" t="s">
        <v>215</v>
      </c>
    </row>
    <row r="5523" spans="129:129" x14ac:dyDescent="0.2">
      <c r="DY5523" s="185" t="s">
        <v>215</v>
      </c>
    </row>
    <row r="5524" spans="129:129" x14ac:dyDescent="0.2">
      <c r="DY5524" s="185" t="s">
        <v>215</v>
      </c>
    </row>
    <row r="5525" spans="129:129" x14ac:dyDescent="0.2">
      <c r="DY5525" s="185" t="s">
        <v>215</v>
      </c>
    </row>
    <row r="5526" spans="129:129" x14ac:dyDescent="0.2">
      <c r="DY5526" s="185" t="s">
        <v>215</v>
      </c>
    </row>
    <row r="5527" spans="129:129" x14ac:dyDescent="0.2">
      <c r="DY5527" s="185" t="s">
        <v>215</v>
      </c>
    </row>
    <row r="5528" spans="129:129" x14ac:dyDescent="0.2">
      <c r="DY5528" s="185" t="s">
        <v>215</v>
      </c>
    </row>
    <row r="5529" spans="129:129" x14ac:dyDescent="0.2">
      <c r="DY5529" s="185" t="s">
        <v>215</v>
      </c>
    </row>
    <row r="5530" spans="129:129" x14ac:dyDescent="0.2">
      <c r="DY5530" s="185" t="s">
        <v>215</v>
      </c>
    </row>
    <row r="5531" spans="129:129" x14ac:dyDescent="0.2">
      <c r="DY5531" s="185" t="s">
        <v>215</v>
      </c>
    </row>
    <row r="5532" spans="129:129" x14ac:dyDescent="0.2">
      <c r="DY5532" s="185" t="s">
        <v>215</v>
      </c>
    </row>
    <row r="5533" spans="129:129" x14ac:dyDescent="0.2">
      <c r="DY5533" s="185" t="s">
        <v>215</v>
      </c>
    </row>
    <row r="5534" spans="129:129" x14ac:dyDescent="0.2">
      <c r="DY5534" s="185" t="s">
        <v>215</v>
      </c>
    </row>
    <row r="5535" spans="129:129" x14ac:dyDescent="0.2">
      <c r="DY5535" s="185" t="s">
        <v>215</v>
      </c>
    </row>
    <row r="5536" spans="129:129" x14ac:dyDescent="0.2">
      <c r="DY5536" s="185" t="s">
        <v>215</v>
      </c>
    </row>
    <row r="5537" spans="129:129" x14ac:dyDescent="0.2">
      <c r="DY5537" s="185" t="s">
        <v>215</v>
      </c>
    </row>
    <row r="5538" spans="129:129" x14ac:dyDescent="0.2">
      <c r="DY5538" s="185" t="s">
        <v>215</v>
      </c>
    </row>
    <row r="5539" spans="129:129" x14ac:dyDescent="0.2">
      <c r="DY5539" s="185" t="s">
        <v>215</v>
      </c>
    </row>
    <row r="5540" spans="129:129" x14ac:dyDescent="0.2">
      <c r="DY5540" s="185" t="s">
        <v>215</v>
      </c>
    </row>
    <row r="5541" spans="129:129" x14ac:dyDescent="0.2">
      <c r="DY5541" s="185" t="s">
        <v>215</v>
      </c>
    </row>
    <row r="5542" spans="129:129" x14ac:dyDescent="0.2">
      <c r="DY5542" s="185" t="s">
        <v>215</v>
      </c>
    </row>
    <row r="5543" spans="129:129" x14ac:dyDescent="0.2">
      <c r="DY5543" s="185" t="s">
        <v>215</v>
      </c>
    </row>
    <row r="5544" spans="129:129" x14ac:dyDescent="0.2">
      <c r="DY5544" s="185" t="s">
        <v>215</v>
      </c>
    </row>
    <row r="5545" spans="129:129" x14ac:dyDescent="0.2">
      <c r="DY5545" s="185" t="s">
        <v>215</v>
      </c>
    </row>
    <row r="5546" spans="129:129" x14ac:dyDescent="0.2">
      <c r="DY5546" s="185" t="s">
        <v>215</v>
      </c>
    </row>
    <row r="5547" spans="129:129" x14ac:dyDescent="0.2">
      <c r="DY5547" s="185" t="s">
        <v>215</v>
      </c>
    </row>
    <row r="5548" spans="129:129" x14ac:dyDescent="0.2">
      <c r="DY5548" s="185" t="s">
        <v>215</v>
      </c>
    </row>
    <row r="5549" spans="129:129" x14ac:dyDescent="0.2">
      <c r="DY5549" s="185" t="s">
        <v>215</v>
      </c>
    </row>
    <row r="5550" spans="129:129" x14ac:dyDescent="0.2">
      <c r="DY5550" s="185" t="s">
        <v>215</v>
      </c>
    </row>
    <row r="5551" spans="129:129" x14ac:dyDescent="0.2">
      <c r="DY5551" s="185" t="s">
        <v>215</v>
      </c>
    </row>
    <row r="5552" spans="129:129" x14ac:dyDescent="0.2">
      <c r="DY5552" s="185" t="s">
        <v>215</v>
      </c>
    </row>
    <row r="5553" spans="129:129" x14ac:dyDescent="0.2">
      <c r="DY5553" s="185" t="s">
        <v>215</v>
      </c>
    </row>
    <row r="5554" spans="129:129" x14ac:dyDescent="0.2">
      <c r="DY5554" s="185" t="s">
        <v>215</v>
      </c>
    </row>
    <row r="5555" spans="129:129" x14ac:dyDescent="0.2">
      <c r="DY5555" s="185" t="s">
        <v>215</v>
      </c>
    </row>
    <row r="5556" spans="129:129" x14ac:dyDescent="0.2">
      <c r="DY5556" s="185" t="s">
        <v>215</v>
      </c>
    </row>
    <row r="5557" spans="129:129" x14ac:dyDescent="0.2">
      <c r="DY5557" s="185" t="s">
        <v>215</v>
      </c>
    </row>
    <row r="5558" spans="129:129" x14ac:dyDescent="0.2">
      <c r="DY5558" s="185" t="s">
        <v>215</v>
      </c>
    </row>
    <row r="5559" spans="129:129" x14ac:dyDescent="0.2">
      <c r="DY5559" s="185" t="s">
        <v>215</v>
      </c>
    </row>
    <row r="5560" spans="129:129" x14ac:dyDescent="0.2">
      <c r="DY5560" s="185" t="s">
        <v>215</v>
      </c>
    </row>
    <row r="5561" spans="129:129" x14ac:dyDescent="0.2">
      <c r="DY5561" s="185" t="s">
        <v>215</v>
      </c>
    </row>
    <row r="5562" spans="129:129" x14ac:dyDescent="0.2">
      <c r="DY5562" s="185" t="s">
        <v>215</v>
      </c>
    </row>
    <row r="5563" spans="129:129" x14ac:dyDescent="0.2">
      <c r="DY5563" s="185" t="s">
        <v>215</v>
      </c>
    </row>
    <row r="5564" spans="129:129" x14ac:dyDescent="0.2">
      <c r="DY5564" s="185" t="s">
        <v>215</v>
      </c>
    </row>
    <row r="5565" spans="129:129" x14ac:dyDescent="0.2">
      <c r="DY5565" s="185" t="s">
        <v>215</v>
      </c>
    </row>
    <row r="5566" spans="129:129" x14ac:dyDescent="0.2">
      <c r="DY5566" s="185" t="s">
        <v>215</v>
      </c>
    </row>
    <row r="5567" spans="129:129" x14ac:dyDescent="0.2">
      <c r="DY5567" s="185" t="s">
        <v>215</v>
      </c>
    </row>
    <row r="5568" spans="129:129" x14ac:dyDescent="0.2">
      <c r="DY5568" s="185" t="s">
        <v>215</v>
      </c>
    </row>
    <row r="5569" spans="129:129" x14ac:dyDescent="0.2">
      <c r="DY5569" s="185" t="s">
        <v>215</v>
      </c>
    </row>
    <row r="5570" spans="129:129" x14ac:dyDescent="0.2">
      <c r="DY5570" s="185" t="s">
        <v>215</v>
      </c>
    </row>
    <row r="5571" spans="129:129" x14ac:dyDescent="0.2">
      <c r="DY5571" s="185" t="s">
        <v>215</v>
      </c>
    </row>
    <row r="5572" spans="129:129" x14ac:dyDescent="0.2">
      <c r="DY5572" s="185" t="s">
        <v>215</v>
      </c>
    </row>
    <row r="5573" spans="129:129" x14ac:dyDescent="0.2">
      <c r="DY5573" s="185" t="s">
        <v>215</v>
      </c>
    </row>
    <row r="5574" spans="129:129" x14ac:dyDescent="0.2">
      <c r="DY5574" s="185" t="s">
        <v>215</v>
      </c>
    </row>
    <row r="5575" spans="129:129" x14ac:dyDescent="0.2">
      <c r="DY5575" s="185" t="s">
        <v>215</v>
      </c>
    </row>
    <row r="5576" spans="129:129" x14ac:dyDescent="0.2">
      <c r="DY5576" s="185" t="s">
        <v>215</v>
      </c>
    </row>
    <row r="5577" spans="129:129" x14ac:dyDescent="0.2">
      <c r="DY5577" s="185" t="s">
        <v>215</v>
      </c>
    </row>
    <row r="5578" spans="129:129" x14ac:dyDescent="0.2">
      <c r="DY5578" s="185" t="s">
        <v>215</v>
      </c>
    </row>
    <row r="5579" spans="129:129" x14ac:dyDescent="0.2">
      <c r="DY5579" s="185" t="s">
        <v>215</v>
      </c>
    </row>
    <row r="5580" spans="129:129" x14ac:dyDescent="0.2">
      <c r="DY5580" s="185" t="s">
        <v>215</v>
      </c>
    </row>
    <row r="5581" spans="129:129" x14ac:dyDescent="0.2">
      <c r="DY5581" s="185" t="s">
        <v>215</v>
      </c>
    </row>
    <row r="5582" spans="129:129" x14ac:dyDescent="0.2">
      <c r="DY5582" s="185" t="s">
        <v>215</v>
      </c>
    </row>
    <row r="5583" spans="129:129" x14ac:dyDescent="0.2">
      <c r="DY5583" s="185" t="s">
        <v>215</v>
      </c>
    </row>
    <row r="5584" spans="129:129" x14ac:dyDescent="0.2">
      <c r="DY5584" s="185" t="s">
        <v>215</v>
      </c>
    </row>
    <row r="5585" spans="129:129" x14ac:dyDescent="0.2">
      <c r="DY5585" s="185" t="s">
        <v>215</v>
      </c>
    </row>
    <row r="5586" spans="129:129" x14ac:dyDescent="0.2">
      <c r="DY5586" s="185" t="s">
        <v>215</v>
      </c>
    </row>
    <row r="5587" spans="129:129" x14ac:dyDescent="0.2">
      <c r="DY5587" s="185" t="s">
        <v>215</v>
      </c>
    </row>
    <row r="5588" spans="129:129" x14ac:dyDescent="0.2">
      <c r="DY5588" s="185" t="s">
        <v>215</v>
      </c>
    </row>
    <row r="5589" spans="129:129" x14ac:dyDescent="0.2">
      <c r="DY5589" s="185" t="s">
        <v>215</v>
      </c>
    </row>
    <row r="5590" spans="129:129" x14ac:dyDescent="0.2">
      <c r="DY5590" s="185" t="s">
        <v>215</v>
      </c>
    </row>
    <row r="5591" spans="129:129" x14ac:dyDescent="0.2">
      <c r="DY5591" s="185" t="s">
        <v>215</v>
      </c>
    </row>
    <row r="5592" spans="129:129" x14ac:dyDescent="0.2">
      <c r="DY5592" s="185" t="s">
        <v>215</v>
      </c>
    </row>
    <row r="5593" spans="129:129" x14ac:dyDescent="0.2">
      <c r="DY5593" s="185" t="s">
        <v>215</v>
      </c>
    </row>
    <row r="5594" spans="129:129" x14ac:dyDescent="0.2">
      <c r="DY5594" s="185" t="s">
        <v>215</v>
      </c>
    </row>
    <row r="5595" spans="129:129" x14ac:dyDescent="0.2">
      <c r="DY5595" s="185" t="s">
        <v>215</v>
      </c>
    </row>
    <row r="5596" spans="129:129" x14ac:dyDescent="0.2">
      <c r="DY5596" s="185" t="s">
        <v>215</v>
      </c>
    </row>
    <row r="5597" spans="129:129" x14ac:dyDescent="0.2">
      <c r="DY5597" s="185" t="s">
        <v>215</v>
      </c>
    </row>
    <row r="5598" spans="129:129" x14ac:dyDescent="0.2">
      <c r="DY5598" s="185" t="s">
        <v>215</v>
      </c>
    </row>
    <row r="5599" spans="129:129" x14ac:dyDescent="0.2">
      <c r="DY5599" s="185" t="s">
        <v>215</v>
      </c>
    </row>
    <row r="5600" spans="129:129" x14ac:dyDescent="0.2">
      <c r="DY5600" s="185" t="s">
        <v>215</v>
      </c>
    </row>
    <row r="5601" spans="129:129" x14ac:dyDescent="0.2">
      <c r="DY5601" s="185" t="s">
        <v>215</v>
      </c>
    </row>
    <row r="5602" spans="129:129" x14ac:dyDescent="0.2">
      <c r="DY5602" s="185" t="s">
        <v>215</v>
      </c>
    </row>
    <row r="5603" spans="129:129" x14ac:dyDescent="0.2">
      <c r="DY5603" s="185" t="s">
        <v>215</v>
      </c>
    </row>
    <row r="5604" spans="129:129" x14ac:dyDescent="0.2">
      <c r="DY5604" s="185" t="s">
        <v>215</v>
      </c>
    </row>
    <row r="5605" spans="129:129" x14ac:dyDescent="0.2">
      <c r="DY5605" s="185" t="s">
        <v>215</v>
      </c>
    </row>
    <row r="5606" spans="129:129" x14ac:dyDescent="0.2">
      <c r="DY5606" s="185" t="s">
        <v>215</v>
      </c>
    </row>
    <row r="5607" spans="129:129" x14ac:dyDescent="0.2">
      <c r="DY5607" s="185" t="s">
        <v>215</v>
      </c>
    </row>
    <row r="5608" spans="129:129" x14ac:dyDescent="0.2">
      <c r="DY5608" s="185" t="s">
        <v>215</v>
      </c>
    </row>
    <row r="5609" spans="129:129" x14ac:dyDescent="0.2">
      <c r="DY5609" s="185" t="s">
        <v>215</v>
      </c>
    </row>
    <row r="5610" spans="129:129" x14ac:dyDescent="0.2">
      <c r="DY5610" s="185" t="s">
        <v>215</v>
      </c>
    </row>
    <row r="5611" spans="129:129" x14ac:dyDescent="0.2">
      <c r="DY5611" s="185" t="s">
        <v>215</v>
      </c>
    </row>
    <row r="5612" spans="129:129" x14ac:dyDescent="0.2">
      <c r="DY5612" s="185" t="s">
        <v>215</v>
      </c>
    </row>
    <row r="5613" spans="129:129" x14ac:dyDescent="0.2">
      <c r="DY5613" s="185" t="s">
        <v>215</v>
      </c>
    </row>
    <row r="5614" spans="129:129" x14ac:dyDescent="0.2">
      <c r="DY5614" s="185" t="s">
        <v>215</v>
      </c>
    </row>
    <row r="5615" spans="129:129" x14ac:dyDescent="0.2">
      <c r="DY5615" s="185" t="s">
        <v>215</v>
      </c>
    </row>
    <row r="5616" spans="129:129" x14ac:dyDescent="0.2">
      <c r="DY5616" s="185" t="s">
        <v>215</v>
      </c>
    </row>
    <row r="5617" spans="129:129" x14ac:dyDescent="0.2">
      <c r="DY5617" s="185" t="s">
        <v>215</v>
      </c>
    </row>
    <row r="5618" spans="129:129" x14ac:dyDescent="0.2">
      <c r="DY5618" s="185" t="s">
        <v>215</v>
      </c>
    </row>
    <row r="5619" spans="129:129" x14ac:dyDescent="0.2">
      <c r="DY5619" s="185" t="s">
        <v>215</v>
      </c>
    </row>
    <row r="5620" spans="129:129" x14ac:dyDescent="0.2">
      <c r="DY5620" s="185" t="s">
        <v>215</v>
      </c>
    </row>
    <row r="5621" spans="129:129" x14ac:dyDescent="0.2">
      <c r="DY5621" s="185" t="s">
        <v>215</v>
      </c>
    </row>
    <row r="5622" spans="129:129" x14ac:dyDescent="0.2">
      <c r="DY5622" s="185" t="s">
        <v>215</v>
      </c>
    </row>
    <row r="5623" spans="129:129" x14ac:dyDescent="0.2">
      <c r="DY5623" s="185" t="s">
        <v>215</v>
      </c>
    </row>
    <row r="5624" spans="129:129" x14ac:dyDescent="0.2">
      <c r="DY5624" s="185" t="s">
        <v>215</v>
      </c>
    </row>
    <row r="5625" spans="129:129" x14ac:dyDescent="0.2">
      <c r="DY5625" s="185" t="s">
        <v>215</v>
      </c>
    </row>
    <row r="5626" spans="129:129" x14ac:dyDescent="0.2">
      <c r="DY5626" s="185" t="s">
        <v>215</v>
      </c>
    </row>
    <row r="5627" spans="129:129" x14ac:dyDescent="0.2">
      <c r="DY5627" s="185" t="s">
        <v>215</v>
      </c>
    </row>
    <row r="5628" spans="129:129" x14ac:dyDescent="0.2">
      <c r="DY5628" s="185" t="s">
        <v>215</v>
      </c>
    </row>
    <row r="5629" spans="129:129" x14ac:dyDescent="0.2">
      <c r="DY5629" s="185" t="s">
        <v>215</v>
      </c>
    </row>
    <row r="5630" spans="129:129" x14ac:dyDescent="0.2">
      <c r="DY5630" s="185" t="s">
        <v>215</v>
      </c>
    </row>
    <row r="5631" spans="129:129" x14ac:dyDescent="0.2">
      <c r="DY5631" s="185" t="s">
        <v>215</v>
      </c>
    </row>
    <row r="5632" spans="129:129" x14ac:dyDescent="0.2">
      <c r="DY5632" s="185" t="s">
        <v>215</v>
      </c>
    </row>
    <row r="5633" spans="129:129" x14ac:dyDescent="0.2">
      <c r="DY5633" s="185" t="s">
        <v>215</v>
      </c>
    </row>
    <row r="5634" spans="129:129" x14ac:dyDescent="0.2">
      <c r="DY5634" s="185" t="s">
        <v>215</v>
      </c>
    </row>
    <row r="5635" spans="129:129" x14ac:dyDescent="0.2">
      <c r="DY5635" s="185" t="s">
        <v>215</v>
      </c>
    </row>
    <row r="5636" spans="129:129" x14ac:dyDescent="0.2">
      <c r="DY5636" s="185" t="s">
        <v>215</v>
      </c>
    </row>
    <row r="5637" spans="129:129" x14ac:dyDescent="0.2">
      <c r="DY5637" s="185" t="s">
        <v>215</v>
      </c>
    </row>
    <row r="5638" spans="129:129" x14ac:dyDescent="0.2">
      <c r="DY5638" s="185" t="s">
        <v>215</v>
      </c>
    </row>
    <row r="5639" spans="129:129" x14ac:dyDescent="0.2">
      <c r="DY5639" s="185" t="s">
        <v>215</v>
      </c>
    </row>
    <row r="5640" spans="129:129" x14ac:dyDescent="0.2">
      <c r="DY5640" s="185" t="s">
        <v>215</v>
      </c>
    </row>
    <row r="5641" spans="129:129" x14ac:dyDescent="0.2">
      <c r="DY5641" s="185" t="s">
        <v>215</v>
      </c>
    </row>
    <row r="5642" spans="129:129" x14ac:dyDescent="0.2">
      <c r="DY5642" s="185" t="s">
        <v>215</v>
      </c>
    </row>
    <row r="5643" spans="129:129" x14ac:dyDescent="0.2">
      <c r="DY5643" s="185" t="s">
        <v>215</v>
      </c>
    </row>
    <row r="5644" spans="129:129" x14ac:dyDescent="0.2">
      <c r="DY5644" s="185" t="s">
        <v>215</v>
      </c>
    </row>
    <row r="5645" spans="129:129" x14ac:dyDescent="0.2">
      <c r="DY5645" s="185" t="s">
        <v>215</v>
      </c>
    </row>
    <row r="5646" spans="129:129" x14ac:dyDescent="0.2">
      <c r="DY5646" s="185" t="s">
        <v>215</v>
      </c>
    </row>
    <row r="5647" spans="129:129" x14ac:dyDescent="0.2">
      <c r="DY5647" s="185" t="s">
        <v>215</v>
      </c>
    </row>
    <row r="5648" spans="129:129" x14ac:dyDescent="0.2">
      <c r="DY5648" s="185" t="s">
        <v>215</v>
      </c>
    </row>
    <row r="5649" spans="129:129" x14ac:dyDescent="0.2">
      <c r="DY5649" s="185" t="s">
        <v>215</v>
      </c>
    </row>
    <row r="5650" spans="129:129" x14ac:dyDescent="0.2">
      <c r="DY5650" s="185" t="s">
        <v>215</v>
      </c>
    </row>
    <row r="5651" spans="129:129" x14ac:dyDescent="0.2">
      <c r="DY5651" s="185" t="s">
        <v>215</v>
      </c>
    </row>
    <row r="5652" spans="129:129" x14ac:dyDescent="0.2">
      <c r="DY5652" s="185" t="s">
        <v>215</v>
      </c>
    </row>
    <row r="5653" spans="129:129" x14ac:dyDescent="0.2">
      <c r="DY5653" s="185" t="s">
        <v>215</v>
      </c>
    </row>
    <row r="5654" spans="129:129" x14ac:dyDescent="0.2">
      <c r="DY5654" s="185" t="s">
        <v>215</v>
      </c>
    </row>
    <row r="5655" spans="129:129" x14ac:dyDescent="0.2">
      <c r="DY5655" s="185" t="s">
        <v>215</v>
      </c>
    </row>
    <row r="5656" spans="129:129" x14ac:dyDescent="0.2">
      <c r="DY5656" s="185" t="s">
        <v>215</v>
      </c>
    </row>
    <row r="5657" spans="129:129" x14ac:dyDescent="0.2">
      <c r="DY5657" s="185" t="s">
        <v>215</v>
      </c>
    </row>
    <row r="5658" spans="129:129" x14ac:dyDescent="0.2">
      <c r="DY5658" s="185" t="s">
        <v>215</v>
      </c>
    </row>
    <row r="5659" spans="129:129" x14ac:dyDescent="0.2">
      <c r="DY5659" s="185" t="s">
        <v>215</v>
      </c>
    </row>
    <row r="5660" spans="129:129" x14ac:dyDescent="0.2">
      <c r="DY5660" s="185" t="s">
        <v>215</v>
      </c>
    </row>
    <row r="5661" spans="129:129" x14ac:dyDescent="0.2">
      <c r="DY5661" s="185" t="s">
        <v>215</v>
      </c>
    </row>
    <row r="5662" spans="129:129" x14ac:dyDescent="0.2">
      <c r="DY5662" s="185" t="s">
        <v>215</v>
      </c>
    </row>
    <row r="5663" spans="129:129" x14ac:dyDescent="0.2">
      <c r="DY5663" s="185" t="s">
        <v>215</v>
      </c>
    </row>
    <row r="5664" spans="129:129" x14ac:dyDescent="0.2">
      <c r="DY5664" s="185" t="s">
        <v>215</v>
      </c>
    </row>
    <row r="5665" spans="129:129" x14ac:dyDescent="0.2">
      <c r="DY5665" s="185" t="s">
        <v>215</v>
      </c>
    </row>
    <row r="5666" spans="129:129" x14ac:dyDescent="0.2">
      <c r="DY5666" s="185" t="s">
        <v>215</v>
      </c>
    </row>
    <row r="5667" spans="129:129" x14ac:dyDescent="0.2">
      <c r="DY5667" s="185" t="s">
        <v>215</v>
      </c>
    </row>
    <row r="5668" spans="129:129" x14ac:dyDescent="0.2">
      <c r="DY5668" s="185" t="s">
        <v>215</v>
      </c>
    </row>
    <row r="5669" spans="129:129" x14ac:dyDescent="0.2">
      <c r="DY5669" s="185" t="s">
        <v>215</v>
      </c>
    </row>
    <row r="5670" spans="129:129" x14ac:dyDescent="0.2">
      <c r="DY5670" s="185" t="s">
        <v>215</v>
      </c>
    </row>
    <row r="5671" spans="129:129" x14ac:dyDescent="0.2">
      <c r="DY5671" s="185" t="s">
        <v>215</v>
      </c>
    </row>
    <row r="5672" spans="129:129" x14ac:dyDescent="0.2">
      <c r="DY5672" s="185" t="s">
        <v>215</v>
      </c>
    </row>
    <row r="5673" spans="129:129" x14ac:dyDescent="0.2">
      <c r="DY5673" s="185" t="s">
        <v>215</v>
      </c>
    </row>
    <row r="5674" spans="129:129" x14ac:dyDescent="0.2">
      <c r="DY5674" s="185" t="s">
        <v>215</v>
      </c>
    </row>
    <row r="5675" spans="129:129" x14ac:dyDescent="0.2">
      <c r="DY5675" s="185" t="s">
        <v>215</v>
      </c>
    </row>
    <row r="5676" spans="129:129" x14ac:dyDescent="0.2">
      <c r="DY5676" s="185" t="s">
        <v>215</v>
      </c>
    </row>
    <row r="5677" spans="129:129" x14ac:dyDescent="0.2">
      <c r="DY5677" s="185" t="s">
        <v>215</v>
      </c>
    </row>
    <row r="5678" spans="129:129" x14ac:dyDescent="0.2">
      <c r="DY5678" s="185" t="s">
        <v>215</v>
      </c>
    </row>
    <row r="5679" spans="129:129" x14ac:dyDescent="0.2">
      <c r="DY5679" s="185" t="s">
        <v>215</v>
      </c>
    </row>
    <row r="5680" spans="129:129" x14ac:dyDescent="0.2">
      <c r="DY5680" s="185" t="s">
        <v>215</v>
      </c>
    </row>
    <row r="5681" spans="129:129" x14ac:dyDescent="0.2">
      <c r="DY5681" s="185" t="s">
        <v>215</v>
      </c>
    </row>
    <row r="5682" spans="129:129" x14ac:dyDescent="0.2">
      <c r="DY5682" s="185" t="s">
        <v>215</v>
      </c>
    </row>
    <row r="5683" spans="129:129" x14ac:dyDescent="0.2">
      <c r="DY5683" s="185" t="s">
        <v>215</v>
      </c>
    </row>
    <row r="5684" spans="129:129" x14ac:dyDescent="0.2">
      <c r="DY5684" s="185" t="s">
        <v>215</v>
      </c>
    </row>
    <row r="5685" spans="129:129" x14ac:dyDescent="0.2">
      <c r="DY5685" s="185" t="s">
        <v>215</v>
      </c>
    </row>
    <row r="5686" spans="129:129" x14ac:dyDescent="0.2">
      <c r="DY5686" s="185" t="s">
        <v>215</v>
      </c>
    </row>
    <row r="5687" spans="129:129" x14ac:dyDescent="0.2">
      <c r="DY5687" s="185" t="s">
        <v>215</v>
      </c>
    </row>
    <row r="5688" spans="129:129" x14ac:dyDescent="0.2">
      <c r="DY5688" s="185" t="s">
        <v>215</v>
      </c>
    </row>
    <row r="5689" spans="129:129" x14ac:dyDescent="0.2">
      <c r="DY5689" s="185" t="s">
        <v>215</v>
      </c>
    </row>
    <row r="5690" spans="129:129" x14ac:dyDescent="0.2">
      <c r="DY5690" s="185" t="s">
        <v>215</v>
      </c>
    </row>
    <row r="5691" spans="129:129" x14ac:dyDescent="0.2">
      <c r="DY5691" s="185" t="s">
        <v>215</v>
      </c>
    </row>
    <row r="5692" spans="129:129" x14ac:dyDescent="0.2">
      <c r="DY5692" s="185" t="s">
        <v>215</v>
      </c>
    </row>
    <row r="5693" spans="129:129" x14ac:dyDescent="0.2">
      <c r="DY5693" s="185" t="s">
        <v>215</v>
      </c>
    </row>
    <row r="5694" spans="129:129" x14ac:dyDescent="0.2">
      <c r="DY5694" s="185" t="s">
        <v>215</v>
      </c>
    </row>
    <row r="5695" spans="129:129" x14ac:dyDescent="0.2">
      <c r="DY5695" s="185" t="s">
        <v>215</v>
      </c>
    </row>
    <row r="5696" spans="129:129" x14ac:dyDescent="0.2">
      <c r="DY5696" s="185" t="s">
        <v>215</v>
      </c>
    </row>
    <row r="5697" spans="129:129" x14ac:dyDescent="0.2">
      <c r="DY5697" s="185" t="s">
        <v>215</v>
      </c>
    </row>
    <row r="5698" spans="129:129" x14ac:dyDescent="0.2">
      <c r="DY5698" s="185" t="s">
        <v>215</v>
      </c>
    </row>
    <row r="5699" spans="129:129" x14ac:dyDescent="0.2">
      <c r="DY5699" s="185" t="s">
        <v>215</v>
      </c>
    </row>
    <row r="5700" spans="129:129" x14ac:dyDescent="0.2">
      <c r="DY5700" s="185" t="s">
        <v>215</v>
      </c>
    </row>
    <row r="5701" spans="129:129" x14ac:dyDescent="0.2">
      <c r="DY5701" s="185" t="s">
        <v>215</v>
      </c>
    </row>
    <row r="5702" spans="129:129" x14ac:dyDescent="0.2">
      <c r="DY5702" s="185" t="s">
        <v>215</v>
      </c>
    </row>
    <row r="5703" spans="129:129" x14ac:dyDescent="0.2">
      <c r="DY5703" s="185" t="s">
        <v>215</v>
      </c>
    </row>
    <row r="5704" spans="129:129" x14ac:dyDescent="0.2">
      <c r="DY5704" s="185" t="s">
        <v>215</v>
      </c>
    </row>
    <row r="5705" spans="129:129" x14ac:dyDescent="0.2">
      <c r="DY5705" s="185" t="s">
        <v>215</v>
      </c>
    </row>
    <row r="5706" spans="129:129" x14ac:dyDescent="0.2">
      <c r="DY5706" s="185" t="s">
        <v>215</v>
      </c>
    </row>
    <row r="5707" spans="129:129" x14ac:dyDescent="0.2">
      <c r="DY5707" s="185" t="s">
        <v>215</v>
      </c>
    </row>
    <row r="5708" spans="129:129" x14ac:dyDescent="0.2">
      <c r="DY5708" s="185" t="s">
        <v>215</v>
      </c>
    </row>
    <row r="5709" spans="129:129" x14ac:dyDescent="0.2">
      <c r="DY5709" s="185" t="s">
        <v>215</v>
      </c>
    </row>
    <row r="5710" spans="129:129" x14ac:dyDescent="0.2">
      <c r="DY5710" s="185" t="s">
        <v>215</v>
      </c>
    </row>
    <row r="5711" spans="129:129" x14ac:dyDescent="0.2">
      <c r="DY5711" s="185" t="s">
        <v>215</v>
      </c>
    </row>
    <row r="5712" spans="129:129" x14ac:dyDescent="0.2">
      <c r="DY5712" s="185" t="s">
        <v>215</v>
      </c>
    </row>
    <row r="5713" spans="129:129" x14ac:dyDescent="0.2">
      <c r="DY5713" s="185" t="s">
        <v>215</v>
      </c>
    </row>
    <row r="5714" spans="129:129" x14ac:dyDescent="0.2">
      <c r="DY5714" s="185" t="s">
        <v>215</v>
      </c>
    </row>
    <row r="5715" spans="129:129" x14ac:dyDescent="0.2">
      <c r="DY5715" s="185" t="s">
        <v>215</v>
      </c>
    </row>
    <row r="5716" spans="129:129" x14ac:dyDescent="0.2">
      <c r="DY5716" s="185" t="s">
        <v>215</v>
      </c>
    </row>
    <row r="5717" spans="129:129" x14ac:dyDescent="0.2">
      <c r="DY5717" s="185" t="s">
        <v>215</v>
      </c>
    </row>
    <row r="5718" spans="129:129" x14ac:dyDescent="0.2">
      <c r="DY5718" s="185" t="s">
        <v>215</v>
      </c>
    </row>
    <row r="5719" spans="129:129" x14ac:dyDescent="0.2">
      <c r="DY5719" s="185" t="s">
        <v>215</v>
      </c>
    </row>
    <row r="5720" spans="129:129" x14ac:dyDescent="0.2">
      <c r="DY5720" s="185" t="s">
        <v>215</v>
      </c>
    </row>
    <row r="5721" spans="129:129" x14ac:dyDescent="0.2">
      <c r="DY5721" s="185" t="s">
        <v>215</v>
      </c>
    </row>
    <row r="5722" spans="129:129" x14ac:dyDescent="0.2">
      <c r="DY5722" s="185" t="s">
        <v>215</v>
      </c>
    </row>
    <row r="5723" spans="129:129" x14ac:dyDescent="0.2">
      <c r="DY5723" s="185" t="s">
        <v>215</v>
      </c>
    </row>
    <row r="5724" spans="129:129" x14ac:dyDescent="0.2">
      <c r="DY5724" s="185" t="s">
        <v>215</v>
      </c>
    </row>
    <row r="5725" spans="129:129" x14ac:dyDescent="0.2">
      <c r="DY5725" s="185" t="s">
        <v>215</v>
      </c>
    </row>
    <row r="5726" spans="129:129" x14ac:dyDescent="0.2">
      <c r="DY5726" s="185" t="s">
        <v>215</v>
      </c>
    </row>
    <row r="5727" spans="129:129" x14ac:dyDescent="0.2">
      <c r="DY5727" s="185" t="s">
        <v>215</v>
      </c>
    </row>
    <row r="5728" spans="129:129" x14ac:dyDescent="0.2">
      <c r="DY5728" s="185" t="s">
        <v>215</v>
      </c>
    </row>
    <row r="5729" spans="129:129" x14ac:dyDescent="0.2">
      <c r="DY5729" s="185" t="s">
        <v>215</v>
      </c>
    </row>
    <row r="5730" spans="129:129" x14ac:dyDescent="0.2">
      <c r="DY5730" s="185" t="s">
        <v>215</v>
      </c>
    </row>
    <row r="5731" spans="129:129" x14ac:dyDescent="0.2">
      <c r="DY5731" s="185" t="s">
        <v>215</v>
      </c>
    </row>
    <row r="5732" spans="129:129" x14ac:dyDescent="0.2">
      <c r="DY5732" s="185" t="s">
        <v>215</v>
      </c>
    </row>
    <row r="5733" spans="129:129" x14ac:dyDescent="0.2">
      <c r="DY5733" s="185" t="s">
        <v>215</v>
      </c>
    </row>
    <row r="5734" spans="129:129" x14ac:dyDescent="0.2">
      <c r="DY5734" s="185" t="s">
        <v>215</v>
      </c>
    </row>
    <row r="5735" spans="129:129" x14ac:dyDescent="0.2">
      <c r="DY5735" s="185" t="s">
        <v>215</v>
      </c>
    </row>
    <row r="5736" spans="129:129" x14ac:dyDescent="0.2">
      <c r="DY5736" s="185" t="s">
        <v>215</v>
      </c>
    </row>
    <row r="5737" spans="129:129" x14ac:dyDescent="0.2">
      <c r="DY5737" s="185" t="s">
        <v>215</v>
      </c>
    </row>
    <row r="5738" spans="129:129" x14ac:dyDescent="0.2">
      <c r="DY5738" s="185" t="s">
        <v>215</v>
      </c>
    </row>
    <row r="5739" spans="129:129" x14ac:dyDescent="0.2">
      <c r="DY5739" s="185" t="s">
        <v>215</v>
      </c>
    </row>
    <row r="5740" spans="129:129" x14ac:dyDescent="0.2">
      <c r="DY5740" s="185" t="s">
        <v>215</v>
      </c>
    </row>
    <row r="5741" spans="129:129" x14ac:dyDescent="0.2">
      <c r="DY5741" s="185" t="s">
        <v>215</v>
      </c>
    </row>
    <row r="5742" spans="129:129" x14ac:dyDescent="0.2">
      <c r="DY5742" s="185" t="s">
        <v>215</v>
      </c>
    </row>
    <row r="5743" spans="129:129" x14ac:dyDescent="0.2">
      <c r="DY5743" s="185" t="s">
        <v>215</v>
      </c>
    </row>
    <row r="5744" spans="129:129" x14ac:dyDescent="0.2">
      <c r="DY5744" s="185" t="s">
        <v>215</v>
      </c>
    </row>
    <row r="5745" spans="129:129" x14ac:dyDescent="0.2">
      <c r="DY5745" s="185" t="s">
        <v>215</v>
      </c>
    </row>
    <row r="5746" spans="129:129" x14ac:dyDescent="0.2">
      <c r="DY5746" s="185" t="s">
        <v>215</v>
      </c>
    </row>
    <row r="5747" spans="129:129" x14ac:dyDescent="0.2">
      <c r="DY5747" s="185" t="s">
        <v>215</v>
      </c>
    </row>
    <row r="5748" spans="129:129" x14ac:dyDescent="0.2">
      <c r="DY5748" s="185" t="s">
        <v>215</v>
      </c>
    </row>
    <row r="5749" spans="129:129" x14ac:dyDescent="0.2">
      <c r="DY5749" s="185" t="s">
        <v>215</v>
      </c>
    </row>
    <row r="5750" spans="129:129" x14ac:dyDescent="0.2">
      <c r="DY5750" s="185" t="s">
        <v>215</v>
      </c>
    </row>
    <row r="5751" spans="129:129" x14ac:dyDescent="0.2">
      <c r="DY5751" s="185" t="s">
        <v>215</v>
      </c>
    </row>
    <row r="5752" spans="129:129" x14ac:dyDescent="0.2">
      <c r="DY5752" s="185" t="s">
        <v>215</v>
      </c>
    </row>
    <row r="5753" spans="129:129" x14ac:dyDescent="0.2">
      <c r="DY5753" s="185" t="s">
        <v>215</v>
      </c>
    </row>
    <row r="5754" spans="129:129" x14ac:dyDescent="0.2">
      <c r="DY5754" s="185" t="s">
        <v>215</v>
      </c>
    </row>
    <row r="5755" spans="129:129" x14ac:dyDescent="0.2">
      <c r="DY5755" s="185" t="s">
        <v>215</v>
      </c>
    </row>
    <row r="5756" spans="129:129" x14ac:dyDescent="0.2">
      <c r="DY5756" s="185" t="s">
        <v>215</v>
      </c>
    </row>
    <row r="5757" spans="129:129" x14ac:dyDescent="0.2">
      <c r="DY5757" s="185" t="s">
        <v>215</v>
      </c>
    </row>
    <row r="5758" spans="129:129" x14ac:dyDescent="0.2">
      <c r="DY5758" s="185" t="s">
        <v>215</v>
      </c>
    </row>
    <row r="5759" spans="129:129" x14ac:dyDescent="0.2">
      <c r="DY5759" s="185" t="s">
        <v>215</v>
      </c>
    </row>
    <row r="5760" spans="129:129" x14ac:dyDescent="0.2">
      <c r="DY5760" s="185" t="s">
        <v>215</v>
      </c>
    </row>
    <row r="5761" spans="129:129" x14ac:dyDescent="0.2">
      <c r="DY5761" s="185" t="s">
        <v>215</v>
      </c>
    </row>
    <row r="5762" spans="129:129" x14ac:dyDescent="0.2">
      <c r="DY5762" s="185" t="s">
        <v>215</v>
      </c>
    </row>
    <row r="5763" spans="129:129" x14ac:dyDescent="0.2">
      <c r="DY5763" s="185" t="s">
        <v>215</v>
      </c>
    </row>
    <row r="5764" spans="129:129" x14ac:dyDescent="0.2">
      <c r="DY5764" s="185" t="s">
        <v>215</v>
      </c>
    </row>
    <row r="5765" spans="129:129" x14ac:dyDescent="0.2">
      <c r="DY5765" s="185" t="s">
        <v>215</v>
      </c>
    </row>
    <row r="5766" spans="129:129" x14ac:dyDescent="0.2">
      <c r="DY5766" s="185" t="s">
        <v>215</v>
      </c>
    </row>
    <row r="5767" spans="129:129" x14ac:dyDescent="0.2">
      <c r="DY5767" s="185" t="s">
        <v>215</v>
      </c>
    </row>
    <row r="5768" spans="129:129" x14ac:dyDescent="0.2">
      <c r="DY5768" s="185" t="s">
        <v>215</v>
      </c>
    </row>
    <row r="5769" spans="129:129" x14ac:dyDescent="0.2">
      <c r="DY5769" s="185" t="s">
        <v>215</v>
      </c>
    </row>
    <row r="5770" spans="129:129" x14ac:dyDescent="0.2">
      <c r="DY5770" s="185" t="s">
        <v>215</v>
      </c>
    </row>
    <row r="5771" spans="129:129" x14ac:dyDescent="0.2">
      <c r="DY5771" s="185" t="s">
        <v>215</v>
      </c>
    </row>
    <row r="5772" spans="129:129" x14ac:dyDescent="0.2">
      <c r="DY5772" s="185" t="s">
        <v>215</v>
      </c>
    </row>
    <row r="5773" spans="129:129" x14ac:dyDescent="0.2">
      <c r="DY5773" s="185" t="s">
        <v>215</v>
      </c>
    </row>
    <row r="5774" spans="129:129" x14ac:dyDescent="0.2">
      <c r="DY5774" s="185" t="s">
        <v>215</v>
      </c>
    </row>
    <row r="5775" spans="129:129" x14ac:dyDescent="0.2">
      <c r="DY5775" s="185" t="s">
        <v>215</v>
      </c>
    </row>
    <row r="5776" spans="129:129" x14ac:dyDescent="0.2">
      <c r="DY5776" s="185" t="s">
        <v>215</v>
      </c>
    </row>
    <row r="5777" spans="129:129" x14ac:dyDescent="0.2">
      <c r="DY5777" s="185" t="s">
        <v>215</v>
      </c>
    </row>
    <row r="5778" spans="129:129" x14ac:dyDescent="0.2">
      <c r="DY5778" s="185" t="s">
        <v>215</v>
      </c>
    </row>
    <row r="5779" spans="129:129" x14ac:dyDescent="0.2">
      <c r="DY5779" s="185" t="s">
        <v>215</v>
      </c>
    </row>
    <row r="5780" spans="129:129" x14ac:dyDescent="0.2">
      <c r="DY5780" s="185" t="s">
        <v>215</v>
      </c>
    </row>
    <row r="5781" spans="129:129" x14ac:dyDescent="0.2">
      <c r="DY5781" s="185" t="s">
        <v>215</v>
      </c>
    </row>
    <row r="5782" spans="129:129" x14ac:dyDescent="0.2">
      <c r="DY5782" s="185" t="s">
        <v>215</v>
      </c>
    </row>
    <row r="5783" spans="129:129" x14ac:dyDescent="0.2">
      <c r="DY5783" s="185" t="s">
        <v>215</v>
      </c>
    </row>
    <row r="5784" spans="129:129" x14ac:dyDescent="0.2">
      <c r="DY5784" s="185" t="s">
        <v>215</v>
      </c>
    </row>
    <row r="5785" spans="129:129" x14ac:dyDescent="0.2">
      <c r="DY5785" s="185" t="s">
        <v>215</v>
      </c>
    </row>
    <row r="5786" spans="129:129" x14ac:dyDescent="0.2">
      <c r="DY5786" s="185" t="s">
        <v>215</v>
      </c>
    </row>
    <row r="5787" spans="129:129" x14ac:dyDescent="0.2">
      <c r="DY5787" s="185" t="s">
        <v>215</v>
      </c>
    </row>
    <row r="5788" spans="129:129" x14ac:dyDescent="0.2">
      <c r="DY5788" s="185" t="s">
        <v>215</v>
      </c>
    </row>
    <row r="5789" spans="129:129" x14ac:dyDescent="0.2">
      <c r="DY5789" s="185" t="s">
        <v>215</v>
      </c>
    </row>
    <row r="5790" spans="129:129" x14ac:dyDescent="0.2">
      <c r="DY5790" s="185" t="s">
        <v>215</v>
      </c>
    </row>
    <row r="5791" spans="129:129" x14ac:dyDescent="0.2">
      <c r="DY5791" s="185" t="s">
        <v>215</v>
      </c>
    </row>
    <row r="5792" spans="129:129" x14ac:dyDescent="0.2">
      <c r="DY5792" s="185" t="s">
        <v>215</v>
      </c>
    </row>
    <row r="5793" spans="129:129" x14ac:dyDescent="0.2">
      <c r="DY5793" s="185" t="s">
        <v>215</v>
      </c>
    </row>
    <row r="5794" spans="129:129" x14ac:dyDescent="0.2">
      <c r="DY5794" s="185" t="s">
        <v>215</v>
      </c>
    </row>
    <row r="5795" spans="129:129" x14ac:dyDescent="0.2">
      <c r="DY5795" s="185" t="s">
        <v>215</v>
      </c>
    </row>
    <row r="5796" spans="129:129" x14ac:dyDescent="0.2">
      <c r="DY5796" s="185" t="s">
        <v>215</v>
      </c>
    </row>
    <row r="5797" spans="129:129" x14ac:dyDescent="0.2">
      <c r="DY5797" s="185" t="s">
        <v>215</v>
      </c>
    </row>
    <row r="5798" spans="129:129" x14ac:dyDescent="0.2">
      <c r="DY5798" s="185" t="s">
        <v>215</v>
      </c>
    </row>
    <row r="5799" spans="129:129" x14ac:dyDescent="0.2">
      <c r="DY5799" s="185" t="s">
        <v>215</v>
      </c>
    </row>
    <row r="5800" spans="129:129" x14ac:dyDescent="0.2">
      <c r="DY5800" s="185" t="s">
        <v>215</v>
      </c>
    </row>
    <row r="5801" spans="129:129" x14ac:dyDescent="0.2">
      <c r="DY5801" s="185" t="s">
        <v>215</v>
      </c>
    </row>
    <row r="5802" spans="129:129" x14ac:dyDescent="0.2">
      <c r="DY5802" s="185" t="s">
        <v>215</v>
      </c>
    </row>
    <row r="5803" spans="129:129" x14ac:dyDescent="0.2">
      <c r="DY5803" s="185" t="s">
        <v>215</v>
      </c>
    </row>
    <row r="5804" spans="129:129" x14ac:dyDescent="0.2">
      <c r="DY5804" s="185" t="s">
        <v>215</v>
      </c>
    </row>
    <row r="5805" spans="129:129" x14ac:dyDescent="0.2">
      <c r="DY5805" s="185" t="s">
        <v>215</v>
      </c>
    </row>
    <row r="5806" spans="129:129" x14ac:dyDescent="0.2">
      <c r="DY5806" s="185" t="s">
        <v>215</v>
      </c>
    </row>
    <row r="5807" spans="129:129" x14ac:dyDescent="0.2">
      <c r="DY5807" s="185" t="s">
        <v>215</v>
      </c>
    </row>
    <row r="5808" spans="129:129" x14ac:dyDescent="0.2">
      <c r="DY5808" s="185" t="s">
        <v>215</v>
      </c>
    </row>
    <row r="5809" spans="129:129" x14ac:dyDescent="0.2">
      <c r="DY5809" s="185" t="s">
        <v>215</v>
      </c>
    </row>
    <row r="5810" spans="129:129" x14ac:dyDescent="0.2">
      <c r="DY5810" s="185" t="s">
        <v>215</v>
      </c>
    </row>
    <row r="5811" spans="129:129" x14ac:dyDescent="0.2">
      <c r="DY5811" s="185" t="s">
        <v>215</v>
      </c>
    </row>
    <row r="5812" spans="129:129" x14ac:dyDescent="0.2">
      <c r="DY5812" s="185" t="s">
        <v>215</v>
      </c>
    </row>
    <row r="5813" spans="129:129" x14ac:dyDescent="0.2">
      <c r="DY5813" s="185" t="s">
        <v>215</v>
      </c>
    </row>
    <row r="5814" spans="129:129" x14ac:dyDescent="0.2">
      <c r="DY5814" s="185" t="s">
        <v>215</v>
      </c>
    </row>
    <row r="5815" spans="129:129" x14ac:dyDescent="0.2">
      <c r="DY5815" s="185" t="s">
        <v>215</v>
      </c>
    </row>
    <row r="5816" spans="129:129" x14ac:dyDescent="0.2">
      <c r="DY5816" s="185" t="s">
        <v>215</v>
      </c>
    </row>
    <row r="5817" spans="129:129" x14ac:dyDescent="0.2">
      <c r="DY5817" s="185" t="s">
        <v>215</v>
      </c>
    </row>
    <row r="5818" spans="129:129" x14ac:dyDescent="0.2">
      <c r="DY5818" s="185" t="s">
        <v>215</v>
      </c>
    </row>
    <row r="5819" spans="129:129" x14ac:dyDescent="0.2">
      <c r="DY5819" s="185" t="s">
        <v>215</v>
      </c>
    </row>
    <row r="5820" spans="129:129" x14ac:dyDescent="0.2">
      <c r="DY5820" s="185" t="s">
        <v>215</v>
      </c>
    </row>
    <row r="5821" spans="129:129" x14ac:dyDescent="0.2">
      <c r="DY5821" s="185" t="s">
        <v>215</v>
      </c>
    </row>
    <row r="5822" spans="129:129" x14ac:dyDescent="0.2">
      <c r="DY5822" s="185" t="s">
        <v>215</v>
      </c>
    </row>
    <row r="5823" spans="129:129" x14ac:dyDescent="0.2">
      <c r="DY5823" s="185" t="s">
        <v>215</v>
      </c>
    </row>
    <row r="5824" spans="129:129" x14ac:dyDescent="0.2">
      <c r="DY5824" s="185" t="s">
        <v>215</v>
      </c>
    </row>
    <row r="5825" spans="129:129" x14ac:dyDescent="0.2">
      <c r="DY5825" s="185" t="s">
        <v>215</v>
      </c>
    </row>
    <row r="5826" spans="129:129" x14ac:dyDescent="0.2">
      <c r="DY5826" s="185" t="s">
        <v>215</v>
      </c>
    </row>
    <row r="5827" spans="129:129" x14ac:dyDescent="0.2">
      <c r="DY5827" s="185" t="s">
        <v>215</v>
      </c>
    </row>
    <row r="5828" spans="129:129" x14ac:dyDescent="0.2">
      <c r="DY5828" s="185" t="s">
        <v>215</v>
      </c>
    </row>
    <row r="5829" spans="129:129" x14ac:dyDescent="0.2">
      <c r="DY5829" s="185" t="s">
        <v>215</v>
      </c>
    </row>
    <row r="5830" spans="129:129" x14ac:dyDescent="0.2">
      <c r="DY5830" s="185" t="s">
        <v>215</v>
      </c>
    </row>
    <row r="5831" spans="129:129" x14ac:dyDescent="0.2">
      <c r="DY5831" s="185" t="s">
        <v>215</v>
      </c>
    </row>
    <row r="5832" spans="129:129" x14ac:dyDescent="0.2">
      <c r="DY5832" s="185" t="s">
        <v>215</v>
      </c>
    </row>
    <row r="5833" spans="129:129" x14ac:dyDescent="0.2">
      <c r="DY5833" s="185" t="s">
        <v>215</v>
      </c>
    </row>
    <row r="5834" spans="129:129" x14ac:dyDescent="0.2">
      <c r="DY5834" s="185" t="s">
        <v>215</v>
      </c>
    </row>
    <row r="5835" spans="129:129" x14ac:dyDescent="0.2">
      <c r="DY5835" s="185" t="s">
        <v>215</v>
      </c>
    </row>
    <row r="5836" spans="129:129" x14ac:dyDescent="0.2">
      <c r="DY5836" s="185" t="s">
        <v>215</v>
      </c>
    </row>
    <row r="5837" spans="129:129" x14ac:dyDescent="0.2">
      <c r="DY5837" s="185" t="s">
        <v>215</v>
      </c>
    </row>
    <row r="5838" spans="129:129" x14ac:dyDescent="0.2">
      <c r="DY5838" s="185" t="s">
        <v>215</v>
      </c>
    </row>
    <row r="5839" spans="129:129" x14ac:dyDescent="0.2">
      <c r="DY5839" s="185" t="s">
        <v>215</v>
      </c>
    </row>
    <row r="5840" spans="129:129" x14ac:dyDescent="0.2">
      <c r="DY5840" s="185" t="s">
        <v>215</v>
      </c>
    </row>
    <row r="5841" spans="129:129" x14ac:dyDescent="0.2">
      <c r="DY5841" s="185" t="s">
        <v>215</v>
      </c>
    </row>
    <row r="5842" spans="129:129" x14ac:dyDescent="0.2">
      <c r="DY5842" s="185" t="s">
        <v>215</v>
      </c>
    </row>
    <row r="5843" spans="129:129" x14ac:dyDescent="0.2">
      <c r="DY5843" s="185" t="s">
        <v>215</v>
      </c>
    </row>
    <row r="5844" spans="129:129" x14ac:dyDescent="0.2">
      <c r="DY5844" s="185" t="s">
        <v>215</v>
      </c>
    </row>
    <row r="5845" spans="129:129" x14ac:dyDescent="0.2">
      <c r="DY5845" s="185" t="s">
        <v>215</v>
      </c>
    </row>
    <row r="5846" spans="129:129" x14ac:dyDescent="0.2">
      <c r="DY5846" s="185" t="s">
        <v>215</v>
      </c>
    </row>
    <row r="5847" spans="129:129" x14ac:dyDescent="0.2">
      <c r="DY5847" s="185" t="s">
        <v>215</v>
      </c>
    </row>
    <row r="5848" spans="129:129" x14ac:dyDescent="0.2">
      <c r="DY5848" s="185" t="s">
        <v>215</v>
      </c>
    </row>
    <row r="5849" spans="129:129" x14ac:dyDescent="0.2">
      <c r="DY5849" s="185" t="s">
        <v>215</v>
      </c>
    </row>
    <row r="5850" spans="129:129" x14ac:dyDescent="0.2">
      <c r="DY5850" s="185" t="s">
        <v>215</v>
      </c>
    </row>
    <row r="5851" spans="129:129" x14ac:dyDescent="0.2">
      <c r="DY5851" s="185" t="s">
        <v>215</v>
      </c>
    </row>
    <row r="5852" spans="129:129" x14ac:dyDescent="0.2">
      <c r="DY5852" s="185" t="s">
        <v>215</v>
      </c>
    </row>
    <row r="5853" spans="129:129" x14ac:dyDescent="0.2">
      <c r="DY5853" s="185" t="s">
        <v>215</v>
      </c>
    </row>
    <row r="5854" spans="129:129" x14ac:dyDescent="0.2">
      <c r="DY5854" s="185" t="s">
        <v>215</v>
      </c>
    </row>
    <row r="5855" spans="129:129" x14ac:dyDescent="0.2">
      <c r="DY5855" s="185" t="s">
        <v>215</v>
      </c>
    </row>
    <row r="5856" spans="129:129" x14ac:dyDescent="0.2">
      <c r="DY5856" s="185" t="s">
        <v>215</v>
      </c>
    </row>
    <row r="5857" spans="129:129" x14ac:dyDescent="0.2">
      <c r="DY5857" s="185" t="s">
        <v>215</v>
      </c>
    </row>
    <row r="5858" spans="129:129" x14ac:dyDescent="0.2">
      <c r="DY5858" s="185" t="s">
        <v>215</v>
      </c>
    </row>
    <row r="5859" spans="129:129" x14ac:dyDescent="0.2">
      <c r="DY5859" s="185" t="s">
        <v>215</v>
      </c>
    </row>
    <row r="5860" spans="129:129" x14ac:dyDescent="0.2">
      <c r="DY5860" s="185" t="s">
        <v>215</v>
      </c>
    </row>
    <row r="5861" spans="129:129" x14ac:dyDescent="0.2">
      <c r="DY5861" s="185" t="s">
        <v>215</v>
      </c>
    </row>
    <row r="5862" spans="129:129" x14ac:dyDescent="0.2">
      <c r="DY5862" s="185" t="s">
        <v>215</v>
      </c>
    </row>
    <row r="5863" spans="129:129" x14ac:dyDescent="0.2">
      <c r="DY5863" s="185" t="s">
        <v>215</v>
      </c>
    </row>
    <row r="5864" spans="129:129" x14ac:dyDescent="0.2">
      <c r="DY5864" s="185" t="s">
        <v>215</v>
      </c>
    </row>
    <row r="5865" spans="129:129" x14ac:dyDescent="0.2">
      <c r="DY5865" s="185" t="s">
        <v>215</v>
      </c>
    </row>
    <row r="5866" spans="129:129" x14ac:dyDescent="0.2">
      <c r="DY5866" s="185" t="s">
        <v>215</v>
      </c>
    </row>
    <row r="5867" spans="129:129" x14ac:dyDescent="0.2">
      <c r="DY5867" s="185" t="s">
        <v>215</v>
      </c>
    </row>
    <row r="5868" spans="129:129" x14ac:dyDescent="0.2">
      <c r="DY5868" s="185" t="s">
        <v>215</v>
      </c>
    </row>
    <row r="5869" spans="129:129" x14ac:dyDescent="0.2">
      <c r="DY5869" s="185" t="s">
        <v>215</v>
      </c>
    </row>
    <row r="5870" spans="129:129" x14ac:dyDescent="0.2">
      <c r="DY5870" s="185" t="s">
        <v>215</v>
      </c>
    </row>
    <row r="5871" spans="129:129" x14ac:dyDescent="0.2">
      <c r="DY5871" s="185" t="s">
        <v>215</v>
      </c>
    </row>
    <row r="5872" spans="129:129" x14ac:dyDescent="0.2">
      <c r="DY5872" s="185" t="s">
        <v>215</v>
      </c>
    </row>
    <row r="5873" spans="129:129" x14ac:dyDescent="0.2">
      <c r="DY5873" s="185" t="s">
        <v>215</v>
      </c>
    </row>
    <row r="5874" spans="129:129" x14ac:dyDescent="0.2">
      <c r="DY5874" s="185" t="s">
        <v>215</v>
      </c>
    </row>
    <row r="5875" spans="129:129" x14ac:dyDescent="0.2">
      <c r="DY5875" s="185" t="s">
        <v>215</v>
      </c>
    </row>
    <row r="5876" spans="129:129" x14ac:dyDescent="0.2">
      <c r="DY5876" s="185" t="s">
        <v>215</v>
      </c>
    </row>
    <row r="5877" spans="129:129" x14ac:dyDescent="0.2">
      <c r="DY5877" s="185" t="s">
        <v>215</v>
      </c>
    </row>
    <row r="5878" spans="129:129" x14ac:dyDescent="0.2">
      <c r="DY5878" s="185" t="s">
        <v>215</v>
      </c>
    </row>
    <row r="5879" spans="129:129" x14ac:dyDescent="0.2">
      <c r="DY5879" s="185" t="s">
        <v>215</v>
      </c>
    </row>
    <row r="5880" spans="129:129" x14ac:dyDescent="0.2">
      <c r="DY5880" s="185" t="s">
        <v>215</v>
      </c>
    </row>
    <row r="5881" spans="129:129" x14ac:dyDescent="0.2">
      <c r="DY5881" s="185" t="s">
        <v>215</v>
      </c>
    </row>
    <row r="5882" spans="129:129" x14ac:dyDescent="0.2">
      <c r="DY5882" s="185" t="s">
        <v>215</v>
      </c>
    </row>
    <row r="5883" spans="129:129" x14ac:dyDescent="0.2">
      <c r="DY5883" s="185" t="s">
        <v>215</v>
      </c>
    </row>
    <row r="5884" spans="129:129" x14ac:dyDescent="0.2">
      <c r="DY5884" s="185" t="s">
        <v>215</v>
      </c>
    </row>
    <row r="5885" spans="129:129" x14ac:dyDescent="0.2">
      <c r="DY5885" s="185" t="s">
        <v>215</v>
      </c>
    </row>
    <row r="5886" spans="129:129" x14ac:dyDescent="0.2">
      <c r="DY5886" s="185" t="s">
        <v>215</v>
      </c>
    </row>
    <row r="5887" spans="129:129" x14ac:dyDescent="0.2">
      <c r="DY5887" s="185" t="s">
        <v>215</v>
      </c>
    </row>
    <row r="5888" spans="129:129" x14ac:dyDescent="0.2">
      <c r="DY5888" s="185" t="s">
        <v>215</v>
      </c>
    </row>
    <row r="5889" spans="129:129" x14ac:dyDescent="0.2">
      <c r="DY5889" s="185" t="s">
        <v>215</v>
      </c>
    </row>
    <row r="5890" spans="129:129" x14ac:dyDescent="0.2">
      <c r="DY5890" s="185" t="s">
        <v>215</v>
      </c>
    </row>
    <row r="5891" spans="129:129" x14ac:dyDescent="0.2">
      <c r="DY5891" s="185" t="s">
        <v>215</v>
      </c>
    </row>
    <row r="5892" spans="129:129" x14ac:dyDescent="0.2">
      <c r="DY5892" s="185" t="s">
        <v>215</v>
      </c>
    </row>
    <row r="5893" spans="129:129" x14ac:dyDescent="0.2">
      <c r="DY5893" s="185" t="s">
        <v>215</v>
      </c>
    </row>
    <row r="5894" spans="129:129" x14ac:dyDescent="0.2">
      <c r="DY5894" s="185" t="s">
        <v>215</v>
      </c>
    </row>
    <row r="5895" spans="129:129" x14ac:dyDescent="0.2">
      <c r="DY5895" s="185" t="s">
        <v>215</v>
      </c>
    </row>
    <row r="5896" spans="129:129" x14ac:dyDescent="0.2">
      <c r="DY5896" s="185" t="s">
        <v>215</v>
      </c>
    </row>
    <row r="5897" spans="129:129" x14ac:dyDescent="0.2">
      <c r="DY5897" s="185" t="s">
        <v>215</v>
      </c>
    </row>
    <row r="5898" spans="129:129" x14ac:dyDescent="0.2">
      <c r="DY5898" s="185" t="s">
        <v>215</v>
      </c>
    </row>
    <row r="5899" spans="129:129" x14ac:dyDescent="0.2">
      <c r="DY5899" s="185" t="s">
        <v>215</v>
      </c>
    </row>
    <row r="5900" spans="129:129" x14ac:dyDescent="0.2">
      <c r="DY5900" s="185" t="s">
        <v>215</v>
      </c>
    </row>
    <row r="5901" spans="129:129" x14ac:dyDescent="0.2">
      <c r="DY5901" s="185" t="s">
        <v>215</v>
      </c>
    </row>
    <row r="5902" spans="129:129" x14ac:dyDescent="0.2">
      <c r="DY5902" s="185" t="s">
        <v>215</v>
      </c>
    </row>
    <row r="5903" spans="129:129" x14ac:dyDescent="0.2">
      <c r="DY5903" s="185" t="s">
        <v>215</v>
      </c>
    </row>
    <row r="5904" spans="129:129" x14ac:dyDescent="0.2">
      <c r="DY5904" s="185" t="s">
        <v>215</v>
      </c>
    </row>
    <row r="5905" spans="129:129" x14ac:dyDescent="0.2">
      <c r="DY5905" s="185" t="s">
        <v>215</v>
      </c>
    </row>
    <row r="5906" spans="129:129" x14ac:dyDescent="0.2">
      <c r="DY5906" s="185" t="s">
        <v>215</v>
      </c>
    </row>
    <row r="5907" spans="129:129" x14ac:dyDescent="0.2">
      <c r="DY5907" s="185" t="s">
        <v>215</v>
      </c>
    </row>
    <row r="5908" spans="129:129" x14ac:dyDescent="0.2">
      <c r="DY5908" s="185" t="s">
        <v>215</v>
      </c>
    </row>
    <row r="5909" spans="129:129" x14ac:dyDescent="0.2">
      <c r="DY5909" s="185" t="s">
        <v>215</v>
      </c>
    </row>
    <row r="5910" spans="129:129" x14ac:dyDescent="0.2">
      <c r="DY5910" s="185" t="s">
        <v>215</v>
      </c>
    </row>
    <row r="5911" spans="129:129" x14ac:dyDescent="0.2">
      <c r="DY5911" s="185" t="s">
        <v>215</v>
      </c>
    </row>
    <row r="5912" spans="129:129" x14ac:dyDescent="0.2">
      <c r="DY5912" s="185" t="s">
        <v>215</v>
      </c>
    </row>
    <row r="5913" spans="129:129" x14ac:dyDescent="0.2">
      <c r="DY5913" s="185" t="s">
        <v>215</v>
      </c>
    </row>
    <row r="5914" spans="129:129" x14ac:dyDescent="0.2">
      <c r="DY5914" s="185" t="s">
        <v>215</v>
      </c>
    </row>
    <row r="5915" spans="129:129" x14ac:dyDescent="0.2">
      <c r="DY5915" s="185" t="s">
        <v>215</v>
      </c>
    </row>
    <row r="5916" spans="129:129" x14ac:dyDescent="0.2">
      <c r="DY5916" s="185" t="s">
        <v>215</v>
      </c>
    </row>
    <row r="5917" spans="129:129" x14ac:dyDescent="0.2">
      <c r="DY5917" s="185" t="s">
        <v>215</v>
      </c>
    </row>
    <row r="5918" spans="129:129" x14ac:dyDescent="0.2">
      <c r="DY5918" s="185" t="s">
        <v>215</v>
      </c>
    </row>
    <row r="5919" spans="129:129" x14ac:dyDescent="0.2">
      <c r="DY5919" s="185" t="s">
        <v>215</v>
      </c>
    </row>
    <row r="5920" spans="129:129" x14ac:dyDescent="0.2">
      <c r="DY5920" s="185" t="s">
        <v>215</v>
      </c>
    </row>
    <row r="5921" spans="129:129" x14ac:dyDescent="0.2">
      <c r="DY5921" s="185" t="s">
        <v>215</v>
      </c>
    </row>
    <row r="5922" spans="129:129" x14ac:dyDescent="0.2">
      <c r="DY5922" s="185" t="s">
        <v>215</v>
      </c>
    </row>
    <row r="5923" spans="129:129" x14ac:dyDescent="0.2">
      <c r="DY5923" s="185" t="s">
        <v>215</v>
      </c>
    </row>
    <row r="5924" spans="129:129" x14ac:dyDescent="0.2">
      <c r="DY5924" s="185" t="s">
        <v>215</v>
      </c>
    </row>
    <row r="5925" spans="129:129" x14ac:dyDescent="0.2">
      <c r="DY5925" s="185" t="s">
        <v>215</v>
      </c>
    </row>
    <row r="5926" spans="129:129" x14ac:dyDescent="0.2">
      <c r="DY5926" s="185" t="s">
        <v>215</v>
      </c>
    </row>
    <row r="5927" spans="129:129" x14ac:dyDescent="0.2">
      <c r="DY5927" s="185" t="s">
        <v>215</v>
      </c>
    </row>
    <row r="5928" spans="129:129" x14ac:dyDescent="0.2">
      <c r="DY5928" s="185" t="s">
        <v>215</v>
      </c>
    </row>
    <row r="5929" spans="129:129" x14ac:dyDescent="0.2">
      <c r="DY5929" s="185" t="s">
        <v>215</v>
      </c>
    </row>
    <row r="5930" spans="129:129" x14ac:dyDescent="0.2">
      <c r="DY5930" s="185" t="s">
        <v>215</v>
      </c>
    </row>
    <row r="5931" spans="129:129" x14ac:dyDescent="0.2">
      <c r="DY5931" s="185" t="s">
        <v>215</v>
      </c>
    </row>
    <row r="5932" spans="129:129" x14ac:dyDescent="0.2">
      <c r="DY5932" s="185" t="s">
        <v>215</v>
      </c>
    </row>
    <row r="5933" spans="129:129" x14ac:dyDescent="0.2">
      <c r="DY5933" s="185" t="s">
        <v>215</v>
      </c>
    </row>
    <row r="5934" spans="129:129" x14ac:dyDescent="0.2">
      <c r="DY5934" s="185" t="s">
        <v>215</v>
      </c>
    </row>
    <row r="5935" spans="129:129" x14ac:dyDescent="0.2">
      <c r="DY5935" s="185" t="s">
        <v>215</v>
      </c>
    </row>
    <row r="5936" spans="129:129" x14ac:dyDescent="0.2">
      <c r="DY5936" s="185" t="s">
        <v>215</v>
      </c>
    </row>
    <row r="5937" spans="129:129" x14ac:dyDescent="0.2">
      <c r="DY5937" s="185" t="s">
        <v>215</v>
      </c>
    </row>
    <row r="5938" spans="129:129" x14ac:dyDescent="0.2">
      <c r="DY5938" s="185" t="s">
        <v>215</v>
      </c>
    </row>
    <row r="5939" spans="129:129" x14ac:dyDescent="0.2">
      <c r="DY5939" s="185" t="s">
        <v>215</v>
      </c>
    </row>
    <row r="5940" spans="129:129" x14ac:dyDescent="0.2">
      <c r="DY5940" s="185" t="s">
        <v>215</v>
      </c>
    </row>
    <row r="5941" spans="129:129" x14ac:dyDescent="0.2">
      <c r="DY5941" s="185" t="s">
        <v>215</v>
      </c>
    </row>
    <row r="5942" spans="129:129" x14ac:dyDescent="0.2">
      <c r="DY5942" s="185" t="s">
        <v>215</v>
      </c>
    </row>
    <row r="5943" spans="129:129" x14ac:dyDescent="0.2">
      <c r="DY5943" s="185" t="s">
        <v>215</v>
      </c>
    </row>
    <row r="5944" spans="129:129" x14ac:dyDescent="0.2">
      <c r="DY5944" s="185" t="s">
        <v>215</v>
      </c>
    </row>
    <row r="5945" spans="129:129" x14ac:dyDescent="0.2">
      <c r="DY5945" s="185" t="s">
        <v>215</v>
      </c>
    </row>
    <row r="5946" spans="129:129" x14ac:dyDescent="0.2">
      <c r="DY5946" s="185" t="s">
        <v>215</v>
      </c>
    </row>
    <row r="5947" spans="129:129" x14ac:dyDescent="0.2">
      <c r="DY5947" s="185" t="s">
        <v>215</v>
      </c>
    </row>
    <row r="5948" spans="129:129" x14ac:dyDescent="0.2">
      <c r="DY5948" s="185" t="s">
        <v>215</v>
      </c>
    </row>
    <row r="5949" spans="129:129" x14ac:dyDescent="0.2">
      <c r="DY5949" s="185" t="s">
        <v>215</v>
      </c>
    </row>
    <row r="5950" spans="129:129" x14ac:dyDescent="0.2">
      <c r="DY5950" s="185" t="s">
        <v>215</v>
      </c>
    </row>
    <row r="5951" spans="129:129" x14ac:dyDescent="0.2">
      <c r="DY5951" s="185" t="s">
        <v>215</v>
      </c>
    </row>
    <row r="5952" spans="129:129" x14ac:dyDescent="0.2">
      <c r="DY5952" s="185" t="s">
        <v>215</v>
      </c>
    </row>
    <row r="5953" spans="129:129" x14ac:dyDescent="0.2">
      <c r="DY5953" s="185" t="s">
        <v>215</v>
      </c>
    </row>
    <row r="5954" spans="129:129" x14ac:dyDescent="0.2">
      <c r="DY5954" s="185" t="s">
        <v>215</v>
      </c>
    </row>
    <row r="5955" spans="129:129" x14ac:dyDescent="0.2">
      <c r="DY5955" s="185" t="s">
        <v>215</v>
      </c>
    </row>
    <row r="5956" spans="129:129" x14ac:dyDescent="0.2">
      <c r="DY5956" s="185" t="s">
        <v>215</v>
      </c>
    </row>
    <row r="5957" spans="129:129" x14ac:dyDescent="0.2">
      <c r="DY5957" s="185" t="s">
        <v>215</v>
      </c>
    </row>
    <row r="5958" spans="129:129" x14ac:dyDescent="0.2">
      <c r="DY5958" s="185" t="s">
        <v>215</v>
      </c>
    </row>
    <row r="5959" spans="129:129" x14ac:dyDescent="0.2">
      <c r="DY5959" s="185" t="s">
        <v>215</v>
      </c>
    </row>
    <row r="5960" spans="129:129" x14ac:dyDescent="0.2">
      <c r="DY5960" s="185" t="s">
        <v>215</v>
      </c>
    </row>
    <row r="5961" spans="129:129" x14ac:dyDescent="0.2">
      <c r="DY5961" s="185" t="s">
        <v>215</v>
      </c>
    </row>
    <row r="5962" spans="129:129" x14ac:dyDescent="0.2">
      <c r="DY5962" s="185" t="s">
        <v>215</v>
      </c>
    </row>
    <row r="5963" spans="129:129" x14ac:dyDescent="0.2">
      <c r="DY5963" s="185" t="s">
        <v>215</v>
      </c>
    </row>
    <row r="5964" spans="129:129" x14ac:dyDescent="0.2">
      <c r="DY5964" s="185" t="s">
        <v>215</v>
      </c>
    </row>
    <row r="5965" spans="129:129" x14ac:dyDescent="0.2">
      <c r="DY5965" s="185" t="s">
        <v>215</v>
      </c>
    </row>
    <row r="5966" spans="129:129" x14ac:dyDescent="0.2">
      <c r="DY5966" s="185" t="s">
        <v>215</v>
      </c>
    </row>
    <row r="5967" spans="129:129" x14ac:dyDescent="0.2">
      <c r="DY5967" s="185" t="s">
        <v>215</v>
      </c>
    </row>
    <row r="5968" spans="129:129" x14ac:dyDescent="0.2">
      <c r="DY5968" s="185" t="s">
        <v>215</v>
      </c>
    </row>
    <row r="5969" spans="129:129" x14ac:dyDescent="0.2">
      <c r="DY5969" s="185" t="s">
        <v>215</v>
      </c>
    </row>
    <row r="5970" spans="129:129" x14ac:dyDescent="0.2">
      <c r="DY5970" s="185" t="s">
        <v>215</v>
      </c>
    </row>
    <row r="5971" spans="129:129" x14ac:dyDescent="0.2">
      <c r="DY5971" s="185" t="s">
        <v>215</v>
      </c>
    </row>
    <row r="5972" spans="129:129" x14ac:dyDescent="0.2">
      <c r="DY5972" s="185" t="s">
        <v>215</v>
      </c>
    </row>
    <row r="5973" spans="129:129" x14ac:dyDescent="0.2">
      <c r="DY5973" s="185" t="s">
        <v>215</v>
      </c>
    </row>
    <row r="5974" spans="129:129" x14ac:dyDescent="0.2">
      <c r="DY5974" s="185" t="s">
        <v>215</v>
      </c>
    </row>
    <row r="5975" spans="129:129" x14ac:dyDescent="0.2">
      <c r="DY5975" s="185" t="s">
        <v>215</v>
      </c>
    </row>
    <row r="5976" spans="129:129" x14ac:dyDescent="0.2">
      <c r="DY5976" s="185" t="s">
        <v>215</v>
      </c>
    </row>
    <row r="5977" spans="129:129" x14ac:dyDescent="0.2">
      <c r="DY5977" s="185" t="s">
        <v>215</v>
      </c>
    </row>
    <row r="5978" spans="129:129" x14ac:dyDescent="0.2">
      <c r="DY5978" s="185" t="s">
        <v>215</v>
      </c>
    </row>
    <row r="5979" spans="129:129" x14ac:dyDescent="0.2">
      <c r="DY5979" s="185" t="s">
        <v>215</v>
      </c>
    </row>
    <row r="5980" spans="129:129" x14ac:dyDescent="0.2">
      <c r="DY5980" s="185" t="s">
        <v>215</v>
      </c>
    </row>
    <row r="5981" spans="129:129" x14ac:dyDescent="0.2">
      <c r="DY5981" s="185" t="s">
        <v>215</v>
      </c>
    </row>
    <row r="5982" spans="129:129" x14ac:dyDescent="0.2">
      <c r="DY5982" s="185" t="s">
        <v>215</v>
      </c>
    </row>
    <row r="5983" spans="129:129" x14ac:dyDescent="0.2">
      <c r="DY5983" s="185" t="s">
        <v>215</v>
      </c>
    </row>
    <row r="5984" spans="129:129" x14ac:dyDescent="0.2">
      <c r="DY5984" s="185" t="s">
        <v>215</v>
      </c>
    </row>
    <row r="5985" spans="129:129" x14ac:dyDescent="0.2">
      <c r="DY5985" s="185" t="s">
        <v>215</v>
      </c>
    </row>
    <row r="5986" spans="129:129" x14ac:dyDescent="0.2">
      <c r="DY5986" s="185" t="s">
        <v>215</v>
      </c>
    </row>
    <row r="5987" spans="129:129" x14ac:dyDescent="0.2">
      <c r="DY5987" s="185" t="s">
        <v>215</v>
      </c>
    </row>
    <row r="5988" spans="129:129" x14ac:dyDescent="0.2">
      <c r="DY5988" s="185" t="s">
        <v>215</v>
      </c>
    </row>
    <row r="5989" spans="129:129" x14ac:dyDescent="0.2">
      <c r="DY5989" s="185" t="s">
        <v>215</v>
      </c>
    </row>
    <row r="5990" spans="129:129" x14ac:dyDescent="0.2">
      <c r="DY5990" s="185" t="s">
        <v>215</v>
      </c>
    </row>
    <row r="5991" spans="129:129" x14ac:dyDescent="0.2">
      <c r="DY5991" s="185" t="s">
        <v>215</v>
      </c>
    </row>
    <row r="5992" spans="129:129" x14ac:dyDescent="0.2">
      <c r="DY5992" s="185" t="s">
        <v>215</v>
      </c>
    </row>
    <row r="5993" spans="129:129" x14ac:dyDescent="0.2">
      <c r="DY5993" s="185" t="s">
        <v>215</v>
      </c>
    </row>
    <row r="5994" spans="129:129" x14ac:dyDescent="0.2">
      <c r="DY5994" s="185" t="s">
        <v>215</v>
      </c>
    </row>
    <row r="5995" spans="129:129" x14ac:dyDescent="0.2">
      <c r="DY5995" s="185" t="s">
        <v>215</v>
      </c>
    </row>
    <row r="5996" spans="129:129" x14ac:dyDescent="0.2">
      <c r="DY5996" s="185" t="s">
        <v>215</v>
      </c>
    </row>
    <row r="5997" spans="129:129" x14ac:dyDescent="0.2">
      <c r="DY5997" s="185" t="s">
        <v>215</v>
      </c>
    </row>
    <row r="5998" spans="129:129" x14ac:dyDescent="0.2">
      <c r="DY5998" s="185" t="s">
        <v>215</v>
      </c>
    </row>
    <row r="5999" spans="129:129" x14ac:dyDescent="0.2">
      <c r="DY5999" s="185" t="s">
        <v>215</v>
      </c>
    </row>
    <row r="6000" spans="129:129" x14ac:dyDescent="0.2">
      <c r="DY6000" s="185" t="s">
        <v>215</v>
      </c>
    </row>
    <row r="6001" spans="129:129" x14ac:dyDescent="0.2">
      <c r="DY6001" s="185" t="s">
        <v>215</v>
      </c>
    </row>
    <row r="6002" spans="129:129" x14ac:dyDescent="0.2">
      <c r="DY6002" s="185" t="s">
        <v>215</v>
      </c>
    </row>
    <row r="6003" spans="129:129" x14ac:dyDescent="0.2">
      <c r="DY6003" s="185" t="s">
        <v>215</v>
      </c>
    </row>
    <row r="6004" spans="129:129" x14ac:dyDescent="0.2">
      <c r="DY6004" s="185" t="s">
        <v>215</v>
      </c>
    </row>
    <row r="6005" spans="129:129" x14ac:dyDescent="0.2">
      <c r="DY6005" s="185" t="s">
        <v>215</v>
      </c>
    </row>
    <row r="6006" spans="129:129" x14ac:dyDescent="0.2">
      <c r="DY6006" s="185" t="s">
        <v>215</v>
      </c>
    </row>
    <row r="6007" spans="129:129" x14ac:dyDescent="0.2">
      <c r="DY6007" s="185" t="s">
        <v>215</v>
      </c>
    </row>
    <row r="6008" spans="129:129" x14ac:dyDescent="0.2">
      <c r="DY6008" s="185" t="s">
        <v>215</v>
      </c>
    </row>
    <row r="6009" spans="129:129" x14ac:dyDescent="0.2">
      <c r="DY6009" s="185" t="s">
        <v>215</v>
      </c>
    </row>
    <row r="6010" spans="129:129" x14ac:dyDescent="0.2">
      <c r="DY6010" s="185" t="s">
        <v>215</v>
      </c>
    </row>
    <row r="6011" spans="129:129" x14ac:dyDescent="0.2">
      <c r="DY6011" s="185" t="s">
        <v>215</v>
      </c>
    </row>
    <row r="6012" spans="129:129" x14ac:dyDescent="0.2">
      <c r="DY6012" s="185" t="s">
        <v>215</v>
      </c>
    </row>
    <row r="6013" spans="129:129" x14ac:dyDescent="0.2">
      <c r="DY6013" s="185" t="s">
        <v>215</v>
      </c>
    </row>
    <row r="6014" spans="129:129" x14ac:dyDescent="0.2">
      <c r="DY6014" s="185" t="s">
        <v>215</v>
      </c>
    </row>
    <row r="6015" spans="129:129" x14ac:dyDescent="0.2">
      <c r="DY6015" s="185" t="s">
        <v>215</v>
      </c>
    </row>
    <row r="6016" spans="129:129" x14ac:dyDescent="0.2">
      <c r="DY6016" s="185" t="s">
        <v>215</v>
      </c>
    </row>
    <row r="6017" spans="129:129" x14ac:dyDescent="0.2">
      <c r="DY6017" s="185" t="s">
        <v>215</v>
      </c>
    </row>
    <row r="6018" spans="129:129" x14ac:dyDescent="0.2">
      <c r="DY6018" s="185" t="s">
        <v>215</v>
      </c>
    </row>
    <row r="6019" spans="129:129" x14ac:dyDescent="0.2">
      <c r="DY6019" s="185" t="s">
        <v>215</v>
      </c>
    </row>
    <row r="6020" spans="129:129" x14ac:dyDescent="0.2">
      <c r="DY6020" s="185" t="s">
        <v>215</v>
      </c>
    </row>
    <row r="6021" spans="129:129" x14ac:dyDescent="0.2">
      <c r="DY6021" s="185" t="s">
        <v>215</v>
      </c>
    </row>
    <row r="6022" spans="129:129" x14ac:dyDescent="0.2">
      <c r="DY6022" s="185" t="s">
        <v>215</v>
      </c>
    </row>
    <row r="6023" spans="129:129" x14ac:dyDescent="0.2">
      <c r="DY6023" s="185" t="s">
        <v>215</v>
      </c>
    </row>
    <row r="6024" spans="129:129" x14ac:dyDescent="0.2">
      <c r="DY6024" s="185" t="s">
        <v>215</v>
      </c>
    </row>
    <row r="6025" spans="129:129" x14ac:dyDescent="0.2">
      <c r="DY6025" s="185" t="s">
        <v>215</v>
      </c>
    </row>
    <row r="6026" spans="129:129" x14ac:dyDescent="0.2">
      <c r="DY6026" s="185" t="s">
        <v>215</v>
      </c>
    </row>
    <row r="6027" spans="129:129" x14ac:dyDescent="0.2">
      <c r="DY6027" s="185" t="s">
        <v>215</v>
      </c>
    </row>
    <row r="6028" spans="129:129" x14ac:dyDescent="0.2">
      <c r="DY6028" s="185" t="s">
        <v>215</v>
      </c>
    </row>
    <row r="6029" spans="129:129" x14ac:dyDescent="0.2">
      <c r="DY6029" s="185" t="s">
        <v>215</v>
      </c>
    </row>
    <row r="6030" spans="129:129" x14ac:dyDescent="0.2">
      <c r="DY6030" s="185" t="s">
        <v>215</v>
      </c>
    </row>
    <row r="6031" spans="129:129" x14ac:dyDescent="0.2">
      <c r="DY6031" s="185" t="s">
        <v>215</v>
      </c>
    </row>
    <row r="6032" spans="129:129" x14ac:dyDescent="0.2">
      <c r="DY6032" s="185" t="s">
        <v>215</v>
      </c>
    </row>
    <row r="6033" spans="129:129" x14ac:dyDescent="0.2">
      <c r="DY6033" s="185" t="s">
        <v>215</v>
      </c>
    </row>
    <row r="6034" spans="129:129" x14ac:dyDescent="0.2">
      <c r="DY6034" s="185" t="s">
        <v>215</v>
      </c>
    </row>
    <row r="6035" spans="129:129" x14ac:dyDescent="0.2">
      <c r="DY6035" s="185" t="s">
        <v>215</v>
      </c>
    </row>
    <row r="6036" spans="129:129" x14ac:dyDescent="0.2">
      <c r="DY6036" s="185" t="s">
        <v>215</v>
      </c>
    </row>
    <row r="6037" spans="129:129" x14ac:dyDescent="0.2">
      <c r="DY6037" s="185" t="s">
        <v>215</v>
      </c>
    </row>
    <row r="6038" spans="129:129" x14ac:dyDescent="0.2">
      <c r="DY6038" s="185" t="s">
        <v>215</v>
      </c>
    </row>
    <row r="6039" spans="129:129" x14ac:dyDescent="0.2">
      <c r="DY6039" s="185" t="s">
        <v>215</v>
      </c>
    </row>
    <row r="6040" spans="129:129" x14ac:dyDescent="0.2">
      <c r="DY6040" s="185" t="s">
        <v>215</v>
      </c>
    </row>
    <row r="6041" spans="129:129" x14ac:dyDescent="0.2">
      <c r="DY6041" s="185" t="s">
        <v>215</v>
      </c>
    </row>
    <row r="6042" spans="129:129" x14ac:dyDescent="0.2">
      <c r="DY6042" s="185" t="s">
        <v>215</v>
      </c>
    </row>
    <row r="6043" spans="129:129" x14ac:dyDescent="0.2">
      <c r="DY6043" s="185" t="s">
        <v>215</v>
      </c>
    </row>
    <row r="6044" spans="129:129" x14ac:dyDescent="0.2">
      <c r="DY6044" s="185" t="s">
        <v>215</v>
      </c>
    </row>
    <row r="6045" spans="129:129" x14ac:dyDescent="0.2">
      <c r="DY6045" s="185" t="s">
        <v>215</v>
      </c>
    </row>
    <row r="6046" spans="129:129" x14ac:dyDescent="0.2">
      <c r="DY6046" s="185" t="s">
        <v>215</v>
      </c>
    </row>
    <row r="6047" spans="129:129" x14ac:dyDescent="0.2">
      <c r="DY6047" s="185" t="s">
        <v>215</v>
      </c>
    </row>
    <row r="6048" spans="129:129" x14ac:dyDescent="0.2">
      <c r="DY6048" s="185" t="s">
        <v>215</v>
      </c>
    </row>
    <row r="6049" spans="129:129" x14ac:dyDescent="0.2">
      <c r="DY6049" s="185" t="s">
        <v>215</v>
      </c>
    </row>
    <row r="6050" spans="129:129" x14ac:dyDescent="0.2">
      <c r="DY6050" s="185" t="s">
        <v>215</v>
      </c>
    </row>
    <row r="6051" spans="129:129" x14ac:dyDescent="0.2">
      <c r="DY6051" s="185" t="s">
        <v>215</v>
      </c>
    </row>
    <row r="6052" spans="129:129" x14ac:dyDescent="0.2">
      <c r="DY6052" s="185" t="s">
        <v>215</v>
      </c>
    </row>
    <row r="6053" spans="129:129" x14ac:dyDescent="0.2">
      <c r="DY6053" s="185" t="s">
        <v>215</v>
      </c>
    </row>
    <row r="6054" spans="129:129" x14ac:dyDescent="0.2">
      <c r="DY6054" s="185" t="s">
        <v>215</v>
      </c>
    </row>
    <row r="6055" spans="129:129" x14ac:dyDescent="0.2">
      <c r="DY6055" s="185" t="s">
        <v>215</v>
      </c>
    </row>
    <row r="6056" spans="129:129" x14ac:dyDescent="0.2">
      <c r="DY6056" s="185" t="s">
        <v>215</v>
      </c>
    </row>
    <row r="6057" spans="129:129" x14ac:dyDescent="0.2">
      <c r="DY6057" s="185" t="s">
        <v>215</v>
      </c>
    </row>
    <row r="6058" spans="129:129" x14ac:dyDescent="0.2">
      <c r="DY6058" s="185" t="s">
        <v>215</v>
      </c>
    </row>
    <row r="6059" spans="129:129" x14ac:dyDescent="0.2">
      <c r="DY6059" s="185" t="s">
        <v>215</v>
      </c>
    </row>
    <row r="6060" spans="129:129" x14ac:dyDescent="0.2">
      <c r="DY6060" s="185" t="s">
        <v>215</v>
      </c>
    </row>
    <row r="6061" spans="129:129" x14ac:dyDescent="0.2">
      <c r="DY6061" s="185" t="s">
        <v>215</v>
      </c>
    </row>
    <row r="6062" spans="129:129" x14ac:dyDescent="0.2">
      <c r="DY6062" s="185" t="s">
        <v>215</v>
      </c>
    </row>
    <row r="6063" spans="129:129" x14ac:dyDescent="0.2">
      <c r="DY6063" s="185" t="s">
        <v>215</v>
      </c>
    </row>
    <row r="6064" spans="129:129" x14ac:dyDescent="0.2">
      <c r="DY6064" s="185" t="s">
        <v>215</v>
      </c>
    </row>
    <row r="6065" spans="129:129" x14ac:dyDescent="0.2">
      <c r="DY6065" s="185" t="s">
        <v>215</v>
      </c>
    </row>
    <row r="6066" spans="129:129" x14ac:dyDescent="0.2">
      <c r="DY6066" s="185" t="s">
        <v>215</v>
      </c>
    </row>
    <row r="6067" spans="129:129" x14ac:dyDescent="0.2">
      <c r="DY6067" s="185" t="s">
        <v>215</v>
      </c>
    </row>
    <row r="6068" spans="129:129" x14ac:dyDescent="0.2">
      <c r="DY6068" s="185" t="s">
        <v>215</v>
      </c>
    </row>
    <row r="6069" spans="129:129" x14ac:dyDescent="0.2">
      <c r="DY6069" s="185" t="s">
        <v>215</v>
      </c>
    </row>
    <row r="6070" spans="129:129" x14ac:dyDescent="0.2">
      <c r="DY6070" s="185" t="s">
        <v>215</v>
      </c>
    </row>
    <row r="6071" spans="129:129" x14ac:dyDescent="0.2">
      <c r="DY6071" s="185" t="s">
        <v>215</v>
      </c>
    </row>
    <row r="6072" spans="129:129" x14ac:dyDescent="0.2">
      <c r="DY6072" s="185" t="s">
        <v>215</v>
      </c>
    </row>
    <row r="6073" spans="129:129" x14ac:dyDescent="0.2">
      <c r="DY6073" s="185" t="s">
        <v>215</v>
      </c>
    </row>
    <row r="6074" spans="129:129" x14ac:dyDescent="0.2">
      <c r="DY6074" s="185" t="s">
        <v>215</v>
      </c>
    </row>
    <row r="6075" spans="129:129" x14ac:dyDescent="0.2">
      <c r="DY6075" s="185" t="s">
        <v>215</v>
      </c>
    </row>
    <row r="6076" spans="129:129" x14ac:dyDescent="0.2">
      <c r="DY6076" s="185" t="s">
        <v>215</v>
      </c>
    </row>
    <row r="6077" spans="129:129" x14ac:dyDescent="0.2">
      <c r="DY6077" s="185" t="s">
        <v>215</v>
      </c>
    </row>
    <row r="6078" spans="129:129" x14ac:dyDescent="0.2">
      <c r="DY6078" s="185" t="s">
        <v>215</v>
      </c>
    </row>
    <row r="6079" spans="129:129" x14ac:dyDescent="0.2">
      <c r="DY6079" s="185" t="s">
        <v>215</v>
      </c>
    </row>
    <row r="6080" spans="129:129" x14ac:dyDescent="0.2">
      <c r="DY6080" s="185" t="s">
        <v>215</v>
      </c>
    </row>
    <row r="6081" spans="129:129" x14ac:dyDescent="0.2">
      <c r="DY6081" s="185" t="s">
        <v>215</v>
      </c>
    </row>
    <row r="6082" spans="129:129" x14ac:dyDescent="0.2">
      <c r="DY6082" s="185" t="s">
        <v>215</v>
      </c>
    </row>
    <row r="6083" spans="129:129" x14ac:dyDescent="0.2">
      <c r="DY6083" s="185" t="s">
        <v>215</v>
      </c>
    </row>
    <row r="6084" spans="129:129" x14ac:dyDescent="0.2">
      <c r="DY6084" s="185" t="s">
        <v>215</v>
      </c>
    </row>
    <row r="6085" spans="129:129" x14ac:dyDescent="0.2">
      <c r="DY6085" s="185" t="s">
        <v>215</v>
      </c>
    </row>
    <row r="6086" spans="129:129" x14ac:dyDescent="0.2">
      <c r="DY6086" s="185" t="s">
        <v>215</v>
      </c>
    </row>
    <row r="6087" spans="129:129" x14ac:dyDescent="0.2">
      <c r="DY6087" s="185" t="s">
        <v>215</v>
      </c>
    </row>
    <row r="6088" spans="129:129" x14ac:dyDescent="0.2">
      <c r="DY6088" s="185" t="s">
        <v>215</v>
      </c>
    </row>
    <row r="6089" spans="129:129" x14ac:dyDescent="0.2">
      <c r="DY6089" s="185" t="s">
        <v>215</v>
      </c>
    </row>
    <row r="6090" spans="129:129" x14ac:dyDescent="0.2">
      <c r="DY6090" s="185" t="s">
        <v>215</v>
      </c>
    </row>
    <row r="6091" spans="129:129" x14ac:dyDescent="0.2">
      <c r="DY6091" s="185" t="s">
        <v>215</v>
      </c>
    </row>
    <row r="6092" spans="129:129" x14ac:dyDescent="0.2">
      <c r="DY6092" s="185" t="s">
        <v>215</v>
      </c>
    </row>
    <row r="6093" spans="129:129" x14ac:dyDescent="0.2">
      <c r="DY6093" s="185" t="s">
        <v>215</v>
      </c>
    </row>
    <row r="6094" spans="129:129" x14ac:dyDescent="0.2">
      <c r="DY6094" s="185" t="s">
        <v>215</v>
      </c>
    </row>
    <row r="6095" spans="129:129" x14ac:dyDescent="0.2">
      <c r="DY6095" s="185" t="s">
        <v>215</v>
      </c>
    </row>
    <row r="6096" spans="129:129" x14ac:dyDescent="0.2">
      <c r="DY6096" s="185" t="s">
        <v>215</v>
      </c>
    </row>
    <row r="6097" spans="129:129" x14ac:dyDescent="0.2">
      <c r="DY6097" s="185" t="s">
        <v>215</v>
      </c>
    </row>
    <row r="6098" spans="129:129" x14ac:dyDescent="0.2">
      <c r="DY6098" s="185" t="s">
        <v>215</v>
      </c>
    </row>
    <row r="6099" spans="129:129" x14ac:dyDescent="0.2">
      <c r="DY6099" s="185" t="s">
        <v>215</v>
      </c>
    </row>
    <row r="6100" spans="129:129" x14ac:dyDescent="0.2">
      <c r="DY6100" s="185" t="s">
        <v>215</v>
      </c>
    </row>
    <row r="6101" spans="129:129" x14ac:dyDescent="0.2">
      <c r="DY6101" s="185" t="s">
        <v>215</v>
      </c>
    </row>
    <row r="6102" spans="129:129" x14ac:dyDescent="0.2">
      <c r="DY6102" s="185" t="s">
        <v>215</v>
      </c>
    </row>
    <row r="6103" spans="129:129" x14ac:dyDescent="0.2">
      <c r="DY6103" s="185" t="s">
        <v>215</v>
      </c>
    </row>
    <row r="6104" spans="129:129" x14ac:dyDescent="0.2">
      <c r="DY6104" s="185" t="s">
        <v>215</v>
      </c>
    </row>
    <row r="6105" spans="129:129" x14ac:dyDescent="0.2">
      <c r="DY6105" s="185" t="s">
        <v>215</v>
      </c>
    </row>
    <row r="6106" spans="129:129" x14ac:dyDescent="0.2">
      <c r="DY6106" s="185" t="s">
        <v>215</v>
      </c>
    </row>
    <row r="6107" spans="129:129" x14ac:dyDescent="0.2">
      <c r="DY6107" s="185" t="s">
        <v>215</v>
      </c>
    </row>
    <row r="6108" spans="129:129" x14ac:dyDescent="0.2">
      <c r="DY6108" s="185" t="s">
        <v>215</v>
      </c>
    </row>
    <row r="6109" spans="129:129" x14ac:dyDescent="0.2">
      <c r="DY6109" s="185" t="s">
        <v>215</v>
      </c>
    </row>
    <row r="6110" spans="129:129" x14ac:dyDescent="0.2">
      <c r="DY6110" s="185" t="s">
        <v>215</v>
      </c>
    </row>
    <row r="6111" spans="129:129" x14ac:dyDescent="0.2">
      <c r="DY6111" s="185" t="s">
        <v>215</v>
      </c>
    </row>
    <row r="6112" spans="129:129" x14ac:dyDescent="0.2">
      <c r="DY6112" s="185" t="s">
        <v>215</v>
      </c>
    </row>
    <row r="6113" spans="129:129" x14ac:dyDescent="0.2">
      <c r="DY6113" s="185" t="s">
        <v>215</v>
      </c>
    </row>
    <row r="6114" spans="129:129" x14ac:dyDescent="0.2">
      <c r="DY6114" s="185" t="s">
        <v>215</v>
      </c>
    </row>
    <row r="6115" spans="129:129" x14ac:dyDescent="0.2">
      <c r="DY6115" s="185" t="s">
        <v>215</v>
      </c>
    </row>
    <row r="6116" spans="129:129" x14ac:dyDescent="0.2">
      <c r="DY6116" s="185" t="s">
        <v>215</v>
      </c>
    </row>
    <row r="6117" spans="129:129" x14ac:dyDescent="0.2">
      <c r="DY6117" s="185" t="s">
        <v>215</v>
      </c>
    </row>
    <row r="6118" spans="129:129" x14ac:dyDescent="0.2">
      <c r="DY6118" s="185" t="s">
        <v>215</v>
      </c>
    </row>
    <row r="6119" spans="129:129" x14ac:dyDescent="0.2">
      <c r="DY6119" s="185" t="s">
        <v>215</v>
      </c>
    </row>
    <row r="6120" spans="129:129" x14ac:dyDescent="0.2">
      <c r="DY6120" s="185" t="s">
        <v>215</v>
      </c>
    </row>
    <row r="6121" spans="129:129" x14ac:dyDescent="0.2">
      <c r="DY6121" s="185" t="s">
        <v>215</v>
      </c>
    </row>
    <row r="6122" spans="129:129" x14ac:dyDescent="0.2">
      <c r="DY6122" s="185" t="s">
        <v>215</v>
      </c>
    </row>
    <row r="6123" spans="129:129" x14ac:dyDescent="0.2">
      <c r="DY6123" s="185" t="s">
        <v>215</v>
      </c>
    </row>
    <row r="6124" spans="129:129" x14ac:dyDescent="0.2">
      <c r="DY6124" s="185" t="s">
        <v>215</v>
      </c>
    </row>
    <row r="6125" spans="129:129" x14ac:dyDescent="0.2">
      <c r="DY6125" s="185" t="s">
        <v>215</v>
      </c>
    </row>
    <row r="6126" spans="129:129" x14ac:dyDescent="0.2">
      <c r="DY6126" s="185" t="s">
        <v>215</v>
      </c>
    </row>
    <row r="6127" spans="129:129" x14ac:dyDescent="0.2">
      <c r="DY6127" s="185" t="s">
        <v>215</v>
      </c>
    </row>
    <row r="6128" spans="129:129" x14ac:dyDescent="0.2">
      <c r="DY6128" s="185" t="s">
        <v>215</v>
      </c>
    </row>
    <row r="6129" spans="129:129" x14ac:dyDescent="0.2">
      <c r="DY6129" s="185" t="s">
        <v>215</v>
      </c>
    </row>
    <row r="6130" spans="129:129" x14ac:dyDescent="0.2">
      <c r="DY6130" s="185" t="s">
        <v>215</v>
      </c>
    </row>
    <row r="6131" spans="129:129" x14ac:dyDescent="0.2">
      <c r="DY6131" s="185" t="s">
        <v>215</v>
      </c>
    </row>
    <row r="6132" spans="129:129" x14ac:dyDescent="0.2">
      <c r="DY6132" s="185" t="s">
        <v>215</v>
      </c>
    </row>
    <row r="6133" spans="129:129" x14ac:dyDescent="0.2">
      <c r="DY6133" s="185" t="s">
        <v>215</v>
      </c>
    </row>
    <row r="6134" spans="129:129" x14ac:dyDescent="0.2">
      <c r="DY6134" s="185" t="s">
        <v>215</v>
      </c>
    </row>
    <row r="6135" spans="129:129" x14ac:dyDescent="0.2">
      <c r="DY6135" s="185" t="s">
        <v>215</v>
      </c>
    </row>
    <row r="6136" spans="129:129" x14ac:dyDescent="0.2">
      <c r="DY6136" s="185" t="s">
        <v>215</v>
      </c>
    </row>
    <row r="6137" spans="129:129" x14ac:dyDescent="0.2">
      <c r="DY6137" s="185" t="s">
        <v>215</v>
      </c>
    </row>
    <row r="6138" spans="129:129" x14ac:dyDescent="0.2">
      <c r="DY6138" s="185" t="s">
        <v>215</v>
      </c>
    </row>
    <row r="6139" spans="129:129" x14ac:dyDescent="0.2">
      <c r="DY6139" s="185" t="s">
        <v>215</v>
      </c>
    </row>
    <row r="6140" spans="129:129" x14ac:dyDescent="0.2">
      <c r="DY6140" s="185" t="s">
        <v>215</v>
      </c>
    </row>
    <row r="6141" spans="129:129" x14ac:dyDescent="0.2">
      <c r="DY6141" s="185" t="s">
        <v>215</v>
      </c>
    </row>
    <row r="6142" spans="129:129" x14ac:dyDescent="0.2">
      <c r="DY6142" s="185" t="s">
        <v>215</v>
      </c>
    </row>
    <row r="6143" spans="129:129" x14ac:dyDescent="0.2">
      <c r="DY6143" s="185" t="s">
        <v>215</v>
      </c>
    </row>
    <row r="6144" spans="129:129" x14ac:dyDescent="0.2">
      <c r="DY6144" s="185" t="s">
        <v>215</v>
      </c>
    </row>
    <row r="6145" spans="129:129" x14ac:dyDescent="0.2">
      <c r="DY6145" s="185" t="s">
        <v>215</v>
      </c>
    </row>
    <row r="6146" spans="129:129" x14ac:dyDescent="0.2">
      <c r="DY6146" s="185" t="s">
        <v>215</v>
      </c>
    </row>
    <row r="6147" spans="129:129" x14ac:dyDescent="0.2">
      <c r="DY6147" s="185" t="s">
        <v>215</v>
      </c>
    </row>
    <row r="6148" spans="129:129" x14ac:dyDescent="0.2">
      <c r="DY6148" s="185" t="s">
        <v>215</v>
      </c>
    </row>
    <row r="6149" spans="129:129" x14ac:dyDescent="0.2">
      <c r="DY6149" s="185" t="s">
        <v>215</v>
      </c>
    </row>
    <row r="6150" spans="129:129" x14ac:dyDescent="0.2">
      <c r="DY6150" s="185" t="s">
        <v>215</v>
      </c>
    </row>
    <row r="6151" spans="129:129" x14ac:dyDescent="0.2">
      <c r="DY6151" s="185" t="s">
        <v>215</v>
      </c>
    </row>
    <row r="6152" spans="129:129" x14ac:dyDescent="0.2">
      <c r="DY6152" s="185" t="s">
        <v>215</v>
      </c>
    </row>
    <row r="6153" spans="129:129" x14ac:dyDescent="0.2">
      <c r="DY6153" s="185" t="s">
        <v>215</v>
      </c>
    </row>
    <row r="6154" spans="129:129" x14ac:dyDescent="0.2">
      <c r="DY6154" s="185" t="s">
        <v>215</v>
      </c>
    </row>
    <row r="6155" spans="129:129" x14ac:dyDescent="0.2">
      <c r="DY6155" s="185" t="s">
        <v>215</v>
      </c>
    </row>
    <row r="6156" spans="129:129" x14ac:dyDescent="0.2">
      <c r="DY6156" s="185" t="s">
        <v>215</v>
      </c>
    </row>
    <row r="6157" spans="129:129" x14ac:dyDescent="0.2">
      <c r="DY6157" s="185" t="s">
        <v>215</v>
      </c>
    </row>
    <row r="6158" spans="129:129" x14ac:dyDescent="0.2">
      <c r="DY6158" s="185" t="s">
        <v>215</v>
      </c>
    </row>
    <row r="6159" spans="129:129" x14ac:dyDescent="0.2">
      <c r="DY6159" s="185" t="s">
        <v>215</v>
      </c>
    </row>
    <row r="6160" spans="129:129" x14ac:dyDescent="0.2">
      <c r="DY6160" s="185" t="s">
        <v>215</v>
      </c>
    </row>
    <row r="6161" spans="129:129" x14ac:dyDescent="0.2">
      <c r="DY6161" s="185" t="s">
        <v>215</v>
      </c>
    </row>
    <row r="6162" spans="129:129" x14ac:dyDescent="0.2">
      <c r="DY6162" s="185" t="s">
        <v>215</v>
      </c>
    </row>
    <row r="6163" spans="129:129" x14ac:dyDescent="0.2">
      <c r="DY6163" s="185" t="s">
        <v>215</v>
      </c>
    </row>
    <row r="6164" spans="129:129" x14ac:dyDescent="0.2">
      <c r="DY6164" s="185" t="s">
        <v>215</v>
      </c>
    </row>
    <row r="6165" spans="129:129" x14ac:dyDescent="0.2">
      <c r="DY6165" s="185" t="s">
        <v>215</v>
      </c>
    </row>
    <row r="6166" spans="129:129" x14ac:dyDescent="0.2">
      <c r="DY6166" s="185" t="s">
        <v>215</v>
      </c>
    </row>
    <row r="6167" spans="129:129" x14ac:dyDescent="0.2">
      <c r="DY6167" s="185" t="s">
        <v>215</v>
      </c>
    </row>
    <row r="6168" spans="129:129" x14ac:dyDescent="0.2">
      <c r="DY6168" s="185" t="s">
        <v>215</v>
      </c>
    </row>
    <row r="6169" spans="129:129" x14ac:dyDescent="0.2">
      <c r="DY6169" s="185" t="s">
        <v>215</v>
      </c>
    </row>
    <row r="6170" spans="129:129" x14ac:dyDescent="0.2">
      <c r="DY6170" s="185" t="s">
        <v>215</v>
      </c>
    </row>
    <row r="6171" spans="129:129" x14ac:dyDescent="0.2">
      <c r="DY6171" s="185" t="s">
        <v>215</v>
      </c>
    </row>
    <row r="6172" spans="129:129" x14ac:dyDescent="0.2">
      <c r="DY6172" s="185" t="s">
        <v>215</v>
      </c>
    </row>
    <row r="6173" spans="129:129" x14ac:dyDescent="0.2">
      <c r="DY6173" s="185" t="s">
        <v>215</v>
      </c>
    </row>
    <row r="6174" spans="129:129" x14ac:dyDescent="0.2">
      <c r="DY6174" s="185" t="s">
        <v>215</v>
      </c>
    </row>
    <row r="6175" spans="129:129" x14ac:dyDescent="0.2">
      <c r="DY6175" s="185" t="s">
        <v>215</v>
      </c>
    </row>
    <row r="6176" spans="129:129" x14ac:dyDescent="0.2">
      <c r="DY6176" s="185" t="s">
        <v>215</v>
      </c>
    </row>
    <row r="6177" spans="129:129" x14ac:dyDescent="0.2">
      <c r="DY6177" s="185" t="s">
        <v>215</v>
      </c>
    </row>
    <row r="6178" spans="129:129" x14ac:dyDescent="0.2">
      <c r="DY6178" s="185" t="s">
        <v>215</v>
      </c>
    </row>
    <row r="6179" spans="129:129" x14ac:dyDescent="0.2">
      <c r="DY6179" s="185" t="s">
        <v>215</v>
      </c>
    </row>
    <row r="6180" spans="129:129" x14ac:dyDescent="0.2">
      <c r="DY6180" s="185" t="s">
        <v>215</v>
      </c>
    </row>
    <row r="6181" spans="129:129" x14ac:dyDescent="0.2">
      <c r="DY6181" s="185" t="s">
        <v>215</v>
      </c>
    </row>
    <row r="6182" spans="129:129" x14ac:dyDescent="0.2">
      <c r="DY6182" s="185" t="s">
        <v>215</v>
      </c>
    </row>
    <row r="6183" spans="129:129" x14ac:dyDescent="0.2">
      <c r="DY6183" s="185" t="s">
        <v>215</v>
      </c>
    </row>
    <row r="6184" spans="129:129" x14ac:dyDescent="0.2">
      <c r="DY6184" s="185" t="s">
        <v>215</v>
      </c>
    </row>
    <row r="6185" spans="129:129" x14ac:dyDescent="0.2">
      <c r="DY6185" s="185" t="s">
        <v>215</v>
      </c>
    </row>
    <row r="6186" spans="129:129" x14ac:dyDescent="0.2">
      <c r="DY6186" s="185" t="s">
        <v>215</v>
      </c>
    </row>
    <row r="6187" spans="129:129" x14ac:dyDescent="0.2">
      <c r="DY6187" s="185" t="s">
        <v>215</v>
      </c>
    </row>
    <row r="6188" spans="129:129" x14ac:dyDescent="0.2">
      <c r="DY6188" s="185" t="s">
        <v>215</v>
      </c>
    </row>
    <row r="6189" spans="129:129" x14ac:dyDescent="0.2">
      <c r="DY6189" s="185" t="s">
        <v>215</v>
      </c>
    </row>
    <row r="6190" spans="129:129" x14ac:dyDescent="0.2">
      <c r="DY6190" s="185" t="s">
        <v>215</v>
      </c>
    </row>
    <row r="6191" spans="129:129" x14ac:dyDescent="0.2">
      <c r="DY6191" s="185" t="s">
        <v>215</v>
      </c>
    </row>
    <row r="6192" spans="129:129" x14ac:dyDescent="0.2">
      <c r="DY6192" s="185" t="s">
        <v>215</v>
      </c>
    </row>
    <row r="6193" spans="129:129" x14ac:dyDescent="0.2">
      <c r="DY6193" s="185" t="s">
        <v>215</v>
      </c>
    </row>
    <row r="6194" spans="129:129" x14ac:dyDescent="0.2">
      <c r="DY6194" s="185" t="s">
        <v>215</v>
      </c>
    </row>
    <row r="6195" spans="129:129" x14ac:dyDescent="0.2">
      <c r="DY6195" s="185" t="s">
        <v>215</v>
      </c>
    </row>
    <row r="6196" spans="129:129" x14ac:dyDescent="0.2">
      <c r="DY6196" s="185" t="s">
        <v>215</v>
      </c>
    </row>
    <row r="6197" spans="129:129" x14ac:dyDescent="0.2">
      <c r="DY6197" s="185" t="s">
        <v>215</v>
      </c>
    </row>
    <row r="6198" spans="129:129" x14ac:dyDescent="0.2">
      <c r="DY6198" s="185" t="s">
        <v>215</v>
      </c>
    </row>
    <row r="6199" spans="129:129" x14ac:dyDescent="0.2">
      <c r="DY6199" s="185" t="s">
        <v>215</v>
      </c>
    </row>
    <row r="6200" spans="129:129" x14ac:dyDescent="0.2">
      <c r="DY6200" s="185" t="s">
        <v>215</v>
      </c>
    </row>
    <row r="6201" spans="129:129" x14ac:dyDescent="0.2">
      <c r="DY6201" s="185" t="s">
        <v>215</v>
      </c>
    </row>
    <row r="6202" spans="129:129" x14ac:dyDescent="0.2">
      <c r="DY6202" s="185" t="s">
        <v>215</v>
      </c>
    </row>
    <row r="6203" spans="129:129" x14ac:dyDescent="0.2">
      <c r="DY6203" s="185" t="s">
        <v>215</v>
      </c>
    </row>
    <row r="6204" spans="129:129" x14ac:dyDescent="0.2">
      <c r="DY6204" s="185" t="s">
        <v>215</v>
      </c>
    </row>
    <row r="6205" spans="129:129" x14ac:dyDescent="0.2">
      <c r="DY6205" s="185" t="s">
        <v>215</v>
      </c>
    </row>
    <row r="6206" spans="129:129" x14ac:dyDescent="0.2">
      <c r="DY6206" s="185" t="s">
        <v>215</v>
      </c>
    </row>
    <row r="6207" spans="129:129" x14ac:dyDescent="0.2">
      <c r="DY6207" s="185" t="s">
        <v>215</v>
      </c>
    </row>
    <row r="6208" spans="129:129" x14ac:dyDescent="0.2">
      <c r="DY6208" s="185" t="s">
        <v>215</v>
      </c>
    </row>
    <row r="6209" spans="129:129" x14ac:dyDescent="0.2">
      <c r="DY6209" s="185" t="s">
        <v>215</v>
      </c>
    </row>
    <row r="6210" spans="129:129" x14ac:dyDescent="0.2">
      <c r="DY6210" s="185" t="s">
        <v>215</v>
      </c>
    </row>
    <row r="6211" spans="129:129" x14ac:dyDescent="0.2">
      <c r="DY6211" s="185" t="s">
        <v>215</v>
      </c>
    </row>
    <row r="6212" spans="129:129" x14ac:dyDescent="0.2">
      <c r="DY6212" s="185" t="s">
        <v>215</v>
      </c>
    </row>
    <row r="6213" spans="129:129" x14ac:dyDescent="0.2">
      <c r="DY6213" s="185" t="s">
        <v>215</v>
      </c>
    </row>
    <row r="6214" spans="129:129" x14ac:dyDescent="0.2">
      <c r="DY6214" s="185" t="s">
        <v>215</v>
      </c>
    </row>
    <row r="6215" spans="129:129" x14ac:dyDescent="0.2">
      <c r="DY6215" s="185" t="s">
        <v>215</v>
      </c>
    </row>
    <row r="6216" spans="129:129" x14ac:dyDescent="0.2">
      <c r="DY6216" s="185" t="s">
        <v>215</v>
      </c>
    </row>
    <row r="6217" spans="129:129" x14ac:dyDescent="0.2">
      <c r="DY6217" s="185" t="s">
        <v>215</v>
      </c>
    </row>
    <row r="6218" spans="129:129" x14ac:dyDescent="0.2">
      <c r="DY6218" s="185" t="s">
        <v>215</v>
      </c>
    </row>
    <row r="6219" spans="129:129" x14ac:dyDescent="0.2">
      <c r="DY6219" s="185" t="s">
        <v>215</v>
      </c>
    </row>
    <row r="6220" spans="129:129" x14ac:dyDescent="0.2">
      <c r="DY6220" s="185" t="s">
        <v>215</v>
      </c>
    </row>
    <row r="6221" spans="129:129" x14ac:dyDescent="0.2">
      <c r="DY6221" s="185" t="s">
        <v>215</v>
      </c>
    </row>
    <row r="6222" spans="129:129" x14ac:dyDescent="0.2">
      <c r="DY6222" s="185" t="s">
        <v>215</v>
      </c>
    </row>
    <row r="6223" spans="129:129" x14ac:dyDescent="0.2">
      <c r="DY6223" s="185" t="s">
        <v>215</v>
      </c>
    </row>
    <row r="6224" spans="129:129" x14ac:dyDescent="0.2">
      <c r="DY6224" s="185" t="s">
        <v>215</v>
      </c>
    </row>
    <row r="6225" spans="129:129" x14ac:dyDescent="0.2">
      <c r="DY6225" s="185" t="s">
        <v>215</v>
      </c>
    </row>
    <row r="6226" spans="129:129" x14ac:dyDescent="0.2">
      <c r="DY6226" s="185" t="s">
        <v>215</v>
      </c>
    </row>
    <row r="6227" spans="129:129" x14ac:dyDescent="0.2">
      <c r="DY6227" s="185" t="s">
        <v>215</v>
      </c>
    </row>
    <row r="6228" spans="129:129" x14ac:dyDescent="0.2">
      <c r="DY6228" s="185" t="s">
        <v>215</v>
      </c>
    </row>
    <row r="6229" spans="129:129" x14ac:dyDescent="0.2">
      <c r="DY6229" s="185" t="s">
        <v>215</v>
      </c>
    </row>
    <row r="6230" spans="129:129" x14ac:dyDescent="0.2">
      <c r="DY6230" s="185" t="s">
        <v>215</v>
      </c>
    </row>
    <row r="6231" spans="129:129" x14ac:dyDescent="0.2">
      <c r="DY6231" s="185" t="s">
        <v>215</v>
      </c>
    </row>
    <row r="6232" spans="129:129" x14ac:dyDescent="0.2">
      <c r="DY6232" s="185" t="s">
        <v>215</v>
      </c>
    </row>
    <row r="6233" spans="129:129" x14ac:dyDescent="0.2">
      <c r="DY6233" s="185" t="s">
        <v>215</v>
      </c>
    </row>
    <row r="6234" spans="129:129" x14ac:dyDescent="0.2">
      <c r="DY6234" s="185" t="s">
        <v>215</v>
      </c>
    </row>
    <row r="6235" spans="129:129" x14ac:dyDescent="0.2">
      <c r="DY6235" s="185" t="s">
        <v>215</v>
      </c>
    </row>
    <row r="6236" spans="129:129" x14ac:dyDescent="0.2">
      <c r="DY6236" s="185" t="s">
        <v>215</v>
      </c>
    </row>
    <row r="6237" spans="129:129" x14ac:dyDescent="0.2">
      <c r="DY6237" s="185" t="s">
        <v>215</v>
      </c>
    </row>
    <row r="6238" spans="129:129" x14ac:dyDescent="0.2">
      <c r="DY6238" s="185" t="s">
        <v>215</v>
      </c>
    </row>
    <row r="6239" spans="129:129" x14ac:dyDescent="0.2">
      <c r="DY6239" s="185" t="s">
        <v>215</v>
      </c>
    </row>
    <row r="6240" spans="129:129" x14ac:dyDescent="0.2">
      <c r="DY6240" s="185" t="s">
        <v>215</v>
      </c>
    </row>
    <row r="6241" spans="129:129" x14ac:dyDescent="0.2">
      <c r="DY6241" s="185" t="s">
        <v>215</v>
      </c>
    </row>
    <row r="6242" spans="129:129" x14ac:dyDescent="0.2">
      <c r="DY6242" s="185" t="s">
        <v>215</v>
      </c>
    </row>
    <row r="6243" spans="129:129" x14ac:dyDescent="0.2">
      <c r="DY6243" s="185" t="s">
        <v>215</v>
      </c>
    </row>
    <row r="6244" spans="129:129" x14ac:dyDescent="0.2">
      <c r="DY6244" s="185" t="s">
        <v>215</v>
      </c>
    </row>
    <row r="6245" spans="129:129" x14ac:dyDescent="0.2">
      <c r="DY6245" s="185" t="s">
        <v>215</v>
      </c>
    </row>
    <row r="6246" spans="129:129" x14ac:dyDescent="0.2">
      <c r="DY6246" s="185" t="s">
        <v>215</v>
      </c>
    </row>
    <row r="6247" spans="129:129" x14ac:dyDescent="0.2">
      <c r="DY6247" s="185" t="s">
        <v>215</v>
      </c>
    </row>
    <row r="6248" spans="129:129" x14ac:dyDescent="0.2">
      <c r="DY6248" s="185" t="s">
        <v>215</v>
      </c>
    </row>
    <row r="6249" spans="129:129" x14ac:dyDescent="0.2">
      <c r="DY6249" s="185" t="s">
        <v>215</v>
      </c>
    </row>
    <row r="6250" spans="129:129" x14ac:dyDescent="0.2">
      <c r="DY6250" s="185" t="s">
        <v>215</v>
      </c>
    </row>
    <row r="6251" spans="129:129" x14ac:dyDescent="0.2">
      <c r="DY6251" s="185" t="s">
        <v>215</v>
      </c>
    </row>
    <row r="6252" spans="129:129" x14ac:dyDescent="0.2">
      <c r="DY6252" s="185" t="s">
        <v>215</v>
      </c>
    </row>
    <row r="6253" spans="129:129" x14ac:dyDescent="0.2">
      <c r="DY6253" s="185" t="s">
        <v>215</v>
      </c>
    </row>
    <row r="6254" spans="129:129" x14ac:dyDescent="0.2">
      <c r="DY6254" s="185" t="s">
        <v>215</v>
      </c>
    </row>
    <row r="6255" spans="129:129" x14ac:dyDescent="0.2">
      <c r="DY6255" s="185" t="s">
        <v>215</v>
      </c>
    </row>
    <row r="6256" spans="129:129" x14ac:dyDescent="0.2">
      <c r="DY6256" s="185" t="s">
        <v>215</v>
      </c>
    </row>
    <row r="6257" spans="129:129" x14ac:dyDescent="0.2">
      <c r="DY6257" s="185" t="s">
        <v>215</v>
      </c>
    </row>
    <row r="6258" spans="129:129" x14ac:dyDescent="0.2">
      <c r="DY6258" s="185" t="s">
        <v>215</v>
      </c>
    </row>
    <row r="6259" spans="129:129" x14ac:dyDescent="0.2">
      <c r="DY6259" s="185" t="s">
        <v>215</v>
      </c>
    </row>
    <row r="6260" spans="129:129" x14ac:dyDescent="0.2">
      <c r="DY6260" s="185" t="s">
        <v>215</v>
      </c>
    </row>
    <row r="6261" spans="129:129" x14ac:dyDescent="0.2">
      <c r="DY6261" s="185" t="s">
        <v>215</v>
      </c>
    </row>
    <row r="6262" spans="129:129" x14ac:dyDescent="0.2">
      <c r="DY6262" s="185" t="s">
        <v>215</v>
      </c>
    </row>
    <row r="6263" spans="129:129" x14ac:dyDescent="0.2">
      <c r="DY6263" s="185" t="s">
        <v>215</v>
      </c>
    </row>
    <row r="6264" spans="129:129" x14ac:dyDescent="0.2">
      <c r="DY6264" s="185" t="s">
        <v>215</v>
      </c>
    </row>
    <row r="6265" spans="129:129" x14ac:dyDescent="0.2">
      <c r="DY6265" s="185" t="s">
        <v>215</v>
      </c>
    </row>
    <row r="6266" spans="129:129" x14ac:dyDescent="0.2">
      <c r="DY6266" s="185" t="s">
        <v>215</v>
      </c>
    </row>
    <row r="6267" spans="129:129" x14ac:dyDescent="0.2">
      <c r="DY6267" s="185" t="s">
        <v>215</v>
      </c>
    </row>
    <row r="6268" spans="129:129" x14ac:dyDescent="0.2">
      <c r="DY6268" s="185" t="s">
        <v>215</v>
      </c>
    </row>
    <row r="6269" spans="129:129" x14ac:dyDescent="0.2">
      <c r="DY6269" s="185" t="s">
        <v>215</v>
      </c>
    </row>
    <row r="6270" spans="129:129" x14ac:dyDescent="0.2">
      <c r="DY6270" s="185" t="s">
        <v>215</v>
      </c>
    </row>
    <row r="6271" spans="129:129" x14ac:dyDescent="0.2">
      <c r="DY6271" s="185" t="s">
        <v>215</v>
      </c>
    </row>
    <row r="6272" spans="129:129" x14ac:dyDescent="0.2">
      <c r="DY6272" s="185" t="s">
        <v>215</v>
      </c>
    </row>
    <row r="6273" spans="129:129" x14ac:dyDescent="0.2">
      <c r="DY6273" s="185" t="s">
        <v>215</v>
      </c>
    </row>
    <row r="6274" spans="129:129" x14ac:dyDescent="0.2">
      <c r="DY6274" s="185" t="s">
        <v>215</v>
      </c>
    </row>
    <row r="6275" spans="129:129" x14ac:dyDescent="0.2">
      <c r="DY6275" s="185" t="s">
        <v>215</v>
      </c>
    </row>
    <row r="6276" spans="129:129" x14ac:dyDescent="0.2">
      <c r="DY6276" s="185" t="s">
        <v>215</v>
      </c>
    </row>
    <row r="6277" spans="129:129" x14ac:dyDescent="0.2">
      <c r="DY6277" s="185" t="s">
        <v>215</v>
      </c>
    </row>
    <row r="6278" spans="129:129" x14ac:dyDescent="0.2">
      <c r="DY6278" s="185" t="s">
        <v>215</v>
      </c>
    </row>
    <row r="6279" spans="129:129" x14ac:dyDescent="0.2">
      <c r="DY6279" s="185" t="s">
        <v>215</v>
      </c>
    </row>
    <row r="6280" spans="129:129" x14ac:dyDescent="0.2">
      <c r="DY6280" s="185" t="s">
        <v>215</v>
      </c>
    </row>
    <row r="6281" spans="129:129" x14ac:dyDescent="0.2">
      <c r="DY6281" s="185" t="s">
        <v>215</v>
      </c>
    </row>
    <row r="6282" spans="129:129" x14ac:dyDescent="0.2">
      <c r="DY6282" s="185" t="s">
        <v>215</v>
      </c>
    </row>
    <row r="6283" spans="129:129" x14ac:dyDescent="0.2">
      <c r="DY6283" s="185" t="s">
        <v>215</v>
      </c>
    </row>
    <row r="6284" spans="129:129" x14ac:dyDescent="0.2">
      <c r="DY6284" s="185" t="s">
        <v>215</v>
      </c>
    </row>
    <row r="6285" spans="129:129" x14ac:dyDescent="0.2">
      <c r="DY6285" s="185" t="s">
        <v>215</v>
      </c>
    </row>
    <row r="6286" spans="129:129" x14ac:dyDescent="0.2">
      <c r="DY6286" s="185" t="s">
        <v>215</v>
      </c>
    </row>
    <row r="6287" spans="129:129" x14ac:dyDescent="0.2">
      <c r="DY6287" s="185" t="s">
        <v>215</v>
      </c>
    </row>
    <row r="6288" spans="129:129" x14ac:dyDescent="0.2">
      <c r="DY6288" s="185" t="s">
        <v>215</v>
      </c>
    </row>
    <row r="6289" spans="129:129" x14ac:dyDescent="0.2">
      <c r="DY6289" s="185" t="s">
        <v>215</v>
      </c>
    </row>
    <row r="6290" spans="129:129" x14ac:dyDescent="0.2">
      <c r="DY6290" s="185" t="s">
        <v>215</v>
      </c>
    </row>
    <row r="6291" spans="129:129" x14ac:dyDescent="0.2">
      <c r="DY6291" s="185" t="s">
        <v>215</v>
      </c>
    </row>
    <row r="6292" spans="129:129" x14ac:dyDescent="0.2">
      <c r="DY6292" s="185" t="s">
        <v>215</v>
      </c>
    </row>
    <row r="6293" spans="129:129" x14ac:dyDescent="0.2">
      <c r="DY6293" s="185" t="s">
        <v>215</v>
      </c>
    </row>
    <row r="6294" spans="129:129" x14ac:dyDescent="0.2">
      <c r="DY6294" s="185" t="s">
        <v>215</v>
      </c>
    </row>
    <row r="6295" spans="129:129" x14ac:dyDescent="0.2">
      <c r="DY6295" s="185" t="s">
        <v>215</v>
      </c>
    </row>
    <row r="6296" spans="129:129" x14ac:dyDescent="0.2">
      <c r="DY6296" s="185" t="s">
        <v>215</v>
      </c>
    </row>
    <row r="6297" spans="129:129" x14ac:dyDescent="0.2">
      <c r="DY6297" s="185" t="s">
        <v>215</v>
      </c>
    </row>
    <row r="6298" spans="129:129" x14ac:dyDescent="0.2">
      <c r="DY6298" s="185" t="s">
        <v>215</v>
      </c>
    </row>
    <row r="6299" spans="129:129" x14ac:dyDescent="0.2">
      <c r="DY6299" s="185" t="s">
        <v>215</v>
      </c>
    </row>
    <row r="6300" spans="129:129" x14ac:dyDescent="0.2">
      <c r="DY6300" s="185" t="s">
        <v>215</v>
      </c>
    </row>
    <row r="6301" spans="129:129" x14ac:dyDescent="0.2">
      <c r="DY6301" s="185" t="s">
        <v>215</v>
      </c>
    </row>
    <row r="6302" spans="129:129" x14ac:dyDescent="0.2">
      <c r="DY6302" s="185" t="s">
        <v>215</v>
      </c>
    </row>
    <row r="6303" spans="129:129" x14ac:dyDescent="0.2">
      <c r="DY6303" s="185" t="s">
        <v>215</v>
      </c>
    </row>
    <row r="6304" spans="129:129" x14ac:dyDescent="0.2">
      <c r="DY6304" s="185" t="s">
        <v>215</v>
      </c>
    </row>
    <row r="6305" spans="129:129" x14ac:dyDescent="0.2">
      <c r="DY6305" s="185" t="s">
        <v>215</v>
      </c>
    </row>
    <row r="6306" spans="129:129" x14ac:dyDescent="0.2">
      <c r="DY6306" s="185" t="s">
        <v>215</v>
      </c>
    </row>
    <row r="6307" spans="129:129" x14ac:dyDescent="0.2">
      <c r="DY6307" s="185" t="s">
        <v>215</v>
      </c>
    </row>
    <row r="6308" spans="129:129" x14ac:dyDescent="0.2">
      <c r="DY6308" s="185" t="s">
        <v>215</v>
      </c>
    </row>
    <row r="6309" spans="129:129" x14ac:dyDescent="0.2">
      <c r="DY6309" s="185" t="s">
        <v>215</v>
      </c>
    </row>
    <row r="6310" spans="129:129" x14ac:dyDescent="0.2">
      <c r="DY6310" s="185" t="s">
        <v>215</v>
      </c>
    </row>
    <row r="6311" spans="129:129" x14ac:dyDescent="0.2">
      <c r="DY6311" s="185" t="s">
        <v>215</v>
      </c>
    </row>
    <row r="6312" spans="129:129" x14ac:dyDescent="0.2">
      <c r="DY6312" s="185" t="s">
        <v>215</v>
      </c>
    </row>
    <row r="6313" spans="129:129" x14ac:dyDescent="0.2">
      <c r="DY6313" s="185" t="s">
        <v>215</v>
      </c>
    </row>
    <row r="6314" spans="129:129" x14ac:dyDescent="0.2">
      <c r="DY6314" s="185" t="s">
        <v>215</v>
      </c>
    </row>
    <row r="6315" spans="129:129" x14ac:dyDescent="0.2">
      <c r="DY6315" s="185" t="s">
        <v>215</v>
      </c>
    </row>
    <row r="6316" spans="129:129" x14ac:dyDescent="0.2">
      <c r="DY6316" s="185" t="s">
        <v>215</v>
      </c>
    </row>
    <row r="6317" spans="129:129" x14ac:dyDescent="0.2">
      <c r="DY6317" s="185" t="s">
        <v>215</v>
      </c>
    </row>
    <row r="6318" spans="129:129" x14ac:dyDescent="0.2">
      <c r="DY6318" s="185" t="s">
        <v>215</v>
      </c>
    </row>
    <row r="6319" spans="129:129" x14ac:dyDescent="0.2">
      <c r="DY6319" s="185" t="s">
        <v>215</v>
      </c>
    </row>
    <row r="6320" spans="129:129" x14ac:dyDescent="0.2">
      <c r="DY6320" s="185" t="s">
        <v>215</v>
      </c>
    </row>
    <row r="6321" spans="129:129" x14ac:dyDescent="0.2">
      <c r="DY6321" s="185" t="s">
        <v>215</v>
      </c>
    </row>
    <row r="6322" spans="129:129" x14ac:dyDescent="0.2">
      <c r="DY6322" s="185" t="s">
        <v>215</v>
      </c>
    </row>
    <row r="6323" spans="129:129" x14ac:dyDescent="0.2">
      <c r="DY6323" s="185" t="s">
        <v>215</v>
      </c>
    </row>
    <row r="6324" spans="129:129" x14ac:dyDescent="0.2">
      <c r="DY6324" s="185" t="s">
        <v>215</v>
      </c>
    </row>
    <row r="6325" spans="129:129" x14ac:dyDescent="0.2">
      <c r="DY6325" s="185" t="s">
        <v>215</v>
      </c>
    </row>
    <row r="6326" spans="129:129" x14ac:dyDescent="0.2">
      <c r="DY6326" s="185" t="s">
        <v>215</v>
      </c>
    </row>
    <row r="6327" spans="129:129" x14ac:dyDescent="0.2">
      <c r="DY6327" s="185" t="s">
        <v>215</v>
      </c>
    </row>
    <row r="6328" spans="129:129" x14ac:dyDescent="0.2">
      <c r="DY6328" s="185" t="s">
        <v>215</v>
      </c>
    </row>
    <row r="6329" spans="129:129" x14ac:dyDescent="0.2">
      <c r="DY6329" s="185" t="s">
        <v>215</v>
      </c>
    </row>
    <row r="6330" spans="129:129" x14ac:dyDescent="0.2">
      <c r="DY6330" s="185" t="s">
        <v>215</v>
      </c>
    </row>
    <row r="6331" spans="129:129" x14ac:dyDescent="0.2">
      <c r="DY6331" s="185" t="s">
        <v>215</v>
      </c>
    </row>
    <row r="6332" spans="129:129" x14ac:dyDescent="0.2">
      <c r="DY6332" s="185" t="s">
        <v>215</v>
      </c>
    </row>
    <row r="6333" spans="129:129" x14ac:dyDescent="0.2">
      <c r="DY6333" s="185" t="s">
        <v>215</v>
      </c>
    </row>
    <row r="6334" spans="129:129" x14ac:dyDescent="0.2">
      <c r="DY6334" s="185" t="s">
        <v>215</v>
      </c>
    </row>
    <row r="6335" spans="129:129" x14ac:dyDescent="0.2">
      <c r="DY6335" s="185" t="s">
        <v>215</v>
      </c>
    </row>
    <row r="6336" spans="129:129" x14ac:dyDescent="0.2">
      <c r="DY6336" s="185" t="s">
        <v>215</v>
      </c>
    </row>
    <row r="6337" spans="129:129" x14ac:dyDescent="0.2">
      <c r="DY6337" s="185" t="s">
        <v>215</v>
      </c>
    </row>
    <row r="6338" spans="129:129" x14ac:dyDescent="0.2">
      <c r="DY6338" s="185" t="s">
        <v>215</v>
      </c>
    </row>
    <row r="6339" spans="129:129" x14ac:dyDescent="0.2">
      <c r="DY6339" s="185" t="s">
        <v>215</v>
      </c>
    </row>
    <row r="6340" spans="129:129" x14ac:dyDescent="0.2">
      <c r="DY6340" s="185" t="s">
        <v>215</v>
      </c>
    </row>
    <row r="6341" spans="129:129" x14ac:dyDescent="0.2">
      <c r="DY6341" s="185" t="s">
        <v>215</v>
      </c>
    </row>
    <row r="6342" spans="129:129" x14ac:dyDescent="0.2">
      <c r="DY6342" s="185" t="s">
        <v>215</v>
      </c>
    </row>
    <row r="6343" spans="129:129" x14ac:dyDescent="0.2">
      <c r="DY6343" s="185" t="s">
        <v>215</v>
      </c>
    </row>
    <row r="6344" spans="129:129" x14ac:dyDescent="0.2">
      <c r="DY6344" s="185" t="s">
        <v>215</v>
      </c>
    </row>
    <row r="6345" spans="129:129" x14ac:dyDescent="0.2">
      <c r="DY6345" s="185" t="s">
        <v>215</v>
      </c>
    </row>
    <row r="6346" spans="129:129" x14ac:dyDescent="0.2">
      <c r="DY6346" s="185" t="s">
        <v>215</v>
      </c>
    </row>
    <row r="6347" spans="129:129" x14ac:dyDescent="0.2">
      <c r="DY6347" s="185" t="s">
        <v>215</v>
      </c>
    </row>
    <row r="6348" spans="129:129" x14ac:dyDescent="0.2">
      <c r="DY6348" s="185" t="s">
        <v>215</v>
      </c>
    </row>
    <row r="6349" spans="129:129" x14ac:dyDescent="0.2">
      <c r="DY6349" s="185" t="s">
        <v>215</v>
      </c>
    </row>
    <row r="6350" spans="129:129" x14ac:dyDescent="0.2">
      <c r="DY6350" s="185" t="s">
        <v>215</v>
      </c>
    </row>
    <row r="6351" spans="129:129" x14ac:dyDescent="0.2">
      <c r="DY6351" s="185" t="s">
        <v>215</v>
      </c>
    </row>
    <row r="6352" spans="129:129" x14ac:dyDescent="0.2">
      <c r="DY6352" s="185" t="s">
        <v>215</v>
      </c>
    </row>
    <row r="6353" spans="129:129" x14ac:dyDescent="0.2">
      <c r="DY6353" s="185" t="s">
        <v>215</v>
      </c>
    </row>
    <row r="6354" spans="129:129" x14ac:dyDescent="0.2">
      <c r="DY6354" s="185" t="s">
        <v>215</v>
      </c>
    </row>
    <row r="6355" spans="129:129" x14ac:dyDescent="0.2">
      <c r="DY6355" s="185" t="s">
        <v>215</v>
      </c>
    </row>
    <row r="6356" spans="129:129" x14ac:dyDescent="0.2">
      <c r="DY6356" s="185" t="s">
        <v>215</v>
      </c>
    </row>
    <row r="6357" spans="129:129" x14ac:dyDescent="0.2">
      <c r="DY6357" s="185" t="s">
        <v>215</v>
      </c>
    </row>
    <row r="6358" spans="129:129" x14ac:dyDescent="0.2">
      <c r="DY6358" s="185" t="s">
        <v>215</v>
      </c>
    </row>
    <row r="6359" spans="129:129" x14ac:dyDescent="0.2">
      <c r="DY6359" s="185" t="s">
        <v>215</v>
      </c>
    </row>
    <row r="6360" spans="129:129" x14ac:dyDescent="0.2">
      <c r="DY6360" s="185" t="s">
        <v>215</v>
      </c>
    </row>
    <row r="6361" spans="129:129" x14ac:dyDescent="0.2">
      <c r="DY6361" s="185" t="s">
        <v>215</v>
      </c>
    </row>
    <row r="6362" spans="129:129" x14ac:dyDescent="0.2">
      <c r="DY6362" s="185" t="s">
        <v>215</v>
      </c>
    </row>
    <row r="6363" spans="129:129" x14ac:dyDescent="0.2">
      <c r="DY6363" s="185" t="s">
        <v>215</v>
      </c>
    </row>
    <row r="6364" spans="129:129" x14ac:dyDescent="0.2">
      <c r="DY6364" s="185" t="s">
        <v>215</v>
      </c>
    </row>
    <row r="6365" spans="129:129" x14ac:dyDescent="0.2">
      <c r="DY6365" s="185" t="s">
        <v>215</v>
      </c>
    </row>
    <row r="6366" spans="129:129" x14ac:dyDescent="0.2">
      <c r="DY6366" s="185" t="s">
        <v>215</v>
      </c>
    </row>
    <row r="6367" spans="129:129" x14ac:dyDescent="0.2">
      <c r="DY6367" s="185" t="s">
        <v>215</v>
      </c>
    </row>
    <row r="6368" spans="129:129" x14ac:dyDescent="0.2">
      <c r="DY6368" s="185" t="s">
        <v>215</v>
      </c>
    </row>
    <row r="6369" spans="129:129" x14ac:dyDescent="0.2">
      <c r="DY6369" s="185" t="s">
        <v>215</v>
      </c>
    </row>
    <row r="6370" spans="129:129" x14ac:dyDescent="0.2">
      <c r="DY6370" s="185" t="s">
        <v>215</v>
      </c>
    </row>
    <row r="6371" spans="129:129" x14ac:dyDescent="0.2">
      <c r="DY6371" s="185" t="s">
        <v>215</v>
      </c>
    </row>
    <row r="6372" spans="129:129" x14ac:dyDescent="0.2">
      <c r="DY6372" s="185" t="s">
        <v>215</v>
      </c>
    </row>
    <row r="6373" spans="129:129" x14ac:dyDescent="0.2">
      <c r="DY6373" s="185" t="s">
        <v>215</v>
      </c>
    </row>
    <row r="6374" spans="129:129" x14ac:dyDescent="0.2">
      <c r="DY6374" s="185" t="s">
        <v>215</v>
      </c>
    </row>
    <row r="6375" spans="129:129" x14ac:dyDescent="0.2">
      <c r="DY6375" s="185" t="s">
        <v>215</v>
      </c>
    </row>
    <row r="6376" spans="129:129" x14ac:dyDescent="0.2">
      <c r="DY6376" s="185" t="s">
        <v>215</v>
      </c>
    </row>
    <row r="6377" spans="129:129" x14ac:dyDescent="0.2">
      <c r="DY6377" s="185" t="s">
        <v>215</v>
      </c>
    </row>
    <row r="6378" spans="129:129" x14ac:dyDescent="0.2">
      <c r="DY6378" s="185" t="s">
        <v>215</v>
      </c>
    </row>
    <row r="6379" spans="129:129" x14ac:dyDescent="0.2">
      <c r="DY6379" s="185" t="s">
        <v>215</v>
      </c>
    </row>
    <row r="6380" spans="129:129" x14ac:dyDescent="0.2">
      <c r="DY6380" s="185" t="s">
        <v>215</v>
      </c>
    </row>
    <row r="6381" spans="129:129" x14ac:dyDescent="0.2">
      <c r="DY6381" s="185" t="s">
        <v>215</v>
      </c>
    </row>
    <row r="6382" spans="129:129" x14ac:dyDescent="0.2">
      <c r="DY6382" s="185" t="s">
        <v>215</v>
      </c>
    </row>
    <row r="6383" spans="129:129" x14ac:dyDescent="0.2">
      <c r="DY6383" s="185" t="s">
        <v>215</v>
      </c>
    </row>
    <row r="6384" spans="129:129" x14ac:dyDescent="0.2">
      <c r="DY6384" s="185" t="s">
        <v>215</v>
      </c>
    </row>
    <row r="6385" spans="129:129" x14ac:dyDescent="0.2">
      <c r="DY6385" s="185" t="s">
        <v>215</v>
      </c>
    </row>
    <row r="6386" spans="129:129" x14ac:dyDescent="0.2">
      <c r="DY6386" s="185" t="s">
        <v>215</v>
      </c>
    </row>
    <row r="6387" spans="129:129" x14ac:dyDescent="0.2">
      <c r="DY6387" s="185" t="s">
        <v>215</v>
      </c>
    </row>
    <row r="6388" spans="129:129" x14ac:dyDescent="0.2">
      <c r="DY6388" s="185" t="s">
        <v>215</v>
      </c>
    </row>
    <row r="6389" spans="129:129" x14ac:dyDescent="0.2">
      <c r="DY6389" s="185" t="s">
        <v>215</v>
      </c>
    </row>
    <row r="6390" spans="129:129" x14ac:dyDescent="0.2">
      <c r="DY6390" s="185" t="s">
        <v>215</v>
      </c>
    </row>
    <row r="6391" spans="129:129" x14ac:dyDescent="0.2">
      <c r="DY6391" s="185" t="s">
        <v>215</v>
      </c>
    </row>
    <row r="6392" spans="129:129" x14ac:dyDescent="0.2">
      <c r="DY6392" s="185" t="s">
        <v>215</v>
      </c>
    </row>
    <row r="6393" spans="129:129" x14ac:dyDescent="0.2">
      <c r="DY6393" s="185" t="s">
        <v>215</v>
      </c>
    </row>
    <row r="6394" spans="129:129" x14ac:dyDescent="0.2">
      <c r="DY6394" s="185" t="s">
        <v>215</v>
      </c>
    </row>
    <row r="6395" spans="129:129" x14ac:dyDescent="0.2">
      <c r="DY6395" s="185" t="s">
        <v>215</v>
      </c>
    </row>
    <row r="6396" spans="129:129" x14ac:dyDescent="0.2">
      <c r="DY6396" s="185" t="s">
        <v>215</v>
      </c>
    </row>
    <row r="6397" spans="129:129" x14ac:dyDescent="0.2">
      <c r="DY6397" s="185" t="s">
        <v>215</v>
      </c>
    </row>
    <row r="6398" spans="129:129" x14ac:dyDescent="0.2">
      <c r="DY6398" s="185" t="s">
        <v>215</v>
      </c>
    </row>
    <row r="6399" spans="129:129" x14ac:dyDescent="0.2">
      <c r="DY6399" s="185" t="s">
        <v>215</v>
      </c>
    </row>
    <row r="6400" spans="129:129" x14ac:dyDescent="0.2">
      <c r="DY6400" s="185" t="s">
        <v>215</v>
      </c>
    </row>
    <row r="6401" spans="129:129" x14ac:dyDescent="0.2">
      <c r="DY6401" s="185" t="s">
        <v>215</v>
      </c>
    </row>
    <row r="6402" spans="129:129" x14ac:dyDescent="0.2">
      <c r="DY6402" s="185" t="s">
        <v>215</v>
      </c>
    </row>
    <row r="6403" spans="129:129" x14ac:dyDescent="0.2">
      <c r="DY6403" s="185" t="s">
        <v>215</v>
      </c>
    </row>
    <row r="6404" spans="129:129" x14ac:dyDescent="0.2">
      <c r="DY6404" s="185" t="s">
        <v>215</v>
      </c>
    </row>
    <row r="6405" spans="129:129" x14ac:dyDescent="0.2">
      <c r="DY6405" s="185" t="s">
        <v>215</v>
      </c>
    </row>
    <row r="6406" spans="129:129" x14ac:dyDescent="0.2">
      <c r="DY6406" s="185" t="s">
        <v>215</v>
      </c>
    </row>
    <row r="6407" spans="129:129" x14ac:dyDescent="0.2">
      <c r="DY6407" s="185" t="s">
        <v>215</v>
      </c>
    </row>
    <row r="6408" spans="129:129" x14ac:dyDescent="0.2">
      <c r="DY6408" s="185" t="s">
        <v>215</v>
      </c>
    </row>
    <row r="6409" spans="129:129" x14ac:dyDescent="0.2">
      <c r="DY6409" s="185" t="s">
        <v>215</v>
      </c>
    </row>
    <row r="6410" spans="129:129" x14ac:dyDescent="0.2">
      <c r="DY6410" s="185" t="s">
        <v>215</v>
      </c>
    </row>
    <row r="6411" spans="129:129" x14ac:dyDescent="0.2">
      <c r="DY6411" s="185" t="s">
        <v>215</v>
      </c>
    </row>
    <row r="6412" spans="129:129" x14ac:dyDescent="0.2">
      <c r="DY6412" s="185" t="s">
        <v>215</v>
      </c>
    </row>
    <row r="6413" spans="129:129" x14ac:dyDescent="0.2">
      <c r="DY6413" s="185" t="s">
        <v>215</v>
      </c>
    </row>
    <row r="6414" spans="129:129" x14ac:dyDescent="0.2">
      <c r="DY6414" s="185" t="s">
        <v>215</v>
      </c>
    </row>
    <row r="6415" spans="129:129" x14ac:dyDescent="0.2">
      <c r="DY6415" s="185" t="s">
        <v>215</v>
      </c>
    </row>
    <row r="6416" spans="129:129" x14ac:dyDescent="0.2">
      <c r="DY6416" s="185" t="s">
        <v>215</v>
      </c>
    </row>
    <row r="6417" spans="129:129" x14ac:dyDescent="0.2">
      <c r="DY6417" s="185" t="s">
        <v>215</v>
      </c>
    </row>
    <row r="6418" spans="129:129" x14ac:dyDescent="0.2">
      <c r="DY6418" s="185" t="s">
        <v>215</v>
      </c>
    </row>
    <row r="6419" spans="129:129" x14ac:dyDescent="0.2">
      <c r="DY6419" s="185" t="s">
        <v>215</v>
      </c>
    </row>
    <row r="6420" spans="129:129" x14ac:dyDescent="0.2">
      <c r="DY6420" s="185" t="s">
        <v>215</v>
      </c>
    </row>
    <row r="6421" spans="129:129" x14ac:dyDescent="0.2">
      <c r="DY6421" s="185" t="s">
        <v>215</v>
      </c>
    </row>
    <row r="6422" spans="129:129" x14ac:dyDescent="0.2">
      <c r="DY6422" s="185" t="s">
        <v>215</v>
      </c>
    </row>
    <row r="6423" spans="129:129" x14ac:dyDescent="0.2">
      <c r="DY6423" s="185" t="s">
        <v>215</v>
      </c>
    </row>
    <row r="6424" spans="129:129" x14ac:dyDescent="0.2">
      <c r="DY6424" s="185" t="s">
        <v>215</v>
      </c>
    </row>
    <row r="6425" spans="129:129" x14ac:dyDescent="0.2">
      <c r="DY6425" s="185" t="s">
        <v>215</v>
      </c>
    </row>
    <row r="6426" spans="129:129" x14ac:dyDescent="0.2">
      <c r="DY6426" s="185" t="s">
        <v>215</v>
      </c>
    </row>
    <row r="6427" spans="129:129" x14ac:dyDescent="0.2">
      <c r="DY6427" s="185" t="s">
        <v>215</v>
      </c>
    </row>
    <row r="6428" spans="129:129" x14ac:dyDescent="0.2">
      <c r="DY6428" s="185" t="s">
        <v>215</v>
      </c>
    </row>
    <row r="6429" spans="129:129" x14ac:dyDescent="0.2">
      <c r="DY6429" s="185" t="s">
        <v>215</v>
      </c>
    </row>
    <row r="6430" spans="129:129" x14ac:dyDescent="0.2">
      <c r="DY6430" s="185" t="s">
        <v>215</v>
      </c>
    </row>
    <row r="6431" spans="129:129" x14ac:dyDescent="0.2">
      <c r="DY6431" s="185" t="s">
        <v>215</v>
      </c>
    </row>
    <row r="6432" spans="129:129" x14ac:dyDescent="0.2">
      <c r="DY6432" s="185" t="s">
        <v>215</v>
      </c>
    </row>
    <row r="6433" spans="129:129" x14ac:dyDescent="0.2">
      <c r="DY6433" s="185" t="s">
        <v>215</v>
      </c>
    </row>
    <row r="6434" spans="129:129" x14ac:dyDescent="0.2">
      <c r="DY6434" s="185" t="s">
        <v>215</v>
      </c>
    </row>
    <row r="6435" spans="129:129" x14ac:dyDescent="0.2">
      <c r="DY6435" s="185" t="s">
        <v>215</v>
      </c>
    </row>
    <row r="6436" spans="129:129" x14ac:dyDescent="0.2">
      <c r="DY6436" s="185" t="s">
        <v>215</v>
      </c>
    </row>
    <row r="6437" spans="129:129" x14ac:dyDescent="0.2">
      <c r="DY6437" s="185" t="s">
        <v>215</v>
      </c>
    </row>
    <row r="6438" spans="129:129" x14ac:dyDescent="0.2">
      <c r="DY6438" s="185" t="s">
        <v>215</v>
      </c>
    </row>
    <row r="6439" spans="129:129" x14ac:dyDescent="0.2">
      <c r="DY6439" s="185" t="s">
        <v>215</v>
      </c>
    </row>
    <row r="6440" spans="129:129" x14ac:dyDescent="0.2">
      <c r="DY6440" s="185" t="s">
        <v>215</v>
      </c>
    </row>
    <row r="6441" spans="129:129" x14ac:dyDescent="0.2">
      <c r="DY6441" s="185" t="s">
        <v>215</v>
      </c>
    </row>
    <row r="6442" spans="129:129" x14ac:dyDescent="0.2">
      <c r="DY6442" s="185" t="s">
        <v>215</v>
      </c>
    </row>
    <row r="6443" spans="129:129" x14ac:dyDescent="0.2">
      <c r="DY6443" s="185" t="s">
        <v>215</v>
      </c>
    </row>
    <row r="6444" spans="129:129" x14ac:dyDescent="0.2">
      <c r="DY6444" s="185" t="s">
        <v>215</v>
      </c>
    </row>
    <row r="6445" spans="129:129" x14ac:dyDescent="0.2">
      <c r="DY6445" s="185" t="s">
        <v>215</v>
      </c>
    </row>
    <row r="6446" spans="129:129" x14ac:dyDescent="0.2">
      <c r="DY6446" s="185" t="s">
        <v>215</v>
      </c>
    </row>
    <row r="6447" spans="129:129" x14ac:dyDescent="0.2">
      <c r="DY6447" s="185" t="s">
        <v>215</v>
      </c>
    </row>
    <row r="6448" spans="129:129" x14ac:dyDescent="0.2">
      <c r="DY6448" s="185" t="s">
        <v>215</v>
      </c>
    </row>
    <row r="6449" spans="129:129" x14ac:dyDescent="0.2">
      <c r="DY6449" s="185" t="s">
        <v>215</v>
      </c>
    </row>
    <row r="6450" spans="129:129" x14ac:dyDescent="0.2">
      <c r="DY6450" s="185" t="s">
        <v>215</v>
      </c>
    </row>
    <row r="6451" spans="129:129" x14ac:dyDescent="0.2">
      <c r="DY6451" s="185" t="s">
        <v>215</v>
      </c>
    </row>
    <row r="6452" spans="129:129" x14ac:dyDescent="0.2">
      <c r="DY6452" s="185" t="s">
        <v>215</v>
      </c>
    </row>
    <row r="6453" spans="129:129" x14ac:dyDescent="0.2">
      <c r="DY6453" s="185" t="s">
        <v>215</v>
      </c>
    </row>
    <row r="6454" spans="129:129" x14ac:dyDescent="0.2">
      <c r="DY6454" s="185" t="s">
        <v>215</v>
      </c>
    </row>
    <row r="6455" spans="129:129" x14ac:dyDescent="0.2">
      <c r="DY6455" s="185" t="s">
        <v>215</v>
      </c>
    </row>
    <row r="6456" spans="129:129" x14ac:dyDescent="0.2">
      <c r="DY6456" s="185" t="s">
        <v>215</v>
      </c>
    </row>
    <row r="6457" spans="129:129" x14ac:dyDescent="0.2">
      <c r="DY6457" s="185" t="s">
        <v>215</v>
      </c>
    </row>
    <row r="6458" spans="129:129" x14ac:dyDescent="0.2">
      <c r="DY6458" s="185" t="s">
        <v>215</v>
      </c>
    </row>
    <row r="6459" spans="129:129" x14ac:dyDescent="0.2">
      <c r="DY6459" s="185" t="s">
        <v>215</v>
      </c>
    </row>
    <row r="6460" spans="129:129" x14ac:dyDescent="0.2">
      <c r="DY6460" s="185" t="s">
        <v>215</v>
      </c>
    </row>
    <row r="6461" spans="129:129" x14ac:dyDescent="0.2">
      <c r="DY6461" s="185" t="s">
        <v>215</v>
      </c>
    </row>
    <row r="6462" spans="129:129" x14ac:dyDescent="0.2">
      <c r="DY6462" s="185" t="s">
        <v>215</v>
      </c>
    </row>
    <row r="6463" spans="129:129" x14ac:dyDescent="0.2">
      <c r="DY6463" s="185" t="s">
        <v>215</v>
      </c>
    </row>
    <row r="6464" spans="129:129" x14ac:dyDescent="0.2">
      <c r="DY6464" s="185" t="s">
        <v>215</v>
      </c>
    </row>
    <row r="6465" spans="129:129" x14ac:dyDescent="0.2">
      <c r="DY6465" s="185" t="s">
        <v>215</v>
      </c>
    </row>
    <row r="6466" spans="129:129" x14ac:dyDescent="0.2">
      <c r="DY6466" s="185" t="s">
        <v>215</v>
      </c>
    </row>
    <row r="6467" spans="129:129" x14ac:dyDescent="0.2">
      <c r="DY6467" s="185" t="s">
        <v>215</v>
      </c>
    </row>
    <row r="6468" spans="129:129" x14ac:dyDescent="0.2">
      <c r="DY6468" s="185" t="s">
        <v>215</v>
      </c>
    </row>
    <row r="6469" spans="129:129" x14ac:dyDescent="0.2">
      <c r="DY6469" s="185" t="s">
        <v>215</v>
      </c>
    </row>
    <row r="6470" spans="129:129" x14ac:dyDescent="0.2">
      <c r="DY6470" s="185" t="s">
        <v>215</v>
      </c>
    </row>
    <row r="6471" spans="129:129" x14ac:dyDescent="0.2">
      <c r="DY6471" s="185" t="s">
        <v>215</v>
      </c>
    </row>
    <row r="6472" spans="129:129" x14ac:dyDescent="0.2">
      <c r="DY6472" s="185" t="s">
        <v>215</v>
      </c>
    </row>
    <row r="6473" spans="129:129" x14ac:dyDescent="0.2">
      <c r="DY6473" s="185" t="s">
        <v>215</v>
      </c>
    </row>
    <row r="6474" spans="129:129" x14ac:dyDescent="0.2">
      <c r="DY6474" s="185" t="s">
        <v>215</v>
      </c>
    </row>
    <row r="6475" spans="129:129" x14ac:dyDescent="0.2">
      <c r="DY6475" s="185" t="s">
        <v>215</v>
      </c>
    </row>
    <row r="6476" spans="129:129" x14ac:dyDescent="0.2">
      <c r="DY6476" s="185" t="s">
        <v>215</v>
      </c>
    </row>
    <row r="6477" spans="129:129" x14ac:dyDescent="0.2">
      <c r="DY6477" s="185" t="s">
        <v>215</v>
      </c>
    </row>
    <row r="6478" spans="129:129" x14ac:dyDescent="0.2">
      <c r="DY6478" s="185" t="s">
        <v>215</v>
      </c>
    </row>
    <row r="6479" spans="129:129" x14ac:dyDescent="0.2">
      <c r="DY6479" s="185" t="s">
        <v>215</v>
      </c>
    </row>
    <row r="6480" spans="129:129" x14ac:dyDescent="0.2">
      <c r="DY6480" s="185" t="s">
        <v>215</v>
      </c>
    </row>
    <row r="6481" spans="129:129" x14ac:dyDescent="0.2">
      <c r="DY6481" s="185" t="s">
        <v>215</v>
      </c>
    </row>
    <row r="6482" spans="129:129" x14ac:dyDescent="0.2">
      <c r="DY6482" s="185" t="s">
        <v>215</v>
      </c>
    </row>
    <row r="6483" spans="129:129" x14ac:dyDescent="0.2">
      <c r="DY6483" s="185" t="s">
        <v>215</v>
      </c>
    </row>
    <row r="6484" spans="129:129" x14ac:dyDescent="0.2">
      <c r="DY6484" s="185" t="s">
        <v>215</v>
      </c>
    </row>
    <row r="6485" spans="129:129" x14ac:dyDescent="0.2">
      <c r="DY6485" s="185" t="s">
        <v>215</v>
      </c>
    </row>
    <row r="6486" spans="129:129" x14ac:dyDescent="0.2">
      <c r="DY6486" s="185" t="s">
        <v>215</v>
      </c>
    </row>
    <row r="6487" spans="129:129" x14ac:dyDescent="0.2">
      <c r="DY6487" s="185" t="s">
        <v>215</v>
      </c>
    </row>
    <row r="6488" spans="129:129" x14ac:dyDescent="0.2">
      <c r="DY6488" s="185" t="s">
        <v>215</v>
      </c>
    </row>
    <row r="6489" spans="129:129" x14ac:dyDescent="0.2">
      <c r="DY6489" s="185" t="s">
        <v>215</v>
      </c>
    </row>
    <row r="6490" spans="129:129" x14ac:dyDescent="0.2">
      <c r="DY6490" s="185" t="s">
        <v>215</v>
      </c>
    </row>
    <row r="6491" spans="129:129" x14ac:dyDescent="0.2">
      <c r="DY6491" s="185" t="s">
        <v>215</v>
      </c>
    </row>
    <row r="6492" spans="129:129" x14ac:dyDescent="0.2">
      <c r="DY6492" s="185" t="s">
        <v>215</v>
      </c>
    </row>
    <row r="6493" spans="129:129" x14ac:dyDescent="0.2">
      <c r="DY6493" s="185" t="s">
        <v>215</v>
      </c>
    </row>
    <row r="6494" spans="129:129" x14ac:dyDescent="0.2">
      <c r="DY6494" s="185" t="s">
        <v>215</v>
      </c>
    </row>
    <row r="6495" spans="129:129" x14ac:dyDescent="0.2">
      <c r="DY6495" s="185" t="s">
        <v>215</v>
      </c>
    </row>
    <row r="6496" spans="129:129" x14ac:dyDescent="0.2">
      <c r="DY6496" s="185" t="s">
        <v>215</v>
      </c>
    </row>
    <row r="6497" spans="129:129" x14ac:dyDescent="0.2">
      <c r="DY6497" s="185" t="s">
        <v>215</v>
      </c>
    </row>
    <row r="6498" spans="129:129" x14ac:dyDescent="0.2">
      <c r="DY6498" s="185" t="s">
        <v>215</v>
      </c>
    </row>
    <row r="6499" spans="129:129" x14ac:dyDescent="0.2">
      <c r="DY6499" s="185" t="s">
        <v>215</v>
      </c>
    </row>
    <row r="6500" spans="129:129" x14ac:dyDescent="0.2">
      <c r="DY6500" s="185" t="s">
        <v>215</v>
      </c>
    </row>
    <row r="6501" spans="129:129" x14ac:dyDescent="0.2">
      <c r="DY6501" s="185" t="s">
        <v>215</v>
      </c>
    </row>
    <row r="6502" spans="129:129" x14ac:dyDescent="0.2">
      <c r="DY6502" s="185" t="s">
        <v>215</v>
      </c>
    </row>
    <row r="6503" spans="129:129" x14ac:dyDescent="0.2">
      <c r="DY6503" s="185" t="s">
        <v>215</v>
      </c>
    </row>
    <row r="6504" spans="129:129" x14ac:dyDescent="0.2">
      <c r="DY6504" s="185" t="s">
        <v>215</v>
      </c>
    </row>
    <row r="6505" spans="129:129" x14ac:dyDescent="0.2">
      <c r="DY6505" s="185" t="s">
        <v>215</v>
      </c>
    </row>
    <row r="6506" spans="129:129" x14ac:dyDescent="0.2">
      <c r="DY6506" s="185" t="s">
        <v>215</v>
      </c>
    </row>
    <row r="6507" spans="129:129" x14ac:dyDescent="0.2">
      <c r="DY6507" s="185" t="s">
        <v>215</v>
      </c>
    </row>
    <row r="6508" spans="129:129" x14ac:dyDescent="0.2">
      <c r="DY6508" s="185" t="s">
        <v>215</v>
      </c>
    </row>
    <row r="6509" spans="129:129" x14ac:dyDescent="0.2">
      <c r="DY6509" s="185" t="s">
        <v>215</v>
      </c>
    </row>
    <row r="6510" spans="129:129" x14ac:dyDescent="0.2">
      <c r="DY6510" s="185" t="s">
        <v>215</v>
      </c>
    </row>
    <row r="6511" spans="129:129" x14ac:dyDescent="0.2">
      <c r="DY6511" s="185" t="s">
        <v>215</v>
      </c>
    </row>
    <row r="6512" spans="129:129" x14ac:dyDescent="0.2">
      <c r="DY6512" s="185" t="s">
        <v>215</v>
      </c>
    </row>
    <row r="6513" spans="129:129" x14ac:dyDescent="0.2">
      <c r="DY6513" s="185" t="s">
        <v>215</v>
      </c>
    </row>
    <row r="6514" spans="129:129" x14ac:dyDescent="0.2">
      <c r="DY6514" s="185" t="s">
        <v>215</v>
      </c>
    </row>
    <row r="6515" spans="129:129" x14ac:dyDescent="0.2">
      <c r="DY6515" s="185" t="s">
        <v>215</v>
      </c>
    </row>
    <row r="6516" spans="129:129" x14ac:dyDescent="0.2">
      <c r="DY6516" s="185" t="s">
        <v>215</v>
      </c>
    </row>
    <row r="6517" spans="129:129" x14ac:dyDescent="0.2">
      <c r="DY6517" s="185" t="s">
        <v>215</v>
      </c>
    </row>
    <row r="6518" spans="129:129" x14ac:dyDescent="0.2">
      <c r="DY6518" s="185" t="s">
        <v>215</v>
      </c>
    </row>
    <row r="6519" spans="129:129" x14ac:dyDescent="0.2">
      <c r="DY6519" s="185" t="s">
        <v>215</v>
      </c>
    </row>
    <row r="6520" spans="129:129" x14ac:dyDescent="0.2">
      <c r="DY6520" s="185" t="s">
        <v>215</v>
      </c>
    </row>
    <row r="6521" spans="129:129" x14ac:dyDescent="0.2">
      <c r="DY6521" s="185" t="s">
        <v>215</v>
      </c>
    </row>
    <row r="6522" spans="129:129" x14ac:dyDescent="0.2">
      <c r="DY6522" s="185" t="s">
        <v>215</v>
      </c>
    </row>
    <row r="6523" spans="129:129" x14ac:dyDescent="0.2">
      <c r="DY6523" s="185" t="s">
        <v>215</v>
      </c>
    </row>
    <row r="6524" spans="129:129" x14ac:dyDescent="0.2">
      <c r="DY6524" s="185" t="s">
        <v>215</v>
      </c>
    </row>
    <row r="6525" spans="129:129" x14ac:dyDescent="0.2">
      <c r="DY6525" s="185" t="s">
        <v>215</v>
      </c>
    </row>
    <row r="6526" spans="129:129" x14ac:dyDescent="0.2">
      <c r="DY6526" s="185" t="s">
        <v>215</v>
      </c>
    </row>
    <row r="6527" spans="129:129" x14ac:dyDescent="0.2">
      <c r="DY6527" s="185" t="s">
        <v>215</v>
      </c>
    </row>
    <row r="6528" spans="129:129" x14ac:dyDescent="0.2">
      <c r="DY6528" s="185" t="s">
        <v>215</v>
      </c>
    </row>
    <row r="6529" spans="129:129" x14ac:dyDescent="0.2">
      <c r="DY6529" s="185" t="s">
        <v>215</v>
      </c>
    </row>
    <row r="6530" spans="129:129" x14ac:dyDescent="0.2">
      <c r="DY6530" s="185" t="s">
        <v>215</v>
      </c>
    </row>
    <row r="6531" spans="129:129" x14ac:dyDescent="0.2">
      <c r="DY6531" s="185" t="s">
        <v>215</v>
      </c>
    </row>
    <row r="6532" spans="129:129" x14ac:dyDescent="0.2">
      <c r="DY6532" s="185" t="s">
        <v>215</v>
      </c>
    </row>
    <row r="6533" spans="129:129" x14ac:dyDescent="0.2">
      <c r="DY6533" s="185" t="s">
        <v>215</v>
      </c>
    </row>
    <row r="6534" spans="129:129" x14ac:dyDescent="0.2">
      <c r="DY6534" s="185" t="s">
        <v>215</v>
      </c>
    </row>
    <row r="6535" spans="129:129" x14ac:dyDescent="0.2">
      <c r="DY6535" s="185" t="s">
        <v>215</v>
      </c>
    </row>
    <row r="6536" spans="129:129" x14ac:dyDescent="0.2">
      <c r="DY6536" s="185" t="s">
        <v>215</v>
      </c>
    </row>
    <row r="6537" spans="129:129" x14ac:dyDescent="0.2">
      <c r="DY6537" s="185" t="s">
        <v>215</v>
      </c>
    </row>
    <row r="6538" spans="129:129" x14ac:dyDescent="0.2">
      <c r="DY6538" s="185" t="s">
        <v>215</v>
      </c>
    </row>
    <row r="6539" spans="129:129" x14ac:dyDescent="0.2">
      <c r="DY6539" s="185" t="s">
        <v>215</v>
      </c>
    </row>
    <row r="6540" spans="129:129" x14ac:dyDescent="0.2">
      <c r="DY6540" s="185" t="s">
        <v>215</v>
      </c>
    </row>
    <row r="6541" spans="129:129" x14ac:dyDescent="0.2">
      <c r="DY6541" s="185" t="s">
        <v>215</v>
      </c>
    </row>
    <row r="6542" spans="129:129" x14ac:dyDescent="0.2">
      <c r="DY6542" s="185" t="s">
        <v>215</v>
      </c>
    </row>
    <row r="6543" spans="129:129" x14ac:dyDescent="0.2">
      <c r="DY6543" s="185" t="s">
        <v>215</v>
      </c>
    </row>
    <row r="6544" spans="129:129" x14ac:dyDescent="0.2">
      <c r="DY6544" s="185" t="s">
        <v>215</v>
      </c>
    </row>
    <row r="6545" spans="129:129" x14ac:dyDescent="0.2">
      <c r="DY6545" s="185" t="s">
        <v>215</v>
      </c>
    </row>
    <row r="6546" spans="129:129" x14ac:dyDescent="0.2">
      <c r="DY6546" s="185" t="s">
        <v>215</v>
      </c>
    </row>
    <row r="6547" spans="129:129" x14ac:dyDescent="0.2">
      <c r="DY6547" s="185" t="s">
        <v>215</v>
      </c>
    </row>
    <row r="6548" spans="129:129" x14ac:dyDescent="0.2">
      <c r="DY6548" s="185" t="s">
        <v>215</v>
      </c>
    </row>
    <row r="6549" spans="129:129" x14ac:dyDescent="0.2">
      <c r="DY6549" s="185" t="s">
        <v>215</v>
      </c>
    </row>
    <row r="6550" spans="129:129" x14ac:dyDescent="0.2">
      <c r="DY6550" s="185" t="s">
        <v>215</v>
      </c>
    </row>
    <row r="6551" spans="129:129" x14ac:dyDescent="0.2">
      <c r="DY6551" s="185" t="s">
        <v>215</v>
      </c>
    </row>
    <row r="6552" spans="129:129" x14ac:dyDescent="0.2">
      <c r="DY6552" s="185" t="s">
        <v>215</v>
      </c>
    </row>
    <row r="6553" spans="129:129" x14ac:dyDescent="0.2">
      <c r="DY6553" s="185" t="s">
        <v>215</v>
      </c>
    </row>
    <row r="6554" spans="129:129" x14ac:dyDescent="0.2">
      <c r="DY6554" s="185" t="s">
        <v>215</v>
      </c>
    </row>
    <row r="6555" spans="129:129" x14ac:dyDescent="0.2">
      <c r="DY6555" s="185" t="s">
        <v>215</v>
      </c>
    </row>
    <row r="6556" spans="129:129" x14ac:dyDescent="0.2">
      <c r="DY6556" s="185" t="s">
        <v>215</v>
      </c>
    </row>
    <row r="6557" spans="129:129" x14ac:dyDescent="0.2">
      <c r="DY6557" s="185" t="s">
        <v>215</v>
      </c>
    </row>
    <row r="6558" spans="129:129" x14ac:dyDescent="0.2">
      <c r="DY6558" s="185" t="s">
        <v>215</v>
      </c>
    </row>
    <row r="6559" spans="129:129" x14ac:dyDescent="0.2">
      <c r="DY6559" s="185" t="s">
        <v>215</v>
      </c>
    </row>
    <row r="6560" spans="129:129" x14ac:dyDescent="0.2">
      <c r="DY6560" s="185" t="s">
        <v>215</v>
      </c>
    </row>
    <row r="6561" spans="129:129" x14ac:dyDescent="0.2">
      <c r="DY6561" s="185" t="s">
        <v>215</v>
      </c>
    </row>
    <row r="6562" spans="129:129" x14ac:dyDescent="0.2">
      <c r="DY6562" s="185" t="s">
        <v>215</v>
      </c>
    </row>
    <row r="6563" spans="129:129" x14ac:dyDescent="0.2">
      <c r="DY6563" s="185" t="s">
        <v>215</v>
      </c>
    </row>
    <row r="6564" spans="129:129" x14ac:dyDescent="0.2">
      <c r="DY6564" s="185" t="s">
        <v>215</v>
      </c>
    </row>
    <row r="6565" spans="129:129" x14ac:dyDescent="0.2">
      <c r="DY6565" s="185" t="s">
        <v>215</v>
      </c>
    </row>
    <row r="6566" spans="129:129" x14ac:dyDescent="0.2">
      <c r="DY6566" s="185" t="s">
        <v>215</v>
      </c>
    </row>
    <row r="6567" spans="129:129" x14ac:dyDescent="0.2">
      <c r="DY6567" s="185" t="s">
        <v>215</v>
      </c>
    </row>
    <row r="6568" spans="129:129" x14ac:dyDescent="0.2">
      <c r="DY6568" s="185" t="s">
        <v>215</v>
      </c>
    </row>
    <row r="6569" spans="129:129" x14ac:dyDescent="0.2">
      <c r="DY6569" s="185" t="s">
        <v>215</v>
      </c>
    </row>
    <row r="6570" spans="129:129" x14ac:dyDescent="0.2">
      <c r="DY6570" s="185" t="s">
        <v>215</v>
      </c>
    </row>
    <row r="6571" spans="129:129" x14ac:dyDescent="0.2">
      <c r="DY6571" s="185" t="s">
        <v>215</v>
      </c>
    </row>
    <row r="6572" spans="129:129" x14ac:dyDescent="0.2">
      <c r="DY6572" s="185" t="s">
        <v>215</v>
      </c>
    </row>
    <row r="6573" spans="129:129" x14ac:dyDescent="0.2">
      <c r="DY6573" s="185" t="s">
        <v>215</v>
      </c>
    </row>
    <row r="6574" spans="129:129" x14ac:dyDescent="0.2">
      <c r="DY6574" s="185" t="s">
        <v>215</v>
      </c>
    </row>
    <row r="6575" spans="129:129" x14ac:dyDescent="0.2">
      <c r="DY6575" s="185" t="s">
        <v>215</v>
      </c>
    </row>
    <row r="6576" spans="129:129" x14ac:dyDescent="0.2">
      <c r="DY6576" s="185" t="s">
        <v>215</v>
      </c>
    </row>
    <row r="6577" spans="129:129" x14ac:dyDescent="0.2">
      <c r="DY6577" s="185" t="s">
        <v>215</v>
      </c>
    </row>
    <row r="6578" spans="129:129" x14ac:dyDescent="0.2">
      <c r="DY6578" s="185" t="s">
        <v>215</v>
      </c>
    </row>
    <row r="6579" spans="129:129" x14ac:dyDescent="0.2">
      <c r="DY6579" s="185" t="s">
        <v>215</v>
      </c>
    </row>
    <row r="6580" spans="129:129" x14ac:dyDescent="0.2">
      <c r="DY6580" s="185" t="s">
        <v>215</v>
      </c>
    </row>
    <row r="6581" spans="129:129" x14ac:dyDescent="0.2">
      <c r="DY6581" s="185" t="s">
        <v>215</v>
      </c>
    </row>
    <row r="6582" spans="129:129" x14ac:dyDescent="0.2">
      <c r="DY6582" s="185" t="s">
        <v>215</v>
      </c>
    </row>
    <row r="6583" spans="129:129" x14ac:dyDescent="0.2">
      <c r="DY6583" s="185" t="s">
        <v>215</v>
      </c>
    </row>
    <row r="6584" spans="129:129" x14ac:dyDescent="0.2">
      <c r="DY6584" s="185" t="s">
        <v>215</v>
      </c>
    </row>
    <row r="6585" spans="129:129" x14ac:dyDescent="0.2">
      <c r="DY6585" s="185" t="s">
        <v>215</v>
      </c>
    </row>
    <row r="6586" spans="129:129" x14ac:dyDescent="0.2">
      <c r="DY6586" s="185" t="s">
        <v>215</v>
      </c>
    </row>
    <row r="6587" spans="129:129" x14ac:dyDescent="0.2">
      <c r="DY6587" s="185" t="s">
        <v>215</v>
      </c>
    </row>
    <row r="6588" spans="129:129" x14ac:dyDescent="0.2">
      <c r="DY6588" s="185" t="s">
        <v>215</v>
      </c>
    </row>
    <row r="6589" spans="129:129" x14ac:dyDescent="0.2">
      <c r="DY6589" s="185" t="s">
        <v>215</v>
      </c>
    </row>
    <row r="6590" spans="129:129" x14ac:dyDescent="0.2">
      <c r="DY6590" s="185" t="s">
        <v>215</v>
      </c>
    </row>
    <row r="6591" spans="129:129" x14ac:dyDescent="0.2">
      <c r="DY6591" s="185" t="s">
        <v>215</v>
      </c>
    </row>
    <row r="6592" spans="129:129" x14ac:dyDescent="0.2">
      <c r="DY6592" s="185" t="s">
        <v>215</v>
      </c>
    </row>
    <row r="6593" spans="129:129" x14ac:dyDescent="0.2">
      <c r="DY6593" s="185" t="s">
        <v>215</v>
      </c>
    </row>
    <row r="6594" spans="129:129" x14ac:dyDescent="0.2">
      <c r="DY6594" s="185" t="s">
        <v>215</v>
      </c>
    </row>
    <row r="6595" spans="129:129" x14ac:dyDescent="0.2">
      <c r="DY6595" s="185" t="s">
        <v>215</v>
      </c>
    </row>
    <row r="6596" spans="129:129" x14ac:dyDescent="0.2">
      <c r="DY6596" s="185" t="s">
        <v>215</v>
      </c>
    </row>
    <row r="6597" spans="129:129" x14ac:dyDescent="0.2">
      <c r="DY6597" s="185" t="s">
        <v>215</v>
      </c>
    </row>
    <row r="6598" spans="129:129" x14ac:dyDescent="0.2">
      <c r="DY6598" s="185" t="s">
        <v>215</v>
      </c>
    </row>
    <row r="6599" spans="129:129" x14ac:dyDescent="0.2">
      <c r="DY6599" s="185" t="s">
        <v>215</v>
      </c>
    </row>
    <row r="6600" spans="129:129" x14ac:dyDescent="0.2">
      <c r="DY6600" s="185" t="s">
        <v>215</v>
      </c>
    </row>
    <row r="6601" spans="129:129" x14ac:dyDescent="0.2">
      <c r="DY6601" s="185" t="s">
        <v>215</v>
      </c>
    </row>
    <row r="6602" spans="129:129" x14ac:dyDescent="0.2">
      <c r="DY6602" s="185" t="s">
        <v>215</v>
      </c>
    </row>
    <row r="6603" spans="129:129" x14ac:dyDescent="0.2">
      <c r="DY6603" s="185" t="s">
        <v>215</v>
      </c>
    </row>
    <row r="6604" spans="129:129" x14ac:dyDescent="0.2">
      <c r="DY6604" s="185" t="s">
        <v>215</v>
      </c>
    </row>
    <row r="6605" spans="129:129" x14ac:dyDescent="0.2">
      <c r="DY6605" s="185" t="s">
        <v>215</v>
      </c>
    </row>
    <row r="6606" spans="129:129" x14ac:dyDescent="0.2">
      <c r="DY6606" s="185" t="s">
        <v>215</v>
      </c>
    </row>
    <row r="6607" spans="129:129" x14ac:dyDescent="0.2">
      <c r="DY6607" s="185" t="s">
        <v>215</v>
      </c>
    </row>
    <row r="6608" spans="129:129" x14ac:dyDescent="0.2">
      <c r="DY6608" s="185" t="s">
        <v>215</v>
      </c>
    </row>
    <row r="6609" spans="129:129" x14ac:dyDescent="0.2">
      <c r="DY6609" s="185" t="s">
        <v>215</v>
      </c>
    </row>
    <row r="6610" spans="129:129" x14ac:dyDescent="0.2">
      <c r="DY6610" s="185" t="s">
        <v>215</v>
      </c>
    </row>
    <row r="6611" spans="129:129" x14ac:dyDescent="0.2">
      <c r="DY6611" s="185" t="s">
        <v>215</v>
      </c>
    </row>
    <row r="6612" spans="129:129" x14ac:dyDescent="0.2">
      <c r="DY6612" s="185" t="s">
        <v>215</v>
      </c>
    </row>
    <row r="6613" spans="129:129" x14ac:dyDescent="0.2">
      <c r="DY6613" s="185" t="s">
        <v>215</v>
      </c>
    </row>
    <row r="6614" spans="129:129" x14ac:dyDescent="0.2">
      <c r="DY6614" s="185" t="s">
        <v>215</v>
      </c>
    </row>
    <row r="6615" spans="129:129" x14ac:dyDescent="0.2">
      <c r="DY6615" s="185" t="s">
        <v>215</v>
      </c>
    </row>
    <row r="6616" spans="129:129" x14ac:dyDescent="0.2">
      <c r="DY6616" s="185" t="s">
        <v>215</v>
      </c>
    </row>
    <row r="6617" spans="129:129" x14ac:dyDescent="0.2">
      <c r="DY6617" s="185" t="s">
        <v>215</v>
      </c>
    </row>
    <row r="6618" spans="129:129" x14ac:dyDescent="0.2">
      <c r="DY6618" s="185" t="s">
        <v>215</v>
      </c>
    </row>
    <row r="6619" spans="129:129" x14ac:dyDescent="0.2">
      <c r="DY6619" s="185" t="s">
        <v>215</v>
      </c>
    </row>
    <row r="6620" spans="129:129" x14ac:dyDescent="0.2">
      <c r="DY6620" s="185" t="s">
        <v>215</v>
      </c>
    </row>
    <row r="6621" spans="129:129" x14ac:dyDescent="0.2">
      <c r="DY6621" s="185" t="s">
        <v>215</v>
      </c>
    </row>
    <row r="6622" spans="129:129" x14ac:dyDescent="0.2">
      <c r="DY6622" s="185" t="s">
        <v>215</v>
      </c>
    </row>
    <row r="6623" spans="129:129" x14ac:dyDescent="0.2">
      <c r="DY6623" s="185" t="s">
        <v>215</v>
      </c>
    </row>
    <row r="6624" spans="129:129" x14ac:dyDescent="0.2">
      <c r="DY6624" s="185" t="s">
        <v>215</v>
      </c>
    </row>
    <row r="6625" spans="129:129" x14ac:dyDescent="0.2">
      <c r="DY6625" s="185" t="s">
        <v>215</v>
      </c>
    </row>
    <row r="6626" spans="129:129" x14ac:dyDescent="0.2">
      <c r="DY6626" s="185" t="s">
        <v>215</v>
      </c>
    </row>
    <row r="6627" spans="129:129" x14ac:dyDescent="0.2">
      <c r="DY6627" s="185" t="s">
        <v>215</v>
      </c>
    </row>
    <row r="6628" spans="129:129" x14ac:dyDescent="0.2">
      <c r="DY6628" s="185" t="s">
        <v>215</v>
      </c>
    </row>
    <row r="6629" spans="129:129" x14ac:dyDescent="0.2">
      <c r="DY6629" s="185" t="s">
        <v>215</v>
      </c>
    </row>
    <row r="6630" spans="129:129" x14ac:dyDescent="0.2">
      <c r="DY6630" s="185" t="s">
        <v>215</v>
      </c>
    </row>
    <row r="6631" spans="129:129" x14ac:dyDescent="0.2">
      <c r="DY6631" s="185" t="s">
        <v>215</v>
      </c>
    </row>
    <row r="6632" spans="129:129" x14ac:dyDescent="0.2">
      <c r="DY6632" s="185" t="s">
        <v>215</v>
      </c>
    </row>
    <row r="6633" spans="129:129" x14ac:dyDescent="0.2">
      <c r="DY6633" s="185" t="s">
        <v>215</v>
      </c>
    </row>
    <row r="6634" spans="129:129" x14ac:dyDescent="0.2">
      <c r="DY6634" s="185" t="s">
        <v>215</v>
      </c>
    </row>
    <row r="6635" spans="129:129" x14ac:dyDescent="0.2">
      <c r="DY6635" s="185" t="s">
        <v>215</v>
      </c>
    </row>
    <row r="6636" spans="129:129" x14ac:dyDescent="0.2">
      <c r="DY6636" s="185" t="s">
        <v>215</v>
      </c>
    </row>
    <row r="6637" spans="129:129" x14ac:dyDescent="0.2">
      <c r="DY6637" s="185" t="s">
        <v>215</v>
      </c>
    </row>
    <row r="6638" spans="129:129" x14ac:dyDescent="0.2">
      <c r="DY6638" s="185" t="s">
        <v>215</v>
      </c>
    </row>
    <row r="6639" spans="129:129" x14ac:dyDescent="0.2">
      <c r="DY6639" s="185" t="s">
        <v>215</v>
      </c>
    </row>
    <row r="6640" spans="129:129" x14ac:dyDescent="0.2">
      <c r="DY6640" s="185" t="s">
        <v>215</v>
      </c>
    </row>
    <row r="6641" spans="129:129" x14ac:dyDescent="0.2">
      <c r="DY6641" s="185" t="s">
        <v>215</v>
      </c>
    </row>
    <row r="6642" spans="129:129" x14ac:dyDescent="0.2">
      <c r="DY6642" s="185" t="s">
        <v>215</v>
      </c>
    </row>
    <row r="6643" spans="129:129" x14ac:dyDescent="0.2">
      <c r="DY6643" s="185" t="s">
        <v>215</v>
      </c>
    </row>
    <row r="6644" spans="129:129" x14ac:dyDescent="0.2">
      <c r="DY6644" s="185" t="s">
        <v>215</v>
      </c>
    </row>
    <row r="6645" spans="129:129" x14ac:dyDescent="0.2">
      <c r="DY6645" s="185" t="s">
        <v>215</v>
      </c>
    </row>
    <row r="6646" spans="129:129" x14ac:dyDescent="0.2">
      <c r="DY6646" s="185" t="s">
        <v>215</v>
      </c>
    </row>
    <row r="6647" spans="129:129" x14ac:dyDescent="0.2">
      <c r="DY6647" s="185" t="s">
        <v>215</v>
      </c>
    </row>
    <row r="6648" spans="129:129" x14ac:dyDescent="0.2">
      <c r="DY6648" s="185" t="s">
        <v>215</v>
      </c>
    </row>
    <row r="6649" spans="129:129" x14ac:dyDescent="0.2">
      <c r="DY6649" s="185" t="s">
        <v>215</v>
      </c>
    </row>
    <row r="6650" spans="129:129" x14ac:dyDescent="0.2">
      <c r="DY6650" s="185" t="s">
        <v>215</v>
      </c>
    </row>
    <row r="6651" spans="129:129" x14ac:dyDescent="0.2">
      <c r="DY6651" s="185" t="s">
        <v>215</v>
      </c>
    </row>
    <row r="6652" spans="129:129" x14ac:dyDescent="0.2">
      <c r="DY6652" s="185" t="s">
        <v>215</v>
      </c>
    </row>
    <row r="6653" spans="129:129" x14ac:dyDescent="0.2">
      <c r="DY6653" s="185" t="s">
        <v>215</v>
      </c>
    </row>
    <row r="6654" spans="129:129" x14ac:dyDescent="0.2">
      <c r="DY6654" s="185" t="s">
        <v>215</v>
      </c>
    </row>
    <row r="6655" spans="129:129" x14ac:dyDescent="0.2">
      <c r="DY6655" s="185" t="s">
        <v>215</v>
      </c>
    </row>
    <row r="6656" spans="129:129" x14ac:dyDescent="0.2">
      <c r="DY6656" s="185" t="s">
        <v>215</v>
      </c>
    </row>
    <row r="6657" spans="129:129" x14ac:dyDescent="0.2">
      <c r="DY6657" s="185" t="s">
        <v>215</v>
      </c>
    </row>
    <row r="6658" spans="129:129" x14ac:dyDescent="0.2">
      <c r="DY6658" s="185" t="s">
        <v>215</v>
      </c>
    </row>
    <row r="6659" spans="129:129" x14ac:dyDescent="0.2">
      <c r="DY6659" s="185" t="s">
        <v>215</v>
      </c>
    </row>
    <row r="6660" spans="129:129" x14ac:dyDescent="0.2">
      <c r="DY6660" s="185" t="s">
        <v>215</v>
      </c>
    </row>
    <row r="6661" spans="129:129" x14ac:dyDescent="0.2">
      <c r="DY6661" s="185" t="s">
        <v>215</v>
      </c>
    </row>
    <row r="6662" spans="129:129" x14ac:dyDescent="0.2">
      <c r="DY6662" s="185" t="s">
        <v>215</v>
      </c>
    </row>
    <row r="6663" spans="129:129" x14ac:dyDescent="0.2">
      <c r="DY6663" s="185" t="s">
        <v>215</v>
      </c>
    </row>
    <row r="6664" spans="129:129" x14ac:dyDescent="0.2">
      <c r="DY6664" s="185" t="s">
        <v>215</v>
      </c>
    </row>
    <row r="6665" spans="129:129" x14ac:dyDescent="0.2">
      <c r="DY6665" s="185" t="s">
        <v>215</v>
      </c>
    </row>
    <row r="6666" spans="129:129" x14ac:dyDescent="0.2">
      <c r="DY6666" s="185" t="s">
        <v>215</v>
      </c>
    </row>
    <row r="6667" spans="129:129" x14ac:dyDescent="0.2">
      <c r="DY6667" s="185" t="s">
        <v>215</v>
      </c>
    </row>
    <row r="6668" spans="129:129" x14ac:dyDescent="0.2">
      <c r="DY6668" s="185" t="s">
        <v>215</v>
      </c>
    </row>
    <row r="6669" spans="129:129" x14ac:dyDescent="0.2">
      <c r="DY6669" s="185" t="s">
        <v>215</v>
      </c>
    </row>
    <row r="6670" spans="129:129" x14ac:dyDescent="0.2">
      <c r="DY6670" s="185" t="s">
        <v>215</v>
      </c>
    </row>
    <row r="6671" spans="129:129" x14ac:dyDescent="0.2">
      <c r="DY6671" s="185" t="s">
        <v>215</v>
      </c>
    </row>
    <row r="6672" spans="129:129" x14ac:dyDescent="0.2">
      <c r="DY6672" s="185" t="s">
        <v>215</v>
      </c>
    </row>
    <row r="6673" spans="129:129" x14ac:dyDescent="0.2">
      <c r="DY6673" s="185" t="s">
        <v>215</v>
      </c>
    </row>
    <row r="6674" spans="129:129" x14ac:dyDescent="0.2">
      <c r="DY6674" s="185" t="s">
        <v>215</v>
      </c>
    </row>
    <row r="6675" spans="129:129" x14ac:dyDescent="0.2">
      <c r="DY6675" s="185" t="s">
        <v>215</v>
      </c>
    </row>
    <row r="6676" spans="129:129" x14ac:dyDescent="0.2">
      <c r="DY6676" s="185" t="s">
        <v>215</v>
      </c>
    </row>
    <row r="6677" spans="129:129" x14ac:dyDescent="0.2">
      <c r="DY6677" s="185" t="s">
        <v>215</v>
      </c>
    </row>
    <row r="6678" spans="129:129" x14ac:dyDescent="0.2">
      <c r="DY6678" s="185" t="s">
        <v>215</v>
      </c>
    </row>
    <row r="6679" spans="129:129" x14ac:dyDescent="0.2">
      <c r="DY6679" s="185" t="s">
        <v>215</v>
      </c>
    </row>
    <row r="6680" spans="129:129" x14ac:dyDescent="0.2">
      <c r="DY6680" s="185" t="s">
        <v>215</v>
      </c>
    </row>
    <row r="6681" spans="129:129" x14ac:dyDescent="0.2">
      <c r="DY6681" s="185" t="s">
        <v>215</v>
      </c>
    </row>
    <row r="6682" spans="129:129" x14ac:dyDescent="0.2">
      <c r="DY6682" s="185" t="s">
        <v>215</v>
      </c>
    </row>
    <row r="6683" spans="129:129" x14ac:dyDescent="0.2">
      <c r="DY6683" s="185" t="s">
        <v>215</v>
      </c>
    </row>
    <row r="6684" spans="129:129" x14ac:dyDescent="0.2">
      <c r="DY6684" s="185" t="s">
        <v>215</v>
      </c>
    </row>
    <row r="6685" spans="129:129" x14ac:dyDescent="0.2">
      <c r="DY6685" s="185" t="s">
        <v>215</v>
      </c>
    </row>
    <row r="6686" spans="129:129" x14ac:dyDescent="0.2">
      <c r="DY6686" s="185" t="s">
        <v>215</v>
      </c>
    </row>
    <row r="6687" spans="129:129" x14ac:dyDescent="0.2">
      <c r="DY6687" s="185" t="s">
        <v>215</v>
      </c>
    </row>
    <row r="6688" spans="129:129" x14ac:dyDescent="0.2">
      <c r="DY6688" s="185" t="s">
        <v>215</v>
      </c>
    </row>
    <row r="6689" spans="129:129" x14ac:dyDescent="0.2">
      <c r="DY6689" s="185" t="s">
        <v>215</v>
      </c>
    </row>
    <row r="6690" spans="129:129" x14ac:dyDescent="0.2">
      <c r="DY6690" s="185" t="s">
        <v>215</v>
      </c>
    </row>
    <row r="6691" spans="129:129" x14ac:dyDescent="0.2">
      <c r="DY6691" s="185" t="s">
        <v>215</v>
      </c>
    </row>
    <row r="6692" spans="129:129" x14ac:dyDescent="0.2">
      <c r="DY6692" s="185" t="s">
        <v>215</v>
      </c>
    </row>
    <row r="6693" spans="129:129" x14ac:dyDescent="0.2">
      <c r="DY6693" s="185" t="s">
        <v>215</v>
      </c>
    </row>
    <row r="6694" spans="129:129" x14ac:dyDescent="0.2">
      <c r="DY6694" s="185" t="s">
        <v>215</v>
      </c>
    </row>
    <row r="6695" spans="129:129" x14ac:dyDescent="0.2">
      <c r="DY6695" s="185" t="s">
        <v>215</v>
      </c>
    </row>
    <row r="6696" spans="129:129" x14ac:dyDescent="0.2">
      <c r="DY6696" s="185" t="s">
        <v>215</v>
      </c>
    </row>
    <row r="6697" spans="129:129" x14ac:dyDescent="0.2">
      <c r="DY6697" s="185" t="s">
        <v>215</v>
      </c>
    </row>
    <row r="6698" spans="129:129" x14ac:dyDescent="0.2">
      <c r="DY6698" s="185" t="s">
        <v>215</v>
      </c>
    </row>
    <row r="6699" spans="129:129" x14ac:dyDescent="0.2">
      <c r="DY6699" s="185" t="s">
        <v>215</v>
      </c>
    </row>
    <row r="6700" spans="129:129" x14ac:dyDescent="0.2">
      <c r="DY6700" s="185" t="s">
        <v>215</v>
      </c>
    </row>
    <row r="6701" spans="129:129" x14ac:dyDescent="0.2">
      <c r="DY6701" s="185" t="s">
        <v>215</v>
      </c>
    </row>
    <row r="6702" spans="129:129" x14ac:dyDescent="0.2">
      <c r="DY6702" s="185" t="s">
        <v>215</v>
      </c>
    </row>
    <row r="6703" spans="129:129" x14ac:dyDescent="0.2">
      <c r="DY6703" s="185" t="s">
        <v>215</v>
      </c>
    </row>
    <row r="6704" spans="129:129" x14ac:dyDescent="0.2">
      <c r="DY6704" s="185" t="s">
        <v>215</v>
      </c>
    </row>
    <row r="6705" spans="129:129" x14ac:dyDescent="0.2">
      <c r="DY6705" s="185" t="s">
        <v>215</v>
      </c>
    </row>
    <row r="6706" spans="129:129" x14ac:dyDescent="0.2">
      <c r="DY6706" s="185" t="s">
        <v>215</v>
      </c>
    </row>
    <row r="6707" spans="129:129" x14ac:dyDescent="0.2">
      <c r="DY6707" s="185" t="s">
        <v>215</v>
      </c>
    </row>
    <row r="6708" spans="129:129" x14ac:dyDescent="0.2">
      <c r="DY6708" s="185" t="s">
        <v>215</v>
      </c>
    </row>
    <row r="6709" spans="129:129" x14ac:dyDescent="0.2">
      <c r="DY6709" s="185" t="s">
        <v>215</v>
      </c>
    </row>
    <row r="6710" spans="129:129" x14ac:dyDescent="0.2">
      <c r="DY6710" s="185" t="s">
        <v>215</v>
      </c>
    </row>
    <row r="6711" spans="129:129" x14ac:dyDescent="0.2">
      <c r="DY6711" s="185" t="s">
        <v>215</v>
      </c>
    </row>
    <row r="6712" spans="129:129" x14ac:dyDescent="0.2">
      <c r="DY6712" s="185" t="s">
        <v>215</v>
      </c>
    </row>
    <row r="6713" spans="129:129" x14ac:dyDescent="0.2">
      <c r="DY6713" s="185" t="s">
        <v>215</v>
      </c>
    </row>
    <row r="6714" spans="129:129" x14ac:dyDescent="0.2">
      <c r="DY6714" s="185" t="s">
        <v>215</v>
      </c>
    </row>
    <row r="6715" spans="129:129" x14ac:dyDescent="0.2">
      <c r="DY6715" s="185" t="s">
        <v>215</v>
      </c>
    </row>
    <row r="6716" spans="129:129" x14ac:dyDescent="0.2">
      <c r="DY6716" s="185" t="s">
        <v>215</v>
      </c>
    </row>
    <row r="6717" spans="129:129" x14ac:dyDescent="0.2">
      <c r="DY6717" s="185" t="s">
        <v>215</v>
      </c>
    </row>
    <row r="6718" spans="129:129" x14ac:dyDescent="0.2">
      <c r="DY6718" s="185" t="s">
        <v>215</v>
      </c>
    </row>
    <row r="6719" spans="129:129" x14ac:dyDescent="0.2">
      <c r="DY6719" s="185" t="s">
        <v>215</v>
      </c>
    </row>
    <row r="6720" spans="129:129" x14ac:dyDescent="0.2">
      <c r="DY6720" s="185" t="s">
        <v>215</v>
      </c>
    </row>
    <row r="6721" spans="129:129" x14ac:dyDescent="0.2">
      <c r="DY6721" s="185" t="s">
        <v>215</v>
      </c>
    </row>
    <row r="6722" spans="129:129" x14ac:dyDescent="0.2">
      <c r="DY6722" s="185" t="s">
        <v>215</v>
      </c>
    </row>
    <row r="6723" spans="129:129" x14ac:dyDescent="0.2">
      <c r="DY6723" s="185" t="s">
        <v>215</v>
      </c>
    </row>
    <row r="6724" spans="129:129" x14ac:dyDescent="0.2">
      <c r="DY6724" s="185" t="s">
        <v>215</v>
      </c>
    </row>
    <row r="6725" spans="129:129" x14ac:dyDescent="0.2">
      <c r="DY6725" s="185" t="s">
        <v>215</v>
      </c>
    </row>
    <row r="6726" spans="129:129" x14ac:dyDescent="0.2">
      <c r="DY6726" s="185" t="s">
        <v>215</v>
      </c>
    </row>
    <row r="6727" spans="129:129" x14ac:dyDescent="0.2">
      <c r="DY6727" s="185" t="s">
        <v>215</v>
      </c>
    </row>
    <row r="6728" spans="129:129" x14ac:dyDescent="0.2">
      <c r="DY6728" s="185" t="s">
        <v>215</v>
      </c>
    </row>
    <row r="6729" spans="129:129" x14ac:dyDescent="0.2">
      <c r="DY6729" s="185" t="s">
        <v>215</v>
      </c>
    </row>
    <row r="6730" spans="129:129" x14ac:dyDescent="0.2">
      <c r="DY6730" s="185" t="s">
        <v>215</v>
      </c>
    </row>
    <row r="6731" spans="129:129" x14ac:dyDescent="0.2">
      <c r="DY6731" s="185" t="s">
        <v>215</v>
      </c>
    </row>
    <row r="6732" spans="129:129" x14ac:dyDescent="0.2">
      <c r="DY6732" s="185" t="s">
        <v>215</v>
      </c>
    </row>
    <row r="6733" spans="129:129" x14ac:dyDescent="0.2">
      <c r="DY6733" s="185" t="s">
        <v>215</v>
      </c>
    </row>
    <row r="6734" spans="129:129" x14ac:dyDescent="0.2">
      <c r="DY6734" s="185" t="s">
        <v>215</v>
      </c>
    </row>
    <row r="6735" spans="129:129" x14ac:dyDescent="0.2">
      <c r="DY6735" s="185" t="s">
        <v>215</v>
      </c>
    </row>
    <row r="6736" spans="129:129" x14ac:dyDescent="0.2">
      <c r="DY6736" s="185" t="s">
        <v>215</v>
      </c>
    </row>
    <row r="6737" spans="129:129" x14ac:dyDescent="0.2">
      <c r="DY6737" s="185" t="s">
        <v>215</v>
      </c>
    </row>
    <row r="6738" spans="129:129" x14ac:dyDescent="0.2">
      <c r="DY6738" s="185" t="s">
        <v>215</v>
      </c>
    </row>
    <row r="6739" spans="129:129" x14ac:dyDescent="0.2">
      <c r="DY6739" s="185" t="s">
        <v>215</v>
      </c>
    </row>
    <row r="6740" spans="129:129" x14ac:dyDescent="0.2">
      <c r="DY6740" s="185" t="s">
        <v>215</v>
      </c>
    </row>
    <row r="6741" spans="129:129" x14ac:dyDescent="0.2">
      <c r="DY6741" s="185" t="s">
        <v>215</v>
      </c>
    </row>
    <row r="6742" spans="129:129" x14ac:dyDescent="0.2">
      <c r="DY6742" s="185" t="s">
        <v>215</v>
      </c>
    </row>
    <row r="6743" spans="129:129" x14ac:dyDescent="0.2">
      <c r="DY6743" s="185" t="s">
        <v>215</v>
      </c>
    </row>
    <row r="6744" spans="129:129" x14ac:dyDescent="0.2">
      <c r="DY6744" s="185" t="s">
        <v>215</v>
      </c>
    </row>
    <row r="6745" spans="129:129" x14ac:dyDescent="0.2">
      <c r="DY6745" s="185" t="s">
        <v>215</v>
      </c>
    </row>
    <row r="6746" spans="129:129" x14ac:dyDescent="0.2">
      <c r="DY6746" s="185" t="s">
        <v>215</v>
      </c>
    </row>
    <row r="6747" spans="129:129" x14ac:dyDescent="0.2">
      <c r="DY6747" s="185" t="s">
        <v>215</v>
      </c>
    </row>
    <row r="6748" spans="129:129" x14ac:dyDescent="0.2">
      <c r="DY6748" s="185" t="s">
        <v>215</v>
      </c>
    </row>
    <row r="6749" spans="129:129" x14ac:dyDescent="0.2">
      <c r="DY6749" s="185" t="s">
        <v>215</v>
      </c>
    </row>
    <row r="6750" spans="129:129" x14ac:dyDescent="0.2">
      <c r="DY6750" s="185" t="s">
        <v>215</v>
      </c>
    </row>
    <row r="6751" spans="129:129" x14ac:dyDescent="0.2">
      <c r="DY6751" s="185" t="s">
        <v>215</v>
      </c>
    </row>
    <row r="6752" spans="129:129" x14ac:dyDescent="0.2">
      <c r="DY6752" s="185" t="s">
        <v>215</v>
      </c>
    </row>
    <row r="6753" spans="129:129" x14ac:dyDescent="0.2">
      <c r="DY6753" s="185" t="s">
        <v>215</v>
      </c>
    </row>
    <row r="6754" spans="129:129" x14ac:dyDescent="0.2">
      <c r="DY6754" s="185" t="s">
        <v>215</v>
      </c>
    </row>
    <row r="6755" spans="129:129" x14ac:dyDescent="0.2">
      <c r="DY6755" s="185" t="s">
        <v>215</v>
      </c>
    </row>
    <row r="6756" spans="129:129" x14ac:dyDescent="0.2">
      <c r="DY6756" s="185" t="s">
        <v>215</v>
      </c>
    </row>
    <row r="6757" spans="129:129" x14ac:dyDescent="0.2">
      <c r="DY6757" s="185" t="s">
        <v>215</v>
      </c>
    </row>
    <row r="6758" spans="129:129" x14ac:dyDescent="0.2">
      <c r="DY6758" s="185" t="s">
        <v>215</v>
      </c>
    </row>
    <row r="6759" spans="129:129" x14ac:dyDescent="0.2">
      <c r="DY6759" s="185" t="s">
        <v>215</v>
      </c>
    </row>
    <row r="6760" spans="129:129" x14ac:dyDescent="0.2">
      <c r="DY6760" s="185" t="s">
        <v>215</v>
      </c>
    </row>
    <row r="6761" spans="129:129" x14ac:dyDescent="0.2">
      <c r="DY6761" s="185" t="s">
        <v>215</v>
      </c>
    </row>
    <row r="6762" spans="129:129" x14ac:dyDescent="0.2">
      <c r="DY6762" s="185" t="s">
        <v>215</v>
      </c>
    </row>
    <row r="6763" spans="129:129" x14ac:dyDescent="0.2">
      <c r="DY6763" s="185" t="s">
        <v>215</v>
      </c>
    </row>
    <row r="6764" spans="129:129" x14ac:dyDescent="0.2">
      <c r="DY6764" s="185" t="s">
        <v>215</v>
      </c>
    </row>
    <row r="6765" spans="129:129" x14ac:dyDescent="0.2">
      <c r="DY6765" s="185" t="s">
        <v>215</v>
      </c>
    </row>
    <row r="6766" spans="129:129" x14ac:dyDescent="0.2">
      <c r="DY6766" s="185" t="s">
        <v>215</v>
      </c>
    </row>
    <row r="6767" spans="129:129" x14ac:dyDescent="0.2">
      <c r="DY6767" s="185" t="s">
        <v>215</v>
      </c>
    </row>
    <row r="6768" spans="129:129" x14ac:dyDescent="0.2">
      <c r="DY6768" s="185" t="s">
        <v>215</v>
      </c>
    </row>
    <row r="6769" spans="129:129" x14ac:dyDescent="0.2">
      <c r="DY6769" s="185" t="s">
        <v>215</v>
      </c>
    </row>
    <row r="6770" spans="129:129" x14ac:dyDescent="0.2">
      <c r="DY6770" s="185" t="s">
        <v>215</v>
      </c>
    </row>
    <row r="6771" spans="129:129" x14ac:dyDescent="0.2">
      <c r="DY6771" s="185" t="s">
        <v>215</v>
      </c>
    </row>
    <row r="6772" spans="129:129" x14ac:dyDescent="0.2">
      <c r="DY6772" s="185" t="s">
        <v>215</v>
      </c>
    </row>
    <row r="6773" spans="129:129" x14ac:dyDescent="0.2">
      <c r="DY6773" s="185" t="s">
        <v>215</v>
      </c>
    </row>
    <row r="6774" spans="129:129" x14ac:dyDescent="0.2">
      <c r="DY6774" s="185" t="s">
        <v>215</v>
      </c>
    </row>
    <row r="6775" spans="129:129" x14ac:dyDescent="0.2">
      <c r="DY6775" s="185" t="s">
        <v>215</v>
      </c>
    </row>
    <row r="6776" spans="129:129" x14ac:dyDescent="0.2">
      <c r="DY6776" s="185" t="s">
        <v>215</v>
      </c>
    </row>
    <row r="6777" spans="129:129" x14ac:dyDescent="0.2">
      <c r="DY6777" s="185" t="s">
        <v>215</v>
      </c>
    </row>
    <row r="6778" spans="129:129" x14ac:dyDescent="0.2">
      <c r="DY6778" s="185" t="s">
        <v>215</v>
      </c>
    </row>
    <row r="6779" spans="129:129" x14ac:dyDescent="0.2">
      <c r="DY6779" s="185" t="s">
        <v>215</v>
      </c>
    </row>
    <row r="6780" spans="129:129" x14ac:dyDescent="0.2">
      <c r="DY6780" s="185" t="s">
        <v>215</v>
      </c>
    </row>
    <row r="6781" spans="129:129" x14ac:dyDescent="0.2">
      <c r="DY6781" s="185" t="s">
        <v>215</v>
      </c>
    </row>
    <row r="6782" spans="129:129" x14ac:dyDescent="0.2">
      <c r="DY6782" s="185" t="s">
        <v>215</v>
      </c>
    </row>
    <row r="6783" spans="129:129" x14ac:dyDescent="0.2">
      <c r="DY6783" s="185" t="s">
        <v>215</v>
      </c>
    </row>
    <row r="6784" spans="129:129" x14ac:dyDescent="0.2">
      <c r="DY6784" s="185" t="s">
        <v>215</v>
      </c>
    </row>
    <row r="6785" spans="129:129" x14ac:dyDescent="0.2">
      <c r="DY6785" s="185" t="s">
        <v>215</v>
      </c>
    </row>
    <row r="6786" spans="129:129" x14ac:dyDescent="0.2">
      <c r="DY6786" s="185" t="s">
        <v>215</v>
      </c>
    </row>
    <row r="6787" spans="129:129" x14ac:dyDescent="0.2">
      <c r="DY6787" s="185" t="s">
        <v>215</v>
      </c>
    </row>
    <row r="6788" spans="129:129" x14ac:dyDescent="0.2">
      <c r="DY6788" s="185" t="s">
        <v>215</v>
      </c>
    </row>
    <row r="6789" spans="129:129" x14ac:dyDescent="0.2">
      <c r="DY6789" s="185" t="s">
        <v>215</v>
      </c>
    </row>
    <row r="6790" spans="129:129" x14ac:dyDescent="0.2">
      <c r="DY6790" s="185" t="s">
        <v>215</v>
      </c>
    </row>
    <row r="6791" spans="129:129" x14ac:dyDescent="0.2">
      <c r="DY6791" s="185" t="s">
        <v>215</v>
      </c>
    </row>
    <row r="6792" spans="129:129" x14ac:dyDescent="0.2">
      <c r="DY6792" s="185" t="s">
        <v>215</v>
      </c>
    </row>
    <row r="6793" spans="129:129" x14ac:dyDescent="0.2">
      <c r="DY6793" s="185" t="s">
        <v>215</v>
      </c>
    </row>
    <row r="6794" spans="129:129" x14ac:dyDescent="0.2">
      <c r="DY6794" s="185" t="s">
        <v>215</v>
      </c>
    </row>
    <row r="6795" spans="129:129" x14ac:dyDescent="0.2">
      <c r="DY6795" s="185" t="s">
        <v>215</v>
      </c>
    </row>
    <row r="6796" spans="129:129" x14ac:dyDescent="0.2">
      <c r="DY6796" s="185" t="s">
        <v>215</v>
      </c>
    </row>
    <row r="6797" spans="129:129" x14ac:dyDescent="0.2">
      <c r="DY6797" s="185" t="s">
        <v>215</v>
      </c>
    </row>
    <row r="6798" spans="129:129" x14ac:dyDescent="0.2">
      <c r="DY6798" s="185" t="s">
        <v>215</v>
      </c>
    </row>
    <row r="6799" spans="129:129" x14ac:dyDescent="0.2">
      <c r="DY6799" s="185" t="s">
        <v>215</v>
      </c>
    </row>
    <row r="6800" spans="129:129" x14ac:dyDescent="0.2">
      <c r="DY6800" s="185" t="s">
        <v>215</v>
      </c>
    </row>
    <row r="6801" spans="129:129" x14ac:dyDescent="0.2">
      <c r="DY6801" s="185" t="s">
        <v>215</v>
      </c>
    </row>
    <row r="6802" spans="129:129" x14ac:dyDescent="0.2">
      <c r="DY6802" s="185" t="s">
        <v>215</v>
      </c>
    </row>
    <row r="6803" spans="129:129" x14ac:dyDescent="0.2">
      <c r="DY6803" s="185" t="s">
        <v>215</v>
      </c>
    </row>
    <row r="6804" spans="129:129" x14ac:dyDescent="0.2">
      <c r="DY6804" s="185" t="s">
        <v>215</v>
      </c>
    </row>
    <row r="6805" spans="129:129" x14ac:dyDescent="0.2">
      <c r="DY6805" s="185" t="s">
        <v>215</v>
      </c>
    </row>
    <row r="6806" spans="129:129" x14ac:dyDescent="0.2">
      <c r="DY6806" s="185" t="s">
        <v>215</v>
      </c>
    </row>
    <row r="6807" spans="129:129" x14ac:dyDescent="0.2">
      <c r="DY6807" s="185" t="s">
        <v>215</v>
      </c>
    </row>
    <row r="6808" spans="129:129" x14ac:dyDescent="0.2">
      <c r="DY6808" s="185" t="s">
        <v>215</v>
      </c>
    </row>
    <row r="6809" spans="129:129" x14ac:dyDescent="0.2">
      <c r="DY6809" s="185" t="s">
        <v>215</v>
      </c>
    </row>
    <row r="6810" spans="129:129" x14ac:dyDescent="0.2">
      <c r="DY6810" s="185" t="s">
        <v>215</v>
      </c>
    </row>
    <row r="6811" spans="129:129" x14ac:dyDescent="0.2">
      <c r="DY6811" s="185" t="s">
        <v>215</v>
      </c>
    </row>
    <row r="6812" spans="129:129" x14ac:dyDescent="0.2">
      <c r="DY6812" s="185" t="s">
        <v>215</v>
      </c>
    </row>
    <row r="6813" spans="129:129" x14ac:dyDescent="0.2">
      <c r="DY6813" s="185" t="s">
        <v>215</v>
      </c>
    </row>
    <row r="6814" spans="129:129" x14ac:dyDescent="0.2">
      <c r="DY6814" s="185" t="s">
        <v>215</v>
      </c>
    </row>
    <row r="6815" spans="129:129" x14ac:dyDescent="0.2">
      <c r="DY6815" s="185" t="s">
        <v>215</v>
      </c>
    </row>
    <row r="6816" spans="129:129" x14ac:dyDescent="0.2">
      <c r="DY6816" s="185" t="s">
        <v>215</v>
      </c>
    </row>
    <row r="6817" spans="129:129" x14ac:dyDescent="0.2">
      <c r="DY6817" s="185" t="s">
        <v>215</v>
      </c>
    </row>
    <row r="6818" spans="129:129" x14ac:dyDescent="0.2">
      <c r="DY6818" s="185" t="s">
        <v>215</v>
      </c>
    </row>
    <row r="6819" spans="129:129" x14ac:dyDescent="0.2">
      <c r="DY6819" s="185" t="s">
        <v>215</v>
      </c>
    </row>
    <row r="6820" spans="129:129" x14ac:dyDescent="0.2">
      <c r="DY6820" s="185" t="s">
        <v>215</v>
      </c>
    </row>
    <row r="6821" spans="129:129" x14ac:dyDescent="0.2">
      <c r="DY6821" s="185" t="s">
        <v>215</v>
      </c>
    </row>
    <row r="6822" spans="129:129" x14ac:dyDescent="0.2">
      <c r="DY6822" s="185" t="s">
        <v>215</v>
      </c>
    </row>
    <row r="6823" spans="129:129" x14ac:dyDescent="0.2">
      <c r="DY6823" s="185" t="s">
        <v>215</v>
      </c>
    </row>
    <row r="6824" spans="129:129" x14ac:dyDescent="0.2">
      <c r="DY6824" s="185" t="s">
        <v>215</v>
      </c>
    </row>
    <row r="6825" spans="129:129" x14ac:dyDescent="0.2">
      <c r="DY6825" s="185" t="s">
        <v>215</v>
      </c>
    </row>
    <row r="6826" spans="129:129" x14ac:dyDescent="0.2">
      <c r="DY6826" s="185" t="s">
        <v>215</v>
      </c>
    </row>
    <row r="6827" spans="129:129" x14ac:dyDescent="0.2">
      <c r="DY6827" s="185" t="s">
        <v>215</v>
      </c>
    </row>
    <row r="6828" spans="129:129" x14ac:dyDescent="0.2">
      <c r="DY6828" s="185" t="s">
        <v>215</v>
      </c>
    </row>
    <row r="6829" spans="129:129" x14ac:dyDescent="0.2">
      <c r="DY6829" s="185" t="s">
        <v>215</v>
      </c>
    </row>
    <row r="6830" spans="129:129" x14ac:dyDescent="0.2">
      <c r="DY6830" s="185" t="s">
        <v>215</v>
      </c>
    </row>
    <row r="6831" spans="129:129" x14ac:dyDescent="0.2">
      <c r="DY6831" s="185" t="s">
        <v>215</v>
      </c>
    </row>
    <row r="6832" spans="129:129" x14ac:dyDescent="0.2">
      <c r="DY6832" s="185" t="s">
        <v>215</v>
      </c>
    </row>
    <row r="6833" spans="129:129" x14ac:dyDescent="0.2">
      <c r="DY6833" s="185" t="s">
        <v>215</v>
      </c>
    </row>
    <row r="6834" spans="129:129" x14ac:dyDescent="0.2">
      <c r="DY6834" s="185" t="s">
        <v>215</v>
      </c>
    </row>
    <row r="6835" spans="129:129" x14ac:dyDescent="0.2">
      <c r="DY6835" s="185" t="s">
        <v>215</v>
      </c>
    </row>
    <row r="6836" spans="129:129" x14ac:dyDescent="0.2">
      <c r="DY6836" s="185" t="s">
        <v>215</v>
      </c>
    </row>
    <row r="6837" spans="129:129" x14ac:dyDescent="0.2">
      <c r="DY6837" s="185" t="s">
        <v>215</v>
      </c>
    </row>
    <row r="6838" spans="129:129" x14ac:dyDescent="0.2">
      <c r="DY6838" s="185" t="s">
        <v>215</v>
      </c>
    </row>
    <row r="6839" spans="129:129" x14ac:dyDescent="0.2">
      <c r="DY6839" s="185" t="s">
        <v>215</v>
      </c>
    </row>
    <row r="6840" spans="129:129" x14ac:dyDescent="0.2">
      <c r="DY6840" s="185" t="s">
        <v>215</v>
      </c>
    </row>
    <row r="6841" spans="129:129" x14ac:dyDescent="0.2">
      <c r="DY6841" s="185" t="s">
        <v>215</v>
      </c>
    </row>
    <row r="6842" spans="129:129" x14ac:dyDescent="0.2">
      <c r="DY6842" s="185" t="s">
        <v>215</v>
      </c>
    </row>
    <row r="6843" spans="129:129" x14ac:dyDescent="0.2">
      <c r="DY6843" s="185" t="s">
        <v>215</v>
      </c>
    </row>
    <row r="6844" spans="129:129" x14ac:dyDescent="0.2">
      <c r="DY6844" s="185" t="s">
        <v>215</v>
      </c>
    </row>
    <row r="6845" spans="129:129" x14ac:dyDescent="0.2">
      <c r="DY6845" s="185" t="s">
        <v>215</v>
      </c>
    </row>
    <row r="6846" spans="129:129" x14ac:dyDescent="0.2">
      <c r="DY6846" s="185" t="s">
        <v>215</v>
      </c>
    </row>
    <row r="6847" spans="129:129" x14ac:dyDescent="0.2">
      <c r="DY6847" s="185" t="s">
        <v>215</v>
      </c>
    </row>
    <row r="6848" spans="129:129" x14ac:dyDescent="0.2">
      <c r="DY6848" s="185" t="s">
        <v>215</v>
      </c>
    </row>
    <row r="6849" spans="129:129" x14ac:dyDescent="0.2">
      <c r="DY6849" s="185" t="s">
        <v>215</v>
      </c>
    </row>
    <row r="6850" spans="129:129" x14ac:dyDescent="0.2">
      <c r="DY6850" s="185" t="s">
        <v>215</v>
      </c>
    </row>
    <row r="6851" spans="129:129" x14ac:dyDescent="0.2">
      <c r="DY6851" s="185" t="s">
        <v>215</v>
      </c>
    </row>
    <row r="6852" spans="129:129" x14ac:dyDescent="0.2">
      <c r="DY6852" s="185" t="s">
        <v>215</v>
      </c>
    </row>
    <row r="6853" spans="129:129" x14ac:dyDescent="0.2">
      <c r="DY6853" s="185" t="s">
        <v>215</v>
      </c>
    </row>
    <row r="6854" spans="129:129" x14ac:dyDescent="0.2">
      <c r="DY6854" s="185" t="s">
        <v>215</v>
      </c>
    </row>
    <row r="6855" spans="129:129" x14ac:dyDescent="0.2">
      <c r="DY6855" s="185" t="s">
        <v>215</v>
      </c>
    </row>
    <row r="6856" spans="129:129" x14ac:dyDescent="0.2">
      <c r="DY6856" s="185" t="s">
        <v>215</v>
      </c>
    </row>
    <row r="6857" spans="129:129" x14ac:dyDescent="0.2">
      <c r="DY6857" s="185" t="s">
        <v>215</v>
      </c>
    </row>
    <row r="6858" spans="129:129" x14ac:dyDescent="0.2">
      <c r="DY6858" s="185" t="s">
        <v>215</v>
      </c>
    </row>
    <row r="6859" spans="129:129" x14ac:dyDescent="0.2">
      <c r="DY6859" s="185" t="s">
        <v>215</v>
      </c>
    </row>
    <row r="6860" spans="129:129" x14ac:dyDescent="0.2">
      <c r="DY6860" s="185" t="s">
        <v>215</v>
      </c>
    </row>
    <row r="6861" spans="129:129" x14ac:dyDescent="0.2">
      <c r="DY6861" s="185" t="s">
        <v>215</v>
      </c>
    </row>
    <row r="6862" spans="129:129" x14ac:dyDescent="0.2">
      <c r="DY6862" s="185" t="s">
        <v>215</v>
      </c>
    </row>
    <row r="6863" spans="129:129" x14ac:dyDescent="0.2">
      <c r="DY6863" s="185" t="s">
        <v>215</v>
      </c>
    </row>
    <row r="6864" spans="129:129" x14ac:dyDescent="0.2">
      <c r="DY6864" s="185" t="s">
        <v>215</v>
      </c>
    </row>
    <row r="6865" spans="129:129" x14ac:dyDescent="0.2">
      <c r="DY6865" s="185" t="s">
        <v>215</v>
      </c>
    </row>
    <row r="6866" spans="129:129" x14ac:dyDescent="0.2">
      <c r="DY6866" s="185" t="s">
        <v>215</v>
      </c>
    </row>
    <row r="6867" spans="129:129" x14ac:dyDescent="0.2">
      <c r="DY6867" s="185" t="s">
        <v>215</v>
      </c>
    </row>
    <row r="6868" spans="129:129" x14ac:dyDescent="0.2">
      <c r="DY6868" s="185" t="s">
        <v>215</v>
      </c>
    </row>
    <row r="6869" spans="129:129" x14ac:dyDescent="0.2">
      <c r="DY6869" s="185" t="s">
        <v>215</v>
      </c>
    </row>
    <row r="6870" spans="129:129" x14ac:dyDescent="0.2">
      <c r="DY6870" s="185" t="s">
        <v>215</v>
      </c>
    </row>
    <row r="6871" spans="129:129" x14ac:dyDescent="0.2">
      <c r="DY6871" s="185" t="s">
        <v>215</v>
      </c>
    </row>
    <row r="6872" spans="129:129" x14ac:dyDescent="0.2">
      <c r="DY6872" s="185" t="s">
        <v>215</v>
      </c>
    </row>
    <row r="6873" spans="129:129" x14ac:dyDescent="0.2">
      <c r="DY6873" s="185" t="s">
        <v>215</v>
      </c>
    </row>
    <row r="6874" spans="129:129" x14ac:dyDescent="0.2">
      <c r="DY6874" s="185" t="s">
        <v>215</v>
      </c>
    </row>
    <row r="6875" spans="129:129" x14ac:dyDescent="0.2">
      <c r="DY6875" s="185" t="s">
        <v>215</v>
      </c>
    </row>
    <row r="6876" spans="129:129" x14ac:dyDescent="0.2">
      <c r="DY6876" s="185" t="s">
        <v>215</v>
      </c>
    </row>
    <row r="6877" spans="129:129" x14ac:dyDescent="0.2">
      <c r="DY6877" s="185" t="s">
        <v>215</v>
      </c>
    </row>
    <row r="6878" spans="129:129" x14ac:dyDescent="0.2">
      <c r="DY6878" s="185" t="s">
        <v>215</v>
      </c>
    </row>
    <row r="6879" spans="129:129" x14ac:dyDescent="0.2">
      <c r="DY6879" s="185" t="s">
        <v>215</v>
      </c>
    </row>
    <row r="6880" spans="129:129" x14ac:dyDescent="0.2">
      <c r="DY6880" s="185" t="s">
        <v>215</v>
      </c>
    </row>
    <row r="6881" spans="129:129" x14ac:dyDescent="0.2">
      <c r="DY6881" s="185" t="s">
        <v>215</v>
      </c>
    </row>
    <row r="6882" spans="129:129" x14ac:dyDescent="0.2">
      <c r="DY6882" s="185" t="s">
        <v>215</v>
      </c>
    </row>
    <row r="6883" spans="129:129" x14ac:dyDescent="0.2">
      <c r="DY6883" s="185" t="s">
        <v>215</v>
      </c>
    </row>
    <row r="6884" spans="129:129" x14ac:dyDescent="0.2">
      <c r="DY6884" s="185" t="s">
        <v>215</v>
      </c>
    </row>
    <row r="6885" spans="129:129" x14ac:dyDescent="0.2">
      <c r="DY6885" s="185" t="s">
        <v>215</v>
      </c>
    </row>
    <row r="6886" spans="129:129" x14ac:dyDescent="0.2">
      <c r="DY6886" s="185" t="s">
        <v>215</v>
      </c>
    </row>
    <row r="6887" spans="129:129" x14ac:dyDescent="0.2">
      <c r="DY6887" s="185" t="s">
        <v>215</v>
      </c>
    </row>
    <row r="6888" spans="129:129" x14ac:dyDescent="0.2">
      <c r="DY6888" s="185" t="s">
        <v>215</v>
      </c>
    </row>
    <row r="6889" spans="129:129" x14ac:dyDescent="0.2">
      <c r="DY6889" s="185" t="s">
        <v>215</v>
      </c>
    </row>
    <row r="6890" spans="129:129" x14ac:dyDescent="0.2">
      <c r="DY6890" s="185" t="s">
        <v>215</v>
      </c>
    </row>
    <row r="6891" spans="129:129" x14ac:dyDescent="0.2">
      <c r="DY6891" s="185" t="s">
        <v>215</v>
      </c>
    </row>
    <row r="6892" spans="129:129" x14ac:dyDescent="0.2">
      <c r="DY6892" s="185" t="s">
        <v>215</v>
      </c>
    </row>
    <row r="6893" spans="129:129" x14ac:dyDescent="0.2">
      <c r="DY6893" s="185" t="s">
        <v>215</v>
      </c>
    </row>
    <row r="6894" spans="129:129" x14ac:dyDescent="0.2">
      <c r="DY6894" s="185" t="s">
        <v>215</v>
      </c>
    </row>
    <row r="6895" spans="129:129" x14ac:dyDescent="0.2">
      <c r="DY6895" s="185" t="s">
        <v>215</v>
      </c>
    </row>
    <row r="6896" spans="129:129" x14ac:dyDescent="0.2">
      <c r="DY6896" s="185" t="s">
        <v>215</v>
      </c>
    </row>
    <row r="6897" spans="129:129" x14ac:dyDescent="0.2">
      <c r="DY6897" s="185" t="s">
        <v>215</v>
      </c>
    </row>
    <row r="6898" spans="129:129" x14ac:dyDescent="0.2">
      <c r="DY6898" s="185" t="s">
        <v>215</v>
      </c>
    </row>
    <row r="6899" spans="129:129" x14ac:dyDescent="0.2">
      <c r="DY6899" s="185" t="s">
        <v>215</v>
      </c>
    </row>
    <row r="6900" spans="129:129" x14ac:dyDescent="0.2">
      <c r="DY6900" s="185" t="s">
        <v>215</v>
      </c>
    </row>
    <row r="6901" spans="129:129" x14ac:dyDescent="0.2">
      <c r="DY6901" s="185" t="s">
        <v>215</v>
      </c>
    </row>
    <row r="6902" spans="129:129" x14ac:dyDescent="0.2">
      <c r="DY6902" s="185" t="s">
        <v>215</v>
      </c>
    </row>
    <row r="6903" spans="129:129" x14ac:dyDescent="0.2">
      <c r="DY6903" s="185" t="s">
        <v>215</v>
      </c>
    </row>
    <row r="6904" spans="129:129" x14ac:dyDescent="0.2">
      <c r="DY6904" s="185" t="s">
        <v>215</v>
      </c>
    </row>
    <row r="6905" spans="129:129" x14ac:dyDescent="0.2">
      <c r="DY6905" s="185" t="s">
        <v>215</v>
      </c>
    </row>
    <row r="6906" spans="129:129" x14ac:dyDescent="0.2">
      <c r="DY6906" s="185" t="s">
        <v>215</v>
      </c>
    </row>
    <row r="6907" spans="129:129" x14ac:dyDescent="0.2">
      <c r="DY6907" s="185" t="s">
        <v>215</v>
      </c>
    </row>
    <row r="6908" spans="129:129" x14ac:dyDescent="0.2">
      <c r="DY6908" s="185" t="s">
        <v>215</v>
      </c>
    </row>
    <row r="6909" spans="129:129" x14ac:dyDescent="0.2">
      <c r="DY6909" s="185" t="s">
        <v>215</v>
      </c>
    </row>
    <row r="6910" spans="129:129" x14ac:dyDescent="0.2">
      <c r="DY6910" s="185" t="s">
        <v>215</v>
      </c>
    </row>
    <row r="6911" spans="129:129" x14ac:dyDescent="0.2">
      <c r="DY6911" s="185" t="s">
        <v>215</v>
      </c>
    </row>
    <row r="6912" spans="129:129" x14ac:dyDescent="0.2">
      <c r="DY6912" s="185" t="s">
        <v>215</v>
      </c>
    </row>
    <row r="6913" spans="129:129" x14ac:dyDescent="0.2">
      <c r="DY6913" s="185" t="s">
        <v>215</v>
      </c>
    </row>
    <row r="6914" spans="129:129" x14ac:dyDescent="0.2">
      <c r="DY6914" s="185" t="s">
        <v>215</v>
      </c>
    </row>
    <row r="6915" spans="129:129" x14ac:dyDescent="0.2">
      <c r="DY6915" s="185" t="s">
        <v>215</v>
      </c>
    </row>
    <row r="6916" spans="129:129" x14ac:dyDescent="0.2">
      <c r="DY6916" s="185" t="s">
        <v>215</v>
      </c>
    </row>
    <row r="6917" spans="129:129" x14ac:dyDescent="0.2">
      <c r="DY6917" s="185" t="s">
        <v>215</v>
      </c>
    </row>
    <row r="6918" spans="129:129" x14ac:dyDescent="0.2">
      <c r="DY6918" s="185" t="s">
        <v>215</v>
      </c>
    </row>
    <row r="6919" spans="129:129" x14ac:dyDescent="0.2">
      <c r="DY6919" s="185" t="s">
        <v>215</v>
      </c>
    </row>
    <row r="6920" spans="129:129" x14ac:dyDescent="0.2">
      <c r="DY6920" s="185" t="s">
        <v>215</v>
      </c>
    </row>
    <row r="6921" spans="129:129" x14ac:dyDescent="0.2">
      <c r="DY6921" s="185" t="s">
        <v>215</v>
      </c>
    </row>
    <row r="6922" spans="129:129" x14ac:dyDescent="0.2">
      <c r="DY6922" s="185" t="s">
        <v>215</v>
      </c>
    </row>
    <row r="6923" spans="129:129" x14ac:dyDescent="0.2">
      <c r="DY6923" s="185" t="s">
        <v>215</v>
      </c>
    </row>
    <row r="6924" spans="129:129" x14ac:dyDescent="0.2">
      <c r="DY6924" s="185" t="s">
        <v>215</v>
      </c>
    </row>
    <row r="6925" spans="129:129" x14ac:dyDescent="0.2">
      <c r="DY6925" s="185" t="s">
        <v>215</v>
      </c>
    </row>
    <row r="6926" spans="129:129" x14ac:dyDescent="0.2">
      <c r="DY6926" s="185" t="s">
        <v>215</v>
      </c>
    </row>
    <row r="6927" spans="129:129" x14ac:dyDescent="0.2">
      <c r="DY6927" s="185" t="s">
        <v>215</v>
      </c>
    </row>
    <row r="6928" spans="129:129" x14ac:dyDescent="0.2">
      <c r="DY6928" s="185" t="s">
        <v>215</v>
      </c>
    </row>
    <row r="6929" spans="129:129" x14ac:dyDescent="0.2">
      <c r="DY6929" s="185" t="s">
        <v>215</v>
      </c>
    </row>
    <row r="6930" spans="129:129" x14ac:dyDescent="0.2">
      <c r="DY6930" s="185" t="s">
        <v>215</v>
      </c>
    </row>
    <row r="6931" spans="129:129" x14ac:dyDescent="0.2">
      <c r="DY6931" s="185" t="s">
        <v>215</v>
      </c>
    </row>
    <row r="6932" spans="129:129" x14ac:dyDescent="0.2">
      <c r="DY6932" s="185" t="s">
        <v>215</v>
      </c>
    </row>
    <row r="6933" spans="129:129" x14ac:dyDescent="0.2">
      <c r="DY6933" s="185" t="s">
        <v>215</v>
      </c>
    </row>
    <row r="6934" spans="129:129" x14ac:dyDescent="0.2">
      <c r="DY6934" s="185" t="s">
        <v>215</v>
      </c>
    </row>
    <row r="6935" spans="129:129" x14ac:dyDescent="0.2">
      <c r="DY6935" s="185" t="s">
        <v>215</v>
      </c>
    </row>
    <row r="6936" spans="129:129" x14ac:dyDescent="0.2">
      <c r="DY6936" s="185" t="s">
        <v>215</v>
      </c>
    </row>
    <row r="6937" spans="129:129" x14ac:dyDescent="0.2">
      <c r="DY6937" s="185" t="s">
        <v>215</v>
      </c>
    </row>
    <row r="6938" spans="129:129" x14ac:dyDescent="0.2">
      <c r="DY6938" s="185" t="s">
        <v>215</v>
      </c>
    </row>
    <row r="6939" spans="129:129" x14ac:dyDescent="0.2">
      <c r="DY6939" s="185" t="s">
        <v>215</v>
      </c>
    </row>
    <row r="6940" spans="129:129" x14ac:dyDescent="0.2">
      <c r="DY6940" s="185" t="s">
        <v>215</v>
      </c>
    </row>
    <row r="6941" spans="129:129" x14ac:dyDescent="0.2">
      <c r="DY6941" s="185" t="s">
        <v>215</v>
      </c>
    </row>
    <row r="6942" spans="129:129" x14ac:dyDescent="0.2">
      <c r="DY6942" s="185" t="s">
        <v>215</v>
      </c>
    </row>
    <row r="6943" spans="129:129" x14ac:dyDescent="0.2">
      <c r="DY6943" s="185" t="s">
        <v>215</v>
      </c>
    </row>
    <row r="6944" spans="129:129" x14ac:dyDescent="0.2">
      <c r="DY6944" s="185" t="s">
        <v>215</v>
      </c>
    </row>
    <row r="6945" spans="129:129" x14ac:dyDescent="0.2">
      <c r="DY6945" s="185" t="s">
        <v>215</v>
      </c>
    </row>
    <row r="6946" spans="129:129" x14ac:dyDescent="0.2">
      <c r="DY6946" s="185" t="s">
        <v>215</v>
      </c>
    </row>
    <row r="6947" spans="129:129" x14ac:dyDescent="0.2">
      <c r="DY6947" s="185" t="s">
        <v>215</v>
      </c>
    </row>
    <row r="6948" spans="129:129" x14ac:dyDescent="0.2">
      <c r="DY6948" s="185" t="s">
        <v>215</v>
      </c>
    </row>
    <row r="6949" spans="129:129" x14ac:dyDescent="0.2">
      <c r="DY6949" s="185" t="s">
        <v>215</v>
      </c>
    </row>
    <row r="6950" spans="129:129" x14ac:dyDescent="0.2">
      <c r="DY6950" s="185" t="s">
        <v>215</v>
      </c>
    </row>
    <row r="6951" spans="129:129" x14ac:dyDescent="0.2">
      <c r="DY6951" s="185" t="s">
        <v>215</v>
      </c>
    </row>
    <row r="6952" spans="129:129" x14ac:dyDescent="0.2">
      <c r="DY6952" s="185" t="s">
        <v>215</v>
      </c>
    </row>
    <row r="6953" spans="129:129" x14ac:dyDescent="0.2">
      <c r="DY6953" s="185" t="s">
        <v>215</v>
      </c>
    </row>
    <row r="6954" spans="129:129" x14ac:dyDescent="0.2">
      <c r="DY6954" s="185" t="s">
        <v>215</v>
      </c>
    </row>
    <row r="6955" spans="129:129" x14ac:dyDescent="0.2">
      <c r="DY6955" s="185" t="s">
        <v>215</v>
      </c>
    </row>
    <row r="6956" spans="129:129" x14ac:dyDescent="0.2">
      <c r="DY6956" s="185" t="s">
        <v>215</v>
      </c>
    </row>
    <row r="6957" spans="129:129" x14ac:dyDescent="0.2">
      <c r="DY6957" s="185" t="s">
        <v>215</v>
      </c>
    </row>
    <row r="6958" spans="129:129" x14ac:dyDescent="0.2">
      <c r="DY6958" s="185" t="s">
        <v>215</v>
      </c>
    </row>
    <row r="6959" spans="129:129" x14ac:dyDescent="0.2">
      <c r="DY6959" s="185" t="s">
        <v>215</v>
      </c>
    </row>
    <row r="6960" spans="129:129" x14ac:dyDescent="0.2">
      <c r="DY6960" s="185" t="s">
        <v>215</v>
      </c>
    </row>
    <row r="6961" spans="129:129" x14ac:dyDescent="0.2">
      <c r="DY6961" s="185" t="s">
        <v>215</v>
      </c>
    </row>
    <row r="6962" spans="129:129" x14ac:dyDescent="0.2">
      <c r="DY6962" s="185" t="s">
        <v>215</v>
      </c>
    </row>
    <row r="6963" spans="129:129" x14ac:dyDescent="0.2">
      <c r="DY6963" s="185" t="s">
        <v>215</v>
      </c>
    </row>
    <row r="6964" spans="129:129" x14ac:dyDescent="0.2">
      <c r="DY6964" s="185" t="s">
        <v>215</v>
      </c>
    </row>
    <row r="6965" spans="129:129" x14ac:dyDescent="0.2">
      <c r="DY6965" s="185" t="s">
        <v>215</v>
      </c>
    </row>
    <row r="6966" spans="129:129" x14ac:dyDescent="0.2">
      <c r="DY6966" s="185" t="s">
        <v>215</v>
      </c>
    </row>
    <row r="6967" spans="129:129" x14ac:dyDescent="0.2">
      <c r="DY6967" s="185" t="s">
        <v>215</v>
      </c>
    </row>
    <row r="6968" spans="129:129" x14ac:dyDescent="0.2">
      <c r="DY6968" s="185" t="s">
        <v>215</v>
      </c>
    </row>
    <row r="6969" spans="129:129" x14ac:dyDescent="0.2">
      <c r="DY6969" s="185" t="s">
        <v>215</v>
      </c>
    </row>
    <row r="6970" spans="129:129" x14ac:dyDescent="0.2">
      <c r="DY6970" s="185" t="s">
        <v>215</v>
      </c>
    </row>
    <row r="6971" spans="129:129" x14ac:dyDescent="0.2">
      <c r="DY6971" s="185" t="s">
        <v>215</v>
      </c>
    </row>
    <row r="6972" spans="129:129" x14ac:dyDescent="0.2">
      <c r="DY6972" s="185" t="s">
        <v>215</v>
      </c>
    </row>
    <row r="6973" spans="129:129" x14ac:dyDescent="0.2">
      <c r="DY6973" s="185" t="s">
        <v>215</v>
      </c>
    </row>
    <row r="6974" spans="129:129" x14ac:dyDescent="0.2">
      <c r="DY6974" s="185" t="s">
        <v>215</v>
      </c>
    </row>
    <row r="6975" spans="129:129" x14ac:dyDescent="0.2">
      <c r="DY6975" s="185" t="s">
        <v>215</v>
      </c>
    </row>
    <row r="6976" spans="129:129" x14ac:dyDescent="0.2">
      <c r="DY6976" s="185" t="s">
        <v>215</v>
      </c>
    </row>
    <row r="6977" spans="129:129" x14ac:dyDescent="0.2">
      <c r="DY6977" s="185" t="s">
        <v>215</v>
      </c>
    </row>
    <row r="6978" spans="129:129" x14ac:dyDescent="0.2">
      <c r="DY6978" s="185" t="s">
        <v>215</v>
      </c>
    </row>
    <row r="6979" spans="129:129" x14ac:dyDescent="0.2">
      <c r="DY6979" s="185" t="s">
        <v>215</v>
      </c>
    </row>
    <row r="6980" spans="129:129" x14ac:dyDescent="0.2">
      <c r="DY6980" s="185" t="s">
        <v>215</v>
      </c>
    </row>
    <row r="6981" spans="129:129" x14ac:dyDescent="0.2">
      <c r="DY6981" s="185" t="s">
        <v>215</v>
      </c>
    </row>
    <row r="6982" spans="129:129" x14ac:dyDescent="0.2">
      <c r="DY6982" s="185" t="s">
        <v>215</v>
      </c>
    </row>
    <row r="6983" spans="129:129" x14ac:dyDescent="0.2">
      <c r="DY6983" s="185" t="s">
        <v>215</v>
      </c>
    </row>
    <row r="6984" spans="129:129" x14ac:dyDescent="0.2">
      <c r="DY6984" s="185" t="s">
        <v>215</v>
      </c>
    </row>
    <row r="6985" spans="129:129" x14ac:dyDescent="0.2">
      <c r="DY6985" s="185" t="s">
        <v>215</v>
      </c>
    </row>
    <row r="6986" spans="129:129" x14ac:dyDescent="0.2">
      <c r="DY6986" s="185" t="s">
        <v>215</v>
      </c>
    </row>
    <row r="6987" spans="129:129" x14ac:dyDescent="0.2">
      <c r="DY6987" s="185" t="s">
        <v>215</v>
      </c>
    </row>
    <row r="6988" spans="129:129" x14ac:dyDescent="0.2">
      <c r="DY6988" s="185" t="s">
        <v>215</v>
      </c>
    </row>
    <row r="6989" spans="129:129" x14ac:dyDescent="0.2">
      <c r="DY6989" s="185" t="s">
        <v>215</v>
      </c>
    </row>
    <row r="6990" spans="129:129" x14ac:dyDescent="0.2">
      <c r="DY6990" s="185" t="s">
        <v>215</v>
      </c>
    </row>
    <row r="6991" spans="129:129" x14ac:dyDescent="0.2">
      <c r="DY6991" s="185" t="s">
        <v>215</v>
      </c>
    </row>
    <row r="6992" spans="129:129" x14ac:dyDescent="0.2">
      <c r="DY6992" s="185" t="s">
        <v>215</v>
      </c>
    </row>
    <row r="6993" spans="129:129" x14ac:dyDescent="0.2">
      <c r="DY6993" s="185" t="s">
        <v>215</v>
      </c>
    </row>
    <row r="6994" spans="129:129" x14ac:dyDescent="0.2">
      <c r="DY6994" s="185" t="s">
        <v>215</v>
      </c>
    </row>
    <row r="6995" spans="129:129" x14ac:dyDescent="0.2">
      <c r="DY6995" s="185" t="s">
        <v>215</v>
      </c>
    </row>
    <row r="6996" spans="129:129" x14ac:dyDescent="0.2">
      <c r="DY6996" s="185" t="s">
        <v>215</v>
      </c>
    </row>
    <row r="6997" spans="129:129" x14ac:dyDescent="0.2">
      <c r="DY6997" s="185" t="s">
        <v>215</v>
      </c>
    </row>
    <row r="6998" spans="129:129" x14ac:dyDescent="0.2">
      <c r="DY6998" s="185" t="s">
        <v>215</v>
      </c>
    </row>
    <row r="6999" spans="129:129" x14ac:dyDescent="0.2">
      <c r="DY6999" s="185" t="s">
        <v>215</v>
      </c>
    </row>
    <row r="7000" spans="129:129" x14ac:dyDescent="0.2">
      <c r="DY7000" s="185" t="s">
        <v>215</v>
      </c>
    </row>
    <row r="7001" spans="129:129" x14ac:dyDescent="0.2">
      <c r="DY7001" s="185" t="s">
        <v>215</v>
      </c>
    </row>
    <row r="7002" spans="129:129" x14ac:dyDescent="0.2">
      <c r="DY7002" s="185" t="s">
        <v>215</v>
      </c>
    </row>
    <row r="7003" spans="129:129" x14ac:dyDescent="0.2">
      <c r="DY7003" s="185" t="s">
        <v>215</v>
      </c>
    </row>
    <row r="7004" spans="129:129" x14ac:dyDescent="0.2">
      <c r="DY7004" s="185" t="s">
        <v>215</v>
      </c>
    </row>
    <row r="7005" spans="129:129" x14ac:dyDescent="0.2">
      <c r="DY7005" s="185" t="s">
        <v>215</v>
      </c>
    </row>
    <row r="7006" spans="129:129" x14ac:dyDescent="0.2">
      <c r="DY7006" s="185" t="s">
        <v>215</v>
      </c>
    </row>
    <row r="7007" spans="129:129" x14ac:dyDescent="0.2">
      <c r="DY7007" s="185" t="s">
        <v>215</v>
      </c>
    </row>
    <row r="7008" spans="129:129" x14ac:dyDescent="0.2">
      <c r="DY7008" s="185" t="s">
        <v>215</v>
      </c>
    </row>
    <row r="7009" spans="129:129" x14ac:dyDescent="0.2">
      <c r="DY7009" s="185" t="s">
        <v>215</v>
      </c>
    </row>
    <row r="7010" spans="129:129" x14ac:dyDescent="0.2">
      <c r="DY7010" s="185" t="s">
        <v>215</v>
      </c>
    </row>
    <row r="7011" spans="129:129" x14ac:dyDescent="0.2">
      <c r="DY7011" s="185" t="s">
        <v>215</v>
      </c>
    </row>
    <row r="7012" spans="129:129" x14ac:dyDescent="0.2">
      <c r="DY7012" s="185" t="s">
        <v>215</v>
      </c>
    </row>
    <row r="7013" spans="129:129" x14ac:dyDescent="0.2">
      <c r="DY7013" s="185" t="s">
        <v>215</v>
      </c>
    </row>
    <row r="7014" spans="129:129" x14ac:dyDescent="0.2">
      <c r="DY7014" s="185" t="s">
        <v>215</v>
      </c>
    </row>
    <row r="7015" spans="129:129" x14ac:dyDescent="0.2">
      <c r="DY7015" s="185" t="s">
        <v>215</v>
      </c>
    </row>
    <row r="7016" spans="129:129" x14ac:dyDescent="0.2">
      <c r="DY7016" s="185" t="s">
        <v>215</v>
      </c>
    </row>
    <row r="7017" spans="129:129" x14ac:dyDescent="0.2">
      <c r="DY7017" s="185" t="s">
        <v>215</v>
      </c>
    </row>
    <row r="7018" spans="129:129" x14ac:dyDescent="0.2">
      <c r="DY7018" s="185" t="s">
        <v>215</v>
      </c>
    </row>
    <row r="7019" spans="129:129" x14ac:dyDescent="0.2">
      <c r="DY7019" s="185" t="s">
        <v>215</v>
      </c>
    </row>
    <row r="7020" spans="129:129" x14ac:dyDescent="0.2">
      <c r="DY7020" s="185" t="s">
        <v>215</v>
      </c>
    </row>
    <row r="7021" spans="129:129" x14ac:dyDescent="0.2">
      <c r="DY7021" s="185" t="s">
        <v>215</v>
      </c>
    </row>
    <row r="7022" spans="129:129" x14ac:dyDescent="0.2">
      <c r="DY7022" s="185" t="s">
        <v>215</v>
      </c>
    </row>
    <row r="7023" spans="129:129" x14ac:dyDescent="0.2">
      <c r="DY7023" s="185" t="s">
        <v>215</v>
      </c>
    </row>
    <row r="7024" spans="129:129" x14ac:dyDescent="0.2">
      <c r="DY7024" s="185" t="s">
        <v>215</v>
      </c>
    </row>
    <row r="7025" spans="129:129" x14ac:dyDescent="0.2">
      <c r="DY7025" s="185" t="s">
        <v>215</v>
      </c>
    </row>
    <row r="7026" spans="129:129" x14ac:dyDescent="0.2">
      <c r="DY7026" s="185" t="s">
        <v>215</v>
      </c>
    </row>
    <row r="7027" spans="129:129" x14ac:dyDescent="0.2">
      <c r="DY7027" s="185" t="s">
        <v>215</v>
      </c>
    </row>
    <row r="7028" spans="129:129" x14ac:dyDescent="0.2">
      <c r="DY7028" s="185" t="s">
        <v>215</v>
      </c>
    </row>
    <row r="7029" spans="129:129" x14ac:dyDescent="0.2">
      <c r="DY7029" s="185" t="s">
        <v>215</v>
      </c>
    </row>
    <row r="7030" spans="129:129" x14ac:dyDescent="0.2">
      <c r="DY7030" s="185" t="s">
        <v>215</v>
      </c>
    </row>
    <row r="7031" spans="129:129" x14ac:dyDescent="0.2">
      <c r="DY7031" s="185" t="s">
        <v>215</v>
      </c>
    </row>
    <row r="7032" spans="129:129" x14ac:dyDescent="0.2">
      <c r="DY7032" s="185" t="s">
        <v>215</v>
      </c>
    </row>
    <row r="7033" spans="129:129" x14ac:dyDescent="0.2">
      <c r="DY7033" s="185" t="s">
        <v>215</v>
      </c>
    </row>
    <row r="7034" spans="129:129" x14ac:dyDescent="0.2">
      <c r="DY7034" s="185" t="s">
        <v>215</v>
      </c>
    </row>
    <row r="7035" spans="129:129" x14ac:dyDescent="0.2">
      <c r="DY7035" s="185" t="s">
        <v>215</v>
      </c>
    </row>
    <row r="7036" spans="129:129" x14ac:dyDescent="0.2">
      <c r="DY7036" s="185" t="s">
        <v>215</v>
      </c>
    </row>
    <row r="7037" spans="129:129" x14ac:dyDescent="0.2">
      <c r="DY7037" s="185" t="s">
        <v>215</v>
      </c>
    </row>
    <row r="7038" spans="129:129" x14ac:dyDescent="0.2">
      <c r="DY7038" s="185" t="s">
        <v>215</v>
      </c>
    </row>
    <row r="7039" spans="129:129" x14ac:dyDescent="0.2">
      <c r="DY7039" s="185" t="s">
        <v>215</v>
      </c>
    </row>
    <row r="7040" spans="129:129" x14ac:dyDescent="0.2">
      <c r="DY7040" s="185" t="s">
        <v>215</v>
      </c>
    </row>
    <row r="7041" spans="129:129" x14ac:dyDescent="0.2">
      <c r="DY7041" s="185" t="s">
        <v>215</v>
      </c>
    </row>
    <row r="7042" spans="129:129" x14ac:dyDescent="0.2">
      <c r="DY7042" s="185" t="s">
        <v>215</v>
      </c>
    </row>
    <row r="7043" spans="129:129" x14ac:dyDescent="0.2">
      <c r="DY7043" s="185" t="s">
        <v>215</v>
      </c>
    </row>
    <row r="7044" spans="129:129" x14ac:dyDescent="0.2">
      <c r="DY7044" s="185" t="s">
        <v>215</v>
      </c>
    </row>
    <row r="7045" spans="129:129" x14ac:dyDescent="0.2">
      <c r="DY7045" s="185" t="s">
        <v>215</v>
      </c>
    </row>
    <row r="7046" spans="129:129" x14ac:dyDescent="0.2">
      <c r="DY7046" s="185" t="s">
        <v>215</v>
      </c>
    </row>
    <row r="7047" spans="129:129" x14ac:dyDescent="0.2">
      <c r="DY7047" s="185" t="s">
        <v>215</v>
      </c>
    </row>
    <row r="7048" spans="129:129" x14ac:dyDescent="0.2">
      <c r="DY7048" s="185" t="s">
        <v>215</v>
      </c>
    </row>
    <row r="7049" spans="129:129" x14ac:dyDescent="0.2">
      <c r="DY7049" s="185" t="s">
        <v>215</v>
      </c>
    </row>
    <row r="7050" spans="129:129" x14ac:dyDescent="0.2">
      <c r="DY7050" s="185" t="s">
        <v>215</v>
      </c>
    </row>
    <row r="7051" spans="129:129" x14ac:dyDescent="0.2">
      <c r="DY7051" s="185" t="s">
        <v>215</v>
      </c>
    </row>
    <row r="7052" spans="129:129" x14ac:dyDescent="0.2">
      <c r="DY7052" s="185" t="s">
        <v>215</v>
      </c>
    </row>
    <row r="7053" spans="129:129" x14ac:dyDescent="0.2">
      <c r="DY7053" s="185" t="s">
        <v>215</v>
      </c>
    </row>
    <row r="7054" spans="129:129" x14ac:dyDescent="0.2">
      <c r="DY7054" s="185" t="s">
        <v>215</v>
      </c>
    </row>
    <row r="7055" spans="129:129" x14ac:dyDescent="0.2">
      <c r="DY7055" s="185" t="s">
        <v>215</v>
      </c>
    </row>
    <row r="7056" spans="129:129" x14ac:dyDescent="0.2">
      <c r="DY7056" s="185" t="s">
        <v>215</v>
      </c>
    </row>
    <row r="7057" spans="129:129" x14ac:dyDescent="0.2">
      <c r="DY7057" s="185" t="s">
        <v>215</v>
      </c>
    </row>
    <row r="7058" spans="129:129" x14ac:dyDescent="0.2">
      <c r="DY7058" s="185" t="s">
        <v>215</v>
      </c>
    </row>
    <row r="7059" spans="129:129" x14ac:dyDescent="0.2">
      <c r="DY7059" s="185" t="s">
        <v>215</v>
      </c>
    </row>
    <row r="7060" spans="129:129" x14ac:dyDescent="0.2">
      <c r="DY7060" s="185" t="s">
        <v>215</v>
      </c>
    </row>
    <row r="7061" spans="129:129" x14ac:dyDescent="0.2">
      <c r="DY7061" s="185" t="s">
        <v>215</v>
      </c>
    </row>
    <row r="7062" spans="129:129" x14ac:dyDescent="0.2">
      <c r="DY7062" s="185" t="s">
        <v>215</v>
      </c>
    </row>
    <row r="7063" spans="129:129" x14ac:dyDescent="0.2">
      <c r="DY7063" s="185" t="s">
        <v>215</v>
      </c>
    </row>
    <row r="7064" spans="129:129" x14ac:dyDescent="0.2">
      <c r="DY7064" s="185" t="s">
        <v>215</v>
      </c>
    </row>
    <row r="7065" spans="129:129" x14ac:dyDescent="0.2">
      <c r="DY7065" s="185" t="s">
        <v>215</v>
      </c>
    </row>
    <row r="7066" spans="129:129" x14ac:dyDescent="0.2">
      <c r="DY7066" s="185" t="s">
        <v>215</v>
      </c>
    </row>
    <row r="7067" spans="129:129" x14ac:dyDescent="0.2">
      <c r="DY7067" s="185" t="s">
        <v>215</v>
      </c>
    </row>
    <row r="7068" spans="129:129" x14ac:dyDescent="0.2">
      <c r="DY7068" s="185" t="s">
        <v>215</v>
      </c>
    </row>
    <row r="7069" spans="129:129" x14ac:dyDescent="0.2">
      <c r="DY7069" s="185" t="s">
        <v>215</v>
      </c>
    </row>
    <row r="7070" spans="129:129" x14ac:dyDescent="0.2">
      <c r="DY7070" s="185" t="s">
        <v>215</v>
      </c>
    </row>
    <row r="7071" spans="129:129" x14ac:dyDescent="0.2">
      <c r="DY7071" s="185" t="s">
        <v>215</v>
      </c>
    </row>
    <row r="7072" spans="129:129" x14ac:dyDescent="0.2">
      <c r="DY7072" s="185" t="s">
        <v>215</v>
      </c>
    </row>
    <row r="7073" spans="129:129" x14ac:dyDescent="0.2">
      <c r="DY7073" s="185" t="s">
        <v>215</v>
      </c>
    </row>
    <row r="7074" spans="129:129" x14ac:dyDescent="0.2">
      <c r="DY7074" s="185" t="s">
        <v>215</v>
      </c>
    </row>
    <row r="7075" spans="129:129" x14ac:dyDescent="0.2">
      <c r="DY7075" s="185" t="s">
        <v>215</v>
      </c>
    </row>
    <row r="7076" spans="129:129" x14ac:dyDescent="0.2">
      <c r="DY7076" s="185" t="s">
        <v>215</v>
      </c>
    </row>
    <row r="7077" spans="129:129" x14ac:dyDescent="0.2">
      <c r="DY7077" s="185" t="s">
        <v>215</v>
      </c>
    </row>
    <row r="7078" spans="129:129" x14ac:dyDescent="0.2">
      <c r="DY7078" s="185" t="s">
        <v>215</v>
      </c>
    </row>
    <row r="7079" spans="129:129" x14ac:dyDescent="0.2">
      <c r="DY7079" s="185" t="s">
        <v>215</v>
      </c>
    </row>
    <row r="7080" spans="129:129" x14ac:dyDescent="0.2">
      <c r="DY7080" s="185" t="s">
        <v>215</v>
      </c>
    </row>
    <row r="7081" spans="129:129" x14ac:dyDescent="0.2">
      <c r="DY7081" s="185" t="s">
        <v>215</v>
      </c>
    </row>
    <row r="7082" spans="129:129" x14ac:dyDescent="0.2">
      <c r="DY7082" s="185" t="s">
        <v>215</v>
      </c>
    </row>
    <row r="7083" spans="129:129" x14ac:dyDescent="0.2">
      <c r="DY7083" s="185" t="s">
        <v>215</v>
      </c>
    </row>
    <row r="7084" spans="129:129" x14ac:dyDescent="0.2">
      <c r="DY7084" s="185" t="s">
        <v>215</v>
      </c>
    </row>
    <row r="7085" spans="129:129" x14ac:dyDescent="0.2">
      <c r="DY7085" s="185" t="s">
        <v>215</v>
      </c>
    </row>
    <row r="7086" spans="129:129" x14ac:dyDescent="0.2">
      <c r="DY7086" s="185" t="s">
        <v>215</v>
      </c>
    </row>
    <row r="7087" spans="129:129" x14ac:dyDescent="0.2">
      <c r="DY7087" s="185" t="s">
        <v>215</v>
      </c>
    </row>
    <row r="7088" spans="129:129" x14ac:dyDescent="0.2">
      <c r="DY7088" s="185" t="s">
        <v>215</v>
      </c>
    </row>
    <row r="7089" spans="129:129" x14ac:dyDescent="0.2">
      <c r="DY7089" s="185" t="s">
        <v>215</v>
      </c>
    </row>
    <row r="7090" spans="129:129" x14ac:dyDescent="0.2">
      <c r="DY7090" s="185" t="s">
        <v>215</v>
      </c>
    </row>
    <row r="7091" spans="129:129" x14ac:dyDescent="0.2">
      <c r="DY7091" s="185" t="s">
        <v>215</v>
      </c>
    </row>
    <row r="7092" spans="129:129" x14ac:dyDescent="0.2">
      <c r="DY7092" s="185" t="s">
        <v>215</v>
      </c>
    </row>
    <row r="7093" spans="129:129" x14ac:dyDescent="0.2">
      <c r="DY7093" s="185" t="s">
        <v>215</v>
      </c>
    </row>
    <row r="7094" spans="129:129" x14ac:dyDescent="0.2">
      <c r="DY7094" s="185" t="s">
        <v>215</v>
      </c>
    </row>
    <row r="7095" spans="129:129" x14ac:dyDescent="0.2">
      <c r="DY7095" s="185" t="s">
        <v>215</v>
      </c>
    </row>
    <row r="7096" spans="129:129" x14ac:dyDescent="0.2">
      <c r="DY7096" s="185" t="s">
        <v>215</v>
      </c>
    </row>
    <row r="7097" spans="129:129" x14ac:dyDescent="0.2">
      <c r="DY7097" s="185" t="s">
        <v>215</v>
      </c>
    </row>
    <row r="7098" spans="129:129" x14ac:dyDescent="0.2">
      <c r="DY7098" s="185" t="s">
        <v>215</v>
      </c>
    </row>
    <row r="7099" spans="129:129" x14ac:dyDescent="0.2">
      <c r="DY7099" s="185" t="s">
        <v>215</v>
      </c>
    </row>
    <row r="7100" spans="129:129" x14ac:dyDescent="0.2">
      <c r="DY7100" s="185" t="s">
        <v>215</v>
      </c>
    </row>
    <row r="7101" spans="129:129" x14ac:dyDescent="0.2">
      <c r="DY7101" s="185" t="s">
        <v>215</v>
      </c>
    </row>
    <row r="7102" spans="129:129" x14ac:dyDescent="0.2">
      <c r="DY7102" s="185" t="s">
        <v>215</v>
      </c>
    </row>
    <row r="7103" spans="129:129" x14ac:dyDescent="0.2">
      <c r="DY7103" s="185" t="s">
        <v>215</v>
      </c>
    </row>
    <row r="7104" spans="129:129" x14ac:dyDescent="0.2">
      <c r="DY7104" s="185" t="s">
        <v>215</v>
      </c>
    </row>
    <row r="7105" spans="129:129" x14ac:dyDescent="0.2">
      <c r="DY7105" s="185" t="s">
        <v>215</v>
      </c>
    </row>
    <row r="7106" spans="129:129" x14ac:dyDescent="0.2">
      <c r="DY7106" s="185" t="s">
        <v>215</v>
      </c>
    </row>
    <row r="7107" spans="129:129" x14ac:dyDescent="0.2">
      <c r="DY7107" s="185" t="s">
        <v>215</v>
      </c>
    </row>
    <row r="7108" spans="129:129" x14ac:dyDescent="0.2">
      <c r="DY7108" s="185" t="s">
        <v>215</v>
      </c>
    </row>
    <row r="7109" spans="129:129" x14ac:dyDescent="0.2">
      <c r="DY7109" s="185" t="s">
        <v>215</v>
      </c>
    </row>
    <row r="7110" spans="129:129" x14ac:dyDescent="0.2">
      <c r="DY7110" s="185" t="s">
        <v>215</v>
      </c>
    </row>
    <row r="7111" spans="129:129" x14ac:dyDescent="0.2">
      <c r="DY7111" s="185" t="s">
        <v>215</v>
      </c>
    </row>
    <row r="7112" spans="129:129" x14ac:dyDescent="0.2">
      <c r="DY7112" s="185" t="s">
        <v>215</v>
      </c>
    </row>
    <row r="7113" spans="129:129" x14ac:dyDescent="0.2">
      <c r="DY7113" s="185" t="s">
        <v>215</v>
      </c>
    </row>
    <row r="7114" spans="129:129" x14ac:dyDescent="0.2">
      <c r="DY7114" s="185" t="s">
        <v>215</v>
      </c>
    </row>
    <row r="7115" spans="129:129" x14ac:dyDescent="0.2">
      <c r="DY7115" s="185" t="s">
        <v>215</v>
      </c>
    </row>
    <row r="7116" spans="129:129" x14ac:dyDescent="0.2">
      <c r="DY7116" s="185" t="s">
        <v>215</v>
      </c>
    </row>
    <row r="7117" spans="129:129" x14ac:dyDescent="0.2">
      <c r="DY7117" s="185" t="s">
        <v>215</v>
      </c>
    </row>
    <row r="7118" spans="129:129" x14ac:dyDescent="0.2">
      <c r="DY7118" s="185" t="s">
        <v>215</v>
      </c>
    </row>
    <row r="7119" spans="129:129" x14ac:dyDescent="0.2">
      <c r="DY7119" s="185" t="s">
        <v>215</v>
      </c>
    </row>
    <row r="7120" spans="129:129" x14ac:dyDescent="0.2">
      <c r="DY7120" s="185" t="s">
        <v>215</v>
      </c>
    </row>
    <row r="7121" spans="129:129" x14ac:dyDescent="0.2">
      <c r="DY7121" s="185" t="s">
        <v>215</v>
      </c>
    </row>
    <row r="7122" spans="129:129" x14ac:dyDescent="0.2">
      <c r="DY7122" s="185" t="s">
        <v>215</v>
      </c>
    </row>
    <row r="7123" spans="129:129" x14ac:dyDescent="0.2">
      <c r="DY7123" s="185" t="s">
        <v>215</v>
      </c>
    </row>
    <row r="7124" spans="129:129" x14ac:dyDescent="0.2">
      <c r="DY7124" s="185" t="s">
        <v>215</v>
      </c>
    </row>
    <row r="7125" spans="129:129" x14ac:dyDescent="0.2">
      <c r="DY7125" s="185" t="s">
        <v>215</v>
      </c>
    </row>
    <row r="7126" spans="129:129" x14ac:dyDescent="0.2">
      <c r="DY7126" s="185" t="s">
        <v>215</v>
      </c>
    </row>
    <row r="7127" spans="129:129" x14ac:dyDescent="0.2">
      <c r="DY7127" s="185" t="s">
        <v>215</v>
      </c>
    </row>
    <row r="7128" spans="129:129" x14ac:dyDescent="0.2">
      <c r="DY7128" s="185" t="s">
        <v>215</v>
      </c>
    </row>
    <row r="7129" spans="129:129" x14ac:dyDescent="0.2">
      <c r="DY7129" s="185" t="s">
        <v>215</v>
      </c>
    </row>
    <row r="7130" spans="129:129" x14ac:dyDescent="0.2">
      <c r="DY7130" s="185" t="s">
        <v>215</v>
      </c>
    </row>
    <row r="7131" spans="129:129" x14ac:dyDescent="0.2">
      <c r="DY7131" s="185" t="s">
        <v>215</v>
      </c>
    </row>
    <row r="7132" spans="129:129" x14ac:dyDescent="0.2">
      <c r="DY7132" s="185" t="s">
        <v>215</v>
      </c>
    </row>
    <row r="7133" spans="129:129" x14ac:dyDescent="0.2">
      <c r="DY7133" s="185" t="s">
        <v>215</v>
      </c>
    </row>
    <row r="7134" spans="129:129" x14ac:dyDescent="0.2">
      <c r="DY7134" s="185" t="s">
        <v>215</v>
      </c>
    </row>
    <row r="7135" spans="129:129" x14ac:dyDescent="0.2">
      <c r="DY7135" s="185" t="s">
        <v>215</v>
      </c>
    </row>
    <row r="7136" spans="129:129" x14ac:dyDescent="0.2">
      <c r="DY7136" s="185" t="s">
        <v>215</v>
      </c>
    </row>
    <row r="7137" spans="129:129" x14ac:dyDescent="0.2">
      <c r="DY7137" s="185" t="s">
        <v>215</v>
      </c>
    </row>
    <row r="7138" spans="129:129" x14ac:dyDescent="0.2">
      <c r="DY7138" s="185" t="s">
        <v>215</v>
      </c>
    </row>
    <row r="7139" spans="129:129" x14ac:dyDescent="0.2">
      <c r="DY7139" s="185" t="s">
        <v>215</v>
      </c>
    </row>
    <row r="7140" spans="129:129" x14ac:dyDescent="0.2">
      <c r="DY7140" s="185" t="s">
        <v>215</v>
      </c>
    </row>
    <row r="7141" spans="129:129" x14ac:dyDescent="0.2">
      <c r="DY7141" s="185" t="s">
        <v>215</v>
      </c>
    </row>
    <row r="7142" spans="129:129" x14ac:dyDescent="0.2">
      <c r="DY7142" s="185" t="s">
        <v>215</v>
      </c>
    </row>
    <row r="7143" spans="129:129" x14ac:dyDescent="0.2">
      <c r="DY7143" s="185" t="s">
        <v>215</v>
      </c>
    </row>
    <row r="7144" spans="129:129" x14ac:dyDescent="0.2">
      <c r="DY7144" s="185" t="s">
        <v>215</v>
      </c>
    </row>
    <row r="7145" spans="129:129" x14ac:dyDescent="0.2">
      <c r="DY7145" s="185" t="s">
        <v>215</v>
      </c>
    </row>
    <row r="7146" spans="129:129" x14ac:dyDescent="0.2">
      <c r="DY7146" s="185" t="s">
        <v>215</v>
      </c>
    </row>
    <row r="7147" spans="129:129" x14ac:dyDescent="0.2">
      <c r="DY7147" s="185" t="s">
        <v>215</v>
      </c>
    </row>
    <row r="7148" spans="129:129" x14ac:dyDescent="0.2">
      <c r="DY7148" s="185" t="s">
        <v>215</v>
      </c>
    </row>
    <row r="7149" spans="129:129" x14ac:dyDescent="0.2">
      <c r="DY7149" s="185" t="s">
        <v>215</v>
      </c>
    </row>
    <row r="7150" spans="129:129" x14ac:dyDescent="0.2">
      <c r="DY7150" s="185" t="s">
        <v>215</v>
      </c>
    </row>
    <row r="7151" spans="129:129" x14ac:dyDescent="0.2">
      <c r="DY7151" s="185" t="s">
        <v>215</v>
      </c>
    </row>
    <row r="7152" spans="129:129" x14ac:dyDescent="0.2">
      <c r="DY7152" s="185" t="s">
        <v>215</v>
      </c>
    </row>
    <row r="7153" spans="129:129" x14ac:dyDescent="0.2">
      <c r="DY7153" s="185" t="s">
        <v>215</v>
      </c>
    </row>
    <row r="7154" spans="129:129" x14ac:dyDescent="0.2">
      <c r="DY7154" s="185" t="s">
        <v>215</v>
      </c>
    </row>
    <row r="7155" spans="129:129" x14ac:dyDescent="0.2">
      <c r="DY7155" s="185" t="s">
        <v>215</v>
      </c>
    </row>
    <row r="7156" spans="129:129" x14ac:dyDescent="0.2">
      <c r="DY7156" s="185" t="s">
        <v>215</v>
      </c>
    </row>
    <row r="7157" spans="129:129" x14ac:dyDescent="0.2">
      <c r="DY7157" s="185" t="s">
        <v>215</v>
      </c>
    </row>
    <row r="7158" spans="129:129" x14ac:dyDescent="0.2">
      <c r="DY7158" s="185" t="s">
        <v>215</v>
      </c>
    </row>
    <row r="7159" spans="129:129" x14ac:dyDescent="0.2">
      <c r="DY7159" s="185" t="s">
        <v>215</v>
      </c>
    </row>
    <row r="7160" spans="129:129" x14ac:dyDescent="0.2">
      <c r="DY7160" s="185" t="s">
        <v>215</v>
      </c>
    </row>
    <row r="7161" spans="129:129" x14ac:dyDescent="0.2">
      <c r="DY7161" s="185" t="s">
        <v>215</v>
      </c>
    </row>
    <row r="7162" spans="129:129" x14ac:dyDescent="0.2">
      <c r="DY7162" s="185" t="s">
        <v>215</v>
      </c>
    </row>
    <row r="7163" spans="129:129" x14ac:dyDescent="0.2">
      <c r="DY7163" s="185" t="s">
        <v>215</v>
      </c>
    </row>
    <row r="7164" spans="129:129" x14ac:dyDescent="0.2">
      <c r="DY7164" s="185" t="s">
        <v>215</v>
      </c>
    </row>
    <row r="7165" spans="129:129" x14ac:dyDescent="0.2">
      <c r="DY7165" s="185" t="s">
        <v>215</v>
      </c>
    </row>
    <row r="7166" spans="129:129" x14ac:dyDescent="0.2">
      <c r="DY7166" s="185" t="s">
        <v>215</v>
      </c>
    </row>
    <row r="7167" spans="129:129" x14ac:dyDescent="0.2">
      <c r="DY7167" s="185" t="s">
        <v>215</v>
      </c>
    </row>
    <row r="7168" spans="129:129" x14ac:dyDescent="0.2">
      <c r="DY7168" s="185" t="s">
        <v>215</v>
      </c>
    </row>
    <row r="7169" spans="129:129" x14ac:dyDescent="0.2">
      <c r="DY7169" s="185" t="s">
        <v>215</v>
      </c>
    </row>
    <row r="7170" spans="129:129" x14ac:dyDescent="0.2">
      <c r="DY7170" s="185" t="s">
        <v>215</v>
      </c>
    </row>
    <row r="7171" spans="129:129" x14ac:dyDescent="0.2">
      <c r="DY7171" s="185" t="s">
        <v>215</v>
      </c>
    </row>
    <row r="7172" spans="129:129" x14ac:dyDescent="0.2">
      <c r="DY7172" s="185" t="s">
        <v>215</v>
      </c>
    </row>
    <row r="7173" spans="129:129" x14ac:dyDescent="0.2">
      <c r="DY7173" s="185" t="s">
        <v>215</v>
      </c>
    </row>
    <row r="7174" spans="129:129" x14ac:dyDescent="0.2">
      <c r="DY7174" s="185" t="s">
        <v>215</v>
      </c>
    </row>
    <row r="7175" spans="129:129" x14ac:dyDescent="0.2">
      <c r="DY7175" s="185" t="s">
        <v>215</v>
      </c>
    </row>
    <row r="7176" spans="129:129" x14ac:dyDescent="0.2">
      <c r="DY7176" s="185" t="s">
        <v>215</v>
      </c>
    </row>
    <row r="7177" spans="129:129" x14ac:dyDescent="0.2">
      <c r="DY7177" s="185" t="s">
        <v>215</v>
      </c>
    </row>
    <row r="7178" spans="129:129" x14ac:dyDescent="0.2">
      <c r="DY7178" s="185" t="s">
        <v>215</v>
      </c>
    </row>
    <row r="7179" spans="129:129" x14ac:dyDescent="0.2">
      <c r="DY7179" s="185" t="s">
        <v>215</v>
      </c>
    </row>
    <row r="7180" spans="129:129" x14ac:dyDescent="0.2">
      <c r="DY7180" s="185" t="s">
        <v>215</v>
      </c>
    </row>
    <row r="7181" spans="129:129" x14ac:dyDescent="0.2">
      <c r="DY7181" s="185" t="s">
        <v>215</v>
      </c>
    </row>
    <row r="7182" spans="129:129" x14ac:dyDescent="0.2">
      <c r="DY7182" s="185" t="s">
        <v>215</v>
      </c>
    </row>
    <row r="7183" spans="129:129" x14ac:dyDescent="0.2">
      <c r="DY7183" s="185" t="s">
        <v>215</v>
      </c>
    </row>
    <row r="7184" spans="129:129" x14ac:dyDescent="0.2">
      <c r="DY7184" s="185" t="s">
        <v>215</v>
      </c>
    </row>
    <row r="7185" spans="129:129" x14ac:dyDescent="0.2">
      <c r="DY7185" s="185" t="s">
        <v>215</v>
      </c>
    </row>
    <row r="7186" spans="129:129" x14ac:dyDescent="0.2">
      <c r="DY7186" s="185" t="s">
        <v>215</v>
      </c>
    </row>
    <row r="7187" spans="129:129" x14ac:dyDescent="0.2">
      <c r="DY7187" s="185" t="s">
        <v>215</v>
      </c>
    </row>
    <row r="7188" spans="129:129" x14ac:dyDescent="0.2">
      <c r="DY7188" s="185" t="s">
        <v>215</v>
      </c>
    </row>
    <row r="7189" spans="129:129" x14ac:dyDescent="0.2">
      <c r="DY7189" s="185" t="s">
        <v>215</v>
      </c>
    </row>
    <row r="7190" spans="129:129" x14ac:dyDescent="0.2">
      <c r="DY7190" s="185" t="s">
        <v>215</v>
      </c>
    </row>
    <row r="7191" spans="129:129" x14ac:dyDescent="0.2">
      <c r="DY7191" s="185" t="s">
        <v>215</v>
      </c>
    </row>
    <row r="7192" spans="129:129" x14ac:dyDescent="0.2">
      <c r="DY7192" s="185" t="s">
        <v>215</v>
      </c>
    </row>
    <row r="7193" spans="129:129" x14ac:dyDescent="0.2">
      <c r="DY7193" s="185" t="s">
        <v>215</v>
      </c>
    </row>
    <row r="7194" spans="129:129" x14ac:dyDescent="0.2">
      <c r="DY7194" s="185" t="s">
        <v>215</v>
      </c>
    </row>
    <row r="7195" spans="129:129" x14ac:dyDescent="0.2">
      <c r="DY7195" s="185" t="s">
        <v>215</v>
      </c>
    </row>
    <row r="7196" spans="129:129" x14ac:dyDescent="0.2">
      <c r="DY7196" s="185" t="s">
        <v>215</v>
      </c>
    </row>
    <row r="7197" spans="129:129" x14ac:dyDescent="0.2">
      <c r="DY7197" s="185" t="s">
        <v>215</v>
      </c>
    </row>
    <row r="7198" spans="129:129" x14ac:dyDescent="0.2">
      <c r="DY7198" s="185" t="s">
        <v>215</v>
      </c>
    </row>
    <row r="7199" spans="129:129" x14ac:dyDescent="0.2">
      <c r="DY7199" s="185" t="s">
        <v>215</v>
      </c>
    </row>
    <row r="7200" spans="129:129" x14ac:dyDescent="0.2">
      <c r="DY7200" s="185" t="s">
        <v>215</v>
      </c>
    </row>
    <row r="7201" spans="129:129" x14ac:dyDescent="0.2">
      <c r="DY7201" s="185" t="s">
        <v>215</v>
      </c>
    </row>
    <row r="7202" spans="129:129" x14ac:dyDescent="0.2">
      <c r="DY7202" s="185" t="s">
        <v>215</v>
      </c>
    </row>
    <row r="7203" spans="129:129" x14ac:dyDescent="0.2">
      <c r="DY7203" s="185" t="s">
        <v>215</v>
      </c>
    </row>
    <row r="7204" spans="129:129" x14ac:dyDescent="0.2">
      <c r="DY7204" s="185" t="s">
        <v>215</v>
      </c>
    </row>
    <row r="7205" spans="129:129" x14ac:dyDescent="0.2">
      <c r="DY7205" s="185" t="s">
        <v>215</v>
      </c>
    </row>
    <row r="7206" spans="129:129" x14ac:dyDescent="0.2">
      <c r="DY7206" s="185" t="s">
        <v>215</v>
      </c>
    </row>
    <row r="7207" spans="129:129" x14ac:dyDescent="0.2">
      <c r="DY7207" s="185" t="s">
        <v>215</v>
      </c>
    </row>
    <row r="7208" spans="129:129" x14ac:dyDescent="0.2">
      <c r="DY7208" s="185" t="s">
        <v>215</v>
      </c>
    </row>
    <row r="7209" spans="129:129" x14ac:dyDescent="0.2">
      <c r="DY7209" s="185" t="s">
        <v>215</v>
      </c>
    </row>
    <row r="7210" spans="129:129" x14ac:dyDescent="0.2">
      <c r="DY7210" s="185" t="s">
        <v>215</v>
      </c>
    </row>
    <row r="7211" spans="129:129" x14ac:dyDescent="0.2">
      <c r="DY7211" s="185" t="s">
        <v>215</v>
      </c>
    </row>
    <row r="7212" spans="129:129" x14ac:dyDescent="0.2">
      <c r="DY7212" s="185" t="s">
        <v>215</v>
      </c>
    </row>
    <row r="7213" spans="129:129" x14ac:dyDescent="0.2">
      <c r="DY7213" s="185" t="s">
        <v>215</v>
      </c>
    </row>
    <row r="7214" spans="129:129" x14ac:dyDescent="0.2">
      <c r="DY7214" s="185" t="s">
        <v>215</v>
      </c>
    </row>
    <row r="7215" spans="129:129" x14ac:dyDescent="0.2">
      <c r="DY7215" s="185" t="s">
        <v>215</v>
      </c>
    </row>
    <row r="7216" spans="129:129" x14ac:dyDescent="0.2">
      <c r="DY7216" s="185" t="s">
        <v>215</v>
      </c>
    </row>
    <row r="7217" spans="129:129" x14ac:dyDescent="0.2">
      <c r="DY7217" s="185" t="s">
        <v>215</v>
      </c>
    </row>
    <row r="7218" spans="129:129" x14ac:dyDescent="0.2">
      <c r="DY7218" s="185" t="s">
        <v>215</v>
      </c>
    </row>
    <row r="7219" spans="129:129" x14ac:dyDescent="0.2">
      <c r="DY7219" s="185" t="s">
        <v>215</v>
      </c>
    </row>
    <row r="7220" spans="129:129" x14ac:dyDescent="0.2">
      <c r="DY7220" s="185" t="s">
        <v>215</v>
      </c>
    </row>
    <row r="7221" spans="129:129" x14ac:dyDescent="0.2">
      <c r="DY7221" s="185" t="s">
        <v>215</v>
      </c>
    </row>
    <row r="7222" spans="129:129" x14ac:dyDescent="0.2">
      <c r="DY7222" s="185" t="s">
        <v>215</v>
      </c>
    </row>
    <row r="7223" spans="129:129" x14ac:dyDescent="0.2">
      <c r="DY7223" s="185" t="s">
        <v>215</v>
      </c>
    </row>
    <row r="7224" spans="129:129" x14ac:dyDescent="0.2">
      <c r="DY7224" s="185" t="s">
        <v>215</v>
      </c>
    </row>
    <row r="7225" spans="129:129" x14ac:dyDescent="0.2">
      <c r="DY7225" s="185" t="s">
        <v>215</v>
      </c>
    </row>
    <row r="7226" spans="129:129" x14ac:dyDescent="0.2">
      <c r="DY7226" s="185" t="s">
        <v>215</v>
      </c>
    </row>
    <row r="7227" spans="129:129" x14ac:dyDescent="0.2">
      <c r="DY7227" s="185" t="s">
        <v>215</v>
      </c>
    </row>
    <row r="7228" spans="129:129" x14ac:dyDescent="0.2">
      <c r="DY7228" s="185" t="s">
        <v>215</v>
      </c>
    </row>
    <row r="7229" spans="129:129" x14ac:dyDescent="0.2">
      <c r="DY7229" s="185" t="s">
        <v>215</v>
      </c>
    </row>
    <row r="7230" spans="129:129" x14ac:dyDescent="0.2">
      <c r="DY7230" s="185" t="s">
        <v>215</v>
      </c>
    </row>
    <row r="7231" spans="129:129" x14ac:dyDescent="0.2">
      <c r="DY7231" s="185" t="s">
        <v>215</v>
      </c>
    </row>
    <row r="7232" spans="129:129" x14ac:dyDescent="0.2">
      <c r="DY7232" s="185" t="s">
        <v>215</v>
      </c>
    </row>
    <row r="7233" spans="129:129" x14ac:dyDescent="0.2">
      <c r="DY7233" s="185" t="s">
        <v>215</v>
      </c>
    </row>
    <row r="7234" spans="129:129" x14ac:dyDescent="0.2">
      <c r="DY7234" s="185" t="s">
        <v>215</v>
      </c>
    </row>
    <row r="7235" spans="129:129" x14ac:dyDescent="0.2">
      <c r="DY7235" s="185" t="s">
        <v>215</v>
      </c>
    </row>
    <row r="7236" spans="129:129" x14ac:dyDescent="0.2">
      <c r="DY7236" s="185" t="s">
        <v>215</v>
      </c>
    </row>
    <row r="7237" spans="129:129" x14ac:dyDescent="0.2">
      <c r="DY7237" s="185" t="s">
        <v>215</v>
      </c>
    </row>
    <row r="7238" spans="129:129" x14ac:dyDescent="0.2">
      <c r="DY7238" s="185" t="s">
        <v>215</v>
      </c>
    </row>
    <row r="7239" spans="129:129" x14ac:dyDescent="0.2">
      <c r="DY7239" s="185" t="s">
        <v>215</v>
      </c>
    </row>
    <row r="7240" spans="129:129" x14ac:dyDescent="0.2">
      <c r="DY7240" s="185" t="s">
        <v>215</v>
      </c>
    </row>
    <row r="7241" spans="129:129" x14ac:dyDescent="0.2">
      <c r="DY7241" s="185" t="s">
        <v>215</v>
      </c>
    </row>
    <row r="7242" spans="129:129" x14ac:dyDescent="0.2">
      <c r="DY7242" s="185" t="s">
        <v>215</v>
      </c>
    </row>
    <row r="7243" spans="129:129" x14ac:dyDescent="0.2">
      <c r="DY7243" s="185" t="s">
        <v>215</v>
      </c>
    </row>
    <row r="7244" spans="129:129" x14ac:dyDescent="0.2">
      <c r="DY7244" s="185" t="s">
        <v>215</v>
      </c>
    </row>
    <row r="7245" spans="129:129" x14ac:dyDescent="0.2">
      <c r="DY7245" s="185" t="s">
        <v>215</v>
      </c>
    </row>
    <row r="7246" spans="129:129" x14ac:dyDescent="0.2">
      <c r="DY7246" s="185" t="s">
        <v>215</v>
      </c>
    </row>
    <row r="7247" spans="129:129" x14ac:dyDescent="0.2">
      <c r="DY7247" s="185" t="s">
        <v>215</v>
      </c>
    </row>
    <row r="7248" spans="129:129" x14ac:dyDescent="0.2">
      <c r="DY7248" s="185" t="s">
        <v>215</v>
      </c>
    </row>
    <row r="7249" spans="129:129" x14ac:dyDescent="0.2">
      <c r="DY7249" s="185" t="s">
        <v>215</v>
      </c>
    </row>
    <row r="7250" spans="129:129" x14ac:dyDescent="0.2">
      <c r="DY7250" s="185" t="s">
        <v>215</v>
      </c>
    </row>
    <row r="7251" spans="129:129" x14ac:dyDescent="0.2">
      <c r="DY7251" s="185" t="s">
        <v>215</v>
      </c>
    </row>
    <row r="7252" spans="129:129" x14ac:dyDescent="0.2">
      <c r="DY7252" s="185" t="s">
        <v>215</v>
      </c>
    </row>
    <row r="7253" spans="129:129" x14ac:dyDescent="0.2">
      <c r="DY7253" s="185" t="s">
        <v>215</v>
      </c>
    </row>
    <row r="7254" spans="129:129" x14ac:dyDescent="0.2">
      <c r="DY7254" s="185" t="s">
        <v>215</v>
      </c>
    </row>
    <row r="7255" spans="129:129" x14ac:dyDescent="0.2">
      <c r="DY7255" s="185" t="s">
        <v>215</v>
      </c>
    </row>
    <row r="7256" spans="129:129" x14ac:dyDescent="0.2">
      <c r="DY7256" s="185" t="s">
        <v>215</v>
      </c>
    </row>
    <row r="7257" spans="129:129" x14ac:dyDescent="0.2">
      <c r="DY7257" s="185" t="s">
        <v>215</v>
      </c>
    </row>
    <row r="7258" spans="129:129" x14ac:dyDescent="0.2">
      <c r="DY7258" s="185" t="s">
        <v>215</v>
      </c>
    </row>
    <row r="7259" spans="129:129" x14ac:dyDescent="0.2">
      <c r="DY7259" s="185" t="s">
        <v>215</v>
      </c>
    </row>
    <row r="7260" spans="129:129" x14ac:dyDescent="0.2">
      <c r="DY7260" s="185" t="s">
        <v>215</v>
      </c>
    </row>
    <row r="7261" spans="129:129" x14ac:dyDescent="0.2">
      <c r="DY7261" s="185" t="s">
        <v>215</v>
      </c>
    </row>
    <row r="7262" spans="129:129" x14ac:dyDescent="0.2">
      <c r="DY7262" s="185" t="s">
        <v>215</v>
      </c>
    </row>
    <row r="7263" spans="129:129" x14ac:dyDescent="0.2">
      <c r="DY7263" s="185" t="s">
        <v>215</v>
      </c>
    </row>
    <row r="7264" spans="129:129" x14ac:dyDescent="0.2">
      <c r="DY7264" s="185" t="s">
        <v>215</v>
      </c>
    </row>
    <row r="7265" spans="129:129" x14ac:dyDescent="0.2">
      <c r="DY7265" s="185" t="s">
        <v>215</v>
      </c>
    </row>
    <row r="7266" spans="129:129" x14ac:dyDescent="0.2">
      <c r="DY7266" s="185" t="s">
        <v>215</v>
      </c>
    </row>
    <row r="7267" spans="129:129" x14ac:dyDescent="0.2">
      <c r="DY7267" s="185" t="s">
        <v>215</v>
      </c>
    </row>
    <row r="7268" spans="129:129" x14ac:dyDescent="0.2">
      <c r="DY7268" s="185" t="s">
        <v>215</v>
      </c>
    </row>
    <row r="7269" spans="129:129" x14ac:dyDescent="0.2">
      <c r="DY7269" s="185" t="s">
        <v>215</v>
      </c>
    </row>
    <row r="7270" spans="129:129" x14ac:dyDescent="0.2">
      <c r="DY7270" s="185" t="s">
        <v>215</v>
      </c>
    </row>
    <row r="7271" spans="129:129" x14ac:dyDescent="0.2">
      <c r="DY7271" s="185" t="s">
        <v>215</v>
      </c>
    </row>
    <row r="7272" spans="129:129" x14ac:dyDescent="0.2">
      <c r="DY7272" s="185" t="s">
        <v>215</v>
      </c>
    </row>
    <row r="7273" spans="129:129" x14ac:dyDescent="0.2">
      <c r="DY7273" s="185" t="s">
        <v>215</v>
      </c>
    </row>
    <row r="7274" spans="129:129" x14ac:dyDescent="0.2">
      <c r="DY7274" s="185" t="s">
        <v>215</v>
      </c>
    </row>
    <row r="7275" spans="129:129" x14ac:dyDescent="0.2">
      <c r="DY7275" s="185" t="s">
        <v>215</v>
      </c>
    </row>
    <row r="7276" spans="129:129" x14ac:dyDescent="0.2">
      <c r="DY7276" s="185" t="s">
        <v>215</v>
      </c>
    </row>
    <row r="7277" spans="129:129" x14ac:dyDescent="0.2">
      <c r="DY7277" s="185" t="s">
        <v>215</v>
      </c>
    </row>
    <row r="7278" spans="129:129" x14ac:dyDescent="0.2">
      <c r="DY7278" s="185" t="s">
        <v>215</v>
      </c>
    </row>
    <row r="7279" spans="129:129" x14ac:dyDescent="0.2">
      <c r="DY7279" s="185" t="s">
        <v>215</v>
      </c>
    </row>
    <row r="7280" spans="129:129" x14ac:dyDescent="0.2">
      <c r="DY7280" s="185" t="s">
        <v>215</v>
      </c>
    </row>
    <row r="7281" spans="129:129" x14ac:dyDescent="0.2">
      <c r="DY7281" s="185" t="s">
        <v>215</v>
      </c>
    </row>
    <row r="7282" spans="129:129" x14ac:dyDescent="0.2">
      <c r="DY7282" s="185" t="s">
        <v>215</v>
      </c>
    </row>
    <row r="7283" spans="129:129" x14ac:dyDescent="0.2">
      <c r="DY7283" s="185" t="s">
        <v>215</v>
      </c>
    </row>
    <row r="7284" spans="129:129" x14ac:dyDescent="0.2">
      <c r="DY7284" s="185" t="s">
        <v>215</v>
      </c>
    </row>
    <row r="7285" spans="129:129" x14ac:dyDescent="0.2">
      <c r="DY7285" s="185" t="s">
        <v>215</v>
      </c>
    </row>
    <row r="7286" spans="129:129" x14ac:dyDescent="0.2">
      <c r="DY7286" s="185" t="s">
        <v>215</v>
      </c>
    </row>
    <row r="7287" spans="129:129" x14ac:dyDescent="0.2">
      <c r="DY7287" s="185" t="s">
        <v>215</v>
      </c>
    </row>
    <row r="7288" spans="129:129" x14ac:dyDescent="0.2">
      <c r="DY7288" s="185" t="s">
        <v>215</v>
      </c>
    </row>
    <row r="7289" spans="129:129" x14ac:dyDescent="0.2">
      <c r="DY7289" s="185" t="s">
        <v>215</v>
      </c>
    </row>
    <row r="7290" spans="129:129" x14ac:dyDescent="0.2">
      <c r="DY7290" s="185" t="s">
        <v>215</v>
      </c>
    </row>
    <row r="7291" spans="129:129" x14ac:dyDescent="0.2">
      <c r="DY7291" s="185" t="s">
        <v>215</v>
      </c>
    </row>
    <row r="7292" spans="129:129" x14ac:dyDescent="0.2">
      <c r="DY7292" s="185" t="s">
        <v>215</v>
      </c>
    </row>
    <row r="7293" spans="129:129" x14ac:dyDescent="0.2">
      <c r="DY7293" s="185" t="s">
        <v>215</v>
      </c>
    </row>
    <row r="7294" spans="129:129" x14ac:dyDescent="0.2">
      <c r="DY7294" s="185" t="s">
        <v>215</v>
      </c>
    </row>
    <row r="7295" spans="129:129" x14ac:dyDescent="0.2">
      <c r="DY7295" s="185" t="s">
        <v>215</v>
      </c>
    </row>
    <row r="7296" spans="129:129" x14ac:dyDescent="0.2">
      <c r="DY7296" s="185" t="s">
        <v>215</v>
      </c>
    </row>
    <row r="7297" spans="129:129" x14ac:dyDescent="0.2">
      <c r="DY7297" s="185" t="s">
        <v>215</v>
      </c>
    </row>
    <row r="7298" spans="129:129" x14ac:dyDescent="0.2">
      <c r="DY7298" s="185" t="s">
        <v>215</v>
      </c>
    </row>
    <row r="7299" spans="129:129" x14ac:dyDescent="0.2">
      <c r="DY7299" s="185" t="s">
        <v>215</v>
      </c>
    </row>
    <row r="7300" spans="129:129" x14ac:dyDescent="0.2">
      <c r="DY7300" s="185" t="s">
        <v>215</v>
      </c>
    </row>
    <row r="7301" spans="129:129" x14ac:dyDescent="0.2">
      <c r="DY7301" s="185" t="s">
        <v>215</v>
      </c>
    </row>
    <row r="7302" spans="129:129" x14ac:dyDescent="0.2">
      <c r="DY7302" s="185" t="s">
        <v>215</v>
      </c>
    </row>
    <row r="7303" spans="129:129" x14ac:dyDescent="0.2">
      <c r="DY7303" s="185" t="s">
        <v>215</v>
      </c>
    </row>
    <row r="7304" spans="129:129" x14ac:dyDescent="0.2">
      <c r="DY7304" s="185" t="s">
        <v>215</v>
      </c>
    </row>
    <row r="7305" spans="129:129" x14ac:dyDescent="0.2">
      <c r="DY7305" s="185" t="s">
        <v>215</v>
      </c>
    </row>
    <row r="7306" spans="129:129" x14ac:dyDescent="0.2">
      <c r="DY7306" s="185" t="s">
        <v>215</v>
      </c>
    </row>
    <row r="7307" spans="129:129" x14ac:dyDescent="0.2">
      <c r="DY7307" s="185" t="s">
        <v>215</v>
      </c>
    </row>
    <row r="7308" spans="129:129" x14ac:dyDescent="0.2">
      <c r="DY7308" s="185" t="s">
        <v>215</v>
      </c>
    </row>
    <row r="7309" spans="129:129" x14ac:dyDescent="0.2">
      <c r="DY7309" s="185" t="s">
        <v>215</v>
      </c>
    </row>
    <row r="7310" spans="129:129" x14ac:dyDescent="0.2">
      <c r="DY7310" s="185" t="s">
        <v>215</v>
      </c>
    </row>
    <row r="7311" spans="129:129" x14ac:dyDescent="0.2">
      <c r="DY7311" s="185" t="s">
        <v>215</v>
      </c>
    </row>
    <row r="7312" spans="129:129" x14ac:dyDescent="0.2">
      <c r="DY7312" s="185" t="s">
        <v>215</v>
      </c>
    </row>
    <row r="7313" spans="129:129" x14ac:dyDescent="0.2">
      <c r="DY7313" s="185" t="s">
        <v>215</v>
      </c>
    </row>
    <row r="7314" spans="129:129" x14ac:dyDescent="0.2">
      <c r="DY7314" s="185" t="s">
        <v>215</v>
      </c>
    </row>
    <row r="7315" spans="129:129" x14ac:dyDescent="0.2">
      <c r="DY7315" s="185" t="s">
        <v>215</v>
      </c>
    </row>
    <row r="7316" spans="129:129" x14ac:dyDescent="0.2">
      <c r="DY7316" s="185" t="s">
        <v>215</v>
      </c>
    </row>
    <row r="7317" spans="129:129" x14ac:dyDescent="0.2">
      <c r="DY7317" s="185" t="s">
        <v>215</v>
      </c>
    </row>
    <row r="7318" spans="129:129" x14ac:dyDescent="0.2">
      <c r="DY7318" s="185" t="s">
        <v>215</v>
      </c>
    </row>
    <row r="7319" spans="129:129" x14ac:dyDescent="0.2">
      <c r="DY7319" s="185" t="s">
        <v>215</v>
      </c>
    </row>
    <row r="7320" spans="129:129" x14ac:dyDescent="0.2">
      <c r="DY7320" s="185" t="s">
        <v>215</v>
      </c>
    </row>
    <row r="7321" spans="129:129" x14ac:dyDescent="0.2">
      <c r="DY7321" s="185" t="s">
        <v>215</v>
      </c>
    </row>
    <row r="7322" spans="129:129" x14ac:dyDescent="0.2">
      <c r="DY7322" s="185" t="s">
        <v>215</v>
      </c>
    </row>
    <row r="7323" spans="129:129" x14ac:dyDescent="0.2">
      <c r="DY7323" s="185" t="s">
        <v>215</v>
      </c>
    </row>
    <row r="7324" spans="129:129" x14ac:dyDescent="0.2">
      <c r="DY7324" s="185" t="s">
        <v>215</v>
      </c>
    </row>
    <row r="7325" spans="129:129" x14ac:dyDescent="0.2">
      <c r="DY7325" s="185" t="s">
        <v>215</v>
      </c>
    </row>
    <row r="7326" spans="129:129" x14ac:dyDescent="0.2">
      <c r="DY7326" s="185" t="s">
        <v>215</v>
      </c>
    </row>
    <row r="7327" spans="129:129" x14ac:dyDescent="0.2">
      <c r="DY7327" s="185" t="s">
        <v>215</v>
      </c>
    </row>
    <row r="7328" spans="129:129" x14ac:dyDescent="0.2">
      <c r="DY7328" s="185" t="s">
        <v>215</v>
      </c>
    </row>
    <row r="7329" spans="129:129" x14ac:dyDescent="0.2">
      <c r="DY7329" s="185" t="s">
        <v>215</v>
      </c>
    </row>
    <row r="7330" spans="129:129" x14ac:dyDescent="0.2">
      <c r="DY7330" s="185" t="s">
        <v>215</v>
      </c>
    </row>
    <row r="7331" spans="129:129" x14ac:dyDescent="0.2">
      <c r="DY7331" s="185" t="s">
        <v>215</v>
      </c>
    </row>
    <row r="7332" spans="129:129" x14ac:dyDescent="0.2">
      <c r="DY7332" s="185" t="s">
        <v>215</v>
      </c>
    </row>
    <row r="7333" spans="129:129" x14ac:dyDescent="0.2">
      <c r="DY7333" s="185" t="s">
        <v>215</v>
      </c>
    </row>
    <row r="7334" spans="129:129" x14ac:dyDescent="0.2">
      <c r="DY7334" s="185" t="s">
        <v>215</v>
      </c>
    </row>
    <row r="7335" spans="129:129" x14ac:dyDescent="0.2">
      <c r="DY7335" s="185" t="s">
        <v>215</v>
      </c>
    </row>
    <row r="7336" spans="129:129" x14ac:dyDescent="0.2">
      <c r="DY7336" s="185" t="s">
        <v>215</v>
      </c>
    </row>
    <row r="7337" spans="129:129" x14ac:dyDescent="0.2">
      <c r="DY7337" s="185" t="s">
        <v>215</v>
      </c>
    </row>
    <row r="7338" spans="129:129" x14ac:dyDescent="0.2">
      <c r="DY7338" s="185" t="s">
        <v>215</v>
      </c>
    </row>
    <row r="7339" spans="129:129" x14ac:dyDescent="0.2">
      <c r="DY7339" s="185" t="s">
        <v>215</v>
      </c>
    </row>
    <row r="7340" spans="129:129" x14ac:dyDescent="0.2">
      <c r="DY7340" s="185" t="s">
        <v>215</v>
      </c>
    </row>
    <row r="7341" spans="129:129" x14ac:dyDescent="0.2">
      <c r="DY7341" s="185" t="s">
        <v>215</v>
      </c>
    </row>
    <row r="7342" spans="129:129" x14ac:dyDescent="0.2">
      <c r="DY7342" s="185" t="s">
        <v>215</v>
      </c>
    </row>
    <row r="7343" spans="129:129" x14ac:dyDescent="0.2">
      <c r="DY7343" s="185" t="s">
        <v>215</v>
      </c>
    </row>
    <row r="7344" spans="129:129" x14ac:dyDescent="0.2">
      <c r="DY7344" s="185" t="s">
        <v>215</v>
      </c>
    </row>
    <row r="7345" spans="129:129" x14ac:dyDescent="0.2">
      <c r="DY7345" s="185" t="s">
        <v>215</v>
      </c>
    </row>
    <row r="7346" spans="129:129" x14ac:dyDescent="0.2">
      <c r="DY7346" s="185" t="s">
        <v>215</v>
      </c>
    </row>
    <row r="7347" spans="129:129" x14ac:dyDescent="0.2">
      <c r="DY7347" s="185" t="s">
        <v>215</v>
      </c>
    </row>
    <row r="7348" spans="129:129" x14ac:dyDescent="0.2">
      <c r="DY7348" s="185" t="s">
        <v>215</v>
      </c>
    </row>
    <row r="7349" spans="129:129" x14ac:dyDescent="0.2">
      <c r="DY7349" s="185" t="s">
        <v>215</v>
      </c>
    </row>
    <row r="7350" spans="129:129" x14ac:dyDescent="0.2">
      <c r="DY7350" s="185" t="s">
        <v>215</v>
      </c>
    </row>
    <row r="7351" spans="129:129" x14ac:dyDescent="0.2">
      <c r="DY7351" s="185" t="s">
        <v>215</v>
      </c>
    </row>
    <row r="7352" spans="129:129" x14ac:dyDescent="0.2">
      <c r="DY7352" s="185" t="s">
        <v>215</v>
      </c>
    </row>
    <row r="7353" spans="129:129" x14ac:dyDescent="0.2">
      <c r="DY7353" s="185" t="s">
        <v>215</v>
      </c>
    </row>
    <row r="7354" spans="129:129" x14ac:dyDescent="0.2">
      <c r="DY7354" s="185" t="s">
        <v>215</v>
      </c>
    </row>
    <row r="7355" spans="129:129" x14ac:dyDescent="0.2">
      <c r="DY7355" s="185" t="s">
        <v>215</v>
      </c>
    </row>
    <row r="7356" spans="129:129" x14ac:dyDescent="0.2">
      <c r="DY7356" s="185" t="s">
        <v>215</v>
      </c>
    </row>
    <row r="7357" spans="129:129" x14ac:dyDescent="0.2">
      <c r="DY7357" s="185" t="s">
        <v>215</v>
      </c>
    </row>
    <row r="7358" spans="129:129" x14ac:dyDescent="0.2">
      <c r="DY7358" s="185" t="s">
        <v>215</v>
      </c>
    </row>
    <row r="7359" spans="129:129" x14ac:dyDescent="0.2">
      <c r="DY7359" s="185" t="s">
        <v>215</v>
      </c>
    </row>
    <row r="7360" spans="129:129" x14ac:dyDescent="0.2">
      <c r="DY7360" s="185" t="s">
        <v>215</v>
      </c>
    </row>
    <row r="7361" spans="129:129" x14ac:dyDescent="0.2">
      <c r="DY7361" s="185" t="s">
        <v>215</v>
      </c>
    </row>
    <row r="7362" spans="129:129" x14ac:dyDescent="0.2">
      <c r="DY7362" s="185" t="s">
        <v>215</v>
      </c>
    </row>
    <row r="7363" spans="129:129" x14ac:dyDescent="0.2">
      <c r="DY7363" s="185" t="s">
        <v>215</v>
      </c>
    </row>
    <row r="7364" spans="129:129" x14ac:dyDescent="0.2">
      <c r="DY7364" s="185" t="s">
        <v>215</v>
      </c>
    </row>
    <row r="7365" spans="129:129" x14ac:dyDescent="0.2">
      <c r="DY7365" s="185" t="s">
        <v>215</v>
      </c>
    </row>
    <row r="7366" spans="129:129" x14ac:dyDescent="0.2">
      <c r="DY7366" s="185" t="s">
        <v>215</v>
      </c>
    </row>
    <row r="7367" spans="129:129" x14ac:dyDescent="0.2">
      <c r="DY7367" s="185" t="s">
        <v>215</v>
      </c>
    </row>
    <row r="7368" spans="129:129" x14ac:dyDescent="0.2">
      <c r="DY7368" s="185" t="s">
        <v>215</v>
      </c>
    </row>
    <row r="7369" spans="129:129" x14ac:dyDescent="0.2">
      <c r="DY7369" s="185" t="s">
        <v>215</v>
      </c>
    </row>
    <row r="7370" spans="129:129" x14ac:dyDescent="0.2">
      <c r="DY7370" s="185" t="s">
        <v>215</v>
      </c>
    </row>
    <row r="7371" spans="129:129" x14ac:dyDescent="0.2">
      <c r="DY7371" s="185" t="s">
        <v>215</v>
      </c>
    </row>
    <row r="7372" spans="129:129" x14ac:dyDescent="0.2">
      <c r="DY7372" s="185" t="s">
        <v>215</v>
      </c>
    </row>
    <row r="7373" spans="129:129" x14ac:dyDescent="0.2">
      <c r="DY7373" s="185" t="s">
        <v>215</v>
      </c>
    </row>
    <row r="7374" spans="129:129" x14ac:dyDescent="0.2">
      <c r="DY7374" s="185" t="s">
        <v>215</v>
      </c>
    </row>
    <row r="7375" spans="129:129" x14ac:dyDescent="0.2">
      <c r="DY7375" s="185" t="s">
        <v>215</v>
      </c>
    </row>
    <row r="7376" spans="129:129" x14ac:dyDescent="0.2">
      <c r="DY7376" s="185" t="s">
        <v>215</v>
      </c>
    </row>
    <row r="7377" spans="129:129" x14ac:dyDescent="0.2">
      <c r="DY7377" s="185" t="s">
        <v>215</v>
      </c>
    </row>
    <row r="7378" spans="129:129" x14ac:dyDescent="0.2">
      <c r="DY7378" s="185" t="s">
        <v>215</v>
      </c>
    </row>
    <row r="7379" spans="129:129" x14ac:dyDescent="0.2">
      <c r="DY7379" s="185" t="s">
        <v>215</v>
      </c>
    </row>
    <row r="7380" spans="129:129" x14ac:dyDescent="0.2">
      <c r="DY7380" s="185" t="s">
        <v>215</v>
      </c>
    </row>
    <row r="7381" spans="129:129" x14ac:dyDescent="0.2">
      <c r="DY7381" s="185" t="s">
        <v>215</v>
      </c>
    </row>
    <row r="7382" spans="129:129" x14ac:dyDescent="0.2">
      <c r="DY7382" s="185" t="s">
        <v>215</v>
      </c>
    </row>
    <row r="7383" spans="129:129" x14ac:dyDescent="0.2">
      <c r="DY7383" s="185" t="s">
        <v>215</v>
      </c>
    </row>
    <row r="7384" spans="129:129" x14ac:dyDescent="0.2">
      <c r="DY7384" s="185" t="s">
        <v>215</v>
      </c>
    </row>
    <row r="7385" spans="129:129" x14ac:dyDescent="0.2">
      <c r="DY7385" s="185" t="s">
        <v>215</v>
      </c>
    </row>
    <row r="7386" spans="129:129" x14ac:dyDescent="0.2">
      <c r="DY7386" s="185" t="s">
        <v>215</v>
      </c>
    </row>
    <row r="7387" spans="129:129" x14ac:dyDescent="0.2">
      <c r="DY7387" s="185" t="s">
        <v>215</v>
      </c>
    </row>
    <row r="7388" spans="129:129" x14ac:dyDescent="0.2">
      <c r="DY7388" s="185" t="s">
        <v>215</v>
      </c>
    </row>
    <row r="7389" spans="129:129" x14ac:dyDescent="0.2">
      <c r="DY7389" s="185" t="s">
        <v>215</v>
      </c>
    </row>
    <row r="7390" spans="129:129" x14ac:dyDescent="0.2">
      <c r="DY7390" s="185" t="s">
        <v>215</v>
      </c>
    </row>
    <row r="7391" spans="129:129" x14ac:dyDescent="0.2">
      <c r="DY7391" s="185" t="s">
        <v>215</v>
      </c>
    </row>
    <row r="7392" spans="129:129" x14ac:dyDescent="0.2">
      <c r="DY7392" s="185" t="s">
        <v>215</v>
      </c>
    </row>
    <row r="7393" spans="129:129" x14ac:dyDescent="0.2">
      <c r="DY7393" s="185" t="s">
        <v>215</v>
      </c>
    </row>
    <row r="7394" spans="129:129" x14ac:dyDescent="0.2">
      <c r="DY7394" s="185" t="s">
        <v>215</v>
      </c>
    </row>
    <row r="7395" spans="129:129" x14ac:dyDescent="0.2">
      <c r="DY7395" s="185" t="s">
        <v>215</v>
      </c>
    </row>
    <row r="7396" spans="129:129" x14ac:dyDescent="0.2">
      <c r="DY7396" s="185" t="s">
        <v>215</v>
      </c>
    </row>
    <row r="7397" spans="129:129" x14ac:dyDescent="0.2">
      <c r="DY7397" s="185" t="s">
        <v>215</v>
      </c>
    </row>
    <row r="7398" spans="129:129" x14ac:dyDescent="0.2">
      <c r="DY7398" s="185" t="s">
        <v>215</v>
      </c>
    </row>
    <row r="7399" spans="129:129" x14ac:dyDescent="0.2">
      <c r="DY7399" s="185" t="s">
        <v>215</v>
      </c>
    </row>
    <row r="7400" spans="129:129" x14ac:dyDescent="0.2">
      <c r="DY7400" s="185" t="s">
        <v>215</v>
      </c>
    </row>
    <row r="7401" spans="129:129" x14ac:dyDescent="0.2">
      <c r="DY7401" s="185" t="s">
        <v>215</v>
      </c>
    </row>
    <row r="7402" spans="129:129" x14ac:dyDescent="0.2">
      <c r="DY7402" s="185" t="s">
        <v>215</v>
      </c>
    </row>
    <row r="7403" spans="129:129" x14ac:dyDescent="0.2">
      <c r="DY7403" s="185" t="s">
        <v>215</v>
      </c>
    </row>
    <row r="7404" spans="129:129" x14ac:dyDescent="0.2">
      <c r="DY7404" s="185" t="s">
        <v>215</v>
      </c>
    </row>
    <row r="7405" spans="129:129" x14ac:dyDescent="0.2">
      <c r="DY7405" s="185" t="s">
        <v>215</v>
      </c>
    </row>
    <row r="7406" spans="129:129" x14ac:dyDescent="0.2">
      <c r="DY7406" s="185" t="s">
        <v>215</v>
      </c>
    </row>
    <row r="7407" spans="129:129" x14ac:dyDescent="0.2">
      <c r="DY7407" s="185" t="s">
        <v>215</v>
      </c>
    </row>
    <row r="7408" spans="129:129" x14ac:dyDescent="0.2">
      <c r="DY7408" s="185" t="s">
        <v>215</v>
      </c>
    </row>
    <row r="7409" spans="129:129" x14ac:dyDescent="0.2">
      <c r="DY7409" s="185" t="s">
        <v>215</v>
      </c>
    </row>
    <row r="7410" spans="129:129" x14ac:dyDescent="0.2">
      <c r="DY7410" s="185" t="s">
        <v>215</v>
      </c>
    </row>
    <row r="7411" spans="129:129" x14ac:dyDescent="0.2">
      <c r="DY7411" s="185" t="s">
        <v>215</v>
      </c>
    </row>
    <row r="7412" spans="129:129" x14ac:dyDescent="0.2">
      <c r="DY7412" s="185" t="s">
        <v>215</v>
      </c>
    </row>
    <row r="7413" spans="129:129" x14ac:dyDescent="0.2">
      <c r="DY7413" s="185" t="s">
        <v>215</v>
      </c>
    </row>
    <row r="7414" spans="129:129" x14ac:dyDescent="0.2">
      <c r="DY7414" s="185" t="s">
        <v>215</v>
      </c>
    </row>
    <row r="7415" spans="129:129" x14ac:dyDescent="0.2">
      <c r="DY7415" s="185" t="s">
        <v>215</v>
      </c>
    </row>
    <row r="7416" spans="129:129" x14ac:dyDescent="0.2">
      <c r="DY7416" s="185" t="s">
        <v>215</v>
      </c>
    </row>
    <row r="7417" spans="129:129" x14ac:dyDescent="0.2">
      <c r="DY7417" s="185" t="s">
        <v>215</v>
      </c>
    </row>
    <row r="7418" spans="129:129" x14ac:dyDescent="0.2">
      <c r="DY7418" s="185" t="s">
        <v>215</v>
      </c>
    </row>
    <row r="7419" spans="129:129" x14ac:dyDescent="0.2">
      <c r="DY7419" s="185" t="s">
        <v>215</v>
      </c>
    </row>
    <row r="7420" spans="129:129" x14ac:dyDescent="0.2">
      <c r="DY7420" s="185" t="s">
        <v>215</v>
      </c>
    </row>
    <row r="7421" spans="129:129" x14ac:dyDescent="0.2">
      <c r="DY7421" s="185" t="s">
        <v>215</v>
      </c>
    </row>
    <row r="7422" spans="129:129" x14ac:dyDescent="0.2">
      <c r="DY7422" s="185" t="s">
        <v>215</v>
      </c>
    </row>
    <row r="7423" spans="129:129" x14ac:dyDescent="0.2">
      <c r="DY7423" s="185" t="s">
        <v>215</v>
      </c>
    </row>
    <row r="7424" spans="129:129" x14ac:dyDescent="0.2">
      <c r="DY7424" s="185" t="s">
        <v>215</v>
      </c>
    </row>
    <row r="7425" spans="129:129" x14ac:dyDescent="0.2">
      <c r="DY7425" s="185" t="s">
        <v>215</v>
      </c>
    </row>
    <row r="7426" spans="129:129" x14ac:dyDescent="0.2">
      <c r="DY7426" s="185" t="s">
        <v>215</v>
      </c>
    </row>
    <row r="7427" spans="129:129" x14ac:dyDescent="0.2">
      <c r="DY7427" s="185" t="s">
        <v>215</v>
      </c>
    </row>
    <row r="7428" spans="129:129" x14ac:dyDescent="0.2">
      <c r="DY7428" s="185" t="s">
        <v>215</v>
      </c>
    </row>
    <row r="7429" spans="129:129" x14ac:dyDescent="0.2">
      <c r="DY7429" s="185" t="s">
        <v>215</v>
      </c>
    </row>
    <row r="7430" spans="129:129" x14ac:dyDescent="0.2">
      <c r="DY7430" s="185" t="s">
        <v>215</v>
      </c>
    </row>
    <row r="7431" spans="129:129" x14ac:dyDescent="0.2">
      <c r="DY7431" s="185" t="s">
        <v>215</v>
      </c>
    </row>
    <row r="7432" spans="129:129" x14ac:dyDescent="0.2">
      <c r="DY7432" s="185" t="s">
        <v>215</v>
      </c>
    </row>
    <row r="7433" spans="129:129" x14ac:dyDescent="0.2">
      <c r="DY7433" s="185" t="s">
        <v>215</v>
      </c>
    </row>
    <row r="7434" spans="129:129" x14ac:dyDescent="0.2">
      <c r="DY7434" s="185" t="s">
        <v>215</v>
      </c>
    </row>
    <row r="7435" spans="129:129" x14ac:dyDescent="0.2">
      <c r="DY7435" s="185" t="s">
        <v>215</v>
      </c>
    </row>
    <row r="7436" spans="129:129" x14ac:dyDescent="0.2">
      <c r="DY7436" s="185" t="s">
        <v>215</v>
      </c>
    </row>
    <row r="7437" spans="129:129" x14ac:dyDescent="0.2">
      <c r="DY7437" s="185" t="s">
        <v>215</v>
      </c>
    </row>
    <row r="7438" spans="129:129" x14ac:dyDescent="0.2">
      <c r="DY7438" s="185" t="s">
        <v>215</v>
      </c>
    </row>
    <row r="7439" spans="129:129" x14ac:dyDescent="0.2">
      <c r="DY7439" s="185" t="s">
        <v>215</v>
      </c>
    </row>
    <row r="7440" spans="129:129" x14ac:dyDescent="0.2">
      <c r="DY7440" s="185" t="s">
        <v>215</v>
      </c>
    </row>
    <row r="7441" spans="129:129" x14ac:dyDescent="0.2">
      <c r="DY7441" s="185" t="s">
        <v>215</v>
      </c>
    </row>
    <row r="7442" spans="129:129" x14ac:dyDescent="0.2">
      <c r="DY7442" s="185" t="s">
        <v>215</v>
      </c>
    </row>
    <row r="7443" spans="129:129" x14ac:dyDescent="0.2">
      <c r="DY7443" s="185" t="s">
        <v>215</v>
      </c>
    </row>
    <row r="7444" spans="129:129" x14ac:dyDescent="0.2">
      <c r="DY7444" s="185" t="s">
        <v>215</v>
      </c>
    </row>
    <row r="7445" spans="129:129" x14ac:dyDescent="0.2">
      <c r="DY7445" s="185" t="s">
        <v>215</v>
      </c>
    </row>
    <row r="7446" spans="129:129" x14ac:dyDescent="0.2">
      <c r="DY7446" s="185" t="s">
        <v>215</v>
      </c>
    </row>
    <row r="7447" spans="129:129" x14ac:dyDescent="0.2">
      <c r="DY7447" s="185" t="s">
        <v>215</v>
      </c>
    </row>
    <row r="7448" spans="129:129" x14ac:dyDescent="0.2">
      <c r="DY7448" s="185" t="s">
        <v>215</v>
      </c>
    </row>
    <row r="7449" spans="129:129" x14ac:dyDescent="0.2">
      <c r="DY7449" s="185" t="s">
        <v>215</v>
      </c>
    </row>
    <row r="7450" spans="129:129" x14ac:dyDescent="0.2">
      <c r="DY7450" s="185" t="s">
        <v>215</v>
      </c>
    </row>
    <row r="7451" spans="129:129" x14ac:dyDescent="0.2">
      <c r="DY7451" s="185" t="s">
        <v>215</v>
      </c>
    </row>
    <row r="7452" spans="129:129" x14ac:dyDescent="0.2">
      <c r="DY7452" s="185" t="s">
        <v>215</v>
      </c>
    </row>
    <row r="7453" spans="129:129" x14ac:dyDescent="0.2">
      <c r="DY7453" s="185" t="s">
        <v>215</v>
      </c>
    </row>
    <row r="7454" spans="129:129" x14ac:dyDescent="0.2">
      <c r="DY7454" s="185" t="s">
        <v>215</v>
      </c>
    </row>
    <row r="7455" spans="129:129" x14ac:dyDescent="0.2">
      <c r="DY7455" s="185" t="s">
        <v>215</v>
      </c>
    </row>
    <row r="7456" spans="129:129" x14ac:dyDescent="0.2">
      <c r="DY7456" s="185" t="s">
        <v>215</v>
      </c>
    </row>
    <row r="7457" spans="129:129" x14ac:dyDescent="0.2">
      <c r="DY7457" s="185" t="s">
        <v>215</v>
      </c>
    </row>
    <row r="7458" spans="129:129" x14ac:dyDescent="0.2">
      <c r="DY7458" s="185" t="s">
        <v>215</v>
      </c>
    </row>
    <row r="7459" spans="129:129" x14ac:dyDescent="0.2">
      <c r="DY7459" s="185" t="s">
        <v>215</v>
      </c>
    </row>
    <row r="7460" spans="129:129" x14ac:dyDescent="0.2">
      <c r="DY7460" s="185" t="s">
        <v>215</v>
      </c>
    </row>
    <row r="7461" spans="129:129" x14ac:dyDescent="0.2">
      <c r="DY7461" s="185" t="s">
        <v>215</v>
      </c>
    </row>
    <row r="7462" spans="129:129" x14ac:dyDescent="0.2">
      <c r="DY7462" s="185" t="s">
        <v>215</v>
      </c>
    </row>
    <row r="7463" spans="129:129" x14ac:dyDescent="0.2">
      <c r="DY7463" s="185" t="s">
        <v>215</v>
      </c>
    </row>
    <row r="7464" spans="129:129" x14ac:dyDescent="0.2">
      <c r="DY7464" s="185" t="s">
        <v>215</v>
      </c>
    </row>
    <row r="7465" spans="129:129" x14ac:dyDescent="0.2">
      <c r="DY7465" s="185" t="s">
        <v>215</v>
      </c>
    </row>
    <row r="7466" spans="129:129" x14ac:dyDescent="0.2">
      <c r="DY7466" s="185" t="s">
        <v>215</v>
      </c>
    </row>
    <row r="7467" spans="129:129" x14ac:dyDescent="0.2">
      <c r="DY7467" s="185" t="s">
        <v>215</v>
      </c>
    </row>
    <row r="7468" spans="129:129" x14ac:dyDescent="0.2">
      <c r="DY7468" s="185" t="s">
        <v>215</v>
      </c>
    </row>
    <row r="7469" spans="129:129" x14ac:dyDescent="0.2">
      <c r="DY7469" s="185" t="s">
        <v>215</v>
      </c>
    </row>
    <row r="7470" spans="129:129" x14ac:dyDescent="0.2">
      <c r="DY7470" s="185" t="s">
        <v>215</v>
      </c>
    </row>
    <row r="7471" spans="129:129" x14ac:dyDescent="0.2">
      <c r="DY7471" s="185" t="s">
        <v>215</v>
      </c>
    </row>
    <row r="7472" spans="129:129" x14ac:dyDescent="0.2">
      <c r="DY7472" s="185" t="s">
        <v>215</v>
      </c>
    </row>
    <row r="7473" spans="129:129" x14ac:dyDescent="0.2">
      <c r="DY7473" s="185" t="s">
        <v>215</v>
      </c>
    </row>
    <row r="7474" spans="129:129" x14ac:dyDescent="0.2">
      <c r="DY7474" s="185" t="s">
        <v>215</v>
      </c>
    </row>
    <row r="7475" spans="129:129" x14ac:dyDescent="0.2">
      <c r="DY7475" s="185" t="s">
        <v>215</v>
      </c>
    </row>
    <row r="7476" spans="129:129" x14ac:dyDescent="0.2">
      <c r="DY7476" s="185" t="s">
        <v>215</v>
      </c>
    </row>
    <row r="7477" spans="129:129" x14ac:dyDescent="0.2">
      <c r="DY7477" s="185" t="s">
        <v>215</v>
      </c>
    </row>
    <row r="7478" spans="129:129" x14ac:dyDescent="0.2">
      <c r="DY7478" s="185" t="s">
        <v>215</v>
      </c>
    </row>
    <row r="7479" spans="129:129" x14ac:dyDescent="0.2">
      <c r="DY7479" s="185" t="s">
        <v>215</v>
      </c>
    </row>
    <row r="7480" spans="129:129" x14ac:dyDescent="0.2">
      <c r="DY7480" s="185" t="s">
        <v>215</v>
      </c>
    </row>
    <row r="7481" spans="129:129" x14ac:dyDescent="0.2">
      <c r="DY7481" s="185" t="s">
        <v>215</v>
      </c>
    </row>
    <row r="7482" spans="129:129" x14ac:dyDescent="0.2">
      <c r="DY7482" s="185" t="s">
        <v>215</v>
      </c>
    </row>
    <row r="7483" spans="129:129" x14ac:dyDescent="0.2">
      <c r="DY7483" s="185" t="s">
        <v>215</v>
      </c>
    </row>
    <row r="7484" spans="129:129" x14ac:dyDescent="0.2">
      <c r="DY7484" s="185" t="s">
        <v>215</v>
      </c>
    </row>
    <row r="7485" spans="129:129" x14ac:dyDescent="0.2">
      <c r="DY7485" s="185" t="s">
        <v>215</v>
      </c>
    </row>
    <row r="7486" spans="129:129" x14ac:dyDescent="0.2">
      <c r="DY7486" s="185" t="s">
        <v>215</v>
      </c>
    </row>
    <row r="7487" spans="129:129" x14ac:dyDescent="0.2">
      <c r="DY7487" s="185" t="s">
        <v>215</v>
      </c>
    </row>
    <row r="7488" spans="129:129" x14ac:dyDescent="0.2">
      <c r="DY7488" s="185" t="s">
        <v>215</v>
      </c>
    </row>
    <row r="7489" spans="129:129" x14ac:dyDescent="0.2">
      <c r="DY7489" s="185" t="s">
        <v>215</v>
      </c>
    </row>
    <row r="7490" spans="129:129" x14ac:dyDescent="0.2">
      <c r="DY7490" s="185" t="s">
        <v>215</v>
      </c>
    </row>
    <row r="7491" spans="129:129" x14ac:dyDescent="0.2">
      <c r="DY7491" s="185" t="s">
        <v>215</v>
      </c>
    </row>
    <row r="7492" spans="129:129" x14ac:dyDescent="0.2">
      <c r="DY7492" s="185" t="s">
        <v>215</v>
      </c>
    </row>
    <row r="7493" spans="129:129" x14ac:dyDescent="0.2">
      <c r="DY7493" s="185" t="s">
        <v>215</v>
      </c>
    </row>
    <row r="7494" spans="129:129" x14ac:dyDescent="0.2">
      <c r="DY7494" s="185" t="s">
        <v>215</v>
      </c>
    </row>
    <row r="7495" spans="129:129" x14ac:dyDescent="0.2">
      <c r="DY7495" s="185" t="s">
        <v>215</v>
      </c>
    </row>
    <row r="7496" spans="129:129" x14ac:dyDescent="0.2">
      <c r="DY7496" s="185" t="s">
        <v>215</v>
      </c>
    </row>
    <row r="7497" spans="129:129" x14ac:dyDescent="0.2">
      <c r="DY7497" s="185" t="s">
        <v>215</v>
      </c>
    </row>
    <row r="7498" spans="129:129" x14ac:dyDescent="0.2">
      <c r="DY7498" s="185" t="s">
        <v>215</v>
      </c>
    </row>
    <row r="7499" spans="129:129" x14ac:dyDescent="0.2">
      <c r="DY7499" s="185" t="s">
        <v>215</v>
      </c>
    </row>
    <row r="7500" spans="129:129" x14ac:dyDescent="0.2">
      <c r="DY7500" s="185" t="s">
        <v>215</v>
      </c>
    </row>
    <row r="7501" spans="129:129" x14ac:dyDescent="0.2">
      <c r="DY7501" s="185" t="s">
        <v>215</v>
      </c>
    </row>
    <row r="7502" spans="129:129" x14ac:dyDescent="0.2">
      <c r="DY7502" s="185" t="s">
        <v>215</v>
      </c>
    </row>
    <row r="7503" spans="129:129" x14ac:dyDescent="0.2">
      <c r="DY7503" s="185" t="s">
        <v>215</v>
      </c>
    </row>
    <row r="7504" spans="129:129" x14ac:dyDescent="0.2">
      <c r="DY7504" s="185" t="s">
        <v>215</v>
      </c>
    </row>
    <row r="7505" spans="129:129" x14ac:dyDescent="0.2">
      <c r="DY7505" s="185" t="s">
        <v>215</v>
      </c>
    </row>
    <row r="7506" spans="129:129" x14ac:dyDescent="0.2">
      <c r="DY7506" s="185" t="s">
        <v>215</v>
      </c>
    </row>
    <row r="7507" spans="129:129" x14ac:dyDescent="0.2">
      <c r="DY7507" s="185" t="s">
        <v>215</v>
      </c>
    </row>
    <row r="7508" spans="129:129" x14ac:dyDescent="0.2">
      <c r="DY7508" s="185" t="s">
        <v>215</v>
      </c>
    </row>
    <row r="7509" spans="129:129" x14ac:dyDescent="0.2">
      <c r="DY7509" s="185" t="s">
        <v>215</v>
      </c>
    </row>
    <row r="7510" spans="129:129" x14ac:dyDescent="0.2">
      <c r="DY7510" s="185" t="s">
        <v>215</v>
      </c>
    </row>
    <row r="7511" spans="129:129" x14ac:dyDescent="0.2">
      <c r="DY7511" s="185" t="s">
        <v>215</v>
      </c>
    </row>
    <row r="7512" spans="129:129" x14ac:dyDescent="0.2">
      <c r="DY7512" s="185" t="s">
        <v>215</v>
      </c>
    </row>
    <row r="7513" spans="129:129" x14ac:dyDescent="0.2">
      <c r="DY7513" s="185" t="s">
        <v>215</v>
      </c>
    </row>
    <row r="7514" spans="129:129" x14ac:dyDescent="0.2">
      <c r="DY7514" s="185" t="s">
        <v>215</v>
      </c>
    </row>
    <row r="7515" spans="129:129" x14ac:dyDescent="0.2">
      <c r="DY7515" s="185" t="s">
        <v>215</v>
      </c>
    </row>
    <row r="7516" spans="129:129" x14ac:dyDescent="0.2">
      <c r="DY7516" s="185" t="s">
        <v>215</v>
      </c>
    </row>
    <row r="7517" spans="129:129" x14ac:dyDescent="0.2">
      <c r="DY7517" s="185" t="s">
        <v>215</v>
      </c>
    </row>
    <row r="7518" spans="129:129" x14ac:dyDescent="0.2">
      <c r="DY7518" s="185" t="s">
        <v>215</v>
      </c>
    </row>
    <row r="7519" spans="129:129" x14ac:dyDescent="0.2">
      <c r="DY7519" s="185" t="s">
        <v>215</v>
      </c>
    </row>
    <row r="7520" spans="129:129" x14ac:dyDescent="0.2">
      <c r="DY7520" s="185" t="s">
        <v>215</v>
      </c>
    </row>
    <row r="7521" spans="129:129" x14ac:dyDescent="0.2">
      <c r="DY7521" s="185" t="s">
        <v>215</v>
      </c>
    </row>
    <row r="7522" spans="129:129" x14ac:dyDescent="0.2">
      <c r="DY7522" s="185" t="s">
        <v>215</v>
      </c>
    </row>
    <row r="7523" spans="129:129" x14ac:dyDescent="0.2">
      <c r="DY7523" s="185" t="s">
        <v>215</v>
      </c>
    </row>
    <row r="7524" spans="129:129" x14ac:dyDescent="0.2">
      <c r="DY7524" s="185" t="s">
        <v>215</v>
      </c>
    </row>
    <row r="7525" spans="129:129" x14ac:dyDescent="0.2">
      <c r="DY7525" s="185" t="s">
        <v>215</v>
      </c>
    </row>
    <row r="7526" spans="129:129" x14ac:dyDescent="0.2">
      <c r="DY7526" s="185" t="s">
        <v>215</v>
      </c>
    </row>
    <row r="7527" spans="129:129" x14ac:dyDescent="0.2">
      <c r="DY7527" s="185" t="s">
        <v>215</v>
      </c>
    </row>
    <row r="7528" spans="129:129" x14ac:dyDescent="0.2">
      <c r="DY7528" s="185" t="s">
        <v>215</v>
      </c>
    </row>
    <row r="7529" spans="129:129" x14ac:dyDescent="0.2">
      <c r="DY7529" s="185" t="s">
        <v>215</v>
      </c>
    </row>
    <row r="7530" spans="129:129" x14ac:dyDescent="0.2">
      <c r="DY7530" s="185" t="s">
        <v>215</v>
      </c>
    </row>
    <row r="7531" spans="129:129" x14ac:dyDescent="0.2">
      <c r="DY7531" s="185" t="s">
        <v>215</v>
      </c>
    </row>
    <row r="7532" spans="129:129" x14ac:dyDescent="0.2">
      <c r="DY7532" s="185" t="s">
        <v>215</v>
      </c>
    </row>
    <row r="7533" spans="129:129" x14ac:dyDescent="0.2">
      <c r="DY7533" s="185" t="s">
        <v>215</v>
      </c>
    </row>
    <row r="7534" spans="129:129" x14ac:dyDescent="0.2">
      <c r="DY7534" s="185" t="s">
        <v>215</v>
      </c>
    </row>
    <row r="7535" spans="129:129" x14ac:dyDescent="0.2">
      <c r="DY7535" s="185" t="s">
        <v>215</v>
      </c>
    </row>
    <row r="7536" spans="129:129" x14ac:dyDescent="0.2">
      <c r="DY7536" s="185" t="s">
        <v>215</v>
      </c>
    </row>
    <row r="7537" spans="129:129" x14ac:dyDescent="0.2">
      <c r="DY7537" s="185" t="s">
        <v>215</v>
      </c>
    </row>
    <row r="7538" spans="129:129" x14ac:dyDescent="0.2">
      <c r="DY7538" s="185" t="s">
        <v>215</v>
      </c>
    </row>
    <row r="7539" spans="129:129" x14ac:dyDescent="0.2">
      <c r="DY7539" s="185" t="s">
        <v>215</v>
      </c>
    </row>
    <row r="7540" spans="129:129" x14ac:dyDescent="0.2">
      <c r="DY7540" s="185" t="s">
        <v>215</v>
      </c>
    </row>
    <row r="7541" spans="129:129" x14ac:dyDescent="0.2">
      <c r="DY7541" s="185" t="s">
        <v>215</v>
      </c>
    </row>
    <row r="7542" spans="129:129" x14ac:dyDescent="0.2">
      <c r="DY7542" s="185" t="s">
        <v>215</v>
      </c>
    </row>
    <row r="7543" spans="129:129" x14ac:dyDescent="0.2">
      <c r="DY7543" s="185" t="s">
        <v>215</v>
      </c>
    </row>
    <row r="7544" spans="129:129" x14ac:dyDescent="0.2">
      <c r="DY7544" s="185" t="s">
        <v>215</v>
      </c>
    </row>
    <row r="7545" spans="129:129" x14ac:dyDescent="0.2">
      <c r="DY7545" s="185" t="s">
        <v>215</v>
      </c>
    </row>
    <row r="7546" spans="129:129" x14ac:dyDescent="0.2">
      <c r="DY7546" s="185" t="s">
        <v>215</v>
      </c>
    </row>
    <row r="7547" spans="129:129" x14ac:dyDescent="0.2">
      <c r="DY7547" s="185" t="s">
        <v>215</v>
      </c>
    </row>
    <row r="7548" spans="129:129" x14ac:dyDescent="0.2">
      <c r="DY7548" s="185" t="s">
        <v>215</v>
      </c>
    </row>
    <row r="7549" spans="129:129" x14ac:dyDescent="0.2">
      <c r="DY7549" s="185" t="s">
        <v>215</v>
      </c>
    </row>
    <row r="7550" spans="129:129" x14ac:dyDescent="0.2">
      <c r="DY7550" s="185" t="s">
        <v>215</v>
      </c>
    </row>
    <row r="7551" spans="129:129" x14ac:dyDescent="0.2">
      <c r="DY7551" s="185" t="s">
        <v>215</v>
      </c>
    </row>
    <row r="7552" spans="129:129" x14ac:dyDescent="0.2">
      <c r="DY7552" s="185" t="s">
        <v>215</v>
      </c>
    </row>
    <row r="7553" spans="129:129" x14ac:dyDescent="0.2">
      <c r="DY7553" s="185" t="s">
        <v>215</v>
      </c>
    </row>
    <row r="7554" spans="129:129" x14ac:dyDescent="0.2">
      <c r="DY7554" s="185" t="s">
        <v>215</v>
      </c>
    </row>
    <row r="7555" spans="129:129" x14ac:dyDescent="0.2">
      <c r="DY7555" s="185" t="s">
        <v>215</v>
      </c>
    </row>
    <row r="7556" spans="129:129" x14ac:dyDescent="0.2">
      <c r="DY7556" s="185" t="s">
        <v>215</v>
      </c>
    </row>
    <row r="7557" spans="129:129" x14ac:dyDescent="0.2">
      <c r="DY7557" s="185" t="s">
        <v>215</v>
      </c>
    </row>
    <row r="7558" spans="129:129" x14ac:dyDescent="0.2">
      <c r="DY7558" s="185" t="s">
        <v>215</v>
      </c>
    </row>
    <row r="7559" spans="129:129" x14ac:dyDescent="0.2">
      <c r="DY7559" s="185" t="s">
        <v>215</v>
      </c>
    </row>
    <row r="7560" spans="129:129" x14ac:dyDescent="0.2">
      <c r="DY7560" s="185" t="s">
        <v>215</v>
      </c>
    </row>
    <row r="7561" spans="129:129" x14ac:dyDescent="0.2">
      <c r="DY7561" s="185" t="s">
        <v>215</v>
      </c>
    </row>
    <row r="7562" spans="129:129" x14ac:dyDescent="0.2">
      <c r="DY7562" s="185" t="s">
        <v>215</v>
      </c>
    </row>
    <row r="7563" spans="129:129" x14ac:dyDescent="0.2">
      <c r="DY7563" s="185" t="s">
        <v>215</v>
      </c>
    </row>
    <row r="7564" spans="129:129" x14ac:dyDescent="0.2">
      <c r="DY7564" s="185" t="s">
        <v>215</v>
      </c>
    </row>
    <row r="7565" spans="129:129" x14ac:dyDescent="0.2">
      <c r="DY7565" s="185" t="s">
        <v>215</v>
      </c>
    </row>
    <row r="7566" spans="129:129" x14ac:dyDescent="0.2">
      <c r="DY7566" s="185" t="s">
        <v>215</v>
      </c>
    </row>
    <row r="7567" spans="129:129" x14ac:dyDescent="0.2">
      <c r="DY7567" s="185" t="s">
        <v>215</v>
      </c>
    </row>
    <row r="7568" spans="129:129" x14ac:dyDescent="0.2">
      <c r="DY7568" s="185" t="s">
        <v>215</v>
      </c>
    </row>
    <row r="7569" spans="129:129" x14ac:dyDescent="0.2">
      <c r="DY7569" s="185" t="s">
        <v>215</v>
      </c>
    </row>
    <row r="7570" spans="129:129" x14ac:dyDescent="0.2">
      <c r="DY7570" s="185" t="s">
        <v>215</v>
      </c>
    </row>
    <row r="7571" spans="129:129" x14ac:dyDescent="0.2">
      <c r="DY7571" s="185" t="s">
        <v>215</v>
      </c>
    </row>
    <row r="7572" spans="129:129" x14ac:dyDescent="0.2">
      <c r="DY7572" s="185" t="s">
        <v>215</v>
      </c>
    </row>
    <row r="7573" spans="129:129" x14ac:dyDescent="0.2">
      <c r="DY7573" s="185" t="s">
        <v>215</v>
      </c>
    </row>
    <row r="7574" spans="129:129" x14ac:dyDescent="0.2">
      <c r="DY7574" s="185" t="s">
        <v>215</v>
      </c>
    </row>
    <row r="7575" spans="129:129" x14ac:dyDescent="0.2">
      <c r="DY7575" s="185" t="s">
        <v>215</v>
      </c>
    </row>
    <row r="7576" spans="129:129" x14ac:dyDescent="0.2">
      <c r="DY7576" s="185" t="s">
        <v>215</v>
      </c>
    </row>
    <row r="7577" spans="129:129" x14ac:dyDescent="0.2">
      <c r="DY7577" s="185" t="s">
        <v>215</v>
      </c>
    </row>
    <row r="7578" spans="129:129" x14ac:dyDescent="0.2">
      <c r="DY7578" s="185" t="s">
        <v>215</v>
      </c>
    </row>
    <row r="7579" spans="129:129" x14ac:dyDescent="0.2">
      <c r="DY7579" s="185" t="s">
        <v>215</v>
      </c>
    </row>
    <row r="7580" spans="129:129" x14ac:dyDescent="0.2">
      <c r="DY7580" s="185" t="s">
        <v>215</v>
      </c>
    </row>
    <row r="7581" spans="129:129" x14ac:dyDescent="0.2">
      <c r="DY7581" s="185" t="s">
        <v>215</v>
      </c>
    </row>
    <row r="7582" spans="129:129" x14ac:dyDescent="0.2">
      <c r="DY7582" s="185" t="s">
        <v>215</v>
      </c>
    </row>
    <row r="7583" spans="129:129" x14ac:dyDescent="0.2">
      <c r="DY7583" s="185" t="s">
        <v>215</v>
      </c>
    </row>
    <row r="7584" spans="129:129" x14ac:dyDescent="0.2">
      <c r="DY7584" s="185" t="s">
        <v>215</v>
      </c>
    </row>
    <row r="7585" spans="129:129" x14ac:dyDescent="0.2">
      <c r="DY7585" s="185" t="s">
        <v>215</v>
      </c>
    </row>
    <row r="7586" spans="129:129" x14ac:dyDescent="0.2">
      <c r="DY7586" s="185" t="s">
        <v>215</v>
      </c>
    </row>
    <row r="7587" spans="129:129" x14ac:dyDescent="0.2">
      <c r="DY7587" s="185" t="s">
        <v>215</v>
      </c>
    </row>
    <row r="7588" spans="129:129" x14ac:dyDescent="0.2">
      <c r="DY7588" s="185" t="s">
        <v>215</v>
      </c>
    </row>
    <row r="7589" spans="129:129" x14ac:dyDescent="0.2">
      <c r="DY7589" s="185" t="s">
        <v>215</v>
      </c>
    </row>
    <row r="7590" spans="129:129" x14ac:dyDescent="0.2">
      <c r="DY7590" s="185" t="s">
        <v>215</v>
      </c>
    </row>
    <row r="7591" spans="129:129" x14ac:dyDescent="0.2">
      <c r="DY7591" s="185" t="s">
        <v>215</v>
      </c>
    </row>
    <row r="7592" spans="129:129" x14ac:dyDescent="0.2">
      <c r="DY7592" s="185" t="s">
        <v>215</v>
      </c>
    </row>
    <row r="7593" spans="129:129" x14ac:dyDescent="0.2">
      <c r="DY7593" s="185" t="s">
        <v>215</v>
      </c>
    </row>
    <row r="7594" spans="129:129" x14ac:dyDescent="0.2">
      <c r="DY7594" s="185" t="s">
        <v>215</v>
      </c>
    </row>
    <row r="7595" spans="129:129" x14ac:dyDescent="0.2">
      <c r="DY7595" s="185" t="s">
        <v>215</v>
      </c>
    </row>
    <row r="7596" spans="129:129" x14ac:dyDescent="0.2">
      <c r="DY7596" s="185" t="s">
        <v>215</v>
      </c>
    </row>
    <row r="7597" spans="129:129" x14ac:dyDescent="0.2">
      <c r="DY7597" s="185" t="s">
        <v>215</v>
      </c>
    </row>
    <row r="7598" spans="129:129" x14ac:dyDescent="0.2">
      <c r="DY7598" s="185" t="s">
        <v>215</v>
      </c>
    </row>
    <row r="7599" spans="129:129" x14ac:dyDescent="0.2">
      <c r="DY7599" s="185" t="s">
        <v>215</v>
      </c>
    </row>
    <row r="7600" spans="129:129" x14ac:dyDescent="0.2">
      <c r="DY7600" s="185" t="s">
        <v>215</v>
      </c>
    </row>
    <row r="7601" spans="129:129" x14ac:dyDescent="0.2">
      <c r="DY7601" s="185" t="s">
        <v>215</v>
      </c>
    </row>
    <row r="7602" spans="129:129" x14ac:dyDescent="0.2">
      <c r="DY7602" s="185" t="s">
        <v>215</v>
      </c>
    </row>
    <row r="7603" spans="129:129" x14ac:dyDescent="0.2">
      <c r="DY7603" s="185" t="s">
        <v>215</v>
      </c>
    </row>
    <row r="7604" spans="129:129" x14ac:dyDescent="0.2">
      <c r="DY7604" s="185" t="s">
        <v>215</v>
      </c>
    </row>
    <row r="7605" spans="129:129" x14ac:dyDescent="0.2">
      <c r="DY7605" s="185" t="s">
        <v>215</v>
      </c>
    </row>
    <row r="7606" spans="129:129" x14ac:dyDescent="0.2">
      <c r="DY7606" s="185" t="s">
        <v>215</v>
      </c>
    </row>
    <row r="7607" spans="129:129" x14ac:dyDescent="0.2">
      <c r="DY7607" s="185" t="s">
        <v>215</v>
      </c>
    </row>
    <row r="7608" spans="129:129" x14ac:dyDescent="0.2">
      <c r="DY7608" s="185" t="s">
        <v>215</v>
      </c>
    </row>
    <row r="7609" spans="129:129" x14ac:dyDescent="0.2">
      <c r="DY7609" s="185" t="s">
        <v>215</v>
      </c>
    </row>
    <row r="7610" spans="129:129" x14ac:dyDescent="0.2">
      <c r="DY7610" s="185" t="s">
        <v>215</v>
      </c>
    </row>
    <row r="7611" spans="129:129" x14ac:dyDescent="0.2">
      <c r="DY7611" s="185" t="s">
        <v>215</v>
      </c>
    </row>
    <row r="7612" spans="129:129" x14ac:dyDescent="0.2">
      <c r="DY7612" s="185" t="s">
        <v>215</v>
      </c>
    </row>
    <row r="7613" spans="129:129" x14ac:dyDescent="0.2">
      <c r="DY7613" s="185" t="s">
        <v>215</v>
      </c>
    </row>
    <row r="7614" spans="129:129" x14ac:dyDescent="0.2">
      <c r="DY7614" s="185" t="s">
        <v>215</v>
      </c>
    </row>
    <row r="7615" spans="129:129" x14ac:dyDescent="0.2">
      <c r="DY7615" s="185" t="s">
        <v>215</v>
      </c>
    </row>
    <row r="7616" spans="129:129" x14ac:dyDescent="0.2">
      <c r="DY7616" s="185" t="s">
        <v>215</v>
      </c>
    </row>
    <row r="7617" spans="129:129" x14ac:dyDescent="0.2">
      <c r="DY7617" s="185" t="s">
        <v>215</v>
      </c>
    </row>
    <row r="7618" spans="129:129" x14ac:dyDescent="0.2">
      <c r="DY7618" s="185" t="s">
        <v>215</v>
      </c>
    </row>
    <row r="7619" spans="129:129" x14ac:dyDescent="0.2">
      <c r="DY7619" s="185" t="s">
        <v>215</v>
      </c>
    </row>
    <row r="7620" spans="129:129" x14ac:dyDescent="0.2">
      <c r="DY7620" s="185" t="s">
        <v>215</v>
      </c>
    </row>
    <row r="7621" spans="129:129" x14ac:dyDescent="0.2">
      <c r="DY7621" s="185" t="s">
        <v>215</v>
      </c>
    </row>
    <row r="7622" spans="129:129" x14ac:dyDescent="0.2">
      <c r="DY7622" s="185" t="s">
        <v>215</v>
      </c>
    </row>
    <row r="7623" spans="129:129" x14ac:dyDescent="0.2">
      <c r="DY7623" s="185" t="s">
        <v>215</v>
      </c>
    </row>
    <row r="7624" spans="129:129" x14ac:dyDescent="0.2">
      <c r="DY7624" s="185" t="s">
        <v>215</v>
      </c>
    </row>
    <row r="7625" spans="129:129" x14ac:dyDescent="0.2">
      <c r="DY7625" s="185" t="s">
        <v>215</v>
      </c>
    </row>
    <row r="7626" spans="129:129" x14ac:dyDescent="0.2">
      <c r="DY7626" s="185" t="s">
        <v>215</v>
      </c>
    </row>
    <row r="7627" spans="129:129" x14ac:dyDescent="0.2">
      <c r="DY7627" s="185" t="s">
        <v>215</v>
      </c>
    </row>
    <row r="7628" spans="129:129" x14ac:dyDescent="0.2">
      <c r="DY7628" s="185" t="s">
        <v>215</v>
      </c>
    </row>
    <row r="7629" spans="129:129" x14ac:dyDescent="0.2">
      <c r="DY7629" s="185" t="s">
        <v>215</v>
      </c>
    </row>
    <row r="7630" spans="129:129" x14ac:dyDescent="0.2">
      <c r="DY7630" s="185" t="s">
        <v>215</v>
      </c>
    </row>
    <row r="7631" spans="129:129" x14ac:dyDescent="0.2">
      <c r="DY7631" s="185" t="s">
        <v>215</v>
      </c>
    </row>
    <row r="7632" spans="129:129" x14ac:dyDescent="0.2">
      <c r="DY7632" s="185" t="s">
        <v>215</v>
      </c>
    </row>
    <row r="7633" spans="129:129" x14ac:dyDescent="0.2">
      <c r="DY7633" s="185" t="s">
        <v>215</v>
      </c>
    </row>
    <row r="7634" spans="129:129" x14ac:dyDescent="0.2">
      <c r="DY7634" s="185" t="s">
        <v>215</v>
      </c>
    </row>
    <row r="7635" spans="129:129" x14ac:dyDescent="0.2">
      <c r="DY7635" s="185" t="s">
        <v>215</v>
      </c>
    </row>
    <row r="7636" spans="129:129" x14ac:dyDescent="0.2">
      <c r="DY7636" s="185" t="s">
        <v>215</v>
      </c>
    </row>
    <row r="7637" spans="129:129" x14ac:dyDescent="0.2">
      <c r="DY7637" s="185" t="s">
        <v>215</v>
      </c>
    </row>
    <row r="7638" spans="129:129" x14ac:dyDescent="0.2">
      <c r="DY7638" s="185" t="s">
        <v>215</v>
      </c>
    </row>
    <row r="7639" spans="129:129" x14ac:dyDescent="0.2">
      <c r="DY7639" s="185" t="s">
        <v>215</v>
      </c>
    </row>
    <row r="7640" spans="129:129" x14ac:dyDescent="0.2">
      <c r="DY7640" s="185" t="s">
        <v>215</v>
      </c>
    </row>
    <row r="7641" spans="129:129" x14ac:dyDescent="0.2">
      <c r="DY7641" s="185" t="s">
        <v>215</v>
      </c>
    </row>
    <row r="7642" spans="129:129" x14ac:dyDescent="0.2">
      <c r="DY7642" s="185" t="s">
        <v>215</v>
      </c>
    </row>
    <row r="7643" spans="129:129" x14ac:dyDescent="0.2">
      <c r="DY7643" s="185" t="s">
        <v>215</v>
      </c>
    </row>
    <row r="7644" spans="129:129" x14ac:dyDescent="0.2">
      <c r="DY7644" s="185" t="s">
        <v>215</v>
      </c>
    </row>
    <row r="7645" spans="129:129" x14ac:dyDescent="0.2">
      <c r="DY7645" s="185" t="s">
        <v>215</v>
      </c>
    </row>
    <row r="7646" spans="129:129" x14ac:dyDescent="0.2">
      <c r="DY7646" s="185" t="s">
        <v>215</v>
      </c>
    </row>
    <row r="7647" spans="129:129" x14ac:dyDescent="0.2">
      <c r="DY7647" s="185" t="s">
        <v>215</v>
      </c>
    </row>
    <row r="7648" spans="129:129" x14ac:dyDescent="0.2">
      <c r="DY7648" s="185" t="s">
        <v>215</v>
      </c>
    </row>
    <row r="7649" spans="129:129" x14ac:dyDescent="0.2">
      <c r="DY7649" s="185" t="s">
        <v>215</v>
      </c>
    </row>
    <row r="7650" spans="129:129" x14ac:dyDescent="0.2">
      <c r="DY7650" s="185" t="s">
        <v>215</v>
      </c>
    </row>
    <row r="7651" spans="129:129" x14ac:dyDescent="0.2">
      <c r="DY7651" s="185" t="s">
        <v>215</v>
      </c>
    </row>
    <row r="7652" spans="129:129" x14ac:dyDescent="0.2">
      <c r="DY7652" s="185" t="s">
        <v>215</v>
      </c>
    </row>
    <row r="7653" spans="129:129" x14ac:dyDescent="0.2">
      <c r="DY7653" s="185" t="s">
        <v>215</v>
      </c>
    </row>
    <row r="7654" spans="129:129" x14ac:dyDescent="0.2">
      <c r="DY7654" s="185" t="s">
        <v>215</v>
      </c>
    </row>
    <row r="7655" spans="129:129" x14ac:dyDescent="0.2">
      <c r="DY7655" s="185" t="s">
        <v>215</v>
      </c>
    </row>
    <row r="7656" spans="129:129" x14ac:dyDescent="0.2">
      <c r="DY7656" s="185" t="s">
        <v>215</v>
      </c>
    </row>
    <row r="7657" spans="129:129" x14ac:dyDescent="0.2">
      <c r="DY7657" s="185" t="s">
        <v>215</v>
      </c>
    </row>
    <row r="7658" spans="129:129" x14ac:dyDescent="0.2">
      <c r="DY7658" s="185" t="s">
        <v>215</v>
      </c>
    </row>
    <row r="7659" spans="129:129" x14ac:dyDescent="0.2">
      <c r="DY7659" s="185" t="s">
        <v>215</v>
      </c>
    </row>
    <row r="7660" spans="129:129" x14ac:dyDescent="0.2">
      <c r="DY7660" s="185" t="s">
        <v>215</v>
      </c>
    </row>
    <row r="7661" spans="129:129" x14ac:dyDescent="0.2">
      <c r="DY7661" s="185" t="s">
        <v>215</v>
      </c>
    </row>
    <row r="7662" spans="129:129" x14ac:dyDescent="0.2">
      <c r="DY7662" s="185" t="s">
        <v>215</v>
      </c>
    </row>
    <row r="7663" spans="129:129" x14ac:dyDescent="0.2">
      <c r="DY7663" s="185" t="s">
        <v>215</v>
      </c>
    </row>
    <row r="7664" spans="129:129" x14ac:dyDescent="0.2">
      <c r="DY7664" s="185" t="s">
        <v>215</v>
      </c>
    </row>
    <row r="7665" spans="129:129" x14ac:dyDescent="0.2">
      <c r="DY7665" s="185" t="s">
        <v>215</v>
      </c>
    </row>
    <row r="7666" spans="129:129" x14ac:dyDescent="0.2">
      <c r="DY7666" s="185" t="s">
        <v>215</v>
      </c>
    </row>
    <row r="7667" spans="129:129" x14ac:dyDescent="0.2">
      <c r="DY7667" s="185" t="s">
        <v>215</v>
      </c>
    </row>
    <row r="7668" spans="129:129" x14ac:dyDescent="0.2">
      <c r="DY7668" s="185" t="s">
        <v>215</v>
      </c>
    </row>
    <row r="7669" spans="129:129" x14ac:dyDescent="0.2">
      <c r="DY7669" s="185" t="s">
        <v>215</v>
      </c>
    </row>
    <row r="7670" spans="129:129" x14ac:dyDescent="0.2">
      <c r="DY7670" s="185" t="s">
        <v>215</v>
      </c>
    </row>
    <row r="7671" spans="129:129" x14ac:dyDescent="0.2">
      <c r="DY7671" s="185" t="s">
        <v>215</v>
      </c>
    </row>
    <row r="7672" spans="129:129" x14ac:dyDescent="0.2">
      <c r="DY7672" s="185" t="s">
        <v>215</v>
      </c>
    </row>
    <row r="7673" spans="129:129" x14ac:dyDescent="0.2">
      <c r="DY7673" s="185" t="s">
        <v>215</v>
      </c>
    </row>
    <row r="7674" spans="129:129" x14ac:dyDescent="0.2">
      <c r="DY7674" s="185" t="s">
        <v>215</v>
      </c>
    </row>
    <row r="7675" spans="129:129" x14ac:dyDescent="0.2">
      <c r="DY7675" s="185" t="s">
        <v>215</v>
      </c>
    </row>
    <row r="7676" spans="129:129" x14ac:dyDescent="0.2">
      <c r="DY7676" s="185" t="s">
        <v>215</v>
      </c>
    </row>
    <row r="7677" spans="129:129" x14ac:dyDescent="0.2">
      <c r="DY7677" s="185" t="s">
        <v>215</v>
      </c>
    </row>
    <row r="7678" spans="129:129" x14ac:dyDescent="0.2">
      <c r="DY7678" s="185" t="s">
        <v>215</v>
      </c>
    </row>
    <row r="7679" spans="129:129" x14ac:dyDescent="0.2">
      <c r="DY7679" s="185" t="s">
        <v>215</v>
      </c>
    </row>
    <row r="7680" spans="129:129" x14ac:dyDescent="0.2">
      <c r="DY7680" s="185" t="s">
        <v>215</v>
      </c>
    </row>
    <row r="7681" spans="129:129" x14ac:dyDescent="0.2">
      <c r="DY7681" s="185" t="s">
        <v>215</v>
      </c>
    </row>
    <row r="7682" spans="129:129" x14ac:dyDescent="0.2">
      <c r="DY7682" s="185" t="s">
        <v>215</v>
      </c>
    </row>
    <row r="7683" spans="129:129" x14ac:dyDescent="0.2">
      <c r="DY7683" s="185" t="s">
        <v>215</v>
      </c>
    </row>
    <row r="7684" spans="129:129" x14ac:dyDescent="0.2">
      <c r="DY7684" s="185" t="s">
        <v>215</v>
      </c>
    </row>
    <row r="7685" spans="129:129" x14ac:dyDescent="0.2">
      <c r="DY7685" s="185" t="s">
        <v>215</v>
      </c>
    </row>
    <row r="7686" spans="129:129" x14ac:dyDescent="0.2">
      <c r="DY7686" s="185" t="s">
        <v>215</v>
      </c>
    </row>
    <row r="7687" spans="129:129" x14ac:dyDescent="0.2">
      <c r="DY7687" s="185" t="s">
        <v>215</v>
      </c>
    </row>
    <row r="7688" spans="129:129" x14ac:dyDescent="0.2">
      <c r="DY7688" s="185" t="s">
        <v>215</v>
      </c>
    </row>
    <row r="7689" spans="129:129" x14ac:dyDescent="0.2">
      <c r="DY7689" s="185" t="s">
        <v>215</v>
      </c>
    </row>
    <row r="7690" spans="129:129" x14ac:dyDescent="0.2">
      <c r="DY7690" s="185" t="s">
        <v>215</v>
      </c>
    </row>
    <row r="7691" spans="129:129" x14ac:dyDescent="0.2">
      <c r="DY7691" s="185" t="s">
        <v>215</v>
      </c>
    </row>
    <row r="7692" spans="129:129" x14ac:dyDescent="0.2">
      <c r="DY7692" s="185" t="s">
        <v>215</v>
      </c>
    </row>
    <row r="7693" spans="129:129" x14ac:dyDescent="0.2">
      <c r="DY7693" s="185" t="s">
        <v>215</v>
      </c>
    </row>
    <row r="7694" spans="129:129" x14ac:dyDescent="0.2">
      <c r="DY7694" s="185" t="s">
        <v>215</v>
      </c>
    </row>
    <row r="7695" spans="129:129" x14ac:dyDescent="0.2">
      <c r="DY7695" s="185" t="s">
        <v>215</v>
      </c>
    </row>
    <row r="7696" spans="129:129" x14ac:dyDescent="0.2">
      <c r="DY7696" s="185" t="s">
        <v>215</v>
      </c>
    </row>
    <row r="7697" spans="129:129" x14ac:dyDescent="0.2">
      <c r="DY7697" s="185" t="s">
        <v>215</v>
      </c>
    </row>
    <row r="7698" spans="129:129" x14ac:dyDescent="0.2">
      <c r="DY7698" s="185" t="s">
        <v>215</v>
      </c>
    </row>
    <row r="7699" spans="129:129" x14ac:dyDescent="0.2">
      <c r="DY7699" s="185" t="s">
        <v>215</v>
      </c>
    </row>
    <row r="7700" spans="129:129" x14ac:dyDescent="0.2">
      <c r="DY7700" s="185" t="s">
        <v>215</v>
      </c>
    </row>
    <row r="7701" spans="129:129" x14ac:dyDescent="0.2">
      <c r="DY7701" s="185" t="s">
        <v>215</v>
      </c>
    </row>
    <row r="7702" spans="129:129" x14ac:dyDescent="0.2">
      <c r="DY7702" s="185" t="s">
        <v>215</v>
      </c>
    </row>
    <row r="7703" spans="129:129" x14ac:dyDescent="0.2">
      <c r="DY7703" s="185" t="s">
        <v>215</v>
      </c>
    </row>
    <row r="7704" spans="129:129" x14ac:dyDescent="0.2">
      <c r="DY7704" s="185" t="s">
        <v>215</v>
      </c>
    </row>
    <row r="7705" spans="129:129" x14ac:dyDescent="0.2">
      <c r="DY7705" s="185" t="s">
        <v>215</v>
      </c>
    </row>
    <row r="7706" spans="129:129" x14ac:dyDescent="0.2">
      <c r="DY7706" s="185" t="s">
        <v>215</v>
      </c>
    </row>
    <row r="7707" spans="129:129" x14ac:dyDescent="0.2">
      <c r="DY7707" s="185" t="s">
        <v>215</v>
      </c>
    </row>
    <row r="7708" spans="129:129" x14ac:dyDescent="0.2">
      <c r="DY7708" s="185" t="s">
        <v>215</v>
      </c>
    </row>
    <row r="7709" spans="129:129" x14ac:dyDescent="0.2">
      <c r="DY7709" s="185" t="s">
        <v>215</v>
      </c>
    </row>
    <row r="7710" spans="129:129" x14ac:dyDescent="0.2">
      <c r="DY7710" s="185" t="s">
        <v>215</v>
      </c>
    </row>
    <row r="7711" spans="129:129" x14ac:dyDescent="0.2">
      <c r="DY7711" s="185" t="s">
        <v>215</v>
      </c>
    </row>
    <row r="7712" spans="129:129" x14ac:dyDescent="0.2">
      <c r="DY7712" s="185" t="s">
        <v>215</v>
      </c>
    </row>
    <row r="7713" spans="129:129" x14ac:dyDescent="0.2">
      <c r="DY7713" s="185" t="s">
        <v>215</v>
      </c>
    </row>
    <row r="7714" spans="129:129" x14ac:dyDescent="0.2">
      <c r="DY7714" s="185" t="s">
        <v>215</v>
      </c>
    </row>
    <row r="7715" spans="129:129" x14ac:dyDescent="0.2">
      <c r="DY7715" s="185" t="s">
        <v>215</v>
      </c>
    </row>
    <row r="7716" spans="129:129" x14ac:dyDescent="0.2">
      <c r="DY7716" s="185" t="s">
        <v>215</v>
      </c>
    </row>
    <row r="7717" spans="129:129" x14ac:dyDescent="0.2">
      <c r="DY7717" s="185" t="s">
        <v>215</v>
      </c>
    </row>
    <row r="7718" spans="129:129" x14ac:dyDescent="0.2">
      <c r="DY7718" s="185" t="s">
        <v>215</v>
      </c>
    </row>
    <row r="7719" spans="129:129" x14ac:dyDescent="0.2">
      <c r="DY7719" s="185" t="s">
        <v>215</v>
      </c>
    </row>
    <row r="7720" spans="129:129" x14ac:dyDescent="0.2">
      <c r="DY7720" s="185" t="s">
        <v>215</v>
      </c>
    </row>
    <row r="7721" spans="129:129" x14ac:dyDescent="0.2">
      <c r="DY7721" s="185" t="s">
        <v>215</v>
      </c>
    </row>
    <row r="7722" spans="129:129" x14ac:dyDescent="0.2">
      <c r="DY7722" s="185" t="s">
        <v>215</v>
      </c>
    </row>
    <row r="7723" spans="129:129" x14ac:dyDescent="0.2">
      <c r="DY7723" s="185" t="s">
        <v>215</v>
      </c>
    </row>
    <row r="7724" spans="129:129" x14ac:dyDescent="0.2">
      <c r="DY7724" s="185" t="s">
        <v>215</v>
      </c>
    </row>
    <row r="7725" spans="129:129" x14ac:dyDescent="0.2">
      <c r="DY7725" s="185" t="s">
        <v>215</v>
      </c>
    </row>
    <row r="7726" spans="129:129" x14ac:dyDescent="0.2">
      <c r="DY7726" s="185" t="s">
        <v>215</v>
      </c>
    </row>
    <row r="7727" spans="129:129" x14ac:dyDescent="0.2">
      <c r="DY7727" s="185" t="s">
        <v>215</v>
      </c>
    </row>
    <row r="7728" spans="129:129" x14ac:dyDescent="0.2">
      <c r="DY7728" s="185" t="s">
        <v>215</v>
      </c>
    </row>
    <row r="7729" spans="129:129" x14ac:dyDescent="0.2">
      <c r="DY7729" s="185" t="s">
        <v>215</v>
      </c>
    </row>
    <row r="7730" spans="129:129" x14ac:dyDescent="0.2">
      <c r="DY7730" s="185" t="s">
        <v>215</v>
      </c>
    </row>
    <row r="7731" spans="129:129" x14ac:dyDescent="0.2">
      <c r="DY7731" s="185" t="s">
        <v>215</v>
      </c>
    </row>
    <row r="7732" spans="129:129" x14ac:dyDescent="0.2">
      <c r="DY7732" s="185" t="s">
        <v>215</v>
      </c>
    </row>
    <row r="7733" spans="129:129" x14ac:dyDescent="0.2">
      <c r="DY7733" s="185" t="s">
        <v>215</v>
      </c>
    </row>
    <row r="7734" spans="129:129" x14ac:dyDescent="0.2">
      <c r="DY7734" s="185" t="s">
        <v>215</v>
      </c>
    </row>
    <row r="7735" spans="129:129" x14ac:dyDescent="0.2">
      <c r="DY7735" s="185" t="s">
        <v>215</v>
      </c>
    </row>
    <row r="7736" spans="129:129" x14ac:dyDescent="0.2">
      <c r="DY7736" s="185" t="s">
        <v>215</v>
      </c>
    </row>
    <row r="7737" spans="129:129" x14ac:dyDescent="0.2">
      <c r="DY7737" s="185" t="s">
        <v>215</v>
      </c>
    </row>
    <row r="7738" spans="129:129" x14ac:dyDescent="0.2">
      <c r="DY7738" s="185" t="s">
        <v>215</v>
      </c>
    </row>
    <row r="7739" spans="129:129" x14ac:dyDescent="0.2">
      <c r="DY7739" s="185" t="s">
        <v>215</v>
      </c>
    </row>
    <row r="7740" spans="129:129" x14ac:dyDescent="0.2">
      <c r="DY7740" s="185" t="s">
        <v>215</v>
      </c>
    </row>
    <row r="7741" spans="129:129" x14ac:dyDescent="0.2">
      <c r="DY7741" s="185" t="s">
        <v>215</v>
      </c>
    </row>
    <row r="7742" spans="129:129" x14ac:dyDescent="0.2">
      <c r="DY7742" s="185" t="s">
        <v>215</v>
      </c>
    </row>
    <row r="7743" spans="129:129" x14ac:dyDescent="0.2">
      <c r="DY7743" s="185" t="s">
        <v>215</v>
      </c>
    </row>
    <row r="7744" spans="129:129" x14ac:dyDescent="0.2">
      <c r="DY7744" s="185" t="s">
        <v>215</v>
      </c>
    </row>
    <row r="7745" spans="129:129" x14ac:dyDescent="0.2">
      <c r="DY7745" s="185" t="s">
        <v>215</v>
      </c>
    </row>
    <row r="7746" spans="129:129" x14ac:dyDescent="0.2">
      <c r="DY7746" s="185" t="s">
        <v>215</v>
      </c>
    </row>
    <row r="7747" spans="129:129" x14ac:dyDescent="0.2">
      <c r="DY7747" s="185" t="s">
        <v>215</v>
      </c>
    </row>
    <row r="7748" spans="129:129" x14ac:dyDescent="0.2">
      <c r="DY7748" s="185" t="s">
        <v>215</v>
      </c>
    </row>
    <row r="7749" spans="129:129" x14ac:dyDescent="0.2">
      <c r="DY7749" s="185" t="s">
        <v>215</v>
      </c>
    </row>
    <row r="7750" spans="129:129" x14ac:dyDescent="0.2">
      <c r="DY7750" s="185" t="s">
        <v>215</v>
      </c>
    </row>
    <row r="7751" spans="129:129" x14ac:dyDescent="0.2">
      <c r="DY7751" s="185" t="s">
        <v>215</v>
      </c>
    </row>
    <row r="7752" spans="129:129" x14ac:dyDescent="0.2">
      <c r="DY7752" s="185" t="s">
        <v>215</v>
      </c>
    </row>
    <row r="7753" spans="129:129" x14ac:dyDescent="0.2">
      <c r="DY7753" s="185" t="s">
        <v>215</v>
      </c>
    </row>
    <row r="7754" spans="129:129" x14ac:dyDescent="0.2">
      <c r="DY7754" s="185" t="s">
        <v>215</v>
      </c>
    </row>
    <row r="7755" spans="129:129" x14ac:dyDescent="0.2">
      <c r="DY7755" s="185" t="s">
        <v>215</v>
      </c>
    </row>
    <row r="7756" spans="129:129" x14ac:dyDescent="0.2">
      <c r="DY7756" s="185" t="s">
        <v>215</v>
      </c>
    </row>
    <row r="7757" spans="129:129" x14ac:dyDescent="0.2">
      <c r="DY7757" s="185" t="s">
        <v>215</v>
      </c>
    </row>
    <row r="7758" spans="129:129" x14ac:dyDescent="0.2">
      <c r="DY7758" s="185" t="s">
        <v>215</v>
      </c>
    </row>
    <row r="7759" spans="129:129" x14ac:dyDescent="0.2">
      <c r="DY7759" s="185" t="s">
        <v>215</v>
      </c>
    </row>
    <row r="7760" spans="129:129" x14ac:dyDescent="0.2">
      <c r="DY7760" s="185" t="s">
        <v>215</v>
      </c>
    </row>
    <row r="7761" spans="129:129" x14ac:dyDescent="0.2">
      <c r="DY7761" s="185" t="s">
        <v>215</v>
      </c>
    </row>
    <row r="7762" spans="129:129" x14ac:dyDescent="0.2">
      <c r="DY7762" s="185" t="s">
        <v>215</v>
      </c>
    </row>
    <row r="7763" spans="129:129" x14ac:dyDescent="0.2">
      <c r="DY7763" s="185" t="s">
        <v>215</v>
      </c>
    </row>
    <row r="7764" spans="129:129" x14ac:dyDescent="0.2">
      <c r="DY7764" s="185" t="s">
        <v>215</v>
      </c>
    </row>
    <row r="7765" spans="129:129" x14ac:dyDescent="0.2">
      <c r="DY7765" s="185" t="s">
        <v>215</v>
      </c>
    </row>
    <row r="7766" spans="129:129" x14ac:dyDescent="0.2">
      <c r="DY7766" s="185" t="s">
        <v>215</v>
      </c>
    </row>
    <row r="7767" spans="129:129" x14ac:dyDescent="0.2">
      <c r="DY7767" s="185" t="s">
        <v>215</v>
      </c>
    </row>
    <row r="7768" spans="129:129" x14ac:dyDescent="0.2">
      <c r="DY7768" s="185" t="s">
        <v>215</v>
      </c>
    </row>
    <row r="7769" spans="129:129" x14ac:dyDescent="0.2">
      <c r="DY7769" s="185" t="s">
        <v>215</v>
      </c>
    </row>
    <row r="7770" spans="129:129" x14ac:dyDescent="0.2">
      <c r="DY7770" s="185" t="s">
        <v>215</v>
      </c>
    </row>
    <row r="7771" spans="129:129" x14ac:dyDescent="0.2">
      <c r="DY7771" s="185" t="s">
        <v>215</v>
      </c>
    </row>
    <row r="7772" spans="129:129" x14ac:dyDescent="0.2">
      <c r="DY7772" s="185" t="s">
        <v>215</v>
      </c>
    </row>
    <row r="7773" spans="129:129" x14ac:dyDescent="0.2">
      <c r="DY7773" s="185" t="s">
        <v>215</v>
      </c>
    </row>
    <row r="7774" spans="129:129" x14ac:dyDescent="0.2">
      <c r="DY7774" s="185" t="s">
        <v>215</v>
      </c>
    </row>
    <row r="7775" spans="129:129" x14ac:dyDescent="0.2">
      <c r="DY7775" s="185" t="s">
        <v>215</v>
      </c>
    </row>
    <row r="7776" spans="129:129" x14ac:dyDescent="0.2">
      <c r="DY7776" s="185" t="s">
        <v>215</v>
      </c>
    </row>
    <row r="7777" spans="129:129" x14ac:dyDescent="0.2">
      <c r="DY7777" s="185" t="s">
        <v>215</v>
      </c>
    </row>
    <row r="7778" spans="129:129" x14ac:dyDescent="0.2">
      <c r="DY7778" s="185" t="s">
        <v>215</v>
      </c>
    </row>
    <row r="7779" spans="129:129" x14ac:dyDescent="0.2">
      <c r="DY7779" s="185" t="s">
        <v>215</v>
      </c>
    </row>
    <row r="7780" spans="129:129" x14ac:dyDescent="0.2">
      <c r="DY7780" s="185" t="s">
        <v>215</v>
      </c>
    </row>
    <row r="7781" spans="129:129" x14ac:dyDescent="0.2">
      <c r="DY7781" s="185" t="s">
        <v>215</v>
      </c>
    </row>
    <row r="7782" spans="129:129" x14ac:dyDescent="0.2">
      <c r="DY7782" s="185" t="s">
        <v>215</v>
      </c>
    </row>
    <row r="7783" spans="129:129" x14ac:dyDescent="0.2">
      <c r="DY7783" s="185" t="s">
        <v>215</v>
      </c>
    </row>
    <row r="7784" spans="129:129" x14ac:dyDescent="0.2">
      <c r="DY7784" s="185" t="s">
        <v>215</v>
      </c>
    </row>
    <row r="7785" spans="129:129" x14ac:dyDescent="0.2">
      <c r="DY7785" s="185" t="s">
        <v>215</v>
      </c>
    </row>
    <row r="7786" spans="129:129" x14ac:dyDescent="0.2">
      <c r="DY7786" s="185" t="s">
        <v>215</v>
      </c>
    </row>
    <row r="7787" spans="129:129" x14ac:dyDescent="0.2">
      <c r="DY7787" s="185" t="s">
        <v>215</v>
      </c>
    </row>
    <row r="7788" spans="129:129" x14ac:dyDescent="0.2">
      <c r="DY7788" s="185" t="s">
        <v>215</v>
      </c>
    </row>
    <row r="7789" spans="129:129" x14ac:dyDescent="0.2">
      <c r="DY7789" s="185" t="s">
        <v>215</v>
      </c>
    </row>
    <row r="7790" spans="129:129" x14ac:dyDescent="0.2">
      <c r="DY7790" s="185" t="s">
        <v>215</v>
      </c>
    </row>
    <row r="7791" spans="129:129" x14ac:dyDescent="0.2">
      <c r="DY7791" s="185" t="s">
        <v>215</v>
      </c>
    </row>
    <row r="7792" spans="129:129" x14ac:dyDescent="0.2">
      <c r="DY7792" s="185" t="s">
        <v>215</v>
      </c>
    </row>
    <row r="7793" spans="129:129" x14ac:dyDescent="0.2">
      <c r="DY7793" s="185" t="s">
        <v>215</v>
      </c>
    </row>
    <row r="7794" spans="129:129" x14ac:dyDescent="0.2">
      <c r="DY7794" s="185" t="s">
        <v>215</v>
      </c>
    </row>
    <row r="7795" spans="129:129" x14ac:dyDescent="0.2">
      <c r="DY7795" s="185" t="s">
        <v>215</v>
      </c>
    </row>
    <row r="7796" spans="129:129" x14ac:dyDescent="0.2">
      <c r="DY7796" s="185" t="s">
        <v>215</v>
      </c>
    </row>
    <row r="7797" spans="129:129" x14ac:dyDescent="0.2">
      <c r="DY7797" s="185" t="s">
        <v>215</v>
      </c>
    </row>
    <row r="7798" spans="129:129" x14ac:dyDescent="0.2">
      <c r="DY7798" s="185" t="s">
        <v>215</v>
      </c>
    </row>
    <row r="7799" spans="129:129" x14ac:dyDescent="0.2">
      <c r="DY7799" s="185" t="s">
        <v>215</v>
      </c>
    </row>
    <row r="7800" spans="129:129" x14ac:dyDescent="0.2">
      <c r="DY7800" s="185" t="s">
        <v>215</v>
      </c>
    </row>
    <row r="7801" spans="129:129" x14ac:dyDescent="0.2">
      <c r="DY7801" s="185" t="s">
        <v>215</v>
      </c>
    </row>
    <row r="7802" spans="129:129" x14ac:dyDescent="0.2">
      <c r="DY7802" s="185" t="s">
        <v>215</v>
      </c>
    </row>
    <row r="7803" spans="129:129" x14ac:dyDescent="0.2">
      <c r="DY7803" s="185" t="s">
        <v>215</v>
      </c>
    </row>
    <row r="7804" spans="129:129" x14ac:dyDescent="0.2">
      <c r="DY7804" s="185" t="s">
        <v>215</v>
      </c>
    </row>
    <row r="7805" spans="129:129" x14ac:dyDescent="0.2">
      <c r="DY7805" s="185" t="s">
        <v>215</v>
      </c>
    </row>
    <row r="7806" spans="129:129" x14ac:dyDescent="0.2">
      <c r="DY7806" s="185" t="s">
        <v>215</v>
      </c>
    </row>
    <row r="7807" spans="129:129" x14ac:dyDescent="0.2">
      <c r="DY7807" s="185" t="s">
        <v>215</v>
      </c>
    </row>
    <row r="7808" spans="129:129" x14ac:dyDescent="0.2">
      <c r="DY7808" s="185" t="s">
        <v>215</v>
      </c>
    </row>
    <row r="7809" spans="129:129" x14ac:dyDescent="0.2">
      <c r="DY7809" s="185" t="s">
        <v>215</v>
      </c>
    </row>
    <row r="7810" spans="129:129" x14ac:dyDescent="0.2">
      <c r="DY7810" s="185" t="s">
        <v>215</v>
      </c>
    </row>
    <row r="7811" spans="129:129" x14ac:dyDescent="0.2">
      <c r="DY7811" s="185" t="s">
        <v>215</v>
      </c>
    </row>
    <row r="7812" spans="129:129" x14ac:dyDescent="0.2">
      <c r="DY7812" s="185" t="s">
        <v>215</v>
      </c>
    </row>
    <row r="7813" spans="129:129" x14ac:dyDescent="0.2">
      <c r="DY7813" s="185" t="s">
        <v>215</v>
      </c>
    </row>
    <row r="7814" spans="129:129" x14ac:dyDescent="0.2">
      <c r="DY7814" s="185" t="s">
        <v>215</v>
      </c>
    </row>
    <row r="7815" spans="129:129" x14ac:dyDescent="0.2">
      <c r="DY7815" s="185" t="s">
        <v>215</v>
      </c>
    </row>
    <row r="7816" spans="129:129" x14ac:dyDescent="0.2">
      <c r="DY7816" s="185" t="s">
        <v>215</v>
      </c>
    </row>
    <row r="7817" spans="129:129" x14ac:dyDescent="0.2">
      <c r="DY7817" s="185" t="s">
        <v>215</v>
      </c>
    </row>
    <row r="7818" spans="129:129" x14ac:dyDescent="0.2">
      <c r="DY7818" s="185" t="s">
        <v>215</v>
      </c>
    </row>
    <row r="7819" spans="129:129" x14ac:dyDescent="0.2">
      <c r="DY7819" s="185" t="s">
        <v>215</v>
      </c>
    </row>
    <row r="7820" spans="129:129" x14ac:dyDescent="0.2">
      <c r="DY7820" s="185" t="s">
        <v>215</v>
      </c>
    </row>
    <row r="7821" spans="129:129" x14ac:dyDescent="0.2">
      <c r="DY7821" s="185" t="s">
        <v>215</v>
      </c>
    </row>
    <row r="7822" spans="129:129" x14ac:dyDescent="0.2">
      <c r="DY7822" s="185" t="s">
        <v>215</v>
      </c>
    </row>
    <row r="7823" spans="129:129" x14ac:dyDescent="0.2">
      <c r="DY7823" s="185" t="s">
        <v>215</v>
      </c>
    </row>
    <row r="7824" spans="129:129" x14ac:dyDescent="0.2">
      <c r="DY7824" s="185" t="s">
        <v>215</v>
      </c>
    </row>
    <row r="7825" spans="129:129" x14ac:dyDescent="0.2">
      <c r="DY7825" s="185" t="s">
        <v>215</v>
      </c>
    </row>
    <row r="7826" spans="129:129" x14ac:dyDescent="0.2">
      <c r="DY7826" s="185" t="s">
        <v>215</v>
      </c>
    </row>
    <row r="7827" spans="129:129" x14ac:dyDescent="0.2">
      <c r="DY7827" s="185" t="s">
        <v>215</v>
      </c>
    </row>
    <row r="7828" spans="129:129" x14ac:dyDescent="0.2">
      <c r="DY7828" s="185" t="s">
        <v>215</v>
      </c>
    </row>
    <row r="7829" spans="129:129" x14ac:dyDescent="0.2">
      <c r="DY7829" s="185" t="s">
        <v>215</v>
      </c>
    </row>
    <row r="7830" spans="129:129" x14ac:dyDescent="0.2">
      <c r="DY7830" s="185" t="s">
        <v>215</v>
      </c>
    </row>
    <row r="7831" spans="129:129" x14ac:dyDescent="0.2">
      <c r="DY7831" s="185" t="s">
        <v>215</v>
      </c>
    </row>
    <row r="7832" spans="129:129" x14ac:dyDescent="0.2">
      <c r="DY7832" s="185" t="s">
        <v>215</v>
      </c>
    </row>
    <row r="7833" spans="129:129" x14ac:dyDescent="0.2">
      <c r="DY7833" s="185" t="s">
        <v>215</v>
      </c>
    </row>
    <row r="7834" spans="129:129" x14ac:dyDescent="0.2">
      <c r="DY7834" s="185" t="s">
        <v>215</v>
      </c>
    </row>
    <row r="7835" spans="129:129" x14ac:dyDescent="0.2">
      <c r="DY7835" s="185" t="s">
        <v>215</v>
      </c>
    </row>
    <row r="7836" spans="129:129" x14ac:dyDescent="0.2">
      <c r="DY7836" s="185" t="s">
        <v>215</v>
      </c>
    </row>
    <row r="7837" spans="129:129" x14ac:dyDescent="0.2">
      <c r="DY7837" s="185" t="s">
        <v>215</v>
      </c>
    </row>
    <row r="7838" spans="129:129" x14ac:dyDescent="0.2">
      <c r="DY7838" s="185" t="s">
        <v>215</v>
      </c>
    </row>
    <row r="7839" spans="129:129" x14ac:dyDescent="0.2">
      <c r="DY7839" s="185" t="s">
        <v>215</v>
      </c>
    </row>
    <row r="7840" spans="129:129" x14ac:dyDescent="0.2">
      <c r="DY7840" s="185" t="s">
        <v>215</v>
      </c>
    </row>
    <row r="7841" spans="129:129" x14ac:dyDescent="0.2">
      <c r="DY7841" s="185" t="s">
        <v>215</v>
      </c>
    </row>
    <row r="7842" spans="129:129" x14ac:dyDescent="0.2">
      <c r="DY7842" s="185" t="s">
        <v>215</v>
      </c>
    </row>
    <row r="7843" spans="129:129" x14ac:dyDescent="0.2">
      <c r="DY7843" s="185" t="s">
        <v>215</v>
      </c>
    </row>
    <row r="7844" spans="129:129" x14ac:dyDescent="0.2">
      <c r="DY7844" s="185" t="s">
        <v>215</v>
      </c>
    </row>
    <row r="7845" spans="129:129" x14ac:dyDescent="0.2">
      <c r="DY7845" s="185" t="s">
        <v>215</v>
      </c>
    </row>
    <row r="7846" spans="129:129" x14ac:dyDescent="0.2">
      <c r="DY7846" s="185" t="s">
        <v>215</v>
      </c>
    </row>
    <row r="7847" spans="129:129" x14ac:dyDescent="0.2">
      <c r="DY7847" s="185" t="s">
        <v>215</v>
      </c>
    </row>
    <row r="7848" spans="129:129" x14ac:dyDescent="0.2">
      <c r="DY7848" s="185" t="s">
        <v>215</v>
      </c>
    </row>
    <row r="7849" spans="129:129" x14ac:dyDescent="0.2">
      <c r="DY7849" s="185" t="s">
        <v>215</v>
      </c>
    </row>
    <row r="7850" spans="129:129" x14ac:dyDescent="0.2">
      <c r="DY7850" s="185" t="s">
        <v>215</v>
      </c>
    </row>
    <row r="7851" spans="129:129" x14ac:dyDescent="0.2">
      <c r="DY7851" s="185" t="s">
        <v>215</v>
      </c>
    </row>
    <row r="7852" spans="129:129" x14ac:dyDescent="0.2">
      <c r="DY7852" s="185" t="s">
        <v>215</v>
      </c>
    </row>
    <row r="7853" spans="129:129" x14ac:dyDescent="0.2">
      <c r="DY7853" s="185" t="s">
        <v>215</v>
      </c>
    </row>
    <row r="7854" spans="129:129" x14ac:dyDescent="0.2">
      <c r="DY7854" s="185" t="s">
        <v>215</v>
      </c>
    </row>
    <row r="7855" spans="129:129" x14ac:dyDescent="0.2">
      <c r="DY7855" s="185" t="s">
        <v>215</v>
      </c>
    </row>
    <row r="7856" spans="129:129" x14ac:dyDescent="0.2">
      <c r="DY7856" s="185" t="s">
        <v>215</v>
      </c>
    </row>
    <row r="7857" spans="129:129" x14ac:dyDescent="0.2">
      <c r="DY7857" s="185" t="s">
        <v>215</v>
      </c>
    </row>
    <row r="7858" spans="129:129" x14ac:dyDescent="0.2">
      <c r="DY7858" s="185" t="s">
        <v>215</v>
      </c>
    </row>
    <row r="7859" spans="129:129" x14ac:dyDescent="0.2">
      <c r="DY7859" s="185" t="s">
        <v>215</v>
      </c>
    </row>
    <row r="7860" spans="129:129" x14ac:dyDescent="0.2">
      <c r="DY7860" s="185" t="s">
        <v>215</v>
      </c>
    </row>
    <row r="7861" spans="129:129" x14ac:dyDescent="0.2">
      <c r="DY7861" s="185" t="s">
        <v>215</v>
      </c>
    </row>
    <row r="7862" spans="129:129" x14ac:dyDescent="0.2">
      <c r="DY7862" s="185" t="s">
        <v>215</v>
      </c>
    </row>
    <row r="7863" spans="129:129" x14ac:dyDescent="0.2">
      <c r="DY7863" s="185" t="s">
        <v>215</v>
      </c>
    </row>
    <row r="7864" spans="129:129" x14ac:dyDescent="0.2">
      <c r="DY7864" s="185" t="s">
        <v>215</v>
      </c>
    </row>
    <row r="7865" spans="129:129" x14ac:dyDescent="0.2">
      <c r="DY7865" s="185" t="s">
        <v>215</v>
      </c>
    </row>
    <row r="7866" spans="129:129" x14ac:dyDescent="0.2">
      <c r="DY7866" s="185" t="s">
        <v>215</v>
      </c>
    </row>
    <row r="7867" spans="129:129" x14ac:dyDescent="0.2">
      <c r="DY7867" s="185" t="s">
        <v>215</v>
      </c>
    </row>
    <row r="7868" spans="129:129" x14ac:dyDescent="0.2">
      <c r="DY7868" s="185" t="s">
        <v>215</v>
      </c>
    </row>
    <row r="7869" spans="129:129" x14ac:dyDescent="0.2">
      <c r="DY7869" s="185" t="s">
        <v>215</v>
      </c>
    </row>
    <row r="7870" spans="129:129" x14ac:dyDescent="0.2">
      <c r="DY7870" s="185" t="s">
        <v>215</v>
      </c>
    </row>
    <row r="7871" spans="129:129" x14ac:dyDescent="0.2">
      <c r="DY7871" s="185" t="s">
        <v>215</v>
      </c>
    </row>
    <row r="7872" spans="129:129" x14ac:dyDescent="0.2">
      <c r="DY7872" s="185" t="s">
        <v>215</v>
      </c>
    </row>
    <row r="7873" spans="129:129" x14ac:dyDescent="0.2">
      <c r="DY7873" s="185" t="s">
        <v>215</v>
      </c>
    </row>
    <row r="7874" spans="129:129" x14ac:dyDescent="0.2">
      <c r="DY7874" s="185" t="s">
        <v>215</v>
      </c>
    </row>
    <row r="7875" spans="129:129" x14ac:dyDescent="0.2">
      <c r="DY7875" s="185" t="s">
        <v>215</v>
      </c>
    </row>
    <row r="7876" spans="129:129" x14ac:dyDescent="0.2">
      <c r="DY7876" s="185" t="s">
        <v>215</v>
      </c>
    </row>
    <row r="7877" spans="129:129" x14ac:dyDescent="0.2">
      <c r="DY7877" s="185" t="s">
        <v>215</v>
      </c>
    </row>
    <row r="7878" spans="129:129" x14ac:dyDescent="0.2">
      <c r="DY7878" s="185" t="s">
        <v>215</v>
      </c>
    </row>
    <row r="7879" spans="129:129" x14ac:dyDescent="0.2">
      <c r="DY7879" s="185" t="s">
        <v>215</v>
      </c>
    </row>
    <row r="7880" spans="129:129" x14ac:dyDescent="0.2">
      <c r="DY7880" s="185" t="s">
        <v>215</v>
      </c>
    </row>
    <row r="7881" spans="129:129" x14ac:dyDescent="0.2">
      <c r="DY7881" s="185" t="s">
        <v>215</v>
      </c>
    </row>
    <row r="7882" spans="129:129" x14ac:dyDescent="0.2">
      <c r="DY7882" s="185" t="s">
        <v>215</v>
      </c>
    </row>
    <row r="7883" spans="129:129" x14ac:dyDescent="0.2">
      <c r="DY7883" s="185" t="s">
        <v>215</v>
      </c>
    </row>
    <row r="7884" spans="129:129" x14ac:dyDescent="0.2">
      <c r="DY7884" s="185" t="s">
        <v>215</v>
      </c>
    </row>
    <row r="7885" spans="129:129" x14ac:dyDescent="0.2">
      <c r="DY7885" s="185" t="s">
        <v>215</v>
      </c>
    </row>
    <row r="7886" spans="129:129" x14ac:dyDescent="0.2">
      <c r="DY7886" s="185" t="s">
        <v>215</v>
      </c>
    </row>
    <row r="7887" spans="129:129" x14ac:dyDescent="0.2">
      <c r="DY7887" s="185" t="s">
        <v>215</v>
      </c>
    </row>
    <row r="7888" spans="129:129" x14ac:dyDescent="0.2">
      <c r="DY7888" s="185" t="s">
        <v>215</v>
      </c>
    </row>
    <row r="7889" spans="129:129" x14ac:dyDescent="0.2">
      <c r="DY7889" s="185" t="s">
        <v>215</v>
      </c>
    </row>
    <row r="7890" spans="129:129" x14ac:dyDescent="0.2">
      <c r="DY7890" s="185" t="s">
        <v>215</v>
      </c>
    </row>
    <row r="7891" spans="129:129" x14ac:dyDescent="0.2">
      <c r="DY7891" s="185" t="s">
        <v>215</v>
      </c>
    </row>
    <row r="7892" spans="129:129" x14ac:dyDescent="0.2">
      <c r="DY7892" s="185" t="s">
        <v>215</v>
      </c>
    </row>
    <row r="7893" spans="129:129" x14ac:dyDescent="0.2">
      <c r="DY7893" s="185" t="s">
        <v>215</v>
      </c>
    </row>
    <row r="7894" spans="129:129" x14ac:dyDescent="0.2">
      <c r="DY7894" s="185" t="s">
        <v>215</v>
      </c>
    </row>
    <row r="7895" spans="129:129" x14ac:dyDescent="0.2">
      <c r="DY7895" s="185" t="s">
        <v>215</v>
      </c>
    </row>
    <row r="7896" spans="129:129" x14ac:dyDescent="0.2">
      <c r="DY7896" s="185" t="s">
        <v>215</v>
      </c>
    </row>
    <row r="7897" spans="129:129" x14ac:dyDescent="0.2">
      <c r="DY7897" s="185" t="s">
        <v>215</v>
      </c>
    </row>
    <row r="7898" spans="129:129" x14ac:dyDescent="0.2">
      <c r="DY7898" s="185" t="s">
        <v>215</v>
      </c>
    </row>
    <row r="7899" spans="129:129" x14ac:dyDescent="0.2">
      <c r="DY7899" s="185" t="s">
        <v>215</v>
      </c>
    </row>
    <row r="7900" spans="129:129" x14ac:dyDescent="0.2">
      <c r="DY7900" s="185" t="s">
        <v>215</v>
      </c>
    </row>
    <row r="7901" spans="129:129" x14ac:dyDescent="0.2">
      <c r="DY7901" s="185" t="s">
        <v>215</v>
      </c>
    </row>
    <row r="7902" spans="129:129" x14ac:dyDescent="0.2">
      <c r="DY7902" s="185" t="s">
        <v>215</v>
      </c>
    </row>
    <row r="7903" spans="129:129" x14ac:dyDescent="0.2">
      <c r="DY7903" s="185" t="s">
        <v>215</v>
      </c>
    </row>
    <row r="7904" spans="129:129" x14ac:dyDescent="0.2">
      <c r="DY7904" s="185" t="s">
        <v>215</v>
      </c>
    </row>
    <row r="7905" spans="129:129" x14ac:dyDescent="0.2">
      <c r="DY7905" s="185" t="s">
        <v>215</v>
      </c>
    </row>
    <row r="7906" spans="129:129" x14ac:dyDescent="0.2">
      <c r="DY7906" s="185" t="s">
        <v>215</v>
      </c>
    </row>
    <row r="7907" spans="129:129" x14ac:dyDescent="0.2">
      <c r="DY7907" s="185" t="s">
        <v>215</v>
      </c>
    </row>
    <row r="7908" spans="129:129" x14ac:dyDescent="0.2">
      <c r="DY7908" s="185" t="s">
        <v>215</v>
      </c>
    </row>
    <row r="7909" spans="129:129" x14ac:dyDescent="0.2">
      <c r="DY7909" s="185" t="s">
        <v>215</v>
      </c>
    </row>
    <row r="7910" spans="129:129" x14ac:dyDescent="0.2">
      <c r="DY7910" s="185" t="s">
        <v>215</v>
      </c>
    </row>
    <row r="7911" spans="129:129" x14ac:dyDescent="0.2">
      <c r="DY7911" s="185" t="s">
        <v>215</v>
      </c>
    </row>
    <row r="7912" spans="129:129" x14ac:dyDescent="0.2">
      <c r="DY7912" s="185" t="s">
        <v>215</v>
      </c>
    </row>
    <row r="7913" spans="129:129" x14ac:dyDescent="0.2">
      <c r="DY7913" s="185" t="s">
        <v>215</v>
      </c>
    </row>
    <row r="7914" spans="129:129" x14ac:dyDescent="0.2">
      <c r="DY7914" s="185" t="s">
        <v>215</v>
      </c>
    </row>
    <row r="7915" spans="129:129" x14ac:dyDescent="0.2">
      <c r="DY7915" s="185" t="s">
        <v>215</v>
      </c>
    </row>
    <row r="7916" spans="129:129" x14ac:dyDescent="0.2">
      <c r="DY7916" s="185" t="s">
        <v>215</v>
      </c>
    </row>
    <row r="7917" spans="129:129" x14ac:dyDescent="0.2">
      <c r="DY7917" s="185" t="s">
        <v>215</v>
      </c>
    </row>
    <row r="7918" spans="129:129" x14ac:dyDescent="0.2">
      <c r="DY7918" s="185" t="s">
        <v>215</v>
      </c>
    </row>
    <row r="7919" spans="129:129" x14ac:dyDescent="0.2">
      <c r="DY7919" s="185" t="s">
        <v>215</v>
      </c>
    </row>
    <row r="7920" spans="129:129" x14ac:dyDescent="0.2">
      <c r="DY7920" s="185" t="s">
        <v>215</v>
      </c>
    </row>
    <row r="7921" spans="129:129" x14ac:dyDescent="0.2">
      <c r="DY7921" s="185" t="s">
        <v>215</v>
      </c>
    </row>
    <row r="7922" spans="129:129" x14ac:dyDescent="0.2">
      <c r="DY7922" s="185" t="s">
        <v>215</v>
      </c>
    </row>
    <row r="7923" spans="129:129" x14ac:dyDescent="0.2">
      <c r="DY7923" s="185" t="s">
        <v>215</v>
      </c>
    </row>
    <row r="7924" spans="129:129" x14ac:dyDescent="0.2">
      <c r="DY7924" s="185" t="s">
        <v>215</v>
      </c>
    </row>
    <row r="7925" spans="129:129" x14ac:dyDescent="0.2">
      <c r="DY7925" s="185" t="s">
        <v>215</v>
      </c>
    </row>
    <row r="7926" spans="129:129" x14ac:dyDescent="0.2">
      <c r="DY7926" s="185" t="s">
        <v>215</v>
      </c>
    </row>
    <row r="7927" spans="129:129" x14ac:dyDescent="0.2">
      <c r="DY7927" s="185" t="s">
        <v>215</v>
      </c>
    </row>
    <row r="7928" spans="129:129" x14ac:dyDescent="0.2">
      <c r="DY7928" s="185" t="s">
        <v>215</v>
      </c>
    </row>
    <row r="7929" spans="129:129" x14ac:dyDescent="0.2">
      <c r="DY7929" s="185" t="s">
        <v>215</v>
      </c>
    </row>
    <row r="7930" spans="129:129" x14ac:dyDescent="0.2">
      <c r="DY7930" s="185" t="s">
        <v>215</v>
      </c>
    </row>
    <row r="7931" spans="129:129" x14ac:dyDescent="0.2">
      <c r="DY7931" s="185" t="s">
        <v>215</v>
      </c>
    </row>
    <row r="7932" spans="129:129" x14ac:dyDescent="0.2">
      <c r="DY7932" s="185" t="s">
        <v>215</v>
      </c>
    </row>
    <row r="7933" spans="129:129" x14ac:dyDescent="0.2">
      <c r="DY7933" s="185" t="s">
        <v>215</v>
      </c>
    </row>
    <row r="7934" spans="129:129" x14ac:dyDescent="0.2">
      <c r="DY7934" s="185" t="s">
        <v>215</v>
      </c>
    </row>
    <row r="7935" spans="129:129" x14ac:dyDescent="0.2">
      <c r="DY7935" s="185" t="s">
        <v>215</v>
      </c>
    </row>
    <row r="7936" spans="129:129" x14ac:dyDescent="0.2">
      <c r="DY7936" s="185" t="s">
        <v>215</v>
      </c>
    </row>
    <row r="7937" spans="129:129" x14ac:dyDescent="0.2">
      <c r="DY7937" s="185" t="s">
        <v>215</v>
      </c>
    </row>
    <row r="7938" spans="129:129" x14ac:dyDescent="0.2">
      <c r="DY7938" s="185" t="s">
        <v>215</v>
      </c>
    </row>
    <row r="7939" spans="129:129" x14ac:dyDescent="0.2">
      <c r="DY7939" s="185" t="s">
        <v>215</v>
      </c>
    </row>
    <row r="7940" spans="129:129" x14ac:dyDescent="0.2">
      <c r="DY7940" s="185" t="s">
        <v>215</v>
      </c>
    </row>
    <row r="7941" spans="129:129" x14ac:dyDescent="0.2">
      <c r="DY7941" s="185" t="s">
        <v>215</v>
      </c>
    </row>
    <row r="7942" spans="129:129" x14ac:dyDescent="0.2">
      <c r="DY7942" s="185" t="s">
        <v>215</v>
      </c>
    </row>
    <row r="7943" spans="129:129" x14ac:dyDescent="0.2">
      <c r="DY7943" s="185" t="s">
        <v>215</v>
      </c>
    </row>
    <row r="7944" spans="129:129" x14ac:dyDescent="0.2">
      <c r="DY7944" s="185" t="s">
        <v>215</v>
      </c>
    </row>
    <row r="7945" spans="129:129" x14ac:dyDescent="0.2">
      <c r="DY7945" s="185" t="s">
        <v>215</v>
      </c>
    </row>
    <row r="7946" spans="129:129" x14ac:dyDescent="0.2">
      <c r="DY7946" s="185" t="s">
        <v>215</v>
      </c>
    </row>
    <row r="7947" spans="129:129" x14ac:dyDescent="0.2">
      <c r="DY7947" s="185" t="s">
        <v>215</v>
      </c>
    </row>
    <row r="7948" spans="129:129" x14ac:dyDescent="0.2">
      <c r="DY7948" s="185" t="s">
        <v>215</v>
      </c>
    </row>
    <row r="7949" spans="129:129" x14ac:dyDescent="0.2">
      <c r="DY7949" s="185" t="s">
        <v>215</v>
      </c>
    </row>
    <row r="7950" spans="129:129" x14ac:dyDescent="0.2">
      <c r="DY7950" s="185" t="s">
        <v>215</v>
      </c>
    </row>
    <row r="7951" spans="129:129" x14ac:dyDescent="0.2">
      <c r="DY7951" s="185" t="s">
        <v>215</v>
      </c>
    </row>
    <row r="7952" spans="129:129" x14ac:dyDescent="0.2">
      <c r="DY7952" s="185" t="s">
        <v>215</v>
      </c>
    </row>
    <row r="7953" spans="129:129" x14ac:dyDescent="0.2">
      <c r="DY7953" s="185" t="s">
        <v>215</v>
      </c>
    </row>
    <row r="7954" spans="129:129" x14ac:dyDescent="0.2">
      <c r="DY7954" s="185" t="s">
        <v>215</v>
      </c>
    </row>
    <row r="7955" spans="129:129" x14ac:dyDescent="0.2">
      <c r="DY7955" s="185" t="s">
        <v>215</v>
      </c>
    </row>
    <row r="7956" spans="129:129" x14ac:dyDescent="0.2">
      <c r="DY7956" s="185" t="s">
        <v>215</v>
      </c>
    </row>
    <row r="7957" spans="129:129" x14ac:dyDescent="0.2">
      <c r="DY7957" s="185" t="s">
        <v>215</v>
      </c>
    </row>
    <row r="7958" spans="129:129" x14ac:dyDescent="0.2">
      <c r="DY7958" s="185" t="s">
        <v>215</v>
      </c>
    </row>
    <row r="7959" spans="129:129" x14ac:dyDescent="0.2">
      <c r="DY7959" s="185" t="s">
        <v>215</v>
      </c>
    </row>
    <row r="7960" spans="129:129" x14ac:dyDescent="0.2">
      <c r="DY7960" s="185" t="s">
        <v>215</v>
      </c>
    </row>
    <row r="7961" spans="129:129" x14ac:dyDescent="0.2">
      <c r="DY7961" s="185" t="s">
        <v>215</v>
      </c>
    </row>
    <row r="7962" spans="129:129" x14ac:dyDescent="0.2">
      <c r="DY7962" s="185" t="s">
        <v>215</v>
      </c>
    </row>
    <row r="7963" spans="129:129" x14ac:dyDescent="0.2">
      <c r="DY7963" s="185" t="s">
        <v>215</v>
      </c>
    </row>
    <row r="7964" spans="129:129" x14ac:dyDescent="0.2">
      <c r="DY7964" s="185" t="s">
        <v>215</v>
      </c>
    </row>
    <row r="7965" spans="129:129" x14ac:dyDescent="0.2">
      <c r="DY7965" s="185" t="s">
        <v>215</v>
      </c>
    </row>
    <row r="7966" spans="129:129" x14ac:dyDescent="0.2">
      <c r="DY7966" s="185" t="s">
        <v>215</v>
      </c>
    </row>
    <row r="7967" spans="129:129" x14ac:dyDescent="0.2">
      <c r="DY7967" s="185" t="s">
        <v>215</v>
      </c>
    </row>
    <row r="7968" spans="129:129" x14ac:dyDescent="0.2">
      <c r="DY7968" s="185" t="s">
        <v>215</v>
      </c>
    </row>
    <row r="7969" spans="129:129" x14ac:dyDescent="0.2">
      <c r="DY7969" s="185" t="s">
        <v>215</v>
      </c>
    </row>
    <row r="7970" spans="129:129" x14ac:dyDescent="0.2">
      <c r="DY7970" s="185" t="s">
        <v>215</v>
      </c>
    </row>
    <row r="7971" spans="129:129" x14ac:dyDescent="0.2">
      <c r="DY7971" s="185" t="s">
        <v>215</v>
      </c>
    </row>
    <row r="7972" spans="129:129" x14ac:dyDescent="0.2">
      <c r="DY7972" s="185" t="s">
        <v>215</v>
      </c>
    </row>
    <row r="7973" spans="129:129" x14ac:dyDescent="0.2">
      <c r="DY7973" s="185" t="s">
        <v>215</v>
      </c>
    </row>
    <row r="7974" spans="129:129" x14ac:dyDescent="0.2">
      <c r="DY7974" s="185" t="s">
        <v>215</v>
      </c>
    </row>
    <row r="7975" spans="129:129" x14ac:dyDescent="0.2">
      <c r="DY7975" s="185" t="s">
        <v>215</v>
      </c>
    </row>
    <row r="7976" spans="129:129" x14ac:dyDescent="0.2">
      <c r="DY7976" s="185" t="s">
        <v>215</v>
      </c>
    </row>
    <row r="7977" spans="129:129" x14ac:dyDescent="0.2">
      <c r="DY7977" s="185" t="s">
        <v>215</v>
      </c>
    </row>
    <row r="7978" spans="129:129" x14ac:dyDescent="0.2">
      <c r="DY7978" s="185" t="s">
        <v>215</v>
      </c>
    </row>
    <row r="7979" spans="129:129" x14ac:dyDescent="0.2">
      <c r="DY7979" s="185" t="s">
        <v>215</v>
      </c>
    </row>
    <row r="7980" spans="129:129" x14ac:dyDescent="0.2">
      <c r="DY7980" s="185" t="s">
        <v>215</v>
      </c>
    </row>
    <row r="7981" spans="129:129" x14ac:dyDescent="0.2">
      <c r="DY7981" s="185" t="s">
        <v>215</v>
      </c>
    </row>
    <row r="7982" spans="129:129" x14ac:dyDescent="0.2">
      <c r="DY7982" s="185" t="s">
        <v>215</v>
      </c>
    </row>
    <row r="7983" spans="129:129" x14ac:dyDescent="0.2">
      <c r="DY7983" s="185" t="s">
        <v>215</v>
      </c>
    </row>
    <row r="7984" spans="129:129" x14ac:dyDescent="0.2">
      <c r="DY7984" s="185" t="s">
        <v>215</v>
      </c>
    </row>
    <row r="7985" spans="129:129" x14ac:dyDescent="0.2">
      <c r="DY7985" s="185" t="s">
        <v>215</v>
      </c>
    </row>
    <row r="7986" spans="129:129" x14ac:dyDescent="0.2">
      <c r="DY7986" s="185" t="s">
        <v>215</v>
      </c>
    </row>
    <row r="7987" spans="129:129" x14ac:dyDescent="0.2">
      <c r="DY7987" s="185" t="s">
        <v>215</v>
      </c>
    </row>
    <row r="7988" spans="129:129" x14ac:dyDescent="0.2">
      <c r="DY7988" s="185" t="s">
        <v>215</v>
      </c>
    </row>
    <row r="7989" spans="129:129" x14ac:dyDescent="0.2">
      <c r="DY7989" s="185" t="s">
        <v>215</v>
      </c>
    </row>
    <row r="7990" spans="129:129" x14ac:dyDescent="0.2">
      <c r="DY7990" s="185" t="s">
        <v>215</v>
      </c>
    </row>
    <row r="7991" spans="129:129" x14ac:dyDescent="0.2">
      <c r="DY7991" s="185" t="s">
        <v>215</v>
      </c>
    </row>
    <row r="7992" spans="129:129" x14ac:dyDescent="0.2">
      <c r="DY7992" s="185" t="s">
        <v>215</v>
      </c>
    </row>
    <row r="7993" spans="129:129" x14ac:dyDescent="0.2">
      <c r="DY7993" s="185" t="s">
        <v>215</v>
      </c>
    </row>
    <row r="7994" spans="129:129" x14ac:dyDescent="0.2">
      <c r="DY7994" s="185" t="s">
        <v>215</v>
      </c>
    </row>
    <row r="7995" spans="129:129" x14ac:dyDescent="0.2">
      <c r="DY7995" s="185" t="s">
        <v>215</v>
      </c>
    </row>
    <row r="7996" spans="129:129" x14ac:dyDescent="0.2">
      <c r="DY7996" s="185" t="s">
        <v>215</v>
      </c>
    </row>
    <row r="7997" spans="129:129" x14ac:dyDescent="0.2">
      <c r="DY7997" s="185" t="s">
        <v>215</v>
      </c>
    </row>
    <row r="7998" spans="129:129" x14ac:dyDescent="0.2">
      <c r="DY7998" s="185" t="s">
        <v>215</v>
      </c>
    </row>
    <row r="7999" spans="129:129" x14ac:dyDescent="0.2">
      <c r="DY7999" s="185" t="s">
        <v>215</v>
      </c>
    </row>
    <row r="8000" spans="129:129" x14ac:dyDescent="0.2">
      <c r="DY8000" s="185" t="s">
        <v>215</v>
      </c>
    </row>
    <row r="8001" spans="129:129" x14ac:dyDescent="0.2">
      <c r="DY8001" s="185" t="s">
        <v>215</v>
      </c>
    </row>
    <row r="8002" spans="129:129" x14ac:dyDescent="0.2">
      <c r="DY8002" s="185" t="s">
        <v>215</v>
      </c>
    </row>
    <row r="8003" spans="129:129" x14ac:dyDescent="0.2">
      <c r="DY8003" s="185" t="s">
        <v>215</v>
      </c>
    </row>
    <row r="8004" spans="129:129" x14ac:dyDescent="0.2">
      <c r="DY8004" s="185" t="s">
        <v>215</v>
      </c>
    </row>
    <row r="8005" spans="129:129" x14ac:dyDescent="0.2">
      <c r="DY8005" s="185" t="s">
        <v>215</v>
      </c>
    </row>
    <row r="8006" spans="129:129" x14ac:dyDescent="0.2">
      <c r="DY8006" s="185" t="s">
        <v>215</v>
      </c>
    </row>
    <row r="8007" spans="129:129" x14ac:dyDescent="0.2">
      <c r="DY8007" s="185" t="s">
        <v>215</v>
      </c>
    </row>
    <row r="8008" spans="129:129" x14ac:dyDescent="0.2">
      <c r="DY8008" s="185" t="s">
        <v>215</v>
      </c>
    </row>
    <row r="8009" spans="129:129" x14ac:dyDescent="0.2">
      <c r="DY8009" s="185" t="s">
        <v>215</v>
      </c>
    </row>
    <row r="8010" spans="129:129" x14ac:dyDescent="0.2">
      <c r="DY8010" s="185" t="s">
        <v>215</v>
      </c>
    </row>
    <row r="8011" spans="129:129" x14ac:dyDescent="0.2">
      <c r="DY8011" s="185" t="s">
        <v>215</v>
      </c>
    </row>
    <row r="8012" spans="129:129" x14ac:dyDescent="0.2">
      <c r="DY8012" s="185" t="s">
        <v>215</v>
      </c>
    </row>
    <row r="8013" spans="129:129" x14ac:dyDescent="0.2">
      <c r="DY8013" s="185" t="s">
        <v>215</v>
      </c>
    </row>
    <row r="8014" spans="129:129" x14ac:dyDescent="0.2">
      <c r="DY8014" s="185" t="s">
        <v>215</v>
      </c>
    </row>
    <row r="8015" spans="129:129" x14ac:dyDescent="0.2">
      <c r="DY8015" s="185" t="s">
        <v>215</v>
      </c>
    </row>
    <row r="8016" spans="129:129" x14ac:dyDescent="0.2">
      <c r="DY8016" s="185" t="s">
        <v>215</v>
      </c>
    </row>
    <row r="8017" spans="129:129" x14ac:dyDescent="0.2">
      <c r="DY8017" s="185" t="s">
        <v>215</v>
      </c>
    </row>
    <row r="8018" spans="129:129" x14ac:dyDescent="0.2">
      <c r="DY8018" s="185" t="s">
        <v>215</v>
      </c>
    </row>
    <row r="8019" spans="129:129" x14ac:dyDescent="0.2">
      <c r="DY8019" s="185" t="s">
        <v>215</v>
      </c>
    </row>
    <row r="8020" spans="129:129" x14ac:dyDescent="0.2">
      <c r="DY8020" s="185" t="s">
        <v>215</v>
      </c>
    </row>
    <row r="8021" spans="129:129" x14ac:dyDescent="0.2">
      <c r="DY8021" s="185" t="s">
        <v>215</v>
      </c>
    </row>
    <row r="8022" spans="129:129" x14ac:dyDescent="0.2">
      <c r="DY8022" s="185" t="s">
        <v>215</v>
      </c>
    </row>
    <row r="8023" spans="129:129" x14ac:dyDescent="0.2">
      <c r="DY8023" s="185" t="s">
        <v>215</v>
      </c>
    </row>
    <row r="8024" spans="129:129" x14ac:dyDescent="0.2">
      <c r="DY8024" s="185" t="s">
        <v>215</v>
      </c>
    </row>
    <row r="8025" spans="129:129" x14ac:dyDescent="0.2">
      <c r="DY8025" s="185" t="s">
        <v>215</v>
      </c>
    </row>
    <row r="8026" spans="129:129" x14ac:dyDescent="0.2">
      <c r="DY8026" s="185" t="s">
        <v>215</v>
      </c>
    </row>
    <row r="8027" spans="129:129" x14ac:dyDescent="0.2">
      <c r="DY8027" s="185" t="s">
        <v>215</v>
      </c>
    </row>
    <row r="8028" spans="129:129" x14ac:dyDescent="0.2">
      <c r="DY8028" s="185" t="s">
        <v>215</v>
      </c>
    </row>
    <row r="8029" spans="129:129" x14ac:dyDescent="0.2">
      <c r="DY8029" s="185" t="s">
        <v>215</v>
      </c>
    </row>
    <row r="8030" spans="129:129" x14ac:dyDescent="0.2">
      <c r="DY8030" s="185" t="s">
        <v>215</v>
      </c>
    </row>
    <row r="8031" spans="129:129" x14ac:dyDescent="0.2">
      <c r="DY8031" s="185" t="s">
        <v>215</v>
      </c>
    </row>
    <row r="8032" spans="129:129" x14ac:dyDescent="0.2">
      <c r="DY8032" s="185" t="s">
        <v>215</v>
      </c>
    </row>
    <row r="8033" spans="129:129" x14ac:dyDescent="0.2">
      <c r="DY8033" s="185" t="s">
        <v>215</v>
      </c>
    </row>
    <row r="8034" spans="129:129" x14ac:dyDescent="0.2">
      <c r="DY8034" s="185" t="s">
        <v>215</v>
      </c>
    </row>
    <row r="8035" spans="129:129" x14ac:dyDescent="0.2">
      <c r="DY8035" s="185" t="s">
        <v>215</v>
      </c>
    </row>
    <row r="8036" spans="129:129" x14ac:dyDescent="0.2">
      <c r="DY8036" s="185" t="s">
        <v>215</v>
      </c>
    </row>
    <row r="8037" spans="129:129" x14ac:dyDescent="0.2">
      <c r="DY8037" s="185" t="s">
        <v>215</v>
      </c>
    </row>
    <row r="8038" spans="129:129" x14ac:dyDescent="0.2">
      <c r="DY8038" s="185" t="s">
        <v>215</v>
      </c>
    </row>
    <row r="8039" spans="129:129" x14ac:dyDescent="0.2">
      <c r="DY8039" s="185" t="s">
        <v>215</v>
      </c>
    </row>
    <row r="8040" spans="129:129" x14ac:dyDescent="0.2">
      <c r="DY8040" s="185" t="s">
        <v>215</v>
      </c>
    </row>
    <row r="8041" spans="129:129" x14ac:dyDescent="0.2">
      <c r="DY8041" s="185" t="s">
        <v>215</v>
      </c>
    </row>
    <row r="8042" spans="129:129" x14ac:dyDescent="0.2">
      <c r="DY8042" s="185" t="s">
        <v>215</v>
      </c>
    </row>
    <row r="8043" spans="129:129" x14ac:dyDescent="0.2">
      <c r="DY8043" s="185" t="s">
        <v>215</v>
      </c>
    </row>
    <row r="8044" spans="129:129" x14ac:dyDescent="0.2">
      <c r="DY8044" s="185" t="s">
        <v>215</v>
      </c>
    </row>
    <row r="8045" spans="129:129" x14ac:dyDescent="0.2">
      <c r="DY8045" s="185" t="s">
        <v>215</v>
      </c>
    </row>
    <row r="8046" spans="129:129" x14ac:dyDescent="0.2">
      <c r="DY8046" s="185" t="s">
        <v>215</v>
      </c>
    </row>
    <row r="8047" spans="129:129" x14ac:dyDescent="0.2">
      <c r="DY8047" s="185" t="s">
        <v>215</v>
      </c>
    </row>
    <row r="8048" spans="129:129" x14ac:dyDescent="0.2">
      <c r="DY8048" s="185" t="s">
        <v>215</v>
      </c>
    </row>
    <row r="8049" spans="129:129" x14ac:dyDescent="0.2">
      <c r="DY8049" s="185" t="s">
        <v>215</v>
      </c>
    </row>
    <row r="8050" spans="129:129" x14ac:dyDescent="0.2">
      <c r="DY8050" s="185" t="s">
        <v>215</v>
      </c>
    </row>
    <row r="8051" spans="129:129" x14ac:dyDescent="0.2">
      <c r="DY8051" s="185" t="s">
        <v>215</v>
      </c>
    </row>
    <row r="8052" spans="129:129" x14ac:dyDescent="0.2">
      <c r="DY8052" s="185" t="s">
        <v>215</v>
      </c>
    </row>
    <row r="8053" spans="129:129" x14ac:dyDescent="0.2">
      <c r="DY8053" s="185" t="s">
        <v>215</v>
      </c>
    </row>
    <row r="8054" spans="129:129" x14ac:dyDescent="0.2">
      <c r="DY8054" s="185" t="s">
        <v>215</v>
      </c>
    </row>
    <row r="8055" spans="129:129" x14ac:dyDescent="0.2">
      <c r="DY8055" s="185" t="s">
        <v>215</v>
      </c>
    </row>
    <row r="8056" spans="129:129" x14ac:dyDescent="0.2">
      <c r="DY8056" s="185" t="s">
        <v>215</v>
      </c>
    </row>
    <row r="8057" spans="129:129" x14ac:dyDescent="0.2">
      <c r="DY8057" s="185" t="s">
        <v>215</v>
      </c>
    </row>
    <row r="8058" spans="129:129" x14ac:dyDescent="0.2">
      <c r="DY8058" s="185" t="s">
        <v>215</v>
      </c>
    </row>
    <row r="8059" spans="129:129" x14ac:dyDescent="0.2">
      <c r="DY8059" s="185" t="s">
        <v>215</v>
      </c>
    </row>
    <row r="8060" spans="129:129" x14ac:dyDescent="0.2">
      <c r="DY8060" s="185" t="s">
        <v>215</v>
      </c>
    </row>
    <row r="8061" spans="129:129" x14ac:dyDescent="0.2">
      <c r="DY8061" s="185" t="s">
        <v>215</v>
      </c>
    </row>
    <row r="8062" spans="129:129" x14ac:dyDescent="0.2">
      <c r="DY8062" s="185" t="s">
        <v>215</v>
      </c>
    </row>
    <row r="8063" spans="129:129" x14ac:dyDescent="0.2">
      <c r="DY8063" s="185" t="s">
        <v>215</v>
      </c>
    </row>
    <row r="8064" spans="129:129" x14ac:dyDescent="0.2">
      <c r="DY8064" s="185" t="s">
        <v>215</v>
      </c>
    </row>
    <row r="8065" spans="129:129" x14ac:dyDescent="0.2">
      <c r="DY8065" s="185" t="s">
        <v>215</v>
      </c>
    </row>
    <row r="8066" spans="129:129" x14ac:dyDescent="0.2">
      <c r="DY8066" s="185" t="s">
        <v>215</v>
      </c>
    </row>
    <row r="8067" spans="129:129" x14ac:dyDescent="0.2">
      <c r="DY8067" s="185" t="s">
        <v>215</v>
      </c>
    </row>
    <row r="8068" spans="129:129" x14ac:dyDescent="0.2">
      <c r="DY8068" s="185" t="s">
        <v>215</v>
      </c>
    </row>
    <row r="8069" spans="129:129" x14ac:dyDescent="0.2">
      <c r="DY8069" s="185" t="s">
        <v>215</v>
      </c>
    </row>
    <row r="8070" spans="129:129" x14ac:dyDescent="0.2">
      <c r="DY8070" s="185" t="s">
        <v>215</v>
      </c>
    </row>
    <row r="8071" spans="129:129" x14ac:dyDescent="0.2">
      <c r="DY8071" s="185" t="s">
        <v>215</v>
      </c>
    </row>
    <row r="8072" spans="129:129" x14ac:dyDescent="0.2">
      <c r="DY8072" s="185" t="s">
        <v>215</v>
      </c>
    </row>
    <row r="8073" spans="129:129" x14ac:dyDescent="0.2">
      <c r="DY8073" s="185" t="s">
        <v>215</v>
      </c>
    </row>
    <row r="8074" spans="129:129" x14ac:dyDescent="0.2">
      <c r="DY8074" s="185" t="s">
        <v>215</v>
      </c>
    </row>
    <row r="8075" spans="129:129" x14ac:dyDescent="0.2">
      <c r="DY8075" s="185" t="s">
        <v>215</v>
      </c>
    </row>
    <row r="8076" spans="129:129" x14ac:dyDescent="0.2">
      <c r="DY8076" s="185" t="s">
        <v>215</v>
      </c>
    </row>
    <row r="8077" spans="129:129" x14ac:dyDescent="0.2">
      <c r="DY8077" s="185" t="s">
        <v>215</v>
      </c>
    </row>
    <row r="8078" spans="129:129" x14ac:dyDescent="0.2">
      <c r="DY8078" s="185" t="s">
        <v>215</v>
      </c>
    </row>
    <row r="8079" spans="129:129" x14ac:dyDescent="0.2">
      <c r="DY8079" s="185" t="s">
        <v>215</v>
      </c>
    </row>
    <row r="8080" spans="129:129" x14ac:dyDescent="0.2">
      <c r="DY8080" s="185" t="s">
        <v>215</v>
      </c>
    </row>
    <row r="8081" spans="129:129" x14ac:dyDescent="0.2">
      <c r="DY8081" s="185" t="s">
        <v>215</v>
      </c>
    </row>
    <row r="8082" spans="129:129" x14ac:dyDescent="0.2">
      <c r="DY8082" s="185" t="s">
        <v>215</v>
      </c>
    </row>
    <row r="8083" spans="129:129" x14ac:dyDescent="0.2">
      <c r="DY8083" s="185" t="s">
        <v>215</v>
      </c>
    </row>
    <row r="8084" spans="129:129" x14ac:dyDescent="0.2">
      <c r="DY8084" s="185" t="s">
        <v>215</v>
      </c>
    </row>
    <row r="8085" spans="129:129" x14ac:dyDescent="0.2">
      <c r="DY8085" s="185" t="s">
        <v>215</v>
      </c>
    </row>
    <row r="8086" spans="129:129" x14ac:dyDescent="0.2">
      <c r="DY8086" s="185" t="s">
        <v>215</v>
      </c>
    </row>
    <row r="8087" spans="129:129" x14ac:dyDescent="0.2">
      <c r="DY8087" s="185" t="s">
        <v>215</v>
      </c>
    </row>
    <row r="8088" spans="129:129" x14ac:dyDescent="0.2">
      <c r="DY8088" s="185" t="s">
        <v>215</v>
      </c>
    </row>
    <row r="8089" spans="129:129" x14ac:dyDescent="0.2">
      <c r="DY8089" s="185" t="s">
        <v>215</v>
      </c>
    </row>
    <row r="8090" spans="129:129" x14ac:dyDescent="0.2">
      <c r="DY8090" s="185" t="s">
        <v>215</v>
      </c>
    </row>
    <row r="8091" spans="129:129" x14ac:dyDescent="0.2">
      <c r="DY8091" s="185" t="s">
        <v>215</v>
      </c>
    </row>
    <row r="8092" spans="129:129" x14ac:dyDescent="0.2">
      <c r="DY8092" s="185" t="s">
        <v>215</v>
      </c>
    </row>
    <row r="8093" spans="129:129" x14ac:dyDescent="0.2">
      <c r="DY8093" s="185" t="s">
        <v>215</v>
      </c>
    </row>
    <row r="8094" spans="129:129" x14ac:dyDescent="0.2">
      <c r="DY8094" s="185" t="s">
        <v>215</v>
      </c>
    </row>
    <row r="8095" spans="129:129" x14ac:dyDescent="0.2">
      <c r="DY8095" s="185" t="s">
        <v>215</v>
      </c>
    </row>
    <row r="8096" spans="129:129" x14ac:dyDescent="0.2">
      <c r="DY8096" s="185" t="s">
        <v>215</v>
      </c>
    </row>
    <row r="8097" spans="129:129" x14ac:dyDescent="0.2">
      <c r="DY8097" s="185" t="s">
        <v>215</v>
      </c>
    </row>
    <row r="8098" spans="129:129" x14ac:dyDescent="0.2">
      <c r="DY8098" s="185" t="s">
        <v>215</v>
      </c>
    </row>
    <row r="8099" spans="129:129" x14ac:dyDescent="0.2">
      <c r="DY8099" s="185" t="s">
        <v>215</v>
      </c>
    </row>
    <row r="8100" spans="129:129" x14ac:dyDescent="0.2">
      <c r="DY8100" s="185" t="s">
        <v>215</v>
      </c>
    </row>
    <row r="8101" spans="129:129" x14ac:dyDescent="0.2">
      <c r="DY8101" s="185" t="s">
        <v>215</v>
      </c>
    </row>
    <row r="8102" spans="129:129" x14ac:dyDescent="0.2">
      <c r="DY8102" s="185" t="s">
        <v>215</v>
      </c>
    </row>
    <row r="8103" spans="129:129" x14ac:dyDescent="0.2">
      <c r="DY8103" s="185" t="s">
        <v>215</v>
      </c>
    </row>
    <row r="8104" spans="129:129" x14ac:dyDescent="0.2">
      <c r="DY8104" s="185" t="s">
        <v>215</v>
      </c>
    </row>
    <row r="8105" spans="129:129" x14ac:dyDescent="0.2">
      <c r="DY8105" s="185" t="s">
        <v>215</v>
      </c>
    </row>
    <row r="8106" spans="129:129" x14ac:dyDescent="0.2">
      <c r="DY8106" s="185" t="s">
        <v>215</v>
      </c>
    </row>
    <row r="8107" spans="129:129" x14ac:dyDescent="0.2">
      <c r="DY8107" s="185" t="s">
        <v>215</v>
      </c>
    </row>
    <row r="8108" spans="129:129" x14ac:dyDescent="0.2">
      <c r="DY8108" s="185" t="s">
        <v>215</v>
      </c>
    </row>
    <row r="8109" spans="129:129" x14ac:dyDescent="0.2">
      <c r="DY8109" s="185" t="s">
        <v>215</v>
      </c>
    </row>
    <row r="8110" spans="129:129" x14ac:dyDescent="0.2">
      <c r="DY8110" s="185" t="s">
        <v>215</v>
      </c>
    </row>
    <row r="8111" spans="129:129" x14ac:dyDescent="0.2">
      <c r="DY8111" s="185" t="s">
        <v>215</v>
      </c>
    </row>
    <row r="8112" spans="129:129" x14ac:dyDescent="0.2">
      <c r="DY8112" s="185" t="s">
        <v>215</v>
      </c>
    </row>
    <row r="8113" spans="129:129" x14ac:dyDescent="0.2">
      <c r="DY8113" s="185" t="s">
        <v>215</v>
      </c>
    </row>
    <row r="8114" spans="129:129" x14ac:dyDescent="0.2">
      <c r="DY8114" s="185" t="s">
        <v>215</v>
      </c>
    </row>
    <row r="8115" spans="129:129" x14ac:dyDescent="0.2">
      <c r="DY8115" s="185" t="s">
        <v>215</v>
      </c>
    </row>
    <row r="8116" spans="129:129" x14ac:dyDescent="0.2">
      <c r="DY8116" s="185" t="s">
        <v>215</v>
      </c>
    </row>
    <row r="8117" spans="129:129" x14ac:dyDescent="0.2">
      <c r="DY8117" s="185" t="s">
        <v>215</v>
      </c>
    </row>
    <row r="8118" spans="129:129" x14ac:dyDescent="0.2">
      <c r="DY8118" s="185" t="s">
        <v>215</v>
      </c>
    </row>
    <row r="8119" spans="129:129" x14ac:dyDescent="0.2">
      <c r="DY8119" s="185" t="s">
        <v>215</v>
      </c>
    </row>
    <row r="8120" spans="129:129" x14ac:dyDescent="0.2">
      <c r="DY8120" s="185" t="s">
        <v>215</v>
      </c>
    </row>
    <row r="8121" spans="129:129" x14ac:dyDescent="0.2">
      <c r="DY8121" s="185" t="s">
        <v>215</v>
      </c>
    </row>
    <row r="8122" spans="129:129" x14ac:dyDescent="0.2">
      <c r="DY8122" s="185" t="s">
        <v>215</v>
      </c>
    </row>
    <row r="8123" spans="129:129" x14ac:dyDescent="0.2">
      <c r="DY8123" s="185" t="s">
        <v>215</v>
      </c>
    </row>
    <row r="8124" spans="129:129" x14ac:dyDescent="0.2">
      <c r="DY8124" s="185" t="s">
        <v>215</v>
      </c>
    </row>
    <row r="8125" spans="129:129" x14ac:dyDescent="0.2">
      <c r="DY8125" s="185" t="s">
        <v>215</v>
      </c>
    </row>
    <row r="8126" spans="129:129" x14ac:dyDescent="0.2">
      <c r="DY8126" s="185" t="s">
        <v>215</v>
      </c>
    </row>
    <row r="8127" spans="129:129" x14ac:dyDescent="0.2">
      <c r="DY8127" s="185" t="s">
        <v>215</v>
      </c>
    </row>
    <row r="8128" spans="129:129" x14ac:dyDescent="0.2">
      <c r="DY8128" s="185" t="s">
        <v>215</v>
      </c>
    </row>
    <row r="8129" spans="129:129" x14ac:dyDescent="0.2">
      <c r="DY8129" s="185" t="s">
        <v>215</v>
      </c>
    </row>
    <row r="8130" spans="129:129" x14ac:dyDescent="0.2">
      <c r="DY8130" s="185" t="s">
        <v>215</v>
      </c>
    </row>
    <row r="8131" spans="129:129" x14ac:dyDescent="0.2">
      <c r="DY8131" s="185" t="s">
        <v>215</v>
      </c>
    </row>
    <row r="8132" spans="129:129" x14ac:dyDescent="0.2">
      <c r="DY8132" s="185" t="s">
        <v>215</v>
      </c>
    </row>
    <row r="8133" spans="129:129" x14ac:dyDescent="0.2">
      <c r="DY8133" s="185" t="s">
        <v>215</v>
      </c>
    </row>
    <row r="8134" spans="129:129" x14ac:dyDescent="0.2">
      <c r="DY8134" s="185" t="s">
        <v>215</v>
      </c>
    </row>
    <row r="8135" spans="129:129" x14ac:dyDescent="0.2">
      <c r="DY8135" s="185" t="s">
        <v>215</v>
      </c>
    </row>
    <row r="8136" spans="129:129" x14ac:dyDescent="0.2">
      <c r="DY8136" s="185" t="s">
        <v>215</v>
      </c>
    </row>
    <row r="8137" spans="129:129" x14ac:dyDescent="0.2">
      <c r="DY8137" s="185" t="s">
        <v>215</v>
      </c>
    </row>
    <row r="8138" spans="129:129" x14ac:dyDescent="0.2">
      <c r="DY8138" s="185" t="s">
        <v>215</v>
      </c>
    </row>
    <row r="8139" spans="129:129" x14ac:dyDescent="0.2">
      <c r="DY8139" s="185" t="s">
        <v>215</v>
      </c>
    </row>
    <row r="8140" spans="129:129" x14ac:dyDescent="0.2">
      <c r="DY8140" s="185" t="s">
        <v>215</v>
      </c>
    </row>
    <row r="8141" spans="129:129" x14ac:dyDescent="0.2">
      <c r="DY8141" s="185" t="s">
        <v>215</v>
      </c>
    </row>
    <row r="8142" spans="129:129" x14ac:dyDescent="0.2">
      <c r="DY8142" s="185" t="s">
        <v>215</v>
      </c>
    </row>
    <row r="8143" spans="129:129" x14ac:dyDescent="0.2">
      <c r="DY8143" s="185" t="s">
        <v>215</v>
      </c>
    </row>
    <row r="8144" spans="129:129" x14ac:dyDescent="0.2">
      <c r="DY8144" s="185" t="s">
        <v>215</v>
      </c>
    </row>
    <row r="8145" spans="129:129" x14ac:dyDescent="0.2">
      <c r="DY8145" s="185" t="s">
        <v>215</v>
      </c>
    </row>
    <row r="8146" spans="129:129" x14ac:dyDescent="0.2">
      <c r="DY8146" s="185" t="s">
        <v>215</v>
      </c>
    </row>
    <row r="8147" spans="129:129" x14ac:dyDescent="0.2">
      <c r="DY8147" s="185" t="s">
        <v>215</v>
      </c>
    </row>
    <row r="8148" spans="129:129" x14ac:dyDescent="0.2">
      <c r="DY8148" s="185" t="s">
        <v>215</v>
      </c>
    </row>
    <row r="8149" spans="129:129" x14ac:dyDescent="0.2">
      <c r="DY8149" s="185" t="s">
        <v>215</v>
      </c>
    </row>
    <row r="8150" spans="129:129" x14ac:dyDescent="0.2">
      <c r="DY8150" s="185" t="s">
        <v>215</v>
      </c>
    </row>
    <row r="8151" spans="129:129" x14ac:dyDescent="0.2">
      <c r="DY8151" s="185" t="s">
        <v>215</v>
      </c>
    </row>
    <row r="8152" spans="129:129" x14ac:dyDescent="0.2">
      <c r="DY8152" s="185" t="s">
        <v>215</v>
      </c>
    </row>
    <row r="8153" spans="129:129" x14ac:dyDescent="0.2">
      <c r="DY8153" s="185" t="s">
        <v>215</v>
      </c>
    </row>
    <row r="8154" spans="129:129" x14ac:dyDescent="0.2">
      <c r="DY8154" s="185" t="s">
        <v>215</v>
      </c>
    </row>
    <row r="8155" spans="129:129" x14ac:dyDescent="0.2">
      <c r="DY8155" s="185" t="s">
        <v>215</v>
      </c>
    </row>
    <row r="8156" spans="129:129" x14ac:dyDescent="0.2">
      <c r="DY8156" s="185" t="s">
        <v>215</v>
      </c>
    </row>
    <row r="8157" spans="129:129" x14ac:dyDescent="0.2">
      <c r="DY8157" s="185" t="s">
        <v>215</v>
      </c>
    </row>
    <row r="8158" spans="129:129" x14ac:dyDescent="0.2">
      <c r="DY8158" s="185" t="s">
        <v>215</v>
      </c>
    </row>
    <row r="8159" spans="129:129" x14ac:dyDescent="0.2">
      <c r="DY8159" s="185" t="s">
        <v>215</v>
      </c>
    </row>
    <row r="8160" spans="129:129" x14ac:dyDescent="0.2">
      <c r="DY8160" s="185" t="s">
        <v>215</v>
      </c>
    </row>
    <row r="8161" spans="129:129" x14ac:dyDescent="0.2">
      <c r="DY8161" s="185" t="s">
        <v>215</v>
      </c>
    </row>
    <row r="8162" spans="129:129" x14ac:dyDescent="0.2">
      <c r="DY8162" s="185" t="s">
        <v>215</v>
      </c>
    </row>
    <row r="8163" spans="129:129" x14ac:dyDescent="0.2">
      <c r="DY8163" s="185" t="s">
        <v>215</v>
      </c>
    </row>
    <row r="8164" spans="129:129" x14ac:dyDescent="0.2">
      <c r="DY8164" s="185" t="s">
        <v>215</v>
      </c>
    </row>
    <row r="8165" spans="129:129" x14ac:dyDescent="0.2">
      <c r="DY8165" s="185" t="s">
        <v>215</v>
      </c>
    </row>
    <row r="8166" spans="129:129" x14ac:dyDescent="0.2">
      <c r="DY8166" s="185" t="s">
        <v>215</v>
      </c>
    </row>
    <row r="8167" spans="129:129" x14ac:dyDescent="0.2">
      <c r="DY8167" s="185" t="s">
        <v>215</v>
      </c>
    </row>
    <row r="8168" spans="129:129" x14ac:dyDescent="0.2">
      <c r="DY8168" s="185" t="s">
        <v>215</v>
      </c>
    </row>
    <row r="8169" spans="129:129" x14ac:dyDescent="0.2">
      <c r="DY8169" s="185" t="s">
        <v>215</v>
      </c>
    </row>
    <row r="8170" spans="129:129" x14ac:dyDescent="0.2">
      <c r="DY8170" s="185" t="s">
        <v>215</v>
      </c>
    </row>
    <row r="8171" spans="129:129" x14ac:dyDescent="0.2">
      <c r="DY8171" s="185" t="s">
        <v>215</v>
      </c>
    </row>
    <row r="8172" spans="129:129" x14ac:dyDescent="0.2">
      <c r="DY8172" s="185" t="s">
        <v>215</v>
      </c>
    </row>
    <row r="8173" spans="129:129" x14ac:dyDescent="0.2">
      <c r="DY8173" s="185" t="s">
        <v>215</v>
      </c>
    </row>
    <row r="8174" spans="129:129" x14ac:dyDescent="0.2">
      <c r="DY8174" s="185" t="s">
        <v>215</v>
      </c>
    </row>
    <row r="8175" spans="129:129" x14ac:dyDescent="0.2">
      <c r="DY8175" s="185" t="s">
        <v>215</v>
      </c>
    </row>
    <row r="8176" spans="129:129" x14ac:dyDescent="0.2">
      <c r="DY8176" s="185" t="s">
        <v>215</v>
      </c>
    </row>
    <row r="8177" spans="129:129" x14ac:dyDescent="0.2">
      <c r="DY8177" s="185" t="s">
        <v>215</v>
      </c>
    </row>
    <row r="8178" spans="129:129" x14ac:dyDescent="0.2">
      <c r="DY8178" s="185" t="s">
        <v>215</v>
      </c>
    </row>
    <row r="8179" spans="129:129" x14ac:dyDescent="0.2">
      <c r="DY8179" s="185" t="s">
        <v>215</v>
      </c>
    </row>
    <row r="8180" spans="129:129" x14ac:dyDescent="0.2">
      <c r="DY8180" s="185" t="s">
        <v>215</v>
      </c>
    </row>
    <row r="8181" spans="129:129" x14ac:dyDescent="0.2">
      <c r="DY8181" s="185" t="s">
        <v>215</v>
      </c>
    </row>
    <row r="8182" spans="129:129" x14ac:dyDescent="0.2">
      <c r="DY8182" s="185" t="s">
        <v>215</v>
      </c>
    </row>
    <row r="8183" spans="129:129" x14ac:dyDescent="0.2">
      <c r="DY8183" s="185" t="s">
        <v>215</v>
      </c>
    </row>
    <row r="8184" spans="129:129" x14ac:dyDescent="0.2">
      <c r="DY8184" s="185" t="s">
        <v>215</v>
      </c>
    </row>
    <row r="8185" spans="129:129" x14ac:dyDescent="0.2">
      <c r="DY8185" s="185" t="s">
        <v>215</v>
      </c>
    </row>
    <row r="8186" spans="129:129" x14ac:dyDescent="0.2">
      <c r="DY8186" s="185" t="s">
        <v>215</v>
      </c>
    </row>
    <row r="8187" spans="129:129" x14ac:dyDescent="0.2">
      <c r="DY8187" s="185" t="s">
        <v>215</v>
      </c>
    </row>
    <row r="8188" spans="129:129" x14ac:dyDescent="0.2">
      <c r="DY8188" s="185" t="s">
        <v>215</v>
      </c>
    </row>
    <row r="8189" spans="129:129" x14ac:dyDescent="0.2">
      <c r="DY8189" s="185" t="s">
        <v>215</v>
      </c>
    </row>
    <row r="8190" spans="129:129" x14ac:dyDescent="0.2">
      <c r="DY8190" s="185" t="s">
        <v>215</v>
      </c>
    </row>
    <row r="8191" spans="129:129" x14ac:dyDescent="0.2">
      <c r="DY8191" s="185" t="s">
        <v>215</v>
      </c>
    </row>
    <row r="8192" spans="129:129" x14ac:dyDescent="0.2">
      <c r="DY8192" s="185" t="s">
        <v>215</v>
      </c>
    </row>
    <row r="8193" spans="129:129" x14ac:dyDescent="0.2">
      <c r="DY8193" s="185" t="s">
        <v>215</v>
      </c>
    </row>
    <row r="8194" spans="129:129" x14ac:dyDescent="0.2">
      <c r="DY8194" s="185" t="s">
        <v>215</v>
      </c>
    </row>
    <row r="8195" spans="129:129" x14ac:dyDescent="0.2">
      <c r="DY8195" s="185" t="s">
        <v>215</v>
      </c>
    </row>
    <row r="8196" spans="129:129" x14ac:dyDescent="0.2">
      <c r="DY8196" s="185" t="s">
        <v>215</v>
      </c>
    </row>
    <row r="8197" spans="129:129" x14ac:dyDescent="0.2">
      <c r="DY8197" s="185" t="s">
        <v>215</v>
      </c>
    </row>
    <row r="8198" spans="129:129" x14ac:dyDescent="0.2">
      <c r="DY8198" s="185" t="s">
        <v>215</v>
      </c>
    </row>
    <row r="8199" spans="129:129" x14ac:dyDescent="0.2">
      <c r="DY8199" s="185" t="s">
        <v>215</v>
      </c>
    </row>
    <row r="8200" spans="129:129" x14ac:dyDescent="0.2">
      <c r="DY8200" s="185" t="s">
        <v>215</v>
      </c>
    </row>
    <row r="8201" spans="129:129" x14ac:dyDescent="0.2">
      <c r="DY8201" s="185" t="s">
        <v>215</v>
      </c>
    </row>
    <row r="8202" spans="129:129" x14ac:dyDescent="0.2">
      <c r="DY8202" s="185" t="s">
        <v>215</v>
      </c>
    </row>
    <row r="8203" spans="129:129" x14ac:dyDescent="0.2">
      <c r="DY8203" s="185" t="s">
        <v>215</v>
      </c>
    </row>
    <row r="8204" spans="129:129" x14ac:dyDescent="0.2">
      <c r="DY8204" s="185" t="s">
        <v>215</v>
      </c>
    </row>
    <row r="8205" spans="129:129" x14ac:dyDescent="0.2">
      <c r="DY8205" s="185" t="s">
        <v>215</v>
      </c>
    </row>
    <row r="8206" spans="129:129" x14ac:dyDescent="0.2">
      <c r="DY8206" s="185" t="s">
        <v>215</v>
      </c>
    </row>
    <row r="8207" spans="129:129" x14ac:dyDescent="0.2">
      <c r="DY8207" s="185" t="s">
        <v>215</v>
      </c>
    </row>
    <row r="8208" spans="129:129" x14ac:dyDescent="0.2">
      <c r="DY8208" s="185" t="s">
        <v>215</v>
      </c>
    </row>
    <row r="8209" spans="129:129" x14ac:dyDescent="0.2">
      <c r="DY8209" s="185" t="s">
        <v>215</v>
      </c>
    </row>
    <row r="8210" spans="129:129" x14ac:dyDescent="0.2">
      <c r="DY8210" s="185" t="s">
        <v>215</v>
      </c>
    </row>
    <row r="8211" spans="129:129" x14ac:dyDescent="0.2">
      <c r="DY8211" s="185" t="s">
        <v>215</v>
      </c>
    </row>
    <row r="8212" spans="129:129" x14ac:dyDescent="0.2">
      <c r="DY8212" s="185" t="s">
        <v>215</v>
      </c>
    </row>
    <row r="8213" spans="129:129" x14ac:dyDescent="0.2">
      <c r="DY8213" s="185" t="s">
        <v>215</v>
      </c>
    </row>
    <row r="8214" spans="129:129" x14ac:dyDescent="0.2">
      <c r="DY8214" s="185" t="s">
        <v>215</v>
      </c>
    </row>
    <row r="8215" spans="129:129" x14ac:dyDescent="0.2">
      <c r="DY8215" s="185" t="s">
        <v>215</v>
      </c>
    </row>
    <row r="8216" spans="129:129" x14ac:dyDescent="0.2">
      <c r="DY8216" s="185" t="s">
        <v>215</v>
      </c>
    </row>
    <row r="8217" spans="129:129" x14ac:dyDescent="0.2">
      <c r="DY8217" s="185" t="s">
        <v>215</v>
      </c>
    </row>
    <row r="8218" spans="129:129" x14ac:dyDescent="0.2">
      <c r="DY8218" s="185" t="s">
        <v>215</v>
      </c>
    </row>
    <row r="8219" spans="129:129" x14ac:dyDescent="0.2">
      <c r="DY8219" s="185" t="s">
        <v>215</v>
      </c>
    </row>
    <row r="8220" spans="129:129" x14ac:dyDescent="0.2">
      <c r="DY8220" s="185" t="s">
        <v>215</v>
      </c>
    </row>
    <row r="8221" spans="129:129" x14ac:dyDescent="0.2">
      <c r="DY8221" s="185" t="s">
        <v>215</v>
      </c>
    </row>
    <row r="8222" spans="129:129" x14ac:dyDescent="0.2">
      <c r="DY8222" s="185" t="s">
        <v>215</v>
      </c>
    </row>
    <row r="8223" spans="129:129" x14ac:dyDescent="0.2">
      <c r="DY8223" s="185" t="s">
        <v>215</v>
      </c>
    </row>
    <row r="8224" spans="129:129" x14ac:dyDescent="0.2">
      <c r="DY8224" s="185" t="s">
        <v>215</v>
      </c>
    </row>
    <row r="8225" spans="129:129" x14ac:dyDescent="0.2">
      <c r="DY8225" s="185" t="s">
        <v>215</v>
      </c>
    </row>
    <row r="8226" spans="129:129" x14ac:dyDescent="0.2">
      <c r="DY8226" s="185" t="s">
        <v>215</v>
      </c>
    </row>
    <row r="8227" spans="129:129" x14ac:dyDescent="0.2">
      <c r="DY8227" s="185" t="s">
        <v>215</v>
      </c>
    </row>
    <row r="8228" spans="129:129" x14ac:dyDescent="0.2">
      <c r="DY8228" s="185" t="s">
        <v>215</v>
      </c>
    </row>
    <row r="8229" spans="129:129" x14ac:dyDescent="0.2">
      <c r="DY8229" s="185" t="s">
        <v>215</v>
      </c>
    </row>
    <row r="8230" spans="129:129" x14ac:dyDescent="0.2">
      <c r="DY8230" s="185" t="s">
        <v>215</v>
      </c>
    </row>
    <row r="8231" spans="129:129" x14ac:dyDescent="0.2">
      <c r="DY8231" s="185" t="s">
        <v>215</v>
      </c>
    </row>
    <row r="8232" spans="129:129" x14ac:dyDescent="0.2">
      <c r="DY8232" s="185" t="s">
        <v>215</v>
      </c>
    </row>
    <row r="8233" spans="129:129" x14ac:dyDescent="0.2">
      <c r="DY8233" s="185" t="s">
        <v>215</v>
      </c>
    </row>
    <row r="8234" spans="129:129" x14ac:dyDescent="0.2">
      <c r="DY8234" s="185" t="s">
        <v>215</v>
      </c>
    </row>
    <row r="8235" spans="129:129" x14ac:dyDescent="0.2">
      <c r="DY8235" s="185" t="s">
        <v>215</v>
      </c>
    </row>
    <row r="8236" spans="129:129" x14ac:dyDescent="0.2">
      <c r="DY8236" s="185" t="s">
        <v>215</v>
      </c>
    </row>
    <row r="8237" spans="129:129" x14ac:dyDescent="0.2">
      <c r="DY8237" s="185" t="s">
        <v>215</v>
      </c>
    </row>
    <row r="8238" spans="129:129" x14ac:dyDescent="0.2">
      <c r="DY8238" s="185" t="s">
        <v>215</v>
      </c>
    </row>
    <row r="8239" spans="129:129" x14ac:dyDescent="0.2">
      <c r="DY8239" s="185" t="s">
        <v>215</v>
      </c>
    </row>
    <row r="8240" spans="129:129" x14ac:dyDescent="0.2">
      <c r="DY8240" s="185" t="s">
        <v>215</v>
      </c>
    </row>
    <row r="8241" spans="129:129" x14ac:dyDescent="0.2">
      <c r="DY8241" s="185" t="s">
        <v>215</v>
      </c>
    </row>
    <row r="8242" spans="129:129" x14ac:dyDescent="0.2">
      <c r="DY8242" s="185" t="s">
        <v>215</v>
      </c>
    </row>
    <row r="8243" spans="129:129" x14ac:dyDescent="0.2">
      <c r="DY8243" s="185" t="s">
        <v>215</v>
      </c>
    </row>
    <row r="8244" spans="129:129" x14ac:dyDescent="0.2">
      <c r="DY8244" s="185" t="s">
        <v>215</v>
      </c>
    </row>
    <row r="8245" spans="129:129" x14ac:dyDescent="0.2">
      <c r="DY8245" s="185" t="s">
        <v>215</v>
      </c>
    </row>
    <row r="8246" spans="129:129" x14ac:dyDescent="0.2">
      <c r="DY8246" s="185" t="s">
        <v>215</v>
      </c>
    </row>
    <row r="8247" spans="129:129" x14ac:dyDescent="0.2">
      <c r="DY8247" s="185" t="s">
        <v>215</v>
      </c>
    </row>
    <row r="8248" spans="129:129" x14ac:dyDescent="0.2">
      <c r="DY8248" s="185" t="s">
        <v>215</v>
      </c>
    </row>
    <row r="8249" spans="129:129" x14ac:dyDescent="0.2">
      <c r="DY8249" s="185" t="s">
        <v>215</v>
      </c>
    </row>
    <row r="8250" spans="129:129" x14ac:dyDescent="0.2">
      <c r="DY8250" s="185" t="s">
        <v>215</v>
      </c>
    </row>
    <row r="8251" spans="129:129" x14ac:dyDescent="0.2">
      <c r="DY8251" s="185" t="s">
        <v>215</v>
      </c>
    </row>
    <row r="8252" spans="129:129" x14ac:dyDescent="0.2">
      <c r="DY8252" s="185" t="s">
        <v>215</v>
      </c>
    </row>
    <row r="8253" spans="129:129" x14ac:dyDescent="0.2">
      <c r="DY8253" s="185" t="s">
        <v>215</v>
      </c>
    </row>
    <row r="8254" spans="129:129" x14ac:dyDescent="0.2">
      <c r="DY8254" s="185" t="s">
        <v>215</v>
      </c>
    </row>
    <row r="8255" spans="129:129" x14ac:dyDescent="0.2">
      <c r="DY8255" s="185" t="s">
        <v>215</v>
      </c>
    </row>
    <row r="8256" spans="129:129" x14ac:dyDescent="0.2">
      <c r="DY8256" s="185" t="s">
        <v>215</v>
      </c>
    </row>
    <row r="8257" spans="129:129" x14ac:dyDescent="0.2">
      <c r="DY8257" s="185" t="s">
        <v>215</v>
      </c>
    </row>
    <row r="8258" spans="129:129" x14ac:dyDescent="0.2">
      <c r="DY8258" s="185" t="s">
        <v>215</v>
      </c>
    </row>
    <row r="8259" spans="129:129" x14ac:dyDescent="0.2">
      <c r="DY8259" s="185" t="s">
        <v>215</v>
      </c>
    </row>
    <row r="8260" spans="129:129" x14ac:dyDescent="0.2">
      <c r="DY8260" s="185" t="s">
        <v>215</v>
      </c>
    </row>
    <row r="8261" spans="129:129" x14ac:dyDescent="0.2">
      <c r="DY8261" s="185" t="s">
        <v>215</v>
      </c>
    </row>
    <row r="8262" spans="129:129" x14ac:dyDescent="0.2">
      <c r="DY8262" s="185" t="s">
        <v>215</v>
      </c>
    </row>
    <row r="8263" spans="129:129" x14ac:dyDescent="0.2">
      <c r="DY8263" s="185" t="s">
        <v>215</v>
      </c>
    </row>
    <row r="8264" spans="129:129" x14ac:dyDescent="0.2">
      <c r="DY8264" s="185" t="s">
        <v>215</v>
      </c>
    </row>
    <row r="8265" spans="129:129" x14ac:dyDescent="0.2">
      <c r="DY8265" s="185" t="s">
        <v>215</v>
      </c>
    </row>
    <row r="8266" spans="129:129" x14ac:dyDescent="0.2">
      <c r="DY8266" s="185" t="s">
        <v>215</v>
      </c>
    </row>
    <row r="8267" spans="129:129" x14ac:dyDescent="0.2">
      <c r="DY8267" s="185" t="s">
        <v>215</v>
      </c>
    </row>
    <row r="8268" spans="129:129" x14ac:dyDescent="0.2">
      <c r="DY8268" s="185" t="s">
        <v>215</v>
      </c>
    </row>
    <row r="8269" spans="129:129" x14ac:dyDescent="0.2">
      <c r="DY8269" s="185" t="s">
        <v>215</v>
      </c>
    </row>
    <row r="8270" spans="129:129" x14ac:dyDescent="0.2">
      <c r="DY8270" s="185" t="s">
        <v>215</v>
      </c>
    </row>
    <row r="8271" spans="129:129" x14ac:dyDescent="0.2">
      <c r="DY8271" s="185" t="s">
        <v>215</v>
      </c>
    </row>
    <row r="8272" spans="129:129" x14ac:dyDescent="0.2">
      <c r="DY8272" s="185" t="s">
        <v>215</v>
      </c>
    </row>
    <row r="8273" spans="129:129" x14ac:dyDescent="0.2">
      <c r="DY8273" s="185" t="s">
        <v>215</v>
      </c>
    </row>
    <row r="8274" spans="129:129" x14ac:dyDescent="0.2">
      <c r="DY8274" s="185" t="s">
        <v>215</v>
      </c>
    </row>
    <row r="8275" spans="129:129" x14ac:dyDescent="0.2">
      <c r="DY8275" s="185" t="s">
        <v>215</v>
      </c>
    </row>
    <row r="8276" spans="129:129" x14ac:dyDescent="0.2">
      <c r="DY8276" s="185" t="s">
        <v>215</v>
      </c>
    </row>
    <row r="8277" spans="129:129" x14ac:dyDescent="0.2">
      <c r="DY8277" s="185" t="s">
        <v>215</v>
      </c>
    </row>
    <row r="8278" spans="129:129" x14ac:dyDescent="0.2">
      <c r="DY8278" s="185" t="s">
        <v>215</v>
      </c>
    </row>
    <row r="8279" spans="129:129" x14ac:dyDescent="0.2">
      <c r="DY8279" s="185" t="s">
        <v>215</v>
      </c>
    </row>
    <row r="8280" spans="129:129" x14ac:dyDescent="0.2">
      <c r="DY8280" s="185" t="s">
        <v>215</v>
      </c>
    </row>
    <row r="8281" spans="129:129" x14ac:dyDescent="0.2">
      <c r="DY8281" s="185" t="s">
        <v>215</v>
      </c>
    </row>
    <row r="8282" spans="129:129" x14ac:dyDescent="0.2">
      <c r="DY8282" s="185" t="s">
        <v>215</v>
      </c>
    </row>
    <row r="8283" spans="129:129" x14ac:dyDescent="0.2">
      <c r="DY8283" s="185" t="s">
        <v>215</v>
      </c>
    </row>
    <row r="8284" spans="129:129" x14ac:dyDescent="0.2">
      <c r="DY8284" s="185" t="s">
        <v>215</v>
      </c>
    </row>
    <row r="8285" spans="129:129" x14ac:dyDescent="0.2">
      <c r="DY8285" s="185" t="s">
        <v>215</v>
      </c>
    </row>
    <row r="8286" spans="129:129" x14ac:dyDescent="0.2">
      <c r="DY8286" s="185" t="s">
        <v>215</v>
      </c>
    </row>
    <row r="8287" spans="129:129" x14ac:dyDescent="0.2">
      <c r="DY8287" s="185" t="s">
        <v>215</v>
      </c>
    </row>
    <row r="8288" spans="129:129" x14ac:dyDescent="0.2">
      <c r="DY8288" s="185" t="s">
        <v>215</v>
      </c>
    </row>
    <row r="8289" spans="129:129" x14ac:dyDescent="0.2">
      <c r="DY8289" s="185" t="s">
        <v>215</v>
      </c>
    </row>
    <row r="8290" spans="129:129" x14ac:dyDescent="0.2">
      <c r="DY8290" s="185" t="s">
        <v>215</v>
      </c>
    </row>
    <row r="8291" spans="129:129" x14ac:dyDescent="0.2">
      <c r="DY8291" s="185" t="s">
        <v>215</v>
      </c>
    </row>
    <row r="8292" spans="129:129" x14ac:dyDescent="0.2">
      <c r="DY8292" s="185" t="s">
        <v>215</v>
      </c>
    </row>
    <row r="8293" spans="129:129" x14ac:dyDescent="0.2">
      <c r="DY8293" s="185" t="s">
        <v>215</v>
      </c>
    </row>
    <row r="8294" spans="129:129" x14ac:dyDescent="0.2">
      <c r="DY8294" s="185" t="s">
        <v>215</v>
      </c>
    </row>
    <row r="8295" spans="129:129" x14ac:dyDescent="0.2">
      <c r="DY8295" s="185" t="s">
        <v>215</v>
      </c>
    </row>
    <row r="8296" spans="129:129" x14ac:dyDescent="0.2">
      <c r="DY8296" s="185" t="s">
        <v>215</v>
      </c>
    </row>
    <row r="8297" spans="129:129" x14ac:dyDescent="0.2">
      <c r="DY8297" s="185" t="s">
        <v>215</v>
      </c>
    </row>
    <row r="8298" spans="129:129" x14ac:dyDescent="0.2">
      <c r="DY8298" s="185" t="s">
        <v>215</v>
      </c>
    </row>
    <row r="8299" spans="129:129" x14ac:dyDescent="0.2">
      <c r="DY8299" s="185" t="s">
        <v>215</v>
      </c>
    </row>
    <row r="8300" spans="129:129" x14ac:dyDescent="0.2">
      <c r="DY8300" s="185" t="s">
        <v>215</v>
      </c>
    </row>
    <row r="8301" spans="129:129" x14ac:dyDescent="0.2">
      <c r="DY8301" s="185" t="s">
        <v>215</v>
      </c>
    </row>
    <row r="8302" spans="129:129" x14ac:dyDescent="0.2">
      <c r="DY8302" s="185" t="s">
        <v>215</v>
      </c>
    </row>
    <row r="8303" spans="129:129" x14ac:dyDescent="0.2">
      <c r="DY8303" s="185" t="s">
        <v>215</v>
      </c>
    </row>
    <row r="8304" spans="129:129" x14ac:dyDescent="0.2">
      <c r="DY8304" s="185" t="s">
        <v>215</v>
      </c>
    </row>
    <row r="8305" spans="129:129" x14ac:dyDescent="0.2">
      <c r="DY8305" s="185" t="s">
        <v>215</v>
      </c>
    </row>
    <row r="8306" spans="129:129" x14ac:dyDescent="0.2">
      <c r="DY8306" s="185" t="s">
        <v>215</v>
      </c>
    </row>
    <row r="8307" spans="129:129" x14ac:dyDescent="0.2">
      <c r="DY8307" s="185" t="s">
        <v>215</v>
      </c>
    </row>
    <row r="8308" spans="129:129" x14ac:dyDescent="0.2">
      <c r="DY8308" s="185" t="s">
        <v>215</v>
      </c>
    </row>
    <row r="8309" spans="129:129" x14ac:dyDescent="0.2">
      <c r="DY8309" s="185" t="s">
        <v>215</v>
      </c>
    </row>
    <row r="8310" spans="129:129" x14ac:dyDescent="0.2">
      <c r="DY8310" s="185" t="s">
        <v>215</v>
      </c>
    </row>
    <row r="8311" spans="129:129" x14ac:dyDescent="0.2">
      <c r="DY8311" s="185" t="s">
        <v>215</v>
      </c>
    </row>
    <row r="8312" spans="129:129" x14ac:dyDescent="0.2">
      <c r="DY8312" s="185" t="s">
        <v>215</v>
      </c>
    </row>
    <row r="8313" spans="129:129" x14ac:dyDescent="0.2">
      <c r="DY8313" s="185" t="s">
        <v>215</v>
      </c>
    </row>
    <row r="8314" spans="129:129" x14ac:dyDescent="0.2">
      <c r="DY8314" s="185" t="s">
        <v>215</v>
      </c>
    </row>
    <row r="8315" spans="129:129" x14ac:dyDescent="0.2">
      <c r="DY8315" s="185" t="s">
        <v>215</v>
      </c>
    </row>
    <row r="8316" spans="129:129" x14ac:dyDescent="0.2">
      <c r="DY8316" s="185" t="s">
        <v>215</v>
      </c>
    </row>
    <row r="8317" spans="129:129" x14ac:dyDescent="0.2">
      <c r="DY8317" s="185" t="s">
        <v>215</v>
      </c>
    </row>
    <row r="8318" spans="129:129" x14ac:dyDescent="0.2">
      <c r="DY8318" s="185" t="s">
        <v>215</v>
      </c>
    </row>
    <row r="8319" spans="129:129" x14ac:dyDescent="0.2">
      <c r="DY8319" s="185" t="s">
        <v>215</v>
      </c>
    </row>
    <row r="8320" spans="129:129" x14ac:dyDescent="0.2">
      <c r="DY8320" s="185" t="s">
        <v>215</v>
      </c>
    </row>
    <row r="8321" spans="129:129" x14ac:dyDescent="0.2">
      <c r="DY8321" s="185" t="s">
        <v>215</v>
      </c>
    </row>
    <row r="8322" spans="129:129" x14ac:dyDescent="0.2">
      <c r="DY8322" s="185" t="s">
        <v>215</v>
      </c>
    </row>
    <row r="8323" spans="129:129" x14ac:dyDescent="0.2">
      <c r="DY8323" s="185" t="s">
        <v>215</v>
      </c>
    </row>
    <row r="8324" spans="129:129" x14ac:dyDescent="0.2">
      <c r="DY8324" s="185" t="s">
        <v>215</v>
      </c>
    </row>
    <row r="8325" spans="129:129" x14ac:dyDescent="0.2">
      <c r="DY8325" s="185" t="s">
        <v>215</v>
      </c>
    </row>
    <row r="8326" spans="129:129" x14ac:dyDescent="0.2">
      <c r="DY8326" s="185" t="s">
        <v>215</v>
      </c>
    </row>
    <row r="8327" spans="129:129" x14ac:dyDescent="0.2">
      <c r="DY8327" s="185" t="s">
        <v>215</v>
      </c>
    </row>
    <row r="8328" spans="129:129" x14ac:dyDescent="0.2">
      <c r="DY8328" s="185" t="s">
        <v>215</v>
      </c>
    </row>
    <row r="8329" spans="129:129" x14ac:dyDescent="0.2">
      <c r="DY8329" s="185" t="s">
        <v>215</v>
      </c>
    </row>
    <row r="8330" spans="129:129" x14ac:dyDescent="0.2">
      <c r="DY8330" s="185" t="s">
        <v>215</v>
      </c>
    </row>
    <row r="8331" spans="129:129" x14ac:dyDescent="0.2">
      <c r="DY8331" s="185" t="s">
        <v>215</v>
      </c>
    </row>
    <row r="8332" spans="129:129" x14ac:dyDescent="0.2">
      <c r="DY8332" s="185" t="s">
        <v>215</v>
      </c>
    </row>
    <row r="8333" spans="129:129" x14ac:dyDescent="0.2">
      <c r="DY8333" s="185" t="s">
        <v>215</v>
      </c>
    </row>
    <row r="8334" spans="129:129" x14ac:dyDescent="0.2">
      <c r="DY8334" s="185" t="s">
        <v>215</v>
      </c>
    </row>
    <row r="8335" spans="129:129" x14ac:dyDescent="0.2">
      <c r="DY8335" s="185" t="s">
        <v>215</v>
      </c>
    </row>
    <row r="8336" spans="129:129" x14ac:dyDescent="0.2">
      <c r="DY8336" s="185" t="s">
        <v>215</v>
      </c>
    </row>
    <row r="8337" spans="129:129" x14ac:dyDescent="0.2">
      <c r="DY8337" s="185" t="s">
        <v>215</v>
      </c>
    </row>
    <row r="8338" spans="129:129" x14ac:dyDescent="0.2">
      <c r="DY8338" s="185" t="s">
        <v>215</v>
      </c>
    </row>
    <row r="8339" spans="129:129" x14ac:dyDescent="0.2">
      <c r="DY8339" s="185" t="s">
        <v>215</v>
      </c>
    </row>
    <row r="8340" spans="129:129" x14ac:dyDescent="0.2">
      <c r="DY8340" s="185" t="s">
        <v>215</v>
      </c>
    </row>
    <row r="8341" spans="129:129" x14ac:dyDescent="0.2">
      <c r="DY8341" s="185" t="s">
        <v>215</v>
      </c>
    </row>
    <row r="8342" spans="129:129" x14ac:dyDescent="0.2">
      <c r="DY8342" s="185" t="s">
        <v>215</v>
      </c>
    </row>
    <row r="8343" spans="129:129" x14ac:dyDescent="0.2">
      <c r="DY8343" s="185" t="s">
        <v>215</v>
      </c>
    </row>
    <row r="8344" spans="129:129" x14ac:dyDescent="0.2">
      <c r="DY8344" s="185" t="s">
        <v>215</v>
      </c>
    </row>
    <row r="8345" spans="129:129" x14ac:dyDescent="0.2">
      <c r="DY8345" s="185" t="s">
        <v>215</v>
      </c>
    </row>
    <row r="8346" spans="129:129" x14ac:dyDescent="0.2">
      <c r="DY8346" s="185" t="s">
        <v>215</v>
      </c>
    </row>
    <row r="8347" spans="129:129" x14ac:dyDescent="0.2">
      <c r="DY8347" s="185" t="s">
        <v>215</v>
      </c>
    </row>
    <row r="8348" spans="129:129" x14ac:dyDescent="0.2">
      <c r="DY8348" s="185" t="s">
        <v>215</v>
      </c>
    </row>
    <row r="8349" spans="129:129" x14ac:dyDescent="0.2">
      <c r="DY8349" s="185" t="s">
        <v>215</v>
      </c>
    </row>
    <row r="8350" spans="129:129" x14ac:dyDescent="0.2">
      <c r="DY8350" s="185" t="s">
        <v>215</v>
      </c>
    </row>
    <row r="8351" spans="129:129" x14ac:dyDescent="0.2">
      <c r="DY8351" s="185" t="s">
        <v>215</v>
      </c>
    </row>
    <row r="8352" spans="129:129" x14ac:dyDescent="0.2">
      <c r="DY8352" s="185" t="s">
        <v>215</v>
      </c>
    </row>
    <row r="8353" spans="129:129" x14ac:dyDescent="0.2">
      <c r="DY8353" s="185" t="s">
        <v>215</v>
      </c>
    </row>
    <row r="8354" spans="129:129" x14ac:dyDescent="0.2">
      <c r="DY8354" s="185" t="s">
        <v>215</v>
      </c>
    </row>
    <row r="8355" spans="129:129" x14ac:dyDescent="0.2">
      <c r="DY8355" s="185" t="s">
        <v>215</v>
      </c>
    </row>
    <row r="8356" spans="129:129" x14ac:dyDescent="0.2">
      <c r="DY8356" s="185" t="s">
        <v>215</v>
      </c>
    </row>
    <row r="8357" spans="129:129" x14ac:dyDescent="0.2">
      <c r="DY8357" s="185" t="s">
        <v>215</v>
      </c>
    </row>
    <row r="8358" spans="129:129" x14ac:dyDescent="0.2">
      <c r="DY8358" s="185" t="s">
        <v>215</v>
      </c>
    </row>
    <row r="8359" spans="129:129" x14ac:dyDescent="0.2">
      <c r="DY8359" s="185" t="s">
        <v>215</v>
      </c>
    </row>
    <row r="8360" spans="129:129" x14ac:dyDescent="0.2">
      <c r="DY8360" s="185" t="s">
        <v>215</v>
      </c>
    </row>
    <row r="8361" spans="129:129" x14ac:dyDescent="0.2">
      <c r="DY8361" s="185" t="s">
        <v>215</v>
      </c>
    </row>
    <row r="8362" spans="129:129" x14ac:dyDescent="0.2">
      <c r="DY8362" s="185" t="s">
        <v>215</v>
      </c>
    </row>
    <row r="8363" spans="129:129" x14ac:dyDescent="0.2">
      <c r="DY8363" s="185" t="s">
        <v>215</v>
      </c>
    </row>
    <row r="8364" spans="129:129" x14ac:dyDescent="0.2">
      <c r="DY8364" s="185" t="s">
        <v>215</v>
      </c>
    </row>
    <row r="8365" spans="129:129" x14ac:dyDescent="0.2">
      <c r="DY8365" s="185" t="s">
        <v>215</v>
      </c>
    </row>
    <row r="8366" spans="129:129" x14ac:dyDescent="0.2">
      <c r="DY8366" s="185" t="s">
        <v>215</v>
      </c>
    </row>
    <row r="8367" spans="129:129" x14ac:dyDescent="0.2">
      <c r="DY8367" s="185" t="s">
        <v>215</v>
      </c>
    </row>
    <row r="8368" spans="129:129" x14ac:dyDescent="0.2">
      <c r="DY8368" s="185" t="s">
        <v>215</v>
      </c>
    </row>
    <row r="8369" spans="129:129" x14ac:dyDescent="0.2">
      <c r="DY8369" s="185" t="s">
        <v>215</v>
      </c>
    </row>
    <row r="8370" spans="129:129" x14ac:dyDescent="0.2">
      <c r="DY8370" s="185" t="s">
        <v>215</v>
      </c>
    </row>
    <row r="8371" spans="129:129" x14ac:dyDescent="0.2">
      <c r="DY8371" s="185" t="s">
        <v>215</v>
      </c>
    </row>
    <row r="8372" spans="129:129" x14ac:dyDescent="0.2">
      <c r="DY8372" s="185" t="s">
        <v>215</v>
      </c>
    </row>
    <row r="8373" spans="129:129" x14ac:dyDescent="0.2">
      <c r="DY8373" s="185" t="s">
        <v>215</v>
      </c>
    </row>
    <row r="8374" spans="129:129" x14ac:dyDescent="0.2">
      <c r="DY8374" s="185" t="s">
        <v>215</v>
      </c>
    </row>
    <row r="8375" spans="129:129" x14ac:dyDescent="0.2">
      <c r="DY8375" s="185" t="s">
        <v>215</v>
      </c>
    </row>
    <row r="8376" spans="129:129" x14ac:dyDescent="0.2">
      <c r="DY8376" s="185" t="s">
        <v>215</v>
      </c>
    </row>
    <row r="8377" spans="129:129" x14ac:dyDescent="0.2">
      <c r="DY8377" s="185" t="s">
        <v>215</v>
      </c>
    </row>
    <row r="8378" spans="129:129" x14ac:dyDescent="0.2">
      <c r="DY8378" s="185" t="s">
        <v>215</v>
      </c>
    </row>
    <row r="8379" spans="129:129" x14ac:dyDescent="0.2">
      <c r="DY8379" s="185" t="s">
        <v>215</v>
      </c>
    </row>
    <row r="8380" spans="129:129" x14ac:dyDescent="0.2">
      <c r="DY8380" s="185" t="s">
        <v>215</v>
      </c>
    </row>
    <row r="8381" spans="129:129" x14ac:dyDescent="0.2">
      <c r="DY8381" s="185" t="s">
        <v>215</v>
      </c>
    </row>
    <row r="8382" spans="129:129" x14ac:dyDescent="0.2">
      <c r="DY8382" s="185" t="s">
        <v>215</v>
      </c>
    </row>
    <row r="8383" spans="129:129" x14ac:dyDescent="0.2">
      <c r="DY8383" s="185" t="s">
        <v>215</v>
      </c>
    </row>
    <row r="8384" spans="129:129" x14ac:dyDescent="0.2">
      <c r="DY8384" s="185" t="s">
        <v>215</v>
      </c>
    </row>
    <row r="8385" spans="129:129" x14ac:dyDescent="0.2">
      <c r="DY8385" s="185" t="s">
        <v>215</v>
      </c>
    </row>
    <row r="8386" spans="129:129" x14ac:dyDescent="0.2">
      <c r="DY8386" s="185" t="s">
        <v>215</v>
      </c>
    </row>
    <row r="8387" spans="129:129" x14ac:dyDescent="0.2">
      <c r="DY8387" s="185" t="s">
        <v>215</v>
      </c>
    </row>
    <row r="8388" spans="129:129" x14ac:dyDescent="0.2">
      <c r="DY8388" s="185" t="s">
        <v>215</v>
      </c>
    </row>
    <row r="8389" spans="129:129" x14ac:dyDescent="0.2">
      <c r="DY8389" s="185" t="s">
        <v>215</v>
      </c>
    </row>
    <row r="8390" spans="129:129" x14ac:dyDescent="0.2">
      <c r="DY8390" s="185" t="s">
        <v>215</v>
      </c>
    </row>
    <row r="8391" spans="129:129" x14ac:dyDescent="0.2">
      <c r="DY8391" s="185" t="s">
        <v>215</v>
      </c>
    </row>
    <row r="8392" spans="129:129" x14ac:dyDescent="0.2">
      <c r="DY8392" s="185" t="s">
        <v>215</v>
      </c>
    </row>
    <row r="8393" spans="129:129" x14ac:dyDescent="0.2">
      <c r="DY8393" s="185" t="s">
        <v>215</v>
      </c>
    </row>
    <row r="8394" spans="129:129" x14ac:dyDescent="0.2">
      <c r="DY8394" s="185" t="s">
        <v>215</v>
      </c>
    </row>
    <row r="8395" spans="129:129" x14ac:dyDescent="0.2">
      <c r="DY8395" s="185" t="s">
        <v>215</v>
      </c>
    </row>
    <row r="8396" spans="129:129" x14ac:dyDescent="0.2">
      <c r="DY8396" s="185" t="s">
        <v>215</v>
      </c>
    </row>
    <row r="8397" spans="129:129" x14ac:dyDescent="0.2">
      <c r="DY8397" s="185" t="s">
        <v>215</v>
      </c>
    </row>
    <row r="8398" spans="129:129" x14ac:dyDescent="0.2">
      <c r="DY8398" s="185" t="s">
        <v>215</v>
      </c>
    </row>
    <row r="8399" spans="129:129" x14ac:dyDescent="0.2">
      <c r="DY8399" s="185" t="s">
        <v>215</v>
      </c>
    </row>
    <row r="8400" spans="129:129" x14ac:dyDescent="0.2">
      <c r="DY8400" s="185" t="s">
        <v>215</v>
      </c>
    </row>
    <row r="8401" spans="129:129" x14ac:dyDescent="0.2">
      <c r="DY8401" s="185" t="s">
        <v>215</v>
      </c>
    </row>
    <row r="8402" spans="129:129" x14ac:dyDescent="0.2">
      <c r="DY8402" s="185" t="s">
        <v>215</v>
      </c>
    </row>
    <row r="8403" spans="129:129" x14ac:dyDescent="0.2">
      <c r="DY8403" s="185" t="s">
        <v>215</v>
      </c>
    </row>
    <row r="8404" spans="129:129" x14ac:dyDescent="0.2">
      <c r="DY8404" s="185" t="s">
        <v>215</v>
      </c>
    </row>
    <row r="8405" spans="129:129" x14ac:dyDescent="0.2">
      <c r="DY8405" s="185" t="s">
        <v>215</v>
      </c>
    </row>
    <row r="8406" spans="129:129" x14ac:dyDescent="0.2">
      <c r="DY8406" s="185" t="s">
        <v>215</v>
      </c>
    </row>
    <row r="8407" spans="129:129" x14ac:dyDescent="0.2">
      <c r="DY8407" s="185" t="s">
        <v>215</v>
      </c>
    </row>
    <row r="8408" spans="129:129" x14ac:dyDescent="0.2">
      <c r="DY8408" s="185" t="s">
        <v>215</v>
      </c>
    </row>
    <row r="8409" spans="129:129" x14ac:dyDescent="0.2">
      <c r="DY8409" s="185" t="s">
        <v>215</v>
      </c>
    </row>
    <row r="8410" spans="129:129" x14ac:dyDescent="0.2">
      <c r="DY8410" s="185" t="s">
        <v>215</v>
      </c>
    </row>
    <row r="8411" spans="129:129" x14ac:dyDescent="0.2">
      <c r="DY8411" s="185" t="s">
        <v>215</v>
      </c>
    </row>
    <row r="8412" spans="129:129" x14ac:dyDescent="0.2">
      <c r="DY8412" s="185" t="s">
        <v>215</v>
      </c>
    </row>
    <row r="8413" spans="129:129" x14ac:dyDescent="0.2">
      <c r="DY8413" s="185" t="s">
        <v>215</v>
      </c>
    </row>
    <row r="8414" spans="129:129" x14ac:dyDescent="0.2">
      <c r="DY8414" s="185" t="s">
        <v>215</v>
      </c>
    </row>
    <row r="8415" spans="129:129" x14ac:dyDescent="0.2">
      <c r="DY8415" s="185" t="s">
        <v>215</v>
      </c>
    </row>
    <row r="8416" spans="129:129" x14ac:dyDescent="0.2">
      <c r="DY8416" s="185" t="s">
        <v>215</v>
      </c>
    </row>
    <row r="8417" spans="129:129" x14ac:dyDescent="0.2">
      <c r="DY8417" s="185" t="s">
        <v>215</v>
      </c>
    </row>
    <row r="8418" spans="129:129" x14ac:dyDescent="0.2">
      <c r="DY8418" s="185" t="s">
        <v>215</v>
      </c>
    </row>
    <row r="8419" spans="129:129" x14ac:dyDescent="0.2">
      <c r="DY8419" s="185" t="s">
        <v>215</v>
      </c>
    </row>
    <row r="8420" spans="129:129" x14ac:dyDescent="0.2">
      <c r="DY8420" s="185" t="s">
        <v>215</v>
      </c>
    </row>
    <row r="8421" spans="129:129" x14ac:dyDescent="0.2">
      <c r="DY8421" s="185" t="s">
        <v>215</v>
      </c>
    </row>
    <row r="8422" spans="129:129" x14ac:dyDescent="0.2">
      <c r="DY8422" s="185" t="s">
        <v>215</v>
      </c>
    </row>
    <row r="8423" spans="129:129" x14ac:dyDescent="0.2">
      <c r="DY8423" s="185" t="s">
        <v>215</v>
      </c>
    </row>
    <row r="8424" spans="129:129" x14ac:dyDescent="0.2">
      <c r="DY8424" s="185" t="s">
        <v>215</v>
      </c>
    </row>
    <row r="8425" spans="129:129" x14ac:dyDescent="0.2">
      <c r="DY8425" s="185" t="s">
        <v>215</v>
      </c>
    </row>
    <row r="8426" spans="129:129" x14ac:dyDescent="0.2">
      <c r="DY8426" s="185" t="s">
        <v>215</v>
      </c>
    </row>
    <row r="8427" spans="129:129" x14ac:dyDescent="0.2">
      <c r="DY8427" s="185" t="s">
        <v>215</v>
      </c>
    </row>
    <row r="8428" spans="129:129" x14ac:dyDescent="0.2">
      <c r="DY8428" s="185" t="s">
        <v>215</v>
      </c>
    </row>
    <row r="8429" spans="129:129" x14ac:dyDescent="0.2">
      <c r="DY8429" s="185" t="s">
        <v>215</v>
      </c>
    </row>
    <row r="8430" spans="129:129" x14ac:dyDescent="0.2">
      <c r="DY8430" s="185" t="s">
        <v>215</v>
      </c>
    </row>
    <row r="8431" spans="129:129" x14ac:dyDescent="0.2">
      <c r="DY8431" s="185" t="s">
        <v>215</v>
      </c>
    </row>
    <row r="8432" spans="129:129" x14ac:dyDescent="0.2">
      <c r="DY8432" s="185" t="s">
        <v>215</v>
      </c>
    </row>
    <row r="8433" spans="129:129" x14ac:dyDescent="0.2">
      <c r="DY8433" s="185" t="s">
        <v>215</v>
      </c>
    </row>
    <row r="8434" spans="129:129" x14ac:dyDescent="0.2">
      <c r="DY8434" s="185" t="s">
        <v>215</v>
      </c>
    </row>
    <row r="8435" spans="129:129" x14ac:dyDescent="0.2">
      <c r="DY8435" s="185" t="s">
        <v>215</v>
      </c>
    </row>
    <row r="8436" spans="129:129" x14ac:dyDescent="0.2">
      <c r="DY8436" s="185" t="s">
        <v>215</v>
      </c>
    </row>
    <row r="8437" spans="129:129" x14ac:dyDescent="0.2">
      <c r="DY8437" s="185" t="s">
        <v>215</v>
      </c>
    </row>
    <row r="8438" spans="129:129" x14ac:dyDescent="0.2">
      <c r="DY8438" s="185" t="s">
        <v>215</v>
      </c>
    </row>
    <row r="8439" spans="129:129" x14ac:dyDescent="0.2">
      <c r="DY8439" s="185" t="s">
        <v>215</v>
      </c>
    </row>
    <row r="8440" spans="129:129" x14ac:dyDescent="0.2">
      <c r="DY8440" s="185" t="s">
        <v>215</v>
      </c>
    </row>
    <row r="8441" spans="129:129" x14ac:dyDescent="0.2">
      <c r="DY8441" s="185" t="s">
        <v>215</v>
      </c>
    </row>
    <row r="8442" spans="129:129" x14ac:dyDescent="0.2">
      <c r="DY8442" s="185" t="s">
        <v>215</v>
      </c>
    </row>
    <row r="8443" spans="129:129" x14ac:dyDescent="0.2">
      <c r="DY8443" s="185" t="s">
        <v>215</v>
      </c>
    </row>
    <row r="8444" spans="129:129" x14ac:dyDescent="0.2">
      <c r="DY8444" s="185" t="s">
        <v>215</v>
      </c>
    </row>
    <row r="8445" spans="129:129" x14ac:dyDescent="0.2">
      <c r="DY8445" s="185" t="s">
        <v>215</v>
      </c>
    </row>
    <row r="8446" spans="129:129" x14ac:dyDescent="0.2">
      <c r="DY8446" s="185" t="s">
        <v>215</v>
      </c>
    </row>
    <row r="8447" spans="129:129" x14ac:dyDescent="0.2">
      <c r="DY8447" s="185" t="s">
        <v>215</v>
      </c>
    </row>
    <row r="8448" spans="129:129" x14ac:dyDescent="0.2">
      <c r="DY8448" s="185" t="s">
        <v>215</v>
      </c>
    </row>
    <row r="8449" spans="129:129" x14ac:dyDescent="0.2">
      <c r="DY8449" s="185" t="s">
        <v>215</v>
      </c>
    </row>
    <row r="8450" spans="129:129" x14ac:dyDescent="0.2">
      <c r="DY8450" s="185" t="s">
        <v>215</v>
      </c>
    </row>
    <row r="8451" spans="129:129" x14ac:dyDescent="0.2">
      <c r="DY8451" s="185" t="s">
        <v>215</v>
      </c>
    </row>
    <row r="8452" spans="129:129" x14ac:dyDescent="0.2">
      <c r="DY8452" s="185" t="s">
        <v>215</v>
      </c>
    </row>
    <row r="8453" spans="129:129" x14ac:dyDescent="0.2">
      <c r="DY8453" s="185" t="s">
        <v>215</v>
      </c>
    </row>
    <row r="8454" spans="129:129" x14ac:dyDescent="0.2">
      <c r="DY8454" s="185" t="s">
        <v>215</v>
      </c>
    </row>
    <row r="8455" spans="129:129" x14ac:dyDescent="0.2">
      <c r="DY8455" s="185" t="s">
        <v>215</v>
      </c>
    </row>
    <row r="8456" spans="129:129" x14ac:dyDescent="0.2">
      <c r="DY8456" s="185" t="s">
        <v>215</v>
      </c>
    </row>
    <row r="8457" spans="129:129" x14ac:dyDescent="0.2">
      <c r="DY8457" s="185" t="s">
        <v>215</v>
      </c>
    </row>
    <row r="8458" spans="129:129" x14ac:dyDescent="0.2">
      <c r="DY8458" s="185" t="s">
        <v>215</v>
      </c>
    </row>
    <row r="8459" spans="129:129" x14ac:dyDescent="0.2">
      <c r="DY8459" s="185" t="s">
        <v>215</v>
      </c>
    </row>
    <row r="8460" spans="129:129" x14ac:dyDescent="0.2">
      <c r="DY8460" s="185" t="s">
        <v>215</v>
      </c>
    </row>
    <row r="8461" spans="129:129" x14ac:dyDescent="0.2">
      <c r="DY8461" s="185" t="s">
        <v>215</v>
      </c>
    </row>
    <row r="8462" spans="129:129" x14ac:dyDescent="0.2">
      <c r="DY8462" s="185" t="s">
        <v>215</v>
      </c>
    </row>
    <row r="8463" spans="129:129" x14ac:dyDescent="0.2">
      <c r="DY8463" s="185" t="s">
        <v>215</v>
      </c>
    </row>
    <row r="8464" spans="129:129" x14ac:dyDescent="0.2">
      <c r="DY8464" s="185" t="s">
        <v>215</v>
      </c>
    </row>
    <row r="8465" spans="129:129" x14ac:dyDescent="0.2">
      <c r="DY8465" s="185" t="s">
        <v>215</v>
      </c>
    </row>
    <row r="8466" spans="129:129" x14ac:dyDescent="0.2">
      <c r="DY8466" s="185" t="s">
        <v>215</v>
      </c>
    </row>
    <row r="8467" spans="129:129" x14ac:dyDescent="0.2">
      <c r="DY8467" s="185" t="s">
        <v>215</v>
      </c>
    </row>
    <row r="8468" spans="129:129" x14ac:dyDescent="0.2">
      <c r="DY8468" s="185" t="s">
        <v>215</v>
      </c>
    </row>
    <row r="8469" spans="129:129" x14ac:dyDescent="0.2">
      <c r="DY8469" s="185" t="s">
        <v>215</v>
      </c>
    </row>
    <row r="8470" spans="129:129" x14ac:dyDescent="0.2">
      <c r="DY8470" s="185" t="s">
        <v>215</v>
      </c>
    </row>
    <row r="8471" spans="129:129" x14ac:dyDescent="0.2">
      <c r="DY8471" s="185" t="s">
        <v>215</v>
      </c>
    </row>
    <row r="8472" spans="129:129" x14ac:dyDescent="0.2">
      <c r="DY8472" s="185" t="s">
        <v>215</v>
      </c>
    </row>
    <row r="8473" spans="129:129" x14ac:dyDescent="0.2">
      <c r="DY8473" s="185" t="s">
        <v>215</v>
      </c>
    </row>
    <row r="8474" spans="129:129" x14ac:dyDescent="0.2">
      <c r="DY8474" s="185" t="s">
        <v>215</v>
      </c>
    </row>
    <row r="8475" spans="129:129" x14ac:dyDescent="0.2">
      <c r="DY8475" s="185" t="s">
        <v>215</v>
      </c>
    </row>
    <row r="8476" spans="129:129" x14ac:dyDescent="0.2">
      <c r="DY8476" s="185" t="s">
        <v>215</v>
      </c>
    </row>
    <row r="8477" spans="129:129" x14ac:dyDescent="0.2">
      <c r="DY8477" s="185" t="s">
        <v>215</v>
      </c>
    </row>
    <row r="8478" spans="129:129" x14ac:dyDescent="0.2">
      <c r="DY8478" s="185" t="s">
        <v>215</v>
      </c>
    </row>
    <row r="8479" spans="129:129" x14ac:dyDescent="0.2">
      <c r="DY8479" s="185" t="s">
        <v>215</v>
      </c>
    </row>
    <row r="8480" spans="129:129" x14ac:dyDescent="0.2">
      <c r="DY8480" s="185" t="s">
        <v>215</v>
      </c>
    </row>
    <row r="8481" spans="129:129" x14ac:dyDescent="0.2">
      <c r="DY8481" s="185" t="s">
        <v>215</v>
      </c>
    </row>
    <row r="8482" spans="129:129" x14ac:dyDescent="0.2">
      <c r="DY8482" s="185" t="s">
        <v>215</v>
      </c>
    </row>
    <row r="8483" spans="129:129" x14ac:dyDescent="0.2">
      <c r="DY8483" s="185" t="s">
        <v>215</v>
      </c>
    </row>
    <row r="8484" spans="129:129" x14ac:dyDescent="0.2">
      <c r="DY8484" s="185" t="s">
        <v>215</v>
      </c>
    </row>
    <row r="8485" spans="129:129" x14ac:dyDescent="0.2">
      <c r="DY8485" s="185" t="s">
        <v>215</v>
      </c>
    </row>
    <row r="8486" spans="129:129" x14ac:dyDescent="0.2">
      <c r="DY8486" s="185" t="s">
        <v>215</v>
      </c>
    </row>
    <row r="8487" spans="129:129" x14ac:dyDescent="0.2">
      <c r="DY8487" s="185" t="s">
        <v>215</v>
      </c>
    </row>
    <row r="8488" spans="129:129" x14ac:dyDescent="0.2">
      <c r="DY8488" s="185" t="s">
        <v>215</v>
      </c>
    </row>
    <row r="8489" spans="129:129" x14ac:dyDescent="0.2">
      <c r="DY8489" s="185" t="s">
        <v>215</v>
      </c>
    </row>
    <row r="8490" spans="129:129" x14ac:dyDescent="0.2">
      <c r="DY8490" s="185" t="s">
        <v>215</v>
      </c>
    </row>
    <row r="8491" spans="129:129" x14ac:dyDescent="0.2">
      <c r="DY8491" s="185" t="s">
        <v>215</v>
      </c>
    </row>
    <row r="8492" spans="129:129" x14ac:dyDescent="0.2">
      <c r="DY8492" s="185" t="s">
        <v>215</v>
      </c>
    </row>
    <row r="8493" spans="129:129" x14ac:dyDescent="0.2">
      <c r="DY8493" s="185" t="s">
        <v>215</v>
      </c>
    </row>
    <row r="8494" spans="129:129" x14ac:dyDescent="0.2">
      <c r="DY8494" s="185" t="s">
        <v>215</v>
      </c>
    </row>
    <row r="8495" spans="129:129" x14ac:dyDescent="0.2">
      <c r="DY8495" s="185" t="s">
        <v>215</v>
      </c>
    </row>
    <row r="8496" spans="129:129" x14ac:dyDescent="0.2">
      <c r="DY8496" s="185" t="s">
        <v>215</v>
      </c>
    </row>
    <row r="8497" spans="129:129" x14ac:dyDescent="0.2">
      <c r="DY8497" s="185" t="s">
        <v>215</v>
      </c>
    </row>
    <row r="8498" spans="129:129" x14ac:dyDescent="0.2">
      <c r="DY8498" s="185" t="s">
        <v>215</v>
      </c>
    </row>
    <row r="8499" spans="129:129" x14ac:dyDescent="0.2">
      <c r="DY8499" s="185" t="s">
        <v>215</v>
      </c>
    </row>
    <row r="8500" spans="129:129" x14ac:dyDescent="0.2">
      <c r="DY8500" s="185" t="s">
        <v>215</v>
      </c>
    </row>
    <row r="8501" spans="129:129" x14ac:dyDescent="0.2">
      <c r="DY8501" s="185" t="s">
        <v>215</v>
      </c>
    </row>
    <row r="8502" spans="129:129" x14ac:dyDescent="0.2">
      <c r="DY8502" s="185" t="s">
        <v>215</v>
      </c>
    </row>
    <row r="8503" spans="129:129" x14ac:dyDescent="0.2">
      <c r="DY8503" s="185" t="s">
        <v>215</v>
      </c>
    </row>
    <row r="8504" spans="129:129" x14ac:dyDescent="0.2">
      <c r="DY8504" s="185" t="s">
        <v>215</v>
      </c>
    </row>
    <row r="8505" spans="129:129" x14ac:dyDescent="0.2">
      <c r="DY8505" s="185" t="s">
        <v>215</v>
      </c>
    </row>
    <row r="8506" spans="129:129" x14ac:dyDescent="0.2">
      <c r="DY8506" s="185" t="s">
        <v>215</v>
      </c>
    </row>
    <row r="8507" spans="129:129" x14ac:dyDescent="0.2">
      <c r="DY8507" s="185" t="s">
        <v>215</v>
      </c>
    </row>
    <row r="8508" spans="129:129" x14ac:dyDescent="0.2">
      <c r="DY8508" s="185" t="s">
        <v>215</v>
      </c>
    </row>
    <row r="8509" spans="129:129" x14ac:dyDescent="0.2">
      <c r="DY8509" s="185" t="s">
        <v>215</v>
      </c>
    </row>
    <row r="8510" spans="129:129" x14ac:dyDescent="0.2">
      <c r="DY8510" s="185" t="s">
        <v>215</v>
      </c>
    </row>
    <row r="8511" spans="129:129" x14ac:dyDescent="0.2">
      <c r="DY8511" s="185" t="s">
        <v>215</v>
      </c>
    </row>
    <row r="8512" spans="129:129" x14ac:dyDescent="0.2">
      <c r="DY8512" s="185" t="s">
        <v>215</v>
      </c>
    </row>
    <row r="8513" spans="129:129" x14ac:dyDescent="0.2">
      <c r="DY8513" s="185" t="s">
        <v>215</v>
      </c>
    </row>
    <row r="8514" spans="129:129" x14ac:dyDescent="0.2">
      <c r="DY8514" s="185" t="s">
        <v>215</v>
      </c>
    </row>
    <row r="8515" spans="129:129" x14ac:dyDescent="0.2">
      <c r="DY8515" s="185" t="s">
        <v>215</v>
      </c>
    </row>
    <row r="8516" spans="129:129" x14ac:dyDescent="0.2">
      <c r="DY8516" s="185" t="s">
        <v>215</v>
      </c>
    </row>
    <row r="8517" spans="129:129" x14ac:dyDescent="0.2">
      <c r="DY8517" s="185" t="s">
        <v>215</v>
      </c>
    </row>
    <row r="8518" spans="129:129" x14ac:dyDescent="0.2">
      <c r="DY8518" s="185" t="s">
        <v>215</v>
      </c>
    </row>
    <row r="8519" spans="129:129" x14ac:dyDescent="0.2">
      <c r="DY8519" s="185" t="s">
        <v>215</v>
      </c>
    </row>
    <row r="8520" spans="129:129" x14ac:dyDescent="0.2">
      <c r="DY8520" s="185" t="s">
        <v>215</v>
      </c>
    </row>
    <row r="8521" spans="129:129" x14ac:dyDescent="0.2">
      <c r="DY8521" s="185" t="s">
        <v>215</v>
      </c>
    </row>
    <row r="8522" spans="129:129" x14ac:dyDescent="0.2">
      <c r="DY8522" s="185" t="s">
        <v>215</v>
      </c>
    </row>
    <row r="8523" spans="129:129" x14ac:dyDescent="0.2">
      <c r="DY8523" s="185" t="s">
        <v>215</v>
      </c>
    </row>
    <row r="8524" spans="129:129" x14ac:dyDescent="0.2">
      <c r="DY8524" s="185" t="s">
        <v>215</v>
      </c>
    </row>
    <row r="8525" spans="129:129" x14ac:dyDescent="0.2">
      <c r="DY8525" s="185" t="s">
        <v>215</v>
      </c>
    </row>
    <row r="8526" spans="129:129" x14ac:dyDescent="0.2">
      <c r="DY8526" s="185" t="s">
        <v>215</v>
      </c>
    </row>
    <row r="8527" spans="129:129" x14ac:dyDescent="0.2">
      <c r="DY8527" s="185" t="s">
        <v>215</v>
      </c>
    </row>
    <row r="8528" spans="129:129" x14ac:dyDescent="0.2">
      <c r="DY8528" s="185" t="s">
        <v>215</v>
      </c>
    </row>
    <row r="8529" spans="129:129" x14ac:dyDescent="0.2">
      <c r="DY8529" s="185" t="s">
        <v>215</v>
      </c>
    </row>
    <row r="8530" spans="129:129" x14ac:dyDescent="0.2">
      <c r="DY8530" s="185" t="s">
        <v>215</v>
      </c>
    </row>
    <row r="8531" spans="129:129" x14ac:dyDescent="0.2">
      <c r="DY8531" s="185" t="s">
        <v>215</v>
      </c>
    </row>
    <row r="8532" spans="129:129" x14ac:dyDescent="0.2">
      <c r="DY8532" s="185" t="s">
        <v>215</v>
      </c>
    </row>
    <row r="8533" spans="129:129" x14ac:dyDescent="0.2">
      <c r="DY8533" s="185" t="s">
        <v>215</v>
      </c>
    </row>
    <row r="8534" spans="129:129" x14ac:dyDescent="0.2">
      <c r="DY8534" s="185" t="s">
        <v>215</v>
      </c>
    </row>
    <row r="8535" spans="129:129" x14ac:dyDescent="0.2">
      <c r="DY8535" s="185" t="s">
        <v>215</v>
      </c>
    </row>
    <row r="8536" spans="129:129" x14ac:dyDescent="0.2">
      <c r="DY8536" s="185" t="s">
        <v>215</v>
      </c>
    </row>
    <row r="8537" spans="129:129" x14ac:dyDescent="0.2">
      <c r="DY8537" s="185" t="s">
        <v>215</v>
      </c>
    </row>
    <row r="8538" spans="129:129" x14ac:dyDescent="0.2">
      <c r="DY8538" s="185" t="s">
        <v>215</v>
      </c>
    </row>
    <row r="8539" spans="129:129" x14ac:dyDescent="0.2">
      <c r="DY8539" s="185" t="s">
        <v>215</v>
      </c>
    </row>
    <row r="8540" spans="129:129" x14ac:dyDescent="0.2">
      <c r="DY8540" s="185" t="s">
        <v>215</v>
      </c>
    </row>
    <row r="8541" spans="129:129" x14ac:dyDescent="0.2">
      <c r="DY8541" s="185" t="s">
        <v>215</v>
      </c>
    </row>
    <row r="8542" spans="129:129" x14ac:dyDescent="0.2">
      <c r="DY8542" s="185" t="s">
        <v>215</v>
      </c>
    </row>
    <row r="8543" spans="129:129" x14ac:dyDescent="0.2">
      <c r="DY8543" s="185" t="s">
        <v>215</v>
      </c>
    </row>
    <row r="8544" spans="129:129" x14ac:dyDescent="0.2">
      <c r="DY8544" s="185" t="s">
        <v>215</v>
      </c>
    </row>
    <row r="8545" spans="129:129" x14ac:dyDescent="0.2">
      <c r="DY8545" s="185" t="s">
        <v>215</v>
      </c>
    </row>
    <row r="8546" spans="129:129" x14ac:dyDescent="0.2">
      <c r="DY8546" s="185" t="s">
        <v>215</v>
      </c>
    </row>
    <row r="8547" spans="129:129" x14ac:dyDescent="0.2">
      <c r="DY8547" s="185" t="s">
        <v>215</v>
      </c>
    </row>
    <row r="8548" spans="129:129" x14ac:dyDescent="0.2">
      <c r="DY8548" s="185" t="s">
        <v>215</v>
      </c>
    </row>
    <row r="8549" spans="129:129" x14ac:dyDescent="0.2">
      <c r="DY8549" s="185" t="s">
        <v>215</v>
      </c>
    </row>
    <row r="8550" spans="129:129" x14ac:dyDescent="0.2">
      <c r="DY8550" s="185" t="s">
        <v>215</v>
      </c>
    </row>
    <row r="8551" spans="129:129" x14ac:dyDescent="0.2">
      <c r="DY8551" s="185" t="s">
        <v>215</v>
      </c>
    </row>
    <row r="8552" spans="129:129" x14ac:dyDescent="0.2">
      <c r="DY8552" s="185" t="s">
        <v>215</v>
      </c>
    </row>
    <row r="8553" spans="129:129" x14ac:dyDescent="0.2">
      <c r="DY8553" s="185" t="s">
        <v>215</v>
      </c>
    </row>
    <row r="8554" spans="129:129" x14ac:dyDescent="0.2">
      <c r="DY8554" s="185" t="s">
        <v>215</v>
      </c>
    </row>
    <row r="8555" spans="129:129" x14ac:dyDescent="0.2">
      <c r="DY8555" s="185" t="s">
        <v>215</v>
      </c>
    </row>
    <row r="8556" spans="129:129" x14ac:dyDescent="0.2">
      <c r="DY8556" s="185" t="s">
        <v>215</v>
      </c>
    </row>
    <row r="8557" spans="129:129" x14ac:dyDescent="0.2">
      <c r="DY8557" s="185" t="s">
        <v>215</v>
      </c>
    </row>
    <row r="8558" spans="129:129" x14ac:dyDescent="0.2">
      <c r="DY8558" s="185" t="s">
        <v>215</v>
      </c>
    </row>
    <row r="8559" spans="129:129" x14ac:dyDescent="0.2">
      <c r="DY8559" s="185" t="s">
        <v>215</v>
      </c>
    </row>
    <row r="8560" spans="129:129" x14ac:dyDescent="0.2">
      <c r="DY8560" s="185" t="s">
        <v>215</v>
      </c>
    </row>
    <row r="8561" spans="129:129" x14ac:dyDescent="0.2">
      <c r="DY8561" s="185" t="s">
        <v>215</v>
      </c>
    </row>
    <row r="8562" spans="129:129" x14ac:dyDescent="0.2">
      <c r="DY8562" s="185" t="s">
        <v>215</v>
      </c>
    </row>
    <row r="8563" spans="129:129" x14ac:dyDescent="0.2">
      <c r="DY8563" s="185" t="s">
        <v>215</v>
      </c>
    </row>
    <row r="8564" spans="129:129" x14ac:dyDescent="0.2">
      <c r="DY8564" s="185" t="s">
        <v>215</v>
      </c>
    </row>
    <row r="8565" spans="129:129" x14ac:dyDescent="0.2">
      <c r="DY8565" s="185" t="s">
        <v>215</v>
      </c>
    </row>
    <row r="8566" spans="129:129" x14ac:dyDescent="0.2">
      <c r="DY8566" s="185" t="s">
        <v>215</v>
      </c>
    </row>
    <row r="8567" spans="129:129" x14ac:dyDescent="0.2">
      <c r="DY8567" s="185" t="s">
        <v>215</v>
      </c>
    </row>
    <row r="8568" spans="129:129" x14ac:dyDescent="0.2">
      <c r="DY8568" s="185" t="s">
        <v>215</v>
      </c>
    </row>
    <row r="8569" spans="129:129" x14ac:dyDescent="0.2">
      <c r="DY8569" s="185" t="s">
        <v>215</v>
      </c>
    </row>
    <row r="8570" spans="129:129" x14ac:dyDescent="0.2">
      <c r="DY8570" s="185" t="s">
        <v>215</v>
      </c>
    </row>
    <row r="8571" spans="129:129" x14ac:dyDescent="0.2">
      <c r="DY8571" s="185" t="s">
        <v>215</v>
      </c>
    </row>
    <row r="8572" spans="129:129" x14ac:dyDescent="0.2">
      <c r="DY8572" s="185" t="s">
        <v>215</v>
      </c>
    </row>
    <row r="8573" spans="129:129" x14ac:dyDescent="0.2">
      <c r="DY8573" s="185" t="s">
        <v>215</v>
      </c>
    </row>
    <row r="8574" spans="129:129" x14ac:dyDescent="0.2">
      <c r="DY8574" s="185" t="s">
        <v>215</v>
      </c>
    </row>
    <row r="8575" spans="129:129" x14ac:dyDescent="0.2">
      <c r="DY8575" s="185" t="s">
        <v>215</v>
      </c>
    </row>
    <row r="8576" spans="129:129" x14ac:dyDescent="0.2">
      <c r="DY8576" s="185" t="s">
        <v>215</v>
      </c>
    </row>
    <row r="8577" spans="129:129" x14ac:dyDescent="0.2">
      <c r="DY8577" s="185" t="s">
        <v>215</v>
      </c>
    </row>
    <row r="8578" spans="129:129" x14ac:dyDescent="0.2">
      <c r="DY8578" s="185" t="s">
        <v>215</v>
      </c>
    </row>
    <row r="8579" spans="129:129" x14ac:dyDescent="0.2">
      <c r="DY8579" s="185" t="s">
        <v>215</v>
      </c>
    </row>
    <row r="8580" spans="129:129" x14ac:dyDescent="0.2">
      <c r="DY8580" s="185" t="s">
        <v>215</v>
      </c>
    </row>
    <row r="8581" spans="129:129" x14ac:dyDescent="0.2">
      <c r="DY8581" s="185" t="s">
        <v>215</v>
      </c>
    </row>
    <row r="8582" spans="129:129" x14ac:dyDescent="0.2">
      <c r="DY8582" s="185" t="s">
        <v>215</v>
      </c>
    </row>
    <row r="8583" spans="129:129" x14ac:dyDescent="0.2">
      <c r="DY8583" s="185" t="s">
        <v>215</v>
      </c>
    </row>
    <row r="8584" spans="129:129" x14ac:dyDescent="0.2">
      <c r="DY8584" s="185" t="s">
        <v>215</v>
      </c>
    </row>
    <row r="8585" spans="129:129" x14ac:dyDescent="0.2">
      <c r="DY8585" s="185" t="s">
        <v>215</v>
      </c>
    </row>
    <row r="8586" spans="129:129" x14ac:dyDescent="0.2">
      <c r="DY8586" s="185" t="s">
        <v>215</v>
      </c>
    </row>
    <row r="8587" spans="129:129" x14ac:dyDescent="0.2">
      <c r="DY8587" s="185" t="s">
        <v>215</v>
      </c>
    </row>
    <row r="8588" spans="129:129" x14ac:dyDescent="0.2">
      <c r="DY8588" s="185" t="s">
        <v>215</v>
      </c>
    </row>
    <row r="8589" spans="129:129" x14ac:dyDescent="0.2">
      <c r="DY8589" s="185" t="s">
        <v>215</v>
      </c>
    </row>
    <row r="8590" spans="129:129" x14ac:dyDescent="0.2">
      <c r="DY8590" s="185" t="s">
        <v>215</v>
      </c>
    </row>
    <row r="8591" spans="129:129" x14ac:dyDescent="0.2">
      <c r="DY8591" s="185" t="s">
        <v>215</v>
      </c>
    </row>
    <row r="8592" spans="129:129" x14ac:dyDescent="0.2">
      <c r="DY8592" s="185" t="s">
        <v>215</v>
      </c>
    </row>
    <row r="8593" spans="129:129" x14ac:dyDescent="0.2">
      <c r="DY8593" s="185" t="s">
        <v>215</v>
      </c>
    </row>
    <row r="8594" spans="129:129" x14ac:dyDescent="0.2">
      <c r="DY8594" s="185" t="s">
        <v>215</v>
      </c>
    </row>
    <row r="8595" spans="129:129" x14ac:dyDescent="0.2">
      <c r="DY8595" s="185" t="s">
        <v>215</v>
      </c>
    </row>
    <row r="8596" spans="129:129" x14ac:dyDescent="0.2">
      <c r="DY8596" s="185" t="s">
        <v>215</v>
      </c>
    </row>
    <row r="8597" spans="129:129" x14ac:dyDescent="0.2">
      <c r="DY8597" s="185" t="s">
        <v>215</v>
      </c>
    </row>
    <row r="8598" spans="129:129" x14ac:dyDescent="0.2">
      <c r="DY8598" s="185" t="s">
        <v>215</v>
      </c>
    </row>
    <row r="8599" spans="129:129" x14ac:dyDescent="0.2">
      <c r="DY8599" s="185" t="s">
        <v>215</v>
      </c>
    </row>
    <row r="8600" spans="129:129" x14ac:dyDescent="0.2">
      <c r="DY8600" s="185" t="s">
        <v>215</v>
      </c>
    </row>
    <row r="8601" spans="129:129" x14ac:dyDescent="0.2">
      <c r="DY8601" s="185" t="s">
        <v>215</v>
      </c>
    </row>
    <row r="8602" spans="129:129" x14ac:dyDescent="0.2">
      <c r="DY8602" s="185" t="s">
        <v>215</v>
      </c>
    </row>
    <row r="8603" spans="129:129" x14ac:dyDescent="0.2">
      <c r="DY8603" s="185" t="s">
        <v>215</v>
      </c>
    </row>
    <row r="8604" spans="129:129" x14ac:dyDescent="0.2">
      <c r="DY8604" s="185" t="s">
        <v>215</v>
      </c>
    </row>
    <row r="8605" spans="129:129" x14ac:dyDescent="0.2">
      <c r="DY8605" s="185" t="s">
        <v>215</v>
      </c>
    </row>
    <row r="8606" spans="129:129" x14ac:dyDescent="0.2">
      <c r="DY8606" s="185" t="s">
        <v>215</v>
      </c>
    </row>
    <row r="8607" spans="129:129" x14ac:dyDescent="0.2">
      <c r="DY8607" s="185" t="s">
        <v>215</v>
      </c>
    </row>
    <row r="8608" spans="129:129" x14ac:dyDescent="0.2">
      <c r="DY8608" s="185" t="s">
        <v>215</v>
      </c>
    </row>
    <row r="8609" spans="129:129" x14ac:dyDescent="0.2">
      <c r="DY8609" s="185" t="s">
        <v>215</v>
      </c>
    </row>
    <row r="8610" spans="129:129" x14ac:dyDescent="0.2">
      <c r="DY8610" s="185" t="s">
        <v>215</v>
      </c>
    </row>
    <row r="8611" spans="129:129" x14ac:dyDescent="0.2">
      <c r="DY8611" s="185" t="s">
        <v>215</v>
      </c>
    </row>
    <row r="8612" spans="129:129" x14ac:dyDescent="0.2">
      <c r="DY8612" s="185" t="s">
        <v>215</v>
      </c>
    </row>
    <row r="8613" spans="129:129" x14ac:dyDescent="0.2">
      <c r="DY8613" s="185" t="s">
        <v>215</v>
      </c>
    </row>
    <row r="8614" spans="129:129" x14ac:dyDescent="0.2">
      <c r="DY8614" s="185" t="s">
        <v>215</v>
      </c>
    </row>
    <row r="8615" spans="129:129" x14ac:dyDescent="0.2">
      <c r="DY8615" s="185" t="s">
        <v>215</v>
      </c>
    </row>
    <row r="8616" spans="129:129" x14ac:dyDescent="0.2">
      <c r="DY8616" s="185" t="s">
        <v>215</v>
      </c>
    </row>
    <row r="8617" spans="129:129" x14ac:dyDescent="0.2">
      <c r="DY8617" s="185" t="s">
        <v>215</v>
      </c>
    </row>
    <row r="8618" spans="129:129" x14ac:dyDescent="0.2">
      <c r="DY8618" s="185" t="s">
        <v>215</v>
      </c>
    </row>
    <row r="8619" spans="129:129" x14ac:dyDescent="0.2">
      <c r="DY8619" s="185" t="s">
        <v>215</v>
      </c>
    </row>
    <row r="8620" spans="129:129" x14ac:dyDescent="0.2">
      <c r="DY8620" s="185" t="s">
        <v>215</v>
      </c>
    </row>
    <row r="8621" spans="129:129" x14ac:dyDescent="0.2">
      <c r="DY8621" s="185" t="s">
        <v>215</v>
      </c>
    </row>
    <row r="8622" spans="129:129" x14ac:dyDescent="0.2">
      <c r="DY8622" s="185" t="s">
        <v>215</v>
      </c>
    </row>
    <row r="8623" spans="129:129" x14ac:dyDescent="0.2">
      <c r="DY8623" s="185" t="s">
        <v>215</v>
      </c>
    </row>
    <row r="8624" spans="129:129" x14ac:dyDescent="0.2">
      <c r="DY8624" s="185" t="s">
        <v>215</v>
      </c>
    </row>
    <row r="8625" spans="129:129" x14ac:dyDescent="0.2">
      <c r="DY8625" s="185" t="s">
        <v>215</v>
      </c>
    </row>
    <row r="8626" spans="129:129" x14ac:dyDescent="0.2">
      <c r="DY8626" s="185" t="s">
        <v>215</v>
      </c>
    </row>
    <row r="8627" spans="129:129" x14ac:dyDescent="0.2">
      <c r="DY8627" s="185" t="s">
        <v>215</v>
      </c>
    </row>
    <row r="8628" spans="129:129" x14ac:dyDescent="0.2">
      <c r="DY8628" s="185" t="s">
        <v>215</v>
      </c>
    </row>
    <row r="8629" spans="129:129" x14ac:dyDescent="0.2">
      <c r="DY8629" s="185" t="s">
        <v>215</v>
      </c>
    </row>
    <row r="8630" spans="129:129" x14ac:dyDescent="0.2">
      <c r="DY8630" s="185" t="s">
        <v>215</v>
      </c>
    </row>
    <row r="8631" spans="129:129" x14ac:dyDescent="0.2">
      <c r="DY8631" s="185" t="s">
        <v>215</v>
      </c>
    </row>
    <row r="8632" spans="129:129" x14ac:dyDescent="0.2">
      <c r="DY8632" s="185" t="s">
        <v>215</v>
      </c>
    </row>
    <row r="8633" spans="129:129" x14ac:dyDescent="0.2">
      <c r="DY8633" s="185" t="s">
        <v>215</v>
      </c>
    </row>
    <row r="8634" spans="129:129" x14ac:dyDescent="0.2">
      <c r="DY8634" s="185" t="s">
        <v>215</v>
      </c>
    </row>
    <row r="8635" spans="129:129" x14ac:dyDescent="0.2">
      <c r="DY8635" s="185" t="s">
        <v>215</v>
      </c>
    </row>
    <row r="8636" spans="129:129" x14ac:dyDescent="0.2">
      <c r="DY8636" s="185" t="s">
        <v>215</v>
      </c>
    </row>
    <row r="8637" spans="129:129" x14ac:dyDescent="0.2">
      <c r="DY8637" s="185" t="s">
        <v>215</v>
      </c>
    </row>
    <row r="8638" spans="129:129" x14ac:dyDescent="0.2">
      <c r="DY8638" s="185" t="s">
        <v>215</v>
      </c>
    </row>
    <row r="8639" spans="129:129" x14ac:dyDescent="0.2">
      <c r="DY8639" s="185" t="s">
        <v>215</v>
      </c>
    </row>
    <row r="8640" spans="129:129" x14ac:dyDescent="0.2">
      <c r="DY8640" s="185" t="s">
        <v>215</v>
      </c>
    </row>
    <row r="8641" spans="129:129" x14ac:dyDescent="0.2">
      <c r="DY8641" s="185" t="s">
        <v>215</v>
      </c>
    </row>
    <row r="8642" spans="129:129" x14ac:dyDescent="0.2">
      <c r="DY8642" s="185" t="s">
        <v>215</v>
      </c>
    </row>
    <row r="8643" spans="129:129" x14ac:dyDescent="0.2">
      <c r="DY8643" s="185" t="s">
        <v>215</v>
      </c>
    </row>
    <row r="8644" spans="129:129" x14ac:dyDescent="0.2">
      <c r="DY8644" s="185" t="s">
        <v>215</v>
      </c>
    </row>
    <row r="8645" spans="129:129" x14ac:dyDescent="0.2">
      <c r="DY8645" s="185" t="s">
        <v>215</v>
      </c>
    </row>
    <row r="8646" spans="129:129" x14ac:dyDescent="0.2">
      <c r="DY8646" s="185" t="s">
        <v>215</v>
      </c>
    </row>
    <row r="8647" spans="129:129" x14ac:dyDescent="0.2">
      <c r="DY8647" s="185" t="s">
        <v>215</v>
      </c>
    </row>
    <row r="8648" spans="129:129" x14ac:dyDescent="0.2">
      <c r="DY8648" s="185" t="s">
        <v>215</v>
      </c>
    </row>
    <row r="8649" spans="129:129" x14ac:dyDescent="0.2">
      <c r="DY8649" s="185" t="s">
        <v>215</v>
      </c>
    </row>
    <row r="8650" spans="129:129" x14ac:dyDescent="0.2">
      <c r="DY8650" s="185" t="s">
        <v>215</v>
      </c>
    </row>
    <row r="8651" spans="129:129" x14ac:dyDescent="0.2">
      <c r="DY8651" s="185" t="s">
        <v>215</v>
      </c>
    </row>
    <row r="8652" spans="129:129" x14ac:dyDescent="0.2">
      <c r="DY8652" s="185" t="s">
        <v>215</v>
      </c>
    </row>
    <row r="8653" spans="129:129" x14ac:dyDescent="0.2">
      <c r="DY8653" s="185" t="s">
        <v>215</v>
      </c>
    </row>
    <row r="8654" spans="129:129" x14ac:dyDescent="0.2">
      <c r="DY8654" s="185" t="s">
        <v>215</v>
      </c>
    </row>
    <row r="8655" spans="129:129" x14ac:dyDescent="0.2">
      <c r="DY8655" s="185" t="s">
        <v>215</v>
      </c>
    </row>
    <row r="8656" spans="129:129" x14ac:dyDescent="0.2">
      <c r="DY8656" s="185" t="s">
        <v>215</v>
      </c>
    </row>
    <row r="8657" spans="129:129" x14ac:dyDescent="0.2">
      <c r="DY8657" s="185" t="s">
        <v>215</v>
      </c>
    </row>
    <row r="8658" spans="129:129" x14ac:dyDescent="0.2">
      <c r="DY8658" s="185" t="s">
        <v>215</v>
      </c>
    </row>
    <row r="8659" spans="129:129" x14ac:dyDescent="0.2">
      <c r="DY8659" s="185" t="s">
        <v>215</v>
      </c>
    </row>
    <row r="8660" spans="129:129" x14ac:dyDescent="0.2">
      <c r="DY8660" s="185" t="s">
        <v>215</v>
      </c>
    </row>
    <row r="8661" spans="129:129" x14ac:dyDescent="0.2">
      <c r="DY8661" s="185" t="s">
        <v>215</v>
      </c>
    </row>
    <row r="8662" spans="129:129" x14ac:dyDescent="0.2">
      <c r="DY8662" s="185" t="s">
        <v>215</v>
      </c>
    </row>
    <row r="8663" spans="129:129" x14ac:dyDescent="0.2">
      <c r="DY8663" s="185" t="s">
        <v>215</v>
      </c>
    </row>
    <row r="8664" spans="129:129" x14ac:dyDescent="0.2">
      <c r="DY8664" s="185" t="s">
        <v>215</v>
      </c>
    </row>
    <row r="8665" spans="129:129" x14ac:dyDescent="0.2">
      <c r="DY8665" s="185" t="s">
        <v>215</v>
      </c>
    </row>
    <row r="8666" spans="129:129" x14ac:dyDescent="0.2">
      <c r="DY8666" s="185" t="s">
        <v>215</v>
      </c>
    </row>
    <row r="8667" spans="129:129" x14ac:dyDescent="0.2">
      <c r="DY8667" s="185" t="s">
        <v>215</v>
      </c>
    </row>
    <row r="8668" spans="129:129" x14ac:dyDescent="0.2">
      <c r="DY8668" s="185" t="s">
        <v>215</v>
      </c>
    </row>
    <row r="8669" spans="129:129" x14ac:dyDescent="0.2">
      <c r="DY8669" s="185" t="s">
        <v>215</v>
      </c>
    </row>
    <row r="8670" spans="129:129" x14ac:dyDescent="0.2">
      <c r="DY8670" s="185" t="s">
        <v>215</v>
      </c>
    </row>
    <row r="8671" spans="129:129" x14ac:dyDescent="0.2">
      <c r="DY8671" s="185" t="s">
        <v>215</v>
      </c>
    </row>
    <row r="8672" spans="129:129" x14ac:dyDescent="0.2">
      <c r="DY8672" s="185" t="s">
        <v>215</v>
      </c>
    </row>
    <row r="8673" spans="129:129" x14ac:dyDescent="0.2">
      <c r="DY8673" s="185" t="s">
        <v>215</v>
      </c>
    </row>
    <row r="8674" spans="129:129" x14ac:dyDescent="0.2">
      <c r="DY8674" s="185" t="s">
        <v>215</v>
      </c>
    </row>
    <row r="8675" spans="129:129" x14ac:dyDescent="0.2">
      <c r="DY8675" s="185" t="s">
        <v>215</v>
      </c>
    </row>
    <row r="8676" spans="129:129" x14ac:dyDescent="0.2">
      <c r="DY8676" s="185" t="s">
        <v>215</v>
      </c>
    </row>
    <row r="8677" spans="129:129" x14ac:dyDescent="0.2">
      <c r="DY8677" s="185" t="s">
        <v>215</v>
      </c>
    </row>
    <row r="8678" spans="129:129" x14ac:dyDescent="0.2">
      <c r="DY8678" s="185" t="s">
        <v>215</v>
      </c>
    </row>
    <row r="8679" spans="129:129" x14ac:dyDescent="0.2">
      <c r="DY8679" s="185" t="s">
        <v>215</v>
      </c>
    </row>
    <row r="8680" spans="129:129" x14ac:dyDescent="0.2">
      <c r="DY8680" s="185" t="s">
        <v>215</v>
      </c>
    </row>
    <row r="8681" spans="129:129" x14ac:dyDescent="0.2">
      <c r="DY8681" s="185" t="s">
        <v>215</v>
      </c>
    </row>
    <row r="8682" spans="129:129" x14ac:dyDescent="0.2">
      <c r="DY8682" s="185" t="s">
        <v>215</v>
      </c>
    </row>
    <row r="8683" spans="129:129" x14ac:dyDescent="0.2">
      <c r="DY8683" s="185" t="s">
        <v>215</v>
      </c>
    </row>
    <row r="8684" spans="129:129" x14ac:dyDescent="0.2">
      <c r="DY8684" s="185" t="s">
        <v>215</v>
      </c>
    </row>
    <row r="8685" spans="129:129" x14ac:dyDescent="0.2">
      <c r="DY8685" s="185" t="s">
        <v>215</v>
      </c>
    </row>
    <row r="8686" spans="129:129" x14ac:dyDescent="0.2">
      <c r="DY8686" s="185" t="s">
        <v>215</v>
      </c>
    </row>
    <row r="8687" spans="129:129" x14ac:dyDescent="0.2">
      <c r="DY8687" s="185" t="s">
        <v>215</v>
      </c>
    </row>
    <row r="8688" spans="129:129" x14ac:dyDescent="0.2">
      <c r="DY8688" s="185" t="s">
        <v>215</v>
      </c>
    </row>
    <row r="8689" spans="129:129" x14ac:dyDescent="0.2">
      <c r="DY8689" s="185" t="s">
        <v>215</v>
      </c>
    </row>
    <row r="8690" spans="129:129" x14ac:dyDescent="0.2">
      <c r="DY8690" s="185" t="s">
        <v>215</v>
      </c>
    </row>
    <row r="8691" spans="129:129" x14ac:dyDescent="0.2">
      <c r="DY8691" s="185" t="s">
        <v>215</v>
      </c>
    </row>
    <row r="8692" spans="129:129" x14ac:dyDescent="0.2">
      <c r="DY8692" s="185" t="s">
        <v>215</v>
      </c>
    </row>
    <row r="8693" spans="129:129" x14ac:dyDescent="0.2">
      <c r="DY8693" s="185" t="s">
        <v>215</v>
      </c>
    </row>
    <row r="8694" spans="129:129" x14ac:dyDescent="0.2">
      <c r="DY8694" s="185" t="s">
        <v>215</v>
      </c>
    </row>
    <row r="8695" spans="129:129" x14ac:dyDescent="0.2">
      <c r="DY8695" s="185" t="s">
        <v>215</v>
      </c>
    </row>
    <row r="8696" spans="129:129" x14ac:dyDescent="0.2">
      <c r="DY8696" s="185" t="s">
        <v>215</v>
      </c>
    </row>
    <row r="8697" spans="129:129" x14ac:dyDescent="0.2">
      <c r="DY8697" s="185" t="s">
        <v>215</v>
      </c>
    </row>
    <row r="8698" spans="129:129" x14ac:dyDescent="0.2">
      <c r="DY8698" s="185" t="s">
        <v>215</v>
      </c>
    </row>
    <row r="8699" spans="129:129" x14ac:dyDescent="0.2">
      <c r="DY8699" s="185" t="s">
        <v>215</v>
      </c>
    </row>
    <row r="8700" spans="129:129" x14ac:dyDescent="0.2">
      <c r="DY8700" s="185" t="s">
        <v>215</v>
      </c>
    </row>
    <row r="8701" spans="129:129" x14ac:dyDescent="0.2">
      <c r="DY8701" s="185" t="s">
        <v>215</v>
      </c>
    </row>
    <row r="8702" spans="129:129" x14ac:dyDescent="0.2">
      <c r="DY8702" s="185" t="s">
        <v>215</v>
      </c>
    </row>
    <row r="8703" spans="129:129" x14ac:dyDescent="0.2">
      <c r="DY8703" s="185" t="s">
        <v>215</v>
      </c>
    </row>
    <row r="8704" spans="129:129" x14ac:dyDescent="0.2">
      <c r="DY8704" s="185" t="s">
        <v>215</v>
      </c>
    </row>
    <row r="8705" spans="129:129" x14ac:dyDescent="0.2">
      <c r="DY8705" s="185" t="s">
        <v>215</v>
      </c>
    </row>
    <row r="8706" spans="129:129" x14ac:dyDescent="0.2">
      <c r="DY8706" s="185" t="s">
        <v>215</v>
      </c>
    </row>
    <row r="8707" spans="129:129" x14ac:dyDescent="0.2">
      <c r="DY8707" s="185" t="s">
        <v>215</v>
      </c>
    </row>
    <row r="8708" spans="129:129" x14ac:dyDescent="0.2">
      <c r="DY8708" s="185" t="s">
        <v>215</v>
      </c>
    </row>
    <row r="8709" spans="129:129" x14ac:dyDescent="0.2">
      <c r="DY8709" s="185" t="s">
        <v>215</v>
      </c>
    </row>
    <row r="8710" spans="129:129" x14ac:dyDescent="0.2">
      <c r="DY8710" s="185" t="s">
        <v>215</v>
      </c>
    </row>
    <row r="8711" spans="129:129" x14ac:dyDescent="0.2">
      <c r="DY8711" s="185" t="s">
        <v>215</v>
      </c>
    </row>
    <row r="8712" spans="129:129" x14ac:dyDescent="0.2">
      <c r="DY8712" s="185" t="s">
        <v>215</v>
      </c>
    </row>
    <row r="8713" spans="129:129" x14ac:dyDescent="0.2">
      <c r="DY8713" s="185" t="s">
        <v>215</v>
      </c>
    </row>
    <row r="8714" spans="129:129" x14ac:dyDescent="0.2">
      <c r="DY8714" s="185" t="s">
        <v>215</v>
      </c>
    </row>
    <row r="8715" spans="129:129" x14ac:dyDescent="0.2">
      <c r="DY8715" s="185" t="s">
        <v>215</v>
      </c>
    </row>
    <row r="8716" spans="129:129" x14ac:dyDescent="0.2">
      <c r="DY8716" s="185" t="s">
        <v>215</v>
      </c>
    </row>
    <row r="8717" spans="129:129" x14ac:dyDescent="0.2">
      <c r="DY8717" s="185" t="s">
        <v>215</v>
      </c>
    </row>
    <row r="8718" spans="129:129" x14ac:dyDescent="0.2">
      <c r="DY8718" s="185" t="s">
        <v>215</v>
      </c>
    </row>
    <row r="8719" spans="129:129" x14ac:dyDescent="0.2">
      <c r="DY8719" s="185" t="s">
        <v>215</v>
      </c>
    </row>
    <row r="8720" spans="129:129" x14ac:dyDescent="0.2">
      <c r="DY8720" s="185" t="s">
        <v>215</v>
      </c>
    </row>
    <row r="8721" spans="129:129" x14ac:dyDescent="0.2">
      <c r="DY8721" s="185" t="s">
        <v>215</v>
      </c>
    </row>
    <row r="8722" spans="129:129" x14ac:dyDescent="0.2">
      <c r="DY8722" s="185" t="s">
        <v>215</v>
      </c>
    </row>
    <row r="8723" spans="129:129" x14ac:dyDescent="0.2">
      <c r="DY8723" s="185" t="s">
        <v>215</v>
      </c>
    </row>
    <row r="8724" spans="129:129" x14ac:dyDescent="0.2">
      <c r="DY8724" s="185" t="s">
        <v>215</v>
      </c>
    </row>
    <row r="8725" spans="129:129" x14ac:dyDescent="0.2">
      <c r="DY8725" s="185" t="s">
        <v>215</v>
      </c>
    </row>
    <row r="8726" spans="129:129" x14ac:dyDescent="0.2">
      <c r="DY8726" s="185" t="s">
        <v>215</v>
      </c>
    </row>
    <row r="8727" spans="129:129" x14ac:dyDescent="0.2">
      <c r="DY8727" s="185" t="s">
        <v>215</v>
      </c>
    </row>
    <row r="8728" spans="129:129" x14ac:dyDescent="0.2">
      <c r="DY8728" s="185" t="s">
        <v>215</v>
      </c>
    </row>
    <row r="8729" spans="129:129" x14ac:dyDescent="0.2">
      <c r="DY8729" s="185" t="s">
        <v>215</v>
      </c>
    </row>
    <row r="8730" spans="129:129" x14ac:dyDescent="0.2">
      <c r="DY8730" s="185" t="s">
        <v>215</v>
      </c>
    </row>
    <row r="8731" spans="129:129" x14ac:dyDescent="0.2">
      <c r="DY8731" s="185" t="s">
        <v>215</v>
      </c>
    </row>
    <row r="8732" spans="129:129" x14ac:dyDescent="0.2">
      <c r="DY8732" s="185" t="s">
        <v>215</v>
      </c>
    </row>
    <row r="8733" spans="129:129" x14ac:dyDescent="0.2">
      <c r="DY8733" s="185" t="s">
        <v>215</v>
      </c>
    </row>
    <row r="8734" spans="129:129" x14ac:dyDescent="0.2">
      <c r="DY8734" s="185" t="s">
        <v>215</v>
      </c>
    </row>
    <row r="8735" spans="129:129" x14ac:dyDescent="0.2">
      <c r="DY8735" s="185" t="s">
        <v>215</v>
      </c>
    </row>
    <row r="8736" spans="129:129" x14ac:dyDescent="0.2">
      <c r="DY8736" s="185" t="s">
        <v>215</v>
      </c>
    </row>
    <row r="8737" spans="129:129" x14ac:dyDescent="0.2">
      <c r="DY8737" s="185" t="s">
        <v>215</v>
      </c>
    </row>
    <row r="8738" spans="129:129" x14ac:dyDescent="0.2">
      <c r="DY8738" s="185" t="s">
        <v>215</v>
      </c>
    </row>
    <row r="8739" spans="129:129" x14ac:dyDescent="0.2">
      <c r="DY8739" s="185" t="s">
        <v>215</v>
      </c>
    </row>
    <row r="8740" spans="129:129" x14ac:dyDescent="0.2">
      <c r="DY8740" s="185" t="s">
        <v>215</v>
      </c>
    </row>
    <row r="8741" spans="129:129" x14ac:dyDescent="0.2">
      <c r="DY8741" s="185" t="s">
        <v>215</v>
      </c>
    </row>
    <row r="8742" spans="129:129" x14ac:dyDescent="0.2">
      <c r="DY8742" s="185" t="s">
        <v>215</v>
      </c>
    </row>
    <row r="8743" spans="129:129" x14ac:dyDescent="0.2">
      <c r="DY8743" s="185" t="s">
        <v>215</v>
      </c>
    </row>
    <row r="8744" spans="129:129" x14ac:dyDescent="0.2">
      <c r="DY8744" s="185" t="s">
        <v>215</v>
      </c>
    </row>
    <row r="8745" spans="129:129" x14ac:dyDescent="0.2">
      <c r="DY8745" s="185" t="s">
        <v>215</v>
      </c>
    </row>
    <row r="8746" spans="129:129" x14ac:dyDescent="0.2">
      <c r="DY8746" s="185" t="s">
        <v>215</v>
      </c>
    </row>
    <row r="8747" spans="129:129" x14ac:dyDescent="0.2">
      <c r="DY8747" s="185" t="s">
        <v>215</v>
      </c>
    </row>
    <row r="8748" spans="129:129" x14ac:dyDescent="0.2">
      <c r="DY8748" s="185" t="s">
        <v>215</v>
      </c>
    </row>
    <row r="8749" spans="129:129" x14ac:dyDescent="0.2">
      <c r="DY8749" s="185" t="s">
        <v>215</v>
      </c>
    </row>
    <row r="8750" spans="129:129" x14ac:dyDescent="0.2">
      <c r="DY8750" s="185" t="s">
        <v>215</v>
      </c>
    </row>
    <row r="8751" spans="129:129" x14ac:dyDescent="0.2">
      <c r="DY8751" s="185" t="s">
        <v>215</v>
      </c>
    </row>
    <row r="8752" spans="129:129" x14ac:dyDescent="0.2">
      <c r="DY8752" s="185" t="s">
        <v>215</v>
      </c>
    </row>
    <row r="8753" spans="129:129" x14ac:dyDescent="0.2">
      <c r="DY8753" s="185" t="s">
        <v>215</v>
      </c>
    </row>
    <row r="8754" spans="129:129" x14ac:dyDescent="0.2">
      <c r="DY8754" s="185" t="s">
        <v>215</v>
      </c>
    </row>
    <row r="8755" spans="129:129" x14ac:dyDescent="0.2">
      <c r="DY8755" s="185" t="s">
        <v>215</v>
      </c>
    </row>
    <row r="8756" spans="129:129" x14ac:dyDescent="0.2">
      <c r="DY8756" s="185" t="s">
        <v>215</v>
      </c>
    </row>
    <row r="8757" spans="129:129" x14ac:dyDescent="0.2">
      <c r="DY8757" s="185" t="s">
        <v>215</v>
      </c>
    </row>
    <row r="8758" spans="129:129" x14ac:dyDescent="0.2">
      <c r="DY8758" s="185" t="s">
        <v>215</v>
      </c>
    </row>
    <row r="8759" spans="129:129" x14ac:dyDescent="0.2">
      <c r="DY8759" s="185" t="s">
        <v>215</v>
      </c>
    </row>
    <row r="8760" spans="129:129" x14ac:dyDescent="0.2">
      <c r="DY8760" s="185" t="s">
        <v>215</v>
      </c>
    </row>
    <row r="8761" spans="129:129" x14ac:dyDescent="0.2">
      <c r="DY8761" s="185" t="s">
        <v>215</v>
      </c>
    </row>
    <row r="8762" spans="129:129" x14ac:dyDescent="0.2">
      <c r="DY8762" s="185" t="s">
        <v>215</v>
      </c>
    </row>
    <row r="8763" spans="129:129" x14ac:dyDescent="0.2">
      <c r="DY8763" s="185" t="s">
        <v>215</v>
      </c>
    </row>
    <row r="8764" spans="129:129" x14ac:dyDescent="0.2">
      <c r="DY8764" s="185" t="s">
        <v>215</v>
      </c>
    </row>
    <row r="8765" spans="129:129" x14ac:dyDescent="0.2">
      <c r="DY8765" s="185" t="s">
        <v>215</v>
      </c>
    </row>
    <row r="8766" spans="129:129" x14ac:dyDescent="0.2">
      <c r="DY8766" s="185" t="s">
        <v>215</v>
      </c>
    </row>
    <row r="8767" spans="129:129" x14ac:dyDescent="0.2">
      <c r="DY8767" s="185" t="s">
        <v>215</v>
      </c>
    </row>
    <row r="8768" spans="129:129" x14ac:dyDescent="0.2">
      <c r="DY8768" s="185" t="s">
        <v>215</v>
      </c>
    </row>
    <row r="8769" spans="129:129" x14ac:dyDescent="0.2">
      <c r="DY8769" s="185" t="s">
        <v>215</v>
      </c>
    </row>
    <row r="8770" spans="129:129" x14ac:dyDescent="0.2">
      <c r="DY8770" s="185" t="s">
        <v>215</v>
      </c>
    </row>
    <row r="8771" spans="129:129" x14ac:dyDescent="0.2">
      <c r="DY8771" s="185" t="s">
        <v>215</v>
      </c>
    </row>
    <row r="8772" spans="129:129" x14ac:dyDescent="0.2">
      <c r="DY8772" s="185" t="s">
        <v>215</v>
      </c>
    </row>
    <row r="8773" spans="129:129" x14ac:dyDescent="0.2">
      <c r="DY8773" s="185" t="s">
        <v>215</v>
      </c>
    </row>
    <row r="8774" spans="129:129" x14ac:dyDescent="0.2">
      <c r="DY8774" s="185" t="s">
        <v>215</v>
      </c>
    </row>
    <row r="8775" spans="129:129" x14ac:dyDescent="0.2">
      <c r="DY8775" s="185" t="s">
        <v>215</v>
      </c>
    </row>
    <row r="8776" spans="129:129" x14ac:dyDescent="0.2">
      <c r="DY8776" s="185" t="s">
        <v>215</v>
      </c>
    </row>
    <row r="8777" spans="129:129" x14ac:dyDescent="0.2">
      <c r="DY8777" s="185" t="s">
        <v>215</v>
      </c>
    </row>
    <row r="8778" spans="129:129" x14ac:dyDescent="0.2">
      <c r="DY8778" s="185" t="s">
        <v>215</v>
      </c>
    </row>
    <row r="8779" spans="129:129" x14ac:dyDescent="0.2">
      <c r="DY8779" s="185" t="s">
        <v>215</v>
      </c>
    </row>
    <row r="8780" spans="129:129" x14ac:dyDescent="0.2">
      <c r="DY8780" s="185" t="s">
        <v>215</v>
      </c>
    </row>
    <row r="8781" spans="129:129" x14ac:dyDescent="0.2">
      <c r="DY8781" s="185" t="s">
        <v>215</v>
      </c>
    </row>
    <row r="8782" spans="129:129" x14ac:dyDescent="0.2">
      <c r="DY8782" s="185" t="s">
        <v>215</v>
      </c>
    </row>
    <row r="8783" spans="129:129" x14ac:dyDescent="0.2">
      <c r="DY8783" s="185" t="s">
        <v>215</v>
      </c>
    </row>
    <row r="8784" spans="129:129" x14ac:dyDescent="0.2">
      <c r="DY8784" s="185" t="s">
        <v>215</v>
      </c>
    </row>
    <row r="8785" spans="129:129" x14ac:dyDescent="0.2">
      <c r="DY8785" s="185" t="s">
        <v>215</v>
      </c>
    </row>
    <row r="8786" spans="129:129" x14ac:dyDescent="0.2">
      <c r="DY8786" s="185" t="s">
        <v>215</v>
      </c>
    </row>
    <row r="8787" spans="129:129" x14ac:dyDescent="0.2">
      <c r="DY8787" s="185" t="s">
        <v>215</v>
      </c>
    </row>
    <row r="8788" spans="129:129" x14ac:dyDescent="0.2">
      <c r="DY8788" s="185" t="s">
        <v>215</v>
      </c>
    </row>
    <row r="8789" spans="129:129" x14ac:dyDescent="0.2">
      <c r="DY8789" s="185" t="s">
        <v>215</v>
      </c>
    </row>
    <row r="8790" spans="129:129" x14ac:dyDescent="0.2">
      <c r="DY8790" s="185" t="s">
        <v>215</v>
      </c>
    </row>
    <row r="8791" spans="129:129" x14ac:dyDescent="0.2">
      <c r="DY8791" s="185" t="s">
        <v>215</v>
      </c>
    </row>
    <row r="8792" spans="129:129" x14ac:dyDescent="0.2">
      <c r="DY8792" s="185" t="s">
        <v>215</v>
      </c>
    </row>
    <row r="8793" spans="129:129" x14ac:dyDescent="0.2">
      <c r="DY8793" s="185" t="s">
        <v>215</v>
      </c>
    </row>
    <row r="8794" spans="129:129" x14ac:dyDescent="0.2">
      <c r="DY8794" s="185" t="s">
        <v>215</v>
      </c>
    </row>
    <row r="8795" spans="129:129" x14ac:dyDescent="0.2">
      <c r="DY8795" s="185" t="s">
        <v>215</v>
      </c>
    </row>
    <row r="8796" spans="129:129" x14ac:dyDescent="0.2">
      <c r="DY8796" s="185" t="s">
        <v>215</v>
      </c>
    </row>
    <row r="8797" spans="129:129" x14ac:dyDescent="0.2">
      <c r="DY8797" s="185" t="s">
        <v>215</v>
      </c>
    </row>
    <row r="8798" spans="129:129" x14ac:dyDescent="0.2">
      <c r="DY8798" s="185" t="s">
        <v>215</v>
      </c>
    </row>
    <row r="8799" spans="129:129" x14ac:dyDescent="0.2">
      <c r="DY8799" s="185" t="s">
        <v>215</v>
      </c>
    </row>
    <row r="8800" spans="129:129" x14ac:dyDescent="0.2">
      <c r="DY8800" s="185" t="s">
        <v>215</v>
      </c>
    </row>
    <row r="8801" spans="129:129" x14ac:dyDescent="0.2">
      <c r="DY8801" s="185" t="s">
        <v>215</v>
      </c>
    </row>
    <row r="8802" spans="129:129" x14ac:dyDescent="0.2">
      <c r="DY8802" s="185" t="s">
        <v>215</v>
      </c>
    </row>
    <row r="8803" spans="129:129" x14ac:dyDescent="0.2">
      <c r="DY8803" s="185" t="s">
        <v>215</v>
      </c>
    </row>
    <row r="8804" spans="129:129" x14ac:dyDescent="0.2">
      <c r="DY8804" s="185" t="s">
        <v>215</v>
      </c>
    </row>
    <row r="8805" spans="129:129" x14ac:dyDescent="0.2">
      <c r="DY8805" s="185" t="s">
        <v>215</v>
      </c>
    </row>
    <row r="8806" spans="129:129" x14ac:dyDescent="0.2">
      <c r="DY8806" s="185" t="s">
        <v>215</v>
      </c>
    </row>
    <row r="8807" spans="129:129" x14ac:dyDescent="0.2">
      <c r="DY8807" s="185" t="s">
        <v>215</v>
      </c>
    </row>
    <row r="8808" spans="129:129" x14ac:dyDescent="0.2">
      <c r="DY8808" s="185" t="s">
        <v>215</v>
      </c>
    </row>
    <row r="8809" spans="129:129" x14ac:dyDescent="0.2">
      <c r="DY8809" s="185" t="s">
        <v>215</v>
      </c>
    </row>
    <row r="8810" spans="129:129" x14ac:dyDescent="0.2">
      <c r="DY8810" s="185" t="s">
        <v>215</v>
      </c>
    </row>
    <row r="8811" spans="129:129" x14ac:dyDescent="0.2">
      <c r="DY8811" s="185" t="s">
        <v>215</v>
      </c>
    </row>
    <row r="8812" spans="129:129" x14ac:dyDescent="0.2">
      <c r="DY8812" s="185" t="s">
        <v>215</v>
      </c>
    </row>
    <row r="8813" spans="129:129" x14ac:dyDescent="0.2">
      <c r="DY8813" s="185" t="s">
        <v>215</v>
      </c>
    </row>
    <row r="8814" spans="129:129" x14ac:dyDescent="0.2">
      <c r="DY8814" s="185" t="s">
        <v>215</v>
      </c>
    </row>
    <row r="8815" spans="129:129" x14ac:dyDescent="0.2">
      <c r="DY8815" s="185" t="s">
        <v>215</v>
      </c>
    </row>
    <row r="8816" spans="129:129" x14ac:dyDescent="0.2">
      <c r="DY8816" s="185" t="s">
        <v>215</v>
      </c>
    </row>
    <row r="8817" spans="129:129" x14ac:dyDescent="0.2">
      <c r="DY8817" s="185" t="s">
        <v>215</v>
      </c>
    </row>
    <row r="8818" spans="129:129" x14ac:dyDescent="0.2">
      <c r="DY8818" s="185" t="s">
        <v>215</v>
      </c>
    </row>
    <row r="8819" spans="129:129" x14ac:dyDescent="0.2">
      <c r="DY8819" s="185" t="s">
        <v>215</v>
      </c>
    </row>
    <row r="8820" spans="129:129" x14ac:dyDescent="0.2">
      <c r="DY8820" s="185" t="s">
        <v>215</v>
      </c>
    </row>
    <row r="8821" spans="129:129" x14ac:dyDescent="0.2">
      <c r="DY8821" s="185" t="s">
        <v>215</v>
      </c>
    </row>
    <row r="8822" spans="129:129" x14ac:dyDescent="0.2">
      <c r="DY8822" s="185" t="s">
        <v>215</v>
      </c>
    </row>
    <row r="8823" spans="129:129" x14ac:dyDescent="0.2">
      <c r="DY8823" s="185" t="s">
        <v>215</v>
      </c>
    </row>
    <row r="8824" spans="129:129" x14ac:dyDescent="0.2">
      <c r="DY8824" s="185" t="s">
        <v>215</v>
      </c>
    </row>
    <row r="8825" spans="129:129" x14ac:dyDescent="0.2">
      <c r="DY8825" s="185" t="s">
        <v>215</v>
      </c>
    </row>
    <row r="8826" spans="129:129" x14ac:dyDescent="0.2">
      <c r="DY8826" s="185" t="s">
        <v>215</v>
      </c>
    </row>
    <row r="8827" spans="129:129" x14ac:dyDescent="0.2">
      <c r="DY8827" s="185" t="s">
        <v>215</v>
      </c>
    </row>
    <row r="8828" spans="129:129" x14ac:dyDescent="0.2">
      <c r="DY8828" s="185" t="s">
        <v>215</v>
      </c>
    </row>
    <row r="8829" spans="129:129" x14ac:dyDescent="0.2">
      <c r="DY8829" s="185" t="s">
        <v>215</v>
      </c>
    </row>
    <row r="8830" spans="129:129" x14ac:dyDescent="0.2">
      <c r="DY8830" s="185" t="s">
        <v>215</v>
      </c>
    </row>
    <row r="8831" spans="129:129" x14ac:dyDescent="0.2">
      <c r="DY8831" s="185" t="s">
        <v>215</v>
      </c>
    </row>
    <row r="8832" spans="129:129" x14ac:dyDescent="0.2">
      <c r="DY8832" s="185" t="s">
        <v>215</v>
      </c>
    </row>
    <row r="8833" spans="129:129" x14ac:dyDescent="0.2">
      <c r="DY8833" s="185" t="s">
        <v>215</v>
      </c>
    </row>
    <row r="8834" spans="129:129" x14ac:dyDescent="0.2">
      <c r="DY8834" s="185" t="s">
        <v>215</v>
      </c>
    </row>
    <row r="8835" spans="129:129" x14ac:dyDescent="0.2">
      <c r="DY8835" s="185" t="s">
        <v>215</v>
      </c>
    </row>
    <row r="8836" spans="129:129" x14ac:dyDescent="0.2">
      <c r="DY8836" s="185" t="s">
        <v>215</v>
      </c>
    </row>
    <row r="8837" spans="129:129" x14ac:dyDescent="0.2">
      <c r="DY8837" s="185" t="s">
        <v>215</v>
      </c>
    </row>
    <row r="8838" spans="129:129" x14ac:dyDescent="0.2">
      <c r="DY8838" s="185" t="s">
        <v>215</v>
      </c>
    </row>
    <row r="8839" spans="129:129" x14ac:dyDescent="0.2">
      <c r="DY8839" s="185" t="s">
        <v>215</v>
      </c>
    </row>
    <row r="8840" spans="129:129" x14ac:dyDescent="0.2">
      <c r="DY8840" s="185" t="s">
        <v>215</v>
      </c>
    </row>
    <row r="8841" spans="129:129" x14ac:dyDescent="0.2">
      <c r="DY8841" s="185" t="s">
        <v>215</v>
      </c>
    </row>
    <row r="8842" spans="129:129" x14ac:dyDescent="0.2">
      <c r="DY8842" s="185" t="s">
        <v>215</v>
      </c>
    </row>
    <row r="8843" spans="129:129" x14ac:dyDescent="0.2">
      <c r="DY8843" s="185" t="s">
        <v>215</v>
      </c>
    </row>
    <row r="8844" spans="129:129" x14ac:dyDescent="0.2">
      <c r="DY8844" s="185" t="s">
        <v>215</v>
      </c>
    </row>
    <row r="8845" spans="129:129" x14ac:dyDescent="0.2">
      <c r="DY8845" s="185" t="s">
        <v>215</v>
      </c>
    </row>
    <row r="8846" spans="129:129" x14ac:dyDescent="0.2">
      <c r="DY8846" s="185" t="s">
        <v>215</v>
      </c>
    </row>
    <row r="8847" spans="129:129" x14ac:dyDescent="0.2">
      <c r="DY8847" s="185" t="s">
        <v>215</v>
      </c>
    </row>
    <row r="8848" spans="129:129" x14ac:dyDescent="0.2">
      <c r="DY8848" s="185" t="s">
        <v>215</v>
      </c>
    </row>
    <row r="8849" spans="129:129" x14ac:dyDescent="0.2">
      <c r="DY8849" s="185" t="s">
        <v>215</v>
      </c>
    </row>
    <row r="8850" spans="129:129" x14ac:dyDescent="0.2">
      <c r="DY8850" s="185" t="s">
        <v>215</v>
      </c>
    </row>
    <row r="8851" spans="129:129" x14ac:dyDescent="0.2">
      <c r="DY8851" s="185" t="s">
        <v>215</v>
      </c>
    </row>
    <row r="8852" spans="129:129" x14ac:dyDescent="0.2">
      <c r="DY8852" s="185" t="s">
        <v>215</v>
      </c>
    </row>
    <row r="8853" spans="129:129" x14ac:dyDescent="0.2">
      <c r="DY8853" s="185" t="s">
        <v>215</v>
      </c>
    </row>
    <row r="8854" spans="129:129" x14ac:dyDescent="0.2">
      <c r="DY8854" s="185" t="s">
        <v>215</v>
      </c>
    </row>
    <row r="8855" spans="129:129" x14ac:dyDescent="0.2">
      <c r="DY8855" s="185" t="s">
        <v>215</v>
      </c>
    </row>
    <row r="8856" spans="129:129" x14ac:dyDescent="0.2">
      <c r="DY8856" s="185" t="s">
        <v>215</v>
      </c>
    </row>
    <row r="8857" spans="129:129" x14ac:dyDescent="0.2">
      <c r="DY8857" s="185" t="s">
        <v>215</v>
      </c>
    </row>
    <row r="8858" spans="129:129" x14ac:dyDescent="0.2">
      <c r="DY8858" s="185" t="s">
        <v>215</v>
      </c>
    </row>
    <row r="8859" spans="129:129" x14ac:dyDescent="0.2">
      <c r="DY8859" s="185" t="s">
        <v>215</v>
      </c>
    </row>
    <row r="8860" spans="129:129" x14ac:dyDescent="0.2">
      <c r="DY8860" s="185" t="s">
        <v>215</v>
      </c>
    </row>
    <row r="8861" spans="129:129" x14ac:dyDescent="0.2">
      <c r="DY8861" s="185" t="s">
        <v>215</v>
      </c>
    </row>
    <row r="8862" spans="129:129" x14ac:dyDescent="0.2">
      <c r="DY8862" s="185" t="s">
        <v>215</v>
      </c>
    </row>
    <row r="8863" spans="129:129" x14ac:dyDescent="0.2">
      <c r="DY8863" s="185" t="s">
        <v>215</v>
      </c>
    </row>
    <row r="8864" spans="129:129" x14ac:dyDescent="0.2">
      <c r="DY8864" s="185" t="s">
        <v>215</v>
      </c>
    </row>
    <row r="8865" spans="129:129" x14ac:dyDescent="0.2">
      <c r="DY8865" s="185" t="s">
        <v>215</v>
      </c>
    </row>
    <row r="8866" spans="129:129" x14ac:dyDescent="0.2">
      <c r="DY8866" s="185" t="s">
        <v>215</v>
      </c>
    </row>
    <row r="8867" spans="129:129" x14ac:dyDescent="0.2">
      <c r="DY8867" s="185" t="s">
        <v>215</v>
      </c>
    </row>
    <row r="8868" spans="129:129" x14ac:dyDescent="0.2">
      <c r="DY8868" s="185" t="s">
        <v>215</v>
      </c>
    </row>
    <row r="8869" spans="129:129" x14ac:dyDescent="0.2">
      <c r="DY8869" s="185" t="s">
        <v>215</v>
      </c>
    </row>
    <row r="8870" spans="129:129" x14ac:dyDescent="0.2">
      <c r="DY8870" s="185" t="s">
        <v>215</v>
      </c>
    </row>
    <row r="8871" spans="129:129" x14ac:dyDescent="0.2">
      <c r="DY8871" s="185" t="s">
        <v>215</v>
      </c>
    </row>
    <row r="8872" spans="129:129" x14ac:dyDescent="0.2">
      <c r="DY8872" s="185" t="s">
        <v>215</v>
      </c>
    </row>
    <row r="8873" spans="129:129" x14ac:dyDescent="0.2">
      <c r="DY8873" s="185" t="s">
        <v>215</v>
      </c>
    </row>
    <row r="8874" spans="129:129" x14ac:dyDescent="0.2">
      <c r="DY8874" s="185" t="s">
        <v>215</v>
      </c>
    </row>
    <row r="8875" spans="129:129" x14ac:dyDescent="0.2">
      <c r="DY8875" s="185" t="s">
        <v>215</v>
      </c>
    </row>
    <row r="8876" spans="129:129" x14ac:dyDescent="0.2">
      <c r="DY8876" s="185" t="s">
        <v>215</v>
      </c>
    </row>
    <row r="8877" spans="129:129" x14ac:dyDescent="0.2">
      <c r="DY8877" s="185" t="s">
        <v>215</v>
      </c>
    </row>
    <row r="8878" spans="129:129" x14ac:dyDescent="0.2">
      <c r="DY8878" s="185" t="s">
        <v>215</v>
      </c>
    </row>
    <row r="8879" spans="129:129" x14ac:dyDescent="0.2">
      <c r="DY8879" s="185" t="s">
        <v>215</v>
      </c>
    </row>
    <row r="8880" spans="129:129" x14ac:dyDescent="0.2">
      <c r="DY8880" s="185" t="s">
        <v>215</v>
      </c>
    </row>
    <row r="8881" spans="129:129" x14ac:dyDescent="0.2">
      <c r="DY8881" s="185" t="s">
        <v>215</v>
      </c>
    </row>
    <row r="8882" spans="129:129" x14ac:dyDescent="0.2">
      <c r="DY8882" s="185" t="s">
        <v>215</v>
      </c>
    </row>
    <row r="8883" spans="129:129" x14ac:dyDescent="0.2">
      <c r="DY8883" s="185" t="s">
        <v>215</v>
      </c>
    </row>
    <row r="8884" spans="129:129" x14ac:dyDescent="0.2">
      <c r="DY8884" s="185" t="s">
        <v>215</v>
      </c>
    </row>
    <row r="8885" spans="129:129" x14ac:dyDescent="0.2">
      <c r="DY8885" s="185" t="s">
        <v>215</v>
      </c>
    </row>
    <row r="8886" spans="129:129" x14ac:dyDescent="0.2">
      <c r="DY8886" s="185" t="s">
        <v>215</v>
      </c>
    </row>
    <row r="8887" spans="129:129" x14ac:dyDescent="0.2">
      <c r="DY8887" s="185" t="s">
        <v>215</v>
      </c>
    </row>
    <row r="8888" spans="129:129" x14ac:dyDescent="0.2">
      <c r="DY8888" s="185" t="s">
        <v>215</v>
      </c>
    </row>
    <row r="8889" spans="129:129" x14ac:dyDescent="0.2">
      <c r="DY8889" s="185" t="s">
        <v>215</v>
      </c>
    </row>
    <row r="8890" spans="129:129" x14ac:dyDescent="0.2">
      <c r="DY8890" s="185" t="s">
        <v>215</v>
      </c>
    </row>
    <row r="8891" spans="129:129" x14ac:dyDescent="0.2">
      <c r="DY8891" s="185" t="s">
        <v>215</v>
      </c>
    </row>
    <row r="8892" spans="129:129" x14ac:dyDescent="0.2">
      <c r="DY8892" s="185" t="s">
        <v>215</v>
      </c>
    </row>
    <row r="8893" spans="129:129" x14ac:dyDescent="0.2">
      <c r="DY8893" s="185" t="s">
        <v>215</v>
      </c>
    </row>
    <row r="8894" spans="129:129" x14ac:dyDescent="0.2">
      <c r="DY8894" s="185" t="s">
        <v>215</v>
      </c>
    </row>
    <row r="8895" spans="129:129" x14ac:dyDescent="0.2">
      <c r="DY8895" s="185" t="s">
        <v>215</v>
      </c>
    </row>
    <row r="8896" spans="129:129" x14ac:dyDescent="0.2">
      <c r="DY8896" s="185" t="s">
        <v>215</v>
      </c>
    </row>
    <row r="8897" spans="129:129" x14ac:dyDescent="0.2">
      <c r="DY8897" s="185" t="s">
        <v>215</v>
      </c>
    </row>
    <row r="8898" spans="129:129" x14ac:dyDescent="0.2">
      <c r="DY8898" s="185" t="s">
        <v>215</v>
      </c>
    </row>
    <row r="8899" spans="129:129" x14ac:dyDescent="0.2">
      <c r="DY8899" s="185" t="s">
        <v>215</v>
      </c>
    </row>
    <row r="8900" spans="129:129" x14ac:dyDescent="0.2">
      <c r="DY8900" s="185" t="s">
        <v>215</v>
      </c>
    </row>
    <row r="8901" spans="129:129" x14ac:dyDescent="0.2">
      <c r="DY8901" s="185" t="s">
        <v>215</v>
      </c>
    </row>
    <row r="8902" spans="129:129" x14ac:dyDescent="0.2">
      <c r="DY8902" s="185" t="s">
        <v>215</v>
      </c>
    </row>
    <row r="8903" spans="129:129" x14ac:dyDescent="0.2">
      <c r="DY8903" s="185" t="s">
        <v>215</v>
      </c>
    </row>
    <row r="8904" spans="129:129" x14ac:dyDescent="0.2">
      <c r="DY8904" s="185" t="s">
        <v>215</v>
      </c>
    </row>
    <row r="8905" spans="129:129" x14ac:dyDescent="0.2">
      <c r="DY8905" s="185" t="s">
        <v>215</v>
      </c>
    </row>
    <row r="8906" spans="129:129" x14ac:dyDescent="0.2">
      <c r="DY8906" s="185" t="s">
        <v>215</v>
      </c>
    </row>
    <row r="8907" spans="129:129" x14ac:dyDescent="0.2">
      <c r="DY8907" s="185" t="s">
        <v>215</v>
      </c>
    </row>
    <row r="8908" spans="129:129" x14ac:dyDescent="0.2">
      <c r="DY8908" s="185" t="s">
        <v>215</v>
      </c>
    </row>
    <row r="8909" spans="129:129" x14ac:dyDescent="0.2">
      <c r="DY8909" s="185" t="s">
        <v>215</v>
      </c>
    </row>
    <row r="8910" spans="129:129" x14ac:dyDescent="0.2">
      <c r="DY8910" s="185" t="s">
        <v>215</v>
      </c>
    </row>
    <row r="8911" spans="129:129" x14ac:dyDescent="0.2">
      <c r="DY8911" s="185" t="s">
        <v>215</v>
      </c>
    </row>
    <row r="8912" spans="129:129" x14ac:dyDescent="0.2">
      <c r="DY8912" s="185" t="s">
        <v>215</v>
      </c>
    </row>
    <row r="8913" spans="129:129" x14ac:dyDescent="0.2">
      <c r="DY8913" s="185" t="s">
        <v>215</v>
      </c>
    </row>
    <row r="8914" spans="129:129" x14ac:dyDescent="0.2">
      <c r="DY8914" s="185" t="s">
        <v>215</v>
      </c>
    </row>
    <row r="8915" spans="129:129" x14ac:dyDescent="0.2">
      <c r="DY8915" s="185" t="s">
        <v>215</v>
      </c>
    </row>
    <row r="8916" spans="129:129" x14ac:dyDescent="0.2">
      <c r="DY8916" s="185" t="s">
        <v>215</v>
      </c>
    </row>
    <row r="8917" spans="129:129" x14ac:dyDescent="0.2">
      <c r="DY8917" s="185" t="s">
        <v>215</v>
      </c>
    </row>
    <row r="8918" spans="129:129" x14ac:dyDescent="0.2">
      <c r="DY8918" s="185" t="s">
        <v>215</v>
      </c>
    </row>
    <row r="8919" spans="129:129" x14ac:dyDescent="0.2">
      <c r="DY8919" s="185" t="s">
        <v>215</v>
      </c>
    </row>
    <row r="8920" spans="129:129" x14ac:dyDescent="0.2">
      <c r="DY8920" s="185" t="s">
        <v>215</v>
      </c>
    </row>
    <row r="8921" spans="129:129" x14ac:dyDescent="0.2">
      <c r="DY8921" s="185" t="s">
        <v>215</v>
      </c>
    </row>
    <row r="8922" spans="129:129" x14ac:dyDescent="0.2">
      <c r="DY8922" s="185" t="s">
        <v>215</v>
      </c>
    </row>
    <row r="8923" spans="129:129" x14ac:dyDescent="0.2">
      <c r="DY8923" s="185" t="s">
        <v>215</v>
      </c>
    </row>
    <row r="8924" spans="129:129" x14ac:dyDescent="0.2">
      <c r="DY8924" s="185" t="s">
        <v>215</v>
      </c>
    </row>
    <row r="8925" spans="129:129" x14ac:dyDescent="0.2">
      <c r="DY8925" s="185" t="s">
        <v>215</v>
      </c>
    </row>
    <row r="8926" spans="129:129" x14ac:dyDescent="0.2">
      <c r="DY8926" s="185" t="s">
        <v>215</v>
      </c>
    </row>
    <row r="8927" spans="129:129" x14ac:dyDescent="0.2">
      <c r="DY8927" s="185" t="s">
        <v>215</v>
      </c>
    </row>
    <row r="8928" spans="129:129" x14ac:dyDescent="0.2">
      <c r="DY8928" s="185" t="s">
        <v>215</v>
      </c>
    </row>
    <row r="8929" spans="129:129" x14ac:dyDescent="0.2">
      <c r="DY8929" s="185" t="s">
        <v>215</v>
      </c>
    </row>
    <row r="8930" spans="129:129" x14ac:dyDescent="0.2">
      <c r="DY8930" s="185" t="s">
        <v>215</v>
      </c>
    </row>
    <row r="8931" spans="129:129" x14ac:dyDescent="0.2">
      <c r="DY8931" s="185" t="s">
        <v>215</v>
      </c>
    </row>
    <row r="8932" spans="129:129" x14ac:dyDescent="0.2">
      <c r="DY8932" s="185" t="s">
        <v>215</v>
      </c>
    </row>
    <row r="8933" spans="129:129" x14ac:dyDescent="0.2">
      <c r="DY8933" s="185" t="s">
        <v>215</v>
      </c>
    </row>
    <row r="8934" spans="129:129" x14ac:dyDescent="0.2">
      <c r="DY8934" s="185" t="s">
        <v>215</v>
      </c>
    </row>
    <row r="8935" spans="129:129" x14ac:dyDescent="0.2">
      <c r="DY8935" s="185" t="s">
        <v>215</v>
      </c>
    </row>
    <row r="8936" spans="129:129" x14ac:dyDescent="0.2">
      <c r="DY8936" s="185" t="s">
        <v>215</v>
      </c>
    </row>
    <row r="8937" spans="129:129" x14ac:dyDescent="0.2">
      <c r="DY8937" s="185" t="s">
        <v>215</v>
      </c>
    </row>
    <row r="8938" spans="129:129" x14ac:dyDescent="0.2">
      <c r="DY8938" s="185" t="s">
        <v>215</v>
      </c>
    </row>
    <row r="8939" spans="129:129" x14ac:dyDescent="0.2">
      <c r="DY8939" s="185" t="s">
        <v>215</v>
      </c>
    </row>
    <row r="8940" spans="129:129" x14ac:dyDescent="0.2">
      <c r="DY8940" s="185" t="s">
        <v>215</v>
      </c>
    </row>
    <row r="8941" spans="129:129" x14ac:dyDescent="0.2">
      <c r="DY8941" s="185" t="s">
        <v>215</v>
      </c>
    </row>
    <row r="8942" spans="129:129" x14ac:dyDescent="0.2">
      <c r="DY8942" s="185" t="s">
        <v>215</v>
      </c>
    </row>
    <row r="8943" spans="129:129" x14ac:dyDescent="0.2">
      <c r="DY8943" s="185" t="s">
        <v>215</v>
      </c>
    </row>
    <row r="8944" spans="129:129" x14ac:dyDescent="0.2">
      <c r="DY8944" s="185" t="s">
        <v>215</v>
      </c>
    </row>
    <row r="8945" spans="129:129" x14ac:dyDescent="0.2">
      <c r="DY8945" s="185" t="s">
        <v>215</v>
      </c>
    </row>
    <row r="8946" spans="129:129" x14ac:dyDescent="0.2">
      <c r="DY8946" s="185" t="s">
        <v>215</v>
      </c>
    </row>
    <row r="8947" spans="129:129" x14ac:dyDescent="0.2">
      <c r="DY8947" s="185" t="s">
        <v>215</v>
      </c>
    </row>
    <row r="8948" spans="129:129" x14ac:dyDescent="0.2">
      <c r="DY8948" s="185" t="s">
        <v>215</v>
      </c>
    </row>
    <row r="8949" spans="129:129" x14ac:dyDescent="0.2">
      <c r="DY8949" s="185" t="s">
        <v>215</v>
      </c>
    </row>
    <row r="8950" spans="129:129" x14ac:dyDescent="0.2">
      <c r="DY8950" s="185" t="s">
        <v>215</v>
      </c>
    </row>
    <row r="8951" spans="129:129" x14ac:dyDescent="0.2">
      <c r="DY8951" s="185" t="s">
        <v>215</v>
      </c>
    </row>
    <row r="8952" spans="129:129" x14ac:dyDescent="0.2">
      <c r="DY8952" s="185" t="s">
        <v>215</v>
      </c>
    </row>
    <row r="8953" spans="129:129" x14ac:dyDescent="0.2">
      <c r="DY8953" s="185" t="s">
        <v>215</v>
      </c>
    </row>
    <row r="8954" spans="129:129" x14ac:dyDescent="0.2">
      <c r="DY8954" s="185" t="s">
        <v>215</v>
      </c>
    </row>
    <row r="8955" spans="129:129" x14ac:dyDescent="0.2">
      <c r="DY8955" s="185" t="s">
        <v>215</v>
      </c>
    </row>
    <row r="8956" spans="129:129" x14ac:dyDescent="0.2">
      <c r="DY8956" s="185" t="s">
        <v>215</v>
      </c>
    </row>
    <row r="8957" spans="129:129" x14ac:dyDescent="0.2">
      <c r="DY8957" s="185" t="s">
        <v>215</v>
      </c>
    </row>
    <row r="8958" spans="129:129" x14ac:dyDescent="0.2">
      <c r="DY8958" s="185" t="s">
        <v>215</v>
      </c>
    </row>
    <row r="8959" spans="129:129" x14ac:dyDescent="0.2">
      <c r="DY8959" s="185" t="s">
        <v>215</v>
      </c>
    </row>
    <row r="8960" spans="129:129" x14ac:dyDescent="0.2">
      <c r="DY8960" s="185" t="s">
        <v>215</v>
      </c>
    </row>
    <row r="8961" spans="129:129" x14ac:dyDescent="0.2">
      <c r="DY8961" s="185" t="s">
        <v>215</v>
      </c>
    </row>
    <row r="8962" spans="129:129" x14ac:dyDescent="0.2">
      <c r="DY8962" s="185" t="s">
        <v>215</v>
      </c>
    </row>
    <row r="8963" spans="129:129" x14ac:dyDescent="0.2">
      <c r="DY8963" s="185" t="s">
        <v>215</v>
      </c>
    </row>
    <row r="8964" spans="129:129" x14ac:dyDescent="0.2">
      <c r="DY8964" s="185" t="s">
        <v>215</v>
      </c>
    </row>
    <row r="8965" spans="129:129" x14ac:dyDescent="0.2">
      <c r="DY8965" s="185" t="s">
        <v>215</v>
      </c>
    </row>
    <row r="8966" spans="129:129" x14ac:dyDescent="0.2">
      <c r="DY8966" s="185" t="s">
        <v>215</v>
      </c>
    </row>
    <row r="8967" spans="129:129" x14ac:dyDescent="0.2">
      <c r="DY8967" s="185" t="s">
        <v>215</v>
      </c>
    </row>
    <row r="8968" spans="129:129" x14ac:dyDescent="0.2">
      <c r="DY8968" s="185" t="s">
        <v>215</v>
      </c>
    </row>
    <row r="8969" spans="129:129" x14ac:dyDescent="0.2">
      <c r="DY8969" s="185" t="s">
        <v>215</v>
      </c>
    </row>
    <row r="8970" spans="129:129" x14ac:dyDescent="0.2">
      <c r="DY8970" s="185" t="s">
        <v>215</v>
      </c>
    </row>
    <row r="8971" spans="129:129" x14ac:dyDescent="0.2">
      <c r="DY8971" s="185" t="s">
        <v>215</v>
      </c>
    </row>
    <row r="8972" spans="129:129" x14ac:dyDescent="0.2">
      <c r="DY8972" s="185" t="s">
        <v>215</v>
      </c>
    </row>
    <row r="8973" spans="129:129" x14ac:dyDescent="0.2">
      <c r="DY8973" s="185" t="s">
        <v>215</v>
      </c>
    </row>
    <row r="8974" spans="129:129" x14ac:dyDescent="0.2">
      <c r="DY8974" s="185" t="s">
        <v>215</v>
      </c>
    </row>
    <row r="8975" spans="129:129" x14ac:dyDescent="0.2">
      <c r="DY8975" s="185" t="s">
        <v>215</v>
      </c>
    </row>
    <row r="8976" spans="129:129" x14ac:dyDescent="0.2">
      <c r="DY8976" s="185" t="s">
        <v>215</v>
      </c>
    </row>
    <row r="8977" spans="129:129" x14ac:dyDescent="0.2">
      <c r="DY8977" s="185" t="s">
        <v>215</v>
      </c>
    </row>
    <row r="8978" spans="129:129" x14ac:dyDescent="0.2">
      <c r="DY8978" s="185" t="s">
        <v>215</v>
      </c>
    </row>
    <row r="8979" spans="129:129" x14ac:dyDescent="0.2">
      <c r="DY8979" s="185" t="s">
        <v>215</v>
      </c>
    </row>
    <row r="8980" spans="129:129" x14ac:dyDescent="0.2">
      <c r="DY8980" s="185" t="s">
        <v>215</v>
      </c>
    </row>
    <row r="8981" spans="129:129" x14ac:dyDescent="0.2">
      <c r="DY8981" s="185" t="s">
        <v>215</v>
      </c>
    </row>
    <row r="8982" spans="129:129" x14ac:dyDescent="0.2">
      <c r="DY8982" s="185" t="s">
        <v>215</v>
      </c>
    </row>
    <row r="8983" spans="129:129" x14ac:dyDescent="0.2">
      <c r="DY8983" s="185" t="s">
        <v>215</v>
      </c>
    </row>
    <row r="8984" spans="129:129" x14ac:dyDescent="0.2">
      <c r="DY8984" s="185" t="s">
        <v>215</v>
      </c>
    </row>
    <row r="8985" spans="129:129" x14ac:dyDescent="0.2">
      <c r="DY8985" s="185" t="s">
        <v>215</v>
      </c>
    </row>
    <row r="8986" spans="129:129" x14ac:dyDescent="0.2">
      <c r="DY8986" s="185" t="s">
        <v>215</v>
      </c>
    </row>
    <row r="8987" spans="129:129" x14ac:dyDescent="0.2">
      <c r="DY8987" s="185" t="s">
        <v>215</v>
      </c>
    </row>
    <row r="8988" spans="129:129" x14ac:dyDescent="0.2">
      <c r="DY8988" s="185" t="s">
        <v>215</v>
      </c>
    </row>
    <row r="8989" spans="129:129" x14ac:dyDescent="0.2">
      <c r="DY8989" s="185" t="s">
        <v>215</v>
      </c>
    </row>
    <row r="8990" spans="129:129" x14ac:dyDescent="0.2">
      <c r="DY8990" s="185" t="s">
        <v>215</v>
      </c>
    </row>
    <row r="8991" spans="129:129" x14ac:dyDescent="0.2">
      <c r="DY8991" s="185" t="s">
        <v>215</v>
      </c>
    </row>
    <row r="8992" spans="129:129" x14ac:dyDescent="0.2">
      <c r="DY8992" s="185" t="s">
        <v>215</v>
      </c>
    </row>
    <row r="8993" spans="129:129" x14ac:dyDescent="0.2">
      <c r="DY8993" s="185" t="s">
        <v>215</v>
      </c>
    </row>
    <row r="8994" spans="129:129" x14ac:dyDescent="0.2">
      <c r="DY8994" s="185" t="s">
        <v>215</v>
      </c>
    </row>
    <row r="8995" spans="129:129" x14ac:dyDescent="0.2">
      <c r="DY8995" s="185" t="s">
        <v>215</v>
      </c>
    </row>
    <row r="8996" spans="129:129" x14ac:dyDescent="0.2">
      <c r="DY8996" s="185" t="s">
        <v>215</v>
      </c>
    </row>
    <row r="8997" spans="129:129" x14ac:dyDescent="0.2">
      <c r="DY8997" s="185" t="s">
        <v>215</v>
      </c>
    </row>
    <row r="8998" spans="129:129" x14ac:dyDescent="0.2">
      <c r="DY8998" s="185" t="s">
        <v>215</v>
      </c>
    </row>
    <row r="8999" spans="129:129" x14ac:dyDescent="0.2">
      <c r="DY8999" s="185" t="s">
        <v>215</v>
      </c>
    </row>
    <row r="9000" spans="129:129" x14ac:dyDescent="0.2">
      <c r="DY9000" s="185" t="s">
        <v>215</v>
      </c>
    </row>
    <row r="9001" spans="129:129" x14ac:dyDescent="0.2">
      <c r="DY9001" s="185" t="s">
        <v>215</v>
      </c>
    </row>
    <row r="9002" spans="129:129" x14ac:dyDescent="0.2">
      <c r="DY9002" s="185" t="s">
        <v>215</v>
      </c>
    </row>
    <row r="9003" spans="129:129" x14ac:dyDescent="0.2">
      <c r="DY9003" s="185" t="s">
        <v>215</v>
      </c>
    </row>
    <row r="9004" spans="129:129" x14ac:dyDescent="0.2">
      <c r="DY9004" s="185" t="s">
        <v>215</v>
      </c>
    </row>
    <row r="9005" spans="129:129" x14ac:dyDescent="0.2">
      <c r="DY9005" s="185" t="s">
        <v>215</v>
      </c>
    </row>
    <row r="9006" spans="129:129" x14ac:dyDescent="0.2">
      <c r="DY9006" s="185" t="s">
        <v>215</v>
      </c>
    </row>
    <row r="9007" spans="129:129" x14ac:dyDescent="0.2">
      <c r="DY9007" s="185" t="s">
        <v>215</v>
      </c>
    </row>
    <row r="9008" spans="129:129" x14ac:dyDescent="0.2">
      <c r="DY9008" s="185" t="s">
        <v>215</v>
      </c>
    </row>
    <row r="9009" spans="129:129" x14ac:dyDescent="0.2">
      <c r="DY9009" s="185" t="s">
        <v>215</v>
      </c>
    </row>
    <row r="9010" spans="129:129" x14ac:dyDescent="0.2">
      <c r="DY9010" s="185" t="s">
        <v>215</v>
      </c>
    </row>
    <row r="9011" spans="129:129" x14ac:dyDescent="0.2">
      <c r="DY9011" s="185" t="s">
        <v>215</v>
      </c>
    </row>
    <row r="9012" spans="129:129" x14ac:dyDescent="0.2">
      <c r="DY9012" s="185" t="s">
        <v>215</v>
      </c>
    </row>
    <row r="9013" spans="129:129" x14ac:dyDescent="0.2">
      <c r="DY9013" s="185" t="s">
        <v>215</v>
      </c>
    </row>
    <row r="9014" spans="129:129" x14ac:dyDescent="0.2">
      <c r="DY9014" s="185" t="s">
        <v>215</v>
      </c>
    </row>
    <row r="9015" spans="129:129" x14ac:dyDescent="0.2">
      <c r="DY9015" s="185" t="s">
        <v>215</v>
      </c>
    </row>
    <row r="9016" spans="129:129" x14ac:dyDescent="0.2">
      <c r="DY9016" s="185" t="s">
        <v>215</v>
      </c>
    </row>
    <row r="9017" spans="129:129" x14ac:dyDescent="0.2">
      <c r="DY9017" s="185" t="s">
        <v>215</v>
      </c>
    </row>
    <row r="9018" spans="129:129" x14ac:dyDescent="0.2">
      <c r="DY9018" s="185" t="s">
        <v>215</v>
      </c>
    </row>
    <row r="9019" spans="129:129" x14ac:dyDescent="0.2">
      <c r="DY9019" s="185" t="s">
        <v>215</v>
      </c>
    </row>
    <row r="9020" spans="129:129" x14ac:dyDescent="0.2">
      <c r="DY9020" s="185" t="s">
        <v>215</v>
      </c>
    </row>
    <row r="9021" spans="129:129" x14ac:dyDescent="0.2">
      <c r="DY9021" s="185" t="s">
        <v>215</v>
      </c>
    </row>
    <row r="9022" spans="129:129" x14ac:dyDescent="0.2">
      <c r="DY9022" s="185" t="s">
        <v>215</v>
      </c>
    </row>
    <row r="9023" spans="129:129" x14ac:dyDescent="0.2">
      <c r="DY9023" s="185" t="s">
        <v>215</v>
      </c>
    </row>
    <row r="9024" spans="129:129" x14ac:dyDescent="0.2">
      <c r="DY9024" s="185" t="s">
        <v>215</v>
      </c>
    </row>
    <row r="9025" spans="129:129" x14ac:dyDescent="0.2">
      <c r="DY9025" s="185" t="s">
        <v>215</v>
      </c>
    </row>
    <row r="9026" spans="129:129" x14ac:dyDescent="0.2">
      <c r="DY9026" s="185" t="s">
        <v>215</v>
      </c>
    </row>
    <row r="9027" spans="129:129" x14ac:dyDescent="0.2">
      <c r="DY9027" s="185" t="s">
        <v>215</v>
      </c>
    </row>
    <row r="9028" spans="129:129" x14ac:dyDescent="0.2">
      <c r="DY9028" s="185" t="s">
        <v>215</v>
      </c>
    </row>
    <row r="9029" spans="129:129" x14ac:dyDescent="0.2">
      <c r="DY9029" s="185" t="s">
        <v>215</v>
      </c>
    </row>
    <row r="9030" spans="129:129" x14ac:dyDescent="0.2">
      <c r="DY9030" s="185" t="s">
        <v>215</v>
      </c>
    </row>
    <row r="9031" spans="129:129" x14ac:dyDescent="0.2">
      <c r="DY9031" s="185" t="s">
        <v>215</v>
      </c>
    </row>
    <row r="9032" spans="129:129" x14ac:dyDescent="0.2">
      <c r="DY9032" s="185" t="s">
        <v>215</v>
      </c>
    </row>
    <row r="9033" spans="129:129" x14ac:dyDescent="0.2">
      <c r="DY9033" s="185" t="s">
        <v>215</v>
      </c>
    </row>
    <row r="9034" spans="129:129" x14ac:dyDescent="0.2">
      <c r="DY9034" s="185" t="s">
        <v>215</v>
      </c>
    </row>
    <row r="9035" spans="129:129" x14ac:dyDescent="0.2">
      <c r="DY9035" s="185" t="s">
        <v>215</v>
      </c>
    </row>
    <row r="9036" spans="129:129" x14ac:dyDescent="0.2">
      <c r="DY9036" s="185" t="s">
        <v>215</v>
      </c>
    </row>
    <row r="9037" spans="129:129" x14ac:dyDescent="0.2">
      <c r="DY9037" s="185" t="s">
        <v>215</v>
      </c>
    </row>
    <row r="9038" spans="129:129" x14ac:dyDescent="0.2">
      <c r="DY9038" s="185" t="s">
        <v>215</v>
      </c>
    </row>
    <row r="9039" spans="129:129" x14ac:dyDescent="0.2">
      <c r="DY9039" s="185" t="s">
        <v>215</v>
      </c>
    </row>
    <row r="9040" spans="129:129" x14ac:dyDescent="0.2">
      <c r="DY9040" s="185" t="s">
        <v>215</v>
      </c>
    </row>
    <row r="9041" spans="129:129" x14ac:dyDescent="0.2">
      <c r="DY9041" s="185" t="s">
        <v>215</v>
      </c>
    </row>
    <row r="9042" spans="129:129" x14ac:dyDescent="0.2">
      <c r="DY9042" s="185" t="s">
        <v>215</v>
      </c>
    </row>
    <row r="9043" spans="129:129" x14ac:dyDescent="0.2">
      <c r="DY9043" s="185" t="s">
        <v>215</v>
      </c>
    </row>
    <row r="9044" spans="129:129" x14ac:dyDescent="0.2">
      <c r="DY9044" s="185" t="s">
        <v>215</v>
      </c>
    </row>
    <row r="9045" spans="129:129" x14ac:dyDescent="0.2">
      <c r="DY9045" s="185" t="s">
        <v>215</v>
      </c>
    </row>
    <row r="9046" spans="129:129" x14ac:dyDescent="0.2">
      <c r="DY9046" s="185" t="s">
        <v>215</v>
      </c>
    </row>
    <row r="9047" spans="129:129" x14ac:dyDescent="0.2">
      <c r="DY9047" s="185" t="s">
        <v>215</v>
      </c>
    </row>
    <row r="9048" spans="129:129" x14ac:dyDescent="0.2">
      <c r="DY9048" s="185" t="s">
        <v>215</v>
      </c>
    </row>
    <row r="9049" spans="129:129" x14ac:dyDescent="0.2">
      <c r="DY9049" s="185" t="s">
        <v>215</v>
      </c>
    </row>
    <row r="9050" spans="129:129" x14ac:dyDescent="0.2">
      <c r="DY9050" s="185" t="s">
        <v>215</v>
      </c>
    </row>
    <row r="9051" spans="129:129" x14ac:dyDescent="0.2">
      <c r="DY9051" s="185" t="s">
        <v>215</v>
      </c>
    </row>
    <row r="9052" spans="129:129" x14ac:dyDescent="0.2">
      <c r="DY9052" s="185" t="s">
        <v>215</v>
      </c>
    </row>
    <row r="9053" spans="129:129" x14ac:dyDescent="0.2">
      <c r="DY9053" s="185" t="s">
        <v>215</v>
      </c>
    </row>
    <row r="9054" spans="129:129" x14ac:dyDescent="0.2">
      <c r="DY9054" s="185" t="s">
        <v>215</v>
      </c>
    </row>
    <row r="9055" spans="129:129" x14ac:dyDescent="0.2">
      <c r="DY9055" s="185" t="s">
        <v>215</v>
      </c>
    </row>
    <row r="9056" spans="129:129" x14ac:dyDescent="0.2">
      <c r="DY9056" s="185" t="s">
        <v>215</v>
      </c>
    </row>
    <row r="9057" spans="129:129" x14ac:dyDescent="0.2">
      <c r="DY9057" s="185" t="s">
        <v>215</v>
      </c>
    </row>
    <row r="9058" spans="129:129" x14ac:dyDescent="0.2">
      <c r="DY9058" s="185" t="s">
        <v>215</v>
      </c>
    </row>
    <row r="9059" spans="129:129" x14ac:dyDescent="0.2">
      <c r="DY9059" s="185" t="s">
        <v>215</v>
      </c>
    </row>
    <row r="9060" spans="129:129" x14ac:dyDescent="0.2">
      <c r="DY9060" s="185" t="s">
        <v>215</v>
      </c>
    </row>
    <row r="9061" spans="129:129" x14ac:dyDescent="0.2">
      <c r="DY9061" s="185" t="s">
        <v>215</v>
      </c>
    </row>
    <row r="9062" spans="129:129" x14ac:dyDescent="0.2">
      <c r="DY9062" s="185" t="s">
        <v>215</v>
      </c>
    </row>
    <row r="9063" spans="129:129" x14ac:dyDescent="0.2">
      <c r="DY9063" s="185" t="s">
        <v>215</v>
      </c>
    </row>
    <row r="9064" spans="129:129" x14ac:dyDescent="0.2">
      <c r="DY9064" s="185" t="s">
        <v>215</v>
      </c>
    </row>
    <row r="9065" spans="129:129" x14ac:dyDescent="0.2">
      <c r="DY9065" s="185" t="s">
        <v>215</v>
      </c>
    </row>
    <row r="9066" spans="129:129" x14ac:dyDescent="0.2">
      <c r="DY9066" s="185" t="s">
        <v>215</v>
      </c>
    </row>
    <row r="9067" spans="129:129" x14ac:dyDescent="0.2">
      <c r="DY9067" s="185" t="s">
        <v>215</v>
      </c>
    </row>
    <row r="9068" spans="129:129" x14ac:dyDescent="0.2">
      <c r="DY9068" s="185" t="s">
        <v>215</v>
      </c>
    </row>
    <row r="9069" spans="129:129" x14ac:dyDescent="0.2">
      <c r="DY9069" s="185" t="s">
        <v>215</v>
      </c>
    </row>
    <row r="9070" spans="129:129" x14ac:dyDescent="0.2">
      <c r="DY9070" s="185" t="s">
        <v>215</v>
      </c>
    </row>
    <row r="9071" spans="129:129" x14ac:dyDescent="0.2">
      <c r="DY9071" s="185" t="s">
        <v>215</v>
      </c>
    </row>
    <row r="9072" spans="129:129" x14ac:dyDescent="0.2">
      <c r="DY9072" s="185" t="s">
        <v>215</v>
      </c>
    </row>
    <row r="9073" spans="129:129" x14ac:dyDescent="0.2">
      <c r="DY9073" s="185" t="s">
        <v>215</v>
      </c>
    </row>
    <row r="9074" spans="129:129" x14ac:dyDescent="0.2">
      <c r="DY9074" s="185" t="s">
        <v>215</v>
      </c>
    </row>
    <row r="9075" spans="129:129" x14ac:dyDescent="0.2">
      <c r="DY9075" s="185" t="s">
        <v>215</v>
      </c>
    </row>
    <row r="9076" spans="129:129" x14ac:dyDescent="0.2">
      <c r="DY9076" s="185" t="s">
        <v>215</v>
      </c>
    </row>
    <row r="9077" spans="129:129" x14ac:dyDescent="0.2">
      <c r="DY9077" s="185" t="s">
        <v>215</v>
      </c>
    </row>
    <row r="9078" spans="129:129" x14ac:dyDescent="0.2">
      <c r="DY9078" s="185" t="s">
        <v>215</v>
      </c>
    </row>
    <row r="9079" spans="129:129" x14ac:dyDescent="0.2">
      <c r="DY9079" s="185" t="s">
        <v>215</v>
      </c>
    </row>
    <row r="9080" spans="129:129" x14ac:dyDescent="0.2">
      <c r="DY9080" s="185" t="s">
        <v>215</v>
      </c>
    </row>
    <row r="9081" spans="129:129" x14ac:dyDescent="0.2">
      <c r="DY9081" s="185" t="s">
        <v>215</v>
      </c>
    </row>
    <row r="9082" spans="129:129" x14ac:dyDescent="0.2">
      <c r="DY9082" s="185" t="s">
        <v>215</v>
      </c>
    </row>
    <row r="9083" spans="129:129" x14ac:dyDescent="0.2">
      <c r="DY9083" s="185" t="s">
        <v>215</v>
      </c>
    </row>
    <row r="9084" spans="129:129" x14ac:dyDescent="0.2">
      <c r="DY9084" s="185" t="s">
        <v>215</v>
      </c>
    </row>
    <row r="9085" spans="129:129" x14ac:dyDescent="0.2">
      <c r="DY9085" s="185" t="s">
        <v>215</v>
      </c>
    </row>
    <row r="9086" spans="129:129" x14ac:dyDescent="0.2">
      <c r="DY9086" s="185" t="s">
        <v>215</v>
      </c>
    </row>
    <row r="9087" spans="129:129" x14ac:dyDescent="0.2">
      <c r="DY9087" s="185" t="s">
        <v>215</v>
      </c>
    </row>
    <row r="9088" spans="129:129" x14ac:dyDescent="0.2">
      <c r="DY9088" s="185" t="s">
        <v>215</v>
      </c>
    </row>
    <row r="9089" spans="129:129" x14ac:dyDescent="0.2">
      <c r="DY9089" s="185" t="s">
        <v>215</v>
      </c>
    </row>
    <row r="9090" spans="129:129" x14ac:dyDescent="0.2">
      <c r="DY9090" s="185" t="s">
        <v>215</v>
      </c>
    </row>
    <row r="9091" spans="129:129" x14ac:dyDescent="0.2">
      <c r="DY9091" s="185" t="s">
        <v>215</v>
      </c>
    </row>
    <row r="9092" spans="129:129" x14ac:dyDescent="0.2">
      <c r="DY9092" s="185" t="s">
        <v>215</v>
      </c>
    </row>
    <row r="9093" spans="129:129" x14ac:dyDescent="0.2">
      <c r="DY9093" s="185" t="s">
        <v>215</v>
      </c>
    </row>
    <row r="9094" spans="129:129" x14ac:dyDescent="0.2">
      <c r="DY9094" s="185" t="s">
        <v>215</v>
      </c>
    </row>
    <row r="9095" spans="129:129" x14ac:dyDescent="0.2">
      <c r="DY9095" s="185" t="s">
        <v>215</v>
      </c>
    </row>
    <row r="9096" spans="129:129" x14ac:dyDescent="0.2">
      <c r="DY9096" s="185" t="s">
        <v>215</v>
      </c>
    </row>
    <row r="9097" spans="129:129" x14ac:dyDescent="0.2">
      <c r="DY9097" s="185" t="s">
        <v>215</v>
      </c>
    </row>
    <row r="9098" spans="129:129" x14ac:dyDescent="0.2">
      <c r="DY9098" s="185" t="s">
        <v>215</v>
      </c>
    </row>
    <row r="9099" spans="129:129" x14ac:dyDescent="0.2">
      <c r="DY9099" s="185" t="s">
        <v>215</v>
      </c>
    </row>
    <row r="9100" spans="129:129" x14ac:dyDescent="0.2">
      <c r="DY9100" s="185" t="s">
        <v>215</v>
      </c>
    </row>
    <row r="9101" spans="129:129" x14ac:dyDescent="0.2">
      <c r="DY9101" s="185" t="s">
        <v>215</v>
      </c>
    </row>
    <row r="9102" spans="129:129" x14ac:dyDescent="0.2">
      <c r="DY9102" s="185" t="s">
        <v>215</v>
      </c>
    </row>
    <row r="9103" spans="129:129" x14ac:dyDescent="0.2">
      <c r="DY9103" s="185" t="s">
        <v>215</v>
      </c>
    </row>
    <row r="9104" spans="129:129" x14ac:dyDescent="0.2">
      <c r="DY9104" s="185" t="s">
        <v>215</v>
      </c>
    </row>
    <row r="9105" spans="129:129" x14ac:dyDescent="0.2">
      <c r="DY9105" s="185" t="s">
        <v>215</v>
      </c>
    </row>
    <row r="9106" spans="129:129" x14ac:dyDescent="0.2">
      <c r="DY9106" s="185" t="s">
        <v>215</v>
      </c>
    </row>
    <row r="9107" spans="129:129" x14ac:dyDescent="0.2">
      <c r="DY9107" s="185" t="s">
        <v>215</v>
      </c>
    </row>
    <row r="9108" spans="129:129" x14ac:dyDescent="0.2">
      <c r="DY9108" s="185" t="s">
        <v>215</v>
      </c>
    </row>
    <row r="9109" spans="129:129" x14ac:dyDescent="0.2">
      <c r="DY9109" s="185" t="s">
        <v>215</v>
      </c>
    </row>
    <row r="9110" spans="129:129" x14ac:dyDescent="0.2">
      <c r="DY9110" s="185" t="s">
        <v>215</v>
      </c>
    </row>
    <row r="9111" spans="129:129" x14ac:dyDescent="0.2">
      <c r="DY9111" s="185" t="s">
        <v>215</v>
      </c>
    </row>
    <row r="9112" spans="129:129" x14ac:dyDescent="0.2">
      <c r="DY9112" s="185" t="s">
        <v>215</v>
      </c>
    </row>
    <row r="9113" spans="129:129" x14ac:dyDescent="0.2">
      <c r="DY9113" s="185" t="s">
        <v>215</v>
      </c>
    </row>
    <row r="9114" spans="129:129" x14ac:dyDescent="0.2">
      <c r="DY9114" s="185" t="s">
        <v>215</v>
      </c>
    </row>
    <row r="9115" spans="129:129" x14ac:dyDescent="0.2">
      <c r="DY9115" s="185" t="s">
        <v>215</v>
      </c>
    </row>
    <row r="9116" spans="129:129" x14ac:dyDescent="0.2">
      <c r="DY9116" s="185" t="s">
        <v>215</v>
      </c>
    </row>
    <row r="9117" spans="129:129" x14ac:dyDescent="0.2">
      <c r="DY9117" s="185" t="s">
        <v>215</v>
      </c>
    </row>
    <row r="9118" spans="129:129" x14ac:dyDescent="0.2">
      <c r="DY9118" s="185" t="s">
        <v>215</v>
      </c>
    </row>
    <row r="9119" spans="129:129" x14ac:dyDescent="0.2">
      <c r="DY9119" s="185" t="s">
        <v>215</v>
      </c>
    </row>
    <row r="9120" spans="129:129" x14ac:dyDescent="0.2">
      <c r="DY9120" s="185" t="s">
        <v>215</v>
      </c>
    </row>
    <row r="9121" spans="129:129" x14ac:dyDescent="0.2">
      <c r="DY9121" s="185" t="s">
        <v>215</v>
      </c>
    </row>
    <row r="9122" spans="129:129" x14ac:dyDescent="0.2">
      <c r="DY9122" s="185" t="s">
        <v>215</v>
      </c>
    </row>
    <row r="9123" spans="129:129" x14ac:dyDescent="0.2">
      <c r="DY9123" s="185" t="s">
        <v>215</v>
      </c>
    </row>
    <row r="9124" spans="129:129" x14ac:dyDescent="0.2">
      <c r="DY9124" s="185" t="s">
        <v>215</v>
      </c>
    </row>
    <row r="9125" spans="129:129" x14ac:dyDescent="0.2">
      <c r="DY9125" s="185" t="s">
        <v>215</v>
      </c>
    </row>
    <row r="9126" spans="129:129" x14ac:dyDescent="0.2">
      <c r="DY9126" s="185" t="s">
        <v>215</v>
      </c>
    </row>
    <row r="9127" spans="129:129" x14ac:dyDescent="0.2">
      <c r="DY9127" s="185" t="s">
        <v>215</v>
      </c>
    </row>
    <row r="9128" spans="129:129" x14ac:dyDescent="0.2">
      <c r="DY9128" s="185" t="s">
        <v>215</v>
      </c>
    </row>
    <row r="9129" spans="129:129" x14ac:dyDescent="0.2">
      <c r="DY9129" s="185" t="s">
        <v>215</v>
      </c>
    </row>
    <row r="9130" spans="129:129" x14ac:dyDescent="0.2">
      <c r="DY9130" s="185" t="s">
        <v>215</v>
      </c>
    </row>
    <row r="9131" spans="129:129" x14ac:dyDescent="0.2">
      <c r="DY9131" s="185" t="s">
        <v>215</v>
      </c>
    </row>
    <row r="9132" spans="129:129" x14ac:dyDescent="0.2">
      <c r="DY9132" s="185" t="s">
        <v>215</v>
      </c>
    </row>
    <row r="9133" spans="129:129" x14ac:dyDescent="0.2">
      <c r="DY9133" s="185" t="s">
        <v>215</v>
      </c>
    </row>
    <row r="9134" spans="129:129" x14ac:dyDescent="0.2">
      <c r="DY9134" s="185" t="s">
        <v>215</v>
      </c>
    </row>
    <row r="9135" spans="129:129" x14ac:dyDescent="0.2">
      <c r="DY9135" s="185" t="s">
        <v>215</v>
      </c>
    </row>
    <row r="9136" spans="129:129" x14ac:dyDescent="0.2">
      <c r="DY9136" s="185" t="s">
        <v>215</v>
      </c>
    </row>
    <row r="9137" spans="129:129" x14ac:dyDescent="0.2">
      <c r="DY9137" s="185" t="s">
        <v>215</v>
      </c>
    </row>
    <row r="9138" spans="129:129" x14ac:dyDescent="0.2">
      <c r="DY9138" s="185" t="s">
        <v>215</v>
      </c>
    </row>
    <row r="9139" spans="129:129" x14ac:dyDescent="0.2">
      <c r="DY9139" s="185" t="s">
        <v>215</v>
      </c>
    </row>
    <row r="9140" spans="129:129" x14ac:dyDescent="0.2">
      <c r="DY9140" s="185" t="s">
        <v>215</v>
      </c>
    </row>
    <row r="9141" spans="129:129" x14ac:dyDescent="0.2">
      <c r="DY9141" s="185" t="s">
        <v>215</v>
      </c>
    </row>
    <row r="9142" spans="129:129" x14ac:dyDescent="0.2">
      <c r="DY9142" s="185" t="s">
        <v>215</v>
      </c>
    </row>
    <row r="9143" spans="129:129" x14ac:dyDescent="0.2">
      <c r="DY9143" s="185" t="s">
        <v>215</v>
      </c>
    </row>
    <row r="9144" spans="129:129" x14ac:dyDescent="0.2">
      <c r="DY9144" s="185" t="s">
        <v>215</v>
      </c>
    </row>
    <row r="9145" spans="129:129" x14ac:dyDescent="0.2">
      <c r="DY9145" s="185" t="s">
        <v>215</v>
      </c>
    </row>
    <row r="9146" spans="129:129" x14ac:dyDescent="0.2">
      <c r="DY9146" s="185" t="s">
        <v>215</v>
      </c>
    </row>
    <row r="9147" spans="129:129" x14ac:dyDescent="0.2">
      <c r="DY9147" s="185" t="s">
        <v>215</v>
      </c>
    </row>
    <row r="9148" spans="129:129" x14ac:dyDescent="0.2">
      <c r="DY9148" s="185" t="s">
        <v>215</v>
      </c>
    </row>
    <row r="9149" spans="129:129" x14ac:dyDescent="0.2">
      <c r="DY9149" s="185" t="s">
        <v>215</v>
      </c>
    </row>
    <row r="9150" spans="129:129" x14ac:dyDescent="0.2">
      <c r="DY9150" s="185" t="s">
        <v>215</v>
      </c>
    </row>
    <row r="9151" spans="129:129" x14ac:dyDescent="0.2">
      <c r="DY9151" s="185" t="s">
        <v>215</v>
      </c>
    </row>
    <row r="9152" spans="129:129" x14ac:dyDescent="0.2">
      <c r="DY9152" s="185" t="s">
        <v>215</v>
      </c>
    </row>
    <row r="9153" spans="129:129" x14ac:dyDescent="0.2">
      <c r="DY9153" s="185" t="s">
        <v>215</v>
      </c>
    </row>
    <row r="9154" spans="129:129" x14ac:dyDescent="0.2">
      <c r="DY9154" s="185" t="s">
        <v>215</v>
      </c>
    </row>
    <row r="9155" spans="129:129" x14ac:dyDescent="0.2">
      <c r="DY9155" s="185" t="s">
        <v>215</v>
      </c>
    </row>
    <row r="9156" spans="129:129" x14ac:dyDescent="0.2">
      <c r="DY9156" s="185" t="s">
        <v>215</v>
      </c>
    </row>
    <row r="9157" spans="129:129" x14ac:dyDescent="0.2">
      <c r="DY9157" s="185" t="s">
        <v>215</v>
      </c>
    </row>
    <row r="9158" spans="129:129" x14ac:dyDescent="0.2">
      <c r="DY9158" s="185" t="s">
        <v>215</v>
      </c>
    </row>
    <row r="9159" spans="129:129" x14ac:dyDescent="0.2">
      <c r="DY9159" s="185" t="s">
        <v>215</v>
      </c>
    </row>
    <row r="9160" spans="129:129" x14ac:dyDescent="0.2">
      <c r="DY9160" s="185" t="s">
        <v>215</v>
      </c>
    </row>
    <row r="9161" spans="129:129" x14ac:dyDescent="0.2">
      <c r="DY9161" s="185" t="s">
        <v>215</v>
      </c>
    </row>
    <row r="9162" spans="129:129" x14ac:dyDescent="0.2">
      <c r="DY9162" s="185" t="s">
        <v>215</v>
      </c>
    </row>
    <row r="9163" spans="129:129" x14ac:dyDescent="0.2">
      <c r="DY9163" s="185" t="s">
        <v>215</v>
      </c>
    </row>
    <row r="9164" spans="129:129" x14ac:dyDescent="0.2">
      <c r="DY9164" s="185" t="s">
        <v>215</v>
      </c>
    </row>
    <row r="9165" spans="129:129" x14ac:dyDescent="0.2">
      <c r="DY9165" s="185" t="s">
        <v>215</v>
      </c>
    </row>
    <row r="9166" spans="129:129" x14ac:dyDescent="0.2">
      <c r="DY9166" s="185" t="s">
        <v>215</v>
      </c>
    </row>
    <row r="9167" spans="129:129" x14ac:dyDescent="0.2">
      <c r="DY9167" s="185" t="s">
        <v>215</v>
      </c>
    </row>
    <row r="9168" spans="129:129" x14ac:dyDescent="0.2">
      <c r="DY9168" s="185" t="s">
        <v>215</v>
      </c>
    </row>
    <row r="9169" spans="129:129" x14ac:dyDescent="0.2">
      <c r="DY9169" s="185" t="s">
        <v>215</v>
      </c>
    </row>
    <row r="9170" spans="129:129" x14ac:dyDescent="0.2">
      <c r="DY9170" s="185" t="s">
        <v>215</v>
      </c>
    </row>
    <row r="9171" spans="129:129" x14ac:dyDescent="0.2">
      <c r="DY9171" s="185" t="s">
        <v>215</v>
      </c>
    </row>
    <row r="9172" spans="129:129" x14ac:dyDescent="0.2">
      <c r="DY9172" s="185" t="s">
        <v>215</v>
      </c>
    </row>
    <row r="9173" spans="129:129" x14ac:dyDescent="0.2">
      <c r="DY9173" s="185" t="s">
        <v>215</v>
      </c>
    </row>
    <row r="9174" spans="129:129" x14ac:dyDescent="0.2">
      <c r="DY9174" s="185" t="s">
        <v>215</v>
      </c>
    </row>
    <row r="9175" spans="129:129" x14ac:dyDescent="0.2">
      <c r="DY9175" s="185" t="s">
        <v>215</v>
      </c>
    </row>
    <row r="9176" spans="129:129" x14ac:dyDescent="0.2">
      <c r="DY9176" s="185" t="s">
        <v>215</v>
      </c>
    </row>
    <row r="9177" spans="129:129" x14ac:dyDescent="0.2">
      <c r="DY9177" s="185" t="s">
        <v>215</v>
      </c>
    </row>
    <row r="9178" spans="129:129" x14ac:dyDescent="0.2">
      <c r="DY9178" s="185" t="s">
        <v>215</v>
      </c>
    </row>
    <row r="9179" spans="129:129" x14ac:dyDescent="0.2">
      <c r="DY9179" s="185" t="s">
        <v>215</v>
      </c>
    </row>
    <row r="9180" spans="129:129" x14ac:dyDescent="0.2">
      <c r="DY9180" s="185" t="s">
        <v>215</v>
      </c>
    </row>
    <row r="9181" spans="129:129" x14ac:dyDescent="0.2">
      <c r="DY9181" s="185" t="s">
        <v>215</v>
      </c>
    </row>
    <row r="9182" spans="129:129" x14ac:dyDescent="0.2">
      <c r="DY9182" s="185" t="s">
        <v>215</v>
      </c>
    </row>
    <row r="9183" spans="129:129" x14ac:dyDescent="0.2">
      <c r="DY9183" s="185" t="s">
        <v>215</v>
      </c>
    </row>
    <row r="9184" spans="129:129" x14ac:dyDescent="0.2">
      <c r="DY9184" s="185" t="s">
        <v>215</v>
      </c>
    </row>
    <row r="9185" spans="129:129" x14ac:dyDescent="0.2">
      <c r="DY9185" s="185" t="s">
        <v>215</v>
      </c>
    </row>
    <row r="9186" spans="129:129" x14ac:dyDescent="0.2">
      <c r="DY9186" s="185" t="s">
        <v>215</v>
      </c>
    </row>
    <row r="9187" spans="129:129" x14ac:dyDescent="0.2">
      <c r="DY9187" s="185" t="s">
        <v>215</v>
      </c>
    </row>
    <row r="9188" spans="129:129" x14ac:dyDescent="0.2">
      <c r="DY9188" s="185" t="s">
        <v>215</v>
      </c>
    </row>
    <row r="9189" spans="129:129" x14ac:dyDescent="0.2">
      <c r="DY9189" s="185" t="s">
        <v>215</v>
      </c>
    </row>
    <row r="9190" spans="129:129" x14ac:dyDescent="0.2">
      <c r="DY9190" s="185" t="s">
        <v>215</v>
      </c>
    </row>
    <row r="9191" spans="129:129" x14ac:dyDescent="0.2">
      <c r="DY9191" s="185" t="s">
        <v>215</v>
      </c>
    </row>
    <row r="9192" spans="129:129" x14ac:dyDescent="0.2">
      <c r="DY9192" s="185" t="s">
        <v>215</v>
      </c>
    </row>
    <row r="9193" spans="129:129" x14ac:dyDescent="0.2">
      <c r="DY9193" s="185" t="s">
        <v>215</v>
      </c>
    </row>
    <row r="9194" spans="129:129" x14ac:dyDescent="0.2">
      <c r="DY9194" s="185" t="s">
        <v>215</v>
      </c>
    </row>
    <row r="9195" spans="129:129" x14ac:dyDescent="0.2">
      <c r="DY9195" s="185" t="s">
        <v>215</v>
      </c>
    </row>
    <row r="9196" spans="129:129" x14ac:dyDescent="0.2">
      <c r="DY9196" s="185" t="s">
        <v>215</v>
      </c>
    </row>
    <row r="9197" spans="129:129" x14ac:dyDescent="0.2">
      <c r="DY9197" s="185" t="s">
        <v>215</v>
      </c>
    </row>
    <row r="9198" spans="129:129" x14ac:dyDescent="0.2">
      <c r="DY9198" s="185" t="s">
        <v>215</v>
      </c>
    </row>
    <row r="9199" spans="129:129" x14ac:dyDescent="0.2">
      <c r="DY9199" s="185" t="s">
        <v>215</v>
      </c>
    </row>
    <row r="9200" spans="129:129" x14ac:dyDescent="0.2">
      <c r="DY9200" s="185" t="s">
        <v>215</v>
      </c>
    </row>
    <row r="9201" spans="129:129" x14ac:dyDescent="0.2">
      <c r="DY9201" s="185" t="s">
        <v>215</v>
      </c>
    </row>
    <row r="9202" spans="129:129" x14ac:dyDescent="0.2">
      <c r="DY9202" s="185" t="s">
        <v>215</v>
      </c>
    </row>
    <row r="9203" spans="129:129" x14ac:dyDescent="0.2">
      <c r="DY9203" s="185" t="s">
        <v>215</v>
      </c>
    </row>
    <row r="9204" spans="129:129" x14ac:dyDescent="0.2">
      <c r="DY9204" s="185" t="s">
        <v>215</v>
      </c>
    </row>
    <row r="9205" spans="129:129" x14ac:dyDescent="0.2">
      <c r="DY9205" s="185" t="s">
        <v>215</v>
      </c>
    </row>
    <row r="9206" spans="129:129" x14ac:dyDescent="0.2">
      <c r="DY9206" s="185" t="s">
        <v>215</v>
      </c>
    </row>
    <row r="9207" spans="129:129" x14ac:dyDescent="0.2">
      <c r="DY9207" s="185" t="s">
        <v>215</v>
      </c>
    </row>
    <row r="9208" spans="129:129" x14ac:dyDescent="0.2">
      <c r="DY9208" s="185" t="s">
        <v>215</v>
      </c>
    </row>
    <row r="9209" spans="129:129" x14ac:dyDescent="0.2">
      <c r="DY9209" s="185" t="s">
        <v>215</v>
      </c>
    </row>
    <row r="9210" spans="129:129" x14ac:dyDescent="0.2">
      <c r="DY9210" s="185" t="s">
        <v>215</v>
      </c>
    </row>
    <row r="9211" spans="129:129" x14ac:dyDescent="0.2">
      <c r="DY9211" s="185" t="s">
        <v>215</v>
      </c>
    </row>
    <row r="9212" spans="129:129" x14ac:dyDescent="0.2">
      <c r="DY9212" s="185" t="s">
        <v>215</v>
      </c>
    </row>
    <row r="9213" spans="129:129" x14ac:dyDescent="0.2">
      <c r="DY9213" s="185" t="s">
        <v>215</v>
      </c>
    </row>
    <row r="9214" spans="129:129" x14ac:dyDescent="0.2">
      <c r="DY9214" s="185" t="s">
        <v>215</v>
      </c>
    </row>
    <row r="9215" spans="129:129" x14ac:dyDescent="0.2">
      <c r="DY9215" s="185" t="s">
        <v>215</v>
      </c>
    </row>
    <row r="9216" spans="129:129" x14ac:dyDescent="0.2">
      <c r="DY9216" s="185" t="s">
        <v>215</v>
      </c>
    </row>
    <row r="9217" spans="129:129" x14ac:dyDescent="0.2">
      <c r="DY9217" s="185" t="s">
        <v>215</v>
      </c>
    </row>
    <row r="9218" spans="129:129" x14ac:dyDescent="0.2">
      <c r="DY9218" s="185" t="s">
        <v>215</v>
      </c>
    </row>
    <row r="9219" spans="129:129" x14ac:dyDescent="0.2">
      <c r="DY9219" s="185" t="s">
        <v>215</v>
      </c>
    </row>
    <row r="9220" spans="129:129" x14ac:dyDescent="0.2">
      <c r="DY9220" s="185" t="s">
        <v>215</v>
      </c>
    </row>
    <row r="9221" spans="129:129" x14ac:dyDescent="0.2">
      <c r="DY9221" s="185" t="s">
        <v>215</v>
      </c>
    </row>
    <row r="9222" spans="129:129" x14ac:dyDescent="0.2">
      <c r="DY9222" s="185" t="s">
        <v>215</v>
      </c>
    </row>
    <row r="9223" spans="129:129" x14ac:dyDescent="0.2">
      <c r="DY9223" s="185" t="s">
        <v>215</v>
      </c>
    </row>
    <row r="9224" spans="129:129" x14ac:dyDescent="0.2">
      <c r="DY9224" s="185" t="s">
        <v>215</v>
      </c>
    </row>
    <row r="9225" spans="129:129" x14ac:dyDescent="0.2">
      <c r="DY9225" s="185" t="s">
        <v>215</v>
      </c>
    </row>
    <row r="9226" spans="129:129" x14ac:dyDescent="0.2">
      <c r="DY9226" s="185" t="s">
        <v>215</v>
      </c>
    </row>
    <row r="9227" spans="129:129" x14ac:dyDescent="0.2">
      <c r="DY9227" s="185" t="s">
        <v>215</v>
      </c>
    </row>
    <row r="9228" spans="129:129" x14ac:dyDescent="0.2">
      <c r="DY9228" s="185" t="s">
        <v>215</v>
      </c>
    </row>
    <row r="9229" spans="129:129" x14ac:dyDescent="0.2">
      <c r="DY9229" s="185" t="s">
        <v>215</v>
      </c>
    </row>
    <row r="9230" spans="129:129" x14ac:dyDescent="0.2">
      <c r="DY9230" s="185" t="s">
        <v>215</v>
      </c>
    </row>
    <row r="9231" spans="129:129" x14ac:dyDescent="0.2">
      <c r="DY9231" s="185" t="s">
        <v>215</v>
      </c>
    </row>
    <row r="9232" spans="129:129" x14ac:dyDescent="0.2">
      <c r="DY9232" s="185" t="s">
        <v>215</v>
      </c>
    </row>
    <row r="9233" spans="129:129" x14ac:dyDescent="0.2">
      <c r="DY9233" s="185" t="s">
        <v>215</v>
      </c>
    </row>
    <row r="9234" spans="129:129" x14ac:dyDescent="0.2">
      <c r="DY9234" s="185" t="s">
        <v>215</v>
      </c>
    </row>
    <row r="9235" spans="129:129" x14ac:dyDescent="0.2">
      <c r="DY9235" s="185" t="s">
        <v>215</v>
      </c>
    </row>
    <row r="9236" spans="129:129" x14ac:dyDescent="0.2">
      <c r="DY9236" s="185" t="s">
        <v>215</v>
      </c>
    </row>
    <row r="9237" spans="129:129" x14ac:dyDescent="0.2">
      <c r="DY9237" s="185" t="s">
        <v>215</v>
      </c>
    </row>
    <row r="9238" spans="129:129" x14ac:dyDescent="0.2">
      <c r="DY9238" s="185" t="s">
        <v>215</v>
      </c>
    </row>
    <row r="9239" spans="129:129" x14ac:dyDescent="0.2">
      <c r="DY9239" s="185" t="s">
        <v>215</v>
      </c>
    </row>
    <row r="9240" spans="129:129" x14ac:dyDescent="0.2">
      <c r="DY9240" s="185" t="s">
        <v>215</v>
      </c>
    </row>
    <row r="9241" spans="129:129" x14ac:dyDescent="0.2">
      <c r="DY9241" s="185" t="s">
        <v>215</v>
      </c>
    </row>
    <row r="9242" spans="129:129" x14ac:dyDescent="0.2">
      <c r="DY9242" s="185" t="s">
        <v>215</v>
      </c>
    </row>
    <row r="9243" spans="129:129" x14ac:dyDescent="0.2">
      <c r="DY9243" s="185" t="s">
        <v>215</v>
      </c>
    </row>
    <row r="9244" spans="129:129" x14ac:dyDescent="0.2">
      <c r="DY9244" s="185" t="s">
        <v>215</v>
      </c>
    </row>
    <row r="9245" spans="129:129" x14ac:dyDescent="0.2">
      <c r="DY9245" s="185" t="s">
        <v>215</v>
      </c>
    </row>
    <row r="9246" spans="129:129" x14ac:dyDescent="0.2">
      <c r="DY9246" s="185" t="s">
        <v>215</v>
      </c>
    </row>
    <row r="9247" spans="129:129" x14ac:dyDescent="0.2">
      <c r="DY9247" s="185" t="s">
        <v>215</v>
      </c>
    </row>
    <row r="9248" spans="129:129" x14ac:dyDescent="0.2">
      <c r="DY9248" s="185" t="s">
        <v>215</v>
      </c>
    </row>
    <row r="9249" spans="129:129" x14ac:dyDescent="0.2">
      <c r="DY9249" s="185" t="s">
        <v>215</v>
      </c>
    </row>
    <row r="9250" spans="129:129" x14ac:dyDescent="0.2">
      <c r="DY9250" s="185" t="s">
        <v>215</v>
      </c>
    </row>
    <row r="9251" spans="129:129" x14ac:dyDescent="0.2">
      <c r="DY9251" s="185" t="s">
        <v>215</v>
      </c>
    </row>
    <row r="9252" spans="129:129" x14ac:dyDescent="0.2">
      <c r="DY9252" s="185" t="s">
        <v>215</v>
      </c>
    </row>
    <row r="9253" spans="129:129" x14ac:dyDescent="0.2">
      <c r="DY9253" s="185" t="s">
        <v>215</v>
      </c>
    </row>
    <row r="9254" spans="129:129" x14ac:dyDescent="0.2">
      <c r="DY9254" s="185" t="s">
        <v>215</v>
      </c>
    </row>
    <row r="9255" spans="129:129" x14ac:dyDescent="0.2">
      <c r="DY9255" s="185" t="s">
        <v>215</v>
      </c>
    </row>
    <row r="9256" spans="129:129" x14ac:dyDescent="0.2">
      <c r="DY9256" s="185" t="s">
        <v>215</v>
      </c>
    </row>
    <row r="9257" spans="129:129" x14ac:dyDescent="0.2">
      <c r="DY9257" s="185" t="s">
        <v>215</v>
      </c>
    </row>
    <row r="9258" spans="129:129" x14ac:dyDescent="0.2">
      <c r="DY9258" s="185" t="s">
        <v>215</v>
      </c>
    </row>
    <row r="9259" spans="129:129" x14ac:dyDescent="0.2">
      <c r="DY9259" s="185" t="s">
        <v>215</v>
      </c>
    </row>
    <row r="9260" spans="129:129" x14ac:dyDescent="0.2">
      <c r="DY9260" s="185" t="s">
        <v>215</v>
      </c>
    </row>
    <row r="9261" spans="129:129" x14ac:dyDescent="0.2">
      <c r="DY9261" s="185" t="s">
        <v>215</v>
      </c>
    </row>
    <row r="9262" spans="129:129" x14ac:dyDescent="0.2">
      <c r="DY9262" s="185" t="s">
        <v>215</v>
      </c>
    </row>
    <row r="9263" spans="129:129" x14ac:dyDescent="0.2">
      <c r="DY9263" s="185" t="s">
        <v>215</v>
      </c>
    </row>
    <row r="9264" spans="129:129" x14ac:dyDescent="0.2">
      <c r="DY9264" s="185" t="s">
        <v>215</v>
      </c>
    </row>
    <row r="9265" spans="129:129" x14ac:dyDescent="0.2">
      <c r="DY9265" s="185" t="s">
        <v>215</v>
      </c>
    </row>
    <row r="9266" spans="129:129" x14ac:dyDescent="0.2">
      <c r="DY9266" s="185" t="s">
        <v>215</v>
      </c>
    </row>
    <row r="9267" spans="129:129" x14ac:dyDescent="0.2">
      <c r="DY9267" s="185" t="s">
        <v>215</v>
      </c>
    </row>
    <row r="9268" spans="129:129" x14ac:dyDescent="0.2">
      <c r="DY9268" s="185" t="s">
        <v>215</v>
      </c>
    </row>
    <row r="9269" spans="129:129" x14ac:dyDescent="0.2">
      <c r="DY9269" s="185" t="s">
        <v>215</v>
      </c>
    </row>
    <row r="9270" spans="129:129" x14ac:dyDescent="0.2">
      <c r="DY9270" s="185" t="s">
        <v>215</v>
      </c>
    </row>
    <row r="9271" spans="129:129" x14ac:dyDescent="0.2">
      <c r="DY9271" s="185" t="s">
        <v>215</v>
      </c>
    </row>
    <row r="9272" spans="129:129" x14ac:dyDescent="0.2">
      <c r="DY9272" s="185" t="s">
        <v>215</v>
      </c>
    </row>
    <row r="9273" spans="129:129" x14ac:dyDescent="0.2">
      <c r="DY9273" s="185" t="s">
        <v>215</v>
      </c>
    </row>
    <row r="9274" spans="129:129" x14ac:dyDescent="0.2">
      <c r="DY9274" s="185" t="s">
        <v>215</v>
      </c>
    </row>
    <row r="9275" spans="129:129" x14ac:dyDescent="0.2">
      <c r="DY9275" s="185" t="s">
        <v>215</v>
      </c>
    </row>
    <row r="9276" spans="129:129" x14ac:dyDescent="0.2">
      <c r="DY9276" s="185" t="s">
        <v>215</v>
      </c>
    </row>
    <row r="9277" spans="129:129" x14ac:dyDescent="0.2">
      <c r="DY9277" s="185" t="s">
        <v>215</v>
      </c>
    </row>
    <row r="9278" spans="129:129" x14ac:dyDescent="0.2">
      <c r="DY9278" s="185" t="s">
        <v>215</v>
      </c>
    </row>
    <row r="9279" spans="129:129" x14ac:dyDescent="0.2">
      <c r="DY9279" s="185" t="s">
        <v>215</v>
      </c>
    </row>
    <row r="9280" spans="129:129" x14ac:dyDescent="0.2">
      <c r="DY9280" s="185" t="s">
        <v>215</v>
      </c>
    </row>
    <row r="9281" spans="129:129" x14ac:dyDescent="0.2">
      <c r="DY9281" s="185" t="s">
        <v>215</v>
      </c>
    </row>
    <row r="9282" spans="129:129" x14ac:dyDescent="0.2">
      <c r="DY9282" s="185" t="s">
        <v>215</v>
      </c>
    </row>
    <row r="9283" spans="129:129" x14ac:dyDescent="0.2">
      <c r="DY9283" s="185" t="s">
        <v>215</v>
      </c>
    </row>
    <row r="9284" spans="129:129" x14ac:dyDescent="0.2">
      <c r="DY9284" s="185" t="s">
        <v>215</v>
      </c>
    </row>
    <row r="9285" spans="129:129" x14ac:dyDescent="0.2">
      <c r="DY9285" s="185" t="s">
        <v>215</v>
      </c>
    </row>
    <row r="9286" spans="129:129" x14ac:dyDescent="0.2">
      <c r="DY9286" s="185" t="s">
        <v>215</v>
      </c>
    </row>
    <row r="9287" spans="129:129" x14ac:dyDescent="0.2">
      <c r="DY9287" s="185" t="s">
        <v>215</v>
      </c>
    </row>
    <row r="9288" spans="129:129" x14ac:dyDescent="0.2">
      <c r="DY9288" s="185" t="s">
        <v>215</v>
      </c>
    </row>
    <row r="9289" spans="129:129" x14ac:dyDescent="0.2">
      <c r="DY9289" s="185" t="s">
        <v>215</v>
      </c>
    </row>
    <row r="9290" spans="129:129" x14ac:dyDescent="0.2">
      <c r="DY9290" s="185" t="s">
        <v>215</v>
      </c>
    </row>
    <row r="9291" spans="129:129" x14ac:dyDescent="0.2">
      <c r="DY9291" s="185" t="s">
        <v>215</v>
      </c>
    </row>
    <row r="9292" spans="129:129" x14ac:dyDescent="0.2">
      <c r="DY9292" s="185" t="s">
        <v>215</v>
      </c>
    </row>
    <row r="9293" spans="129:129" x14ac:dyDescent="0.2">
      <c r="DY9293" s="185" t="s">
        <v>215</v>
      </c>
    </row>
    <row r="9294" spans="129:129" x14ac:dyDescent="0.2">
      <c r="DY9294" s="185" t="s">
        <v>215</v>
      </c>
    </row>
    <row r="9295" spans="129:129" x14ac:dyDescent="0.2">
      <c r="DY9295" s="185" t="s">
        <v>215</v>
      </c>
    </row>
    <row r="9296" spans="129:129" x14ac:dyDescent="0.2">
      <c r="DY9296" s="185" t="s">
        <v>215</v>
      </c>
    </row>
    <row r="9297" spans="129:129" x14ac:dyDescent="0.2">
      <c r="DY9297" s="185" t="s">
        <v>215</v>
      </c>
    </row>
    <row r="9298" spans="129:129" x14ac:dyDescent="0.2">
      <c r="DY9298" s="185" t="s">
        <v>215</v>
      </c>
    </row>
    <row r="9299" spans="129:129" x14ac:dyDescent="0.2">
      <c r="DY9299" s="185" t="s">
        <v>215</v>
      </c>
    </row>
    <row r="9300" spans="129:129" x14ac:dyDescent="0.2">
      <c r="DY9300" s="185" t="s">
        <v>215</v>
      </c>
    </row>
    <row r="9301" spans="129:129" x14ac:dyDescent="0.2">
      <c r="DY9301" s="185" t="s">
        <v>215</v>
      </c>
    </row>
    <row r="9302" spans="129:129" x14ac:dyDescent="0.2">
      <c r="DY9302" s="185" t="s">
        <v>215</v>
      </c>
    </row>
    <row r="9303" spans="129:129" x14ac:dyDescent="0.2">
      <c r="DY9303" s="185" t="s">
        <v>215</v>
      </c>
    </row>
    <row r="9304" spans="129:129" x14ac:dyDescent="0.2">
      <c r="DY9304" s="185" t="s">
        <v>215</v>
      </c>
    </row>
    <row r="9305" spans="129:129" x14ac:dyDescent="0.2">
      <c r="DY9305" s="185" t="s">
        <v>215</v>
      </c>
    </row>
    <row r="9306" spans="129:129" x14ac:dyDescent="0.2">
      <c r="DY9306" s="185" t="s">
        <v>215</v>
      </c>
    </row>
    <row r="9307" spans="129:129" x14ac:dyDescent="0.2">
      <c r="DY9307" s="185" t="s">
        <v>215</v>
      </c>
    </row>
    <row r="9308" spans="129:129" x14ac:dyDescent="0.2">
      <c r="DY9308" s="185" t="s">
        <v>215</v>
      </c>
    </row>
    <row r="9309" spans="129:129" x14ac:dyDescent="0.2">
      <c r="DY9309" s="185" t="s">
        <v>215</v>
      </c>
    </row>
    <row r="9310" spans="129:129" x14ac:dyDescent="0.2">
      <c r="DY9310" s="185" t="s">
        <v>215</v>
      </c>
    </row>
    <row r="9311" spans="129:129" x14ac:dyDescent="0.2">
      <c r="DY9311" s="185" t="s">
        <v>215</v>
      </c>
    </row>
    <row r="9312" spans="129:129" x14ac:dyDescent="0.2">
      <c r="DY9312" s="185" t="s">
        <v>215</v>
      </c>
    </row>
    <row r="9313" spans="129:129" x14ac:dyDescent="0.2">
      <c r="DY9313" s="185" t="s">
        <v>215</v>
      </c>
    </row>
    <row r="9314" spans="129:129" x14ac:dyDescent="0.2">
      <c r="DY9314" s="185" t="s">
        <v>215</v>
      </c>
    </row>
    <row r="9315" spans="129:129" x14ac:dyDescent="0.2">
      <c r="DY9315" s="185" t="s">
        <v>215</v>
      </c>
    </row>
    <row r="9316" spans="129:129" x14ac:dyDescent="0.2">
      <c r="DY9316" s="185" t="s">
        <v>215</v>
      </c>
    </row>
    <row r="9317" spans="129:129" x14ac:dyDescent="0.2">
      <c r="DY9317" s="185" t="s">
        <v>215</v>
      </c>
    </row>
    <row r="9318" spans="129:129" x14ac:dyDescent="0.2">
      <c r="DY9318" s="185" t="s">
        <v>215</v>
      </c>
    </row>
    <row r="9319" spans="129:129" x14ac:dyDescent="0.2">
      <c r="DY9319" s="185" t="s">
        <v>215</v>
      </c>
    </row>
    <row r="9320" spans="129:129" x14ac:dyDescent="0.2">
      <c r="DY9320" s="185" t="s">
        <v>215</v>
      </c>
    </row>
    <row r="9321" spans="129:129" x14ac:dyDescent="0.2">
      <c r="DY9321" s="185" t="s">
        <v>215</v>
      </c>
    </row>
    <row r="9322" spans="129:129" x14ac:dyDescent="0.2">
      <c r="DY9322" s="185" t="s">
        <v>215</v>
      </c>
    </row>
    <row r="9323" spans="129:129" x14ac:dyDescent="0.2">
      <c r="DY9323" s="185" t="s">
        <v>215</v>
      </c>
    </row>
    <row r="9324" spans="129:129" x14ac:dyDescent="0.2">
      <c r="DY9324" s="185" t="s">
        <v>215</v>
      </c>
    </row>
    <row r="9325" spans="129:129" x14ac:dyDescent="0.2">
      <c r="DY9325" s="185" t="s">
        <v>215</v>
      </c>
    </row>
    <row r="9326" spans="129:129" x14ac:dyDescent="0.2">
      <c r="DY9326" s="185" t="s">
        <v>215</v>
      </c>
    </row>
    <row r="9327" spans="129:129" x14ac:dyDescent="0.2">
      <c r="DY9327" s="185" t="s">
        <v>215</v>
      </c>
    </row>
    <row r="9328" spans="129:129" x14ac:dyDescent="0.2">
      <c r="DY9328" s="185" t="s">
        <v>215</v>
      </c>
    </row>
    <row r="9329" spans="129:129" x14ac:dyDescent="0.2">
      <c r="DY9329" s="185" t="s">
        <v>215</v>
      </c>
    </row>
    <row r="9330" spans="129:129" x14ac:dyDescent="0.2">
      <c r="DY9330" s="185" t="s">
        <v>215</v>
      </c>
    </row>
    <row r="9331" spans="129:129" x14ac:dyDescent="0.2">
      <c r="DY9331" s="185" t="s">
        <v>215</v>
      </c>
    </row>
    <row r="9332" spans="129:129" x14ac:dyDescent="0.2">
      <c r="DY9332" s="185" t="s">
        <v>215</v>
      </c>
    </row>
    <row r="9333" spans="129:129" x14ac:dyDescent="0.2">
      <c r="DY9333" s="185" t="s">
        <v>215</v>
      </c>
    </row>
    <row r="9334" spans="129:129" x14ac:dyDescent="0.2">
      <c r="DY9334" s="185" t="s">
        <v>215</v>
      </c>
    </row>
    <row r="9335" spans="129:129" x14ac:dyDescent="0.2">
      <c r="DY9335" s="185" t="s">
        <v>215</v>
      </c>
    </row>
    <row r="9336" spans="129:129" x14ac:dyDescent="0.2">
      <c r="DY9336" s="185" t="s">
        <v>215</v>
      </c>
    </row>
    <row r="9337" spans="129:129" x14ac:dyDescent="0.2">
      <c r="DY9337" s="185" t="s">
        <v>215</v>
      </c>
    </row>
    <row r="9338" spans="129:129" x14ac:dyDescent="0.2">
      <c r="DY9338" s="185" t="s">
        <v>215</v>
      </c>
    </row>
    <row r="9339" spans="129:129" x14ac:dyDescent="0.2">
      <c r="DY9339" s="185" t="s">
        <v>215</v>
      </c>
    </row>
    <row r="9340" spans="129:129" x14ac:dyDescent="0.2">
      <c r="DY9340" s="185" t="s">
        <v>215</v>
      </c>
    </row>
    <row r="9341" spans="129:129" x14ac:dyDescent="0.2">
      <c r="DY9341" s="185" t="s">
        <v>215</v>
      </c>
    </row>
    <row r="9342" spans="129:129" x14ac:dyDescent="0.2">
      <c r="DY9342" s="185" t="s">
        <v>215</v>
      </c>
    </row>
    <row r="9343" spans="129:129" x14ac:dyDescent="0.2">
      <c r="DY9343" s="185" t="s">
        <v>215</v>
      </c>
    </row>
    <row r="9344" spans="129:129" x14ac:dyDescent="0.2">
      <c r="DY9344" s="185" t="s">
        <v>215</v>
      </c>
    </row>
    <row r="9345" spans="129:129" x14ac:dyDescent="0.2">
      <c r="DY9345" s="185" t="s">
        <v>215</v>
      </c>
    </row>
    <row r="9346" spans="129:129" x14ac:dyDescent="0.2">
      <c r="DY9346" s="185" t="s">
        <v>215</v>
      </c>
    </row>
    <row r="9347" spans="129:129" x14ac:dyDescent="0.2">
      <c r="DY9347" s="185" t="s">
        <v>215</v>
      </c>
    </row>
    <row r="9348" spans="129:129" x14ac:dyDescent="0.2">
      <c r="DY9348" s="185" t="s">
        <v>215</v>
      </c>
    </row>
    <row r="9349" spans="129:129" x14ac:dyDescent="0.2">
      <c r="DY9349" s="185" t="s">
        <v>215</v>
      </c>
    </row>
    <row r="9350" spans="129:129" x14ac:dyDescent="0.2">
      <c r="DY9350" s="185" t="s">
        <v>215</v>
      </c>
    </row>
    <row r="9351" spans="129:129" x14ac:dyDescent="0.2">
      <c r="DY9351" s="185" t="s">
        <v>215</v>
      </c>
    </row>
    <row r="9352" spans="129:129" x14ac:dyDescent="0.2">
      <c r="DY9352" s="185" t="s">
        <v>215</v>
      </c>
    </row>
    <row r="9353" spans="129:129" x14ac:dyDescent="0.2">
      <c r="DY9353" s="185" t="s">
        <v>215</v>
      </c>
    </row>
    <row r="9354" spans="129:129" x14ac:dyDescent="0.2">
      <c r="DY9354" s="185" t="s">
        <v>215</v>
      </c>
    </row>
    <row r="9355" spans="129:129" x14ac:dyDescent="0.2">
      <c r="DY9355" s="185" t="s">
        <v>215</v>
      </c>
    </row>
    <row r="9356" spans="129:129" x14ac:dyDescent="0.2">
      <c r="DY9356" s="185" t="s">
        <v>215</v>
      </c>
    </row>
    <row r="9357" spans="129:129" x14ac:dyDescent="0.2">
      <c r="DY9357" s="185" t="s">
        <v>215</v>
      </c>
    </row>
    <row r="9358" spans="129:129" x14ac:dyDescent="0.2">
      <c r="DY9358" s="185" t="s">
        <v>215</v>
      </c>
    </row>
    <row r="9359" spans="129:129" x14ac:dyDescent="0.2">
      <c r="DY9359" s="185" t="s">
        <v>215</v>
      </c>
    </row>
    <row r="9360" spans="129:129" x14ac:dyDescent="0.2">
      <c r="DY9360" s="185" t="s">
        <v>215</v>
      </c>
    </row>
    <row r="9361" spans="129:129" x14ac:dyDescent="0.2">
      <c r="DY9361" s="185" t="s">
        <v>215</v>
      </c>
    </row>
    <row r="9362" spans="129:129" x14ac:dyDescent="0.2">
      <c r="DY9362" s="185" t="s">
        <v>215</v>
      </c>
    </row>
    <row r="9363" spans="129:129" x14ac:dyDescent="0.2">
      <c r="DY9363" s="185" t="s">
        <v>215</v>
      </c>
    </row>
    <row r="9364" spans="129:129" x14ac:dyDescent="0.2">
      <c r="DY9364" s="185" t="s">
        <v>215</v>
      </c>
    </row>
    <row r="9365" spans="129:129" x14ac:dyDescent="0.2">
      <c r="DY9365" s="185" t="s">
        <v>215</v>
      </c>
    </row>
    <row r="9366" spans="129:129" x14ac:dyDescent="0.2">
      <c r="DY9366" s="185" t="s">
        <v>215</v>
      </c>
    </row>
    <row r="9367" spans="129:129" x14ac:dyDescent="0.2">
      <c r="DY9367" s="185" t="s">
        <v>215</v>
      </c>
    </row>
    <row r="9368" spans="129:129" x14ac:dyDescent="0.2">
      <c r="DY9368" s="185" t="s">
        <v>215</v>
      </c>
    </row>
    <row r="9369" spans="129:129" x14ac:dyDescent="0.2">
      <c r="DY9369" s="185" t="s">
        <v>215</v>
      </c>
    </row>
    <row r="9370" spans="129:129" x14ac:dyDescent="0.2">
      <c r="DY9370" s="185" t="s">
        <v>215</v>
      </c>
    </row>
    <row r="9371" spans="129:129" x14ac:dyDescent="0.2">
      <c r="DY9371" s="185" t="s">
        <v>215</v>
      </c>
    </row>
    <row r="9372" spans="129:129" x14ac:dyDescent="0.2">
      <c r="DY9372" s="185" t="s">
        <v>215</v>
      </c>
    </row>
    <row r="9373" spans="129:129" x14ac:dyDescent="0.2">
      <c r="DY9373" s="185" t="s">
        <v>215</v>
      </c>
    </row>
    <row r="9374" spans="129:129" x14ac:dyDescent="0.2">
      <c r="DY9374" s="185" t="s">
        <v>215</v>
      </c>
    </row>
    <row r="9375" spans="129:129" x14ac:dyDescent="0.2">
      <c r="DY9375" s="185" t="s">
        <v>215</v>
      </c>
    </row>
    <row r="9376" spans="129:129" x14ac:dyDescent="0.2">
      <c r="DY9376" s="185" t="s">
        <v>215</v>
      </c>
    </row>
    <row r="9377" spans="129:129" x14ac:dyDescent="0.2">
      <c r="DY9377" s="185" t="s">
        <v>215</v>
      </c>
    </row>
    <row r="9378" spans="129:129" x14ac:dyDescent="0.2">
      <c r="DY9378" s="185" t="s">
        <v>215</v>
      </c>
    </row>
    <row r="9379" spans="129:129" x14ac:dyDescent="0.2">
      <c r="DY9379" s="185" t="s">
        <v>215</v>
      </c>
    </row>
    <row r="9380" spans="129:129" x14ac:dyDescent="0.2">
      <c r="DY9380" s="185" t="s">
        <v>215</v>
      </c>
    </row>
    <row r="9381" spans="129:129" x14ac:dyDescent="0.2">
      <c r="DY9381" s="185" t="s">
        <v>215</v>
      </c>
    </row>
    <row r="9382" spans="129:129" x14ac:dyDescent="0.2">
      <c r="DY9382" s="185" t="s">
        <v>215</v>
      </c>
    </row>
    <row r="9383" spans="129:129" x14ac:dyDescent="0.2">
      <c r="DY9383" s="185" t="s">
        <v>215</v>
      </c>
    </row>
    <row r="9384" spans="129:129" x14ac:dyDescent="0.2">
      <c r="DY9384" s="185" t="s">
        <v>215</v>
      </c>
    </row>
    <row r="9385" spans="129:129" x14ac:dyDescent="0.2">
      <c r="DY9385" s="185" t="s">
        <v>215</v>
      </c>
    </row>
    <row r="9386" spans="129:129" x14ac:dyDescent="0.2">
      <c r="DY9386" s="185" t="s">
        <v>215</v>
      </c>
    </row>
    <row r="9387" spans="129:129" x14ac:dyDescent="0.2">
      <c r="DY9387" s="185" t="s">
        <v>215</v>
      </c>
    </row>
    <row r="9388" spans="129:129" x14ac:dyDescent="0.2">
      <c r="DY9388" s="185" t="s">
        <v>215</v>
      </c>
    </row>
    <row r="9389" spans="129:129" x14ac:dyDescent="0.2">
      <c r="DY9389" s="185" t="s">
        <v>215</v>
      </c>
    </row>
    <row r="9390" spans="129:129" x14ac:dyDescent="0.2">
      <c r="DY9390" s="185" t="s">
        <v>215</v>
      </c>
    </row>
    <row r="9391" spans="129:129" x14ac:dyDescent="0.2">
      <c r="DY9391" s="185" t="s">
        <v>215</v>
      </c>
    </row>
    <row r="9392" spans="129:129" x14ac:dyDescent="0.2">
      <c r="DY9392" s="185" t="s">
        <v>215</v>
      </c>
    </row>
    <row r="9393" spans="129:129" x14ac:dyDescent="0.2">
      <c r="DY9393" s="185" t="s">
        <v>215</v>
      </c>
    </row>
    <row r="9394" spans="129:129" x14ac:dyDescent="0.2">
      <c r="DY9394" s="185" t="s">
        <v>215</v>
      </c>
    </row>
    <row r="9395" spans="129:129" x14ac:dyDescent="0.2">
      <c r="DY9395" s="185" t="s">
        <v>215</v>
      </c>
    </row>
    <row r="9396" spans="129:129" x14ac:dyDescent="0.2">
      <c r="DY9396" s="185" t="s">
        <v>215</v>
      </c>
    </row>
    <row r="9397" spans="129:129" x14ac:dyDescent="0.2">
      <c r="DY9397" s="185" t="s">
        <v>215</v>
      </c>
    </row>
    <row r="9398" spans="129:129" x14ac:dyDescent="0.2">
      <c r="DY9398" s="185" t="s">
        <v>215</v>
      </c>
    </row>
    <row r="9399" spans="129:129" x14ac:dyDescent="0.2">
      <c r="DY9399" s="185" t="s">
        <v>215</v>
      </c>
    </row>
    <row r="9400" spans="129:129" x14ac:dyDescent="0.2">
      <c r="DY9400" s="185" t="s">
        <v>215</v>
      </c>
    </row>
    <row r="9401" spans="129:129" x14ac:dyDescent="0.2">
      <c r="DY9401" s="185" t="s">
        <v>215</v>
      </c>
    </row>
    <row r="9402" spans="129:129" x14ac:dyDescent="0.2">
      <c r="DY9402" s="185" t="s">
        <v>215</v>
      </c>
    </row>
    <row r="9403" spans="129:129" x14ac:dyDescent="0.2">
      <c r="DY9403" s="185" t="s">
        <v>215</v>
      </c>
    </row>
    <row r="9404" spans="129:129" x14ac:dyDescent="0.2">
      <c r="DY9404" s="185" t="s">
        <v>215</v>
      </c>
    </row>
    <row r="9405" spans="129:129" x14ac:dyDescent="0.2">
      <c r="DY9405" s="185" t="s">
        <v>215</v>
      </c>
    </row>
    <row r="9406" spans="129:129" x14ac:dyDescent="0.2">
      <c r="DY9406" s="185" t="s">
        <v>215</v>
      </c>
    </row>
    <row r="9407" spans="129:129" x14ac:dyDescent="0.2">
      <c r="DY9407" s="185" t="s">
        <v>215</v>
      </c>
    </row>
    <row r="9408" spans="129:129" x14ac:dyDescent="0.2">
      <c r="DY9408" s="185" t="s">
        <v>215</v>
      </c>
    </row>
    <row r="9409" spans="129:129" x14ac:dyDescent="0.2">
      <c r="DY9409" s="185" t="s">
        <v>215</v>
      </c>
    </row>
    <row r="9410" spans="129:129" x14ac:dyDescent="0.2">
      <c r="DY9410" s="185" t="s">
        <v>215</v>
      </c>
    </row>
    <row r="9411" spans="129:129" x14ac:dyDescent="0.2">
      <c r="DY9411" s="185" t="s">
        <v>215</v>
      </c>
    </row>
    <row r="9412" spans="129:129" x14ac:dyDescent="0.2">
      <c r="DY9412" s="185" t="s">
        <v>215</v>
      </c>
    </row>
    <row r="9413" spans="129:129" x14ac:dyDescent="0.2">
      <c r="DY9413" s="185" t="s">
        <v>215</v>
      </c>
    </row>
    <row r="9414" spans="129:129" x14ac:dyDescent="0.2">
      <c r="DY9414" s="185" t="s">
        <v>215</v>
      </c>
    </row>
    <row r="9415" spans="129:129" x14ac:dyDescent="0.2">
      <c r="DY9415" s="185" t="s">
        <v>215</v>
      </c>
    </row>
    <row r="9416" spans="129:129" x14ac:dyDescent="0.2">
      <c r="DY9416" s="185" t="s">
        <v>215</v>
      </c>
    </row>
    <row r="9417" spans="129:129" x14ac:dyDescent="0.2">
      <c r="DY9417" s="185" t="s">
        <v>215</v>
      </c>
    </row>
    <row r="9418" spans="129:129" x14ac:dyDescent="0.2">
      <c r="DY9418" s="185" t="s">
        <v>215</v>
      </c>
    </row>
    <row r="9419" spans="129:129" x14ac:dyDescent="0.2">
      <c r="DY9419" s="185" t="s">
        <v>215</v>
      </c>
    </row>
    <row r="9420" spans="129:129" x14ac:dyDescent="0.2">
      <c r="DY9420" s="185" t="s">
        <v>215</v>
      </c>
    </row>
    <row r="9421" spans="129:129" x14ac:dyDescent="0.2">
      <c r="DY9421" s="185" t="s">
        <v>215</v>
      </c>
    </row>
    <row r="9422" spans="129:129" x14ac:dyDescent="0.2">
      <c r="DY9422" s="185" t="s">
        <v>215</v>
      </c>
    </row>
    <row r="9423" spans="129:129" x14ac:dyDescent="0.2">
      <c r="DY9423" s="185" t="s">
        <v>215</v>
      </c>
    </row>
    <row r="9424" spans="129:129" x14ac:dyDescent="0.2">
      <c r="DY9424" s="185" t="s">
        <v>215</v>
      </c>
    </row>
    <row r="9425" spans="129:129" x14ac:dyDescent="0.2">
      <c r="DY9425" s="185" t="s">
        <v>215</v>
      </c>
    </row>
    <row r="9426" spans="129:129" x14ac:dyDescent="0.2">
      <c r="DY9426" s="185" t="s">
        <v>215</v>
      </c>
    </row>
    <row r="9427" spans="129:129" x14ac:dyDescent="0.2">
      <c r="DY9427" s="185" t="s">
        <v>215</v>
      </c>
    </row>
    <row r="9428" spans="129:129" x14ac:dyDescent="0.2">
      <c r="DY9428" s="185" t="s">
        <v>215</v>
      </c>
    </row>
    <row r="9429" spans="129:129" x14ac:dyDescent="0.2">
      <c r="DY9429" s="185" t="s">
        <v>215</v>
      </c>
    </row>
    <row r="9430" spans="129:129" x14ac:dyDescent="0.2">
      <c r="DY9430" s="185" t="s">
        <v>215</v>
      </c>
    </row>
    <row r="9431" spans="129:129" x14ac:dyDescent="0.2">
      <c r="DY9431" s="185" t="s">
        <v>215</v>
      </c>
    </row>
    <row r="9432" spans="129:129" x14ac:dyDescent="0.2">
      <c r="DY9432" s="185" t="s">
        <v>215</v>
      </c>
    </row>
    <row r="9433" spans="129:129" x14ac:dyDescent="0.2">
      <c r="DY9433" s="185" t="s">
        <v>215</v>
      </c>
    </row>
    <row r="9434" spans="129:129" x14ac:dyDescent="0.2">
      <c r="DY9434" s="185" t="s">
        <v>215</v>
      </c>
    </row>
    <row r="9435" spans="129:129" x14ac:dyDescent="0.2">
      <c r="DY9435" s="185" t="s">
        <v>215</v>
      </c>
    </row>
    <row r="9436" spans="129:129" x14ac:dyDescent="0.2">
      <c r="DY9436" s="185" t="s">
        <v>215</v>
      </c>
    </row>
    <row r="9437" spans="129:129" x14ac:dyDescent="0.2">
      <c r="DY9437" s="185" t="s">
        <v>215</v>
      </c>
    </row>
    <row r="9438" spans="129:129" x14ac:dyDescent="0.2">
      <c r="DY9438" s="185" t="s">
        <v>215</v>
      </c>
    </row>
    <row r="9439" spans="129:129" x14ac:dyDescent="0.2">
      <c r="DY9439" s="185" t="s">
        <v>215</v>
      </c>
    </row>
    <row r="9440" spans="129:129" x14ac:dyDescent="0.2">
      <c r="DY9440" s="185" t="s">
        <v>215</v>
      </c>
    </row>
    <row r="9441" spans="129:129" x14ac:dyDescent="0.2">
      <c r="DY9441" s="185" t="s">
        <v>215</v>
      </c>
    </row>
    <row r="9442" spans="129:129" x14ac:dyDescent="0.2">
      <c r="DY9442" s="185" t="s">
        <v>215</v>
      </c>
    </row>
    <row r="9443" spans="129:129" x14ac:dyDescent="0.2">
      <c r="DY9443" s="185" t="s">
        <v>215</v>
      </c>
    </row>
    <row r="9444" spans="129:129" x14ac:dyDescent="0.2">
      <c r="DY9444" s="185" t="s">
        <v>215</v>
      </c>
    </row>
    <row r="9445" spans="129:129" x14ac:dyDescent="0.2">
      <c r="DY9445" s="185" t="s">
        <v>215</v>
      </c>
    </row>
    <row r="9446" spans="129:129" x14ac:dyDescent="0.2">
      <c r="DY9446" s="185" t="s">
        <v>215</v>
      </c>
    </row>
    <row r="9447" spans="129:129" x14ac:dyDescent="0.2">
      <c r="DY9447" s="185" t="s">
        <v>215</v>
      </c>
    </row>
    <row r="9448" spans="129:129" x14ac:dyDescent="0.2">
      <c r="DY9448" s="185" t="s">
        <v>215</v>
      </c>
    </row>
    <row r="9449" spans="129:129" x14ac:dyDescent="0.2">
      <c r="DY9449" s="185" t="s">
        <v>215</v>
      </c>
    </row>
    <row r="9450" spans="129:129" x14ac:dyDescent="0.2">
      <c r="DY9450" s="185" t="s">
        <v>215</v>
      </c>
    </row>
    <row r="9451" spans="129:129" x14ac:dyDescent="0.2">
      <c r="DY9451" s="185" t="s">
        <v>215</v>
      </c>
    </row>
    <row r="9452" spans="129:129" x14ac:dyDescent="0.2">
      <c r="DY9452" s="185" t="s">
        <v>215</v>
      </c>
    </row>
    <row r="9453" spans="129:129" x14ac:dyDescent="0.2">
      <c r="DY9453" s="185" t="s">
        <v>215</v>
      </c>
    </row>
    <row r="9454" spans="129:129" x14ac:dyDescent="0.2">
      <c r="DY9454" s="185" t="s">
        <v>215</v>
      </c>
    </row>
    <row r="9455" spans="129:129" x14ac:dyDescent="0.2">
      <c r="DY9455" s="185" t="s">
        <v>215</v>
      </c>
    </row>
    <row r="9456" spans="129:129" x14ac:dyDescent="0.2">
      <c r="DY9456" s="185" t="s">
        <v>215</v>
      </c>
    </row>
    <row r="9457" spans="129:129" x14ac:dyDescent="0.2">
      <c r="DY9457" s="185" t="s">
        <v>215</v>
      </c>
    </row>
    <row r="9458" spans="129:129" x14ac:dyDescent="0.2">
      <c r="DY9458" s="185" t="s">
        <v>215</v>
      </c>
    </row>
    <row r="9459" spans="129:129" x14ac:dyDescent="0.2">
      <c r="DY9459" s="185" t="s">
        <v>215</v>
      </c>
    </row>
    <row r="9460" spans="129:129" x14ac:dyDescent="0.2">
      <c r="DY9460" s="185" t="s">
        <v>215</v>
      </c>
    </row>
    <row r="9461" spans="129:129" x14ac:dyDescent="0.2">
      <c r="DY9461" s="185" t="s">
        <v>215</v>
      </c>
    </row>
    <row r="9462" spans="129:129" x14ac:dyDescent="0.2">
      <c r="DY9462" s="185" t="s">
        <v>215</v>
      </c>
    </row>
    <row r="9463" spans="129:129" x14ac:dyDescent="0.2">
      <c r="DY9463" s="185" t="s">
        <v>215</v>
      </c>
    </row>
    <row r="9464" spans="129:129" x14ac:dyDescent="0.2">
      <c r="DY9464" s="185" t="s">
        <v>215</v>
      </c>
    </row>
    <row r="9465" spans="129:129" x14ac:dyDescent="0.2">
      <c r="DY9465" s="185" t="s">
        <v>215</v>
      </c>
    </row>
    <row r="9466" spans="129:129" x14ac:dyDescent="0.2">
      <c r="DY9466" s="185" t="s">
        <v>215</v>
      </c>
    </row>
    <row r="9467" spans="129:129" x14ac:dyDescent="0.2">
      <c r="DY9467" s="185" t="s">
        <v>215</v>
      </c>
    </row>
    <row r="9468" spans="129:129" x14ac:dyDescent="0.2">
      <c r="DY9468" s="185" t="s">
        <v>215</v>
      </c>
    </row>
    <row r="9469" spans="129:129" x14ac:dyDescent="0.2">
      <c r="DY9469" s="185" t="s">
        <v>215</v>
      </c>
    </row>
    <row r="9470" spans="129:129" x14ac:dyDescent="0.2">
      <c r="DY9470" s="185" t="s">
        <v>215</v>
      </c>
    </row>
    <row r="9471" spans="129:129" x14ac:dyDescent="0.2">
      <c r="DY9471" s="185" t="s">
        <v>215</v>
      </c>
    </row>
    <row r="9472" spans="129:129" x14ac:dyDescent="0.2">
      <c r="DY9472" s="185" t="s">
        <v>215</v>
      </c>
    </row>
    <row r="9473" spans="129:129" x14ac:dyDescent="0.2">
      <c r="DY9473" s="185" t="s">
        <v>215</v>
      </c>
    </row>
    <row r="9474" spans="129:129" x14ac:dyDescent="0.2">
      <c r="DY9474" s="185" t="s">
        <v>215</v>
      </c>
    </row>
    <row r="9475" spans="129:129" x14ac:dyDescent="0.2">
      <c r="DY9475" s="185" t="s">
        <v>215</v>
      </c>
    </row>
    <row r="9476" spans="129:129" x14ac:dyDescent="0.2">
      <c r="DY9476" s="185" t="s">
        <v>215</v>
      </c>
    </row>
    <row r="9477" spans="129:129" x14ac:dyDescent="0.2">
      <c r="DY9477" s="185" t="s">
        <v>215</v>
      </c>
    </row>
    <row r="9478" spans="129:129" x14ac:dyDescent="0.2">
      <c r="DY9478" s="185" t="s">
        <v>215</v>
      </c>
    </row>
    <row r="9479" spans="129:129" x14ac:dyDescent="0.2">
      <c r="DY9479" s="185" t="s">
        <v>215</v>
      </c>
    </row>
    <row r="9480" spans="129:129" x14ac:dyDescent="0.2">
      <c r="DY9480" s="185" t="s">
        <v>215</v>
      </c>
    </row>
    <row r="9481" spans="129:129" x14ac:dyDescent="0.2">
      <c r="DY9481" s="185" t="s">
        <v>215</v>
      </c>
    </row>
    <row r="9482" spans="129:129" x14ac:dyDescent="0.2">
      <c r="DY9482" s="185" t="s">
        <v>215</v>
      </c>
    </row>
    <row r="9483" spans="129:129" x14ac:dyDescent="0.2">
      <c r="DY9483" s="185" t="s">
        <v>215</v>
      </c>
    </row>
    <row r="9484" spans="129:129" x14ac:dyDescent="0.2">
      <c r="DY9484" s="185" t="s">
        <v>215</v>
      </c>
    </row>
    <row r="9485" spans="129:129" x14ac:dyDescent="0.2">
      <c r="DY9485" s="185" t="s">
        <v>215</v>
      </c>
    </row>
    <row r="9486" spans="129:129" x14ac:dyDescent="0.2">
      <c r="DY9486" s="185" t="s">
        <v>215</v>
      </c>
    </row>
    <row r="9487" spans="129:129" x14ac:dyDescent="0.2">
      <c r="DY9487" s="185" t="s">
        <v>215</v>
      </c>
    </row>
    <row r="9488" spans="129:129" x14ac:dyDescent="0.2">
      <c r="DY9488" s="185" t="s">
        <v>215</v>
      </c>
    </row>
    <row r="9489" spans="129:129" x14ac:dyDescent="0.2">
      <c r="DY9489" s="185" t="s">
        <v>215</v>
      </c>
    </row>
    <row r="9490" spans="129:129" x14ac:dyDescent="0.2">
      <c r="DY9490" s="185" t="s">
        <v>215</v>
      </c>
    </row>
    <row r="9491" spans="129:129" x14ac:dyDescent="0.2">
      <c r="DY9491" s="185" t="s">
        <v>215</v>
      </c>
    </row>
    <row r="9492" spans="129:129" x14ac:dyDescent="0.2">
      <c r="DY9492" s="185" t="s">
        <v>215</v>
      </c>
    </row>
    <row r="9493" spans="129:129" x14ac:dyDescent="0.2">
      <c r="DY9493" s="185" t="s">
        <v>215</v>
      </c>
    </row>
    <row r="9494" spans="129:129" x14ac:dyDescent="0.2">
      <c r="DY9494" s="185" t="s">
        <v>215</v>
      </c>
    </row>
    <row r="9495" spans="129:129" x14ac:dyDescent="0.2">
      <c r="DY9495" s="185" t="s">
        <v>215</v>
      </c>
    </row>
    <row r="9496" spans="129:129" x14ac:dyDescent="0.2">
      <c r="DY9496" s="185" t="s">
        <v>215</v>
      </c>
    </row>
    <row r="9497" spans="129:129" x14ac:dyDescent="0.2">
      <c r="DY9497" s="185" t="s">
        <v>215</v>
      </c>
    </row>
    <row r="9498" spans="129:129" x14ac:dyDescent="0.2">
      <c r="DY9498" s="185" t="s">
        <v>215</v>
      </c>
    </row>
    <row r="9499" spans="129:129" x14ac:dyDescent="0.2">
      <c r="DY9499" s="185" t="s">
        <v>215</v>
      </c>
    </row>
    <row r="9500" spans="129:129" x14ac:dyDescent="0.2">
      <c r="DY9500" s="185" t="s">
        <v>215</v>
      </c>
    </row>
    <row r="9501" spans="129:129" x14ac:dyDescent="0.2">
      <c r="DY9501" s="185" t="s">
        <v>215</v>
      </c>
    </row>
    <row r="9502" spans="129:129" x14ac:dyDescent="0.2">
      <c r="DY9502" s="185" t="s">
        <v>215</v>
      </c>
    </row>
    <row r="9503" spans="129:129" x14ac:dyDescent="0.2">
      <c r="DY9503" s="185" t="s">
        <v>215</v>
      </c>
    </row>
    <row r="9504" spans="129:129" x14ac:dyDescent="0.2">
      <c r="DY9504" s="185" t="s">
        <v>215</v>
      </c>
    </row>
    <row r="9505" spans="129:129" x14ac:dyDescent="0.2">
      <c r="DY9505" s="185" t="s">
        <v>215</v>
      </c>
    </row>
    <row r="9506" spans="129:129" x14ac:dyDescent="0.2">
      <c r="DY9506" s="185" t="s">
        <v>215</v>
      </c>
    </row>
    <row r="9507" spans="129:129" x14ac:dyDescent="0.2">
      <c r="DY9507" s="185" t="s">
        <v>215</v>
      </c>
    </row>
    <row r="9508" spans="129:129" x14ac:dyDescent="0.2">
      <c r="DY9508" s="185" t="s">
        <v>215</v>
      </c>
    </row>
    <row r="9509" spans="129:129" x14ac:dyDescent="0.2">
      <c r="DY9509" s="185" t="s">
        <v>215</v>
      </c>
    </row>
    <row r="9510" spans="129:129" x14ac:dyDescent="0.2">
      <c r="DY9510" s="185" t="s">
        <v>215</v>
      </c>
    </row>
    <row r="9511" spans="129:129" x14ac:dyDescent="0.2">
      <c r="DY9511" s="185" t="s">
        <v>215</v>
      </c>
    </row>
    <row r="9512" spans="129:129" x14ac:dyDescent="0.2">
      <c r="DY9512" s="185" t="s">
        <v>215</v>
      </c>
    </row>
    <row r="9513" spans="129:129" x14ac:dyDescent="0.2">
      <c r="DY9513" s="185" t="s">
        <v>215</v>
      </c>
    </row>
    <row r="9514" spans="129:129" x14ac:dyDescent="0.2">
      <c r="DY9514" s="185" t="s">
        <v>215</v>
      </c>
    </row>
    <row r="9515" spans="129:129" x14ac:dyDescent="0.2">
      <c r="DY9515" s="185" t="s">
        <v>215</v>
      </c>
    </row>
    <row r="9516" spans="129:129" x14ac:dyDescent="0.2">
      <c r="DY9516" s="185" t="s">
        <v>215</v>
      </c>
    </row>
    <row r="9517" spans="129:129" x14ac:dyDescent="0.2">
      <c r="DY9517" s="185" t="s">
        <v>215</v>
      </c>
    </row>
    <row r="9518" spans="129:129" x14ac:dyDescent="0.2">
      <c r="DY9518" s="185" t="s">
        <v>215</v>
      </c>
    </row>
    <row r="9519" spans="129:129" x14ac:dyDescent="0.2">
      <c r="DY9519" s="185" t="s">
        <v>215</v>
      </c>
    </row>
    <row r="9520" spans="129:129" x14ac:dyDescent="0.2">
      <c r="DY9520" s="185" t="s">
        <v>215</v>
      </c>
    </row>
    <row r="9521" spans="129:129" x14ac:dyDescent="0.2">
      <c r="DY9521" s="185" t="s">
        <v>215</v>
      </c>
    </row>
    <row r="9522" spans="129:129" x14ac:dyDescent="0.2">
      <c r="DY9522" s="185" t="s">
        <v>215</v>
      </c>
    </row>
    <row r="9523" spans="129:129" x14ac:dyDescent="0.2">
      <c r="DY9523" s="185" t="s">
        <v>215</v>
      </c>
    </row>
    <row r="9524" spans="129:129" x14ac:dyDescent="0.2">
      <c r="DY9524" s="185" t="s">
        <v>215</v>
      </c>
    </row>
    <row r="9525" spans="129:129" x14ac:dyDescent="0.2">
      <c r="DY9525" s="185" t="s">
        <v>215</v>
      </c>
    </row>
    <row r="9526" spans="129:129" x14ac:dyDescent="0.2">
      <c r="DY9526" s="185" t="s">
        <v>215</v>
      </c>
    </row>
    <row r="9527" spans="129:129" x14ac:dyDescent="0.2">
      <c r="DY9527" s="185" t="s">
        <v>215</v>
      </c>
    </row>
    <row r="9528" spans="129:129" x14ac:dyDescent="0.2">
      <c r="DY9528" s="185" t="s">
        <v>215</v>
      </c>
    </row>
    <row r="9529" spans="129:129" x14ac:dyDescent="0.2">
      <c r="DY9529" s="185" t="s">
        <v>215</v>
      </c>
    </row>
    <row r="9530" spans="129:129" x14ac:dyDescent="0.2">
      <c r="DY9530" s="185" t="s">
        <v>215</v>
      </c>
    </row>
    <row r="9531" spans="129:129" x14ac:dyDescent="0.2">
      <c r="DY9531" s="185" t="s">
        <v>215</v>
      </c>
    </row>
    <row r="9532" spans="129:129" x14ac:dyDescent="0.2">
      <c r="DY9532" s="185" t="s">
        <v>215</v>
      </c>
    </row>
    <row r="9533" spans="129:129" x14ac:dyDescent="0.2">
      <c r="DY9533" s="185" t="s">
        <v>215</v>
      </c>
    </row>
    <row r="9534" spans="129:129" x14ac:dyDescent="0.2">
      <c r="DY9534" s="185" t="s">
        <v>215</v>
      </c>
    </row>
    <row r="9535" spans="129:129" x14ac:dyDescent="0.2">
      <c r="DY9535" s="185" t="s">
        <v>215</v>
      </c>
    </row>
    <row r="9536" spans="129:129" x14ac:dyDescent="0.2">
      <c r="DY9536" s="185" t="s">
        <v>215</v>
      </c>
    </row>
    <row r="9537" spans="129:129" x14ac:dyDescent="0.2">
      <c r="DY9537" s="185" t="s">
        <v>215</v>
      </c>
    </row>
    <row r="9538" spans="129:129" x14ac:dyDescent="0.2">
      <c r="DY9538" s="185" t="s">
        <v>215</v>
      </c>
    </row>
    <row r="9539" spans="129:129" x14ac:dyDescent="0.2">
      <c r="DY9539" s="185" t="s">
        <v>215</v>
      </c>
    </row>
    <row r="9540" spans="129:129" x14ac:dyDescent="0.2">
      <c r="DY9540" s="185" t="s">
        <v>215</v>
      </c>
    </row>
    <row r="9541" spans="129:129" x14ac:dyDescent="0.2">
      <c r="DY9541" s="185" t="s">
        <v>215</v>
      </c>
    </row>
    <row r="9542" spans="129:129" x14ac:dyDescent="0.2">
      <c r="DY9542" s="185" t="s">
        <v>215</v>
      </c>
    </row>
    <row r="9543" spans="129:129" x14ac:dyDescent="0.2">
      <c r="DY9543" s="185" t="s">
        <v>215</v>
      </c>
    </row>
    <row r="9544" spans="129:129" x14ac:dyDescent="0.2">
      <c r="DY9544" s="185" t="s">
        <v>215</v>
      </c>
    </row>
    <row r="9545" spans="129:129" x14ac:dyDescent="0.2">
      <c r="DY9545" s="185" t="s">
        <v>215</v>
      </c>
    </row>
    <row r="9546" spans="129:129" x14ac:dyDescent="0.2">
      <c r="DY9546" s="185" t="s">
        <v>215</v>
      </c>
    </row>
    <row r="9547" spans="129:129" x14ac:dyDescent="0.2">
      <c r="DY9547" s="185" t="s">
        <v>215</v>
      </c>
    </row>
    <row r="9548" spans="129:129" x14ac:dyDescent="0.2">
      <c r="DY9548" s="185" t="s">
        <v>215</v>
      </c>
    </row>
    <row r="9549" spans="129:129" x14ac:dyDescent="0.2">
      <c r="DY9549" s="185" t="s">
        <v>215</v>
      </c>
    </row>
    <row r="9550" spans="129:129" x14ac:dyDescent="0.2">
      <c r="DY9550" s="185" t="s">
        <v>215</v>
      </c>
    </row>
    <row r="9551" spans="129:129" x14ac:dyDescent="0.2">
      <c r="DY9551" s="185" t="s">
        <v>215</v>
      </c>
    </row>
    <row r="9552" spans="129:129" x14ac:dyDescent="0.2">
      <c r="DY9552" s="185" t="s">
        <v>215</v>
      </c>
    </row>
    <row r="9553" spans="129:129" x14ac:dyDescent="0.2">
      <c r="DY9553" s="185" t="s">
        <v>215</v>
      </c>
    </row>
    <row r="9554" spans="129:129" x14ac:dyDescent="0.2">
      <c r="DY9554" s="185" t="s">
        <v>215</v>
      </c>
    </row>
    <row r="9555" spans="129:129" x14ac:dyDescent="0.2">
      <c r="DY9555" s="185" t="s">
        <v>215</v>
      </c>
    </row>
    <row r="9556" spans="129:129" x14ac:dyDescent="0.2">
      <c r="DY9556" s="185" t="s">
        <v>215</v>
      </c>
    </row>
    <row r="9557" spans="129:129" x14ac:dyDescent="0.2">
      <c r="DY9557" s="185" t="s">
        <v>215</v>
      </c>
    </row>
    <row r="9558" spans="129:129" x14ac:dyDescent="0.2">
      <c r="DY9558" s="185" t="s">
        <v>215</v>
      </c>
    </row>
    <row r="9559" spans="129:129" x14ac:dyDescent="0.2">
      <c r="DY9559" s="185" t="s">
        <v>215</v>
      </c>
    </row>
    <row r="9560" spans="129:129" x14ac:dyDescent="0.2">
      <c r="DY9560" s="185" t="s">
        <v>215</v>
      </c>
    </row>
    <row r="9561" spans="129:129" x14ac:dyDescent="0.2">
      <c r="DY9561" s="185" t="s">
        <v>215</v>
      </c>
    </row>
    <row r="9562" spans="129:129" x14ac:dyDescent="0.2">
      <c r="DY9562" s="185" t="s">
        <v>215</v>
      </c>
    </row>
    <row r="9563" spans="129:129" x14ac:dyDescent="0.2">
      <c r="DY9563" s="185" t="s">
        <v>215</v>
      </c>
    </row>
    <row r="9564" spans="129:129" x14ac:dyDescent="0.2">
      <c r="DY9564" s="185" t="s">
        <v>215</v>
      </c>
    </row>
    <row r="9565" spans="129:129" x14ac:dyDescent="0.2">
      <c r="DY9565" s="185" t="s">
        <v>215</v>
      </c>
    </row>
    <row r="9566" spans="129:129" x14ac:dyDescent="0.2">
      <c r="DY9566" s="185" t="s">
        <v>215</v>
      </c>
    </row>
    <row r="9567" spans="129:129" x14ac:dyDescent="0.2">
      <c r="DY9567" s="185" t="s">
        <v>215</v>
      </c>
    </row>
    <row r="9568" spans="129:129" x14ac:dyDescent="0.2">
      <c r="DY9568" s="185" t="s">
        <v>215</v>
      </c>
    </row>
    <row r="9569" spans="129:129" x14ac:dyDescent="0.2">
      <c r="DY9569" s="185" t="s">
        <v>215</v>
      </c>
    </row>
    <row r="9570" spans="129:129" x14ac:dyDescent="0.2">
      <c r="DY9570" s="185" t="s">
        <v>215</v>
      </c>
    </row>
    <row r="9571" spans="129:129" x14ac:dyDescent="0.2">
      <c r="DY9571" s="185" t="s">
        <v>215</v>
      </c>
    </row>
    <row r="9572" spans="129:129" x14ac:dyDescent="0.2">
      <c r="DY9572" s="185" t="s">
        <v>215</v>
      </c>
    </row>
    <row r="9573" spans="129:129" x14ac:dyDescent="0.2">
      <c r="DY9573" s="185" t="s">
        <v>215</v>
      </c>
    </row>
    <row r="9574" spans="129:129" x14ac:dyDescent="0.2">
      <c r="DY9574" s="185" t="s">
        <v>215</v>
      </c>
    </row>
    <row r="9575" spans="129:129" x14ac:dyDescent="0.2">
      <c r="DY9575" s="185" t="s">
        <v>215</v>
      </c>
    </row>
    <row r="9576" spans="129:129" x14ac:dyDescent="0.2">
      <c r="DY9576" s="185" t="s">
        <v>215</v>
      </c>
    </row>
    <row r="9577" spans="129:129" x14ac:dyDescent="0.2">
      <c r="DY9577" s="185" t="s">
        <v>215</v>
      </c>
    </row>
    <row r="9578" spans="129:129" x14ac:dyDescent="0.2">
      <c r="DY9578" s="185" t="s">
        <v>215</v>
      </c>
    </row>
    <row r="9579" spans="129:129" x14ac:dyDescent="0.2">
      <c r="DY9579" s="185" t="s">
        <v>215</v>
      </c>
    </row>
    <row r="9580" spans="129:129" x14ac:dyDescent="0.2">
      <c r="DY9580" s="185" t="s">
        <v>215</v>
      </c>
    </row>
    <row r="9581" spans="129:129" x14ac:dyDescent="0.2">
      <c r="DY9581" s="185" t="s">
        <v>215</v>
      </c>
    </row>
    <row r="9582" spans="129:129" x14ac:dyDescent="0.2">
      <c r="DY9582" s="185" t="s">
        <v>215</v>
      </c>
    </row>
    <row r="9583" spans="129:129" x14ac:dyDescent="0.2">
      <c r="DY9583" s="185" t="s">
        <v>215</v>
      </c>
    </row>
    <row r="9584" spans="129:129" x14ac:dyDescent="0.2">
      <c r="DY9584" s="185" t="s">
        <v>215</v>
      </c>
    </row>
    <row r="9585" spans="129:129" x14ac:dyDescent="0.2">
      <c r="DY9585" s="185" t="s">
        <v>215</v>
      </c>
    </row>
    <row r="9586" spans="129:129" x14ac:dyDescent="0.2">
      <c r="DY9586" s="185" t="s">
        <v>215</v>
      </c>
    </row>
    <row r="9587" spans="129:129" x14ac:dyDescent="0.2">
      <c r="DY9587" s="185" t="s">
        <v>215</v>
      </c>
    </row>
    <row r="9588" spans="129:129" x14ac:dyDescent="0.2">
      <c r="DY9588" s="185" t="s">
        <v>215</v>
      </c>
    </row>
    <row r="9589" spans="129:129" x14ac:dyDescent="0.2">
      <c r="DY9589" s="185" t="s">
        <v>215</v>
      </c>
    </row>
    <row r="9590" spans="129:129" x14ac:dyDescent="0.2">
      <c r="DY9590" s="185" t="s">
        <v>215</v>
      </c>
    </row>
    <row r="9591" spans="129:129" x14ac:dyDescent="0.2">
      <c r="DY9591" s="185" t="s">
        <v>215</v>
      </c>
    </row>
    <row r="9592" spans="129:129" x14ac:dyDescent="0.2">
      <c r="DY9592" s="185" t="s">
        <v>215</v>
      </c>
    </row>
    <row r="9593" spans="129:129" x14ac:dyDescent="0.2">
      <c r="DY9593" s="185" t="s">
        <v>215</v>
      </c>
    </row>
    <row r="9594" spans="129:129" x14ac:dyDescent="0.2">
      <c r="DY9594" s="185" t="s">
        <v>215</v>
      </c>
    </row>
    <row r="9595" spans="129:129" x14ac:dyDescent="0.2">
      <c r="DY9595" s="185" t="s">
        <v>215</v>
      </c>
    </row>
    <row r="9596" spans="129:129" x14ac:dyDescent="0.2">
      <c r="DY9596" s="185" t="s">
        <v>215</v>
      </c>
    </row>
    <row r="9597" spans="129:129" x14ac:dyDescent="0.2">
      <c r="DY9597" s="185" t="s">
        <v>215</v>
      </c>
    </row>
    <row r="9598" spans="129:129" x14ac:dyDescent="0.2">
      <c r="DY9598" s="185" t="s">
        <v>215</v>
      </c>
    </row>
    <row r="9599" spans="129:129" x14ac:dyDescent="0.2">
      <c r="DY9599" s="185" t="s">
        <v>215</v>
      </c>
    </row>
    <row r="9600" spans="129:129" x14ac:dyDescent="0.2">
      <c r="DY9600" s="185" t="s">
        <v>215</v>
      </c>
    </row>
    <row r="9601" spans="129:129" x14ac:dyDescent="0.2">
      <c r="DY9601" s="185" t="s">
        <v>215</v>
      </c>
    </row>
    <row r="9602" spans="129:129" x14ac:dyDescent="0.2">
      <c r="DY9602" s="185" t="s">
        <v>215</v>
      </c>
    </row>
    <row r="9603" spans="129:129" x14ac:dyDescent="0.2">
      <c r="DY9603" s="185" t="s">
        <v>215</v>
      </c>
    </row>
    <row r="9604" spans="129:129" x14ac:dyDescent="0.2">
      <c r="DY9604" s="185" t="s">
        <v>215</v>
      </c>
    </row>
    <row r="9605" spans="129:129" x14ac:dyDescent="0.2">
      <c r="DY9605" s="185" t="s">
        <v>215</v>
      </c>
    </row>
    <row r="9606" spans="129:129" x14ac:dyDescent="0.2">
      <c r="DY9606" s="185" t="s">
        <v>215</v>
      </c>
    </row>
    <row r="9607" spans="129:129" x14ac:dyDescent="0.2">
      <c r="DY9607" s="185" t="s">
        <v>215</v>
      </c>
    </row>
    <row r="9608" spans="129:129" x14ac:dyDescent="0.2">
      <c r="DY9608" s="185" t="s">
        <v>215</v>
      </c>
    </row>
    <row r="9609" spans="129:129" x14ac:dyDescent="0.2">
      <c r="DY9609" s="185" t="s">
        <v>215</v>
      </c>
    </row>
    <row r="9610" spans="129:129" x14ac:dyDescent="0.2">
      <c r="DY9610" s="185" t="s">
        <v>215</v>
      </c>
    </row>
    <row r="9611" spans="129:129" x14ac:dyDescent="0.2">
      <c r="DY9611" s="185" t="s">
        <v>215</v>
      </c>
    </row>
    <row r="9612" spans="129:129" x14ac:dyDescent="0.2">
      <c r="DY9612" s="185" t="s">
        <v>215</v>
      </c>
    </row>
    <row r="9613" spans="129:129" x14ac:dyDescent="0.2">
      <c r="DY9613" s="185" t="s">
        <v>215</v>
      </c>
    </row>
    <row r="9614" spans="129:129" x14ac:dyDescent="0.2">
      <c r="DY9614" s="185" t="s">
        <v>215</v>
      </c>
    </row>
    <row r="9615" spans="129:129" x14ac:dyDescent="0.2">
      <c r="DY9615" s="185" t="s">
        <v>215</v>
      </c>
    </row>
    <row r="9616" spans="129:129" x14ac:dyDescent="0.2">
      <c r="DY9616" s="185" t="s">
        <v>215</v>
      </c>
    </row>
    <row r="9617" spans="129:129" x14ac:dyDescent="0.2">
      <c r="DY9617" s="185" t="s">
        <v>215</v>
      </c>
    </row>
    <row r="9618" spans="129:129" x14ac:dyDescent="0.2">
      <c r="DY9618" s="185" t="s">
        <v>215</v>
      </c>
    </row>
    <row r="9619" spans="129:129" x14ac:dyDescent="0.2">
      <c r="DY9619" s="185" t="s">
        <v>215</v>
      </c>
    </row>
    <row r="9620" spans="129:129" x14ac:dyDescent="0.2">
      <c r="DY9620" s="185" t="s">
        <v>215</v>
      </c>
    </row>
    <row r="9621" spans="129:129" x14ac:dyDescent="0.2">
      <c r="DY9621" s="185" t="s">
        <v>215</v>
      </c>
    </row>
    <row r="9622" spans="129:129" x14ac:dyDescent="0.2">
      <c r="DY9622" s="185" t="s">
        <v>215</v>
      </c>
    </row>
    <row r="9623" spans="129:129" x14ac:dyDescent="0.2">
      <c r="DY9623" s="185" t="s">
        <v>215</v>
      </c>
    </row>
    <row r="9624" spans="129:129" x14ac:dyDescent="0.2">
      <c r="DY9624" s="185" t="s">
        <v>215</v>
      </c>
    </row>
    <row r="9625" spans="129:129" x14ac:dyDescent="0.2">
      <c r="DY9625" s="185" t="s">
        <v>215</v>
      </c>
    </row>
    <row r="9626" spans="129:129" x14ac:dyDescent="0.2">
      <c r="DY9626" s="185" t="s">
        <v>215</v>
      </c>
    </row>
    <row r="9627" spans="129:129" x14ac:dyDescent="0.2">
      <c r="DY9627" s="185" t="s">
        <v>215</v>
      </c>
    </row>
    <row r="9628" spans="129:129" x14ac:dyDescent="0.2">
      <c r="DY9628" s="185" t="s">
        <v>215</v>
      </c>
    </row>
    <row r="9629" spans="129:129" x14ac:dyDescent="0.2">
      <c r="DY9629" s="185" t="s">
        <v>215</v>
      </c>
    </row>
    <row r="9630" spans="129:129" x14ac:dyDescent="0.2">
      <c r="DY9630" s="185" t="s">
        <v>215</v>
      </c>
    </row>
    <row r="9631" spans="129:129" x14ac:dyDescent="0.2">
      <c r="DY9631" s="185" t="s">
        <v>215</v>
      </c>
    </row>
    <row r="9632" spans="129:129" x14ac:dyDescent="0.2">
      <c r="DY9632" s="185" t="s">
        <v>215</v>
      </c>
    </row>
    <row r="9633" spans="129:129" x14ac:dyDescent="0.2">
      <c r="DY9633" s="185" t="s">
        <v>215</v>
      </c>
    </row>
    <row r="9634" spans="129:129" x14ac:dyDescent="0.2">
      <c r="DY9634" s="185" t="s">
        <v>215</v>
      </c>
    </row>
    <row r="9635" spans="129:129" x14ac:dyDescent="0.2">
      <c r="DY9635" s="185" t="s">
        <v>215</v>
      </c>
    </row>
    <row r="9636" spans="129:129" x14ac:dyDescent="0.2">
      <c r="DY9636" s="185" t="s">
        <v>215</v>
      </c>
    </row>
    <row r="9637" spans="129:129" x14ac:dyDescent="0.2">
      <c r="DY9637" s="185" t="s">
        <v>215</v>
      </c>
    </row>
    <row r="9638" spans="129:129" x14ac:dyDescent="0.2">
      <c r="DY9638" s="185" t="s">
        <v>215</v>
      </c>
    </row>
    <row r="9639" spans="129:129" x14ac:dyDescent="0.2">
      <c r="DY9639" s="185" t="s">
        <v>215</v>
      </c>
    </row>
    <row r="9640" spans="129:129" x14ac:dyDescent="0.2">
      <c r="DY9640" s="185" t="s">
        <v>215</v>
      </c>
    </row>
    <row r="9641" spans="129:129" x14ac:dyDescent="0.2">
      <c r="DY9641" s="185" t="s">
        <v>215</v>
      </c>
    </row>
    <row r="9642" spans="129:129" x14ac:dyDescent="0.2">
      <c r="DY9642" s="185" t="s">
        <v>215</v>
      </c>
    </row>
    <row r="9643" spans="129:129" x14ac:dyDescent="0.2">
      <c r="DY9643" s="185" t="s">
        <v>215</v>
      </c>
    </row>
    <row r="9644" spans="129:129" x14ac:dyDescent="0.2">
      <c r="DY9644" s="185" t="s">
        <v>215</v>
      </c>
    </row>
    <row r="9645" spans="129:129" x14ac:dyDescent="0.2">
      <c r="DY9645" s="185" t="s">
        <v>215</v>
      </c>
    </row>
    <row r="9646" spans="129:129" x14ac:dyDescent="0.2">
      <c r="DY9646" s="185" t="s">
        <v>215</v>
      </c>
    </row>
    <row r="9647" spans="129:129" x14ac:dyDescent="0.2">
      <c r="DY9647" s="185" t="s">
        <v>215</v>
      </c>
    </row>
    <row r="9648" spans="129:129" x14ac:dyDescent="0.2">
      <c r="DY9648" s="185" t="s">
        <v>215</v>
      </c>
    </row>
    <row r="9649" spans="129:129" x14ac:dyDescent="0.2">
      <c r="DY9649" s="185" t="s">
        <v>215</v>
      </c>
    </row>
    <row r="9650" spans="129:129" x14ac:dyDescent="0.2">
      <c r="DY9650" s="185" t="s">
        <v>215</v>
      </c>
    </row>
    <row r="9651" spans="129:129" x14ac:dyDescent="0.2">
      <c r="DY9651" s="185" t="s">
        <v>215</v>
      </c>
    </row>
    <row r="9652" spans="129:129" x14ac:dyDescent="0.2">
      <c r="DY9652" s="185" t="s">
        <v>215</v>
      </c>
    </row>
    <row r="9653" spans="129:129" x14ac:dyDescent="0.2">
      <c r="DY9653" s="185" t="s">
        <v>215</v>
      </c>
    </row>
    <row r="9654" spans="129:129" x14ac:dyDescent="0.2">
      <c r="DY9654" s="185" t="s">
        <v>215</v>
      </c>
    </row>
    <row r="9655" spans="129:129" x14ac:dyDescent="0.2">
      <c r="DY9655" s="185" t="s">
        <v>215</v>
      </c>
    </row>
    <row r="9656" spans="129:129" x14ac:dyDescent="0.2">
      <c r="DY9656" s="185" t="s">
        <v>215</v>
      </c>
    </row>
    <row r="9657" spans="129:129" x14ac:dyDescent="0.2">
      <c r="DY9657" s="185" t="s">
        <v>215</v>
      </c>
    </row>
    <row r="9658" spans="129:129" x14ac:dyDescent="0.2">
      <c r="DY9658" s="185" t="s">
        <v>215</v>
      </c>
    </row>
    <row r="9659" spans="129:129" x14ac:dyDescent="0.2">
      <c r="DY9659" s="185" t="s">
        <v>215</v>
      </c>
    </row>
    <row r="9660" spans="129:129" x14ac:dyDescent="0.2">
      <c r="DY9660" s="185" t="s">
        <v>215</v>
      </c>
    </row>
    <row r="9661" spans="129:129" x14ac:dyDescent="0.2">
      <c r="DY9661" s="185" t="s">
        <v>215</v>
      </c>
    </row>
    <row r="9662" spans="129:129" x14ac:dyDescent="0.2">
      <c r="DY9662" s="185" t="s">
        <v>215</v>
      </c>
    </row>
    <row r="9663" spans="129:129" x14ac:dyDescent="0.2">
      <c r="DY9663" s="185" t="s">
        <v>215</v>
      </c>
    </row>
    <row r="9664" spans="129:129" x14ac:dyDescent="0.2">
      <c r="DY9664" s="185" t="s">
        <v>215</v>
      </c>
    </row>
    <row r="9665" spans="129:129" x14ac:dyDescent="0.2">
      <c r="DY9665" s="185" t="s">
        <v>215</v>
      </c>
    </row>
    <row r="9666" spans="129:129" x14ac:dyDescent="0.2">
      <c r="DY9666" s="185" t="s">
        <v>215</v>
      </c>
    </row>
    <row r="9667" spans="129:129" x14ac:dyDescent="0.2">
      <c r="DY9667" s="185" t="s">
        <v>215</v>
      </c>
    </row>
    <row r="9668" spans="129:129" x14ac:dyDescent="0.2">
      <c r="DY9668" s="185" t="s">
        <v>215</v>
      </c>
    </row>
    <row r="9669" spans="129:129" x14ac:dyDescent="0.2">
      <c r="DY9669" s="185" t="s">
        <v>215</v>
      </c>
    </row>
    <row r="9670" spans="129:129" x14ac:dyDescent="0.2">
      <c r="DY9670" s="185" t="s">
        <v>215</v>
      </c>
    </row>
    <row r="9671" spans="129:129" x14ac:dyDescent="0.2">
      <c r="DY9671" s="185" t="s">
        <v>215</v>
      </c>
    </row>
    <row r="9672" spans="129:129" x14ac:dyDescent="0.2">
      <c r="DY9672" s="185" t="s">
        <v>215</v>
      </c>
    </row>
    <row r="9673" spans="129:129" x14ac:dyDescent="0.2">
      <c r="DY9673" s="185" t="s">
        <v>215</v>
      </c>
    </row>
    <row r="9674" spans="129:129" x14ac:dyDescent="0.2">
      <c r="DY9674" s="185" t="s">
        <v>215</v>
      </c>
    </row>
    <row r="9675" spans="129:129" x14ac:dyDescent="0.2">
      <c r="DY9675" s="185" t="s">
        <v>215</v>
      </c>
    </row>
    <row r="9676" spans="129:129" x14ac:dyDescent="0.2">
      <c r="DY9676" s="185" t="s">
        <v>215</v>
      </c>
    </row>
    <row r="9677" spans="129:129" x14ac:dyDescent="0.2">
      <c r="DY9677" s="185" t="s">
        <v>215</v>
      </c>
    </row>
    <row r="9678" spans="129:129" x14ac:dyDescent="0.2">
      <c r="DY9678" s="185" t="s">
        <v>215</v>
      </c>
    </row>
    <row r="9679" spans="129:129" x14ac:dyDescent="0.2">
      <c r="DY9679" s="185" t="s">
        <v>215</v>
      </c>
    </row>
    <row r="9680" spans="129:129" x14ac:dyDescent="0.2">
      <c r="DY9680" s="185" t="s">
        <v>215</v>
      </c>
    </row>
    <row r="9681" spans="129:129" x14ac:dyDescent="0.2">
      <c r="DY9681" s="185" t="s">
        <v>215</v>
      </c>
    </row>
    <row r="9682" spans="129:129" x14ac:dyDescent="0.2">
      <c r="DY9682" s="185" t="s">
        <v>215</v>
      </c>
    </row>
    <row r="9683" spans="129:129" x14ac:dyDescent="0.2">
      <c r="DY9683" s="185" t="s">
        <v>215</v>
      </c>
    </row>
    <row r="9684" spans="129:129" x14ac:dyDescent="0.2">
      <c r="DY9684" s="185" t="s">
        <v>215</v>
      </c>
    </row>
    <row r="9685" spans="129:129" x14ac:dyDescent="0.2">
      <c r="DY9685" s="185" t="s">
        <v>215</v>
      </c>
    </row>
    <row r="9686" spans="129:129" x14ac:dyDescent="0.2">
      <c r="DY9686" s="185" t="s">
        <v>215</v>
      </c>
    </row>
    <row r="9687" spans="129:129" x14ac:dyDescent="0.2">
      <c r="DY9687" s="185" t="s">
        <v>215</v>
      </c>
    </row>
    <row r="9688" spans="129:129" x14ac:dyDescent="0.2">
      <c r="DY9688" s="185" t="s">
        <v>215</v>
      </c>
    </row>
    <row r="9689" spans="129:129" x14ac:dyDescent="0.2">
      <c r="DY9689" s="185" t="s">
        <v>215</v>
      </c>
    </row>
    <row r="9690" spans="129:129" x14ac:dyDescent="0.2">
      <c r="DY9690" s="185" t="s">
        <v>215</v>
      </c>
    </row>
    <row r="9691" spans="129:129" x14ac:dyDescent="0.2">
      <c r="DY9691" s="185" t="s">
        <v>215</v>
      </c>
    </row>
    <row r="9692" spans="129:129" x14ac:dyDescent="0.2">
      <c r="DY9692" s="185" t="s">
        <v>215</v>
      </c>
    </row>
    <row r="9693" spans="129:129" x14ac:dyDescent="0.2">
      <c r="DY9693" s="185" t="s">
        <v>215</v>
      </c>
    </row>
    <row r="9694" spans="129:129" x14ac:dyDescent="0.2">
      <c r="DY9694" s="185" t="s">
        <v>215</v>
      </c>
    </row>
    <row r="9695" spans="129:129" x14ac:dyDescent="0.2">
      <c r="DY9695" s="185" t="s">
        <v>215</v>
      </c>
    </row>
    <row r="9696" spans="129:129" x14ac:dyDescent="0.2">
      <c r="DY9696" s="185" t="s">
        <v>215</v>
      </c>
    </row>
    <row r="9697" spans="129:129" x14ac:dyDescent="0.2">
      <c r="DY9697" s="185" t="s">
        <v>215</v>
      </c>
    </row>
    <row r="9698" spans="129:129" x14ac:dyDescent="0.2">
      <c r="DY9698" s="185" t="s">
        <v>215</v>
      </c>
    </row>
    <row r="9699" spans="129:129" x14ac:dyDescent="0.2">
      <c r="DY9699" s="185" t="s">
        <v>215</v>
      </c>
    </row>
    <row r="9700" spans="129:129" x14ac:dyDescent="0.2">
      <c r="DY9700" s="185" t="s">
        <v>215</v>
      </c>
    </row>
    <row r="9701" spans="129:129" x14ac:dyDescent="0.2">
      <c r="DY9701" s="185" t="s">
        <v>215</v>
      </c>
    </row>
    <row r="9702" spans="129:129" x14ac:dyDescent="0.2">
      <c r="DY9702" s="185" t="s">
        <v>215</v>
      </c>
    </row>
    <row r="9703" spans="129:129" x14ac:dyDescent="0.2">
      <c r="DY9703" s="185" t="s">
        <v>215</v>
      </c>
    </row>
    <row r="9704" spans="129:129" x14ac:dyDescent="0.2">
      <c r="DY9704" s="185" t="s">
        <v>215</v>
      </c>
    </row>
    <row r="9705" spans="129:129" x14ac:dyDescent="0.2">
      <c r="DY9705" s="185" t="s">
        <v>215</v>
      </c>
    </row>
    <row r="9706" spans="129:129" x14ac:dyDescent="0.2">
      <c r="DY9706" s="185" t="s">
        <v>215</v>
      </c>
    </row>
    <row r="9707" spans="129:129" x14ac:dyDescent="0.2">
      <c r="DY9707" s="185" t="s">
        <v>215</v>
      </c>
    </row>
    <row r="9708" spans="129:129" x14ac:dyDescent="0.2">
      <c r="DY9708" s="185" t="s">
        <v>215</v>
      </c>
    </row>
    <row r="9709" spans="129:129" x14ac:dyDescent="0.2">
      <c r="DY9709" s="185" t="s">
        <v>215</v>
      </c>
    </row>
    <row r="9710" spans="129:129" x14ac:dyDescent="0.2">
      <c r="DY9710" s="185" t="s">
        <v>215</v>
      </c>
    </row>
    <row r="9711" spans="129:129" x14ac:dyDescent="0.2">
      <c r="DY9711" s="185" t="s">
        <v>215</v>
      </c>
    </row>
    <row r="9712" spans="129:129" x14ac:dyDescent="0.2">
      <c r="DY9712" s="185" t="s">
        <v>215</v>
      </c>
    </row>
    <row r="9713" spans="129:129" x14ac:dyDescent="0.2">
      <c r="DY9713" s="185" t="s">
        <v>215</v>
      </c>
    </row>
    <row r="9714" spans="129:129" x14ac:dyDescent="0.2">
      <c r="DY9714" s="185" t="s">
        <v>215</v>
      </c>
    </row>
    <row r="9715" spans="129:129" x14ac:dyDescent="0.2">
      <c r="DY9715" s="185" t="s">
        <v>215</v>
      </c>
    </row>
    <row r="9716" spans="129:129" x14ac:dyDescent="0.2">
      <c r="DY9716" s="185" t="s">
        <v>215</v>
      </c>
    </row>
    <row r="9717" spans="129:129" x14ac:dyDescent="0.2">
      <c r="DY9717" s="185" t="s">
        <v>215</v>
      </c>
    </row>
    <row r="9718" spans="129:129" x14ac:dyDescent="0.2">
      <c r="DY9718" s="185" t="s">
        <v>215</v>
      </c>
    </row>
    <row r="9719" spans="129:129" x14ac:dyDescent="0.2">
      <c r="DY9719" s="185" t="s">
        <v>215</v>
      </c>
    </row>
    <row r="9720" spans="129:129" x14ac:dyDescent="0.2">
      <c r="DY9720" s="185" t="s">
        <v>215</v>
      </c>
    </row>
    <row r="9721" spans="129:129" x14ac:dyDescent="0.2">
      <c r="DY9721" s="185" t="s">
        <v>215</v>
      </c>
    </row>
    <row r="9722" spans="129:129" x14ac:dyDescent="0.2">
      <c r="DY9722" s="185" t="s">
        <v>215</v>
      </c>
    </row>
    <row r="9723" spans="129:129" x14ac:dyDescent="0.2">
      <c r="DY9723" s="185" t="s">
        <v>215</v>
      </c>
    </row>
    <row r="9724" spans="129:129" x14ac:dyDescent="0.2">
      <c r="DY9724" s="185" t="s">
        <v>215</v>
      </c>
    </row>
    <row r="9725" spans="129:129" x14ac:dyDescent="0.2">
      <c r="DY9725" s="185" t="s">
        <v>215</v>
      </c>
    </row>
    <row r="9726" spans="129:129" x14ac:dyDescent="0.2">
      <c r="DY9726" s="185" t="s">
        <v>215</v>
      </c>
    </row>
    <row r="9727" spans="129:129" x14ac:dyDescent="0.2">
      <c r="DY9727" s="185" t="s">
        <v>215</v>
      </c>
    </row>
    <row r="9728" spans="129:129" x14ac:dyDescent="0.2">
      <c r="DY9728" s="185" t="s">
        <v>215</v>
      </c>
    </row>
    <row r="9729" spans="129:129" x14ac:dyDescent="0.2">
      <c r="DY9729" s="185" t="s">
        <v>215</v>
      </c>
    </row>
    <row r="9730" spans="129:129" x14ac:dyDescent="0.2">
      <c r="DY9730" s="185" t="s">
        <v>215</v>
      </c>
    </row>
    <row r="9731" spans="129:129" x14ac:dyDescent="0.2">
      <c r="DY9731" s="185" t="s">
        <v>215</v>
      </c>
    </row>
    <row r="9732" spans="129:129" x14ac:dyDescent="0.2">
      <c r="DY9732" s="185" t="s">
        <v>215</v>
      </c>
    </row>
    <row r="9733" spans="129:129" x14ac:dyDescent="0.2">
      <c r="DY9733" s="185" t="s">
        <v>215</v>
      </c>
    </row>
    <row r="9734" spans="129:129" x14ac:dyDescent="0.2">
      <c r="DY9734" s="185" t="s">
        <v>215</v>
      </c>
    </row>
    <row r="9735" spans="129:129" x14ac:dyDescent="0.2">
      <c r="DY9735" s="185" t="s">
        <v>215</v>
      </c>
    </row>
    <row r="9736" spans="129:129" x14ac:dyDescent="0.2">
      <c r="DY9736" s="185" t="s">
        <v>215</v>
      </c>
    </row>
    <row r="9737" spans="129:129" x14ac:dyDescent="0.2">
      <c r="DY9737" s="185" t="s">
        <v>215</v>
      </c>
    </row>
    <row r="9738" spans="129:129" x14ac:dyDescent="0.2">
      <c r="DY9738" s="185" t="s">
        <v>215</v>
      </c>
    </row>
    <row r="9739" spans="129:129" x14ac:dyDescent="0.2">
      <c r="DY9739" s="185" t="s">
        <v>215</v>
      </c>
    </row>
    <row r="9740" spans="129:129" x14ac:dyDescent="0.2">
      <c r="DY9740" s="185" t="s">
        <v>215</v>
      </c>
    </row>
    <row r="9741" spans="129:129" x14ac:dyDescent="0.2">
      <c r="DY9741" s="185" t="s">
        <v>215</v>
      </c>
    </row>
    <row r="9742" spans="129:129" x14ac:dyDescent="0.2">
      <c r="DY9742" s="185" t="s">
        <v>215</v>
      </c>
    </row>
    <row r="9743" spans="129:129" x14ac:dyDescent="0.2">
      <c r="DY9743" s="185" t="s">
        <v>215</v>
      </c>
    </row>
    <row r="9744" spans="129:129" x14ac:dyDescent="0.2">
      <c r="DY9744" s="185" t="s">
        <v>215</v>
      </c>
    </row>
    <row r="9745" spans="129:129" x14ac:dyDescent="0.2">
      <c r="DY9745" s="185" t="s">
        <v>215</v>
      </c>
    </row>
    <row r="9746" spans="129:129" x14ac:dyDescent="0.2">
      <c r="DY9746" s="185" t="s">
        <v>215</v>
      </c>
    </row>
    <row r="9747" spans="129:129" x14ac:dyDescent="0.2">
      <c r="DY9747" s="185" t="s">
        <v>215</v>
      </c>
    </row>
    <row r="9748" spans="129:129" x14ac:dyDescent="0.2">
      <c r="DY9748" s="185" t="s">
        <v>215</v>
      </c>
    </row>
    <row r="9749" spans="129:129" x14ac:dyDescent="0.2">
      <c r="DY9749" s="185" t="s">
        <v>215</v>
      </c>
    </row>
    <row r="9750" spans="129:129" x14ac:dyDescent="0.2">
      <c r="DY9750" s="185" t="s">
        <v>215</v>
      </c>
    </row>
    <row r="9751" spans="129:129" x14ac:dyDescent="0.2">
      <c r="DY9751" s="185" t="s">
        <v>215</v>
      </c>
    </row>
    <row r="9752" spans="129:129" x14ac:dyDescent="0.2">
      <c r="DY9752" s="185" t="s">
        <v>215</v>
      </c>
    </row>
    <row r="9753" spans="129:129" x14ac:dyDescent="0.2">
      <c r="DY9753" s="185" t="s">
        <v>215</v>
      </c>
    </row>
    <row r="9754" spans="129:129" x14ac:dyDescent="0.2">
      <c r="DY9754" s="185" t="s">
        <v>215</v>
      </c>
    </row>
    <row r="9755" spans="129:129" x14ac:dyDescent="0.2">
      <c r="DY9755" s="185" t="s">
        <v>215</v>
      </c>
    </row>
    <row r="9756" spans="129:129" x14ac:dyDescent="0.2">
      <c r="DY9756" s="185" t="s">
        <v>215</v>
      </c>
    </row>
    <row r="9757" spans="129:129" x14ac:dyDescent="0.2">
      <c r="DY9757" s="185" t="s">
        <v>215</v>
      </c>
    </row>
    <row r="9758" spans="129:129" x14ac:dyDescent="0.2">
      <c r="DY9758" s="185" t="s">
        <v>215</v>
      </c>
    </row>
    <row r="9759" spans="129:129" x14ac:dyDescent="0.2">
      <c r="DY9759" s="185" t="s">
        <v>215</v>
      </c>
    </row>
    <row r="9760" spans="129:129" x14ac:dyDescent="0.2">
      <c r="DY9760" s="185" t="s">
        <v>215</v>
      </c>
    </row>
    <row r="9761" spans="129:129" x14ac:dyDescent="0.2">
      <c r="DY9761" s="185" t="s">
        <v>215</v>
      </c>
    </row>
    <row r="9762" spans="129:129" x14ac:dyDescent="0.2">
      <c r="DY9762" s="185" t="s">
        <v>215</v>
      </c>
    </row>
    <row r="9763" spans="129:129" x14ac:dyDescent="0.2">
      <c r="DY9763" s="185" t="s">
        <v>215</v>
      </c>
    </row>
    <row r="9764" spans="129:129" x14ac:dyDescent="0.2">
      <c r="DY9764" s="185" t="s">
        <v>215</v>
      </c>
    </row>
    <row r="9765" spans="129:129" x14ac:dyDescent="0.2">
      <c r="DY9765" s="185" t="s">
        <v>215</v>
      </c>
    </row>
    <row r="9766" spans="129:129" x14ac:dyDescent="0.2">
      <c r="DY9766" s="185" t="s">
        <v>215</v>
      </c>
    </row>
    <row r="9767" spans="129:129" x14ac:dyDescent="0.2">
      <c r="DY9767" s="185" t="s">
        <v>215</v>
      </c>
    </row>
    <row r="9768" spans="129:129" x14ac:dyDescent="0.2">
      <c r="DY9768" s="185" t="s">
        <v>215</v>
      </c>
    </row>
    <row r="9769" spans="129:129" x14ac:dyDescent="0.2">
      <c r="DY9769" s="185" t="s">
        <v>215</v>
      </c>
    </row>
    <row r="9770" spans="129:129" x14ac:dyDescent="0.2">
      <c r="DY9770" s="185" t="s">
        <v>215</v>
      </c>
    </row>
    <row r="9771" spans="129:129" x14ac:dyDescent="0.2">
      <c r="DY9771" s="185" t="s">
        <v>215</v>
      </c>
    </row>
    <row r="9772" spans="129:129" x14ac:dyDescent="0.2">
      <c r="DY9772" s="185" t="s">
        <v>215</v>
      </c>
    </row>
    <row r="9773" spans="129:129" x14ac:dyDescent="0.2">
      <c r="DY9773" s="185" t="s">
        <v>215</v>
      </c>
    </row>
    <row r="9774" spans="129:129" x14ac:dyDescent="0.2">
      <c r="DY9774" s="185" t="s">
        <v>215</v>
      </c>
    </row>
    <row r="9775" spans="129:129" x14ac:dyDescent="0.2">
      <c r="DY9775" s="185" t="s">
        <v>215</v>
      </c>
    </row>
    <row r="9776" spans="129:129" x14ac:dyDescent="0.2">
      <c r="DY9776" s="185" t="s">
        <v>215</v>
      </c>
    </row>
    <row r="9777" spans="129:129" x14ac:dyDescent="0.2">
      <c r="DY9777" s="185" t="s">
        <v>215</v>
      </c>
    </row>
    <row r="9778" spans="129:129" x14ac:dyDescent="0.2">
      <c r="DY9778" s="185" t="s">
        <v>215</v>
      </c>
    </row>
    <row r="9779" spans="129:129" x14ac:dyDescent="0.2">
      <c r="DY9779" s="185" t="s">
        <v>215</v>
      </c>
    </row>
    <row r="9780" spans="129:129" x14ac:dyDescent="0.2">
      <c r="DY9780" s="185" t="s">
        <v>215</v>
      </c>
    </row>
    <row r="9781" spans="129:129" x14ac:dyDescent="0.2">
      <c r="DY9781" s="185" t="s">
        <v>215</v>
      </c>
    </row>
    <row r="9782" spans="129:129" x14ac:dyDescent="0.2">
      <c r="DY9782" s="185" t="s">
        <v>215</v>
      </c>
    </row>
    <row r="9783" spans="129:129" x14ac:dyDescent="0.2">
      <c r="DY9783" s="185" t="s">
        <v>215</v>
      </c>
    </row>
    <row r="9784" spans="129:129" x14ac:dyDescent="0.2">
      <c r="DY9784" s="185" t="s">
        <v>215</v>
      </c>
    </row>
    <row r="9785" spans="129:129" x14ac:dyDescent="0.2">
      <c r="DY9785" s="185" t="s">
        <v>215</v>
      </c>
    </row>
    <row r="9786" spans="129:129" x14ac:dyDescent="0.2">
      <c r="DY9786" s="185" t="s">
        <v>215</v>
      </c>
    </row>
    <row r="9787" spans="129:129" x14ac:dyDescent="0.2">
      <c r="DY9787" s="185" t="s">
        <v>215</v>
      </c>
    </row>
    <row r="9788" spans="129:129" x14ac:dyDescent="0.2">
      <c r="DY9788" s="185" t="s">
        <v>215</v>
      </c>
    </row>
    <row r="9789" spans="129:129" x14ac:dyDescent="0.2">
      <c r="DY9789" s="185" t="s">
        <v>215</v>
      </c>
    </row>
    <row r="9790" spans="129:129" x14ac:dyDescent="0.2">
      <c r="DY9790" s="185" t="s">
        <v>215</v>
      </c>
    </row>
    <row r="9791" spans="129:129" x14ac:dyDescent="0.2">
      <c r="DY9791" s="185" t="s">
        <v>215</v>
      </c>
    </row>
    <row r="9792" spans="129:129" x14ac:dyDescent="0.2">
      <c r="DY9792" s="185" t="s">
        <v>215</v>
      </c>
    </row>
    <row r="9793" spans="129:129" x14ac:dyDescent="0.2">
      <c r="DY9793" s="185" t="s">
        <v>215</v>
      </c>
    </row>
    <row r="9794" spans="129:129" x14ac:dyDescent="0.2">
      <c r="DY9794" s="185" t="s">
        <v>215</v>
      </c>
    </row>
    <row r="9795" spans="129:129" x14ac:dyDescent="0.2">
      <c r="DY9795" s="185" t="s">
        <v>215</v>
      </c>
    </row>
    <row r="9796" spans="129:129" x14ac:dyDescent="0.2">
      <c r="DY9796" s="185" t="s">
        <v>215</v>
      </c>
    </row>
    <row r="9797" spans="129:129" x14ac:dyDescent="0.2">
      <c r="DY9797" s="185" t="s">
        <v>215</v>
      </c>
    </row>
    <row r="9798" spans="129:129" x14ac:dyDescent="0.2">
      <c r="DY9798" s="185" t="s">
        <v>215</v>
      </c>
    </row>
    <row r="9799" spans="129:129" x14ac:dyDescent="0.2">
      <c r="DY9799" s="185" t="s">
        <v>215</v>
      </c>
    </row>
    <row r="9800" spans="129:129" x14ac:dyDescent="0.2">
      <c r="DY9800" s="185" t="s">
        <v>215</v>
      </c>
    </row>
    <row r="9801" spans="129:129" x14ac:dyDescent="0.2">
      <c r="DY9801" s="185" t="s">
        <v>215</v>
      </c>
    </row>
    <row r="9802" spans="129:129" x14ac:dyDescent="0.2">
      <c r="DY9802" s="185" t="s">
        <v>215</v>
      </c>
    </row>
    <row r="9803" spans="129:129" x14ac:dyDescent="0.2">
      <c r="DY9803" s="185" t="s">
        <v>215</v>
      </c>
    </row>
    <row r="9804" spans="129:129" x14ac:dyDescent="0.2">
      <c r="DY9804" s="185" t="s">
        <v>215</v>
      </c>
    </row>
    <row r="9805" spans="129:129" x14ac:dyDescent="0.2">
      <c r="DY9805" s="185" t="s">
        <v>215</v>
      </c>
    </row>
    <row r="9806" spans="129:129" x14ac:dyDescent="0.2">
      <c r="DY9806" s="185" t="s">
        <v>215</v>
      </c>
    </row>
    <row r="9807" spans="129:129" x14ac:dyDescent="0.2">
      <c r="DY9807" s="185" t="s">
        <v>215</v>
      </c>
    </row>
    <row r="9808" spans="129:129" x14ac:dyDescent="0.2">
      <c r="DY9808" s="185" t="s">
        <v>215</v>
      </c>
    </row>
    <row r="9809" spans="129:129" x14ac:dyDescent="0.2">
      <c r="DY9809" s="185" t="s">
        <v>215</v>
      </c>
    </row>
    <row r="9810" spans="129:129" x14ac:dyDescent="0.2">
      <c r="DY9810" s="185" t="s">
        <v>215</v>
      </c>
    </row>
    <row r="9811" spans="129:129" x14ac:dyDescent="0.2">
      <c r="DY9811" s="185" t="s">
        <v>215</v>
      </c>
    </row>
    <row r="9812" spans="129:129" x14ac:dyDescent="0.2">
      <c r="DY9812" s="185" t="s">
        <v>215</v>
      </c>
    </row>
    <row r="9813" spans="129:129" x14ac:dyDescent="0.2">
      <c r="DY9813" s="185" t="s">
        <v>215</v>
      </c>
    </row>
    <row r="9814" spans="129:129" x14ac:dyDescent="0.2">
      <c r="DY9814" s="185" t="s">
        <v>215</v>
      </c>
    </row>
    <row r="9815" spans="129:129" x14ac:dyDescent="0.2">
      <c r="DY9815" s="185" t="s">
        <v>215</v>
      </c>
    </row>
    <row r="9816" spans="129:129" x14ac:dyDescent="0.2">
      <c r="DY9816" s="185" t="s">
        <v>215</v>
      </c>
    </row>
    <row r="9817" spans="129:129" x14ac:dyDescent="0.2">
      <c r="DY9817" s="185" t="s">
        <v>215</v>
      </c>
    </row>
    <row r="9818" spans="129:129" x14ac:dyDescent="0.2">
      <c r="DY9818" s="185" t="s">
        <v>215</v>
      </c>
    </row>
    <row r="9819" spans="129:129" x14ac:dyDescent="0.2">
      <c r="DY9819" s="185" t="s">
        <v>215</v>
      </c>
    </row>
    <row r="9820" spans="129:129" x14ac:dyDescent="0.2">
      <c r="DY9820" s="185" t="s">
        <v>215</v>
      </c>
    </row>
    <row r="9821" spans="129:129" x14ac:dyDescent="0.2">
      <c r="DY9821" s="185" t="s">
        <v>215</v>
      </c>
    </row>
    <row r="9822" spans="129:129" x14ac:dyDescent="0.2">
      <c r="DY9822" s="185" t="s">
        <v>215</v>
      </c>
    </row>
    <row r="9823" spans="129:129" x14ac:dyDescent="0.2">
      <c r="DY9823" s="185" t="s">
        <v>215</v>
      </c>
    </row>
    <row r="9824" spans="129:129" x14ac:dyDescent="0.2">
      <c r="DY9824" s="185" t="s">
        <v>215</v>
      </c>
    </row>
    <row r="9825" spans="129:129" x14ac:dyDescent="0.2">
      <c r="DY9825" s="185" t="s">
        <v>215</v>
      </c>
    </row>
    <row r="9826" spans="129:129" x14ac:dyDescent="0.2">
      <c r="DY9826" s="185" t="s">
        <v>215</v>
      </c>
    </row>
    <row r="9827" spans="129:129" x14ac:dyDescent="0.2">
      <c r="DY9827" s="185" t="s">
        <v>215</v>
      </c>
    </row>
    <row r="9828" spans="129:129" x14ac:dyDescent="0.2">
      <c r="DY9828" s="185" t="s">
        <v>215</v>
      </c>
    </row>
    <row r="9829" spans="129:129" x14ac:dyDescent="0.2">
      <c r="DY9829" s="185" t="s">
        <v>215</v>
      </c>
    </row>
    <row r="9830" spans="129:129" x14ac:dyDescent="0.2">
      <c r="DY9830" s="185" t="s">
        <v>215</v>
      </c>
    </row>
    <row r="9831" spans="129:129" x14ac:dyDescent="0.2">
      <c r="DY9831" s="185" t="s">
        <v>215</v>
      </c>
    </row>
    <row r="9832" spans="129:129" x14ac:dyDescent="0.2">
      <c r="DY9832" s="185" t="s">
        <v>215</v>
      </c>
    </row>
    <row r="9833" spans="129:129" x14ac:dyDescent="0.2">
      <c r="DY9833" s="185" t="s">
        <v>215</v>
      </c>
    </row>
    <row r="9834" spans="129:129" x14ac:dyDescent="0.2">
      <c r="DY9834" s="185" t="s">
        <v>215</v>
      </c>
    </row>
    <row r="9835" spans="129:129" x14ac:dyDescent="0.2">
      <c r="DY9835" s="185" t="s">
        <v>215</v>
      </c>
    </row>
    <row r="9836" spans="129:129" x14ac:dyDescent="0.2">
      <c r="DY9836" s="185" t="s">
        <v>215</v>
      </c>
    </row>
    <row r="9837" spans="129:129" x14ac:dyDescent="0.2">
      <c r="DY9837" s="185" t="s">
        <v>215</v>
      </c>
    </row>
    <row r="9838" spans="129:129" x14ac:dyDescent="0.2">
      <c r="DY9838" s="185" t="s">
        <v>215</v>
      </c>
    </row>
    <row r="9839" spans="129:129" x14ac:dyDescent="0.2">
      <c r="DY9839" s="185" t="s">
        <v>215</v>
      </c>
    </row>
    <row r="9840" spans="129:129" x14ac:dyDescent="0.2">
      <c r="DY9840" s="185" t="s">
        <v>215</v>
      </c>
    </row>
    <row r="9841" spans="129:129" x14ac:dyDescent="0.2">
      <c r="DY9841" s="185" t="s">
        <v>215</v>
      </c>
    </row>
    <row r="9842" spans="129:129" x14ac:dyDescent="0.2">
      <c r="DY9842" s="185" t="s">
        <v>215</v>
      </c>
    </row>
    <row r="9843" spans="129:129" x14ac:dyDescent="0.2">
      <c r="DY9843" s="185" t="s">
        <v>215</v>
      </c>
    </row>
    <row r="9844" spans="129:129" x14ac:dyDescent="0.2">
      <c r="DY9844" s="185" t="s">
        <v>215</v>
      </c>
    </row>
    <row r="9845" spans="129:129" x14ac:dyDescent="0.2">
      <c r="DY9845" s="185" t="s">
        <v>215</v>
      </c>
    </row>
    <row r="9846" spans="129:129" x14ac:dyDescent="0.2">
      <c r="DY9846" s="185" t="s">
        <v>215</v>
      </c>
    </row>
    <row r="9847" spans="129:129" x14ac:dyDescent="0.2">
      <c r="DY9847" s="185" t="s">
        <v>215</v>
      </c>
    </row>
    <row r="9848" spans="129:129" x14ac:dyDescent="0.2">
      <c r="DY9848" s="185" t="s">
        <v>215</v>
      </c>
    </row>
    <row r="9849" spans="129:129" x14ac:dyDescent="0.2">
      <c r="DY9849" s="185" t="s">
        <v>215</v>
      </c>
    </row>
    <row r="9850" spans="129:129" x14ac:dyDescent="0.2">
      <c r="DY9850" s="185" t="s">
        <v>215</v>
      </c>
    </row>
    <row r="9851" spans="129:129" x14ac:dyDescent="0.2">
      <c r="DY9851" s="185" t="s">
        <v>215</v>
      </c>
    </row>
    <row r="9852" spans="129:129" x14ac:dyDescent="0.2">
      <c r="DY9852" s="185" t="s">
        <v>215</v>
      </c>
    </row>
    <row r="9853" spans="129:129" x14ac:dyDescent="0.2">
      <c r="DY9853" s="185" t="s">
        <v>215</v>
      </c>
    </row>
    <row r="9854" spans="129:129" x14ac:dyDescent="0.2">
      <c r="DY9854" s="185" t="s">
        <v>215</v>
      </c>
    </row>
    <row r="9855" spans="129:129" x14ac:dyDescent="0.2">
      <c r="DY9855" s="185" t="s">
        <v>215</v>
      </c>
    </row>
    <row r="9856" spans="129:129" x14ac:dyDescent="0.2">
      <c r="DY9856" s="185" t="s">
        <v>215</v>
      </c>
    </row>
    <row r="9857" spans="129:129" x14ac:dyDescent="0.2">
      <c r="DY9857" s="185" t="s">
        <v>215</v>
      </c>
    </row>
    <row r="9858" spans="129:129" x14ac:dyDescent="0.2">
      <c r="DY9858" s="185" t="s">
        <v>215</v>
      </c>
    </row>
    <row r="9859" spans="129:129" x14ac:dyDescent="0.2">
      <c r="DY9859" s="185" t="s">
        <v>215</v>
      </c>
    </row>
    <row r="9860" spans="129:129" x14ac:dyDescent="0.2">
      <c r="DY9860" s="185" t="s">
        <v>215</v>
      </c>
    </row>
    <row r="9861" spans="129:129" x14ac:dyDescent="0.2">
      <c r="DY9861" s="185" t="s">
        <v>215</v>
      </c>
    </row>
    <row r="9862" spans="129:129" x14ac:dyDescent="0.2">
      <c r="DY9862" s="185" t="s">
        <v>215</v>
      </c>
    </row>
    <row r="9863" spans="129:129" x14ac:dyDescent="0.2">
      <c r="DY9863" s="185" t="s">
        <v>215</v>
      </c>
    </row>
    <row r="9864" spans="129:129" x14ac:dyDescent="0.2">
      <c r="DY9864" s="185" t="s">
        <v>215</v>
      </c>
    </row>
    <row r="9865" spans="129:129" x14ac:dyDescent="0.2">
      <c r="DY9865" s="185" t="s">
        <v>215</v>
      </c>
    </row>
    <row r="9866" spans="129:129" x14ac:dyDescent="0.2">
      <c r="DY9866" s="185" t="s">
        <v>215</v>
      </c>
    </row>
    <row r="9867" spans="129:129" x14ac:dyDescent="0.2">
      <c r="DY9867" s="185" t="s">
        <v>215</v>
      </c>
    </row>
    <row r="9868" spans="129:129" x14ac:dyDescent="0.2">
      <c r="DY9868" s="185" t="s">
        <v>215</v>
      </c>
    </row>
    <row r="9869" spans="129:129" x14ac:dyDescent="0.2">
      <c r="DY9869" s="185" t="s">
        <v>215</v>
      </c>
    </row>
    <row r="9870" spans="129:129" x14ac:dyDescent="0.2">
      <c r="DY9870" s="185" t="s">
        <v>215</v>
      </c>
    </row>
    <row r="9871" spans="129:129" x14ac:dyDescent="0.2">
      <c r="DY9871" s="185" t="s">
        <v>215</v>
      </c>
    </row>
    <row r="9872" spans="129:129" x14ac:dyDescent="0.2">
      <c r="DY9872" s="185" t="s">
        <v>215</v>
      </c>
    </row>
    <row r="9873" spans="129:129" x14ac:dyDescent="0.2">
      <c r="DY9873" s="185" t="s">
        <v>215</v>
      </c>
    </row>
    <row r="9874" spans="129:129" x14ac:dyDescent="0.2">
      <c r="DY9874" s="185" t="s">
        <v>215</v>
      </c>
    </row>
    <row r="9875" spans="129:129" x14ac:dyDescent="0.2">
      <c r="DY9875" s="185" t="s">
        <v>215</v>
      </c>
    </row>
    <row r="9876" spans="129:129" x14ac:dyDescent="0.2">
      <c r="DY9876" s="185" t="s">
        <v>215</v>
      </c>
    </row>
    <row r="9877" spans="129:129" x14ac:dyDescent="0.2">
      <c r="DY9877" s="185" t="s">
        <v>215</v>
      </c>
    </row>
    <row r="9878" spans="129:129" x14ac:dyDescent="0.2">
      <c r="DY9878" s="185" t="s">
        <v>215</v>
      </c>
    </row>
    <row r="9879" spans="129:129" x14ac:dyDescent="0.2">
      <c r="DY9879" s="185" t="s">
        <v>215</v>
      </c>
    </row>
    <row r="9880" spans="129:129" x14ac:dyDescent="0.2">
      <c r="DY9880" s="185" t="s">
        <v>215</v>
      </c>
    </row>
    <row r="9881" spans="129:129" x14ac:dyDescent="0.2">
      <c r="DY9881" s="185" t="s">
        <v>215</v>
      </c>
    </row>
    <row r="9882" spans="129:129" x14ac:dyDescent="0.2">
      <c r="DY9882" s="185" t="s">
        <v>215</v>
      </c>
    </row>
    <row r="9883" spans="129:129" x14ac:dyDescent="0.2">
      <c r="DY9883" s="185" t="s">
        <v>215</v>
      </c>
    </row>
    <row r="9884" spans="129:129" x14ac:dyDescent="0.2">
      <c r="DY9884" s="185" t="s">
        <v>215</v>
      </c>
    </row>
    <row r="9885" spans="129:129" x14ac:dyDescent="0.2">
      <c r="DY9885" s="185" t="s">
        <v>215</v>
      </c>
    </row>
    <row r="9886" spans="129:129" x14ac:dyDescent="0.2">
      <c r="DY9886" s="185" t="s">
        <v>215</v>
      </c>
    </row>
    <row r="9887" spans="129:129" x14ac:dyDescent="0.2">
      <c r="DY9887" s="185" t="s">
        <v>215</v>
      </c>
    </row>
    <row r="9888" spans="129:129" x14ac:dyDescent="0.2">
      <c r="DY9888" s="185" t="s">
        <v>215</v>
      </c>
    </row>
    <row r="9889" spans="129:129" x14ac:dyDescent="0.2">
      <c r="DY9889" s="185" t="s">
        <v>215</v>
      </c>
    </row>
    <row r="9890" spans="129:129" x14ac:dyDescent="0.2">
      <c r="DY9890" s="185" t="s">
        <v>215</v>
      </c>
    </row>
    <row r="9891" spans="129:129" x14ac:dyDescent="0.2">
      <c r="DY9891" s="185" t="s">
        <v>215</v>
      </c>
    </row>
    <row r="9892" spans="129:129" x14ac:dyDescent="0.2">
      <c r="DY9892" s="185" t="s">
        <v>215</v>
      </c>
    </row>
    <row r="9893" spans="129:129" x14ac:dyDescent="0.2">
      <c r="DY9893" s="185" t="s">
        <v>215</v>
      </c>
    </row>
    <row r="9894" spans="129:129" x14ac:dyDescent="0.2">
      <c r="DY9894" s="185" t="s">
        <v>215</v>
      </c>
    </row>
    <row r="9895" spans="129:129" x14ac:dyDescent="0.2">
      <c r="DY9895" s="185" t="s">
        <v>215</v>
      </c>
    </row>
    <row r="9896" spans="129:129" x14ac:dyDescent="0.2">
      <c r="DY9896" s="185" t="s">
        <v>215</v>
      </c>
    </row>
    <row r="9897" spans="129:129" x14ac:dyDescent="0.2">
      <c r="DY9897" s="185" t="s">
        <v>215</v>
      </c>
    </row>
    <row r="9898" spans="129:129" x14ac:dyDescent="0.2">
      <c r="DY9898" s="185" t="s">
        <v>215</v>
      </c>
    </row>
    <row r="9899" spans="129:129" x14ac:dyDescent="0.2">
      <c r="DY9899" s="185" t="s">
        <v>215</v>
      </c>
    </row>
    <row r="9900" spans="129:129" x14ac:dyDescent="0.2">
      <c r="DY9900" s="185" t="s">
        <v>215</v>
      </c>
    </row>
    <row r="9901" spans="129:129" x14ac:dyDescent="0.2">
      <c r="DY9901" s="185" t="s">
        <v>215</v>
      </c>
    </row>
    <row r="9902" spans="129:129" x14ac:dyDescent="0.2">
      <c r="DY9902" s="185" t="s">
        <v>215</v>
      </c>
    </row>
    <row r="9903" spans="129:129" x14ac:dyDescent="0.2">
      <c r="DY9903" s="185" t="s">
        <v>215</v>
      </c>
    </row>
    <row r="9904" spans="129:129" x14ac:dyDescent="0.2">
      <c r="DY9904" s="185" t="s">
        <v>215</v>
      </c>
    </row>
    <row r="9905" spans="129:129" x14ac:dyDescent="0.2">
      <c r="DY9905" s="185" t="s">
        <v>215</v>
      </c>
    </row>
    <row r="9906" spans="129:129" x14ac:dyDescent="0.2">
      <c r="DY9906" s="185" t="s">
        <v>215</v>
      </c>
    </row>
    <row r="9907" spans="129:129" x14ac:dyDescent="0.2">
      <c r="DY9907" s="185" t="s">
        <v>215</v>
      </c>
    </row>
    <row r="9908" spans="129:129" x14ac:dyDescent="0.2">
      <c r="DY9908" s="185" t="s">
        <v>215</v>
      </c>
    </row>
    <row r="9909" spans="129:129" x14ac:dyDescent="0.2">
      <c r="DY9909" s="185" t="s">
        <v>215</v>
      </c>
    </row>
    <row r="9910" spans="129:129" x14ac:dyDescent="0.2">
      <c r="DY9910" s="185" t="s">
        <v>215</v>
      </c>
    </row>
    <row r="9911" spans="129:129" x14ac:dyDescent="0.2">
      <c r="DY9911" s="185" t="s">
        <v>215</v>
      </c>
    </row>
    <row r="9912" spans="129:129" x14ac:dyDescent="0.2">
      <c r="DY9912" s="185" t="s">
        <v>215</v>
      </c>
    </row>
    <row r="9913" spans="129:129" x14ac:dyDescent="0.2">
      <c r="DY9913" s="185" t="s">
        <v>215</v>
      </c>
    </row>
    <row r="9914" spans="129:129" x14ac:dyDescent="0.2">
      <c r="DY9914" s="185" t="s">
        <v>215</v>
      </c>
    </row>
    <row r="9915" spans="129:129" x14ac:dyDescent="0.2">
      <c r="DY9915" s="185" t="s">
        <v>215</v>
      </c>
    </row>
    <row r="9916" spans="129:129" x14ac:dyDescent="0.2">
      <c r="DY9916" s="185" t="s">
        <v>215</v>
      </c>
    </row>
    <row r="9917" spans="129:129" x14ac:dyDescent="0.2">
      <c r="DY9917" s="185" t="s">
        <v>215</v>
      </c>
    </row>
    <row r="9918" spans="129:129" x14ac:dyDescent="0.2">
      <c r="DY9918" s="185" t="s">
        <v>215</v>
      </c>
    </row>
    <row r="9919" spans="129:129" x14ac:dyDescent="0.2">
      <c r="DY9919" s="185" t="s">
        <v>215</v>
      </c>
    </row>
    <row r="9920" spans="129:129" x14ac:dyDescent="0.2">
      <c r="DY9920" s="185" t="s">
        <v>215</v>
      </c>
    </row>
    <row r="9921" spans="129:129" x14ac:dyDescent="0.2">
      <c r="DY9921" s="185" t="s">
        <v>215</v>
      </c>
    </row>
    <row r="9922" spans="129:129" x14ac:dyDescent="0.2">
      <c r="DY9922" s="185" t="s">
        <v>215</v>
      </c>
    </row>
    <row r="9923" spans="129:129" x14ac:dyDescent="0.2">
      <c r="DY9923" s="185" t="s">
        <v>215</v>
      </c>
    </row>
    <row r="9924" spans="129:129" x14ac:dyDescent="0.2">
      <c r="DY9924" s="185" t="s">
        <v>215</v>
      </c>
    </row>
    <row r="9925" spans="129:129" x14ac:dyDescent="0.2">
      <c r="DY9925" s="185" t="s">
        <v>215</v>
      </c>
    </row>
    <row r="9926" spans="129:129" x14ac:dyDescent="0.2">
      <c r="DY9926" s="185" t="s">
        <v>215</v>
      </c>
    </row>
    <row r="9927" spans="129:129" x14ac:dyDescent="0.2">
      <c r="DY9927" s="185" t="s">
        <v>215</v>
      </c>
    </row>
    <row r="9928" spans="129:129" x14ac:dyDescent="0.2">
      <c r="DY9928" s="185" t="s">
        <v>215</v>
      </c>
    </row>
    <row r="9929" spans="129:129" x14ac:dyDescent="0.2">
      <c r="DY9929" s="185" t="s">
        <v>215</v>
      </c>
    </row>
    <row r="9930" spans="129:129" x14ac:dyDescent="0.2">
      <c r="DY9930" s="185" t="s">
        <v>215</v>
      </c>
    </row>
    <row r="9931" spans="129:129" x14ac:dyDescent="0.2">
      <c r="DY9931" s="185" t="s">
        <v>215</v>
      </c>
    </row>
    <row r="9932" spans="129:129" x14ac:dyDescent="0.2">
      <c r="DY9932" s="185" t="s">
        <v>215</v>
      </c>
    </row>
    <row r="9933" spans="129:129" x14ac:dyDescent="0.2">
      <c r="DY9933" s="185" t="s">
        <v>215</v>
      </c>
    </row>
    <row r="9934" spans="129:129" x14ac:dyDescent="0.2">
      <c r="DY9934" s="185" t="s">
        <v>215</v>
      </c>
    </row>
    <row r="9935" spans="129:129" x14ac:dyDescent="0.2">
      <c r="DY9935" s="185" t="s">
        <v>215</v>
      </c>
    </row>
    <row r="9936" spans="129:129" x14ac:dyDescent="0.2">
      <c r="DY9936" s="185" t="s">
        <v>215</v>
      </c>
    </row>
    <row r="9937" spans="129:129" x14ac:dyDescent="0.2">
      <c r="DY9937" s="185" t="s">
        <v>215</v>
      </c>
    </row>
    <row r="9938" spans="129:129" x14ac:dyDescent="0.2">
      <c r="DY9938" s="185" t="s">
        <v>215</v>
      </c>
    </row>
    <row r="9939" spans="129:129" x14ac:dyDescent="0.2">
      <c r="DY9939" s="185" t="s">
        <v>215</v>
      </c>
    </row>
    <row r="9940" spans="129:129" x14ac:dyDescent="0.2">
      <c r="DY9940" s="185" t="s">
        <v>215</v>
      </c>
    </row>
    <row r="9941" spans="129:129" x14ac:dyDescent="0.2">
      <c r="DY9941" s="185" t="s">
        <v>215</v>
      </c>
    </row>
    <row r="9942" spans="129:129" x14ac:dyDescent="0.2">
      <c r="DY9942" s="185" t="s">
        <v>215</v>
      </c>
    </row>
    <row r="9943" spans="129:129" x14ac:dyDescent="0.2">
      <c r="DY9943" s="185" t="s">
        <v>215</v>
      </c>
    </row>
    <row r="9944" spans="129:129" x14ac:dyDescent="0.2">
      <c r="DY9944" s="185" t="s">
        <v>215</v>
      </c>
    </row>
    <row r="9945" spans="129:129" x14ac:dyDescent="0.2">
      <c r="DY9945" s="185" t="s">
        <v>215</v>
      </c>
    </row>
    <row r="9946" spans="129:129" x14ac:dyDescent="0.2">
      <c r="DY9946" s="185" t="s">
        <v>215</v>
      </c>
    </row>
    <row r="9947" spans="129:129" x14ac:dyDescent="0.2">
      <c r="DY9947" s="185" t="s">
        <v>215</v>
      </c>
    </row>
    <row r="9948" spans="129:129" x14ac:dyDescent="0.2">
      <c r="DY9948" s="185" t="s">
        <v>215</v>
      </c>
    </row>
    <row r="9949" spans="129:129" x14ac:dyDescent="0.2">
      <c r="DY9949" s="185" t="s">
        <v>215</v>
      </c>
    </row>
    <row r="9950" spans="129:129" x14ac:dyDescent="0.2">
      <c r="DY9950" s="185" t="s">
        <v>215</v>
      </c>
    </row>
    <row r="9951" spans="129:129" x14ac:dyDescent="0.2">
      <c r="DY9951" s="185" t="s">
        <v>215</v>
      </c>
    </row>
    <row r="9952" spans="129:129" x14ac:dyDescent="0.2">
      <c r="DY9952" s="185" t="s">
        <v>215</v>
      </c>
    </row>
    <row r="9953" spans="129:129" x14ac:dyDescent="0.2">
      <c r="DY9953" s="185" t="s">
        <v>215</v>
      </c>
    </row>
    <row r="9954" spans="129:129" x14ac:dyDescent="0.2">
      <c r="DY9954" s="185" t="s">
        <v>215</v>
      </c>
    </row>
    <row r="9955" spans="129:129" x14ac:dyDescent="0.2">
      <c r="DY9955" s="185" t="s">
        <v>215</v>
      </c>
    </row>
    <row r="9956" spans="129:129" x14ac:dyDescent="0.2">
      <c r="DY9956" s="185" t="s">
        <v>215</v>
      </c>
    </row>
    <row r="9957" spans="129:129" x14ac:dyDescent="0.2">
      <c r="DY9957" s="185" t="s">
        <v>215</v>
      </c>
    </row>
    <row r="9958" spans="129:129" x14ac:dyDescent="0.2">
      <c r="DY9958" s="185" t="s">
        <v>215</v>
      </c>
    </row>
    <row r="9959" spans="129:129" x14ac:dyDescent="0.2">
      <c r="DY9959" s="185" t="s">
        <v>215</v>
      </c>
    </row>
    <row r="9960" spans="129:129" x14ac:dyDescent="0.2">
      <c r="DY9960" s="185" t="s">
        <v>215</v>
      </c>
    </row>
    <row r="9961" spans="129:129" x14ac:dyDescent="0.2">
      <c r="DY9961" s="185" t="s">
        <v>215</v>
      </c>
    </row>
    <row r="9962" spans="129:129" x14ac:dyDescent="0.2">
      <c r="DY9962" s="185" t="s">
        <v>215</v>
      </c>
    </row>
    <row r="9963" spans="129:129" x14ac:dyDescent="0.2">
      <c r="DY9963" s="185" t="s">
        <v>215</v>
      </c>
    </row>
    <row r="9964" spans="129:129" x14ac:dyDescent="0.2">
      <c r="DY9964" s="185" t="s">
        <v>215</v>
      </c>
    </row>
    <row r="9965" spans="129:129" x14ac:dyDescent="0.2">
      <c r="DY9965" s="185" t="s">
        <v>215</v>
      </c>
    </row>
    <row r="9966" spans="129:129" x14ac:dyDescent="0.2">
      <c r="DY9966" s="185" t="s">
        <v>215</v>
      </c>
    </row>
    <row r="9967" spans="129:129" x14ac:dyDescent="0.2">
      <c r="DY9967" s="185" t="s">
        <v>215</v>
      </c>
    </row>
    <row r="9968" spans="129:129" x14ac:dyDescent="0.2">
      <c r="DY9968" s="185" t="s">
        <v>215</v>
      </c>
    </row>
    <row r="9969" spans="129:129" x14ac:dyDescent="0.2">
      <c r="DY9969" s="185" t="s">
        <v>215</v>
      </c>
    </row>
    <row r="9970" spans="129:129" x14ac:dyDescent="0.2">
      <c r="DY9970" s="185" t="s">
        <v>215</v>
      </c>
    </row>
    <row r="9971" spans="129:129" x14ac:dyDescent="0.2">
      <c r="DY9971" s="185" t="s">
        <v>215</v>
      </c>
    </row>
    <row r="9972" spans="129:129" x14ac:dyDescent="0.2">
      <c r="DY9972" s="185" t="s">
        <v>215</v>
      </c>
    </row>
    <row r="9973" spans="129:129" x14ac:dyDescent="0.2">
      <c r="DY9973" s="185" t="s">
        <v>215</v>
      </c>
    </row>
    <row r="9974" spans="129:129" x14ac:dyDescent="0.2">
      <c r="DY9974" s="185" t="s">
        <v>215</v>
      </c>
    </row>
    <row r="9975" spans="129:129" x14ac:dyDescent="0.2">
      <c r="DY9975" s="185" t="s">
        <v>215</v>
      </c>
    </row>
    <row r="9976" spans="129:129" x14ac:dyDescent="0.2">
      <c r="DY9976" s="185" t="s">
        <v>215</v>
      </c>
    </row>
    <row r="9977" spans="129:129" x14ac:dyDescent="0.2">
      <c r="DY9977" s="185" t="s">
        <v>215</v>
      </c>
    </row>
    <row r="9978" spans="129:129" x14ac:dyDescent="0.2">
      <c r="DY9978" s="185" t="s">
        <v>215</v>
      </c>
    </row>
    <row r="9979" spans="129:129" x14ac:dyDescent="0.2">
      <c r="DY9979" s="185" t="s">
        <v>215</v>
      </c>
    </row>
    <row r="9980" spans="129:129" x14ac:dyDescent="0.2">
      <c r="DY9980" s="185" t="s">
        <v>215</v>
      </c>
    </row>
    <row r="9981" spans="129:129" x14ac:dyDescent="0.2">
      <c r="DY9981" s="185" t="s">
        <v>215</v>
      </c>
    </row>
    <row r="9982" spans="129:129" x14ac:dyDescent="0.2">
      <c r="DY9982" s="185" t="s">
        <v>215</v>
      </c>
    </row>
    <row r="9983" spans="129:129" x14ac:dyDescent="0.2">
      <c r="DY9983" s="185" t="s">
        <v>215</v>
      </c>
    </row>
    <row r="9984" spans="129:129" x14ac:dyDescent="0.2">
      <c r="DY9984" s="185" t="s">
        <v>215</v>
      </c>
    </row>
    <row r="9985" spans="129:129" x14ac:dyDescent="0.2">
      <c r="DY9985" s="185" t="s">
        <v>215</v>
      </c>
    </row>
    <row r="9986" spans="129:129" x14ac:dyDescent="0.2">
      <c r="DY9986" s="185" t="s">
        <v>215</v>
      </c>
    </row>
    <row r="9987" spans="129:129" x14ac:dyDescent="0.2">
      <c r="DY9987" s="185" t="s">
        <v>215</v>
      </c>
    </row>
    <row r="9988" spans="129:129" x14ac:dyDescent="0.2">
      <c r="DY9988" s="185" t="s">
        <v>215</v>
      </c>
    </row>
    <row r="9989" spans="129:129" x14ac:dyDescent="0.2">
      <c r="DY9989" s="185" t="s">
        <v>215</v>
      </c>
    </row>
    <row r="9990" spans="129:129" x14ac:dyDescent="0.2">
      <c r="DY9990" s="185" t="s">
        <v>215</v>
      </c>
    </row>
    <row r="9991" spans="129:129" x14ac:dyDescent="0.2">
      <c r="DY9991" s="185" t="s">
        <v>215</v>
      </c>
    </row>
    <row r="9992" spans="129:129" x14ac:dyDescent="0.2">
      <c r="DY9992" s="185" t="s">
        <v>215</v>
      </c>
    </row>
    <row r="9993" spans="129:129" x14ac:dyDescent="0.2">
      <c r="DY9993" s="185" t="s">
        <v>215</v>
      </c>
    </row>
    <row r="9994" spans="129:129" x14ac:dyDescent="0.2">
      <c r="DY9994" s="185" t="s">
        <v>215</v>
      </c>
    </row>
    <row r="9995" spans="129:129" x14ac:dyDescent="0.2">
      <c r="DY9995" s="185" t="s">
        <v>215</v>
      </c>
    </row>
    <row r="9996" spans="129:129" x14ac:dyDescent="0.2">
      <c r="DY9996" s="185" t="s">
        <v>215</v>
      </c>
    </row>
    <row r="9997" spans="129:129" x14ac:dyDescent="0.2">
      <c r="DY9997" s="185" t="s">
        <v>215</v>
      </c>
    </row>
    <row r="9998" spans="129:129" x14ac:dyDescent="0.2">
      <c r="DY9998" s="185" t="s">
        <v>215</v>
      </c>
    </row>
    <row r="9999" spans="129:129" x14ac:dyDescent="0.2">
      <c r="DY9999" s="185" t="s">
        <v>215</v>
      </c>
    </row>
    <row r="10000" spans="129:129" x14ac:dyDescent="0.2">
      <c r="DY10000" s="185" t="s">
        <v>215</v>
      </c>
    </row>
    <row r="10001" spans="129:129" x14ac:dyDescent="0.2">
      <c r="DY10001" s="185" t="s">
        <v>215</v>
      </c>
    </row>
    <row r="10002" spans="129:129" x14ac:dyDescent="0.2">
      <c r="DY10002" s="185" t="s">
        <v>215</v>
      </c>
    </row>
    <row r="10003" spans="129:129" x14ac:dyDescent="0.2">
      <c r="DY10003" s="185" t="s">
        <v>215</v>
      </c>
    </row>
    <row r="10004" spans="129:129" x14ac:dyDescent="0.2">
      <c r="DY10004" s="185" t="s">
        <v>215</v>
      </c>
    </row>
    <row r="10005" spans="129:129" x14ac:dyDescent="0.2">
      <c r="DY10005" s="185" t="s">
        <v>215</v>
      </c>
    </row>
    <row r="10006" spans="129:129" x14ac:dyDescent="0.2">
      <c r="DY10006" s="185" t="s">
        <v>215</v>
      </c>
    </row>
    <row r="10007" spans="129:129" x14ac:dyDescent="0.2">
      <c r="DY10007" s="185" t="s">
        <v>215</v>
      </c>
    </row>
    <row r="10008" spans="129:129" x14ac:dyDescent="0.2">
      <c r="DY10008" s="185" t="s">
        <v>215</v>
      </c>
    </row>
    <row r="10009" spans="129:129" x14ac:dyDescent="0.2">
      <c r="DY10009" s="185" t="s">
        <v>215</v>
      </c>
    </row>
    <row r="10010" spans="129:129" x14ac:dyDescent="0.2">
      <c r="DY10010" s="185" t="s">
        <v>215</v>
      </c>
    </row>
    <row r="10011" spans="129:129" x14ac:dyDescent="0.2">
      <c r="DY10011" s="185" t="s">
        <v>215</v>
      </c>
    </row>
    <row r="10012" spans="129:129" x14ac:dyDescent="0.2">
      <c r="DY10012" s="185" t="s">
        <v>215</v>
      </c>
    </row>
    <row r="10013" spans="129:129" x14ac:dyDescent="0.2">
      <c r="DY10013" s="185" t="s">
        <v>215</v>
      </c>
    </row>
    <row r="10014" spans="129:129" x14ac:dyDescent="0.2">
      <c r="DY10014" s="185" t="s">
        <v>215</v>
      </c>
    </row>
    <row r="10015" spans="129:129" x14ac:dyDescent="0.2">
      <c r="DY10015" s="185" t="s">
        <v>215</v>
      </c>
    </row>
    <row r="10016" spans="129:129" x14ac:dyDescent="0.2">
      <c r="DY10016" s="185" t="s">
        <v>215</v>
      </c>
    </row>
    <row r="10017" spans="129:129" x14ac:dyDescent="0.2">
      <c r="DY10017" s="185" t="s">
        <v>215</v>
      </c>
    </row>
    <row r="10018" spans="129:129" x14ac:dyDescent="0.2">
      <c r="DY10018" s="185" t="s">
        <v>215</v>
      </c>
    </row>
    <row r="10019" spans="129:129" x14ac:dyDescent="0.2">
      <c r="DY10019" s="185" t="s">
        <v>215</v>
      </c>
    </row>
    <row r="10020" spans="129:129" x14ac:dyDescent="0.2">
      <c r="DY10020" s="185" t="s">
        <v>215</v>
      </c>
    </row>
    <row r="10021" spans="129:129" x14ac:dyDescent="0.2">
      <c r="DY10021" s="185" t="s">
        <v>215</v>
      </c>
    </row>
    <row r="10022" spans="129:129" x14ac:dyDescent="0.2">
      <c r="DY10022" s="185" t="s">
        <v>215</v>
      </c>
    </row>
    <row r="10023" spans="129:129" x14ac:dyDescent="0.2">
      <c r="DY10023" s="185" t="s">
        <v>215</v>
      </c>
    </row>
    <row r="10024" spans="129:129" x14ac:dyDescent="0.2">
      <c r="DY10024" s="185" t="s">
        <v>215</v>
      </c>
    </row>
    <row r="10025" spans="129:129" x14ac:dyDescent="0.2">
      <c r="DY10025" s="185" t="s">
        <v>215</v>
      </c>
    </row>
    <row r="10026" spans="129:129" x14ac:dyDescent="0.2">
      <c r="DY10026" s="185" t="s">
        <v>215</v>
      </c>
    </row>
    <row r="10027" spans="129:129" x14ac:dyDescent="0.2">
      <c r="DY10027" s="185" t="s">
        <v>215</v>
      </c>
    </row>
    <row r="10028" spans="129:129" x14ac:dyDescent="0.2">
      <c r="DY10028" s="185" t="s">
        <v>215</v>
      </c>
    </row>
    <row r="10029" spans="129:129" x14ac:dyDescent="0.2">
      <c r="DY10029" s="185" t="s">
        <v>215</v>
      </c>
    </row>
    <row r="10030" spans="129:129" x14ac:dyDescent="0.2">
      <c r="DY10030" s="185" t="s">
        <v>215</v>
      </c>
    </row>
    <row r="10031" spans="129:129" x14ac:dyDescent="0.2">
      <c r="DY10031" s="185" t="s">
        <v>215</v>
      </c>
    </row>
    <row r="10032" spans="129:129" x14ac:dyDescent="0.2">
      <c r="DY10032" s="185" t="s">
        <v>215</v>
      </c>
    </row>
    <row r="10033" spans="129:129" x14ac:dyDescent="0.2">
      <c r="DY10033" s="185" t="s">
        <v>215</v>
      </c>
    </row>
    <row r="10034" spans="129:129" x14ac:dyDescent="0.2">
      <c r="DY10034" s="185" t="s">
        <v>215</v>
      </c>
    </row>
    <row r="10035" spans="129:129" x14ac:dyDescent="0.2">
      <c r="DY10035" s="185" t="s">
        <v>215</v>
      </c>
    </row>
    <row r="10036" spans="129:129" x14ac:dyDescent="0.2">
      <c r="DY10036" s="185" t="s">
        <v>215</v>
      </c>
    </row>
    <row r="10037" spans="129:129" x14ac:dyDescent="0.2">
      <c r="DY10037" s="185" t="s">
        <v>215</v>
      </c>
    </row>
    <row r="10038" spans="129:129" x14ac:dyDescent="0.2">
      <c r="DY10038" s="185" t="s">
        <v>215</v>
      </c>
    </row>
    <row r="10039" spans="129:129" x14ac:dyDescent="0.2">
      <c r="DY10039" s="185" t="s">
        <v>215</v>
      </c>
    </row>
    <row r="10040" spans="129:129" x14ac:dyDescent="0.2">
      <c r="DY10040" s="185" t="s">
        <v>215</v>
      </c>
    </row>
    <row r="10041" spans="129:129" x14ac:dyDescent="0.2">
      <c r="DY10041" s="185" t="s">
        <v>215</v>
      </c>
    </row>
    <row r="10042" spans="129:129" x14ac:dyDescent="0.2">
      <c r="DY10042" s="185" t="s">
        <v>215</v>
      </c>
    </row>
    <row r="10043" spans="129:129" x14ac:dyDescent="0.2">
      <c r="DY10043" s="185" t="s">
        <v>215</v>
      </c>
    </row>
    <row r="10044" spans="129:129" x14ac:dyDescent="0.2">
      <c r="DY10044" s="185" t="s">
        <v>215</v>
      </c>
    </row>
    <row r="10045" spans="129:129" x14ac:dyDescent="0.2">
      <c r="DY10045" s="185" t="s">
        <v>215</v>
      </c>
    </row>
    <row r="10046" spans="129:129" x14ac:dyDescent="0.2">
      <c r="DY10046" s="185" t="s">
        <v>215</v>
      </c>
    </row>
    <row r="10047" spans="129:129" x14ac:dyDescent="0.2">
      <c r="DY10047" s="185" t="s">
        <v>215</v>
      </c>
    </row>
    <row r="10048" spans="129:129" x14ac:dyDescent="0.2">
      <c r="DY10048" s="185" t="s">
        <v>215</v>
      </c>
    </row>
    <row r="10049" spans="129:129" x14ac:dyDescent="0.2">
      <c r="DY10049" s="185" t="s">
        <v>215</v>
      </c>
    </row>
    <row r="10050" spans="129:129" x14ac:dyDescent="0.2">
      <c r="DY10050" s="185" t="s">
        <v>215</v>
      </c>
    </row>
    <row r="10051" spans="129:129" x14ac:dyDescent="0.2">
      <c r="DY10051" s="185" t="s">
        <v>215</v>
      </c>
    </row>
    <row r="10052" spans="129:129" x14ac:dyDescent="0.2">
      <c r="DY10052" s="185" t="s">
        <v>215</v>
      </c>
    </row>
    <row r="10053" spans="129:129" x14ac:dyDescent="0.2">
      <c r="DY10053" s="185" t="s">
        <v>215</v>
      </c>
    </row>
    <row r="10054" spans="129:129" x14ac:dyDescent="0.2">
      <c r="DY10054" s="185" t="s">
        <v>215</v>
      </c>
    </row>
    <row r="10055" spans="129:129" x14ac:dyDescent="0.2">
      <c r="DY10055" s="185" t="s">
        <v>215</v>
      </c>
    </row>
    <row r="10056" spans="129:129" x14ac:dyDescent="0.2">
      <c r="DY10056" s="185" t="s">
        <v>215</v>
      </c>
    </row>
    <row r="10057" spans="129:129" x14ac:dyDescent="0.2">
      <c r="DY10057" s="185" t="s">
        <v>215</v>
      </c>
    </row>
    <row r="10058" spans="129:129" x14ac:dyDescent="0.2">
      <c r="DY10058" s="185" t="s">
        <v>215</v>
      </c>
    </row>
    <row r="10059" spans="129:129" x14ac:dyDescent="0.2">
      <c r="DY10059" s="185" t="s">
        <v>215</v>
      </c>
    </row>
    <row r="10060" spans="129:129" x14ac:dyDescent="0.2">
      <c r="DY10060" s="185" t="s">
        <v>215</v>
      </c>
    </row>
    <row r="10061" spans="129:129" x14ac:dyDescent="0.2">
      <c r="DY10061" s="185" t="s">
        <v>215</v>
      </c>
    </row>
    <row r="10062" spans="129:129" x14ac:dyDescent="0.2">
      <c r="DY10062" s="185" t="s">
        <v>215</v>
      </c>
    </row>
    <row r="10063" spans="129:129" x14ac:dyDescent="0.2">
      <c r="DY10063" s="185" t="s">
        <v>215</v>
      </c>
    </row>
    <row r="10064" spans="129:129" x14ac:dyDescent="0.2">
      <c r="DY10064" s="185" t="s">
        <v>215</v>
      </c>
    </row>
    <row r="10065" spans="129:129" x14ac:dyDescent="0.2">
      <c r="DY10065" s="185" t="s">
        <v>215</v>
      </c>
    </row>
    <row r="10066" spans="129:129" x14ac:dyDescent="0.2">
      <c r="DY10066" s="185" t="s">
        <v>215</v>
      </c>
    </row>
    <row r="10067" spans="129:129" x14ac:dyDescent="0.2">
      <c r="DY10067" s="185" t="s">
        <v>215</v>
      </c>
    </row>
    <row r="10068" spans="129:129" x14ac:dyDescent="0.2">
      <c r="DY10068" s="185" t="s">
        <v>215</v>
      </c>
    </row>
    <row r="10069" spans="129:129" x14ac:dyDescent="0.2">
      <c r="DY10069" s="185" t="s">
        <v>215</v>
      </c>
    </row>
    <row r="10070" spans="129:129" x14ac:dyDescent="0.2">
      <c r="DY10070" s="185" t="s">
        <v>215</v>
      </c>
    </row>
    <row r="10071" spans="129:129" x14ac:dyDescent="0.2">
      <c r="DY10071" s="185" t="s">
        <v>215</v>
      </c>
    </row>
    <row r="10072" spans="129:129" x14ac:dyDescent="0.2">
      <c r="DY10072" s="185" t="s">
        <v>215</v>
      </c>
    </row>
    <row r="10073" spans="129:129" x14ac:dyDescent="0.2">
      <c r="DY10073" s="185" t="s">
        <v>215</v>
      </c>
    </row>
    <row r="10074" spans="129:129" x14ac:dyDescent="0.2">
      <c r="DY10074" s="185" t="s">
        <v>215</v>
      </c>
    </row>
    <row r="10075" spans="129:129" x14ac:dyDescent="0.2">
      <c r="DY10075" s="185" t="s">
        <v>215</v>
      </c>
    </row>
    <row r="10076" spans="129:129" x14ac:dyDescent="0.2">
      <c r="DY10076" s="185" t="s">
        <v>215</v>
      </c>
    </row>
    <row r="10077" spans="129:129" x14ac:dyDescent="0.2">
      <c r="DY10077" s="185" t="s">
        <v>215</v>
      </c>
    </row>
    <row r="10078" spans="129:129" x14ac:dyDescent="0.2">
      <c r="DY10078" s="185" t="s">
        <v>215</v>
      </c>
    </row>
    <row r="10079" spans="129:129" x14ac:dyDescent="0.2">
      <c r="DY10079" s="185" t="s">
        <v>215</v>
      </c>
    </row>
    <row r="10080" spans="129:129" x14ac:dyDescent="0.2">
      <c r="DY10080" s="185" t="s">
        <v>215</v>
      </c>
    </row>
    <row r="10081" spans="129:129" x14ac:dyDescent="0.2">
      <c r="DY10081" s="185" t="s">
        <v>215</v>
      </c>
    </row>
    <row r="10082" spans="129:129" x14ac:dyDescent="0.2">
      <c r="DY10082" s="185" t="s">
        <v>215</v>
      </c>
    </row>
    <row r="10083" spans="129:129" x14ac:dyDescent="0.2">
      <c r="DY10083" s="185" t="s">
        <v>215</v>
      </c>
    </row>
    <row r="10084" spans="129:129" x14ac:dyDescent="0.2">
      <c r="DY10084" s="185" t="s">
        <v>215</v>
      </c>
    </row>
    <row r="10085" spans="129:129" x14ac:dyDescent="0.2">
      <c r="DY10085" s="185" t="s">
        <v>215</v>
      </c>
    </row>
    <row r="10086" spans="129:129" x14ac:dyDescent="0.2">
      <c r="DY10086" s="185" t="s">
        <v>215</v>
      </c>
    </row>
    <row r="10087" spans="129:129" x14ac:dyDescent="0.2">
      <c r="DY10087" s="185" t="s">
        <v>215</v>
      </c>
    </row>
    <row r="10088" spans="129:129" x14ac:dyDescent="0.2">
      <c r="DY10088" s="185" t="s">
        <v>215</v>
      </c>
    </row>
    <row r="10089" spans="129:129" x14ac:dyDescent="0.2">
      <c r="DY10089" s="185" t="s">
        <v>215</v>
      </c>
    </row>
    <row r="10090" spans="129:129" x14ac:dyDescent="0.2">
      <c r="DY10090" s="185" t="s">
        <v>215</v>
      </c>
    </row>
    <row r="10091" spans="129:129" x14ac:dyDescent="0.2">
      <c r="DY10091" s="185" t="s">
        <v>215</v>
      </c>
    </row>
    <row r="10092" spans="129:129" x14ac:dyDescent="0.2">
      <c r="DY10092" s="185" t="s">
        <v>215</v>
      </c>
    </row>
    <row r="10093" spans="129:129" x14ac:dyDescent="0.2">
      <c r="DY10093" s="185" t="s">
        <v>215</v>
      </c>
    </row>
    <row r="10094" spans="129:129" x14ac:dyDescent="0.2">
      <c r="DY10094" s="185" t="s">
        <v>215</v>
      </c>
    </row>
    <row r="10095" spans="129:129" x14ac:dyDescent="0.2">
      <c r="DY10095" s="185" t="s">
        <v>215</v>
      </c>
    </row>
    <row r="10096" spans="129:129" x14ac:dyDescent="0.2">
      <c r="DY10096" s="185" t="s">
        <v>215</v>
      </c>
    </row>
    <row r="10097" spans="129:129" x14ac:dyDescent="0.2">
      <c r="DY10097" s="185" t="s">
        <v>215</v>
      </c>
    </row>
    <row r="10098" spans="129:129" x14ac:dyDescent="0.2">
      <c r="DY10098" s="185" t="s">
        <v>215</v>
      </c>
    </row>
    <row r="10099" spans="129:129" x14ac:dyDescent="0.2">
      <c r="DY10099" s="185" t="s">
        <v>215</v>
      </c>
    </row>
    <row r="10100" spans="129:129" x14ac:dyDescent="0.2">
      <c r="DY10100" s="185" t="s">
        <v>215</v>
      </c>
    </row>
    <row r="10101" spans="129:129" x14ac:dyDescent="0.2">
      <c r="DY10101" s="185" t="s">
        <v>215</v>
      </c>
    </row>
    <row r="10102" spans="129:129" x14ac:dyDescent="0.2">
      <c r="DY10102" s="185" t="s">
        <v>215</v>
      </c>
    </row>
    <row r="10103" spans="129:129" x14ac:dyDescent="0.2">
      <c r="DY10103" s="185" t="s">
        <v>215</v>
      </c>
    </row>
    <row r="10104" spans="129:129" x14ac:dyDescent="0.2">
      <c r="DY10104" s="185" t="s">
        <v>215</v>
      </c>
    </row>
    <row r="10105" spans="129:129" x14ac:dyDescent="0.2">
      <c r="DY10105" s="185" t="s">
        <v>215</v>
      </c>
    </row>
    <row r="10106" spans="129:129" x14ac:dyDescent="0.2">
      <c r="DY10106" s="185" t="s">
        <v>215</v>
      </c>
    </row>
    <row r="10107" spans="129:129" x14ac:dyDescent="0.2">
      <c r="DY10107" s="185" t="s">
        <v>215</v>
      </c>
    </row>
    <row r="10108" spans="129:129" x14ac:dyDescent="0.2">
      <c r="DY10108" s="185" t="s">
        <v>215</v>
      </c>
    </row>
    <row r="10109" spans="129:129" x14ac:dyDescent="0.2">
      <c r="DY10109" s="185" t="s">
        <v>215</v>
      </c>
    </row>
    <row r="10110" spans="129:129" x14ac:dyDescent="0.2">
      <c r="DY10110" s="185" t="s">
        <v>215</v>
      </c>
    </row>
    <row r="10111" spans="129:129" x14ac:dyDescent="0.2">
      <c r="DY10111" s="185" t="s">
        <v>215</v>
      </c>
    </row>
    <row r="10112" spans="129:129" x14ac:dyDescent="0.2">
      <c r="DY10112" s="185" t="s">
        <v>215</v>
      </c>
    </row>
    <row r="10113" spans="129:129" x14ac:dyDescent="0.2">
      <c r="DY10113" s="185" t="s">
        <v>215</v>
      </c>
    </row>
    <row r="10114" spans="129:129" x14ac:dyDescent="0.2">
      <c r="DY10114" s="185" t="s">
        <v>215</v>
      </c>
    </row>
    <row r="10115" spans="129:129" x14ac:dyDescent="0.2">
      <c r="DY10115" s="185" t="s">
        <v>215</v>
      </c>
    </row>
    <row r="10116" spans="129:129" x14ac:dyDescent="0.2">
      <c r="DY10116" s="185" t="s">
        <v>215</v>
      </c>
    </row>
    <row r="10117" spans="129:129" x14ac:dyDescent="0.2">
      <c r="DY10117" s="185" t="s">
        <v>215</v>
      </c>
    </row>
    <row r="10118" spans="129:129" x14ac:dyDescent="0.2">
      <c r="DY10118" s="185" t="s">
        <v>215</v>
      </c>
    </row>
    <row r="10119" spans="129:129" x14ac:dyDescent="0.2">
      <c r="DY10119" s="185" t="s">
        <v>215</v>
      </c>
    </row>
    <row r="10120" spans="129:129" x14ac:dyDescent="0.2">
      <c r="DY10120" s="185" t="s">
        <v>215</v>
      </c>
    </row>
    <row r="10121" spans="129:129" x14ac:dyDescent="0.2">
      <c r="DY10121" s="185" t="s">
        <v>215</v>
      </c>
    </row>
    <row r="10122" spans="129:129" x14ac:dyDescent="0.2">
      <c r="DY10122" s="185" t="s">
        <v>215</v>
      </c>
    </row>
    <row r="10123" spans="129:129" x14ac:dyDescent="0.2">
      <c r="DY10123" s="185" t="s">
        <v>215</v>
      </c>
    </row>
    <row r="10124" spans="129:129" x14ac:dyDescent="0.2">
      <c r="DY10124" s="185" t="s">
        <v>215</v>
      </c>
    </row>
    <row r="10125" spans="129:129" x14ac:dyDescent="0.2">
      <c r="DY10125" s="185" t="s">
        <v>215</v>
      </c>
    </row>
    <row r="10126" spans="129:129" x14ac:dyDescent="0.2">
      <c r="DY10126" s="185" t="s">
        <v>215</v>
      </c>
    </row>
    <row r="10127" spans="129:129" x14ac:dyDescent="0.2">
      <c r="DY10127" s="185" t="s">
        <v>215</v>
      </c>
    </row>
    <row r="10128" spans="129:129" x14ac:dyDescent="0.2">
      <c r="DY10128" s="185" t="s">
        <v>215</v>
      </c>
    </row>
    <row r="10129" spans="129:129" x14ac:dyDescent="0.2">
      <c r="DY10129" s="185" t="s">
        <v>215</v>
      </c>
    </row>
    <row r="10130" spans="129:129" x14ac:dyDescent="0.2">
      <c r="DY10130" s="185" t="s">
        <v>215</v>
      </c>
    </row>
    <row r="10131" spans="129:129" x14ac:dyDescent="0.2">
      <c r="DY10131" s="185" t="s">
        <v>215</v>
      </c>
    </row>
    <row r="10132" spans="129:129" x14ac:dyDescent="0.2">
      <c r="DY10132" s="185" t="s">
        <v>215</v>
      </c>
    </row>
    <row r="10133" spans="129:129" x14ac:dyDescent="0.2">
      <c r="DY10133" s="185" t="s">
        <v>215</v>
      </c>
    </row>
    <row r="10134" spans="129:129" x14ac:dyDescent="0.2">
      <c r="DY10134" s="185" t="s">
        <v>215</v>
      </c>
    </row>
    <row r="10135" spans="129:129" x14ac:dyDescent="0.2">
      <c r="DY10135" s="185" t="s">
        <v>215</v>
      </c>
    </row>
    <row r="10136" spans="129:129" x14ac:dyDescent="0.2">
      <c r="DY10136" s="185" t="s">
        <v>215</v>
      </c>
    </row>
    <row r="10137" spans="129:129" x14ac:dyDescent="0.2">
      <c r="DY10137" s="185" t="s">
        <v>215</v>
      </c>
    </row>
    <row r="10138" spans="129:129" x14ac:dyDescent="0.2">
      <c r="DY10138" s="185" t="s">
        <v>215</v>
      </c>
    </row>
    <row r="10139" spans="129:129" x14ac:dyDescent="0.2">
      <c r="DY10139" s="185" t="s">
        <v>215</v>
      </c>
    </row>
    <row r="10140" spans="129:129" x14ac:dyDescent="0.2">
      <c r="DY10140" s="185" t="s">
        <v>215</v>
      </c>
    </row>
    <row r="10141" spans="129:129" x14ac:dyDescent="0.2">
      <c r="DY10141" s="185" t="s">
        <v>215</v>
      </c>
    </row>
    <row r="10142" spans="129:129" x14ac:dyDescent="0.2">
      <c r="DY10142" s="185" t="s">
        <v>215</v>
      </c>
    </row>
    <row r="10143" spans="129:129" x14ac:dyDescent="0.2">
      <c r="DY10143" s="185" t="s">
        <v>215</v>
      </c>
    </row>
    <row r="10144" spans="129:129" x14ac:dyDescent="0.2">
      <c r="DY10144" s="185" t="s">
        <v>215</v>
      </c>
    </row>
    <row r="10145" spans="129:129" x14ac:dyDescent="0.2">
      <c r="DY10145" s="185" t="s">
        <v>215</v>
      </c>
    </row>
    <row r="10146" spans="129:129" x14ac:dyDescent="0.2">
      <c r="DY10146" s="185" t="s">
        <v>215</v>
      </c>
    </row>
    <row r="10147" spans="129:129" x14ac:dyDescent="0.2">
      <c r="DY10147" s="185" t="s">
        <v>215</v>
      </c>
    </row>
    <row r="10148" spans="129:129" x14ac:dyDescent="0.2">
      <c r="DY10148" s="185" t="s">
        <v>215</v>
      </c>
    </row>
    <row r="10149" spans="129:129" x14ac:dyDescent="0.2">
      <c r="DY10149" s="185" t="s">
        <v>215</v>
      </c>
    </row>
    <row r="10150" spans="129:129" x14ac:dyDescent="0.2">
      <c r="DY10150" s="185" t="s">
        <v>215</v>
      </c>
    </row>
    <row r="10151" spans="129:129" x14ac:dyDescent="0.2">
      <c r="DY10151" s="185" t="s">
        <v>215</v>
      </c>
    </row>
    <row r="10152" spans="129:129" x14ac:dyDescent="0.2">
      <c r="DY10152" s="185" t="s">
        <v>215</v>
      </c>
    </row>
    <row r="10153" spans="129:129" x14ac:dyDescent="0.2">
      <c r="DY10153" s="185" t="s">
        <v>215</v>
      </c>
    </row>
    <row r="10154" spans="129:129" x14ac:dyDescent="0.2">
      <c r="DY10154" s="185" t="s">
        <v>215</v>
      </c>
    </row>
    <row r="10155" spans="129:129" x14ac:dyDescent="0.2">
      <c r="DY10155" s="185" t="s">
        <v>215</v>
      </c>
    </row>
    <row r="10156" spans="129:129" x14ac:dyDescent="0.2">
      <c r="DY10156" s="185" t="s">
        <v>215</v>
      </c>
    </row>
    <row r="10157" spans="129:129" x14ac:dyDescent="0.2">
      <c r="DY10157" s="185" t="s">
        <v>215</v>
      </c>
    </row>
    <row r="10158" spans="129:129" x14ac:dyDescent="0.2">
      <c r="DY10158" s="185" t="s">
        <v>215</v>
      </c>
    </row>
    <row r="10159" spans="129:129" x14ac:dyDescent="0.2">
      <c r="DY10159" s="185" t="s">
        <v>215</v>
      </c>
    </row>
    <row r="10160" spans="129:129" x14ac:dyDescent="0.2">
      <c r="DY10160" s="185" t="s">
        <v>215</v>
      </c>
    </row>
    <row r="10161" spans="129:129" x14ac:dyDescent="0.2">
      <c r="DY10161" s="185" t="s">
        <v>215</v>
      </c>
    </row>
    <row r="10162" spans="129:129" x14ac:dyDescent="0.2">
      <c r="DY10162" s="185" t="s">
        <v>215</v>
      </c>
    </row>
    <row r="10163" spans="129:129" x14ac:dyDescent="0.2">
      <c r="DY10163" s="185" t="s">
        <v>215</v>
      </c>
    </row>
    <row r="10164" spans="129:129" x14ac:dyDescent="0.2">
      <c r="DY10164" s="185" t="s">
        <v>215</v>
      </c>
    </row>
    <row r="10165" spans="129:129" x14ac:dyDescent="0.2">
      <c r="DY10165" s="185" t="s">
        <v>215</v>
      </c>
    </row>
    <row r="10166" spans="129:129" x14ac:dyDescent="0.2">
      <c r="DY10166" s="185" t="s">
        <v>215</v>
      </c>
    </row>
    <row r="10167" spans="129:129" x14ac:dyDescent="0.2">
      <c r="DY10167" s="185" t="s">
        <v>215</v>
      </c>
    </row>
    <row r="10168" spans="129:129" x14ac:dyDescent="0.2">
      <c r="DY10168" s="185" t="s">
        <v>215</v>
      </c>
    </row>
    <row r="10169" spans="129:129" x14ac:dyDescent="0.2">
      <c r="DY10169" s="185" t="s">
        <v>215</v>
      </c>
    </row>
    <row r="10170" spans="129:129" x14ac:dyDescent="0.2">
      <c r="DY10170" s="185" t="s">
        <v>215</v>
      </c>
    </row>
    <row r="10171" spans="129:129" x14ac:dyDescent="0.2">
      <c r="DY10171" s="185" t="s">
        <v>215</v>
      </c>
    </row>
    <row r="10172" spans="129:129" x14ac:dyDescent="0.2">
      <c r="DY10172" s="185" t="s">
        <v>215</v>
      </c>
    </row>
    <row r="10173" spans="129:129" x14ac:dyDescent="0.2">
      <c r="DY10173" s="185" t="s">
        <v>215</v>
      </c>
    </row>
    <row r="10174" spans="129:129" x14ac:dyDescent="0.2">
      <c r="DY10174" s="185" t="s">
        <v>215</v>
      </c>
    </row>
    <row r="10175" spans="129:129" x14ac:dyDescent="0.2">
      <c r="DY10175" s="185" t="s">
        <v>215</v>
      </c>
    </row>
    <row r="10176" spans="129:129" x14ac:dyDescent="0.2">
      <c r="DY10176" s="185" t="s">
        <v>215</v>
      </c>
    </row>
    <row r="10177" spans="129:129" x14ac:dyDescent="0.2">
      <c r="DY10177" s="185" t="s">
        <v>215</v>
      </c>
    </row>
    <row r="10178" spans="129:129" x14ac:dyDescent="0.2">
      <c r="DY10178" s="185" t="s">
        <v>215</v>
      </c>
    </row>
    <row r="10179" spans="129:129" x14ac:dyDescent="0.2">
      <c r="DY10179" s="185" t="s">
        <v>215</v>
      </c>
    </row>
    <row r="10180" spans="129:129" x14ac:dyDescent="0.2">
      <c r="DY10180" s="185" t="s">
        <v>215</v>
      </c>
    </row>
    <row r="10181" spans="129:129" x14ac:dyDescent="0.2">
      <c r="DY10181" s="185" t="s">
        <v>215</v>
      </c>
    </row>
    <row r="10182" spans="129:129" x14ac:dyDescent="0.2">
      <c r="DY10182" s="185" t="s">
        <v>215</v>
      </c>
    </row>
    <row r="10183" spans="129:129" x14ac:dyDescent="0.2">
      <c r="DY10183" s="185" t="s">
        <v>215</v>
      </c>
    </row>
    <row r="10184" spans="129:129" x14ac:dyDescent="0.2">
      <c r="DY10184" s="185" t="s">
        <v>215</v>
      </c>
    </row>
    <row r="10185" spans="129:129" x14ac:dyDescent="0.2">
      <c r="DY10185" s="185" t="s">
        <v>215</v>
      </c>
    </row>
    <row r="10186" spans="129:129" x14ac:dyDescent="0.2">
      <c r="DY10186" s="185" t="s">
        <v>215</v>
      </c>
    </row>
    <row r="10187" spans="129:129" x14ac:dyDescent="0.2">
      <c r="DY10187" s="185" t="s">
        <v>215</v>
      </c>
    </row>
    <row r="10188" spans="129:129" x14ac:dyDescent="0.2">
      <c r="DY10188" s="185" t="s">
        <v>215</v>
      </c>
    </row>
    <row r="10189" spans="129:129" x14ac:dyDescent="0.2">
      <c r="DY10189" s="185" t="s">
        <v>215</v>
      </c>
    </row>
    <row r="10190" spans="129:129" x14ac:dyDescent="0.2">
      <c r="DY10190" s="185" t="s">
        <v>215</v>
      </c>
    </row>
    <row r="10191" spans="129:129" x14ac:dyDescent="0.2">
      <c r="DY10191" s="185" t="s">
        <v>215</v>
      </c>
    </row>
    <row r="10192" spans="129:129" x14ac:dyDescent="0.2">
      <c r="DY10192" s="185" t="s">
        <v>215</v>
      </c>
    </row>
    <row r="10193" spans="129:129" x14ac:dyDescent="0.2">
      <c r="DY10193" s="185" t="s">
        <v>215</v>
      </c>
    </row>
    <row r="10194" spans="129:129" x14ac:dyDescent="0.2">
      <c r="DY10194" s="185" t="s">
        <v>215</v>
      </c>
    </row>
    <row r="10195" spans="129:129" x14ac:dyDescent="0.2">
      <c r="DY10195" s="185" t="s">
        <v>215</v>
      </c>
    </row>
    <row r="10196" spans="129:129" x14ac:dyDescent="0.2">
      <c r="DY10196" s="185" t="s">
        <v>215</v>
      </c>
    </row>
    <row r="10197" spans="129:129" x14ac:dyDescent="0.2">
      <c r="DY10197" s="185" t="s">
        <v>215</v>
      </c>
    </row>
    <row r="10198" spans="129:129" x14ac:dyDescent="0.2">
      <c r="DY10198" s="185" t="s">
        <v>215</v>
      </c>
    </row>
    <row r="10199" spans="129:129" x14ac:dyDescent="0.2">
      <c r="DY10199" s="185" t="s">
        <v>215</v>
      </c>
    </row>
    <row r="10200" spans="129:129" x14ac:dyDescent="0.2">
      <c r="DY10200" s="185" t="s">
        <v>215</v>
      </c>
    </row>
    <row r="10201" spans="129:129" x14ac:dyDescent="0.2">
      <c r="DY10201" s="185" t="s">
        <v>215</v>
      </c>
    </row>
    <row r="10202" spans="129:129" x14ac:dyDescent="0.2">
      <c r="DY10202" s="185" t="s">
        <v>215</v>
      </c>
    </row>
    <row r="10203" spans="129:129" x14ac:dyDescent="0.2">
      <c r="DY10203" s="185" t="s">
        <v>215</v>
      </c>
    </row>
    <row r="10204" spans="129:129" x14ac:dyDescent="0.2">
      <c r="DY10204" s="185" t="s">
        <v>215</v>
      </c>
    </row>
    <row r="10205" spans="129:129" x14ac:dyDescent="0.2">
      <c r="DY10205" s="185" t="s">
        <v>215</v>
      </c>
    </row>
    <row r="10206" spans="129:129" x14ac:dyDescent="0.2">
      <c r="DY10206" s="185" t="s">
        <v>215</v>
      </c>
    </row>
    <row r="10207" spans="129:129" x14ac:dyDescent="0.2">
      <c r="DY10207" s="185" t="s">
        <v>215</v>
      </c>
    </row>
    <row r="10208" spans="129:129" x14ac:dyDescent="0.2">
      <c r="DY10208" s="185" t="s">
        <v>215</v>
      </c>
    </row>
    <row r="10209" spans="129:129" x14ac:dyDescent="0.2">
      <c r="DY10209" s="185" t="s">
        <v>215</v>
      </c>
    </row>
    <row r="10210" spans="129:129" x14ac:dyDescent="0.2">
      <c r="DY10210" s="185" t="s">
        <v>215</v>
      </c>
    </row>
    <row r="10211" spans="129:129" x14ac:dyDescent="0.2">
      <c r="DY10211" s="185" t="s">
        <v>215</v>
      </c>
    </row>
    <row r="10212" spans="129:129" x14ac:dyDescent="0.2">
      <c r="DY10212" s="185" t="s">
        <v>215</v>
      </c>
    </row>
    <row r="10213" spans="129:129" x14ac:dyDescent="0.2">
      <c r="DY10213" s="185" t="s">
        <v>215</v>
      </c>
    </row>
    <row r="10214" spans="129:129" x14ac:dyDescent="0.2">
      <c r="DY10214" s="185" t="s">
        <v>215</v>
      </c>
    </row>
    <row r="10215" spans="129:129" x14ac:dyDescent="0.2">
      <c r="DY10215" s="185" t="s">
        <v>215</v>
      </c>
    </row>
    <row r="10216" spans="129:129" x14ac:dyDescent="0.2">
      <c r="DY10216" s="185" t="s">
        <v>215</v>
      </c>
    </row>
    <row r="10217" spans="129:129" x14ac:dyDescent="0.2">
      <c r="DY10217" s="185" t="s">
        <v>215</v>
      </c>
    </row>
    <row r="10218" spans="129:129" x14ac:dyDescent="0.2">
      <c r="DY10218" s="185" t="s">
        <v>215</v>
      </c>
    </row>
    <row r="10219" spans="129:129" x14ac:dyDescent="0.2">
      <c r="DY10219" s="185" t="s">
        <v>215</v>
      </c>
    </row>
    <row r="10220" spans="129:129" x14ac:dyDescent="0.2">
      <c r="DY10220" s="185" t="s">
        <v>215</v>
      </c>
    </row>
    <row r="10221" spans="129:129" x14ac:dyDescent="0.2">
      <c r="DY10221" s="185" t="s">
        <v>215</v>
      </c>
    </row>
    <row r="10222" spans="129:129" x14ac:dyDescent="0.2">
      <c r="DY10222" s="185" t="s">
        <v>215</v>
      </c>
    </row>
    <row r="10223" spans="129:129" x14ac:dyDescent="0.2">
      <c r="DY10223" s="185" t="s">
        <v>215</v>
      </c>
    </row>
    <row r="10224" spans="129:129" x14ac:dyDescent="0.2">
      <c r="DY10224" s="185" t="s">
        <v>215</v>
      </c>
    </row>
    <row r="10225" spans="129:129" x14ac:dyDescent="0.2">
      <c r="DY10225" s="185" t="s">
        <v>215</v>
      </c>
    </row>
    <row r="10226" spans="129:129" x14ac:dyDescent="0.2">
      <c r="DY10226" s="185" t="s">
        <v>215</v>
      </c>
    </row>
    <row r="10227" spans="129:129" x14ac:dyDescent="0.2">
      <c r="DY10227" s="185" t="s">
        <v>215</v>
      </c>
    </row>
    <row r="10228" spans="129:129" x14ac:dyDescent="0.2">
      <c r="DY10228" s="185" t="s">
        <v>215</v>
      </c>
    </row>
    <row r="10229" spans="129:129" x14ac:dyDescent="0.2">
      <c r="DY10229" s="185" t="s">
        <v>215</v>
      </c>
    </row>
    <row r="10230" spans="129:129" x14ac:dyDescent="0.2">
      <c r="DY10230" s="185" t="s">
        <v>215</v>
      </c>
    </row>
    <row r="10231" spans="129:129" x14ac:dyDescent="0.2">
      <c r="DY10231" s="185" t="s">
        <v>215</v>
      </c>
    </row>
    <row r="10232" spans="129:129" x14ac:dyDescent="0.2">
      <c r="DY10232" s="185" t="s">
        <v>215</v>
      </c>
    </row>
    <row r="10233" spans="129:129" x14ac:dyDescent="0.2">
      <c r="DY10233" s="185" t="s">
        <v>215</v>
      </c>
    </row>
    <row r="10234" spans="129:129" x14ac:dyDescent="0.2">
      <c r="DY10234" s="185" t="s">
        <v>215</v>
      </c>
    </row>
    <row r="10235" spans="129:129" x14ac:dyDescent="0.2">
      <c r="DY10235" s="185" t="s">
        <v>215</v>
      </c>
    </row>
    <row r="10236" spans="129:129" x14ac:dyDescent="0.2">
      <c r="DY10236" s="185" t="s">
        <v>215</v>
      </c>
    </row>
    <row r="10237" spans="129:129" x14ac:dyDescent="0.2">
      <c r="DY10237" s="185" t="s">
        <v>215</v>
      </c>
    </row>
    <row r="10238" spans="129:129" x14ac:dyDescent="0.2">
      <c r="DY10238" s="185" t="s">
        <v>215</v>
      </c>
    </row>
    <row r="10239" spans="129:129" x14ac:dyDescent="0.2">
      <c r="DY10239" s="185" t="s">
        <v>215</v>
      </c>
    </row>
    <row r="10240" spans="129:129" x14ac:dyDescent="0.2">
      <c r="DY10240" s="185" t="s">
        <v>215</v>
      </c>
    </row>
    <row r="10241" spans="129:129" x14ac:dyDescent="0.2">
      <c r="DY10241" s="185" t="s">
        <v>215</v>
      </c>
    </row>
    <row r="10242" spans="129:129" x14ac:dyDescent="0.2">
      <c r="DY10242" s="185" t="s">
        <v>215</v>
      </c>
    </row>
    <row r="10243" spans="129:129" x14ac:dyDescent="0.2">
      <c r="DY10243" s="185" t="s">
        <v>215</v>
      </c>
    </row>
    <row r="10244" spans="129:129" x14ac:dyDescent="0.2">
      <c r="DY10244" s="185" t="s">
        <v>215</v>
      </c>
    </row>
    <row r="10245" spans="129:129" x14ac:dyDescent="0.2">
      <c r="DY10245" s="185" t="s">
        <v>215</v>
      </c>
    </row>
    <row r="10246" spans="129:129" x14ac:dyDescent="0.2">
      <c r="DY10246" s="185" t="s">
        <v>215</v>
      </c>
    </row>
    <row r="10247" spans="129:129" x14ac:dyDescent="0.2">
      <c r="DY10247" s="185" t="s">
        <v>215</v>
      </c>
    </row>
    <row r="10248" spans="129:129" x14ac:dyDescent="0.2">
      <c r="DY10248" s="185" t="s">
        <v>215</v>
      </c>
    </row>
    <row r="10249" spans="129:129" x14ac:dyDescent="0.2">
      <c r="DY10249" s="185" t="s">
        <v>215</v>
      </c>
    </row>
    <row r="10250" spans="129:129" x14ac:dyDescent="0.2">
      <c r="DY10250" s="185" t="s">
        <v>215</v>
      </c>
    </row>
    <row r="10251" spans="129:129" x14ac:dyDescent="0.2">
      <c r="DY10251" s="185" t="s">
        <v>215</v>
      </c>
    </row>
    <row r="10252" spans="129:129" x14ac:dyDescent="0.2">
      <c r="DY10252" s="185" t="s">
        <v>215</v>
      </c>
    </row>
    <row r="10253" spans="129:129" x14ac:dyDescent="0.2">
      <c r="DY10253" s="185" t="s">
        <v>215</v>
      </c>
    </row>
    <row r="10254" spans="129:129" x14ac:dyDescent="0.2">
      <c r="DY10254" s="185" t="s">
        <v>215</v>
      </c>
    </row>
    <row r="10255" spans="129:129" x14ac:dyDescent="0.2">
      <c r="DY10255" s="185" t="s">
        <v>215</v>
      </c>
    </row>
    <row r="10256" spans="129:129" x14ac:dyDescent="0.2">
      <c r="DY10256" s="185" t="s">
        <v>215</v>
      </c>
    </row>
    <row r="10257" spans="129:129" x14ac:dyDescent="0.2">
      <c r="DY10257" s="185" t="s">
        <v>215</v>
      </c>
    </row>
    <row r="10258" spans="129:129" x14ac:dyDescent="0.2">
      <c r="DY10258" s="185" t="s">
        <v>215</v>
      </c>
    </row>
    <row r="10259" spans="129:129" x14ac:dyDescent="0.2">
      <c r="DY10259" s="185" t="s">
        <v>215</v>
      </c>
    </row>
    <row r="10260" spans="129:129" x14ac:dyDescent="0.2">
      <c r="DY10260" s="185" t="s">
        <v>215</v>
      </c>
    </row>
    <row r="10261" spans="129:129" x14ac:dyDescent="0.2">
      <c r="DY10261" s="185" t="s">
        <v>215</v>
      </c>
    </row>
    <row r="10262" spans="129:129" x14ac:dyDescent="0.2">
      <c r="DY10262" s="185" t="s">
        <v>215</v>
      </c>
    </row>
    <row r="10263" spans="129:129" x14ac:dyDescent="0.2">
      <c r="DY10263" s="185" t="s">
        <v>215</v>
      </c>
    </row>
    <row r="10264" spans="129:129" x14ac:dyDescent="0.2">
      <c r="DY10264" s="185" t="s">
        <v>215</v>
      </c>
    </row>
    <row r="10265" spans="129:129" x14ac:dyDescent="0.2">
      <c r="DY10265" s="185" t="s">
        <v>215</v>
      </c>
    </row>
    <row r="10266" spans="129:129" x14ac:dyDescent="0.2">
      <c r="DY10266" s="185" t="s">
        <v>215</v>
      </c>
    </row>
    <row r="10267" spans="129:129" x14ac:dyDescent="0.2">
      <c r="DY10267" s="185" t="s">
        <v>215</v>
      </c>
    </row>
    <row r="10268" spans="129:129" x14ac:dyDescent="0.2">
      <c r="DY10268" s="185" t="s">
        <v>215</v>
      </c>
    </row>
    <row r="10269" spans="129:129" x14ac:dyDescent="0.2">
      <c r="DY10269" s="185" t="s">
        <v>215</v>
      </c>
    </row>
    <row r="10270" spans="129:129" x14ac:dyDescent="0.2">
      <c r="DY10270" s="185" t="s">
        <v>215</v>
      </c>
    </row>
    <row r="10271" spans="129:129" x14ac:dyDescent="0.2">
      <c r="DY10271" s="185" t="s">
        <v>215</v>
      </c>
    </row>
    <row r="10272" spans="129:129" x14ac:dyDescent="0.2">
      <c r="DY10272" s="185" t="s">
        <v>215</v>
      </c>
    </row>
    <row r="10273" spans="129:129" x14ac:dyDescent="0.2">
      <c r="DY10273" s="185" t="s">
        <v>215</v>
      </c>
    </row>
    <row r="10274" spans="129:129" x14ac:dyDescent="0.2">
      <c r="DY10274" s="185" t="s">
        <v>215</v>
      </c>
    </row>
    <row r="10275" spans="129:129" x14ac:dyDescent="0.2">
      <c r="DY10275" s="185" t="s">
        <v>215</v>
      </c>
    </row>
    <row r="10276" spans="129:129" x14ac:dyDescent="0.2">
      <c r="DY10276" s="185" t="s">
        <v>215</v>
      </c>
    </row>
    <row r="10277" spans="129:129" x14ac:dyDescent="0.2">
      <c r="DY10277" s="185" t="s">
        <v>215</v>
      </c>
    </row>
    <row r="10278" spans="129:129" x14ac:dyDescent="0.2">
      <c r="DY10278" s="185" t="s">
        <v>215</v>
      </c>
    </row>
    <row r="10279" spans="129:129" x14ac:dyDescent="0.2">
      <c r="DY10279" s="185" t="s">
        <v>215</v>
      </c>
    </row>
    <row r="10280" spans="129:129" x14ac:dyDescent="0.2">
      <c r="DY10280" s="185" t="s">
        <v>215</v>
      </c>
    </row>
    <row r="10281" spans="129:129" x14ac:dyDescent="0.2">
      <c r="DY10281" s="185" t="s">
        <v>215</v>
      </c>
    </row>
    <row r="10282" spans="129:129" x14ac:dyDescent="0.2">
      <c r="DY10282" s="185" t="s">
        <v>215</v>
      </c>
    </row>
    <row r="10283" spans="129:129" x14ac:dyDescent="0.2">
      <c r="DY10283" s="185" t="s">
        <v>215</v>
      </c>
    </row>
    <row r="10284" spans="129:129" x14ac:dyDescent="0.2">
      <c r="DY10284" s="185" t="s">
        <v>215</v>
      </c>
    </row>
    <row r="10285" spans="129:129" x14ac:dyDescent="0.2">
      <c r="DY10285" s="185" t="s">
        <v>215</v>
      </c>
    </row>
    <row r="10286" spans="129:129" x14ac:dyDescent="0.2">
      <c r="DY10286" s="185" t="s">
        <v>215</v>
      </c>
    </row>
    <row r="10287" spans="129:129" x14ac:dyDescent="0.2">
      <c r="DY10287" s="185" t="s">
        <v>215</v>
      </c>
    </row>
    <row r="10288" spans="129:129" x14ac:dyDescent="0.2">
      <c r="DY10288" s="185" t="s">
        <v>215</v>
      </c>
    </row>
    <row r="10289" spans="129:129" x14ac:dyDescent="0.2">
      <c r="DY10289" s="185" t="s">
        <v>215</v>
      </c>
    </row>
    <row r="10290" spans="129:129" x14ac:dyDescent="0.2">
      <c r="DY10290" s="185" t="s">
        <v>215</v>
      </c>
    </row>
    <row r="10291" spans="129:129" x14ac:dyDescent="0.2">
      <c r="DY10291" s="185" t="s">
        <v>215</v>
      </c>
    </row>
    <row r="10292" spans="129:129" x14ac:dyDescent="0.2">
      <c r="DY10292" s="185" t="s">
        <v>215</v>
      </c>
    </row>
    <row r="10293" spans="129:129" x14ac:dyDescent="0.2">
      <c r="DY10293" s="185" t="s">
        <v>215</v>
      </c>
    </row>
    <row r="10294" spans="129:129" x14ac:dyDescent="0.2">
      <c r="DY10294" s="185" t="s">
        <v>215</v>
      </c>
    </row>
    <row r="10295" spans="129:129" x14ac:dyDescent="0.2">
      <c r="DY10295" s="185" t="s">
        <v>215</v>
      </c>
    </row>
    <row r="10296" spans="129:129" x14ac:dyDescent="0.2">
      <c r="DY10296" s="185" t="s">
        <v>215</v>
      </c>
    </row>
    <row r="10297" spans="129:129" x14ac:dyDescent="0.2">
      <c r="DY10297" s="185" t="s">
        <v>215</v>
      </c>
    </row>
    <row r="10298" spans="129:129" x14ac:dyDescent="0.2">
      <c r="DY10298" s="185" t="s">
        <v>215</v>
      </c>
    </row>
    <row r="10299" spans="129:129" x14ac:dyDescent="0.2">
      <c r="DY10299" s="185" t="s">
        <v>215</v>
      </c>
    </row>
    <row r="10300" spans="129:129" x14ac:dyDescent="0.2">
      <c r="DY10300" s="185" t="s">
        <v>215</v>
      </c>
    </row>
    <row r="10301" spans="129:129" x14ac:dyDescent="0.2">
      <c r="DY10301" s="185" t="s">
        <v>215</v>
      </c>
    </row>
    <row r="10302" spans="129:129" x14ac:dyDescent="0.2">
      <c r="DY10302" s="185" t="s">
        <v>215</v>
      </c>
    </row>
    <row r="10303" spans="129:129" x14ac:dyDescent="0.2">
      <c r="DY10303" s="185" t="s">
        <v>215</v>
      </c>
    </row>
    <row r="10304" spans="129:129" x14ac:dyDescent="0.2">
      <c r="DY10304" s="185" t="s">
        <v>215</v>
      </c>
    </row>
    <row r="10305" spans="129:129" x14ac:dyDescent="0.2">
      <c r="DY10305" s="185" t="s">
        <v>215</v>
      </c>
    </row>
    <row r="10306" spans="129:129" x14ac:dyDescent="0.2">
      <c r="DY10306" s="185" t="s">
        <v>215</v>
      </c>
    </row>
    <row r="10307" spans="129:129" x14ac:dyDescent="0.2">
      <c r="DY10307" s="185" t="s">
        <v>215</v>
      </c>
    </row>
    <row r="10308" spans="129:129" x14ac:dyDescent="0.2">
      <c r="DY10308" s="185" t="s">
        <v>215</v>
      </c>
    </row>
    <row r="10309" spans="129:129" x14ac:dyDescent="0.2">
      <c r="DY10309" s="185" t="s">
        <v>215</v>
      </c>
    </row>
    <row r="10310" spans="129:129" x14ac:dyDescent="0.2">
      <c r="DY10310" s="185" t="s">
        <v>215</v>
      </c>
    </row>
    <row r="10311" spans="129:129" x14ac:dyDescent="0.2">
      <c r="DY10311" s="185" t="s">
        <v>215</v>
      </c>
    </row>
    <row r="10312" spans="129:129" x14ac:dyDescent="0.2">
      <c r="DY10312" s="185" t="s">
        <v>215</v>
      </c>
    </row>
    <row r="10313" spans="129:129" x14ac:dyDescent="0.2">
      <c r="DY10313" s="185" t="s">
        <v>215</v>
      </c>
    </row>
    <row r="10314" spans="129:129" x14ac:dyDescent="0.2">
      <c r="DY10314" s="185" t="s">
        <v>215</v>
      </c>
    </row>
    <row r="10315" spans="129:129" x14ac:dyDescent="0.2">
      <c r="DY10315" s="185" t="s">
        <v>215</v>
      </c>
    </row>
    <row r="10316" spans="129:129" x14ac:dyDescent="0.2">
      <c r="DY10316" s="185" t="s">
        <v>215</v>
      </c>
    </row>
    <row r="10317" spans="129:129" x14ac:dyDescent="0.2">
      <c r="DY10317" s="185" t="s">
        <v>215</v>
      </c>
    </row>
    <row r="10318" spans="129:129" x14ac:dyDescent="0.2">
      <c r="DY10318" s="185" t="s">
        <v>215</v>
      </c>
    </row>
    <row r="10319" spans="129:129" x14ac:dyDescent="0.2">
      <c r="DY10319" s="185" t="s">
        <v>215</v>
      </c>
    </row>
    <row r="10320" spans="129:129" x14ac:dyDescent="0.2">
      <c r="DY10320" s="185" t="s">
        <v>215</v>
      </c>
    </row>
    <row r="10321" spans="129:129" x14ac:dyDescent="0.2">
      <c r="DY10321" s="185" t="s">
        <v>215</v>
      </c>
    </row>
    <row r="10322" spans="129:129" x14ac:dyDescent="0.2">
      <c r="DY10322" s="185" t="s">
        <v>215</v>
      </c>
    </row>
    <row r="10323" spans="129:129" x14ac:dyDescent="0.2">
      <c r="DY10323" s="185" t="s">
        <v>215</v>
      </c>
    </row>
    <row r="10324" spans="129:129" x14ac:dyDescent="0.2">
      <c r="DY10324" s="185" t="s">
        <v>215</v>
      </c>
    </row>
    <row r="10325" spans="129:129" x14ac:dyDescent="0.2">
      <c r="DY10325" s="185" t="s">
        <v>215</v>
      </c>
    </row>
    <row r="10326" spans="129:129" x14ac:dyDescent="0.2">
      <c r="DY10326" s="185" t="s">
        <v>215</v>
      </c>
    </row>
    <row r="10327" spans="129:129" x14ac:dyDescent="0.2">
      <c r="DY10327" s="185" t="s">
        <v>215</v>
      </c>
    </row>
    <row r="10328" spans="129:129" x14ac:dyDescent="0.2">
      <c r="DY10328" s="185" t="s">
        <v>215</v>
      </c>
    </row>
    <row r="10329" spans="129:129" x14ac:dyDescent="0.2">
      <c r="DY10329" s="185" t="s">
        <v>215</v>
      </c>
    </row>
    <row r="10330" spans="129:129" x14ac:dyDescent="0.2">
      <c r="DY10330" s="185" t="s">
        <v>215</v>
      </c>
    </row>
    <row r="10331" spans="129:129" x14ac:dyDescent="0.2">
      <c r="DY10331" s="185" t="s">
        <v>215</v>
      </c>
    </row>
    <row r="10332" spans="129:129" x14ac:dyDescent="0.2">
      <c r="DY10332" s="185" t="s">
        <v>215</v>
      </c>
    </row>
    <row r="10333" spans="129:129" x14ac:dyDescent="0.2">
      <c r="DY10333" s="185" t="s">
        <v>215</v>
      </c>
    </row>
    <row r="10334" spans="129:129" x14ac:dyDescent="0.2">
      <c r="DY10334" s="185" t="s">
        <v>215</v>
      </c>
    </row>
    <row r="10335" spans="129:129" x14ac:dyDescent="0.2">
      <c r="DY10335" s="185" t="s">
        <v>215</v>
      </c>
    </row>
    <row r="10336" spans="129:129" x14ac:dyDescent="0.2">
      <c r="DY10336" s="185" t="s">
        <v>215</v>
      </c>
    </row>
    <row r="10337" spans="129:129" x14ac:dyDescent="0.2">
      <c r="DY10337" s="185" t="s">
        <v>215</v>
      </c>
    </row>
    <row r="10338" spans="129:129" x14ac:dyDescent="0.2">
      <c r="DY10338" s="185" t="s">
        <v>215</v>
      </c>
    </row>
    <row r="10339" spans="129:129" x14ac:dyDescent="0.2">
      <c r="DY10339" s="185" t="s">
        <v>215</v>
      </c>
    </row>
    <row r="10340" spans="129:129" x14ac:dyDescent="0.2">
      <c r="DY10340" s="185" t="s">
        <v>215</v>
      </c>
    </row>
    <row r="10341" spans="129:129" x14ac:dyDescent="0.2">
      <c r="DY10341" s="185" t="s">
        <v>215</v>
      </c>
    </row>
    <row r="10342" spans="129:129" x14ac:dyDescent="0.2">
      <c r="DY10342" s="185" t="s">
        <v>215</v>
      </c>
    </row>
    <row r="10343" spans="129:129" x14ac:dyDescent="0.2">
      <c r="DY10343" s="185" t="s">
        <v>215</v>
      </c>
    </row>
    <row r="10344" spans="129:129" x14ac:dyDescent="0.2">
      <c r="DY10344" s="185" t="s">
        <v>215</v>
      </c>
    </row>
    <row r="10345" spans="129:129" x14ac:dyDescent="0.2">
      <c r="DY10345" s="185" t="s">
        <v>215</v>
      </c>
    </row>
    <row r="10346" spans="129:129" x14ac:dyDescent="0.2">
      <c r="DY10346" s="185" t="s">
        <v>215</v>
      </c>
    </row>
    <row r="10347" spans="129:129" x14ac:dyDescent="0.2">
      <c r="DY10347" s="185" t="s">
        <v>215</v>
      </c>
    </row>
    <row r="10348" spans="129:129" x14ac:dyDescent="0.2">
      <c r="DY10348" s="185" t="s">
        <v>215</v>
      </c>
    </row>
    <row r="10349" spans="129:129" x14ac:dyDescent="0.2">
      <c r="DY10349" s="185" t="s">
        <v>215</v>
      </c>
    </row>
    <row r="10350" spans="129:129" x14ac:dyDescent="0.2">
      <c r="DY10350" s="185" t="s">
        <v>215</v>
      </c>
    </row>
    <row r="10351" spans="129:129" x14ac:dyDescent="0.2">
      <c r="DY10351" s="185" t="s">
        <v>215</v>
      </c>
    </row>
    <row r="10352" spans="129:129" x14ac:dyDescent="0.2">
      <c r="DY10352" s="185" t="s">
        <v>215</v>
      </c>
    </row>
    <row r="10353" spans="129:129" x14ac:dyDescent="0.2">
      <c r="DY10353" s="185" t="s">
        <v>215</v>
      </c>
    </row>
    <row r="10354" spans="129:129" x14ac:dyDescent="0.2">
      <c r="DY10354" s="185" t="s">
        <v>215</v>
      </c>
    </row>
    <row r="10355" spans="129:129" x14ac:dyDescent="0.2">
      <c r="DY10355" s="185" t="s">
        <v>215</v>
      </c>
    </row>
    <row r="10356" spans="129:129" x14ac:dyDescent="0.2">
      <c r="DY10356" s="185" t="s">
        <v>215</v>
      </c>
    </row>
    <row r="10357" spans="129:129" x14ac:dyDescent="0.2">
      <c r="DY10357" s="185" t="s">
        <v>215</v>
      </c>
    </row>
    <row r="10358" spans="129:129" x14ac:dyDescent="0.2">
      <c r="DY10358" s="185" t="s">
        <v>215</v>
      </c>
    </row>
    <row r="10359" spans="129:129" x14ac:dyDescent="0.2">
      <c r="DY10359" s="185" t="s">
        <v>215</v>
      </c>
    </row>
    <row r="10360" spans="129:129" x14ac:dyDescent="0.2">
      <c r="DY10360" s="185" t="s">
        <v>215</v>
      </c>
    </row>
    <row r="10361" spans="129:129" x14ac:dyDescent="0.2">
      <c r="DY10361" s="185" t="s">
        <v>215</v>
      </c>
    </row>
    <row r="10362" spans="129:129" x14ac:dyDescent="0.2">
      <c r="DY10362" s="185" t="s">
        <v>215</v>
      </c>
    </row>
    <row r="10363" spans="129:129" x14ac:dyDescent="0.2">
      <c r="DY10363" s="185" t="s">
        <v>215</v>
      </c>
    </row>
    <row r="10364" spans="129:129" x14ac:dyDescent="0.2">
      <c r="DY10364" s="185" t="s">
        <v>215</v>
      </c>
    </row>
    <row r="10365" spans="129:129" x14ac:dyDescent="0.2">
      <c r="DY10365" s="185" t="s">
        <v>215</v>
      </c>
    </row>
    <row r="10366" spans="129:129" x14ac:dyDescent="0.2">
      <c r="DY10366" s="185" t="s">
        <v>215</v>
      </c>
    </row>
    <row r="10367" spans="129:129" x14ac:dyDescent="0.2">
      <c r="DY10367" s="185" t="s">
        <v>215</v>
      </c>
    </row>
    <row r="10368" spans="129:129" x14ac:dyDescent="0.2">
      <c r="DY10368" s="185" t="s">
        <v>215</v>
      </c>
    </row>
    <row r="10369" spans="129:129" x14ac:dyDescent="0.2">
      <c r="DY10369" s="185" t="s">
        <v>215</v>
      </c>
    </row>
    <row r="10370" spans="129:129" x14ac:dyDescent="0.2">
      <c r="DY10370" s="185" t="s">
        <v>215</v>
      </c>
    </row>
    <row r="10371" spans="129:129" x14ac:dyDescent="0.2">
      <c r="DY10371" s="185" t="s">
        <v>215</v>
      </c>
    </row>
    <row r="10372" spans="129:129" x14ac:dyDescent="0.2">
      <c r="DY10372" s="185" t="s">
        <v>215</v>
      </c>
    </row>
    <row r="10373" spans="129:129" x14ac:dyDescent="0.2">
      <c r="DY10373" s="185" t="s">
        <v>215</v>
      </c>
    </row>
    <row r="10374" spans="129:129" x14ac:dyDescent="0.2">
      <c r="DY10374" s="185" t="s">
        <v>215</v>
      </c>
    </row>
    <row r="10375" spans="129:129" x14ac:dyDescent="0.2">
      <c r="DY10375" s="185" t="s">
        <v>215</v>
      </c>
    </row>
    <row r="10376" spans="129:129" x14ac:dyDescent="0.2">
      <c r="DY10376" s="185" t="s">
        <v>215</v>
      </c>
    </row>
    <row r="10377" spans="129:129" x14ac:dyDescent="0.2">
      <c r="DY10377" s="185" t="s">
        <v>215</v>
      </c>
    </row>
    <row r="10378" spans="129:129" x14ac:dyDescent="0.2">
      <c r="DY10378" s="185" t="s">
        <v>215</v>
      </c>
    </row>
    <row r="10379" spans="129:129" x14ac:dyDescent="0.2">
      <c r="DY10379" s="185" t="s">
        <v>215</v>
      </c>
    </row>
    <row r="10380" spans="129:129" x14ac:dyDescent="0.2">
      <c r="DY10380" s="185" t="s">
        <v>215</v>
      </c>
    </row>
    <row r="10381" spans="129:129" x14ac:dyDescent="0.2">
      <c r="DY10381" s="185" t="s">
        <v>215</v>
      </c>
    </row>
    <row r="10382" spans="129:129" x14ac:dyDescent="0.2">
      <c r="DY10382" s="185" t="s">
        <v>215</v>
      </c>
    </row>
    <row r="10383" spans="129:129" x14ac:dyDescent="0.2">
      <c r="DY10383" s="185" t="s">
        <v>215</v>
      </c>
    </row>
    <row r="10384" spans="129:129" x14ac:dyDescent="0.2">
      <c r="DY10384" s="185" t="s">
        <v>215</v>
      </c>
    </row>
    <row r="10385" spans="129:129" x14ac:dyDescent="0.2">
      <c r="DY10385" s="185" t="s">
        <v>215</v>
      </c>
    </row>
    <row r="10386" spans="129:129" x14ac:dyDescent="0.2">
      <c r="DY10386" s="185" t="s">
        <v>215</v>
      </c>
    </row>
    <row r="10387" spans="129:129" x14ac:dyDescent="0.2">
      <c r="DY10387" s="185" t="s">
        <v>215</v>
      </c>
    </row>
    <row r="10388" spans="129:129" x14ac:dyDescent="0.2">
      <c r="DY10388" s="185" t="s">
        <v>215</v>
      </c>
    </row>
    <row r="10389" spans="129:129" x14ac:dyDescent="0.2">
      <c r="DY10389" s="185" t="s">
        <v>215</v>
      </c>
    </row>
    <row r="10390" spans="129:129" x14ac:dyDescent="0.2">
      <c r="DY10390" s="185" t="s">
        <v>215</v>
      </c>
    </row>
    <row r="10391" spans="129:129" x14ac:dyDescent="0.2">
      <c r="DY10391" s="185" t="s">
        <v>215</v>
      </c>
    </row>
    <row r="10392" spans="129:129" x14ac:dyDescent="0.2">
      <c r="DY10392" s="185" t="s">
        <v>215</v>
      </c>
    </row>
    <row r="10393" spans="129:129" x14ac:dyDescent="0.2">
      <c r="DY10393" s="185" t="s">
        <v>215</v>
      </c>
    </row>
    <row r="10394" spans="129:129" x14ac:dyDescent="0.2">
      <c r="DY10394" s="185" t="s">
        <v>215</v>
      </c>
    </row>
    <row r="10395" spans="129:129" x14ac:dyDescent="0.2">
      <c r="DY10395" s="185" t="s">
        <v>215</v>
      </c>
    </row>
    <row r="10396" spans="129:129" x14ac:dyDescent="0.2">
      <c r="DY10396" s="185" t="s">
        <v>215</v>
      </c>
    </row>
    <row r="10397" spans="129:129" x14ac:dyDescent="0.2">
      <c r="DY10397" s="185" t="s">
        <v>215</v>
      </c>
    </row>
    <row r="10398" spans="129:129" x14ac:dyDescent="0.2">
      <c r="DY10398" s="185" t="s">
        <v>215</v>
      </c>
    </row>
    <row r="10399" spans="129:129" x14ac:dyDescent="0.2">
      <c r="DY10399" s="185" t="s">
        <v>215</v>
      </c>
    </row>
    <row r="10400" spans="129:129" x14ac:dyDescent="0.2">
      <c r="DY10400" s="185" t="s">
        <v>215</v>
      </c>
    </row>
    <row r="10401" spans="129:129" x14ac:dyDescent="0.2">
      <c r="DY10401" s="185" t="s">
        <v>215</v>
      </c>
    </row>
    <row r="10402" spans="129:129" x14ac:dyDescent="0.2">
      <c r="DY10402" s="185" t="s">
        <v>215</v>
      </c>
    </row>
    <row r="10403" spans="129:129" x14ac:dyDescent="0.2">
      <c r="DY10403" s="185" t="s">
        <v>215</v>
      </c>
    </row>
    <row r="10404" spans="129:129" x14ac:dyDescent="0.2">
      <c r="DY10404" s="185" t="s">
        <v>215</v>
      </c>
    </row>
    <row r="10405" spans="129:129" x14ac:dyDescent="0.2">
      <c r="DY10405" s="185" t="s">
        <v>215</v>
      </c>
    </row>
    <row r="10406" spans="129:129" x14ac:dyDescent="0.2">
      <c r="DY10406" s="185" t="s">
        <v>215</v>
      </c>
    </row>
    <row r="10407" spans="129:129" x14ac:dyDescent="0.2">
      <c r="DY10407" s="185" t="s">
        <v>215</v>
      </c>
    </row>
    <row r="10408" spans="129:129" x14ac:dyDescent="0.2">
      <c r="DY10408" s="185" t="s">
        <v>215</v>
      </c>
    </row>
    <row r="10409" spans="129:129" x14ac:dyDescent="0.2">
      <c r="DY10409" s="185" t="s">
        <v>215</v>
      </c>
    </row>
    <row r="10410" spans="129:129" x14ac:dyDescent="0.2">
      <c r="DY10410" s="185" t="s">
        <v>215</v>
      </c>
    </row>
    <row r="10411" spans="129:129" x14ac:dyDescent="0.2">
      <c r="DY10411" s="185" t="s">
        <v>215</v>
      </c>
    </row>
    <row r="10412" spans="129:129" x14ac:dyDescent="0.2">
      <c r="DY10412" s="185" t="s">
        <v>215</v>
      </c>
    </row>
    <row r="10413" spans="129:129" x14ac:dyDescent="0.2">
      <c r="DY10413" s="185" t="s">
        <v>215</v>
      </c>
    </row>
    <row r="10414" spans="129:129" x14ac:dyDescent="0.2">
      <c r="DY10414" s="185" t="s">
        <v>215</v>
      </c>
    </row>
    <row r="10415" spans="129:129" x14ac:dyDescent="0.2">
      <c r="DY10415" s="185" t="s">
        <v>215</v>
      </c>
    </row>
    <row r="10416" spans="129:129" x14ac:dyDescent="0.2">
      <c r="DY10416" s="185" t="s">
        <v>215</v>
      </c>
    </row>
    <row r="10417" spans="129:129" x14ac:dyDescent="0.2">
      <c r="DY10417" s="185" t="s">
        <v>215</v>
      </c>
    </row>
    <row r="10418" spans="129:129" x14ac:dyDescent="0.2">
      <c r="DY10418" s="185" t="s">
        <v>215</v>
      </c>
    </row>
    <row r="10419" spans="129:129" x14ac:dyDescent="0.2">
      <c r="DY10419" s="185" t="s">
        <v>215</v>
      </c>
    </row>
    <row r="10420" spans="129:129" x14ac:dyDescent="0.2">
      <c r="DY10420" s="185" t="s">
        <v>215</v>
      </c>
    </row>
    <row r="10421" spans="129:129" x14ac:dyDescent="0.2">
      <c r="DY10421" s="185" t="s">
        <v>215</v>
      </c>
    </row>
    <row r="10422" spans="129:129" x14ac:dyDescent="0.2">
      <c r="DY10422" s="185" t="s">
        <v>215</v>
      </c>
    </row>
    <row r="10423" spans="129:129" x14ac:dyDescent="0.2">
      <c r="DY10423" s="185" t="s">
        <v>215</v>
      </c>
    </row>
    <row r="10424" spans="129:129" x14ac:dyDescent="0.2">
      <c r="DY10424" s="185" t="s">
        <v>215</v>
      </c>
    </row>
    <row r="10425" spans="129:129" x14ac:dyDescent="0.2">
      <c r="DY10425" s="185" t="s">
        <v>215</v>
      </c>
    </row>
    <row r="10426" spans="129:129" x14ac:dyDescent="0.2">
      <c r="DY10426" s="185" t="s">
        <v>215</v>
      </c>
    </row>
    <row r="10427" spans="129:129" x14ac:dyDescent="0.2">
      <c r="DY10427" s="185" t="s">
        <v>215</v>
      </c>
    </row>
    <row r="10428" spans="129:129" x14ac:dyDescent="0.2">
      <c r="DY10428" s="185" t="s">
        <v>215</v>
      </c>
    </row>
    <row r="10429" spans="129:129" x14ac:dyDescent="0.2">
      <c r="DY10429" s="185" t="s">
        <v>215</v>
      </c>
    </row>
    <row r="10430" spans="129:129" x14ac:dyDescent="0.2">
      <c r="DY10430" s="185" t="s">
        <v>215</v>
      </c>
    </row>
    <row r="10431" spans="129:129" x14ac:dyDescent="0.2">
      <c r="DY10431" s="185" t="s">
        <v>215</v>
      </c>
    </row>
    <row r="10432" spans="129:129" x14ac:dyDescent="0.2">
      <c r="DY10432" s="185" t="s">
        <v>215</v>
      </c>
    </row>
    <row r="10433" spans="129:129" x14ac:dyDescent="0.2">
      <c r="DY10433" s="185" t="s">
        <v>215</v>
      </c>
    </row>
    <row r="10434" spans="129:129" x14ac:dyDescent="0.2">
      <c r="DY10434" s="185" t="s">
        <v>215</v>
      </c>
    </row>
    <row r="10435" spans="129:129" x14ac:dyDescent="0.2">
      <c r="DY10435" s="185" t="s">
        <v>215</v>
      </c>
    </row>
    <row r="10436" spans="129:129" x14ac:dyDescent="0.2">
      <c r="DY10436" s="185" t="s">
        <v>215</v>
      </c>
    </row>
    <row r="10437" spans="129:129" x14ac:dyDescent="0.2">
      <c r="DY10437" s="185" t="s">
        <v>215</v>
      </c>
    </row>
    <row r="10438" spans="129:129" x14ac:dyDescent="0.2">
      <c r="DY10438" s="185" t="s">
        <v>215</v>
      </c>
    </row>
    <row r="10439" spans="129:129" x14ac:dyDescent="0.2">
      <c r="DY10439" s="185" t="s">
        <v>215</v>
      </c>
    </row>
    <row r="10440" spans="129:129" x14ac:dyDescent="0.2">
      <c r="DY10440" s="185" t="s">
        <v>215</v>
      </c>
    </row>
    <row r="10441" spans="129:129" x14ac:dyDescent="0.2">
      <c r="DY10441" s="185" t="s">
        <v>215</v>
      </c>
    </row>
    <row r="10442" spans="129:129" x14ac:dyDescent="0.2">
      <c r="DY10442" s="185" t="s">
        <v>215</v>
      </c>
    </row>
    <row r="10443" spans="129:129" x14ac:dyDescent="0.2">
      <c r="DY10443" s="185" t="s">
        <v>215</v>
      </c>
    </row>
    <row r="10444" spans="129:129" x14ac:dyDescent="0.2">
      <c r="DY10444" s="185" t="s">
        <v>215</v>
      </c>
    </row>
    <row r="10445" spans="129:129" x14ac:dyDescent="0.2">
      <c r="DY10445" s="185" t="s">
        <v>215</v>
      </c>
    </row>
    <row r="10446" spans="129:129" x14ac:dyDescent="0.2">
      <c r="DY10446" s="185" t="s">
        <v>215</v>
      </c>
    </row>
    <row r="10447" spans="129:129" x14ac:dyDescent="0.2">
      <c r="DY10447" s="185" t="s">
        <v>215</v>
      </c>
    </row>
    <row r="10448" spans="129:129" x14ac:dyDescent="0.2">
      <c r="DY10448" s="185" t="s">
        <v>215</v>
      </c>
    </row>
    <row r="10449" spans="129:129" x14ac:dyDescent="0.2">
      <c r="DY10449" s="185" t="s">
        <v>215</v>
      </c>
    </row>
    <row r="10450" spans="129:129" x14ac:dyDescent="0.2">
      <c r="DY10450" s="185" t="s">
        <v>215</v>
      </c>
    </row>
    <row r="10451" spans="129:129" x14ac:dyDescent="0.2">
      <c r="DY10451" s="185" t="s">
        <v>215</v>
      </c>
    </row>
    <row r="10452" spans="129:129" x14ac:dyDescent="0.2">
      <c r="DY10452" s="185" t="s">
        <v>215</v>
      </c>
    </row>
    <row r="10453" spans="129:129" x14ac:dyDescent="0.2">
      <c r="DY10453" s="185" t="s">
        <v>215</v>
      </c>
    </row>
    <row r="10454" spans="129:129" x14ac:dyDescent="0.2">
      <c r="DY10454" s="185" t="s">
        <v>215</v>
      </c>
    </row>
    <row r="10455" spans="129:129" x14ac:dyDescent="0.2">
      <c r="DY10455" s="185" t="s">
        <v>215</v>
      </c>
    </row>
    <row r="10456" spans="129:129" x14ac:dyDescent="0.2">
      <c r="DY10456" s="185" t="s">
        <v>215</v>
      </c>
    </row>
    <row r="10457" spans="129:129" x14ac:dyDescent="0.2">
      <c r="DY10457" s="185" t="s">
        <v>215</v>
      </c>
    </row>
    <row r="10458" spans="129:129" x14ac:dyDescent="0.2">
      <c r="DY10458" s="185" t="s">
        <v>215</v>
      </c>
    </row>
    <row r="10459" spans="129:129" x14ac:dyDescent="0.2">
      <c r="DY10459" s="185" t="s">
        <v>215</v>
      </c>
    </row>
    <row r="10460" spans="129:129" x14ac:dyDescent="0.2">
      <c r="DY10460" s="185" t="s">
        <v>215</v>
      </c>
    </row>
    <row r="10461" spans="129:129" x14ac:dyDescent="0.2">
      <c r="DY10461" s="185" t="s">
        <v>215</v>
      </c>
    </row>
    <row r="10462" spans="129:129" x14ac:dyDescent="0.2">
      <c r="DY10462" s="185" t="s">
        <v>215</v>
      </c>
    </row>
    <row r="10463" spans="129:129" x14ac:dyDescent="0.2">
      <c r="DY10463" s="185" t="s">
        <v>215</v>
      </c>
    </row>
    <row r="10464" spans="129:129" x14ac:dyDescent="0.2">
      <c r="DY10464" s="185" t="s">
        <v>215</v>
      </c>
    </row>
    <row r="10465" spans="129:129" x14ac:dyDescent="0.2">
      <c r="DY10465" s="185" t="s">
        <v>215</v>
      </c>
    </row>
    <row r="10466" spans="129:129" x14ac:dyDescent="0.2">
      <c r="DY10466" s="185" t="s">
        <v>215</v>
      </c>
    </row>
    <row r="10467" spans="129:129" x14ac:dyDescent="0.2">
      <c r="DY10467" s="185" t="s">
        <v>215</v>
      </c>
    </row>
    <row r="10468" spans="129:129" x14ac:dyDescent="0.2">
      <c r="DY10468" s="185" t="s">
        <v>215</v>
      </c>
    </row>
    <row r="10469" spans="129:129" x14ac:dyDescent="0.2">
      <c r="DY10469" s="185" t="s">
        <v>215</v>
      </c>
    </row>
    <row r="10470" spans="129:129" x14ac:dyDescent="0.2">
      <c r="DY10470" s="185" t="s">
        <v>215</v>
      </c>
    </row>
    <row r="10471" spans="129:129" x14ac:dyDescent="0.2">
      <c r="DY10471" s="185" t="s">
        <v>215</v>
      </c>
    </row>
    <row r="10472" spans="129:129" x14ac:dyDescent="0.2">
      <c r="DY10472" s="185" t="s">
        <v>215</v>
      </c>
    </row>
    <row r="10473" spans="129:129" x14ac:dyDescent="0.2">
      <c r="DY10473" s="185" t="s">
        <v>215</v>
      </c>
    </row>
    <row r="10474" spans="129:129" x14ac:dyDescent="0.2">
      <c r="DY10474" s="185" t="s">
        <v>215</v>
      </c>
    </row>
    <row r="10475" spans="129:129" x14ac:dyDescent="0.2">
      <c r="DY10475" s="185" t="s">
        <v>215</v>
      </c>
    </row>
    <row r="10476" spans="129:129" x14ac:dyDescent="0.2">
      <c r="DY10476" s="185" t="s">
        <v>215</v>
      </c>
    </row>
    <row r="10477" spans="129:129" x14ac:dyDescent="0.2">
      <c r="DY10477" s="185" t="s">
        <v>215</v>
      </c>
    </row>
    <row r="10478" spans="129:129" x14ac:dyDescent="0.2">
      <c r="DY10478" s="185" t="s">
        <v>215</v>
      </c>
    </row>
    <row r="10479" spans="129:129" x14ac:dyDescent="0.2">
      <c r="DY10479" s="185" t="s">
        <v>215</v>
      </c>
    </row>
    <row r="10480" spans="129:129" x14ac:dyDescent="0.2">
      <c r="DY10480" s="185" t="s">
        <v>215</v>
      </c>
    </row>
    <row r="10481" spans="129:129" x14ac:dyDescent="0.2">
      <c r="DY10481" s="185" t="s">
        <v>215</v>
      </c>
    </row>
    <row r="10482" spans="129:129" x14ac:dyDescent="0.2">
      <c r="DY10482" s="185" t="s">
        <v>215</v>
      </c>
    </row>
    <row r="10483" spans="129:129" x14ac:dyDescent="0.2">
      <c r="DY10483" s="185" t="s">
        <v>215</v>
      </c>
    </row>
    <row r="10484" spans="129:129" x14ac:dyDescent="0.2">
      <c r="DY10484" s="185" t="s">
        <v>215</v>
      </c>
    </row>
    <row r="10485" spans="129:129" x14ac:dyDescent="0.2">
      <c r="DY10485" s="185" t="s">
        <v>215</v>
      </c>
    </row>
    <row r="10486" spans="129:129" x14ac:dyDescent="0.2">
      <c r="DY10486" s="185" t="s">
        <v>215</v>
      </c>
    </row>
    <row r="10487" spans="129:129" x14ac:dyDescent="0.2">
      <c r="DY10487" s="185" t="s">
        <v>215</v>
      </c>
    </row>
    <row r="10488" spans="129:129" x14ac:dyDescent="0.2">
      <c r="DY10488" s="185" t="s">
        <v>215</v>
      </c>
    </row>
    <row r="10489" spans="129:129" x14ac:dyDescent="0.2">
      <c r="DY10489" s="185" t="s">
        <v>215</v>
      </c>
    </row>
    <row r="10490" spans="129:129" x14ac:dyDescent="0.2">
      <c r="DY10490" s="185" t="s">
        <v>215</v>
      </c>
    </row>
    <row r="10491" spans="129:129" x14ac:dyDescent="0.2">
      <c r="DY10491" s="185" t="s">
        <v>215</v>
      </c>
    </row>
    <row r="10492" spans="129:129" x14ac:dyDescent="0.2">
      <c r="DY10492" s="185" t="s">
        <v>215</v>
      </c>
    </row>
    <row r="10493" spans="129:129" x14ac:dyDescent="0.2">
      <c r="DY10493" s="185" t="s">
        <v>215</v>
      </c>
    </row>
    <row r="10494" spans="129:129" x14ac:dyDescent="0.2">
      <c r="DY10494" s="185" t="s">
        <v>215</v>
      </c>
    </row>
    <row r="10495" spans="129:129" x14ac:dyDescent="0.2">
      <c r="DY10495" s="185" t="s">
        <v>215</v>
      </c>
    </row>
    <row r="10496" spans="129:129" x14ac:dyDescent="0.2">
      <c r="DY10496" s="185" t="s">
        <v>215</v>
      </c>
    </row>
    <row r="10497" spans="129:129" x14ac:dyDescent="0.2">
      <c r="DY10497" s="185" t="s">
        <v>215</v>
      </c>
    </row>
    <row r="10498" spans="129:129" x14ac:dyDescent="0.2">
      <c r="DY10498" s="185" t="s">
        <v>215</v>
      </c>
    </row>
    <row r="10499" spans="129:129" x14ac:dyDescent="0.2">
      <c r="DY10499" s="185" t="s">
        <v>215</v>
      </c>
    </row>
    <row r="10500" spans="129:129" x14ac:dyDescent="0.2">
      <c r="DY10500" s="185" t="s">
        <v>215</v>
      </c>
    </row>
    <row r="10501" spans="129:129" x14ac:dyDescent="0.2">
      <c r="DY10501" s="185" t="s">
        <v>215</v>
      </c>
    </row>
    <row r="10502" spans="129:129" x14ac:dyDescent="0.2">
      <c r="DY10502" s="185" t="s">
        <v>215</v>
      </c>
    </row>
    <row r="10503" spans="129:129" x14ac:dyDescent="0.2">
      <c r="DY10503" s="185" t="s">
        <v>215</v>
      </c>
    </row>
    <row r="10504" spans="129:129" x14ac:dyDescent="0.2">
      <c r="DY10504" s="185" t="s">
        <v>215</v>
      </c>
    </row>
    <row r="10505" spans="129:129" x14ac:dyDescent="0.2">
      <c r="DY10505" s="185" t="s">
        <v>215</v>
      </c>
    </row>
    <row r="10506" spans="129:129" x14ac:dyDescent="0.2">
      <c r="DY10506" s="185" t="s">
        <v>215</v>
      </c>
    </row>
    <row r="10507" spans="129:129" x14ac:dyDescent="0.2">
      <c r="DY10507" s="185" t="s">
        <v>215</v>
      </c>
    </row>
    <row r="10508" spans="129:129" x14ac:dyDescent="0.2">
      <c r="DY10508" s="185" t="s">
        <v>215</v>
      </c>
    </row>
    <row r="10509" spans="129:129" x14ac:dyDescent="0.2">
      <c r="DY10509" s="185" t="s">
        <v>215</v>
      </c>
    </row>
    <row r="10510" spans="129:129" x14ac:dyDescent="0.2">
      <c r="DY10510" s="185" t="s">
        <v>215</v>
      </c>
    </row>
    <row r="10511" spans="129:129" x14ac:dyDescent="0.2">
      <c r="DY10511" s="185" t="s">
        <v>215</v>
      </c>
    </row>
    <row r="10512" spans="129:129" x14ac:dyDescent="0.2">
      <c r="DY10512" s="185" t="s">
        <v>215</v>
      </c>
    </row>
    <row r="10513" spans="129:129" x14ac:dyDescent="0.2">
      <c r="DY10513" s="185" t="s">
        <v>215</v>
      </c>
    </row>
    <row r="10514" spans="129:129" x14ac:dyDescent="0.2">
      <c r="DY10514" s="185" t="s">
        <v>215</v>
      </c>
    </row>
    <row r="10515" spans="129:129" x14ac:dyDescent="0.2">
      <c r="DY10515" s="185" t="s">
        <v>215</v>
      </c>
    </row>
    <row r="10516" spans="129:129" x14ac:dyDescent="0.2">
      <c r="DY10516" s="185" t="s">
        <v>215</v>
      </c>
    </row>
    <row r="10517" spans="129:129" x14ac:dyDescent="0.2">
      <c r="DY10517" s="185" t="s">
        <v>215</v>
      </c>
    </row>
    <row r="10518" spans="129:129" x14ac:dyDescent="0.2">
      <c r="DY10518" s="185" t="s">
        <v>215</v>
      </c>
    </row>
    <row r="10519" spans="129:129" x14ac:dyDescent="0.2">
      <c r="DY10519" s="185" t="s">
        <v>215</v>
      </c>
    </row>
    <row r="10520" spans="129:129" x14ac:dyDescent="0.2">
      <c r="DY10520" s="185" t="s">
        <v>215</v>
      </c>
    </row>
    <row r="10521" spans="129:129" x14ac:dyDescent="0.2">
      <c r="DY10521" s="185" t="s">
        <v>215</v>
      </c>
    </row>
    <row r="10522" spans="129:129" x14ac:dyDescent="0.2">
      <c r="DY10522" s="185" t="s">
        <v>215</v>
      </c>
    </row>
    <row r="10523" spans="129:129" x14ac:dyDescent="0.2">
      <c r="DY10523" s="185" t="s">
        <v>215</v>
      </c>
    </row>
    <row r="10524" spans="129:129" x14ac:dyDescent="0.2">
      <c r="DY10524" s="185" t="s">
        <v>215</v>
      </c>
    </row>
    <row r="10525" spans="129:129" x14ac:dyDescent="0.2">
      <c r="DY10525" s="185" t="s">
        <v>215</v>
      </c>
    </row>
    <row r="10526" spans="129:129" x14ac:dyDescent="0.2">
      <c r="DY10526" s="185" t="s">
        <v>215</v>
      </c>
    </row>
    <row r="10527" spans="129:129" x14ac:dyDescent="0.2">
      <c r="DY10527" s="185" t="s">
        <v>215</v>
      </c>
    </row>
    <row r="10528" spans="129:129" x14ac:dyDescent="0.2">
      <c r="DY10528" s="185" t="s">
        <v>215</v>
      </c>
    </row>
    <row r="10529" spans="129:129" x14ac:dyDescent="0.2">
      <c r="DY10529" s="185" t="s">
        <v>215</v>
      </c>
    </row>
    <row r="10530" spans="129:129" x14ac:dyDescent="0.2">
      <c r="DY10530" s="185" t="s">
        <v>215</v>
      </c>
    </row>
    <row r="10531" spans="129:129" x14ac:dyDescent="0.2">
      <c r="DY10531" s="185" t="s">
        <v>215</v>
      </c>
    </row>
    <row r="10532" spans="129:129" x14ac:dyDescent="0.2">
      <c r="DY10532" s="185" t="s">
        <v>215</v>
      </c>
    </row>
    <row r="10533" spans="129:129" x14ac:dyDescent="0.2">
      <c r="DY10533" s="185" t="s">
        <v>215</v>
      </c>
    </row>
    <row r="10534" spans="129:129" x14ac:dyDescent="0.2">
      <c r="DY10534" s="185" t="s">
        <v>215</v>
      </c>
    </row>
    <row r="10535" spans="129:129" x14ac:dyDescent="0.2">
      <c r="DY10535" s="185" t="s">
        <v>215</v>
      </c>
    </row>
    <row r="10536" spans="129:129" x14ac:dyDescent="0.2">
      <c r="DY10536" s="185" t="s">
        <v>215</v>
      </c>
    </row>
    <row r="10537" spans="129:129" x14ac:dyDescent="0.2">
      <c r="DY10537" s="185" t="s">
        <v>215</v>
      </c>
    </row>
    <row r="10538" spans="129:129" x14ac:dyDescent="0.2">
      <c r="DY10538" s="185" t="s">
        <v>215</v>
      </c>
    </row>
    <row r="10539" spans="129:129" x14ac:dyDescent="0.2">
      <c r="DY10539" s="185" t="s">
        <v>215</v>
      </c>
    </row>
    <row r="10540" spans="129:129" x14ac:dyDescent="0.2">
      <c r="DY10540" s="185" t="s">
        <v>215</v>
      </c>
    </row>
    <row r="10541" spans="129:129" x14ac:dyDescent="0.2">
      <c r="DY10541" s="185" t="s">
        <v>215</v>
      </c>
    </row>
    <row r="10542" spans="129:129" x14ac:dyDescent="0.2">
      <c r="DY10542" s="185" t="s">
        <v>215</v>
      </c>
    </row>
    <row r="10543" spans="129:129" x14ac:dyDescent="0.2">
      <c r="DY10543" s="185" t="s">
        <v>215</v>
      </c>
    </row>
    <row r="10544" spans="129:129" x14ac:dyDescent="0.2">
      <c r="DY10544" s="185" t="s">
        <v>215</v>
      </c>
    </row>
    <row r="10545" spans="129:129" x14ac:dyDescent="0.2">
      <c r="DY10545" s="185" t="s">
        <v>215</v>
      </c>
    </row>
    <row r="10546" spans="129:129" x14ac:dyDescent="0.2">
      <c r="DY10546" s="185" t="s">
        <v>215</v>
      </c>
    </row>
    <row r="10547" spans="129:129" x14ac:dyDescent="0.2">
      <c r="DY10547" s="185" t="s">
        <v>215</v>
      </c>
    </row>
    <row r="10548" spans="129:129" x14ac:dyDescent="0.2">
      <c r="DY10548" s="185" t="s">
        <v>215</v>
      </c>
    </row>
    <row r="10549" spans="129:129" x14ac:dyDescent="0.2">
      <c r="DY10549" s="185" t="s">
        <v>215</v>
      </c>
    </row>
    <row r="10550" spans="129:129" x14ac:dyDescent="0.2">
      <c r="DY10550" s="185" t="s">
        <v>215</v>
      </c>
    </row>
    <row r="10551" spans="129:129" x14ac:dyDescent="0.2">
      <c r="DY10551" s="185" t="s">
        <v>215</v>
      </c>
    </row>
    <row r="10552" spans="129:129" x14ac:dyDescent="0.2">
      <c r="DY10552" s="185" t="s">
        <v>215</v>
      </c>
    </row>
    <row r="10553" spans="129:129" x14ac:dyDescent="0.2">
      <c r="DY10553" s="185" t="s">
        <v>215</v>
      </c>
    </row>
    <row r="10554" spans="129:129" x14ac:dyDescent="0.2">
      <c r="DY10554" s="185" t="s">
        <v>215</v>
      </c>
    </row>
    <row r="10555" spans="129:129" x14ac:dyDescent="0.2">
      <c r="DY10555" s="185" t="s">
        <v>215</v>
      </c>
    </row>
    <row r="10556" spans="129:129" x14ac:dyDescent="0.2">
      <c r="DY10556" s="185" t="s">
        <v>215</v>
      </c>
    </row>
    <row r="10557" spans="129:129" x14ac:dyDescent="0.2">
      <c r="DY10557" s="185" t="s">
        <v>215</v>
      </c>
    </row>
    <row r="10558" spans="129:129" x14ac:dyDescent="0.2">
      <c r="DY10558" s="185" t="s">
        <v>215</v>
      </c>
    </row>
    <row r="10559" spans="129:129" x14ac:dyDescent="0.2">
      <c r="DY10559" s="185" t="s">
        <v>215</v>
      </c>
    </row>
    <row r="10560" spans="129:129" x14ac:dyDescent="0.2">
      <c r="DY10560" s="185" t="s">
        <v>215</v>
      </c>
    </row>
    <row r="10561" spans="129:129" x14ac:dyDescent="0.2">
      <c r="DY10561" s="185" t="s">
        <v>215</v>
      </c>
    </row>
    <row r="10562" spans="129:129" x14ac:dyDescent="0.2">
      <c r="DY10562" s="185" t="s">
        <v>215</v>
      </c>
    </row>
    <row r="10563" spans="129:129" x14ac:dyDescent="0.2">
      <c r="DY10563" s="185" t="s">
        <v>215</v>
      </c>
    </row>
    <row r="10564" spans="129:129" x14ac:dyDescent="0.2">
      <c r="DY10564" s="185" t="s">
        <v>215</v>
      </c>
    </row>
    <row r="10565" spans="129:129" x14ac:dyDescent="0.2">
      <c r="DY10565" s="185" t="s">
        <v>215</v>
      </c>
    </row>
    <row r="10566" spans="129:129" x14ac:dyDescent="0.2">
      <c r="DY10566" s="185" t="s">
        <v>215</v>
      </c>
    </row>
    <row r="10567" spans="129:129" x14ac:dyDescent="0.2">
      <c r="DY10567" s="185" t="s">
        <v>215</v>
      </c>
    </row>
    <row r="10568" spans="129:129" x14ac:dyDescent="0.2">
      <c r="DY10568" s="185" t="s">
        <v>215</v>
      </c>
    </row>
    <row r="10569" spans="129:129" x14ac:dyDescent="0.2">
      <c r="DY10569" s="185" t="s">
        <v>215</v>
      </c>
    </row>
    <row r="10570" spans="129:129" x14ac:dyDescent="0.2">
      <c r="DY10570" s="185" t="s">
        <v>215</v>
      </c>
    </row>
    <row r="10571" spans="129:129" x14ac:dyDescent="0.2">
      <c r="DY10571" s="185" t="s">
        <v>215</v>
      </c>
    </row>
    <row r="10572" spans="129:129" x14ac:dyDescent="0.2">
      <c r="DY10572" s="185" t="s">
        <v>215</v>
      </c>
    </row>
    <row r="10573" spans="129:129" x14ac:dyDescent="0.2">
      <c r="DY10573" s="185" t="s">
        <v>215</v>
      </c>
    </row>
    <row r="10574" spans="129:129" x14ac:dyDescent="0.2">
      <c r="DY10574" s="185" t="s">
        <v>215</v>
      </c>
    </row>
    <row r="10575" spans="129:129" x14ac:dyDescent="0.2">
      <c r="DY10575" s="185" t="s">
        <v>215</v>
      </c>
    </row>
    <row r="10576" spans="129:129" x14ac:dyDescent="0.2">
      <c r="DY10576" s="185" t="s">
        <v>215</v>
      </c>
    </row>
    <row r="10577" spans="129:129" x14ac:dyDescent="0.2">
      <c r="DY10577" s="185" t="s">
        <v>215</v>
      </c>
    </row>
    <row r="10578" spans="129:129" x14ac:dyDescent="0.2">
      <c r="DY10578" s="185" t="s">
        <v>215</v>
      </c>
    </row>
    <row r="10579" spans="129:129" x14ac:dyDescent="0.2">
      <c r="DY10579" s="185" t="s">
        <v>215</v>
      </c>
    </row>
    <row r="10580" spans="129:129" x14ac:dyDescent="0.2">
      <c r="DY10580" s="185" t="s">
        <v>215</v>
      </c>
    </row>
    <row r="10581" spans="129:129" x14ac:dyDescent="0.2">
      <c r="DY10581" s="185" t="s">
        <v>215</v>
      </c>
    </row>
    <row r="10582" spans="129:129" x14ac:dyDescent="0.2">
      <c r="DY10582" s="185" t="s">
        <v>215</v>
      </c>
    </row>
    <row r="10583" spans="129:129" x14ac:dyDescent="0.2">
      <c r="DY10583" s="185" t="s">
        <v>215</v>
      </c>
    </row>
    <row r="10584" spans="129:129" x14ac:dyDescent="0.2">
      <c r="DY10584" s="185" t="s">
        <v>215</v>
      </c>
    </row>
    <row r="10585" spans="129:129" x14ac:dyDescent="0.2">
      <c r="DY10585" s="185" t="s">
        <v>215</v>
      </c>
    </row>
    <row r="10586" spans="129:129" x14ac:dyDescent="0.2">
      <c r="DY10586" s="185" t="s">
        <v>215</v>
      </c>
    </row>
    <row r="10587" spans="129:129" x14ac:dyDescent="0.2">
      <c r="DY10587" s="185" t="s">
        <v>215</v>
      </c>
    </row>
    <row r="10588" spans="129:129" x14ac:dyDescent="0.2">
      <c r="DY10588" s="185" t="s">
        <v>215</v>
      </c>
    </row>
    <row r="10589" spans="129:129" x14ac:dyDescent="0.2">
      <c r="DY10589" s="185" t="s">
        <v>215</v>
      </c>
    </row>
    <row r="10590" spans="129:129" x14ac:dyDescent="0.2">
      <c r="DY10590" s="185" t="s">
        <v>215</v>
      </c>
    </row>
    <row r="10591" spans="129:129" x14ac:dyDescent="0.2">
      <c r="DY10591" s="185" t="s">
        <v>215</v>
      </c>
    </row>
    <row r="10592" spans="129:129" x14ac:dyDescent="0.2">
      <c r="DY10592" s="185" t="s">
        <v>215</v>
      </c>
    </row>
    <row r="10593" spans="129:129" x14ac:dyDescent="0.2">
      <c r="DY10593" s="185" t="s">
        <v>215</v>
      </c>
    </row>
    <row r="10594" spans="129:129" x14ac:dyDescent="0.2">
      <c r="DY10594" s="185" t="s">
        <v>215</v>
      </c>
    </row>
    <row r="10595" spans="129:129" x14ac:dyDescent="0.2">
      <c r="DY10595" s="185" t="s">
        <v>215</v>
      </c>
    </row>
    <row r="10596" spans="129:129" x14ac:dyDescent="0.2">
      <c r="DY10596" s="185" t="s">
        <v>215</v>
      </c>
    </row>
    <row r="10597" spans="129:129" x14ac:dyDescent="0.2">
      <c r="DY10597" s="185" t="s">
        <v>215</v>
      </c>
    </row>
    <row r="10598" spans="129:129" x14ac:dyDescent="0.2">
      <c r="DY10598" s="185" t="s">
        <v>215</v>
      </c>
    </row>
    <row r="10599" spans="129:129" x14ac:dyDescent="0.2">
      <c r="DY10599" s="185" t="s">
        <v>215</v>
      </c>
    </row>
    <row r="10600" spans="129:129" x14ac:dyDescent="0.2">
      <c r="DY10600" s="185" t="s">
        <v>215</v>
      </c>
    </row>
    <row r="10601" spans="129:129" x14ac:dyDescent="0.2">
      <c r="DY10601" s="185" t="s">
        <v>215</v>
      </c>
    </row>
    <row r="10602" spans="129:129" x14ac:dyDescent="0.2">
      <c r="DY10602" s="185" t="s">
        <v>215</v>
      </c>
    </row>
    <row r="10603" spans="129:129" x14ac:dyDescent="0.2">
      <c r="DY10603" s="185" t="s">
        <v>215</v>
      </c>
    </row>
    <row r="10604" spans="129:129" x14ac:dyDescent="0.2">
      <c r="DY10604" s="185" t="s">
        <v>215</v>
      </c>
    </row>
    <row r="10605" spans="129:129" x14ac:dyDescent="0.2">
      <c r="DY10605" s="185" t="s">
        <v>215</v>
      </c>
    </row>
    <row r="10606" spans="129:129" x14ac:dyDescent="0.2">
      <c r="DY10606" s="185" t="s">
        <v>215</v>
      </c>
    </row>
    <row r="10607" spans="129:129" x14ac:dyDescent="0.2">
      <c r="DY10607" s="185" t="s">
        <v>215</v>
      </c>
    </row>
    <row r="10608" spans="129:129" x14ac:dyDescent="0.2">
      <c r="DY10608" s="185" t="s">
        <v>215</v>
      </c>
    </row>
    <row r="10609" spans="129:129" x14ac:dyDescent="0.2">
      <c r="DY10609" s="185" t="s">
        <v>215</v>
      </c>
    </row>
    <row r="10610" spans="129:129" x14ac:dyDescent="0.2">
      <c r="DY10610" s="185" t="s">
        <v>215</v>
      </c>
    </row>
    <row r="10611" spans="129:129" x14ac:dyDescent="0.2">
      <c r="DY10611" s="185" t="s">
        <v>215</v>
      </c>
    </row>
    <row r="10612" spans="129:129" x14ac:dyDescent="0.2">
      <c r="DY10612" s="185" t="s">
        <v>215</v>
      </c>
    </row>
    <row r="10613" spans="129:129" x14ac:dyDescent="0.2">
      <c r="DY10613" s="185" t="s">
        <v>215</v>
      </c>
    </row>
    <row r="10614" spans="129:129" x14ac:dyDescent="0.2">
      <c r="DY10614" s="185" t="s">
        <v>215</v>
      </c>
    </row>
    <row r="10615" spans="129:129" x14ac:dyDescent="0.2">
      <c r="DY10615" s="185" t="s">
        <v>215</v>
      </c>
    </row>
    <row r="10616" spans="129:129" x14ac:dyDescent="0.2">
      <c r="DY10616" s="185" t="s">
        <v>215</v>
      </c>
    </row>
    <row r="10617" spans="129:129" x14ac:dyDescent="0.2">
      <c r="DY10617" s="185" t="s">
        <v>215</v>
      </c>
    </row>
    <row r="10618" spans="129:129" x14ac:dyDescent="0.2">
      <c r="DY10618" s="185" t="s">
        <v>215</v>
      </c>
    </row>
    <row r="10619" spans="129:129" x14ac:dyDescent="0.2">
      <c r="DY10619" s="185" t="s">
        <v>215</v>
      </c>
    </row>
    <row r="10620" spans="129:129" x14ac:dyDescent="0.2">
      <c r="DY10620" s="185" t="s">
        <v>215</v>
      </c>
    </row>
    <row r="10621" spans="129:129" x14ac:dyDescent="0.2">
      <c r="DY10621" s="185" t="s">
        <v>215</v>
      </c>
    </row>
    <row r="10622" spans="129:129" x14ac:dyDescent="0.2">
      <c r="DY10622" s="185" t="s">
        <v>215</v>
      </c>
    </row>
    <row r="10623" spans="129:129" x14ac:dyDescent="0.2">
      <c r="DY10623" s="185" t="s">
        <v>215</v>
      </c>
    </row>
    <row r="10624" spans="129:129" x14ac:dyDescent="0.2">
      <c r="DY10624" s="185" t="s">
        <v>215</v>
      </c>
    </row>
    <row r="10625" spans="129:129" x14ac:dyDescent="0.2">
      <c r="DY10625" s="185" t="s">
        <v>215</v>
      </c>
    </row>
    <row r="10626" spans="129:129" x14ac:dyDescent="0.2">
      <c r="DY10626" s="185" t="s">
        <v>215</v>
      </c>
    </row>
    <row r="10627" spans="129:129" x14ac:dyDescent="0.2">
      <c r="DY10627" s="185" t="s">
        <v>215</v>
      </c>
    </row>
    <row r="10628" spans="129:129" x14ac:dyDescent="0.2">
      <c r="DY10628" s="185" t="s">
        <v>215</v>
      </c>
    </row>
    <row r="10629" spans="129:129" x14ac:dyDescent="0.2">
      <c r="DY10629" s="185" t="s">
        <v>215</v>
      </c>
    </row>
    <row r="10630" spans="129:129" x14ac:dyDescent="0.2">
      <c r="DY10630" s="185" t="s">
        <v>215</v>
      </c>
    </row>
    <row r="10631" spans="129:129" x14ac:dyDescent="0.2">
      <c r="DY10631" s="185" t="s">
        <v>215</v>
      </c>
    </row>
    <row r="10632" spans="129:129" x14ac:dyDescent="0.2">
      <c r="DY10632" s="185" t="s">
        <v>215</v>
      </c>
    </row>
    <row r="10633" spans="129:129" x14ac:dyDescent="0.2">
      <c r="DY10633" s="185" t="s">
        <v>215</v>
      </c>
    </row>
    <row r="10634" spans="129:129" x14ac:dyDescent="0.2">
      <c r="DY10634" s="185" t="s">
        <v>215</v>
      </c>
    </row>
    <row r="10635" spans="129:129" x14ac:dyDescent="0.2">
      <c r="DY10635" s="185" t="s">
        <v>215</v>
      </c>
    </row>
    <row r="10636" spans="129:129" x14ac:dyDescent="0.2">
      <c r="DY10636" s="185" t="s">
        <v>215</v>
      </c>
    </row>
    <row r="10637" spans="129:129" x14ac:dyDescent="0.2">
      <c r="DY10637" s="185" t="s">
        <v>215</v>
      </c>
    </row>
    <row r="10638" spans="129:129" x14ac:dyDescent="0.2">
      <c r="DY10638" s="185" t="s">
        <v>215</v>
      </c>
    </row>
    <row r="10639" spans="129:129" x14ac:dyDescent="0.2">
      <c r="DY10639" s="185" t="s">
        <v>215</v>
      </c>
    </row>
    <row r="10640" spans="129:129" x14ac:dyDescent="0.2">
      <c r="DY10640" s="185" t="s">
        <v>215</v>
      </c>
    </row>
    <row r="10641" spans="129:129" x14ac:dyDescent="0.2">
      <c r="DY10641" s="185" t="s">
        <v>215</v>
      </c>
    </row>
    <row r="10642" spans="129:129" x14ac:dyDescent="0.2">
      <c r="DY10642" s="185" t="s">
        <v>215</v>
      </c>
    </row>
    <row r="10643" spans="129:129" x14ac:dyDescent="0.2">
      <c r="DY10643" s="185" t="s">
        <v>215</v>
      </c>
    </row>
    <row r="10644" spans="129:129" x14ac:dyDescent="0.2">
      <c r="DY10644" s="185" t="s">
        <v>215</v>
      </c>
    </row>
    <row r="10645" spans="129:129" x14ac:dyDescent="0.2">
      <c r="DY10645" s="185" t="s">
        <v>215</v>
      </c>
    </row>
    <row r="10646" spans="129:129" x14ac:dyDescent="0.2">
      <c r="DY10646" s="185" t="s">
        <v>215</v>
      </c>
    </row>
    <row r="10647" spans="129:129" x14ac:dyDescent="0.2">
      <c r="DY10647" s="185" t="s">
        <v>215</v>
      </c>
    </row>
    <row r="10648" spans="129:129" x14ac:dyDescent="0.2">
      <c r="DY10648" s="185" t="s">
        <v>215</v>
      </c>
    </row>
    <row r="10649" spans="129:129" x14ac:dyDescent="0.2">
      <c r="DY10649" s="185" t="s">
        <v>215</v>
      </c>
    </row>
    <row r="10650" spans="129:129" x14ac:dyDescent="0.2">
      <c r="DY10650" s="185" t="s">
        <v>215</v>
      </c>
    </row>
    <row r="10651" spans="129:129" x14ac:dyDescent="0.2">
      <c r="DY10651" s="185" t="s">
        <v>215</v>
      </c>
    </row>
    <row r="10652" spans="129:129" x14ac:dyDescent="0.2">
      <c r="DY10652" s="185" t="s">
        <v>215</v>
      </c>
    </row>
    <row r="10653" spans="129:129" x14ac:dyDescent="0.2">
      <c r="DY10653" s="185" t="s">
        <v>215</v>
      </c>
    </row>
    <row r="10654" spans="129:129" x14ac:dyDescent="0.2">
      <c r="DY10654" s="185" t="s">
        <v>215</v>
      </c>
    </row>
    <row r="10655" spans="129:129" x14ac:dyDescent="0.2">
      <c r="DY10655" s="185" t="s">
        <v>215</v>
      </c>
    </row>
    <row r="10656" spans="129:129" x14ac:dyDescent="0.2">
      <c r="DY10656" s="185" t="s">
        <v>215</v>
      </c>
    </row>
    <row r="10657" spans="129:129" x14ac:dyDescent="0.2">
      <c r="DY10657" s="185" t="s">
        <v>215</v>
      </c>
    </row>
    <row r="10658" spans="129:129" x14ac:dyDescent="0.2">
      <c r="DY10658" s="185" t="s">
        <v>215</v>
      </c>
    </row>
    <row r="10659" spans="129:129" x14ac:dyDescent="0.2">
      <c r="DY10659" s="185" t="s">
        <v>215</v>
      </c>
    </row>
    <row r="10660" spans="129:129" x14ac:dyDescent="0.2">
      <c r="DY10660" s="185" t="s">
        <v>215</v>
      </c>
    </row>
    <row r="10661" spans="129:129" x14ac:dyDescent="0.2">
      <c r="DY10661" s="185" t="s">
        <v>215</v>
      </c>
    </row>
    <row r="10662" spans="129:129" x14ac:dyDescent="0.2">
      <c r="DY10662" s="185" t="s">
        <v>215</v>
      </c>
    </row>
    <row r="10663" spans="129:129" x14ac:dyDescent="0.2">
      <c r="DY10663" s="185" t="s">
        <v>215</v>
      </c>
    </row>
    <row r="10664" spans="129:129" x14ac:dyDescent="0.2">
      <c r="DY10664" s="185" t="s">
        <v>215</v>
      </c>
    </row>
    <row r="10665" spans="129:129" x14ac:dyDescent="0.2">
      <c r="DY10665" s="185" t="s">
        <v>215</v>
      </c>
    </row>
    <row r="10666" spans="129:129" x14ac:dyDescent="0.2">
      <c r="DY10666" s="185" t="s">
        <v>215</v>
      </c>
    </row>
    <row r="10667" spans="129:129" x14ac:dyDescent="0.2">
      <c r="DY10667" s="185" t="s">
        <v>215</v>
      </c>
    </row>
    <row r="10668" spans="129:129" x14ac:dyDescent="0.2">
      <c r="DY10668" s="185" t="s">
        <v>215</v>
      </c>
    </row>
    <row r="10669" spans="129:129" x14ac:dyDescent="0.2">
      <c r="DY10669" s="185" t="s">
        <v>215</v>
      </c>
    </row>
    <row r="10670" spans="129:129" x14ac:dyDescent="0.2">
      <c r="DY10670" s="185" t="s">
        <v>215</v>
      </c>
    </row>
    <row r="10671" spans="129:129" x14ac:dyDescent="0.2">
      <c r="DY10671" s="185" t="s">
        <v>215</v>
      </c>
    </row>
    <row r="10672" spans="129:129" x14ac:dyDescent="0.2">
      <c r="DY10672" s="185" t="s">
        <v>215</v>
      </c>
    </row>
    <row r="10673" spans="129:129" x14ac:dyDescent="0.2">
      <c r="DY10673" s="185" t="s">
        <v>215</v>
      </c>
    </row>
    <row r="10674" spans="129:129" x14ac:dyDescent="0.2">
      <c r="DY10674" s="185" t="s">
        <v>215</v>
      </c>
    </row>
    <row r="10675" spans="129:129" x14ac:dyDescent="0.2">
      <c r="DY10675" s="185" t="s">
        <v>215</v>
      </c>
    </row>
    <row r="10676" spans="129:129" x14ac:dyDescent="0.2">
      <c r="DY10676" s="185" t="s">
        <v>215</v>
      </c>
    </row>
    <row r="10677" spans="129:129" x14ac:dyDescent="0.2">
      <c r="DY10677" s="185" t="s">
        <v>215</v>
      </c>
    </row>
    <row r="10678" spans="129:129" x14ac:dyDescent="0.2">
      <c r="DY10678" s="185" t="s">
        <v>215</v>
      </c>
    </row>
    <row r="10679" spans="129:129" x14ac:dyDescent="0.2">
      <c r="DY10679" s="185" t="s">
        <v>215</v>
      </c>
    </row>
    <row r="10680" spans="129:129" x14ac:dyDescent="0.2">
      <c r="DY10680" s="185" t="s">
        <v>215</v>
      </c>
    </row>
    <row r="10681" spans="129:129" x14ac:dyDescent="0.2">
      <c r="DY10681" s="185" t="s">
        <v>215</v>
      </c>
    </row>
    <row r="10682" spans="129:129" x14ac:dyDescent="0.2">
      <c r="DY10682" s="185" t="s">
        <v>215</v>
      </c>
    </row>
    <row r="10683" spans="129:129" x14ac:dyDescent="0.2">
      <c r="DY10683" s="185" t="s">
        <v>215</v>
      </c>
    </row>
    <row r="10684" spans="129:129" x14ac:dyDescent="0.2">
      <c r="DY10684" s="185" t="s">
        <v>215</v>
      </c>
    </row>
    <row r="10685" spans="129:129" x14ac:dyDescent="0.2">
      <c r="DY10685" s="185" t="s">
        <v>215</v>
      </c>
    </row>
    <row r="10686" spans="129:129" x14ac:dyDescent="0.2">
      <c r="DY10686" s="185" t="s">
        <v>215</v>
      </c>
    </row>
    <row r="10687" spans="129:129" x14ac:dyDescent="0.2">
      <c r="DY10687" s="185" t="s">
        <v>215</v>
      </c>
    </row>
    <row r="10688" spans="129:129" x14ac:dyDescent="0.2">
      <c r="DY10688" s="185" t="s">
        <v>215</v>
      </c>
    </row>
    <row r="10689" spans="129:129" x14ac:dyDescent="0.2">
      <c r="DY10689" s="185" t="s">
        <v>215</v>
      </c>
    </row>
    <row r="10690" spans="129:129" x14ac:dyDescent="0.2">
      <c r="DY10690" s="185" t="s">
        <v>215</v>
      </c>
    </row>
    <row r="10691" spans="129:129" x14ac:dyDescent="0.2">
      <c r="DY10691" s="185" t="s">
        <v>215</v>
      </c>
    </row>
    <row r="10692" spans="129:129" x14ac:dyDescent="0.2">
      <c r="DY10692" s="185" t="s">
        <v>215</v>
      </c>
    </row>
    <row r="10693" spans="129:129" x14ac:dyDescent="0.2">
      <c r="DY10693" s="185" t="s">
        <v>215</v>
      </c>
    </row>
    <row r="10694" spans="129:129" x14ac:dyDescent="0.2">
      <c r="DY10694" s="185" t="s">
        <v>215</v>
      </c>
    </row>
    <row r="10695" spans="129:129" x14ac:dyDescent="0.2">
      <c r="DY10695" s="185" t="s">
        <v>215</v>
      </c>
    </row>
    <row r="10696" spans="129:129" x14ac:dyDescent="0.2">
      <c r="DY10696" s="185" t="s">
        <v>215</v>
      </c>
    </row>
    <row r="10697" spans="129:129" x14ac:dyDescent="0.2">
      <c r="DY10697" s="185" t="s">
        <v>215</v>
      </c>
    </row>
    <row r="10698" spans="129:129" x14ac:dyDescent="0.2">
      <c r="DY10698" s="185" t="s">
        <v>215</v>
      </c>
    </row>
    <row r="10699" spans="129:129" x14ac:dyDescent="0.2">
      <c r="DY10699" s="185" t="s">
        <v>215</v>
      </c>
    </row>
    <row r="10700" spans="129:129" x14ac:dyDescent="0.2">
      <c r="DY10700" s="185" t="s">
        <v>215</v>
      </c>
    </row>
    <row r="10701" spans="129:129" x14ac:dyDescent="0.2">
      <c r="DY10701" s="185" t="s">
        <v>215</v>
      </c>
    </row>
    <row r="10702" spans="129:129" x14ac:dyDescent="0.2">
      <c r="DY10702" s="185" t="s">
        <v>215</v>
      </c>
    </row>
    <row r="10703" spans="129:129" x14ac:dyDescent="0.2">
      <c r="DY10703" s="185" t="s">
        <v>215</v>
      </c>
    </row>
    <row r="10704" spans="129:129" x14ac:dyDescent="0.2">
      <c r="DY10704" s="185" t="s">
        <v>215</v>
      </c>
    </row>
    <row r="10705" spans="129:129" x14ac:dyDescent="0.2">
      <c r="DY10705" s="185" t="s">
        <v>215</v>
      </c>
    </row>
    <row r="10706" spans="129:129" x14ac:dyDescent="0.2">
      <c r="DY10706" s="185" t="s">
        <v>215</v>
      </c>
    </row>
    <row r="10707" spans="129:129" x14ac:dyDescent="0.2">
      <c r="DY10707" s="185" t="s">
        <v>215</v>
      </c>
    </row>
    <row r="10708" spans="129:129" x14ac:dyDescent="0.2">
      <c r="DY10708" s="185" t="s">
        <v>215</v>
      </c>
    </row>
    <row r="10709" spans="129:129" x14ac:dyDescent="0.2">
      <c r="DY10709" s="185" t="s">
        <v>215</v>
      </c>
    </row>
    <row r="10710" spans="129:129" x14ac:dyDescent="0.2">
      <c r="DY10710" s="185" t="s">
        <v>215</v>
      </c>
    </row>
    <row r="10711" spans="129:129" x14ac:dyDescent="0.2">
      <c r="DY10711" s="185" t="s">
        <v>215</v>
      </c>
    </row>
    <row r="10712" spans="129:129" x14ac:dyDescent="0.2">
      <c r="DY10712" s="185" t="s">
        <v>215</v>
      </c>
    </row>
    <row r="10713" spans="129:129" x14ac:dyDescent="0.2">
      <c r="DY10713" s="185" t="s">
        <v>215</v>
      </c>
    </row>
    <row r="10714" spans="129:129" x14ac:dyDescent="0.2">
      <c r="DY10714" s="185" t="s">
        <v>215</v>
      </c>
    </row>
    <row r="10715" spans="129:129" x14ac:dyDescent="0.2">
      <c r="DY10715" s="185" t="s">
        <v>215</v>
      </c>
    </row>
    <row r="10716" spans="129:129" x14ac:dyDescent="0.2">
      <c r="DY10716" s="185" t="s">
        <v>215</v>
      </c>
    </row>
    <row r="10717" spans="129:129" x14ac:dyDescent="0.2">
      <c r="DY10717" s="185" t="s">
        <v>215</v>
      </c>
    </row>
    <row r="10718" spans="129:129" x14ac:dyDescent="0.2">
      <c r="DY10718" s="185" t="s">
        <v>215</v>
      </c>
    </row>
    <row r="10719" spans="129:129" x14ac:dyDescent="0.2">
      <c r="DY10719" s="185" t="s">
        <v>215</v>
      </c>
    </row>
    <row r="10720" spans="129:129" x14ac:dyDescent="0.2">
      <c r="DY10720" s="185" t="s">
        <v>215</v>
      </c>
    </row>
    <row r="10721" spans="129:129" x14ac:dyDescent="0.2">
      <c r="DY10721" s="185" t="s">
        <v>215</v>
      </c>
    </row>
    <row r="10722" spans="129:129" x14ac:dyDescent="0.2">
      <c r="DY10722" s="185" t="s">
        <v>215</v>
      </c>
    </row>
    <row r="10723" spans="129:129" x14ac:dyDescent="0.2">
      <c r="DY10723" s="185" t="s">
        <v>215</v>
      </c>
    </row>
    <row r="10724" spans="129:129" x14ac:dyDescent="0.2">
      <c r="DY10724" s="185" t="s">
        <v>215</v>
      </c>
    </row>
    <row r="10725" spans="129:129" x14ac:dyDescent="0.2">
      <c r="DY10725" s="185" t="s">
        <v>215</v>
      </c>
    </row>
    <row r="10726" spans="129:129" x14ac:dyDescent="0.2">
      <c r="DY10726" s="185" t="s">
        <v>215</v>
      </c>
    </row>
    <row r="10727" spans="129:129" x14ac:dyDescent="0.2">
      <c r="DY10727" s="185" t="s">
        <v>215</v>
      </c>
    </row>
    <row r="10728" spans="129:129" x14ac:dyDescent="0.2">
      <c r="DY10728" s="185" t="s">
        <v>215</v>
      </c>
    </row>
    <row r="10729" spans="129:129" x14ac:dyDescent="0.2">
      <c r="DY10729" s="185" t="s">
        <v>215</v>
      </c>
    </row>
    <row r="10730" spans="129:129" x14ac:dyDescent="0.2">
      <c r="DY10730" s="185" t="s">
        <v>215</v>
      </c>
    </row>
    <row r="10731" spans="129:129" x14ac:dyDescent="0.2">
      <c r="DY10731" s="185" t="s">
        <v>215</v>
      </c>
    </row>
    <row r="10732" spans="129:129" x14ac:dyDescent="0.2">
      <c r="DY10732" s="185" t="s">
        <v>215</v>
      </c>
    </row>
    <row r="10733" spans="129:129" x14ac:dyDescent="0.2">
      <c r="DY10733" s="185" t="s">
        <v>215</v>
      </c>
    </row>
    <row r="10734" spans="129:129" x14ac:dyDescent="0.2">
      <c r="DY10734" s="185" t="s">
        <v>215</v>
      </c>
    </row>
    <row r="10735" spans="129:129" x14ac:dyDescent="0.2">
      <c r="DY10735" s="185" t="s">
        <v>215</v>
      </c>
    </row>
    <row r="10736" spans="129:129" x14ac:dyDescent="0.2">
      <c r="DY10736" s="185" t="s">
        <v>215</v>
      </c>
    </row>
    <row r="10737" spans="129:129" x14ac:dyDescent="0.2">
      <c r="DY10737" s="185" t="s">
        <v>215</v>
      </c>
    </row>
    <row r="10738" spans="129:129" x14ac:dyDescent="0.2">
      <c r="DY10738" s="185" t="s">
        <v>215</v>
      </c>
    </row>
    <row r="10739" spans="129:129" x14ac:dyDescent="0.2">
      <c r="DY10739" s="185" t="s">
        <v>215</v>
      </c>
    </row>
    <row r="10740" spans="129:129" x14ac:dyDescent="0.2">
      <c r="DY10740" s="185" t="s">
        <v>215</v>
      </c>
    </row>
    <row r="10741" spans="129:129" x14ac:dyDescent="0.2">
      <c r="DY10741" s="185" t="s">
        <v>215</v>
      </c>
    </row>
    <row r="10742" spans="129:129" x14ac:dyDescent="0.2">
      <c r="DY10742" s="185" t="s">
        <v>215</v>
      </c>
    </row>
    <row r="10743" spans="129:129" x14ac:dyDescent="0.2">
      <c r="DY10743" s="185" t="s">
        <v>215</v>
      </c>
    </row>
    <row r="10744" spans="129:129" x14ac:dyDescent="0.2">
      <c r="DY10744" s="185" t="s">
        <v>215</v>
      </c>
    </row>
    <row r="10745" spans="129:129" x14ac:dyDescent="0.2">
      <c r="DY10745" s="185" t="s">
        <v>215</v>
      </c>
    </row>
    <row r="10746" spans="129:129" x14ac:dyDescent="0.2">
      <c r="DY10746" s="185" t="s">
        <v>215</v>
      </c>
    </row>
    <row r="10747" spans="129:129" x14ac:dyDescent="0.2">
      <c r="DY10747" s="185" t="s">
        <v>215</v>
      </c>
    </row>
    <row r="10748" spans="129:129" x14ac:dyDescent="0.2">
      <c r="DY10748" s="185" t="s">
        <v>215</v>
      </c>
    </row>
    <row r="10749" spans="129:129" x14ac:dyDescent="0.2">
      <c r="DY10749" s="185" t="s">
        <v>215</v>
      </c>
    </row>
    <row r="10750" spans="129:129" x14ac:dyDescent="0.2">
      <c r="DY10750" s="185" t="s">
        <v>215</v>
      </c>
    </row>
    <row r="10751" spans="129:129" x14ac:dyDescent="0.2">
      <c r="DY10751" s="185" t="s">
        <v>215</v>
      </c>
    </row>
    <row r="10752" spans="129:129" x14ac:dyDescent="0.2">
      <c r="DY10752" s="185" t="s">
        <v>215</v>
      </c>
    </row>
    <row r="10753" spans="129:129" x14ac:dyDescent="0.2">
      <c r="DY10753" s="185" t="s">
        <v>215</v>
      </c>
    </row>
    <row r="10754" spans="129:129" x14ac:dyDescent="0.2">
      <c r="DY10754" s="185" t="s">
        <v>215</v>
      </c>
    </row>
    <row r="10755" spans="129:129" x14ac:dyDescent="0.2">
      <c r="DY10755" s="185" t="s">
        <v>215</v>
      </c>
    </row>
    <row r="10756" spans="129:129" x14ac:dyDescent="0.2">
      <c r="DY10756" s="185" t="s">
        <v>215</v>
      </c>
    </row>
    <row r="10757" spans="129:129" x14ac:dyDescent="0.2">
      <c r="DY10757" s="185" t="s">
        <v>215</v>
      </c>
    </row>
    <row r="10758" spans="129:129" x14ac:dyDescent="0.2">
      <c r="DY10758" s="185" t="s">
        <v>215</v>
      </c>
    </row>
    <row r="10759" spans="129:129" x14ac:dyDescent="0.2">
      <c r="DY10759" s="185" t="s">
        <v>215</v>
      </c>
    </row>
    <row r="10760" spans="129:129" x14ac:dyDescent="0.2">
      <c r="DY10760" s="185" t="s">
        <v>215</v>
      </c>
    </row>
    <row r="10761" spans="129:129" x14ac:dyDescent="0.2">
      <c r="DY10761" s="185" t="s">
        <v>215</v>
      </c>
    </row>
    <row r="10762" spans="129:129" x14ac:dyDescent="0.2">
      <c r="DY10762" s="185" t="s">
        <v>215</v>
      </c>
    </row>
    <row r="10763" spans="129:129" x14ac:dyDescent="0.2">
      <c r="DY10763" s="185" t="s">
        <v>215</v>
      </c>
    </row>
    <row r="10764" spans="129:129" x14ac:dyDescent="0.2">
      <c r="DY10764" s="185" t="s">
        <v>215</v>
      </c>
    </row>
    <row r="10765" spans="129:129" x14ac:dyDescent="0.2">
      <c r="DY10765" s="185" t="s">
        <v>215</v>
      </c>
    </row>
    <row r="10766" spans="129:129" x14ac:dyDescent="0.2">
      <c r="DY10766" s="185" t="s">
        <v>215</v>
      </c>
    </row>
    <row r="10767" spans="129:129" x14ac:dyDescent="0.2">
      <c r="DY10767" s="185" t="s">
        <v>215</v>
      </c>
    </row>
    <row r="10768" spans="129:129" x14ac:dyDescent="0.2">
      <c r="DY10768" s="185" t="s">
        <v>215</v>
      </c>
    </row>
    <row r="10769" spans="129:129" x14ac:dyDescent="0.2">
      <c r="DY10769" s="185" t="s">
        <v>215</v>
      </c>
    </row>
    <row r="10770" spans="129:129" x14ac:dyDescent="0.2">
      <c r="DY10770" s="185" t="s">
        <v>215</v>
      </c>
    </row>
    <row r="10771" spans="129:129" x14ac:dyDescent="0.2">
      <c r="DY10771" s="185" t="s">
        <v>215</v>
      </c>
    </row>
    <row r="10772" spans="129:129" x14ac:dyDescent="0.2">
      <c r="DY10772" s="185" t="s">
        <v>215</v>
      </c>
    </row>
    <row r="10773" spans="129:129" x14ac:dyDescent="0.2">
      <c r="DY10773" s="185" t="s">
        <v>215</v>
      </c>
    </row>
    <row r="10774" spans="129:129" x14ac:dyDescent="0.2">
      <c r="DY10774" s="185" t="s">
        <v>215</v>
      </c>
    </row>
    <row r="10775" spans="129:129" x14ac:dyDescent="0.2">
      <c r="DY10775" s="185" t="s">
        <v>215</v>
      </c>
    </row>
    <row r="10776" spans="129:129" x14ac:dyDescent="0.2">
      <c r="DY10776" s="185" t="s">
        <v>215</v>
      </c>
    </row>
    <row r="10777" spans="129:129" x14ac:dyDescent="0.2">
      <c r="DY10777" s="185" t="s">
        <v>215</v>
      </c>
    </row>
    <row r="10778" spans="129:129" x14ac:dyDescent="0.2">
      <c r="DY10778" s="185" t="s">
        <v>215</v>
      </c>
    </row>
    <row r="10779" spans="129:129" x14ac:dyDescent="0.2">
      <c r="DY10779" s="185" t="s">
        <v>215</v>
      </c>
    </row>
    <row r="10780" spans="129:129" x14ac:dyDescent="0.2">
      <c r="DY10780" s="185" t="s">
        <v>215</v>
      </c>
    </row>
    <row r="10781" spans="129:129" x14ac:dyDescent="0.2">
      <c r="DY10781" s="185" t="s">
        <v>215</v>
      </c>
    </row>
    <row r="10782" spans="129:129" x14ac:dyDescent="0.2">
      <c r="DY10782" s="185" t="s">
        <v>215</v>
      </c>
    </row>
    <row r="10783" spans="129:129" x14ac:dyDescent="0.2">
      <c r="DY10783" s="185" t="s">
        <v>215</v>
      </c>
    </row>
    <row r="10784" spans="129:129" x14ac:dyDescent="0.2">
      <c r="DY10784" s="185" t="s">
        <v>215</v>
      </c>
    </row>
    <row r="10785" spans="129:129" x14ac:dyDescent="0.2">
      <c r="DY10785" s="185" t="s">
        <v>215</v>
      </c>
    </row>
    <row r="10786" spans="129:129" x14ac:dyDescent="0.2">
      <c r="DY10786" s="185" t="s">
        <v>215</v>
      </c>
    </row>
    <row r="10787" spans="129:129" x14ac:dyDescent="0.2">
      <c r="DY10787" s="185" t="s">
        <v>215</v>
      </c>
    </row>
    <row r="10788" spans="129:129" x14ac:dyDescent="0.2">
      <c r="DY10788" s="185" t="s">
        <v>215</v>
      </c>
    </row>
    <row r="10789" spans="129:129" x14ac:dyDescent="0.2">
      <c r="DY10789" s="185" t="s">
        <v>215</v>
      </c>
    </row>
    <row r="10790" spans="129:129" x14ac:dyDescent="0.2">
      <c r="DY10790" s="185" t="s">
        <v>215</v>
      </c>
    </row>
    <row r="10791" spans="129:129" x14ac:dyDescent="0.2">
      <c r="DY10791" s="185" t="s">
        <v>215</v>
      </c>
    </row>
    <row r="10792" spans="129:129" x14ac:dyDescent="0.2">
      <c r="DY10792" s="185" t="s">
        <v>215</v>
      </c>
    </row>
    <row r="10793" spans="129:129" x14ac:dyDescent="0.2">
      <c r="DY10793" s="185" t="s">
        <v>215</v>
      </c>
    </row>
    <row r="10794" spans="129:129" x14ac:dyDescent="0.2">
      <c r="DY10794" s="185" t="s">
        <v>215</v>
      </c>
    </row>
    <row r="10795" spans="129:129" x14ac:dyDescent="0.2">
      <c r="DY10795" s="185" t="s">
        <v>215</v>
      </c>
    </row>
    <row r="10796" spans="129:129" x14ac:dyDescent="0.2">
      <c r="DY10796" s="185" t="s">
        <v>215</v>
      </c>
    </row>
    <row r="10797" spans="129:129" x14ac:dyDescent="0.2">
      <c r="DY10797" s="185" t="s">
        <v>215</v>
      </c>
    </row>
    <row r="10798" spans="129:129" x14ac:dyDescent="0.2">
      <c r="DY10798" s="185" t="s">
        <v>215</v>
      </c>
    </row>
    <row r="10799" spans="129:129" x14ac:dyDescent="0.2">
      <c r="DY10799" s="185" t="s">
        <v>215</v>
      </c>
    </row>
    <row r="10800" spans="129:129" x14ac:dyDescent="0.2">
      <c r="DY10800" s="185" t="s">
        <v>215</v>
      </c>
    </row>
    <row r="10801" spans="129:129" x14ac:dyDescent="0.2">
      <c r="DY10801" s="185" t="s">
        <v>215</v>
      </c>
    </row>
    <row r="10802" spans="129:129" x14ac:dyDescent="0.2">
      <c r="DY10802" s="185" t="s">
        <v>215</v>
      </c>
    </row>
    <row r="10803" spans="129:129" x14ac:dyDescent="0.2">
      <c r="DY10803" s="185" t="s">
        <v>215</v>
      </c>
    </row>
    <row r="10804" spans="129:129" x14ac:dyDescent="0.2">
      <c r="DY10804" s="185" t="s">
        <v>215</v>
      </c>
    </row>
    <row r="10805" spans="129:129" x14ac:dyDescent="0.2">
      <c r="DY10805" s="185" t="s">
        <v>215</v>
      </c>
    </row>
    <row r="10806" spans="129:129" x14ac:dyDescent="0.2">
      <c r="DY10806" s="185" t="s">
        <v>215</v>
      </c>
    </row>
    <row r="10807" spans="129:129" x14ac:dyDescent="0.2">
      <c r="DY10807" s="185" t="s">
        <v>215</v>
      </c>
    </row>
    <row r="10808" spans="129:129" x14ac:dyDescent="0.2">
      <c r="DY10808" s="185" t="s">
        <v>215</v>
      </c>
    </row>
    <row r="10809" spans="129:129" x14ac:dyDescent="0.2">
      <c r="DY10809" s="185" t="s">
        <v>215</v>
      </c>
    </row>
    <row r="10810" spans="129:129" x14ac:dyDescent="0.2">
      <c r="DY10810" s="185" t="s">
        <v>215</v>
      </c>
    </row>
    <row r="10811" spans="129:129" x14ac:dyDescent="0.2">
      <c r="DY10811" s="185" t="s">
        <v>215</v>
      </c>
    </row>
    <row r="10812" spans="129:129" x14ac:dyDescent="0.2">
      <c r="DY10812" s="185" t="s">
        <v>215</v>
      </c>
    </row>
    <row r="10813" spans="129:129" x14ac:dyDescent="0.2">
      <c r="DY10813" s="185" t="s">
        <v>215</v>
      </c>
    </row>
    <row r="10814" spans="129:129" x14ac:dyDescent="0.2">
      <c r="DY10814" s="185" t="s">
        <v>215</v>
      </c>
    </row>
    <row r="10815" spans="129:129" x14ac:dyDescent="0.2">
      <c r="DY10815" s="185" t="s">
        <v>215</v>
      </c>
    </row>
    <row r="10816" spans="129:129" x14ac:dyDescent="0.2">
      <c r="DY10816" s="185" t="s">
        <v>215</v>
      </c>
    </row>
    <row r="10817" spans="129:129" x14ac:dyDescent="0.2">
      <c r="DY10817" s="185" t="s">
        <v>215</v>
      </c>
    </row>
    <row r="10818" spans="129:129" x14ac:dyDescent="0.2">
      <c r="DY10818" s="185" t="s">
        <v>215</v>
      </c>
    </row>
    <row r="10819" spans="129:129" x14ac:dyDescent="0.2">
      <c r="DY10819" s="185" t="s">
        <v>215</v>
      </c>
    </row>
    <row r="10820" spans="129:129" x14ac:dyDescent="0.2">
      <c r="DY10820" s="185" t="s">
        <v>215</v>
      </c>
    </row>
    <row r="10821" spans="129:129" x14ac:dyDescent="0.2">
      <c r="DY10821" s="185" t="s">
        <v>215</v>
      </c>
    </row>
    <row r="10822" spans="129:129" x14ac:dyDescent="0.2">
      <c r="DY10822" s="185" t="s">
        <v>215</v>
      </c>
    </row>
    <row r="10823" spans="129:129" x14ac:dyDescent="0.2">
      <c r="DY10823" s="185" t="s">
        <v>215</v>
      </c>
    </row>
    <row r="10824" spans="129:129" x14ac:dyDescent="0.2">
      <c r="DY10824" s="185" t="s">
        <v>215</v>
      </c>
    </row>
    <row r="10825" spans="129:129" x14ac:dyDescent="0.2">
      <c r="DY10825" s="185" t="s">
        <v>215</v>
      </c>
    </row>
    <row r="10826" spans="129:129" x14ac:dyDescent="0.2">
      <c r="DY10826" s="185" t="s">
        <v>215</v>
      </c>
    </row>
    <row r="10827" spans="129:129" x14ac:dyDescent="0.2">
      <c r="DY10827" s="185" t="s">
        <v>215</v>
      </c>
    </row>
    <row r="10828" spans="129:129" x14ac:dyDescent="0.2">
      <c r="DY10828" s="185" t="s">
        <v>215</v>
      </c>
    </row>
    <row r="10829" spans="129:129" x14ac:dyDescent="0.2">
      <c r="DY10829" s="185" t="s">
        <v>215</v>
      </c>
    </row>
    <row r="10830" spans="129:129" x14ac:dyDescent="0.2">
      <c r="DY10830" s="185" t="s">
        <v>215</v>
      </c>
    </row>
    <row r="10831" spans="129:129" x14ac:dyDescent="0.2">
      <c r="DY10831" s="185" t="s">
        <v>215</v>
      </c>
    </row>
    <row r="10832" spans="129:129" x14ac:dyDescent="0.2">
      <c r="DY10832" s="185" t="s">
        <v>215</v>
      </c>
    </row>
    <row r="10833" spans="129:129" x14ac:dyDescent="0.2">
      <c r="DY10833" s="185" t="s">
        <v>215</v>
      </c>
    </row>
    <row r="10834" spans="129:129" x14ac:dyDescent="0.2">
      <c r="DY10834" s="185" t="s">
        <v>215</v>
      </c>
    </row>
    <row r="10835" spans="129:129" x14ac:dyDescent="0.2">
      <c r="DY10835" s="185" t="s">
        <v>215</v>
      </c>
    </row>
    <row r="10836" spans="129:129" x14ac:dyDescent="0.2">
      <c r="DY10836" s="185" t="s">
        <v>215</v>
      </c>
    </row>
    <row r="10837" spans="129:129" x14ac:dyDescent="0.2">
      <c r="DY10837" s="185" t="s">
        <v>215</v>
      </c>
    </row>
    <row r="10838" spans="129:129" x14ac:dyDescent="0.2">
      <c r="DY10838" s="185" t="s">
        <v>215</v>
      </c>
    </row>
    <row r="10839" spans="129:129" x14ac:dyDescent="0.2">
      <c r="DY10839" s="185" t="s">
        <v>215</v>
      </c>
    </row>
    <row r="10840" spans="129:129" x14ac:dyDescent="0.2">
      <c r="DY10840" s="185" t="s">
        <v>215</v>
      </c>
    </row>
    <row r="10841" spans="129:129" x14ac:dyDescent="0.2">
      <c r="DY10841" s="185" t="s">
        <v>215</v>
      </c>
    </row>
    <row r="10842" spans="129:129" x14ac:dyDescent="0.2">
      <c r="DY10842" s="185" t="s">
        <v>215</v>
      </c>
    </row>
    <row r="10843" spans="129:129" x14ac:dyDescent="0.2">
      <c r="DY10843" s="185" t="s">
        <v>215</v>
      </c>
    </row>
    <row r="10844" spans="129:129" x14ac:dyDescent="0.2">
      <c r="DY10844" s="185" t="s">
        <v>215</v>
      </c>
    </row>
    <row r="10845" spans="129:129" x14ac:dyDescent="0.2">
      <c r="DY10845" s="185" t="s">
        <v>215</v>
      </c>
    </row>
    <row r="10846" spans="129:129" x14ac:dyDescent="0.2">
      <c r="DY10846" s="185" t="s">
        <v>215</v>
      </c>
    </row>
    <row r="10847" spans="129:129" x14ac:dyDescent="0.2">
      <c r="DY10847" s="185" t="s">
        <v>215</v>
      </c>
    </row>
    <row r="10848" spans="129:129" x14ac:dyDescent="0.2">
      <c r="DY10848" s="185" t="s">
        <v>215</v>
      </c>
    </row>
    <row r="10849" spans="129:129" x14ac:dyDescent="0.2">
      <c r="DY10849" s="185" t="s">
        <v>215</v>
      </c>
    </row>
    <row r="10850" spans="129:129" x14ac:dyDescent="0.2">
      <c r="DY10850" s="185" t="s">
        <v>215</v>
      </c>
    </row>
    <row r="10851" spans="129:129" x14ac:dyDescent="0.2">
      <c r="DY10851" s="185" t="s">
        <v>215</v>
      </c>
    </row>
    <row r="10852" spans="129:129" x14ac:dyDescent="0.2">
      <c r="DY10852" s="185" t="s">
        <v>215</v>
      </c>
    </row>
    <row r="10853" spans="129:129" x14ac:dyDescent="0.2">
      <c r="DY10853" s="185" t="s">
        <v>215</v>
      </c>
    </row>
    <row r="10854" spans="129:129" x14ac:dyDescent="0.2">
      <c r="DY10854" s="185" t="s">
        <v>215</v>
      </c>
    </row>
    <row r="10855" spans="129:129" x14ac:dyDescent="0.2">
      <c r="DY10855" s="185" t="s">
        <v>215</v>
      </c>
    </row>
    <row r="10856" spans="129:129" x14ac:dyDescent="0.2">
      <c r="DY10856" s="185" t="s">
        <v>215</v>
      </c>
    </row>
    <row r="10857" spans="129:129" x14ac:dyDescent="0.2">
      <c r="DY10857" s="185" t="s">
        <v>215</v>
      </c>
    </row>
    <row r="10858" spans="129:129" x14ac:dyDescent="0.2">
      <c r="DY10858" s="185" t="s">
        <v>215</v>
      </c>
    </row>
    <row r="10859" spans="129:129" x14ac:dyDescent="0.2">
      <c r="DY10859" s="185" t="s">
        <v>215</v>
      </c>
    </row>
    <row r="10860" spans="129:129" x14ac:dyDescent="0.2">
      <c r="DY10860" s="185" t="s">
        <v>215</v>
      </c>
    </row>
    <row r="10861" spans="129:129" x14ac:dyDescent="0.2">
      <c r="DY10861" s="185" t="s">
        <v>215</v>
      </c>
    </row>
    <row r="10862" spans="129:129" x14ac:dyDescent="0.2">
      <c r="DY10862" s="185" t="s">
        <v>215</v>
      </c>
    </row>
    <row r="10863" spans="129:129" x14ac:dyDescent="0.2">
      <c r="DY10863" s="185" t="s">
        <v>215</v>
      </c>
    </row>
    <row r="10864" spans="129:129" x14ac:dyDescent="0.2">
      <c r="DY10864" s="185" t="s">
        <v>215</v>
      </c>
    </row>
    <row r="10865" spans="129:129" x14ac:dyDescent="0.2">
      <c r="DY10865" s="185" t="s">
        <v>215</v>
      </c>
    </row>
    <row r="10866" spans="129:129" x14ac:dyDescent="0.2">
      <c r="DY10866" s="185" t="s">
        <v>215</v>
      </c>
    </row>
    <row r="10867" spans="129:129" x14ac:dyDescent="0.2">
      <c r="DY10867" s="185" t="s">
        <v>215</v>
      </c>
    </row>
    <row r="10868" spans="129:129" x14ac:dyDescent="0.2">
      <c r="DY10868" s="185" t="s">
        <v>215</v>
      </c>
    </row>
    <row r="10869" spans="129:129" x14ac:dyDescent="0.2">
      <c r="DY10869" s="185" t="s">
        <v>215</v>
      </c>
    </row>
    <row r="10870" spans="129:129" x14ac:dyDescent="0.2">
      <c r="DY10870" s="185" t="s">
        <v>215</v>
      </c>
    </row>
    <row r="10871" spans="129:129" x14ac:dyDescent="0.2">
      <c r="DY10871" s="185" t="s">
        <v>215</v>
      </c>
    </row>
    <row r="10872" spans="129:129" x14ac:dyDescent="0.2">
      <c r="DY10872" s="185" t="s">
        <v>215</v>
      </c>
    </row>
    <row r="10873" spans="129:129" x14ac:dyDescent="0.2">
      <c r="DY10873" s="185" t="s">
        <v>215</v>
      </c>
    </row>
    <row r="10874" spans="129:129" x14ac:dyDescent="0.2">
      <c r="DY10874" s="185" t="s">
        <v>215</v>
      </c>
    </row>
    <row r="10875" spans="129:129" x14ac:dyDescent="0.2">
      <c r="DY10875" s="185" t="s">
        <v>215</v>
      </c>
    </row>
    <row r="10876" spans="129:129" x14ac:dyDescent="0.2">
      <c r="DY10876" s="185" t="s">
        <v>215</v>
      </c>
    </row>
    <row r="10877" spans="129:129" x14ac:dyDescent="0.2">
      <c r="DY10877" s="185" t="s">
        <v>215</v>
      </c>
    </row>
    <row r="10878" spans="129:129" x14ac:dyDescent="0.2">
      <c r="DY10878" s="185" t="s">
        <v>215</v>
      </c>
    </row>
    <row r="10879" spans="129:129" x14ac:dyDescent="0.2">
      <c r="DY10879" s="185" t="s">
        <v>215</v>
      </c>
    </row>
    <row r="10880" spans="129:129" x14ac:dyDescent="0.2">
      <c r="DY10880" s="185" t="s">
        <v>215</v>
      </c>
    </row>
    <row r="10881" spans="129:129" x14ac:dyDescent="0.2">
      <c r="DY10881" s="185" t="s">
        <v>215</v>
      </c>
    </row>
    <row r="10882" spans="129:129" x14ac:dyDescent="0.2">
      <c r="DY10882" s="185" t="s">
        <v>215</v>
      </c>
    </row>
    <row r="10883" spans="129:129" x14ac:dyDescent="0.2">
      <c r="DY10883" s="185" t="s">
        <v>215</v>
      </c>
    </row>
    <row r="10884" spans="129:129" x14ac:dyDescent="0.2">
      <c r="DY10884" s="185" t="s">
        <v>215</v>
      </c>
    </row>
    <row r="10885" spans="129:129" x14ac:dyDescent="0.2">
      <c r="DY10885" s="185" t="s">
        <v>215</v>
      </c>
    </row>
    <row r="10886" spans="129:129" x14ac:dyDescent="0.2">
      <c r="DY10886" s="185" t="s">
        <v>215</v>
      </c>
    </row>
    <row r="10887" spans="129:129" x14ac:dyDescent="0.2">
      <c r="DY10887" s="185" t="s">
        <v>215</v>
      </c>
    </row>
    <row r="10888" spans="129:129" x14ac:dyDescent="0.2">
      <c r="DY10888" s="185" t="s">
        <v>215</v>
      </c>
    </row>
    <row r="10889" spans="129:129" x14ac:dyDescent="0.2">
      <c r="DY10889" s="185" t="s">
        <v>215</v>
      </c>
    </row>
    <row r="10890" spans="129:129" x14ac:dyDescent="0.2">
      <c r="DY10890" s="185" t="s">
        <v>215</v>
      </c>
    </row>
    <row r="10891" spans="129:129" x14ac:dyDescent="0.2">
      <c r="DY10891" s="185" t="s">
        <v>215</v>
      </c>
    </row>
    <row r="10892" spans="129:129" x14ac:dyDescent="0.2">
      <c r="DY10892" s="185" t="s">
        <v>215</v>
      </c>
    </row>
    <row r="10893" spans="129:129" x14ac:dyDescent="0.2">
      <c r="DY10893" s="185" t="s">
        <v>215</v>
      </c>
    </row>
    <row r="10894" spans="129:129" x14ac:dyDescent="0.2">
      <c r="DY10894" s="185" t="s">
        <v>215</v>
      </c>
    </row>
    <row r="10895" spans="129:129" x14ac:dyDescent="0.2">
      <c r="DY10895" s="185" t="s">
        <v>215</v>
      </c>
    </row>
    <row r="10896" spans="129:129" x14ac:dyDescent="0.2">
      <c r="DY10896" s="185" t="s">
        <v>215</v>
      </c>
    </row>
    <row r="10897" spans="129:129" x14ac:dyDescent="0.2">
      <c r="DY10897" s="185" t="s">
        <v>215</v>
      </c>
    </row>
    <row r="10898" spans="129:129" x14ac:dyDescent="0.2">
      <c r="DY10898" s="185" t="s">
        <v>215</v>
      </c>
    </row>
    <row r="10899" spans="129:129" x14ac:dyDescent="0.2">
      <c r="DY10899" s="185" t="s">
        <v>215</v>
      </c>
    </row>
    <row r="10900" spans="129:129" x14ac:dyDescent="0.2">
      <c r="DY10900" s="185" t="s">
        <v>215</v>
      </c>
    </row>
    <row r="10901" spans="129:129" x14ac:dyDescent="0.2">
      <c r="DY10901" s="185" t="s">
        <v>215</v>
      </c>
    </row>
    <row r="10902" spans="129:129" x14ac:dyDescent="0.2">
      <c r="DY10902" s="185" t="s">
        <v>215</v>
      </c>
    </row>
    <row r="10903" spans="129:129" x14ac:dyDescent="0.2">
      <c r="DY10903" s="185" t="s">
        <v>215</v>
      </c>
    </row>
    <row r="10904" spans="129:129" x14ac:dyDescent="0.2">
      <c r="DY10904" s="185" t="s">
        <v>215</v>
      </c>
    </row>
    <row r="10905" spans="129:129" x14ac:dyDescent="0.2">
      <c r="DY10905" s="185" t="s">
        <v>215</v>
      </c>
    </row>
    <row r="10906" spans="129:129" x14ac:dyDescent="0.2">
      <c r="DY10906" s="185" t="s">
        <v>215</v>
      </c>
    </row>
    <row r="10907" spans="129:129" x14ac:dyDescent="0.2">
      <c r="DY10907" s="185" t="s">
        <v>215</v>
      </c>
    </row>
    <row r="10908" spans="129:129" x14ac:dyDescent="0.2">
      <c r="DY10908" s="185" t="s">
        <v>215</v>
      </c>
    </row>
    <row r="10909" spans="129:129" x14ac:dyDescent="0.2">
      <c r="DY10909" s="185" t="s">
        <v>215</v>
      </c>
    </row>
    <row r="10910" spans="129:129" x14ac:dyDescent="0.2">
      <c r="DY10910" s="185" t="s">
        <v>215</v>
      </c>
    </row>
    <row r="10911" spans="129:129" x14ac:dyDescent="0.2">
      <c r="DY10911" s="185" t="s">
        <v>215</v>
      </c>
    </row>
    <row r="10912" spans="129:129" x14ac:dyDescent="0.2">
      <c r="DY10912" s="185" t="s">
        <v>215</v>
      </c>
    </row>
    <row r="10913" spans="129:129" x14ac:dyDescent="0.2">
      <c r="DY10913" s="185" t="s">
        <v>215</v>
      </c>
    </row>
    <row r="10914" spans="129:129" x14ac:dyDescent="0.2">
      <c r="DY10914" s="185" t="s">
        <v>215</v>
      </c>
    </row>
    <row r="10915" spans="129:129" x14ac:dyDescent="0.2">
      <c r="DY10915" s="185" t="s">
        <v>215</v>
      </c>
    </row>
    <row r="10916" spans="129:129" x14ac:dyDescent="0.2">
      <c r="DY10916" s="185" t="s">
        <v>215</v>
      </c>
    </row>
    <row r="10917" spans="129:129" x14ac:dyDescent="0.2">
      <c r="DY10917" s="185" t="s">
        <v>215</v>
      </c>
    </row>
    <row r="10918" spans="129:129" x14ac:dyDescent="0.2">
      <c r="DY10918" s="185" t="s">
        <v>215</v>
      </c>
    </row>
    <row r="10919" spans="129:129" x14ac:dyDescent="0.2">
      <c r="DY10919" s="185" t="s">
        <v>215</v>
      </c>
    </row>
    <row r="10920" spans="129:129" x14ac:dyDescent="0.2">
      <c r="DY10920" s="185" t="s">
        <v>215</v>
      </c>
    </row>
    <row r="10921" spans="129:129" x14ac:dyDescent="0.2">
      <c r="DY10921" s="185" t="s">
        <v>215</v>
      </c>
    </row>
    <row r="10922" spans="129:129" x14ac:dyDescent="0.2">
      <c r="DY10922" s="185" t="s">
        <v>215</v>
      </c>
    </row>
    <row r="10923" spans="129:129" x14ac:dyDescent="0.2">
      <c r="DY10923" s="185" t="s">
        <v>215</v>
      </c>
    </row>
    <row r="10924" spans="129:129" x14ac:dyDescent="0.2">
      <c r="DY10924" s="185" t="s">
        <v>215</v>
      </c>
    </row>
    <row r="10925" spans="129:129" x14ac:dyDescent="0.2">
      <c r="DY10925" s="185" t="s">
        <v>215</v>
      </c>
    </row>
    <row r="10926" spans="129:129" x14ac:dyDescent="0.2">
      <c r="DY10926" s="185" t="s">
        <v>215</v>
      </c>
    </row>
    <row r="10927" spans="129:129" x14ac:dyDescent="0.2">
      <c r="DY10927" s="185" t="s">
        <v>215</v>
      </c>
    </row>
    <row r="10928" spans="129:129" x14ac:dyDescent="0.2">
      <c r="DY10928" s="185" t="s">
        <v>215</v>
      </c>
    </row>
    <row r="10929" spans="129:129" x14ac:dyDescent="0.2">
      <c r="DY10929" s="185" t="s">
        <v>215</v>
      </c>
    </row>
    <row r="10930" spans="129:129" x14ac:dyDescent="0.2">
      <c r="DY10930" s="185" t="s">
        <v>215</v>
      </c>
    </row>
    <row r="10931" spans="129:129" x14ac:dyDescent="0.2">
      <c r="DY10931" s="185" t="s">
        <v>215</v>
      </c>
    </row>
    <row r="10932" spans="129:129" x14ac:dyDescent="0.2">
      <c r="DY10932" s="185" t="s">
        <v>215</v>
      </c>
    </row>
    <row r="10933" spans="129:129" x14ac:dyDescent="0.2">
      <c r="DY10933" s="185" t="s">
        <v>215</v>
      </c>
    </row>
    <row r="10934" spans="129:129" x14ac:dyDescent="0.2">
      <c r="DY10934" s="185" t="s">
        <v>215</v>
      </c>
    </row>
    <row r="10935" spans="129:129" x14ac:dyDescent="0.2">
      <c r="DY10935" s="185" t="s">
        <v>215</v>
      </c>
    </row>
    <row r="10936" spans="129:129" x14ac:dyDescent="0.2">
      <c r="DY10936" s="185" t="s">
        <v>215</v>
      </c>
    </row>
    <row r="10937" spans="129:129" x14ac:dyDescent="0.2">
      <c r="DY10937" s="185" t="s">
        <v>215</v>
      </c>
    </row>
    <row r="10938" spans="129:129" x14ac:dyDescent="0.2">
      <c r="DY10938" s="185" t="s">
        <v>215</v>
      </c>
    </row>
    <row r="10939" spans="129:129" x14ac:dyDescent="0.2">
      <c r="DY10939" s="185" t="s">
        <v>215</v>
      </c>
    </row>
    <row r="10940" spans="129:129" x14ac:dyDescent="0.2">
      <c r="DY10940" s="185" t="s">
        <v>215</v>
      </c>
    </row>
    <row r="10941" spans="129:129" x14ac:dyDescent="0.2">
      <c r="DY10941" s="185" t="s">
        <v>215</v>
      </c>
    </row>
    <row r="10942" spans="129:129" x14ac:dyDescent="0.2">
      <c r="DY10942" s="185" t="s">
        <v>215</v>
      </c>
    </row>
    <row r="10943" spans="129:129" x14ac:dyDescent="0.2">
      <c r="DY10943" s="185" t="s">
        <v>215</v>
      </c>
    </row>
    <row r="10944" spans="129:129" x14ac:dyDescent="0.2">
      <c r="DY10944" s="185" t="s">
        <v>215</v>
      </c>
    </row>
    <row r="10945" spans="129:129" x14ac:dyDescent="0.2">
      <c r="DY10945" s="185" t="s">
        <v>215</v>
      </c>
    </row>
    <row r="10946" spans="129:129" x14ac:dyDescent="0.2">
      <c r="DY10946" s="185" t="s">
        <v>215</v>
      </c>
    </row>
    <row r="10947" spans="129:129" x14ac:dyDescent="0.2">
      <c r="DY10947" s="185" t="s">
        <v>215</v>
      </c>
    </row>
    <row r="10948" spans="129:129" x14ac:dyDescent="0.2">
      <c r="DY10948" s="185" t="s">
        <v>215</v>
      </c>
    </row>
    <row r="10949" spans="129:129" x14ac:dyDescent="0.2">
      <c r="DY10949" s="185" t="s">
        <v>215</v>
      </c>
    </row>
    <row r="10950" spans="129:129" x14ac:dyDescent="0.2">
      <c r="DY10950" s="185" t="s">
        <v>215</v>
      </c>
    </row>
    <row r="10951" spans="129:129" x14ac:dyDescent="0.2">
      <c r="DY10951" s="185" t="s">
        <v>215</v>
      </c>
    </row>
    <row r="10952" spans="129:129" x14ac:dyDescent="0.2">
      <c r="DY10952" s="185" t="s">
        <v>215</v>
      </c>
    </row>
    <row r="10953" spans="129:129" x14ac:dyDescent="0.2">
      <c r="DY10953" s="185" t="s">
        <v>215</v>
      </c>
    </row>
    <row r="10954" spans="129:129" x14ac:dyDescent="0.2">
      <c r="DY10954" s="185" t="s">
        <v>215</v>
      </c>
    </row>
    <row r="10955" spans="129:129" x14ac:dyDescent="0.2">
      <c r="DY10955" s="185" t="s">
        <v>215</v>
      </c>
    </row>
    <row r="10956" spans="129:129" x14ac:dyDescent="0.2">
      <c r="DY10956" s="185" t="s">
        <v>215</v>
      </c>
    </row>
    <row r="10957" spans="129:129" x14ac:dyDescent="0.2">
      <c r="DY10957" s="185" t="s">
        <v>215</v>
      </c>
    </row>
    <row r="10958" spans="129:129" x14ac:dyDescent="0.2">
      <c r="DY10958" s="185" t="s">
        <v>215</v>
      </c>
    </row>
    <row r="10959" spans="129:129" x14ac:dyDescent="0.2">
      <c r="DY10959" s="185" t="s">
        <v>215</v>
      </c>
    </row>
    <row r="10960" spans="129:129" x14ac:dyDescent="0.2">
      <c r="DY10960" s="185" t="s">
        <v>215</v>
      </c>
    </row>
    <row r="10961" spans="129:129" x14ac:dyDescent="0.2">
      <c r="DY10961" s="185" t="s">
        <v>215</v>
      </c>
    </row>
    <row r="10962" spans="129:129" x14ac:dyDescent="0.2">
      <c r="DY10962" s="185" t="s">
        <v>215</v>
      </c>
    </row>
    <row r="10963" spans="129:129" x14ac:dyDescent="0.2">
      <c r="DY10963" s="185" t="s">
        <v>215</v>
      </c>
    </row>
    <row r="10964" spans="129:129" x14ac:dyDescent="0.2">
      <c r="DY10964" s="185" t="s">
        <v>215</v>
      </c>
    </row>
    <row r="10965" spans="129:129" x14ac:dyDescent="0.2">
      <c r="DY10965" s="185" t="s">
        <v>215</v>
      </c>
    </row>
    <row r="10966" spans="129:129" x14ac:dyDescent="0.2">
      <c r="DY10966" s="185" t="s">
        <v>215</v>
      </c>
    </row>
    <row r="10967" spans="129:129" x14ac:dyDescent="0.2">
      <c r="DY10967" s="185" t="s">
        <v>215</v>
      </c>
    </row>
    <row r="10968" spans="129:129" x14ac:dyDescent="0.2">
      <c r="DY10968" s="185" t="s">
        <v>215</v>
      </c>
    </row>
    <row r="10969" spans="129:129" x14ac:dyDescent="0.2">
      <c r="DY10969" s="185" t="s">
        <v>215</v>
      </c>
    </row>
    <row r="10970" spans="129:129" x14ac:dyDescent="0.2">
      <c r="DY10970" s="185" t="s">
        <v>215</v>
      </c>
    </row>
    <row r="10971" spans="129:129" x14ac:dyDescent="0.2">
      <c r="DY10971" s="185" t="s">
        <v>215</v>
      </c>
    </row>
    <row r="10972" spans="129:129" x14ac:dyDescent="0.2">
      <c r="DY10972" s="185" t="s">
        <v>215</v>
      </c>
    </row>
    <row r="10973" spans="129:129" x14ac:dyDescent="0.2">
      <c r="DY10973" s="185" t="s">
        <v>215</v>
      </c>
    </row>
    <row r="10974" spans="129:129" x14ac:dyDescent="0.2">
      <c r="DY10974" s="185" t="s">
        <v>215</v>
      </c>
    </row>
    <row r="10975" spans="129:129" x14ac:dyDescent="0.2">
      <c r="DY10975" s="185" t="s">
        <v>215</v>
      </c>
    </row>
    <row r="10976" spans="129:129" x14ac:dyDescent="0.2">
      <c r="DY10976" s="185" t="s">
        <v>215</v>
      </c>
    </row>
    <row r="10977" spans="129:129" x14ac:dyDescent="0.2">
      <c r="DY10977" s="185" t="s">
        <v>215</v>
      </c>
    </row>
    <row r="10978" spans="129:129" x14ac:dyDescent="0.2">
      <c r="DY10978" s="185" t="s">
        <v>215</v>
      </c>
    </row>
    <row r="10979" spans="129:129" x14ac:dyDescent="0.2">
      <c r="DY10979" s="185" t="s">
        <v>215</v>
      </c>
    </row>
    <row r="10980" spans="129:129" x14ac:dyDescent="0.2">
      <c r="DY10980" s="185" t="s">
        <v>215</v>
      </c>
    </row>
    <row r="10981" spans="129:129" x14ac:dyDescent="0.2">
      <c r="DY10981" s="185" t="s">
        <v>215</v>
      </c>
    </row>
    <row r="10982" spans="129:129" x14ac:dyDescent="0.2">
      <c r="DY10982" s="185" t="s">
        <v>215</v>
      </c>
    </row>
    <row r="10983" spans="129:129" x14ac:dyDescent="0.2">
      <c r="DY10983" s="185" t="s">
        <v>215</v>
      </c>
    </row>
    <row r="10984" spans="129:129" x14ac:dyDescent="0.2">
      <c r="DY10984" s="185" t="s">
        <v>215</v>
      </c>
    </row>
    <row r="10985" spans="129:129" x14ac:dyDescent="0.2">
      <c r="DY10985" s="185" t="s">
        <v>215</v>
      </c>
    </row>
    <row r="10986" spans="129:129" x14ac:dyDescent="0.2">
      <c r="DY10986" s="185" t="s">
        <v>215</v>
      </c>
    </row>
    <row r="10987" spans="129:129" x14ac:dyDescent="0.2">
      <c r="DY10987" s="185" t="s">
        <v>215</v>
      </c>
    </row>
    <row r="10988" spans="129:129" x14ac:dyDescent="0.2">
      <c r="DY10988" s="185" t="s">
        <v>215</v>
      </c>
    </row>
    <row r="10989" spans="129:129" x14ac:dyDescent="0.2">
      <c r="DY10989" s="185" t="s">
        <v>215</v>
      </c>
    </row>
    <row r="10990" spans="129:129" x14ac:dyDescent="0.2">
      <c r="DY10990" s="185" t="s">
        <v>215</v>
      </c>
    </row>
    <row r="10991" spans="129:129" x14ac:dyDescent="0.2">
      <c r="DY10991" s="185" t="s">
        <v>215</v>
      </c>
    </row>
    <row r="10992" spans="129:129" x14ac:dyDescent="0.2">
      <c r="DY10992" s="185" t="s">
        <v>215</v>
      </c>
    </row>
    <row r="10993" spans="129:129" x14ac:dyDescent="0.2">
      <c r="DY10993" s="185" t="s">
        <v>215</v>
      </c>
    </row>
    <row r="10994" spans="129:129" x14ac:dyDescent="0.2">
      <c r="DY10994" s="185" t="s">
        <v>215</v>
      </c>
    </row>
    <row r="10995" spans="129:129" x14ac:dyDescent="0.2">
      <c r="DY10995" s="185" t="s">
        <v>215</v>
      </c>
    </row>
    <row r="10996" spans="129:129" x14ac:dyDescent="0.2">
      <c r="DY10996" s="185" t="s">
        <v>215</v>
      </c>
    </row>
    <row r="10997" spans="129:129" x14ac:dyDescent="0.2">
      <c r="DY10997" s="185" t="s">
        <v>215</v>
      </c>
    </row>
    <row r="10998" spans="129:129" x14ac:dyDescent="0.2">
      <c r="DY10998" s="185" t="s">
        <v>215</v>
      </c>
    </row>
    <row r="10999" spans="129:129" x14ac:dyDescent="0.2">
      <c r="DY10999" s="185" t="s">
        <v>215</v>
      </c>
    </row>
    <row r="11000" spans="129:129" x14ac:dyDescent="0.2">
      <c r="DY11000" s="185" t="s">
        <v>215</v>
      </c>
    </row>
    <row r="11001" spans="129:129" x14ac:dyDescent="0.2">
      <c r="DY11001" s="185" t="s">
        <v>215</v>
      </c>
    </row>
    <row r="11002" spans="129:129" x14ac:dyDescent="0.2">
      <c r="DY11002" s="185" t="s">
        <v>215</v>
      </c>
    </row>
    <row r="11003" spans="129:129" x14ac:dyDescent="0.2">
      <c r="DY11003" s="185" t="s">
        <v>215</v>
      </c>
    </row>
    <row r="11004" spans="129:129" x14ac:dyDescent="0.2">
      <c r="DY11004" s="185" t="s">
        <v>215</v>
      </c>
    </row>
    <row r="11005" spans="129:129" x14ac:dyDescent="0.2">
      <c r="DY11005" s="185" t="s">
        <v>215</v>
      </c>
    </row>
    <row r="11006" spans="129:129" x14ac:dyDescent="0.2">
      <c r="DY11006" s="185" t="s">
        <v>215</v>
      </c>
    </row>
    <row r="11007" spans="129:129" x14ac:dyDescent="0.2">
      <c r="DY11007" s="185" t="s">
        <v>215</v>
      </c>
    </row>
    <row r="11008" spans="129:129" x14ac:dyDescent="0.2">
      <c r="DY11008" s="185" t="s">
        <v>215</v>
      </c>
    </row>
    <row r="11009" spans="129:129" x14ac:dyDescent="0.2">
      <c r="DY11009" s="185" t="s">
        <v>215</v>
      </c>
    </row>
    <row r="11010" spans="129:129" x14ac:dyDescent="0.2">
      <c r="DY11010" s="185" t="s">
        <v>215</v>
      </c>
    </row>
    <row r="11011" spans="129:129" x14ac:dyDescent="0.2">
      <c r="DY11011" s="185" t="s">
        <v>215</v>
      </c>
    </row>
    <row r="11012" spans="129:129" x14ac:dyDescent="0.2">
      <c r="DY11012" s="185" t="s">
        <v>215</v>
      </c>
    </row>
    <row r="11013" spans="129:129" x14ac:dyDescent="0.2">
      <c r="DY11013" s="185" t="s">
        <v>215</v>
      </c>
    </row>
    <row r="11014" spans="129:129" x14ac:dyDescent="0.2">
      <c r="DY11014" s="185" t="s">
        <v>215</v>
      </c>
    </row>
    <row r="11015" spans="129:129" x14ac:dyDescent="0.2">
      <c r="DY11015" s="185" t="s">
        <v>215</v>
      </c>
    </row>
    <row r="11016" spans="129:129" x14ac:dyDescent="0.2">
      <c r="DY11016" s="185" t="s">
        <v>215</v>
      </c>
    </row>
    <row r="11017" spans="129:129" x14ac:dyDescent="0.2">
      <c r="DY11017" s="185" t="s">
        <v>215</v>
      </c>
    </row>
    <row r="11018" spans="129:129" x14ac:dyDescent="0.2">
      <c r="DY11018" s="185" t="s">
        <v>215</v>
      </c>
    </row>
    <row r="11019" spans="129:129" x14ac:dyDescent="0.2">
      <c r="DY11019" s="185" t="s">
        <v>215</v>
      </c>
    </row>
    <row r="11020" spans="129:129" x14ac:dyDescent="0.2">
      <c r="DY11020" s="185" t="s">
        <v>215</v>
      </c>
    </row>
    <row r="11021" spans="129:129" x14ac:dyDescent="0.2">
      <c r="DY11021" s="185" t="s">
        <v>215</v>
      </c>
    </row>
    <row r="11022" spans="129:129" x14ac:dyDescent="0.2">
      <c r="DY11022" s="185" t="s">
        <v>215</v>
      </c>
    </row>
    <row r="11023" spans="129:129" x14ac:dyDescent="0.2">
      <c r="DY11023" s="185" t="s">
        <v>215</v>
      </c>
    </row>
    <row r="11024" spans="129:129" x14ac:dyDescent="0.2">
      <c r="DY11024" s="185" t="s">
        <v>215</v>
      </c>
    </row>
    <row r="11025" spans="129:129" x14ac:dyDescent="0.2">
      <c r="DY11025" s="185" t="s">
        <v>215</v>
      </c>
    </row>
    <row r="11026" spans="129:129" x14ac:dyDescent="0.2">
      <c r="DY11026" s="185" t="s">
        <v>215</v>
      </c>
    </row>
    <row r="11027" spans="129:129" x14ac:dyDescent="0.2">
      <c r="DY11027" s="185" t="s">
        <v>215</v>
      </c>
    </row>
    <row r="11028" spans="129:129" x14ac:dyDescent="0.2">
      <c r="DY11028" s="185" t="s">
        <v>215</v>
      </c>
    </row>
    <row r="11029" spans="129:129" x14ac:dyDescent="0.2">
      <c r="DY11029" s="185" t="s">
        <v>215</v>
      </c>
    </row>
    <row r="11030" spans="129:129" x14ac:dyDescent="0.2">
      <c r="DY11030" s="185" t="s">
        <v>215</v>
      </c>
    </row>
    <row r="11031" spans="129:129" x14ac:dyDescent="0.2">
      <c r="DY11031" s="185" t="s">
        <v>215</v>
      </c>
    </row>
    <row r="11032" spans="129:129" x14ac:dyDescent="0.2">
      <c r="DY11032" s="185" t="s">
        <v>215</v>
      </c>
    </row>
    <row r="11033" spans="129:129" x14ac:dyDescent="0.2">
      <c r="DY11033" s="185" t="s">
        <v>215</v>
      </c>
    </row>
    <row r="11034" spans="129:129" x14ac:dyDescent="0.2">
      <c r="DY11034" s="185" t="s">
        <v>215</v>
      </c>
    </row>
    <row r="11035" spans="129:129" x14ac:dyDescent="0.2">
      <c r="DY11035" s="185" t="s">
        <v>215</v>
      </c>
    </row>
    <row r="11036" spans="129:129" x14ac:dyDescent="0.2">
      <c r="DY11036" s="185" t="s">
        <v>215</v>
      </c>
    </row>
    <row r="11037" spans="129:129" x14ac:dyDescent="0.2">
      <c r="DY11037" s="185" t="s">
        <v>215</v>
      </c>
    </row>
    <row r="11038" spans="129:129" x14ac:dyDescent="0.2">
      <c r="DY11038" s="185" t="s">
        <v>215</v>
      </c>
    </row>
    <row r="11039" spans="129:129" x14ac:dyDescent="0.2">
      <c r="DY11039" s="185" t="s">
        <v>215</v>
      </c>
    </row>
    <row r="11040" spans="129:129" x14ac:dyDescent="0.2">
      <c r="DY11040" s="185" t="s">
        <v>215</v>
      </c>
    </row>
    <row r="11041" spans="129:129" x14ac:dyDescent="0.2">
      <c r="DY11041" s="185" t="s">
        <v>215</v>
      </c>
    </row>
    <row r="11042" spans="129:129" x14ac:dyDescent="0.2">
      <c r="DY11042" s="185" t="s">
        <v>215</v>
      </c>
    </row>
    <row r="11043" spans="129:129" x14ac:dyDescent="0.2">
      <c r="DY11043" s="185" t="s">
        <v>215</v>
      </c>
    </row>
    <row r="11044" spans="129:129" x14ac:dyDescent="0.2">
      <c r="DY11044" s="185" t="s">
        <v>215</v>
      </c>
    </row>
    <row r="11045" spans="129:129" x14ac:dyDescent="0.2">
      <c r="DY11045" s="185" t="s">
        <v>215</v>
      </c>
    </row>
    <row r="11046" spans="129:129" x14ac:dyDescent="0.2">
      <c r="DY11046" s="185" t="s">
        <v>215</v>
      </c>
    </row>
    <row r="11047" spans="129:129" x14ac:dyDescent="0.2">
      <c r="DY11047" s="185" t="s">
        <v>215</v>
      </c>
    </row>
    <row r="11048" spans="129:129" x14ac:dyDescent="0.2">
      <c r="DY11048" s="185" t="s">
        <v>215</v>
      </c>
    </row>
    <row r="11049" spans="129:129" x14ac:dyDescent="0.2">
      <c r="DY11049" s="185" t="s">
        <v>215</v>
      </c>
    </row>
    <row r="11050" spans="129:129" x14ac:dyDescent="0.2">
      <c r="DY11050" s="185" t="s">
        <v>215</v>
      </c>
    </row>
    <row r="11051" spans="129:129" x14ac:dyDescent="0.2">
      <c r="DY11051" s="185" t="s">
        <v>215</v>
      </c>
    </row>
    <row r="11052" spans="129:129" x14ac:dyDescent="0.2">
      <c r="DY11052" s="185" t="s">
        <v>215</v>
      </c>
    </row>
    <row r="11053" spans="129:129" x14ac:dyDescent="0.2">
      <c r="DY11053" s="185" t="s">
        <v>215</v>
      </c>
    </row>
    <row r="11054" spans="129:129" x14ac:dyDescent="0.2">
      <c r="DY11054" s="185" t="s">
        <v>215</v>
      </c>
    </row>
    <row r="11055" spans="129:129" x14ac:dyDescent="0.2">
      <c r="DY11055" s="185" t="s">
        <v>215</v>
      </c>
    </row>
    <row r="11056" spans="129:129" x14ac:dyDescent="0.2">
      <c r="DY11056" s="185" t="s">
        <v>215</v>
      </c>
    </row>
    <row r="11057" spans="129:129" x14ac:dyDescent="0.2">
      <c r="DY11057" s="185" t="s">
        <v>215</v>
      </c>
    </row>
    <row r="11058" spans="129:129" x14ac:dyDescent="0.2">
      <c r="DY11058" s="185" t="s">
        <v>215</v>
      </c>
    </row>
    <row r="11059" spans="129:129" x14ac:dyDescent="0.2">
      <c r="DY11059" s="185" t="s">
        <v>215</v>
      </c>
    </row>
    <row r="11060" spans="129:129" x14ac:dyDescent="0.2">
      <c r="DY11060" s="185" t="s">
        <v>215</v>
      </c>
    </row>
    <row r="11061" spans="129:129" x14ac:dyDescent="0.2">
      <c r="DY11061" s="185" t="s">
        <v>215</v>
      </c>
    </row>
    <row r="11062" spans="129:129" x14ac:dyDescent="0.2">
      <c r="DY11062" s="185" t="s">
        <v>215</v>
      </c>
    </row>
    <row r="11063" spans="129:129" x14ac:dyDescent="0.2">
      <c r="DY11063" s="185" t="s">
        <v>215</v>
      </c>
    </row>
    <row r="11064" spans="129:129" x14ac:dyDescent="0.2">
      <c r="DY11064" s="185" t="s">
        <v>215</v>
      </c>
    </row>
    <row r="11065" spans="129:129" x14ac:dyDescent="0.2">
      <c r="DY11065" s="185" t="s">
        <v>215</v>
      </c>
    </row>
    <row r="11066" spans="129:129" x14ac:dyDescent="0.2">
      <c r="DY11066" s="185" t="s">
        <v>215</v>
      </c>
    </row>
    <row r="11067" spans="129:129" x14ac:dyDescent="0.2">
      <c r="DY11067" s="185" t="s">
        <v>215</v>
      </c>
    </row>
    <row r="11068" spans="129:129" x14ac:dyDescent="0.2">
      <c r="DY11068" s="185" t="s">
        <v>215</v>
      </c>
    </row>
    <row r="11069" spans="129:129" x14ac:dyDescent="0.2">
      <c r="DY11069" s="185" t="s">
        <v>215</v>
      </c>
    </row>
    <row r="11070" spans="129:129" x14ac:dyDescent="0.2">
      <c r="DY11070" s="185" t="s">
        <v>215</v>
      </c>
    </row>
    <row r="11071" spans="129:129" x14ac:dyDescent="0.2">
      <c r="DY11071" s="185" t="s">
        <v>215</v>
      </c>
    </row>
    <row r="11072" spans="129:129" x14ac:dyDescent="0.2">
      <c r="DY11072" s="185" t="s">
        <v>215</v>
      </c>
    </row>
    <row r="11073" spans="129:129" x14ac:dyDescent="0.2">
      <c r="DY11073" s="185" t="s">
        <v>215</v>
      </c>
    </row>
    <row r="11074" spans="129:129" x14ac:dyDescent="0.2">
      <c r="DY11074" s="185" t="s">
        <v>215</v>
      </c>
    </row>
    <row r="11075" spans="129:129" x14ac:dyDescent="0.2">
      <c r="DY11075" s="185" t="s">
        <v>215</v>
      </c>
    </row>
    <row r="11076" spans="129:129" x14ac:dyDescent="0.2">
      <c r="DY11076" s="185" t="s">
        <v>215</v>
      </c>
    </row>
    <row r="11077" spans="129:129" x14ac:dyDescent="0.2">
      <c r="DY11077" s="185" t="s">
        <v>215</v>
      </c>
    </row>
    <row r="11078" spans="129:129" x14ac:dyDescent="0.2">
      <c r="DY11078" s="185" t="s">
        <v>215</v>
      </c>
    </row>
    <row r="11079" spans="129:129" x14ac:dyDescent="0.2">
      <c r="DY11079" s="185" t="s">
        <v>215</v>
      </c>
    </row>
    <row r="11080" spans="129:129" x14ac:dyDescent="0.2">
      <c r="DY11080" s="185" t="s">
        <v>215</v>
      </c>
    </row>
    <row r="11081" spans="129:129" x14ac:dyDescent="0.2">
      <c r="DY11081" s="185" t="s">
        <v>215</v>
      </c>
    </row>
    <row r="11082" spans="129:129" x14ac:dyDescent="0.2">
      <c r="DY11082" s="185" t="s">
        <v>215</v>
      </c>
    </row>
    <row r="11083" spans="129:129" x14ac:dyDescent="0.2">
      <c r="DY11083" s="185" t="s">
        <v>215</v>
      </c>
    </row>
    <row r="11084" spans="129:129" x14ac:dyDescent="0.2">
      <c r="DY11084" s="185" t="s">
        <v>215</v>
      </c>
    </row>
    <row r="11085" spans="129:129" x14ac:dyDescent="0.2">
      <c r="DY11085" s="185" t="s">
        <v>215</v>
      </c>
    </row>
    <row r="11086" spans="129:129" x14ac:dyDescent="0.2">
      <c r="DY11086" s="185" t="s">
        <v>215</v>
      </c>
    </row>
    <row r="11087" spans="129:129" x14ac:dyDescent="0.2">
      <c r="DY11087" s="185" t="s">
        <v>215</v>
      </c>
    </row>
    <row r="11088" spans="129:129" x14ac:dyDescent="0.2">
      <c r="DY11088" s="185" t="s">
        <v>215</v>
      </c>
    </row>
    <row r="11089" spans="129:129" x14ac:dyDescent="0.2">
      <c r="DY11089" s="185" t="s">
        <v>215</v>
      </c>
    </row>
    <row r="11090" spans="129:129" x14ac:dyDescent="0.2">
      <c r="DY11090" s="185" t="s">
        <v>215</v>
      </c>
    </row>
    <row r="11091" spans="129:129" x14ac:dyDescent="0.2">
      <c r="DY11091" s="185" t="s">
        <v>215</v>
      </c>
    </row>
    <row r="11092" spans="129:129" x14ac:dyDescent="0.2">
      <c r="DY11092" s="185" t="s">
        <v>215</v>
      </c>
    </row>
    <row r="11093" spans="129:129" x14ac:dyDescent="0.2">
      <c r="DY11093" s="185" t="s">
        <v>215</v>
      </c>
    </row>
    <row r="11094" spans="129:129" x14ac:dyDescent="0.2">
      <c r="DY11094" s="185" t="s">
        <v>215</v>
      </c>
    </row>
    <row r="11095" spans="129:129" x14ac:dyDescent="0.2">
      <c r="DY11095" s="185" t="s">
        <v>215</v>
      </c>
    </row>
    <row r="11096" spans="129:129" x14ac:dyDescent="0.2">
      <c r="DY11096" s="185" t="s">
        <v>215</v>
      </c>
    </row>
    <row r="11097" spans="129:129" x14ac:dyDescent="0.2">
      <c r="DY11097" s="185" t="s">
        <v>215</v>
      </c>
    </row>
    <row r="11098" spans="129:129" x14ac:dyDescent="0.2">
      <c r="DY11098" s="185" t="s">
        <v>215</v>
      </c>
    </row>
    <row r="11099" spans="129:129" x14ac:dyDescent="0.2">
      <c r="DY11099" s="185" t="s">
        <v>215</v>
      </c>
    </row>
    <row r="11100" spans="129:129" x14ac:dyDescent="0.2">
      <c r="DY11100" s="185" t="s">
        <v>215</v>
      </c>
    </row>
    <row r="11101" spans="129:129" x14ac:dyDescent="0.2">
      <c r="DY11101" s="185" t="s">
        <v>215</v>
      </c>
    </row>
    <row r="11102" spans="129:129" x14ac:dyDescent="0.2">
      <c r="DY11102" s="185" t="s">
        <v>215</v>
      </c>
    </row>
    <row r="11103" spans="129:129" x14ac:dyDescent="0.2">
      <c r="DY11103" s="185" t="s">
        <v>215</v>
      </c>
    </row>
    <row r="11104" spans="129:129" x14ac:dyDescent="0.2">
      <c r="DY11104" s="185" t="s">
        <v>215</v>
      </c>
    </row>
    <row r="11105" spans="129:129" x14ac:dyDescent="0.2">
      <c r="DY11105" s="185" t="s">
        <v>215</v>
      </c>
    </row>
    <row r="11106" spans="129:129" x14ac:dyDescent="0.2">
      <c r="DY11106" s="185" t="s">
        <v>215</v>
      </c>
    </row>
    <row r="11107" spans="129:129" x14ac:dyDescent="0.2">
      <c r="DY11107" s="185" t="s">
        <v>215</v>
      </c>
    </row>
    <row r="11108" spans="129:129" x14ac:dyDescent="0.2">
      <c r="DY11108" s="185" t="s">
        <v>215</v>
      </c>
    </row>
    <row r="11109" spans="129:129" x14ac:dyDescent="0.2">
      <c r="DY11109" s="185" t="s">
        <v>215</v>
      </c>
    </row>
    <row r="11110" spans="129:129" x14ac:dyDescent="0.2">
      <c r="DY11110" s="185" t="s">
        <v>215</v>
      </c>
    </row>
    <row r="11111" spans="129:129" x14ac:dyDescent="0.2">
      <c r="DY11111" s="185" t="s">
        <v>215</v>
      </c>
    </row>
    <row r="11112" spans="129:129" x14ac:dyDescent="0.2">
      <c r="DY11112" s="185" t="s">
        <v>215</v>
      </c>
    </row>
    <row r="11113" spans="129:129" x14ac:dyDescent="0.2">
      <c r="DY11113" s="185" t="s">
        <v>215</v>
      </c>
    </row>
    <row r="11114" spans="129:129" x14ac:dyDescent="0.2">
      <c r="DY11114" s="185" t="s">
        <v>215</v>
      </c>
    </row>
    <row r="11115" spans="129:129" x14ac:dyDescent="0.2">
      <c r="DY11115" s="185" t="s">
        <v>215</v>
      </c>
    </row>
    <row r="11116" spans="129:129" x14ac:dyDescent="0.2">
      <c r="DY11116" s="185" t="s">
        <v>215</v>
      </c>
    </row>
    <row r="11117" spans="129:129" x14ac:dyDescent="0.2">
      <c r="DY11117" s="185" t="s">
        <v>215</v>
      </c>
    </row>
    <row r="11118" spans="129:129" x14ac:dyDescent="0.2">
      <c r="DY11118" s="185" t="s">
        <v>215</v>
      </c>
    </row>
    <row r="11119" spans="129:129" x14ac:dyDescent="0.2">
      <c r="DY11119" s="185" t="s">
        <v>215</v>
      </c>
    </row>
    <row r="11120" spans="129:129" x14ac:dyDescent="0.2">
      <c r="DY11120" s="185" t="s">
        <v>215</v>
      </c>
    </row>
    <row r="11121" spans="129:129" x14ac:dyDescent="0.2">
      <c r="DY11121" s="185" t="s">
        <v>215</v>
      </c>
    </row>
    <row r="11122" spans="129:129" x14ac:dyDescent="0.2">
      <c r="DY11122" s="185" t="s">
        <v>215</v>
      </c>
    </row>
    <row r="11123" spans="129:129" x14ac:dyDescent="0.2">
      <c r="DY11123" s="185" t="s">
        <v>215</v>
      </c>
    </row>
    <row r="11124" spans="129:129" x14ac:dyDescent="0.2">
      <c r="DY11124" s="185" t="s">
        <v>215</v>
      </c>
    </row>
    <row r="11125" spans="129:129" x14ac:dyDescent="0.2">
      <c r="DY11125" s="185" t="s">
        <v>215</v>
      </c>
    </row>
    <row r="11126" spans="129:129" x14ac:dyDescent="0.2">
      <c r="DY11126" s="185" t="s">
        <v>215</v>
      </c>
    </row>
    <row r="11127" spans="129:129" x14ac:dyDescent="0.2">
      <c r="DY11127" s="185" t="s">
        <v>215</v>
      </c>
    </row>
    <row r="11128" spans="129:129" x14ac:dyDescent="0.2">
      <c r="DY11128" s="185" t="s">
        <v>215</v>
      </c>
    </row>
    <row r="11129" spans="129:129" x14ac:dyDescent="0.2">
      <c r="DY11129" s="185" t="s">
        <v>215</v>
      </c>
    </row>
    <row r="11130" spans="129:129" x14ac:dyDescent="0.2">
      <c r="DY11130" s="185" t="s">
        <v>215</v>
      </c>
    </row>
    <row r="11131" spans="129:129" x14ac:dyDescent="0.2">
      <c r="DY11131" s="185" t="s">
        <v>215</v>
      </c>
    </row>
    <row r="11132" spans="129:129" x14ac:dyDescent="0.2">
      <c r="DY11132" s="185" t="s">
        <v>215</v>
      </c>
    </row>
    <row r="11133" spans="129:129" x14ac:dyDescent="0.2">
      <c r="DY11133" s="185" t="s">
        <v>215</v>
      </c>
    </row>
    <row r="11134" spans="129:129" x14ac:dyDescent="0.2">
      <c r="DY11134" s="185" t="s">
        <v>215</v>
      </c>
    </row>
    <row r="11135" spans="129:129" x14ac:dyDescent="0.2">
      <c r="DY11135" s="185" t="s">
        <v>215</v>
      </c>
    </row>
    <row r="11136" spans="129:129" x14ac:dyDescent="0.2">
      <c r="DY11136" s="185" t="s">
        <v>215</v>
      </c>
    </row>
    <row r="11137" spans="129:129" x14ac:dyDescent="0.2">
      <c r="DY11137" s="185" t="s">
        <v>215</v>
      </c>
    </row>
    <row r="11138" spans="129:129" x14ac:dyDescent="0.2">
      <c r="DY11138" s="185" t="s">
        <v>215</v>
      </c>
    </row>
    <row r="11139" spans="129:129" x14ac:dyDescent="0.2">
      <c r="DY11139" s="185" t="s">
        <v>215</v>
      </c>
    </row>
    <row r="11140" spans="129:129" x14ac:dyDescent="0.2">
      <c r="DY11140" s="185" t="s">
        <v>215</v>
      </c>
    </row>
    <row r="11141" spans="129:129" x14ac:dyDescent="0.2">
      <c r="DY11141" s="185" t="s">
        <v>215</v>
      </c>
    </row>
    <row r="11142" spans="129:129" x14ac:dyDescent="0.2">
      <c r="DY11142" s="185" t="s">
        <v>215</v>
      </c>
    </row>
    <row r="11143" spans="129:129" x14ac:dyDescent="0.2">
      <c r="DY11143" s="185" t="s">
        <v>215</v>
      </c>
    </row>
    <row r="11144" spans="129:129" x14ac:dyDescent="0.2">
      <c r="DY11144" s="185" t="s">
        <v>215</v>
      </c>
    </row>
    <row r="11145" spans="129:129" x14ac:dyDescent="0.2">
      <c r="DY11145" s="185" t="s">
        <v>215</v>
      </c>
    </row>
    <row r="11146" spans="129:129" x14ac:dyDescent="0.2">
      <c r="DY11146" s="185" t="s">
        <v>215</v>
      </c>
    </row>
    <row r="11147" spans="129:129" x14ac:dyDescent="0.2">
      <c r="DY11147" s="185" t="s">
        <v>215</v>
      </c>
    </row>
    <row r="11148" spans="129:129" x14ac:dyDescent="0.2">
      <c r="DY11148" s="185" t="s">
        <v>215</v>
      </c>
    </row>
    <row r="11149" spans="129:129" x14ac:dyDescent="0.2">
      <c r="DY11149" s="185" t="s">
        <v>215</v>
      </c>
    </row>
    <row r="11150" spans="129:129" x14ac:dyDescent="0.2">
      <c r="DY11150" s="185" t="s">
        <v>215</v>
      </c>
    </row>
    <row r="11151" spans="129:129" x14ac:dyDescent="0.2">
      <c r="DY11151" s="185" t="s">
        <v>215</v>
      </c>
    </row>
    <row r="11152" spans="129:129" x14ac:dyDescent="0.2">
      <c r="DY11152" s="185" t="s">
        <v>215</v>
      </c>
    </row>
    <row r="11153" spans="129:129" x14ac:dyDescent="0.2">
      <c r="DY11153" s="185" t="s">
        <v>215</v>
      </c>
    </row>
    <row r="11154" spans="129:129" x14ac:dyDescent="0.2">
      <c r="DY11154" s="185" t="s">
        <v>215</v>
      </c>
    </row>
    <row r="11155" spans="129:129" x14ac:dyDescent="0.2">
      <c r="DY11155" s="185" t="s">
        <v>215</v>
      </c>
    </row>
    <row r="11156" spans="129:129" x14ac:dyDescent="0.2">
      <c r="DY11156" s="185" t="s">
        <v>215</v>
      </c>
    </row>
    <row r="11157" spans="129:129" x14ac:dyDescent="0.2">
      <c r="DY11157" s="185" t="s">
        <v>215</v>
      </c>
    </row>
    <row r="11158" spans="129:129" x14ac:dyDescent="0.2">
      <c r="DY11158" s="185" t="s">
        <v>215</v>
      </c>
    </row>
    <row r="11159" spans="129:129" x14ac:dyDescent="0.2">
      <c r="DY11159" s="185" t="s">
        <v>215</v>
      </c>
    </row>
    <row r="11160" spans="129:129" x14ac:dyDescent="0.2">
      <c r="DY11160" s="185" t="s">
        <v>215</v>
      </c>
    </row>
    <row r="11161" spans="129:129" x14ac:dyDescent="0.2">
      <c r="DY11161" s="185" t="s">
        <v>215</v>
      </c>
    </row>
    <row r="11162" spans="129:129" x14ac:dyDescent="0.2">
      <c r="DY11162" s="185" t="s">
        <v>215</v>
      </c>
    </row>
    <row r="11163" spans="129:129" x14ac:dyDescent="0.2">
      <c r="DY11163" s="185" t="s">
        <v>215</v>
      </c>
    </row>
    <row r="11164" spans="129:129" x14ac:dyDescent="0.2">
      <c r="DY11164" s="185" t="s">
        <v>215</v>
      </c>
    </row>
    <row r="11165" spans="129:129" x14ac:dyDescent="0.2">
      <c r="DY11165" s="185" t="s">
        <v>215</v>
      </c>
    </row>
    <row r="11166" spans="129:129" x14ac:dyDescent="0.2">
      <c r="DY11166" s="185" t="s">
        <v>215</v>
      </c>
    </row>
    <row r="11167" spans="129:129" x14ac:dyDescent="0.2">
      <c r="DY11167" s="185" t="s">
        <v>215</v>
      </c>
    </row>
    <row r="11168" spans="129:129" x14ac:dyDescent="0.2">
      <c r="DY11168" s="185" t="s">
        <v>215</v>
      </c>
    </row>
    <row r="11169" spans="129:129" x14ac:dyDescent="0.2">
      <c r="DY11169" s="185" t="s">
        <v>215</v>
      </c>
    </row>
    <row r="11170" spans="129:129" x14ac:dyDescent="0.2">
      <c r="DY11170" s="185" t="s">
        <v>215</v>
      </c>
    </row>
    <row r="11171" spans="129:129" x14ac:dyDescent="0.2">
      <c r="DY11171" s="185" t="s">
        <v>215</v>
      </c>
    </row>
    <row r="11172" spans="129:129" x14ac:dyDescent="0.2">
      <c r="DY11172" s="185" t="s">
        <v>215</v>
      </c>
    </row>
    <row r="11173" spans="129:129" x14ac:dyDescent="0.2">
      <c r="DY11173" s="185" t="s">
        <v>215</v>
      </c>
    </row>
    <row r="11174" spans="129:129" x14ac:dyDescent="0.2">
      <c r="DY11174" s="185" t="s">
        <v>215</v>
      </c>
    </row>
    <row r="11175" spans="129:129" x14ac:dyDescent="0.2">
      <c r="DY11175" s="185" t="s">
        <v>215</v>
      </c>
    </row>
    <row r="11176" spans="129:129" x14ac:dyDescent="0.2">
      <c r="DY11176" s="185" t="s">
        <v>215</v>
      </c>
    </row>
    <row r="11177" spans="129:129" x14ac:dyDescent="0.2">
      <c r="DY11177" s="185" t="s">
        <v>215</v>
      </c>
    </row>
    <row r="11178" spans="129:129" x14ac:dyDescent="0.2">
      <c r="DY11178" s="185" t="s">
        <v>215</v>
      </c>
    </row>
    <row r="11179" spans="129:129" x14ac:dyDescent="0.2">
      <c r="DY11179" s="185" t="s">
        <v>215</v>
      </c>
    </row>
    <row r="11180" spans="129:129" x14ac:dyDescent="0.2">
      <c r="DY11180" s="185" t="s">
        <v>215</v>
      </c>
    </row>
    <row r="11181" spans="129:129" x14ac:dyDescent="0.2">
      <c r="DY11181" s="185" t="s">
        <v>215</v>
      </c>
    </row>
    <row r="11182" spans="129:129" x14ac:dyDescent="0.2">
      <c r="DY11182" s="185" t="s">
        <v>215</v>
      </c>
    </row>
    <row r="11183" spans="129:129" x14ac:dyDescent="0.2">
      <c r="DY11183" s="185" t="s">
        <v>215</v>
      </c>
    </row>
    <row r="11184" spans="129:129" x14ac:dyDescent="0.2">
      <c r="DY11184" s="185" t="s">
        <v>215</v>
      </c>
    </row>
    <row r="11185" spans="129:129" x14ac:dyDescent="0.2">
      <c r="DY11185" s="185" t="s">
        <v>215</v>
      </c>
    </row>
    <row r="11186" spans="129:129" x14ac:dyDescent="0.2">
      <c r="DY11186" s="185" t="s">
        <v>215</v>
      </c>
    </row>
    <row r="11187" spans="129:129" x14ac:dyDescent="0.2">
      <c r="DY11187" s="185" t="s">
        <v>215</v>
      </c>
    </row>
    <row r="11188" spans="129:129" x14ac:dyDescent="0.2">
      <c r="DY11188" s="185" t="s">
        <v>215</v>
      </c>
    </row>
    <row r="11189" spans="129:129" x14ac:dyDescent="0.2">
      <c r="DY11189" s="185" t="s">
        <v>215</v>
      </c>
    </row>
    <row r="11190" spans="129:129" x14ac:dyDescent="0.2">
      <c r="DY11190" s="185" t="s">
        <v>215</v>
      </c>
    </row>
    <row r="11191" spans="129:129" x14ac:dyDescent="0.2">
      <c r="DY11191" s="185" t="s">
        <v>215</v>
      </c>
    </row>
    <row r="11192" spans="129:129" x14ac:dyDescent="0.2">
      <c r="DY11192" s="185" t="s">
        <v>215</v>
      </c>
    </row>
    <row r="11193" spans="129:129" x14ac:dyDescent="0.2">
      <c r="DY11193" s="185" t="s">
        <v>215</v>
      </c>
    </row>
    <row r="11194" spans="129:129" x14ac:dyDescent="0.2">
      <c r="DY11194" s="185" t="s">
        <v>215</v>
      </c>
    </row>
    <row r="11195" spans="129:129" x14ac:dyDescent="0.2">
      <c r="DY11195" s="185" t="s">
        <v>215</v>
      </c>
    </row>
    <row r="11196" spans="129:129" x14ac:dyDescent="0.2">
      <c r="DY11196" s="185" t="s">
        <v>215</v>
      </c>
    </row>
    <row r="11197" spans="129:129" x14ac:dyDescent="0.2">
      <c r="DY11197" s="185" t="s">
        <v>215</v>
      </c>
    </row>
    <row r="11198" spans="129:129" x14ac:dyDescent="0.2">
      <c r="DY11198" s="185" t="s">
        <v>215</v>
      </c>
    </row>
    <row r="11199" spans="129:129" x14ac:dyDescent="0.2">
      <c r="DY11199" s="185" t="s">
        <v>215</v>
      </c>
    </row>
    <row r="11200" spans="129:129" x14ac:dyDescent="0.2">
      <c r="DY11200" s="185" t="s">
        <v>215</v>
      </c>
    </row>
    <row r="11201" spans="129:129" x14ac:dyDescent="0.2">
      <c r="DY11201" s="185" t="s">
        <v>215</v>
      </c>
    </row>
    <row r="11202" spans="129:129" x14ac:dyDescent="0.2">
      <c r="DY11202" s="185" t="s">
        <v>215</v>
      </c>
    </row>
    <row r="11203" spans="129:129" x14ac:dyDescent="0.2">
      <c r="DY11203" s="185" t="s">
        <v>215</v>
      </c>
    </row>
    <row r="11204" spans="129:129" x14ac:dyDescent="0.2">
      <c r="DY11204" s="185" t="s">
        <v>215</v>
      </c>
    </row>
    <row r="11205" spans="129:129" x14ac:dyDescent="0.2">
      <c r="DY11205" s="185" t="s">
        <v>215</v>
      </c>
    </row>
    <row r="11206" spans="129:129" x14ac:dyDescent="0.2">
      <c r="DY11206" s="185" t="s">
        <v>215</v>
      </c>
    </row>
    <row r="11207" spans="129:129" x14ac:dyDescent="0.2">
      <c r="DY11207" s="185" t="s">
        <v>215</v>
      </c>
    </row>
    <row r="11208" spans="129:129" x14ac:dyDescent="0.2">
      <c r="DY11208" s="185" t="s">
        <v>215</v>
      </c>
    </row>
    <row r="11209" spans="129:129" x14ac:dyDescent="0.2">
      <c r="DY11209" s="185" t="s">
        <v>215</v>
      </c>
    </row>
    <row r="11210" spans="129:129" x14ac:dyDescent="0.2">
      <c r="DY11210" s="185" t="s">
        <v>215</v>
      </c>
    </row>
    <row r="11211" spans="129:129" x14ac:dyDescent="0.2">
      <c r="DY11211" s="185" t="s">
        <v>215</v>
      </c>
    </row>
    <row r="11212" spans="129:129" x14ac:dyDescent="0.2">
      <c r="DY11212" s="185" t="s">
        <v>215</v>
      </c>
    </row>
    <row r="11213" spans="129:129" x14ac:dyDescent="0.2">
      <c r="DY11213" s="185" t="s">
        <v>215</v>
      </c>
    </row>
    <row r="11214" spans="129:129" x14ac:dyDescent="0.2">
      <c r="DY11214" s="185" t="s">
        <v>215</v>
      </c>
    </row>
    <row r="11215" spans="129:129" x14ac:dyDescent="0.2">
      <c r="DY11215" s="185" t="s">
        <v>215</v>
      </c>
    </row>
    <row r="11216" spans="129:129" x14ac:dyDescent="0.2">
      <c r="DY11216" s="185" t="s">
        <v>215</v>
      </c>
    </row>
    <row r="11217" spans="129:129" x14ac:dyDescent="0.2">
      <c r="DY11217" s="185" t="s">
        <v>215</v>
      </c>
    </row>
    <row r="11218" spans="129:129" x14ac:dyDescent="0.2">
      <c r="DY11218" s="185" t="s">
        <v>215</v>
      </c>
    </row>
    <row r="11219" spans="129:129" x14ac:dyDescent="0.2">
      <c r="DY11219" s="185" t="s">
        <v>215</v>
      </c>
    </row>
    <row r="11220" spans="129:129" x14ac:dyDescent="0.2">
      <c r="DY11220" s="185" t="s">
        <v>215</v>
      </c>
    </row>
    <row r="11221" spans="129:129" x14ac:dyDescent="0.2">
      <c r="DY11221" s="185" t="s">
        <v>215</v>
      </c>
    </row>
    <row r="11222" spans="129:129" x14ac:dyDescent="0.2">
      <c r="DY11222" s="185" t="s">
        <v>215</v>
      </c>
    </row>
    <row r="11223" spans="129:129" x14ac:dyDescent="0.2">
      <c r="DY11223" s="185" t="s">
        <v>215</v>
      </c>
    </row>
    <row r="11224" spans="129:129" x14ac:dyDescent="0.2">
      <c r="DY11224" s="185" t="s">
        <v>215</v>
      </c>
    </row>
    <row r="11225" spans="129:129" x14ac:dyDescent="0.2">
      <c r="DY11225" s="185" t="s">
        <v>215</v>
      </c>
    </row>
    <row r="11226" spans="129:129" x14ac:dyDescent="0.2">
      <c r="DY11226" s="185" t="s">
        <v>215</v>
      </c>
    </row>
    <row r="11227" spans="129:129" x14ac:dyDescent="0.2">
      <c r="DY11227" s="185" t="s">
        <v>215</v>
      </c>
    </row>
    <row r="11228" spans="129:129" x14ac:dyDescent="0.2">
      <c r="DY11228" s="185" t="s">
        <v>215</v>
      </c>
    </row>
    <row r="11229" spans="129:129" x14ac:dyDescent="0.2">
      <c r="DY11229" s="185" t="s">
        <v>215</v>
      </c>
    </row>
    <row r="11230" spans="129:129" x14ac:dyDescent="0.2">
      <c r="DY11230" s="185" t="s">
        <v>215</v>
      </c>
    </row>
    <row r="11231" spans="129:129" x14ac:dyDescent="0.2">
      <c r="DY11231" s="185" t="s">
        <v>215</v>
      </c>
    </row>
    <row r="11232" spans="129:129" x14ac:dyDescent="0.2">
      <c r="DY11232" s="185" t="s">
        <v>215</v>
      </c>
    </row>
    <row r="11233" spans="129:129" x14ac:dyDescent="0.2">
      <c r="DY11233" s="185" t="s">
        <v>215</v>
      </c>
    </row>
    <row r="11234" spans="129:129" x14ac:dyDescent="0.2">
      <c r="DY11234" s="185" t="s">
        <v>215</v>
      </c>
    </row>
    <row r="11235" spans="129:129" x14ac:dyDescent="0.2">
      <c r="DY11235" s="185" t="s">
        <v>215</v>
      </c>
    </row>
    <row r="11236" spans="129:129" x14ac:dyDescent="0.2">
      <c r="DY11236" s="185" t="s">
        <v>215</v>
      </c>
    </row>
    <row r="11237" spans="129:129" x14ac:dyDescent="0.2">
      <c r="DY11237" s="185" t="s">
        <v>215</v>
      </c>
    </row>
    <row r="11238" spans="129:129" x14ac:dyDescent="0.2">
      <c r="DY11238" s="185" t="s">
        <v>215</v>
      </c>
    </row>
    <row r="11239" spans="129:129" x14ac:dyDescent="0.2">
      <c r="DY11239" s="185" t="s">
        <v>215</v>
      </c>
    </row>
    <row r="11240" spans="129:129" x14ac:dyDescent="0.2">
      <c r="DY11240" s="185" t="s">
        <v>215</v>
      </c>
    </row>
    <row r="11241" spans="129:129" x14ac:dyDescent="0.2">
      <c r="DY11241" s="185" t="s">
        <v>215</v>
      </c>
    </row>
    <row r="11242" spans="129:129" x14ac:dyDescent="0.2">
      <c r="DY11242" s="185" t="s">
        <v>215</v>
      </c>
    </row>
    <row r="11243" spans="129:129" x14ac:dyDescent="0.2">
      <c r="DY11243" s="185" t="s">
        <v>215</v>
      </c>
    </row>
    <row r="11244" spans="129:129" x14ac:dyDescent="0.2">
      <c r="DY11244" s="185" t="s">
        <v>215</v>
      </c>
    </row>
    <row r="11245" spans="129:129" x14ac:dyDescent="0.2">
      <c r="DY11245" s="185" t="s">
        <v>215</v>
      </c>
    </row>
    <row r="11246" spans="129:129" x14ac:dyDescent="0.2">
      <c r="DY11246" s="185" t="s">
        <v>215</v>
      </c>
    </row>
    <row r="11247" spans="129:129" x14ac:dyDescent="0.2">
      <c r="DY11247" s="185" t="s">
        <v>215</v>
      </c>
    </row>
    <row r="11248" spans="129:129" x14ac:dyDescent="0.2">
      <c r="DY11248" s="185" t="s">
        <v>215</v>
      </c>
    </row>
    <row r="11249" spans="129:129" x14ac:dyDescent="0.2">
      <c r="DY11249" s="185" t="s">
        <v>215</v>
      </c>
    </row>
    <row r="11250" spans="129:129" x14ac:dyDescent="0.2">
      <c r="DY11250" s="185" t="s">
        <v>215</v>
      </c>
    </row>
    <row r="11251" spans="129:129" x14ac:dyDescent="0.2">
      <c r="DY11251" s="185" t="s">
        <v>215</v>
      </c>
    </row>
    <row r="11252" spans="129:129" x14ac:dyDescent="0.2">
      <c r="DY11252" s="185" t="s">
        <v>215</v>
      </c>
    </row>
    <row r="11253" spans="129:129" x14ac:dyDescent="0.2">
      <c r="DY11253" s="185" t="s">
        <v>215</v>
      </c>
    </row>
    <row r="11254" spans="129:129" x14ac:dyDescent="0.2">
      <c r="DY11254" s="185" t="s">
        <v>215</v>
      </c>
    </row>
    <row r="11255" spans="129:129" x14ac:dyDescent="0.2">
      <c r="DY11255" s="185" t="s">
        <v>215</v>
      </c>
    </row>
    <row r="11256" spans="129:129" x14ac:dyDescent="0.2">
      <c r="DY11256" s="185" t="s">
        <v>215</v>
      </c>
    </row>
    <row r="11257" spans="129:129" x14ac:dyDescent="0.2">
      <c r="DY11257" s="185" t="s">
        <v>215</v>
      </c>
    </row>
    <row r="11258" spans="129:129" x14ac:dyDescent="0.2">
      <c r="DY11258" s="185" t="s">
        <v>215</v>
      </c>
    </row>
    <row r="11259" spans="129:129" x14ac:dyDescent="0.2">
      <c r="DY11259" s="185" t="s">
        <v>215</v>
      </c>
    </row>
    <row r="11260" spans="129:129" x14ac:dyDescent="0.2">
      <c r="DY11260" s="185" t="s">
        <v>215</v>
      </c>
    </row>
    <row r="11261" spans="129:129" x14ac:dyDescent="0.2">
      <c r="DY11261" s="185" t="s">
        <v>215</v>
      </c>
    </row>
    <row r="11262" spans="129:129" x14ac:dyDescent="0.2">
      <c r="DY11262" s="185" t="s">
        <v>215</v>
      </c>
    </row>
    <row r="11263" spans="129:129" x14ac:dyDescent="0.2">
      <c r="DY11263" s="185" t="s">
        <v>215</v>
      </c>
    </row>
    <row r="11264" spans="129:129" x14ac:dyDescent="0.2">
      <c r="DY11264" s="185" t="s">
        <v>215</v>
      </c>
    </row>
    <row r="11265" spans="129:129" x14ac:dyDescent="0.2">
      <c r="DY11265" s="185" t="s">
        <v>215</v>
      </c>
    </row>
    <row r="11266" spans="129:129" x14ac:dyDescent="0.2">
      <c r="DY11266" s="185" t="s">
        <v>215</v>
      </c>
    </row>
    <row r="11267" spans="129:129" x14ac:dyDescent="0.2">
      <c r="DY11267" s="185" t="s">
        <v>215</v>
      </c>
    </row>
    <row r="11268" spans="129:129" x14ac:dyDescent="0.2">
      <c r="DY11268" s="185" t="s">
        <v>215</v>
      </c>
    </row>
    <row r="11269" spans="129:129" x14ac:dyDescent="0.2">
      <c r="DY11269" s="185" t="s">
        <v>215</v>
      </c>
    </row>
    <row r="11270" spans="129:129" x14ac:dyDescent="0.2">
      <c r="DY11270" s="185" t="s">
        <v>215</v>
      </c>
    </row>
    <row r="11271" spans="129:129" x14ac:dyDescent="0.2">
      <c r="DY11271" s="185" t="s">
        <v>215</v>
      </c>
    </row>
    <row r="11272" spans="129:129" x14ac:dyDescent="0.2">
      <c r="DY11272" s="185" t="s">
        <v>215</v>
      </c>
    </row>
    <row r="11273" spans="129:129" x14ac:dyDescent="0.2">
      <c r="DY11273" s="185" t="s">
        <v>215</v>
      </c>
    </row>
    <row r="11274" spans="129:129" x14ac:dyDescent="0.2">
      <c r="DY11274" s="185" t="s">
        <v>215</v>
      </c>
    </row>
    <row r="11275" spans="129:129" x14ac:dyDescent="0.2">
      <c r="DY11275" s="185" t="s">
        <v>215</v>
      </c>
    </row>
    <row r="11276" spans="129:129" x14ac:dyDescent="0.2">
      <c r="DY11276" s="185" t="s">
        <v>215</v>
      </c>
    </row>
    <row r="11277" spans="129:129" x14ac:dyDescent="0.2">
      <c r="DY11277" s="185" t="s">
        <v>215</v>
      </c>
    </row>
    <row r="11278" spans="129:129" x14ac:dyDescent="0.2">
      <c r="DY11278" s="185" t="s">
        <v>215</v>
      </c>
    </row>
    <row r="11279" spans="129:129" x14ac:dyDescent="0.2">
      <c r="DY11279" s="185" t="s">
        <v>215</v>
      </c>
    </row>
    <row r="11280" spans="129:129" x14ac:dyDescent="0.2">
      <c r="DY11280" s="185" t="s">
        <v>215</v>
      </c>
    </row>
    <row r="11281" spans="129:129" x14ac:dyDescent="0.2">
      <c r="DY11281" s="185" t="s">
        <v>215</v>
      </c>
    </row>
    <row r="11282" spans="129:129" x14ac:dyDescent="0.2">
      <c r="DY11282" s="185" t="s">
        <v>215</v>
      </c>
    </row>
    <row r="11283" spans="129:129" x14ac:dyDescent="0.2">
      <c r="DY11283" s="185" t="s">
        <v>215</v>
      </c>
    </row>
    <row r="11284" spans="129:129" x14ac:dyDescent="0.2">
      <c r="DY11284" s="185" t="s">
        <v>215</v>
      </c>
    </row>
    <row r="11285" spans="129:129" x14ac:dyDescent="0.2">
      <c r="DY11285" s="185" t="s">
        <v>215</v>
      </c>
    </row>
    <row r="11286" spans="129:129" x14ac:dyDescent="0.2">
      <c r="DY11286" s="185" t="s">
        <v>215</v>
      </c>
    </row>
    <row r="11287" spans="129:129" x14ac:dyDescent="0.2">
      <c r="DY11287" s="185" t="s">
        <v>215</v>
      </c>
    </row>
    <row r="11288" spans="129:129" x14ac:dyDescent="0.2">
      <c r="DY11288" s="185" t="s">
        <v>215</v>
      </c>
    </row>
    <row r="11289" spans="129:129" x14ac:dyDescent="0.2">
      <c r="DY11289" s="185" t="s">
        <v>215</v>
      </c>
    </row>
    <row r="11290" spans="129:129" x14ac:dyDescent="0.2">
      <c r="DY11290" s="185" t="s">
        <v>215</v>
      </c>
    </row>
    <row r="11291" spans="129:129" x14ac:dyDescent="0.2">
      <c r="DY11291" s="185" t="s">
        <v>215</v>
      </c>
    </row>
    <row r="11292" spans="129:129" x14ac:dyDescent="0.2">
      <c r="DY11292" s="185" t="s">
        <v>215</v>
      </c>
    </row>
    <row r="11293" spans="129:129" x14ac:dyDescent="0.2">
      <c r="DY11293" s="185" t="s">
        <v>215</v>
      </c>
    </row>
    <row r="11294" spans="129:129" x14ac:dyDescent="0.2">
      <c r="DY11294" s="185" t="s">
        <v>215</v>
      </c>
    </row>
    <row r="11295" spans="129:129" x14ac:dyDescent="0.2">
      <c r="DY11295" s="185" t="s">
        <v>215</v>
      </c>
    </row>
    <row r="11296" spans="129:129" x14ac:dyDescent="0.2">
      <c r="DY11296" s="185" t="s">
        <v>215</v>
      </c>
    </row>
    <row r="11297" spans="129:129" x14ac:dyDescent="0.2">
      <c r="DY11297" s="185" t="s">
        <v>215</v>
      </c>
    </row>
    <row r="11298" spans="129:129" x14ac:dyDescent="0.2">
      <c r="DY11298" s="185" t="s">
        <v>215</v>
      </c>
    </row>
    <row r="11299" spans="129:129" x14ac:dyDescent="0.2">
      <c r="DY11299" s="185" t="s">
        <v>215</v>
      </c>
    </row>
    <row r="11300" spans="129:129" x14ac:dyDescent="0.2">
      <c r="DY11300" s="185" t="s">
        <v>215</v>
      </c>
    </row>
    <row r="11301" spans="129:129" x14ac:dyDescent="0.2">
      <c r="DY11301" s="185" t="s">
        <v>215</v>
      </c>
    </row>
    <row r="11302" spans="129:129" x14ac:dyDescent="0.2">
      <c r="DY11302" s="185" t="s">
        <v>215</v>
      </c>
    </row>
    <row r="11303" spans="129:129" x14ac:dyDescent="0.2">
      <c r="DY11303" s="185" t="s">
        <v>215</v>
      </c>
    </row>
    <row r="11304" spans="129:129" x14ac:dyDescent="0.2">
      <c r="DY11304" s="185" t="s">
        <v>215</v>
      </c>
    </row>
    <row r="11305" spans="129:129" x14ac:dyDescent="0.2">
      <c r="DY11305" s="185" t="s">
        <v>215</v>
      </c>
    </row>
    <row r="11306" spans="129:129" x14ac:dyDescent="0.2">
      <c r="DY11306" s="185" t="s">
        <v>215</v>
      </c>
    </row>
    <row r="11307" spans="129:129" x14ac:dyDescent="0.2">
      <c r="DY11307" s="185" t="s">
        <v>215</v>
      </c>
    </row>
    <row r="11308" spans="129:129" x14ac:dyDescent="0.2">
      <c r="DY11308" s="185" t="s">
        <v>215</v>
      </c>
    </row>
    <row r="11309" spans="129:129" x14ac:dyDescent="0.2">
      <c r="DY11309" s="185" t="s">
        <v>215</v>
      </c>
    </row>
    <row r="11310" spans="129:129" x14ac:dyDescent="0.2">
      <c r="DY11310" s="185" t="s">
        <v>215</v>
      </c>
    </row>
    <row r="11311" spans="129:129" x14ac:dyDescent="0.2">
      <c r="DY11311" s="185" t="s">
        <v>215</v>
      </c>
    </row>
    <row r="11312" spans="129:129" x14ac:dyDescent="0.2">
      <c r="DY11312" s="185" t="s">
        <v>215</v>
      </c>
    </row>
    <row r="11313" spans="129:129" x14ac:dyDescent="0.2">
      <c r="DY11313" s="185" t="s">
        <v>215</v>
      </c>
    </row>
    <row r="11314" spans="129:129" x14ac:dyDescent="0.2">
      <c r="DY11314" s="185" t="s">
        <v>215</v>
      </c>
    </row>
    <row r="11315" spans="129:129" x14ac:dyDescent="0.2">
      <c r="DY11315" s="185" t="s">
        <v>215</v>
      </c>
    </row>
    <row r="11316" spans="129:129" x14ac:dyDescent="0.2">
      <c r="DY11316" s="185" t="s">
        <v>215</v>
      </c>
    </row>
    <row r="11317" spans="129:129" x14ac:dyDescent="0.2">
      <c r="DY11317" s="185" t="s">
        <v>215</v>
      </c>
    </row>
    <row r="11318" spans="129:129" x14ac:dyDescent="0.2">
      <c r="DY11318" s="185" t="s">
        <v>215</v>
      </c>
    </row>
    <row r="11319" spans="129:129" x14ac:dyDescent="0.2">
      <c r="DY11319" s="185" t="s">
        <v>215</v>
      </c>
    </row>
    <row r="11320" spans="129:129" x14ac:dyDescent="0.2">
      <c r="DY11320" s="185" t="s">
        <v>215</v>
      </c>
    </row>
    <row r="11321" spans="129:129" x14ac:dyDescent="0.2">
      <c r="DY11321" s="185" t="s">
        <v>215</v>
      </c>
    </row>
    <row r="11322" spans="129:129" x14ac:dyDescent="0.2">
      <c r="DY11322" s="185" t="s">
        <v>215</v>
      </c>
    </row>
    <row r="11323" spans="129:129" x14ac:dyDescent="0.2">
      <c r="DY11323" s="185" t="s">
        <v>215</v>
      </c>
    </row>
    <row r="11324" spans="129:129" x14ac:dyDescent="0.2">
      <c r="DY11324" s="185" t="s">
        <v>215</v>
      </c>
    </row>
    <row r="11325" spans="129:129" x14ac:dyDescent="0.2">
      <c r="DY11325" s="185" t="s">
        <v>215</v>
      </c>
    </row>
    <row r="11326" spans="129:129" x14ac:dyDescent="0.2">
      <c r="DY11326" s="185" t="s">
        <v>215</v>
      </c>
    </row>
    <row r="11327" spans="129:129" x14ac:dyDescent="0.2">
      <c r="DY11327" s="185" t="s">
        <v>215</v>
      </c>
    </row>
    <row r="11328" spans="129:129" x14ac:dyDescent="0.2">
      <c r="DY11328" s="185" t="s">
        <v>215</v>
      </c>
    </row>
    <row r="11329" spans="129:129" x14ac:dyDescent="0.2">
      <c r="DY11329" s="185" t="s">
        <v>215</v>
      </c>
    </row>
    <row r="11330" spans="129:129" x14ac:dyDescent="0.2">
      <c r="DY11330" s="185" t="s">
        <v>215</v>
      </c>
    </row>
    <row r="11331" spans="129:129" x14ac:dyDescent="0.2">
      <c r="DY11331" s="185" t="s">
        <v>215</v>
      </c>
    </row>
    <row r="11332" spans="129:129" x14ac:dyDescent="0.2">
      <c r="DY11332" s="185" t="s">
        <v>215</v>
      </c>
    </row>
    <row r="11333" spans="129:129" x14ac:dyDescent="0.2">
      <c r="DY11333" s="185" t="s">
        <v>215</v>
      </c>
    </row>
    <row r="11334" spans="129:129" x14ac:dyDescent="0.2">
      <c r="DY11334" s="185" t="s">
        <v>215</v>
      </c>
    </row>
    <row r="11335" spans="129:129" x14ac:dyDescent="0.2">
      <c r="DY11335" s="185" t="s">
        <v>215</v>
      </c>
    </row>
    <row r="11336" spans="129:129" x14ac:dyDescent="0.2">
      <c r="DY11336" s="185" t="s">
        <v>215</v>
      </c>
    </row>
    <row r="11337" spans="129:129" x14ac:dyDescent="0.2">
      <c r="DY11337" s="185" t="s">
        <v>215</v>
      </c>
    </row>
    <row r="11338" spans="129:129" x14ac:dyDescent="0.2">
      <c r="DY11338" s="185" t="s">
        <v>215</v>
      </c>
    </row>
    <row r="11339" spans="129:129" x14ac:dyDescent="0.2">
      <c r="DY11339" s="185" t="s">
        <v>215</v>
      </c>
    </row>
    <row r="11340" spans="129:129" x14ac:dyDescent="0.2">
      <c r="DY11340" s="185" t="s">
        <v>215</v>
      </c>
    </row>
    <row r="11341" spans="129:129" x14ac:dyDescent="0.2">
      <c r="DY11341" s="185" t="s">
        <v>215</v>
      </c>
    </row>
    <row r="11342" spans="129:129" x14ac:dyDescent="0.2">
      <c r="DY11342" s="185" t="s">
        <v>215</v>
      </c>
    </row>
    <row r="11343" spans="129:129" x14ac:dyDescent="0.2">
      <c r="DY11343" s="185" t="s">
        <v>215</v>
      </c>
    </row>
    <row r="11344" spans="129:129" x14ac:dyDescent="0.2">
      <c r="DY11344" s="185" t="s">
        <v>215</v>
      </c>
    </row>
    <row r="11345" spans="129:129" x14ac:dyDescent="0.2">
      <c r="DY11345" s="185" t="s">
        <v>215</v>
      </c>
    </row>
    <row r="11346" spans="129:129" x14ac:dyDescent="0.2">
      <c r="DY11346" s="185" t="s">
        <v>215</v>
      </c>
    </row>
    <row r="11347" spans="129:129" x14ac:dyDescent="0.2">
      <c r="DY11347" s="185" t="s">
        <v>215</v>
      </c>
    </row>
    <row r="11348" spans="129:129" x14ac:dyDescent="0.2">
      <c r="DY11348" s="185" t="s">
        <v>215</v>
      </c>
    </row>
    <row r="11349" spans="129:129" x14ac:dyDescent="0.2">
      <c r="DY11349" s="185" t="s">
        <v>215</v>
      </c>
    </row>
    <row r="11350" spans="129:129" x14ac:dyDescent="0.2">
      <c r="DY11350" s="185" t="s">
        <v>215</v>
      </c>
    </row>
    <row r="11351" spans="129:129" x14ac:dyDescent="0.2">
      <c r="DY11351" s="185" t="s">
        <v>215</v>
      </c>
    </row>
    <row r="11352" spans="129:129" x14ac:dyDescent="0.2">
      <c r="DY11352" s="185" t="s">
        <v>215</v>
      </c>
    </row>
    <row r="11353" spans="129:129" x14ac:dyDescent="0.2">
      <c r="DY11353" s="185" t="s">
        <v>215</v>
      </c>
    </row>
    <row r="11354" spans="129:129" x14ac:dyDescent="0.2">
      <c r="DY11354" s="185" t="s">
        <v>215</v>
      </c>
    </row>
    <row r="11355" spans="129:129" x14ac:dyDescent="0.2">
      <c r="DY11355" s="185" t="s">
        <v>215</v>
      </c>
    </row>
    <row r="11356" spans="129:129" x14ac:dyDescent="0.2">
      <c r="DY11356" s="185" t="s">
        <v>215</v>
      </c>
    </row>
    <row r="11357" spans="129:129" x14ac:dyDescent="0.2">
      <c r="DY11357" s="185" t="s">
        <v>215</v>
      </c>
    </row>
    <row r="11358" spans="129:129" x14ac:dyDescent="0.2">
      <c r="DY11358" s="185" t="s">
        <v>215</v>
      </c>
    </row>
    <row r="11359" spans="129:129" x14ac:dyDescent="0.2">
      <c r="DY11359" s="185" t="s">
        <v>215</v>
      </c>
    </row>
    <row r="11360" spans="129:129" x14ac:dyDescent="0.2">
      <c r="DY11360" s="185" t="s">
        <v>215</v>
      </c>
    </row>
    <row r="11361" spans="129:129" x14ac:dyDescent="0.2">
      <c r="DY11361" s="185" t="s">
        <v>215</v>
      </c>
    </row>
    <row r="11362" spans="129:129" x14ac:dyDescent="0.2">
      <c r="DY11362" s="185" t="s">
        <v>215</v>
      </c>
    </row>
    <row r="11363" spans="129:129" x14ac:dyDescent="0.2">
      <c r="DY11363" s="185" t="s">
        <v>215</v>
      </c>
    </row>
    <row r="11364" spans="129:129" x14ac:dyDescent="0.2">
      <c r="DY11364" s="185" t="s">
        <v>215</v>
      </c>
    </row>
    <row r="11365" spans="129:129" x14ac:dyDescent="0.2">
      <c r="DY11365" s="185" t="s">
        <v>215</v>
      </c>
    </row>
    <row r="11366" spans="129:129" x14ac:dyDescent="0.2">
      <c r="DY11366" s="185" t="s">
        <v>215</v>
      </c>
    </row>
    <row r="11367" spans="129:129" x14ac:dyDescent="0.2">
      <c r="DY11367" s="185" t="s">
        <v>215</v>
      </c>
    </row>
    <row r="11368" spans="129:129" x14ac:dyDescent="0.2">
      <c r="DY11368" s="185" t="s">
        <v>215</v>
      </c>
    </row>
    <row r="11369" spans="129:129" x14ac:dyDescent="0.2">
      <c r="DY11369" s="185" t="s">
        <v>215</v>
      </c>
    </row>
    <row r="11370" spans="129:129" x14ac:dyDescent="0.2">
      <c r="DY11370" s="185" t="s">
        <v>215</v>
      </c>
    </row>
    <row r="11371" spans="129:129" x14ac:dyDescent="0.2">
      <c r="DY11371" s="185" t="s">
        <v>215</v>
      </c>
    </row>
    <row r="11372" spans="129:129" x14ac:dyDescent="0.2">
      <c r="DY11372" s="185" t="s">
        <v>215</v>
      </c>
    </row>
    <row r="11373" spans="129:129" x14ac:dyDescent="0.2">
      <c r="DY11373" s="185" t="s">
        <v>215</v>
      </c>
    </row>
    <row r="11374" spans="129:129" x14ac:dyDescent="0.2">
      <c r="DY11374" s="185" t="s">
        <v>215</v>
      </c>
    </row>
    <row r="11375" spans="129:129" x14ac:dyDescent="0.2">
      <c r="DY11375" s="185" t="s">
        <v>215</v>
      </c>
    </row>
    <row r="11376" spans="129:129" x14ac:dyDescent="0.2">
      <c r="DY11376" s="185" t="s">
        <v>215</v>
      </c>
    </row>
    <row r="11377" spans="129:129" x14ac:dyDescent="0.2">
      <c r="DY11377" s="185" t="s">
        <v>215</v>
      </c>
    </row>
    <row r="11378" spans="129:129" x14ac:dyDescent="0.2">
      <c r="DY11378" s="185" t="s">
        <v>215</v>
      </c>
    </row>
    <row r="11379" spans="129:129" x14ac:dyDescent="0.2">
      <c r="DY11379" s="185" t="s">
        <v>215</v>
      </c>
    </row>
    <row r="11380" spans="129:129" x14ac:dyDescent="0.2">
      <c r="DY11380" s="185" t="s">
        <v>215</v>
      </c>
    </row>
    <row r="11381" spans="129:129" x14ac:dyDescent="0.2">
      <c r="DY11381" s="185" t="s">
        <v>215</v>
      </c>
    </row>
    <row r="11382" spans="129:129" x14ac:dyDescent="0.2">
      <c r="DY11382" s="185" t="s">
        <v>215</v>
      </c>
    </row>
    <row r="11383" spans="129:129" x14ac:dyDescent="0.2">
      <c r="DY11383" s="185" t="s">
        <v>215</v>
      </c>
    </row>
    <row r="11384" spans="129:129" x14ac:dyDescent="0.2">
      <c r="DY11384" s="185" t="s">
        <v>215</v>
      </c>
    </row>
    <row r="11385" spans="129:129" x14ac:dyDescent="0.2">
      <c r="DY11385" s="185" t="s">
        <v>215</v>
      </c>
    </row>
    <row r="11386" spans="129:129" x14ac:dyDescent="0.2">
      <c r="DY11386" s="185" t="s">
        <v>215</v>
      </c>
    </row>
    <row r="11387" spans="129:129" x14ac:dyDescent="0.2">
      <c r="DY11387" s="185" t="s">
        <v>215</v>
      </c>
    </row>
    <row r="11388" spans="129:129" x14ac:dyDescent="0.2">
      <c r="DY11388" s="185" t="s">
        <v>215</v>
      </c>
    </row>
    <row r="11389" spans="129:129" x14ac:dyDescent="0.2">
      <c r="DY11389" s="185" t="s">
        <v>215</v>
      </c>
    </row>
    <row r="11390" spans="129:129" x14ac:dyDescent="0.2">
      <c r="DY11390" s="185" t="s">
        <v>215</v>
      </c>
    </row>
    <row r="11391" spans="129:129" x14ac:dyDescent="0.2">
      <c r="DY11391" s="185" t="s">
        <v>215</v>
      </c>
    </row>
    <row r="11392" spans="129:129" x14ac:dyDescent="0.2">
      <c r="DY11392" s="185" t="s">
        <v>215</v>
      </c>
    </row>
    <row r="11393" spans="129:129" x14ac:dyDescent="0.2">
      <c r="DY11393" s="185" t="s">
        <v>215</v>
      </c>
    </row>
    <row r="11394" spans="129:129" x14ac:dyDescent="0.2">
      <c r="DY11394" s="185" t="s">
        <v>215</v>
      </c>
    </row>
    <row r="11395" spans="129:129" x14ac:dyDescent="0.2">
      <c r="DY11395" s="185" t="s">
        <v>215</v>
      </c>
    </row>
    <row r="11396" spans="129:129" x14ac:dyDescent="0.2">
      <c r="DY11396" s="185" t="s">
        <v>215</v>
      </c>
    </row>
    <row r="11397" spans="129:129" x14ac:dyDescent="0.2">
      <c r="DY11397" s="185" t="s">
        <v>215</v>
      </c>
    </row>
    <row r="11398" spans="129:129" x14ac:dyDescent="0.2">
      <c r="DY11398" s="185" t="s">
        <v>215</v>
      </c>
    </row>
    <row r="11399" spans="129:129" x14ac:dyDescent="0.2">
      <c r="DY11399" s="185" t="s">
        <v>215</v>
      </c>
    </row>
    <row r="11400" spans="129:129" x14ac:dyDescent="0.2">
      <c r="DY11400" s="185" t="s">
        <v>215</v>
      </c>
    </row>
    <row r="11401" spans="129:129" x14ac:dyDescent="0.2">
      <c r="DY11401" s="185" t="s">
        <v>215</v>
      </c>
    </row>
    <row r="11402" spans="129:129" x14ac:dyDescent="0.2">
      <c r="DY11402" s="185" t="s">
        <v>215</v>
      </c>
    </row>
    <row r="11403" spans="129:129" x14ac:dyDescent="0.2">
      <c r="DY11403" s="185" t="s">
        <v>215</v>
      </c>
    </row>
    <row r="11404" spans="129:129" x14ac:dyDescent="0.2">
      <c r="DY11404" s="185" t="s">
        <v>215</v>
      </c>
    </row>
    <row r="11405" spans="129:129" x14ac:dyDescent="0.2">
      <c r="DY11405" s="185" t="s">
        <v>215</v>
      </c>
    </row>
    <row r="11406" spans="129:129" x14ac:dyDescent="0.2">
      <c r="DY11406" s="185" t="s">
        <v>215</v>
      </c>
    </row>
    <row r="11407" spans="129:129" x14ac:dyDescent="0.2">
      <c r="DY11407" s="185" t="s">
        <v>215</v>
      </c>
    </row>
    <row r="11408" spans="129:129" x14ac:dyDescent="0.2">
      <c r="DY11408" s="185" t="s">
        <v>215</v>
      </c>
    </row>
    <row r="11409" spans="129:129" x14ac:dyDescent="0.2">
      <c r="DY11409" s="185" t="s">
        <v>215</v>
      </c>
    </row>
    <row r="11410" spans="129:129" x14ac:dyDescent="0.2">
      <c r="DY11410" s="185" t="s">
        <v>215</v>
      </c>
    </row>
    <row r="11411" spans="129:129" x14ac:dyDescent="0.2">
      <c r="DY11411" s="185" t="s">
        <v>215</v>
      </c>
    </row>
    <row r="11412" spans="129:129" x14ac:dyDescent="0.2">
      <c r="DY11412" s="185" t="s">
        <v>215</v>
      </c>
    </row>
    <row r="11413" spans="129:129" x14ac:dyDescent="0.2">
      <c r="DY11413" s="185" t="s">
        <v>215</v>
      </c>
    </row>
    <row r="11414" spans="129:129" x14ac:dyDescent="0.2">
      <c r="DY11414" s="185" t="s">
        <v>215</v>
      </c>
    </row>
    <row r="11415" spans="129:129" x14ac:dyDescent="0.2">
      <c r="DY11415" s="185" t="s">
        <v>215</v>
      </c>
    </row>
    <row r="11416" spans="129:129" x14ac:dyDescent="0.2">
      <c r="DY11416" s="185" t="s">
        <v>215</v>
      </c>
    </row>
    <row r="11417" spans="129:129" x14ac:dyDescent="0.2">
      <c r="DY11417" s="185" t="s">
        <v>215</v>
      </c>
    </row>
    <row r="11418" spans="129:129" x14ac:dyDescent="0.2">
      <c r="DY11418" s="185" t="s">
        <v>215</v>
      </c>
    </row>
    <row r="11419" spans="129:129" x14ac:dyDescent="0.2">
      <c r="DY11419" s="185" t="s">
        <v>215</v>
      </c>
    </row>
    <row r="11420" spans="129:129" x14ac:dyDescent="0.2">
      <c r="DY11420" s="185" t="s">
        <v>215</v>
      </c>
    </row>
    <row r="11421" spans="129:129" x14ac:dyDescent="0.2">
      <c r="DY11421" s="185" t="s">
        <v>215</v>
      </c>
    </row>
    <row r="11422" spans="129:129" x14ac:dyDescent="0.2">
      <c r="DY11422" s="185" t="s">
        <v>215</v>
      </c>
    </row>
    <row r="11423" spans="129:129" x14ac:dyDescent="0.2">
      <c r="DY11423" s="185" t="s">
        <v>215</v>
      </c>
    </row>
    <row r="11424" spans="129:129" x14ac:dyDescent="0.2">
      <c r="DY11424" s="185" t="s">
        <v>215</v>
      </c>
    </row>
    <row r="11425" spans="129:129" x14ac:dyDescent="0.2">
      <c r="DY11425" s="185" t="s">
        <v>215</v>
      </c>
    </row>
    <row r="11426" spans="129:129" x14ac:dyDescent="0.2">
      <c r="DY11426" s="185" t="s">
        <v>215</v>
      </c>
    </row>
    <row r="11427" spans="129:129" x14ac:dyDescent="0.2">
      <c r="DY11427" s="185" t="s">
        <v>215</v>
      </c>
    </row>
    <row r="11428" spans="129:129" x14ac:dyDescent="0.2">
      <c r="DY11428" s="185" t="s">
        <v>215</v>
      </c>
    </row>
    <row r="11429" spans="129:129" x14ac:dyDescent="0.2">
      <c r="DY11429" s="185" t="s">
        <v>215</v>
      </c>
    </row>
    <row r="11430" spans="129:129" x14ac:dyDescent="0.2">
      <c r="DY11430" s="185" t="s">
        <v>215</v>
      </c>
    </row>
    <row r="11431" spans="129:129" x14ac:dyDescent="0.2">
      <c r="DY11431" s="185" t="s">
        <v>215</v>
      </c>
    </row>
    <row r="11432" spans="129:129" x14ac:dyDescent="0.2">
      <c r="DY11432" s="185" t="s">
        <v>215</v>
      </c>
    </row>
    <row r="11433" spans="129:129" x14ac:dyDescent="0.2">
      <c r="DY11433" s="185" t="s">
        <v>215</v>
      </c>
    </row>
    <row r="11434" spans="129:129" x14ac:dyDescent="0.2">
      <c r="DY11434" s="185" t="s">
        <v>215</v>
      </c>
    </row>
    <row r="11435" spans="129:129" x14ac:dyDescent="0.2">
      <c r="DY11435" s="185" t="s">
        <v>215</v>
      </c>
    </row>
    <row r="11436" spans="129:129" x14ac:dyDescent="0.2">
      <c r="DY11436" s="185" t="s">
        <v>215</v>
      </c>
    </row>
    <row r="11437" spans="129:129" x14ac:dyDescent="0.2">
      <c r="DY11437" s="185" t="s">
        <v>215</v>
      </c>
    </row>
    <row r="11438" spans="129:129" x14ac:dyDescent="0.2">
      <c r="DY11438" s="185" t="s">
        <v>215</v>
      </c>
    </row>
    <row r="11439" spans="129:129" x14ac:dyDescent="0.2">
      <c r="DY11439" s="185" t="s">
        <v>215</v>
      </c>
    </row>
    <row r="11440" spans="129:129" x14ac:dyDescent="0.2">
      <c r="DY11440" s="185" t="s">
        <v>215</v>
      </c>
    </row>
    <row r="11441" spans="129:129" x14ac:dyDescent="0.2">
      <c r="DY11441" s="185" t="s">
        <v>215</v>
      </c>
    </row>
    <row r="11442" spans="129:129" x14ac:dyDescent="0.2">
      <c r="DY11442" s="185" t="s">
        <v>215</v>
      </c>
    </row>
    <row r="11443" spans="129:129" x14ac:dyDescent="0.2">
      <c r="DY11443" s="185" t="s">
        <v>215</v>
      </c>
    </row>
    <row r="11444" spans="129:129" x14ac:dyDescent="0.2">
      <c r="DY11444" s="185" t="s">
        <v>215</v>
      </c>
    </row>
    <row r="11445" spans="129:129" x14ac:dyDescent="0.2">
      <c r="DY11445" s="185" t="s">
        <v>215</v>
      </c>
    </row>
    <row r="11446" spans="129:129" x14ac:dyDescent="0.2">
      <c r="DY11446" s="185" t="s">
        <v>215</v>
      </c>
    </row>
    <row r="11447" spans="129:129" x14ac:dyDescent="0.2">
      <c r="DY11447" s="185" t="s">
        <v>215</v>
      </c>
    </row>
    <row r="11448" spans="129:129" x14ac:dyDescent="0.2">
      <c r="DY11448" s="185" t="s">
        <v>215</v>
      </c>
    </row>
    <row r="11449" spans="129:129" x14ac:dyDescent="0.2">
      <c r="DY11449" s="185" t="s">
        <v>215</v>
      </c>
    </row>
    <row r="11450" spans="129:129" x14ac:dyDescent="0.2">
      <c r="DY11450" s="185" t="s">
        <v>215</v>
      </c>
    </row>
    <row r="11451" spans="129:129" x14ac:dyDescent="0.2">
      <c r="DY11451" s="185" t="s">
        <v>215</v>
      </c>
    </row>
    <row r="11452" spans="129:129" x14ac:dyDescent="0.2">
      <c r="DY11452" s="185" t="s">
        <v>215</v>
      </c>
    </row>
    <row r="11453" spans="129:129" x14ac:dyDescent="0.2">
      <c r="DY11453" s="185" t="s">
        <v>215</v>
      </c>
    </row>
    <row r="11454" spans="129:129" x14ac:dyDescent="0.2">
      <c r="DY11454" s="185" t="s">
        <v>215</v>
      </c>
    </row>
    <row r="11455" spans="129:129" x14ac:dyDescent="0.2">
      <c r="DY11455" s="185" t="s">
        <v>215</v>
      </c>
    </row>
    <row r="11456" spans="129:129" x14ac:dyDescent="0.2">
      <c r="DY11456" s="185" t="s">
        <v>215</v>
      </c>
    </row>
    <row r="11457" spans="129:129" x14ac:dyDescent="0.2">
      <c r="DY11457" s="185" t="s">
        <v>215</v>
      </c>
    </row>
    <row r="11458" spans="129:129" x14ac:dyDescent="0.2">
      <c r="DY11458" s="185" t="s">
        <v>215</v>
      </c>
    </row>
    <row r="11459" spans="129:129" x14ac:dyDescent="0.2">
      <c r="DY11459" s="185" t="s">
        <v>215</v>
      </c>
    </row>
    <row r="11460" spans="129:129" x14ac:dyDescent="0.2">
      <c r="DY11460" s="185" t="s">
        <v>215</v>
      </c>
    </row>
    <row r="11461" spans="129:129" x14ac:dyDescent="0.2">
      <c r="DY11461" s="185" t="s">
        <v>215</v>
      </c>
    </row>
    <row r="11462" spans="129:129" x14ac:dyDescent="0.2">
      <c r="DY11462" s="185" t="s">
        <v>215</v>
      </c>
    </row>
    <row r="11463" spans="129:129" x14ac:dyDescent="0.2">
      <c r="DY11463" s="185" t="s">
        <v>215</v>
      </c>
    </row>
    <row r="11464" spans="129:129" x14ac:dyDescent="0.2">
      <c r="DY11464" s="185" t="s">
        <v>215</v>
      </c>
    </row>
    <row r="11465" spans="129:129" x14ac:dyDescent="0.2">
      <c r="DY11465" s="185" t="s">
        <v>215</v>
      </c>
    </row>
    <row r="11466" spans="129:129" x14ac:dyDescent="0.2">
      <c r="DY11466" s="185" t="s">
        <v>215</v>
      </c>
    </row>
    <row r="11467" spans="129:129" x14ac:dyDescent="0.2">
      <c r="DY11467" s="185" t="s">
        <v>215</v>
      </c>
    </row>
    <row r="11468" spans="129:129" x14ac:dyDescent="0.2">
      <c r="DY11468" s="185" t="s">
        <v>215</v>
      </c>
    </row>
    <row r="11469" spans="129:129" x14ac:dyDescent="0.2">
      <c r="DY11469" s="185" t="s">
        <v>215</v>
      </c>
    </row>
    <row r="11470" spans="129:129" x14ac:dyDescent="0.2">
      <c r="DY11470" s="185" t="s">
        <v>215</v>
      </c>
    </row>
    <row r="11471" spans="129:129" x14ac:dyDescent="0.2">
      <c r="DY11471" s="185" t="s">
        <v>215</v>
      </c>
    </row>
    <row r="11472" spans="129:129" x14ac:dyDescent="0.2">
      <c r="DY11472" s="185" t="s">
        <v>215</v>
      </c>
    </row>
    <row r="11473" spans="129:129" x14ac:dyDescent="0.2">
      <c r="DY11473" s="185" t="s">
        <v>215</v>
      </c>
    </row>
    <row r="11474" spans="129:129" x14ac:dyDescent="0.2">
      <c r="DY11474" s="185" t="s">
        <v>215</v>
      </c>
    </row>
    <row r="11475" spans="129:129" x14ac:dyDescent="0.2">
      <c r="DY11475" s="185" t="s">
        <v>215</v>
      </c>
    </row>
    <row r="11476" spans="129:129" x14ac:dyDescent="0.2">
      <c r="DY11476" s="185" t="s">
        <v>215</v>
      </c>
    </row>
    <row r="11477" spans="129:129" x14ac:dyDescent="0.2">
      <c r="DY11477" s="185" t="s">
        <v>215</v>
      </c>
    </row>
    <row r="11478" spans="129:129" x14ac:dyDescent="0.2">
      <c r="DY11478" s="185" t="s">
        <v>215</v>
      </c>
    </row>
    <row r="11479" spans="129:129" x14ac:dyDescent="0.2">
      <c r="DY11479" s="185" t="s">
        <v>215</v>
      </c>
    </row>
    <row r="11480" spans="129:129" x14ac:dyDescent="0.2">
      <c r="DY11480" s="185" t="s">
        <v>215</v>
      </c>
    </row>
    <row r="11481" spans="129:129" x14ac:dyDescent="0.2">
      <c r="DY11481" s="185" t="s">
        <v>215</v>
      </c>
    </row>
    <row r="11482" spans="129:129" x14ac:dyDescent="0.2">
      <c r="DY11482" s="185" t="s">
        <v>215</v>
      </c>
    </row>
    <row r="11483" spans="129:129" x14ac:dyDescent="0.2">
      <c r="DY11483" s="185" t="s">
        <v>215</v>
      </c>
    </row>
    <row r="11484" spans="129:129" x14ac:dyDescent="0.2">
      <c r="DY11484" s="185" t="s">
        <v>215</v>
      </c>
    </row>
    <row r="11485" spans="129:129" x14ac:dyDescent="0.2">
      <c r="DY11485" s="185" t="s">
        <v>215</v>
      </c>
    </row>
    <row r="11486" spans="129:129" x14ac:dyDescent="0.2">
      <c r="DY11486" s="185" t="s">
        <v>215</v>
      </c>
    </row>
    <row r="11487" spans="129:129" x14ac:dyDescent="0.2">
      <c r="DY11487" s="185" t="s">
        <v>215</v>
      </c>
    </row>
    <row r="11488" spans="129:129" x14ac:dyDescent="0.2">
      <c r="DY11488" s="185" t="s">
        <v>215</v>
      </c>
    </row>
    <row r="11489" spans="129:129" x14ac:dyDescent="0.2">
      <c r="DY11489" s="185" t="s">
        <v>215</v>
      </c>
    </row>
    <row r="11490" spans="129:129" x14ac:dyDescent="0.2">
      <c r="DY11490" s="185" t="s">
        <v>215</v>
      </c>
    </row>
    <row r="11491" spans="129:129" x14ac:dyDescent="0.2">
      <c r="DY11491" s="185" t="s">
        <v>215</v>
      </c>
    </row>
    <row r="11492" spans="129:129" x14ac:dyDescent="0.2">
      <c r="DY11492" s="185" t="s">
        <v>215</v>
      </c>
    </row>
    <row r="11493" spans="129:129" x14ac:dyDescent="0.2">
      <c r="DY11493" s="185" t="s">
        <v>215</v>
      </c>
    </row>
    <row r="11494" spans="129:129" x14ac:dyDescent="0.2">
      <c r="DY11494" s="185" t="s">
        <v>215</v>
      </c>
    </row>
    <row r="11495" spans="129:129" x14ac:dyDescent="0.2">
      <c r="DY11495" s="185" t="s">
        <v>215</v>
      </c>
    </row>
    <row r="11496" spans="129:129" x14ac:dyDescent="0.2">
      <c r="DY11496" s="185" t="s">
        <v>215</v>
      </c>
    </row>
    <row r="11497" spans="129:129" x14ac:dyDescent="0.2">
      <c r="DY11497" s="185" t="s">
        <v>215</v>
      </c>
    </row>
    <row r="11498" spans="129:129" x14ac:dyDescent="0.2">
      <c r="DY11498" s="185" t="s">
        <v>215</v>
      </c>
    </row>
    <row r="11499" spans="129:129" x14ac:dyDescent="0.2">
      <c r="DY11499" s="185" t="s">
        <v>215</v>
      </c>
    </row>
    <row r="11500" spans="129:129" x14ac:dyDescent="0.2">
      <c r="DY11500" s="185" t="s">
        <v>215</v>
      </c>
    </row>
    <row r="11501" spans="129:129" x14ac:dyDescent="0.2">
      <c r="DY11501" s="185" t="s">
        <v>215</v>
      </c>
    </row>
    <row r="11502" spans="129:129" x14ac:dyDescent="0.2">
      <c r="DY11502" s="185" t="s">
        <v>215</v>
      </c>
    </row>
    <row r="11503" spans="129:129" x14ac:dyDescent="0.2">
      <c r="DY11503" s="185" t="s">
        <v>215</v>
      </c>
    </row>
    <row r="11504" spans="129:129" x14ac:dyDescent="0.2">
      <c r="DY11504" s="185" t="s">
        <v>215</v>
      </c>
    </row>
    <row r="11505" spans="129:129" x14ac:dyDescent="0.2">
      <c r="DY11505" s="185" t="s">
        <v>215</v>
      </c>
    </row>
    <row r="11506" spans="129:129" x14ac:dyDescent="0.2">
      <c r="DY11506" s="185" t="s">
        <v>215</v>
      </c>
    </row>
    <row r="11507" spans="129:129" x14ac:dyDescent="0.2">
      <c r="DY11507" s="185" t="s">
        <v>215</v>
      </c>
    </row>
    <row r="11508" spans="129:129" x14ac:dyDescent="0.2">
      <c r="DY11508" s="185" t="s">
        <v>215</v>
      </c>
    </row>
    <row r="11509" spans="129:129" x14ac:dyDescent="0.2">
      <c r="DY11509" s="185" t="s">
        <v>215</v>
      </c>
    </row>
    <row r="11510" spans="129:129" x14ac:dyDescent="0.2">
      <c r="DY11510" s="185" t="s">
        <v>215</v>
      </c>
    </row>
    <row r="11511" spans="129:129" x14ac:dyDescent="0.2">
      <c r="DY11511" s="185" t="s">
        <v>215</v>
      </c>
    </row>
    <row r="11512" spans="129:129" x14ac:dyDescent="0.2">
      <c r="DY11512" s="185" t="s">
        <v>215</v>
      </c>
    </row>
    <row r="11513" spans="129:129" x14ac:dyDescent="0.2">
      <c r="DY11513" s="185" t="s">
        <v>215</v>
      </c>
    </row>
    <row r="11514" spans="129:129" x14ac:dyDescent="0.2">
      <c r="DY11514" s="185" t="s">
        <v>215</v>
      </c>
    </row>
    <row r="11515" spans="129:129" x14ac:dyDescent="0.2">
      <c r="DY11515" s="185" t="s">
        <v>215</v>
      </c>
    </row>
    <row r="11516" spans="129:129" x14ac:dyDescent="0.2">
      <c r="DY11516" s="185" t="s">
        <v>215</v>
      </c>
    </row>
    <row r="11517" spans="129:129" x14ac:dyDescent="0.2">
      <c r="DY11517" s="185" t="s">
        <v>215</v>
      </c>
    </row>
    <row r="11518" spans="129:129" x14ac:dyDescent="0.2">
      <c r="DY11518" s="185" t="s">
        <v>215</v>
      </c>
    </row>
    <row r="11519" spans="129:129" x14ac:dyDescent="0.2">
      <c r="DY11519" s="185" t="s">
        <v>215</v>
      </c>
    </row>
    <row r="11520" spans="129:129" x14ac:dyDescent="0.2">
      <c r="DY11520" s="185" t="s">
        <v>215</v>
      </c>
    </row>
    <row r="11521" spans="129:129" x14ac:dyDescent="0.2">
      <c r="DY11521" s="185" t="s">
        <v>215</v>
      </c>
    </row>
    <row r="11522" spans="129:129" x14ac:dyDescent="0.2">
      <c r="DY11522" s="185" t="s">
        <v>215</v>
      </c>
    </row>
    <row r="11523" spans="129:129" x14ac:dyDescent="0.2">
      <c r="DY11523" s="185" t="s">
        <v>215</v>
      </c>
    </row>
    <row r="11524" spans="129:129" x14ac:dyDescent="0.2">
      <c r="DY11524" s="185" t="s">
        <v>215</v>
      </c>
    </row>
    <row r="11525" spans="129:129" x14ac:dyDescent="0.2">
      <c r="DY11525" s="185" t="s">
        <v>215</v>
      </c>
    </row>
    <row r="11526" spans="129:129" x14ac:dyDescent="0.2">
      <c r="DY11526" s="185" t="s">
        <v>215</v>
      </c>
    </row>
    <row r="11527" spans="129:129" x14ac:dyDescent="0.2">
      <c r="DY11527" s="185" t="s">
        <v>215</v>
      </c>
    </row>
    <row r="11528" spans="129:129" x14ac:dyDescent="0.2">
      <c r="DY11528" s="185" t="s">
        <v>215</v>
      </c>
    </row>
    <row r="11529" spans="129:129" x14ac:dyDescent="0.2">
      <c r="DY11529" s="185" t="s">
        <v>215</v>
      </c>
    </row>
    <row r="11530" spans="129:129" x14ac:dyDescent="0.2">
      <c r="DY11530" s="185" t="s">
        <v>215</v>
      </c>
    </row>
    <row r="11531" spans="129:129" x14ac:dyDescent="0.2">
      <c r="DY11531" s="185" t="s">
        <v>215</v>
      </c>
    </row>
    <row r="11532" spans="129:129" x14ac:dyDescent="0.2">
      <c r="DY11532" s="185" t="s">
        <v>215</v>
      </c>
    </row>
    <row r="11533" spans="129:129" x14ac:dyDescent="0.2">
      <c r="DY11533" s="185" t="s">
        <v>215</v>
      </c>
    </row>
    <row r="11534" spans="129:129" x14ac:dyDescent="0.2">
      <c r="DY11534" s="185" t="s">
        <v>215</v>
      </c>
    </row>
    <row r="11535" spans="129:129" x14ac:dyDescent="0.2">
      <c r="DY11535" s="185" t="s">
        <v>215</v>
      </c>
    </row>
    <row r="11536" spans="129:129" x14ac:dyDescent="0.2">
      <c r="DY11536" s="185" t="s">
        <v>215</v>
      </c>
    </row>
    <row r="11537" spans="129:129" x14ac:dyDescent="0.2">
      <c r="DY11537" s="185" t="s">
        <v>215</v>
      </c>
    </row>
    <row r="11538" spans="129:129" x14ac:dyDescent="0.2">
      <c r="DY11538" s="185" t="s">
        <v>215</v>
      </c>
    </row>
    <row r="11539" spans="129:129" x14ac:dyDescent="0.2">
      <c r="DY11539" s="185" t="s">
        <v>215</v>
      </c>
    </row>
    <row r="11540" spans="129:129" x14ac:dyDescent="0.2">
      <c r="DY11540" s="185" t="s">
        <v>215</v>
      </c>
    </row>
    <row r="11541" spans="129:129" x14ac:dyDescent="0.2">
      <c r="DY11541" s="185" t="s">
        <v>215</v>
      </c>
    </row>
    <row r="11542" spans="129:129" x14ac:dyDescent="0.2">
      <c r="DY11542" s="185" t="s">
        <v>215</v>
      </c>
    </row>
    <row r="11543" spans="129:129" x14ac:dyDescent="0.2">
      <c r="DY11543" s="185" t="s">
        <v>215</v>
      </c>
    </row>
    <row r="11544" spans="129:129" x14ac:dyDescent="0.2">
      <c r="DY11544" s="185" t="s">
        <v>215</v>
      </c>
    </row>
    <row r="11545" spans="129:129" x14ac:dyDescent="0.2">
      <c r="DY11545" s="185" t="s">
        <v>215</v>
      </c>
    </row>
    <row r="11546" spans="129:129" x14ac:dyDescent="0.2">
      <c r="DY11546" s="185" t="s">
        <v>215</v>
      </c>
    </row>
    <row r="11547" spans="129:129" x14ac:dyDescent="0.2">
      <c r="DY11547" s="185" t="s">
        <v>215</v>
      </c>
    </row>
    <row r="11548" spans="129:129" x14ac:dyDescent="0.2">
      <c r="DY11548" s="185" t="s">
        <v>215</v>
      </c>
    </row>
    <row r="11549" spans="129:129" x14ac:dyDescent="0.2">
      <c r="DY11549" s="185" t="s">
        <v>215</v>
      </c>
    </row>
    <row r="11550" spans="129:129" x14ac:dyDescent="0.2">
      <c r="DY11550" s="185" t="s">
        <v>215</v>
      </c>
    </row>
    <row r="11551" spans="129:129" x14ac:dyDescent="0.2">
      <c r="DY11551" s="185" t="s">
        <v>215</v>
      </c>
    </row>
    <row r="11552" spans="129:129" x14ac:dyDescent="0.2">
      <c r="DY11552" s="185" t="s">
        <v>215</v>
      </c>
    </row>
    <row r="11553" spans="129:129" x14ac:dyDescent="0.2">
      <c r="DY11553" s="185" t="s">
        <v>215</v>
      </c>
    </row>
    <row r="11554" spans="129:129" x14ac:dyDescent="0.2">
      <c r="DY11554" s="185" t="s">
        <v>215</v>
      </c>
    </row>
    <row r="11555" spans="129:129" x14ac:dyDescent="0.2">
      <c r="DY11555" s="185" t="s">
        <v>215</v>
      </c>
    </row>
    <row r="11556" spans="129:129" x14ac:dyDescent="0.2">
      <c r="DY11556" s="185" t="s">
        <v>215</v>
      </c>
    </row>
    <row r="11557" spans="129:129" x14ac:dyDescent="0.2">
      <c r="DY11557" s="185" t="s">
        <v>215</v>
      </c>
    </row>
    <row r="11558" spans="129:129" x14ac:dyDescent="0.2">
      <c r="DY11558" s="185" t="s">
        <v>215</v>
      </c>
    </row>
    <row r="11559" spans="129:129" x14ac:dyDescent="0.2">
      <c r="DY11559" s="185" t="s">
        <v>215</v>
      </c>
    </row>
    <row r="11560" spans="129:129" x14ac:dyDescent="0.2">
      <c r="DY11560" s="185" t="s">
        <v>215</v>
      </c>
    </row>
    <row r="11561" spans="129:129" x14ac:dyDescent="0.2">
      <c r="DY11561" s="185" t="s">
        <v>215</v>
      </c>
    </row>
    <row r="11562" spans="129:129" x14ac:dyDescent="0.2">
      <c r="DY11562" s="185" t="s">
        <v>215</v>
      </c>
    </row>
    <row r="11563" spans="129:129" x14ac:dyDescent="0.2">
      <c r="DY11563" s="185" t="s">
        <v>215</v>
      </c>
    </row>
    <row r="11564" spans="129:129" x14ac:dyDescent="0.2">
      <c r="DY11564" s="185" t="s">
        <v>215</v>
      </c>
    </row>
    <row r="11565" spans="129:129" x14ac:dyDescent="0.2">
      <c r="DY11565" s="185" t="s">
        <v>215</v>
      </c>
    </row>
    <row r="11566" spans="129:129" x14ac:dyDescent="0.2">
      <c r="DY11566" s="185" t="s">
        <v>215</v>
      </c>
    </row>
    <row r="11567" spans="129:129" x14ac:dyDescent="0.2">
      <c r="DY11567" s="185" t="s">
        <v>215</v>
      </c>
    </row>
    <row r="11568" spans="129:129" x14ac:dyDescent="0.2">
      <c r="DY11568" s="185" t="s">
        <v>215</v>
      </c>
    </row>
    <row r="11569" spans="129:129" x14ac:dyDescent="0.2">
      <c r="DY11569" s="185" t="s">
        <v>215</v>
      </c>
    </row>
    <row r="11570" spans="129:129" x14ac:dyDescent="0.2">
      <c r="DY11570" s="185" t="s">
        <v>215</v>
      </c>
    </row>
    <row r="11571" spans="129:129" x14ac:dyDescent="0.2">
      <c r="DY11571" s="185" t="s">
        <v>215</v>
      </c>
    </row>
    <row r="11572" spans="129:129" x14ac:dyDescent="0.2">
      <c r="DY11572" s="185" t="s">
        <v>215</v>
      </c>
    </row>
    <row r="11573" spans="129:129" x14ac:dyDescent="0.2">
      <c r="DY11573" s="185" t="s">
        <v>215</v>
      </c>
    </row>
    <row r="11574" spans="129:129" x14ac:dyDescent="0.2">
      <c r="DY11574" s="185" t="s">
        <v>215</v>
      </c>
    </row>
    <row r="11575" spans="129:129" x14ac:dyDescent="0.2">
      <c r="DY11575" s="185" t="s">
        <v>215</v>
      </c>
    </row>
    <row r="11576" spans="129:129" x14ac:dyDescent="0.2">
      <c r="DY11576" s="185" t="s">
        <v>215</v>
      </c>
    </row>
    <row r="11577" spans="129:129" x14ac:dyDescent="0.2">
      <c r="DY11577" s="185" t="s">
        <v>215</v>
      </c>
    </row>
    <row r="11578" spans="129:129" x14ac:dyDescent="0.2">
      <c r="DY11578" s="185" t="s">
        <v>215</v>
      </c>
    </row>
    <row r="11579" spans="129:129" x14ac:dyDescent="0.2">
      <c r="DY11579" s="185" t="s">
        <v>215</v>
      </c>
    </row>
    <row r="11580" spans="129:129" x14ac:dyDescent="0.2">
      <c r="DY11580" s="185" t="s">
        <v>215</v>
      </c>
    </row>
    <row r="11581" spans="129:129" x14ac:dyDescent="0.2">
      <c r="DY11581" s="185" t="s">
        <v>215</v>
      </c>
    </row>
    <row r="11582" spans="129:129" x14ac:dyDescent="0.2">
      <c r="DY11582" s="185" t="s">
        <v>215</v>
      </c>
    </row>
    <row r="11583" spans="129:129" x14ac:dyDescent="0.2">
      <c r="DY11583" s="185" t="s">
        <v>215</v>
      </c>
    </row>
    <row r="11584" spans="129:129" x14ac:dyDescent="0.2">
      <c r="DY11584" s="185" t="s">
        <v>215</v>
      </c>
    </row>
    <row r="11585" spans="129:129" x14ac:dyDescent="0.2">
      <c r="DY11585" s="185" t="s">
        <v>215</v>
      </c>
    </row>
    <row r="11586" spans="129:129" x14ac:dyDescent="0.2">
      <c r="DY11586" s="185" t="s">
        <v>215</v>
      </c>
    </row>
    <row r="11587" spans="129:129" x14ac:dyDescent="0.2">
      <c r="DY11587" s="185" t="s">
        <v>215</v>
      </c>
    </row>
    <row r="11588" spans="129:129" x14ac:dyDescent="0.2">
      <c r="DY11588" s="185" t="s">
        <v>215</v>
      </c>
    </row>
    <row r="11589" spans="129:129" x14ac:dyDescent="0.2">
      <c r="DY11589" s="185" t="s">
        <v>215</v>
      </c>
    </row>
    <row r="11590" spans="129:129" x14ac:dyDescent="0.2">
      <c r="DY11590" s="185" t="s">
        <v>215</v>
      </c>
    </row>
    <row r="11591" spans="129:129" x14ac:dyDescent="0.2">
      <c r="DY11591" s="185" t="s">
        <v>215</v>
      </c>
    </row>
    <row r="11592" spans="129:129" x14ac:dyDescent="0.2">
      <c r="DY11592" s="185" t="s">
        <v>215</v>
      </c>
    </row>
    <row r="11593" spans="129:129" x14ac:dyDescent="0.2">
      <c r="DY11593" s="185" t="s">
        <v>215</v>
      </c>
    </row>
    <row r="11594" spans="129:129" x14ac:dyDescent="0.2">
      <c r="DY11594" s="185" t="s">
        <v>215</v>
      </c>
    </row>
    <row r="11595" spans="129:129" x14ac:dyDescent="0.2">
      <c r="DY11595" s="185" t="s">
        <v>215</v>
      </c>
    </row>
    <row r="11596" spans="129:129" x14ac:dyDescent="0.2">
      <c r="DY11596" s="185" t="s">
        <v>215</v>
      </c>
    </row>
    <row r="11597" spans="129:129" x14ac:dyDescent="0.2">
      <c r="DY11597" s="185" t="s">
        <v>215</v>
      </c>
    </row>
    <row r="11598" spans="129:129" x14ac:dyDescent="0.2">
      <c r="DY11598" s="185" t="s">
        <v>215</v>
      </c>
    </row>
    <row r="11599" spans="129:129" x14ac:dyDescent="0.2">
      <c r="DY11599" s="185" t="s">
        <v>215</v>
      </c>
    </row>
    <row r="11600" spans="129:129" x14ac:dyDescent="0.2">
      <c r="DY11600" s="185" t="s">
        <v>215</v>
      </c>
    </row>
    <row r="11601" spans="129:129" x14ac:dyDescent="0.2">
      <c r="DY11601" s="185" t="s">
        <v>215</v>
      </c>
    </row>
    <row r="11602" spans="129:129" x14ac:dyDescent="0.2">
      <c r="DY11602" s="185" t="s">
        <v>215</v>
      </c>
    </row>
    <row r="11603" spans="129:129" x14ac:dyDescent="0.2">
      <c r="DY11603" s="185" t="s">
        <v>215</v>
      </c>
    </row>
    <row r="11604" spans="129:129" x14ac:dyDescent="0.2">
      <c r="DY11604" s="185" t="s">
        <v>215</v>
      </c>
    </row>
    <row r="11605" spans="129:129" x14ac:dyDescent="0.2">
      <c r="DY11605" s="185" t="s">
        <v>215</v>
      </c>
    </row>
    <row r="11606" spans="129:129" x14ac:dyDescent="0.2">
      <c r="DY11606" s="185" t="s">
        <v>215</v>
      </c>
    </row>
    <row r="11607" spans="129:129" x14ac:dyDescent="0.2">
      <c r="DY11607" s="185" t="s">
        <v>215</v>
      </c>
    </row>
    <row r="11608" spans="129:129" x14ac:dyDescent="0.2">
      <c r="DY11608" s="185" t="s">
        <v>215</v>
      </c>
    </row>
    <row r="11609" spans="129:129" x14ac:dyDescent="0.2">
      <c r="DY11609" s="185" t="s">
        <v>215</v>
      </c>
    </row>
    <row r="11610" spans="129:129" x14ac:dyDescent="0.2">
      <c r="DY11610" s="185" t="s">
        <v>215</v>
      </c>
    </row>
    <row r="11611" spans="129:129" x14ac:dyDescent="0.2">
      <c r="DY11611" s="185" t="s">
        <v>215</v>
      </c>
    </row>
    <row r="11612" spans="129:129" x14ac:dyDescent="0.2">
      <c r="DY11612" s="185" t="s">
        <v>215</v>
      </c>
    </row>
    <row r="11613" spans="129:129" x14ac:dyDescent="0.2">
      <c r="DY11613" s="185" t="s">
        <v>215</v>
      </c>
    </row>
    <row r="11614" spans="129:129" x14ac:dyDescent="0.2">
      <c r="DY11614" s="185" t="s">
        <v>215</v>
      </c>
    </row>
    <row r="11615" spans="129:129" x14ac:dyDescent="0.2">
      <c r="DY11615" s="185" t="s">
        <v>215</v>
      </c>
    </row>
    <row r="11616" spans="129:129" x14ac:dyDescent="0.2">
      <c r="DY11616" s="185" t="s">
        <v>215</v>
      </c>
    </row>
    <row r="11617" spans="129:129" x14ac:dyDescent="0.2">
      <c r="DY11617" s="185" t="s">
        <v>215</v>
      </c>
    </row>
    <row r="11618" spans="129:129" x14ac:dyDescent="0.2">
      <c r="DY11618" s="185" t="s">
        <v>215</v>
      </c>
    </row>
    <row r="11619" spans="129:129" x14ac:dyDescent="0.2">
      <c r="DY11619" s="185" t="s">
        <v>215</v>
      </c>
    </row>
    <row r="11620" spans="129:129" x14ac:dyDescent="0.2">
      <c r="DY11620" s="185" t="s">
        <v>215</v>
      </c>
    </row>
    <row r="11621" spans="129:129" x14ac:dyDescent="0.2">
      <c r="DY11621" s="185" t="s">
        <v>215</v>
      </c>
    </row>
    <row r="11622" spans="129:129" x14ac:dyDescent="0.2">
      <c r="DY11622" s="185" t="s">
        <v>215</v>
      </c>
    </row>
    <row r="11623" spans="129:129" x14ac:dyDescent="0.2">
      <c r="DY11623" s="185" t="s">
        <v>215</v>
      </c>
    </row>
    <row r="11624" spans="129:129" x14ac:dyDescent="0.2">
      <c r="DY11624" s="185" t="s">
        <v>215</v>
      </c>
    </row>
    <row r="11625" spans="129:129" x14ac:dyDescent="0.2">
      <c r="DY11625" s="185" t="s">
        <v>215</v>
      </c>
    </row>
    <row r="11626" spans="129:129" x14ac:dyDescent="0.2">
      <c r="DY11626" s="185" t="s">
        <v>215</v>
      </c>
    </row>
    <row r="11627" spans="129:129" x14ac:dyDescent="0.2">
      <c r="DY11627" s="185" t="s">
        <v>215</v>
      </c>
    </row>
    <row r="11628" spans="129:129" x14ac:dyDescent="0.2">
      <c r="DY11628" s="185" t="s">
        <v>215</v>
      </c>
    </row>
    <row r="11629" spans="129:129" x14ac:dyDescent="0.2">
      <c r="DY11629" s="185" t="s">
        <v>215</v>
      </c>
    </row>
    <row r="11630" spans="129:129" x14ac:dyDescent="0.2">
      <c r="DY11630" s="185" t="s">
        <v>215</v>
      </c>
    </row>
    <row r="11631" spans="129:129" x14ac:dyDescent="0.2">
      <c r="DY11631" s="185" t="s">
        <v>215</v>
      </c>
    </row>
    <row r="11632" spans="129:129" x14ac:dyDescent="0.2">
      <c r="DY11632" s="185" t="s">
        <v>215</v>
      </c>
    </row>
    <row r="11633" spans="129:129" x14ac:dyDescent="0.2">
      <c r="DY11633" s="185" t="s">
        <v>215</v>
      </c>
    </row>
    <row r="11634" spans="129:129" x14ac:dyDescent="0.2">
      <c r="DY11634" s="185" t="s">
        <v>215</v>
      </c>
    </row>
    <row r="11635" spans="129:129" x14ac:dyDescent="0.2">
      <c r="DY11635" s="185" t="s">
        <v>215</v>
      </c>
    </row>
    <row r="11636" spans="129:129" x14ac:dyDescent="0.2">
      <c r="DY11636" s="185" t="s">
        <v>215</v>
      </c>
    </row>
    <row r="11637" spans="129:129" x14ac:dyDescent="0.2">
      <c r="DY11637" s="185" t="s">
        <v>215</v>
      </c>
    </row>
    <row r="11638" spans="129:129" x14ac:dyDescent="0.2">
      <c r="DY11638" s="185" t="s">
        <v>215</v>
      </c>
    </row>
    <row r="11639" spans="129:129" x14ac:dyDescent="0.2">
      <c r="DY11639" s="185" t="s">
        <v>215</v>
      </c>
    </row>
    <row r="11640" spans="129:129" x14ac:dyDescent="0.2">
      <c r="DY11640" s="185" t="s">
        <v>215</v>
      </c>
    </row>
    <row r="11641" spans="129:129" x14ac:dyDescent="0.2">
      <c r="DY11641" s="185" t="s">
        <v>215</v>
      </c>
    </row>
    <row r="11642" spans="129:129" x14ac:dyDescent="0.2">
      <c r="DY11642" s="185" t="s">
        <v>215</v>
      </c>
    </row>
    <row r="11643" spans="129:129" x14ac:dyDescent="0.2">
      <c r="DY11643" s="185" t="s">
        <v>215</v>
      </c>
    </row>
    <row r="11644" spans="129:129" x14ac:dyDescent="0.2">
      <c r="DY11644" s="185" t="s">
        <v>215</v>
      </c>
    </row>
    <row r="11645" spans="129:129" x14ac:dyDescent="0.2">
      <c r="DY11645" s="185" t="s">
        <v>215</v>
      </c>
    </row>
    <row r="11646" spans="129:129" x14ac:dyDescent="0.2">
      <c r="DY11646" s="185" t="s">
        <v>215</v>
      </c>
    </row>
    <row r="11647" spans="129:129" x14ac:dyDescent="0.2">
      <c r="DY11647" s="185" t="s">
        <v>215</v>
      </c>
    </row>
    <row r="11648" spans="129:129" x14ac:dyDescent="0.2">
      <c r="DY11648" s="185" t="s">
        <v>215</v>
      </c>
    </row>
    <row r="11649" spans="129:129" x14ac:dyDescent="0.2">
      <c r="DY11649" s="185" t="s">
        <v>215</v>
      </c>
    </row>
    <row r="11650" spans="129:129" x14ac:dyDescent="0.2">
      <c r="DY11650" s="185" t="s">
        <v>215</v>
      </c>
    </row>
    <row r="11651" spans="129:129" x14ac:dyDescent="0.2">
      <c r="DY11651" s="185" t="s">
        <v>215</v>
      </c>
    </row>
    <row r="11652" spans="129:129" x14ac:dyDescent="0.2">
      <c r="DY11652" s="185" t="s">
        <v>215</v>
      </c>
    </row>
    <row r="11653" spans="129:129" x14ac:dyDescent="0.2">
      <c r="DY11653" s="185" t="s">
        <v>215</v>
      </c>
    </row>
    <row r="11654" spans="129:129" x14ac:dyDescent="0.2">
      <c r="DY11654" s="185" t="s">
        <v>215</v>
      </c>
    </row>
    <row r="11655" spans="129:129" x14ac:dyDescent="0.2">
      <c r="DY11655" s="185" t="s">
        <v>215</v>
      </c>
    </row>
    <row r="11656" spans="129:129" x14ac:dyDescent="0.2">
      <c r="DY11656" s="185" t="s">
        <v>215</v>
      </c>
    </row>
    <row r="11657" spans="129:129" x14ac:dyDescent="0.2">
      <c r="DY11657" s="185" t="s">
        <v>215</v>
      </c>
    </row>
    <row r="11658" spans="129:129" x14ac:dyDescent="0.2">
      <c r="DY11658" s="185" t="s">
        <v>215</v>
      </c>
    </row>
    <row r="11659" spans="129:129" x14ac:dyDescent="0.2">
      <c r="DY11659" s="185" t="s">
        <v>215</v>
      </c>
    </row>
    <row r="11660" spans="129:129" x14ac:dyDescent="0.2">
      <c r="DY11660" s="185" t="s">
        <v>215</v>
      </c>
    </row>
    <row r="11661" spans="129:129" x14ac:dyDescent="0.2">
      <c r="DY11661" s="185" t="s">
        <v>215</v>
      </c>
    </row>
    <row r="11662" spans="129:129" x14ac:dyDescent="0.2">
      <c r="DY11662" s="185" t="s">
        <v>215</v>
      </c>
    </row>
    <row r="11663" spans="129:129" x14ac:dyDescent="0.2">
      <c r="DY11663" s="185" t="s">
        <v>215</v>
      </c>
    </row>
    <row r="11664" spans="129:129" x14ac:dyDescent="0.2">
      <c r="DY11664" s="185" t="s">
        <v>215</v>
      </c>
    </row>
    <row r="11665" spans="129:129" x14ac:dyDescent="0.2">
      <c r="DY11665" s="185" t="s">
        <v>215</v>
      </c>
    </row>
    <row r="11666" spans="129:129" x14ac:dyDescent="0.2">
      <c r="DY11666" s="185" t="s">
        <v>215</v>
      </c>
    </row>
    <row r="11667" spans="129:129" x14ac:dyDescent="0.2">
      <c r="DY11667" s="185" t="s">
        <v>215</v>
      </c>
    </row>
    <row r="11668" spans="129:129" x14ac:dyDescent="0.2">
      <c r="DY11668" s="185" t="s">
        <v>215</v>
      </c>
    </row>
    <row r="11669" spans="129:129" x14ac:dyDescent="0.2">
      <c r="DY11669" s="185" t="s">
        <v>215</v>
      </c>
    </row>
    <row r="11670" spans="129:129" x14ac:dyDescent="0.2">
      <c r="DY11670" s="185" t="s">
        <v>215</v>
      </c>
    </row>
    <row r="11671" spans="129:129" x14ac:dyDescent="0.2">
      <c r="DY11671" s="185" t="s">
        <v>215</v>
      </c>
    </row>
    <row r="11672" spans="129:129" x14ac:dyDescent="0.2">
      <c r="DY11672" s="185" t="s">
        <v>215</v>
      </c>
    </row>
    <row r="11673" spans="129:129" x14ac:dyDescent="0.2">
      <c r="DY11673" s="185" t="s">
        <v>215</v>
      </c>
    </row>
    <row r="11674" spans="129:129" x14ac:dyDescent="0.2">
      <c r="DY11674" s="185" t="s">
        <v>215</v>
      </c>
    </row>
    <row r="11675" spans="129:129" x14ac:dyDescent="0.2">
      <c r="DY11675" s="185" t="s">
        <v>215</v>
      </c>
    </row>
    <row r="11676" spans="129:129" x14ac:dyDescent="0.2">
      <c r="DY11676" s="185" t="s">
        <v>215</v>
      </c>
    </row>
    <row r="11677" spans="129:129" x14ac:dyDescent="0.2">
      <c r="DY11677" s="185" t="s">
        <v>215</v>
      </c>
    </row>
    <row r="11678" spans="129:129" x14ac:dyDescent="0.2">
      <c r="DY11678" s="185" t="s">
        <v>215</v>
      </c>
    </row>
    <row r="11679" spans="129:129" x14ac:dyDescent="0.2">
      <c r="DY11679" s="185" t="s">
        <v>215</v>
      </c>
    </row>
    <row r="11680" spans="129:129" x14ac:dyDescent="0.2">
      <c r="DY11680" s="185" t="s">
        <v>215</v>
      </c>
    </row>
    <row r="11681" spans="129:129" x14ac:dyDescent="0.2">
      <c r="DY11681" s="185" t="s">
        <v>215</v>
      </c>
    </row>
    <row r="11682" spans="129:129" x14ac:dyDescent="0.2">
      <c r="DY11682" s="185" t="s">
        <v>215</v>
      </c>
    </row>
    <row r="11683" spans="129:129" x14ac:dyDescent="0.2">
      <c r="DY11683" s="185" t="s">
        <v>215</v>
      </c>
    </row>
    <row r="11684" spans="129:129" x14ac:dyDescent="0.2">
      <c r="DY11684" s="185" t="s">
        <v>215</v>
      </c>
    </row>
    <row r="11685" spans="129:129" x14ac:dyDescent="0.2">
      <c r="DY11685" s="185" t="s">
        <v>215</v>
      </c>
    </row>
    <row r="11686" spans="129:129" x14ac:dyDescent="0.2">
      <c r="DY11686" s="185" t="s">
        <v>215</v>
      </c>
    </row>
    <row r="11687" spans="129:129" x14ac:dyDescent="0.2">
      <c r="DY11687" s="185" t="s">
        <v>215</v>
      </c>
    </row>
    <row r="11688" spans="129:129" x14ac:dyDescent="0.2">
      <c r="DY11688" s="185" t="s">
        <v>215</v>
      </c>
    </row>
    <row r="11689" spans="129:129" x14ac:dyDescent="0.2">
      <c r="DY11689" s="185" t="s">
        <v>215</v>
      </c>
    </row>
    <row r="11690" spans="129:129" x14ac:dyDescent="0.2">
      <c r="DY11690" s="185" t="s">
        <v>215</v>
      </c>
    </row>
    <row r="11691" spans="129:129" x14ac:dyDescent="0.2">
      <c r="DY11691" s="185" t="s">
        <v>215</v>
      </c>
    </row>
    <row r="11692" spans="129:129" x14ac:dyDescent="0.2">
      <c r="DY11692" s="185" t="s">
        <v>215</v>
      </c>
    </row>
    <row r="11693" spans="129:129" x14ac:dyDescent="0.2">
      <c r="DY11693" s="185" t="s">
        <v>215</v>
      </c>
    </row>
    <row r="11694" spans="129:129" x14ac:dyDescent="0.2">
      <c r="DY11694" s="185" t="s">
        <v>215</v>
      </c>
    </row>
    <row r="11695" spans="129:129" x14ac:dyDescent="0.2">
      <c r="DY11695" s="185" t="s">
        <v>215</v>
      </c>
    </row>
    <row r="11696" spans="129:129" x14ac:dyDescent="0.2">
      <c r="DY11696" s="185" t="s">
        <v>215</v>
      </c>
    </row>
    <row r="11697" spans="129:129" x14ac:dyDescent="0.2">
      <c r="DY11697" s="185" t="s">
        <v>215</v>
      </c>
    </row>
    <row r="11698" spans="129:129" x14ac:dyDescent="0.2">
      <c r="DY11698" s="185" t="s">
        <v>215</v>
      </c>
    </row>
    <row r="11699" spans="129:129" x14ac:dyDescent="0.2">
      <c r="DY11699" s="185" t="s">
        <v>215</v>
      </c>
    </row>
    <row r="11700" spans="129:129" x14ac:dyDescent="0.2">
      <c r="DY11700" s="185" t="s">
        <v>215</v>
      </c>
    </row>
    <row r="11701" spans="129:129" x14ac:dyDescent="0.2">
      <c r="DY11701" s="185" t="s">
        <v>215</v>
      </c>
    </row>
    <row r="11702" spans="129:129" x14ac:dyDescent="0.2">
      <c r="DY11702" s="185" t="s">
        <v>215</v>
      </c>
    </row>
    <row r="11703" spans="129:129" x14ac:dyDescent="0.2">
      <c r="DY11703" s="185" t="s">
        <v>215</v>
      </c>
    </row>
    <row r="11704" spans="129:129" x14ac:dyDescent="0.2">
      <c r="DY11704" s="185" t="s">
        <v>215</v>
      </c>
    </row>
    <row r="11705" spans="129:129" x14ac:dyDescent="0.2">
      <c r="DY11705" s="185" t="s">
        <v>215</v>
      </c>
    </row>
    <row r="11706" spans="129:129" x14ac:dyDescent="0.2">
      <c r="DY11706" s="185" t="s">
        <v>215</v>
      </c>
    </row>
    <row r="11707" spans="129:129" x14ac:dyDescent="0.2">
      <c r="DY11707" s="185" t="s">
        <v>215</v>
      </c>
    </row>
    <row r="11708" spans="129:129" x14ac:dyDescent="0.2">
      <c r="DY11708" s="185" t="s">
        <v>215</v>
      </c>
    </row>
    <row r="11709" spans="129:129" x14ac:dyDescent="0.2">
      <c r="DY11709" s="185" t="s">
        <v>215</v>
      </c>
    </row>
    <row r="11710" spans="129:129" x14ac:dyDescent="0.2">
      <c r="DY11710" s="185" t="s">
        <v>215</v>
      </c>
    </row>
    <row r="11711" spans="129:129" x14ac:dyDescent="0.2">
      <c r="DY11711" s="185" t="s">
        <v>215</v>
      </c>
    </row>
    <row r="11712" spans="129:129" x14ac:dyDescent="0.2">
      <c r="DY11712" s="185" t="s">
        <v>215</v>
      </c>
    </row>
    <row r="11713" spans="129:129" x14ac:dyDescent="0.2">
      <c r="DY11713" s="185" t="s">
        <v>215</v>
      </c>
    </row>
    <row r="11714" spans="129:129" x14ac:dyDescent="0.2">
      <c r="DY11714" s="185" t="s">
        <v>215</v>
      </c>
    </row>
    <row r="11715" spans="129:129" x14ac:dyDescent="0.2">
      <c r="DY11715" s="185" t="s">
        <v>215</v>
      </c>
    </row>
    <row r="11716" spans="129:129" x14ac:dyDescent="0.2">
      <c r="DY11716" s="185" t="s">
        <v>215</v>
      </c>
    </row>
    <row r="11717" spans="129:129" x14ac:dyDescent="0.2">
      <c r="DY11717" s="185" t="s">
        <v>215</v>
      </c>
    </row>
    <row r="11718" spans="129:129" x14ac:dyDescent="0.2">
      <c r="DY11718" s="185" t="s">
        <v>215</v>
      </c>
    </row>
    <row r="11719" spans="129:129" x14ac:dyDescent="0.2">
      <c r="DY11719" s="185" t="s">
        <v>215</v>
      </c>
    </row>
    <row r="11720" spans="129:129" x14ac:dyDescent="0.2">
      <c r="DY11720" s="185" t="s">
        <v>215</v>
      </c>
    </row>
    <row r="11721" spans="129:129" x14ac:dyDescent="0.2">
      <c r="DY11721" s="185" t="s">
        <v>215</v>
      </c>
    </row>
    <row r="11722" spans="129:129" x14ac:dyDescent="0.2">
      <c r="DY11722" s="185" t="s">
        <v>215</v>
      </c>
    </row>
    <row r="11723" spans="129:129" x14ac:dyDescent="0.2">
      <c r="DY11723" s="185" t="s">
        <v>215</v>
      </c>
    </row>
    <row r="11724" spans="129:129" x14ac:dyDescent="0.2">
      <c r="DY11724" s="185" t="s">
        <v>215</v>
      </c>
    </row>
    <row r="11725" spans="129:129" x14ac:dyDescent="0.2">
      <c r="DY11725" s="185" t="s">
        <v>215</v>
      </c>
    </row>
    <row r="11726" spans="129:129" x14ac:dyDescent="0.2">
      <c r="DY11726" s="185" t="s">
        <v>215</v>
      </c>
    </row>
    <row r="11727" spans="129:129" x14ac:dyDescent="0.2">
      <c r="DY11727" s="185" t="s">
        <v>215</v>
      </c>
    </row>
    <row r="11728" spans="129:129" x14ac:dyDescent="0.2">
      <c r="DY11728" s="185" t="s">
        <v>215</v>
      </c>
    </row>
    <row r="11729" spans="129:129" x14ac:dyDescent="0.2">
      <c r="DY11729" s="185" t="s">
        <v>215</v>
      </c>
    </row>
    <row r="11730" spans="129:129" x14ac:dyDescent="0.2">
      <c r="DY11730" s="185" t="s">
        <v>215</v>
      </c>
    </row>
    <row r="11731" spans="129:129" x14ac:dyDescent="0.2">
      <c r="DY11731" s="185" t="s">
        <v>215</v>
      </c>
    </row>
    <row r="11732" spans="129:129" x14ac:dyDescent="0.2">
      <c r="DY11732" s="185" t="s">
        <v>215</v>
      </c>
    </row>
    <row r="11733" spans="129:129" x14ac:dyDescent="0.2">
      <c r="DY11733" s="185" t="s">
        <v>215</v>
      </c>
    </row>
    <row r="11734" spans="129:129" x14ac:dyDescent="0.2">
      <c r="DY11734" s="185" t="s">
        <v>215</v>
      </c>
    </row>
    <row r="11735" spans="129:129" x14ac:dyDescent="0.2">
      <c r="DY11735" s="185" t="s">
        <v>215</v>
      </c>
    </row>
    <row r="11736" spans="129:129" x14ac:dyDescent="0.2">
      <c r="DY11736" s="185" t="s">
        <v>215</v>
      </c>
    </row>
    <row r="11737" spans="129:129" x14ac:dyDescent="0.2">
      <c r="DY11737" s="185" t="s">
        <v>215</v>
      </c>
    </row>
    <row r="11738" spans="129:129" x14ac:dyDescent="0.2">
      <c r="DY11738" s="185" t="s">
        <v>215</v>
      </c>
    </row>
    <row r="11739" spans="129:129" x14ac:dyDescent="0.2">
      <c r="DY11739" s="185" t="s">
        <v>215</v>
      </c>
    </row>
    <row r="11740" spans="129:129" x14ac:dyDescent="0.2">
      <c r="DY11740" s="185" t="s">
        <v>215</v>
      </c>
    </row>
    <row r="11741" spans="129:129" x14ac:dyDescent="0.2">
      <c r="DY11741" s="185" t="s">
        <v>215</v>
      </c>
    </row>
    <row r="11742" spans="129:129" x14ac:dyDescent="0.2">
      <c r="DY11742" s="185" t="s">
        <v>215</v>
      </c>
    </row>
    <row r="11743" spans="129:129" x14ac:dyDescent="0.2">
      <c r="DY11743" s="185" t="s">
        <v>215</v>
      </c>
    </row>
    <row r="11744" spans="129:129" x14ac:dyDescent="0.2">
      <c r="DY11744" s="185" t="s">
        <v>215</v>
      </c>
    </row>
    <row r="11745" spans="129:129" x14ac:dyDescent="0.2">
      <c r="DY11745" s="185" t="s">
        <v>215</v>
      </c>
    </row>
    <row r="11746" spans="129:129" x14ac:dyDescent="0.2">
      <c r="DY11746" s="185" t="s">
        <v>215</v>
      </c>
    </row>
    <row r="11747" spans="129:129" x14ac:dyDescent="0.2">
      <c r="DY11747" s="185" t="s">
        <v>215</v>
      </c>
    </row>
    <row r="11748" spans="129:129" x14ac:dyDescent="0.2">
      <c r="DY11748" s="185" t="s">
        <v>215</v>
      </c>
    </row>
    <row r="11749" spans="129:129" x14ac:dyDescent="0.2">
      <c r="DY11749" s="185" t="s">
        <v>215</v>
      </c>
    </row>
    <row r="11750" spans="129:129" x14ac:dyDescent="0.2">
      <c r="DY11750" s="185" t="s">
        <v>215</v>
      </c>
    </row>
    <row r="11751" spans="129:129" x14ac:dyDescent="0.2">
      <c r="DY11751" s="185" t="s">
        <v>215</v>
      </c>
    </row>
    <row r="11752" spans="129:129" x14ac:dyDescent="0.2">
      <c r="DY11752" s="185" t="s">
        <v>215</v>
      </c>
    </row>
    <row r="11753" spans="129:129" x14ac:dyDescent="0.2">
      <c r="DY11753" s="185" t="s">
        <v>215</v>
      </c>
    </row>
    <row r="11754" spans="129:129" x14ac:dyDescent="0.2">
      <c r="DY11754" s="185" t="s">
        <v>215</v>
      </c>
    </row>
    <row r="11755" spans="129:129" x14ac:dyDescent="0.2">
      <c r="DY11755" s="185" t="s">
        <v>215</v>
      </c>
    </row>
    <row r="11756" spans="129:129" x14ac:dyDescent="0.2">
      <c r="DY11756" s="185" t="s">
        <v>215</v>
      </c>
    </row>
    <row r="11757" spans="129:129" x14ac:dyDescent="0.2">
      <c r="DY11757" s="185" t="s">
        <v>215</v>
      </c>
    </row>
    <row r="11758" spans="129:129" x14ac:dyDescent="0.2">
      <c r="DY11758" s="185" t="s">
        <v>215</v>
      </c>
    </row>
    <row r="11759" spans="129:129" x14ac:dyDescent="0.2">
      <c r="DY11759" s="185" t="s">
        <v>215</v>
      </c>
    </row>
    <row r="11760" spans="129:129" x14ac:dyDescent="0.2">
      <c r="DY11760" s="185" t="s">
        <v>215</v>
      </c>
    </row>
    <row r="11761" spans="129:129" x14ac:dyDescent="0.2">
      <c r="DY11761" s="185" t="s">
        <v>215</v>
      </c>
    </row>
    <row r="11762" spans="129:129" x14ac:dyDescent="0.2">
      <c r="DY11762" s="185" t="s">
        <v>215</v>
      </c>
    </row>
    <row r="11763" spans="129:129" x14ac:dyDescent="0.2">
      <c r="DY11763" s="185" t="s">
        <v>215</v>
      </c>
    </row>
    <row r="11764" spans="129:129" x14ac:dyDescent="0.2">
      <c r="DY11764" s="185" t="s">
        <v>215</v>
      </c>
    </row>
    <row r="11765" spans="129:129" x14ac:dyDescent="0.2">
      <c r="DY11765" s="185" t="s">
        <v>215</v>
      </c>
    </row>
    <row r="11766" spans="129:129" x14ac:dyDescent="0.2">
      <c r="DY11766" s="185" t="s">
        <v>215</v>
      </c>
    </row>
    <row r="11767" spans="129:129" x14ac:dyDescent="0.2">
      <c r="DY11767" s="185" t="s">
        <v>215</v>
      </c>
    </row>
    <row r="11768" spans="129:129" x14ac:dyDescent="0.2">
      <c r="DY11768" s="185" t="s">
        <v>215</v>
      </c>
    </row>
    <row r="11769" spans="129:129" x14ac:dyDescent="0.2">
      <c r="DY11769" s="185" t="s">
        <v>215</v>
      </c>
    </row>
    <row r="11770" spans="129:129" x14ac:dyDescent="0.2">
      <c r="DY11770" s="185" t="s">
        <v>215</v>
      </c>
    </row>
    <row r="11771" spans="129:129" x14ac:dyDescent="0.2">
      <c r="DY11771" s="185" t="s">
        <v>215</v>
      </c>
    </row>
    <row r="11772" spans="129:129" x14ac:dyDescent="0.2">
      <c r="DY11772" s="185" t="s">
        <v>215</v>
      </c>
    </row>
    <row r="11773" spans="129:129" x14ac:dyDescent="0.2">
      <c r="DY11773" s="185" t="s">
        <v>215</v>
      </c>
    </row>
    <row r="11774" spans="129:129" x14ac:dyDescent="0.2">
      <c r="DY11774" s="185" t="s">
        <v>215</v>
      </c>
    </row>
    <row r="11775" spans="129:129" x14ac:dyDescent="0.2">
      <c r="DY11775" s="185" t="s">
        <v>215</v>
      </c>
    </row>
    <row r="11776" spans="129:129" x14ac:dyDescent="0.2">
      <c r="DY11776" s="185" t="s">
        <v>215</v>
      </c>
    </row>
    <row r="11777" spans="129:129" x14ac:dyDescent="0.2">
      <c r="DY11777" s="185" t="s">
        <v>215</v>
      </c>
    </row>
    <row r="11778" spans="129:129" x14ac:dyDescent="0.2">
      <c r="DY11778" s="185" t="s">
        <v>215</v>
      </c>
    </row>
    <row r="11779" spans="129:129" x14ac:dyDescent="0.2">
      <c r="DY11779" s="185" t="s">
        <v>215</v>
      </c>
    </row>
    <row r="11780" spans="129:129" x14ac:dyDescent="0.2">
      <c r="DY11780" s="185" t="s">
        <v>215</v>
      </c>
    </row>
    <row r="11781" spans="129:129" x14ac:dyDescent="0.2">
      <c r="DY11781" s="185" t="s">
        <v>215</v>
      </c>
    </row>
    <row r="11782" spans="129:129" x14ac:dyDescent="0.2">
      <c r="DY11782" s="185" t="s">
        <v>215</v>
      </c>
    </row>
    <row r="11783" spans="129:129" x14ac:dyDescent="0.2">
      <c r="DY11783" s="185" t="s">
        <v>215</v>
      </c>
    </row>
    <row r="11784" spans="129:129" x14ac:dyDescent="0.2">
      <c r="DY11784" s="185" t="s">
        <v>215</v>
      </c>
    </row>
    <row r="11785" spans="129:129" x14ac:dyDescent="0.2">
      <c r="DY11785" s="185" t="s">
        <v>215</v>
      </c>
    </row>
    <row r="11786" spans="129:129" x14ac:dyDescent="0.2">
      <c r="DY11786" s="185" t="s">
        <v>215</v>
      </c>
    </row>
    <row r="11787" spans="129:129" x14ac:dyDescent="0.2">
      <c r="DY11787" s="185" t="s">
        <v>215</v>
      </c>
    </row>
    <row r="11788" spans="129:129" x14ac:dyDescent="0.2">
      <c r="DY11788" s="185" t="s">
        <v>215</v>
      </c>
    </row>
    <row r="11789" spans="129:129" x14ac:dyDescent="0.2">
      <c r="DY11789" s="185" t="s">
        <v>215</v>
      </c>
    </row>
    <row r="11790" spans="129:129" x14ac:dyDescent="0.2">
      <c r="DY11790" s="185" t="s">
        <v>215</v>
      </c>
    </row>
    <row r="11791" spans="129:129" x14ac:dyDescent="0.2">
      <c r="DY11791" s="185" t="s">
        <v>215</v>
      </c>
    </row>
    <row r="11792" spans="129:129" x14ac:dyDescent="0.2">
      <c r="DY11792" s="185" t="s">
        <v>215</v>
      </c>
    </row>
    <row r="11793" spans="129:129" x14ac:dyDescent="0.2">
      <c r="DY11793" s="185" t="s">
        <v>215</v>
      </c>
    </row>
    <row r="11794" spans="129:129" x14ac:dyDescent="0.2">
      <c r="DY11794" s="185" t="s">
        <v>215</v>
      </c>
    </row>
    <row r="11795" spans="129:129" x14ac:dyDescent="0.2">
      <c r="DY11795" s="185" t="s">
        <v>215</v>
      </c>
    </row>
    <row r="11796" spans="129:129" x14ac:dyDescent="0.2">
      <c r="DY11796" s="185" t="s">
        <v>215</v>
      </c>
    </row>
    <row r="11797" spans="129:129" x14ac:dyDescent="0.2">
      <c r="DY11797" s="185" t="s">
        <v>215</v>
      </c>
    </row>
    <row r="11798" spans="129:129" x14ac:dyDescent="0.2">
      <c r="DY11798" s="185" t="s">
        <v>215</v>
      </c>
    </row>
    <row r="11799" spans="129:129" x14ac:dyDescent="0.2">
      <c r="DY11799" s="185" t="s">
        <v>215</v>
      </c>
    </row>
    <row r="11800" spans="129:129" x14ac:dyDescent="0.2">
      <c r="DY11800" s="185" t="s">
        <v>215</v>
      </c>
    </row>
    <row r="11801" spans="129:129" x14ac:dyDescent="0.2">
      <c r="DY11801" s="185" t="s">
        <v>215</v>
      </c>
    </row>
    <row r="11802" spans="129:129" x14ac:dyDescent="0.2">
      <c r="DY11802" s="185" t="s">
        <v>215</v>
      </c>
    </row>
    <row r="11803" spans="129:129" x14ac:dyDescent="0.2">
      <c r="DY11803" s="185" t="s">
        <v>215</v>
      </c>
    </row>
    <row r="11804" spans="129:129" x14ac:dyDescent="0.2">
      <c r="DY11804" s="185" t="s">
        <v>215</v>
      </c>
    </row>
    <row r="11805" spans="129:129" x14ac:dyDescent="0.2">
      <c r="DY11805" s="185" t="s">
        <v>215</v>
      </c>
    </row>
    <row r="11806" spans="129:129" x14ac:dyDescent="0.2">
      <c r="DY11806" s="185" t="s">
        <v>215</v>
      </c>
    </row>
    <row r="11807" spans="129:129" x14ac:dyDescent="0.2">
      <c r="DY11807" s="185" t="s">
        <v>215</v>
      </c>
    </row>
    <row r="11808" spans="129:129" x14ac:dyDescent="0.2">
      <c r="DY11808" s="185" t="s">
        <v>215</v>
      </c>
    </row>
    <row r="11809" spans="129:129" x14ac:dyDescent="0.2">
      <c r="DY11809" s="185" t="s">
        <v>215</v>
      </c>
    </row>
    <row r="11810" spans="129:129" x14ac:dyDescent="0.2">
      <c r="DY11810" s="185" t="s">
        <v>215</v>
      </c>
    </row>
    <row r="11811" spans="129:129" x14ac:dyDescent="0.2">
      <c r="DY11811" s="185" t="s">
        <v>215</v>
      </c>
    </row>
    <row r="11812" spans="129:129" x14ac:dyDescent="0.2">
      <c r="DY11812" s="185" t="s">
        <v>215</v>
      </c>
    </row>
    <row r="11813" spans="129:129" x14ac:dyDescent="0.2">
      <c r="DY11813" s="185" t="s">
        <v>215</v>
      </c>
    </row>
    <row r="11814" spans="129:129" x14ac:dyDescent="0.2">
      <c r="DY11814" s="185" t="s">
        <v>215</v>
      </c>
    </row>
    <row r="11815" spans="129:129" x14ac:dyDescent="0.2">
      <c r="DY11815" s="185" t="s">
        <v>215</v>
      </c>
    </row>
    <row r="11816" spans="129:129" x14ac:dyDescent="0.2">
      <c r="DY11816" s="185" t="s">
        <v>215</v>
      </c>
    </row>
    <row r="11817" spans="129:129" x14ac:dyDescent="0.2">
      <c r="DY11817" s="185" t="s">
        <v>215</v>
      </c>
    </row>
    <row r="11818" spans="129:129" x14ac:dyDescent="0.2">
      <c r="DY11818" s="185" t="s">
        <v>215</v>
      </c>
    </row>
    <row r="11819" spans="129:129" x14ac:dyDescent="0.2">
      <c r="DY11819" s="185" t="s">
        <v>215</v>
      </c>
    </row>
    <row r="11820" spans="129:129" x14ac:dyDescent="0.2">
      <c r="DY11820" s="185" t="s">
        <v>215</v>
      </c>
    </row>
    <row r="11821" spans="129:129" x14ac:dyDescent="0.2">
      <c r="DY11821" s="185" t="s">
        <v>215</v>
      </c>
    </row>
    <row r="11822" spans="129:129" x14ac:dyDescent="0.2">
      <c r="DY11822" s="185" t="s">
        <v>215</v>
      </c>
    </row>
    <row r="11823" spans="129:129" x14ac:dyDescent="0.2">
      <c r="DY11823" s="185" t="s">
        <v>215</v>
      </c>
    </row>
    <row r="11824" spans="129:129" x14ac:dyDescent="0.2">
      <c r="DY11824" s="185" t="s">
        <v>215</v>
      </c>
    </row>
    <row r="11825" spans="129:129" x14ac:dyDescent="0.2">
      <c r="DY11825" s="185" t="s">
        <v>215</v>
      </c>
    </row>
    <row r="11826" spans="129:129" x14ac:dyDescent="0.2">
      <c r="DY11826" s="185" t="s">
        <v>215</v>
      </c>
    </row>
    <row r="11827" spans="129:129" x14ac:dyDescent="0.2">
      <c r="DY11827" s="185" t="s">
        <v>215</v>
      </c>
    </row>
    <row r="11828" spans="129:129" x14ac:dyDescent="0.2">
      <c r="DY11828" s="185" t="s">
        <v>215</v>
      </c>
    </row>
    <row r="11829" spans="129:129" x14ac:dyDescent="0.2">
      <c r="DY11829" s="185" t="s">
        <v>215</v>
      </c>
    </row>
    <row r="11830" spans="129:129" x14ac:dyDescent="0.2">
      <c r="DY11830" s="185" t="s">
        <v>215</v>
      </c>
    </row>
    <row r="11831" spans="129:129" x14ac:dyDescent="0.2">
      <c r="DY11831" s="185" t="s">
        <v>215</v>
      </c>
    </row>
    <row r="11832" spans="129:129" x14ac:dyDescent="0.2">
      <c r="DY11832" s="185" t="s">
        <v>215</v>
      </c>
    </row>
    <row r="11833" spans="129:129" x14ac:dyDescent="0.2">
      <c r="DY11833" s="185" t="s">
        <v>215</v>
      </c>
    </row>
    <row r="11834" spans="129:129" x14ac:dyDescent="0.2">
      <c r="DY11834" s="185" t="s">
        <v>215</v>
      </c>
    </row>
    <row r="11835" spans="129:129" x14ac:dyDescent="0.2">
      <c r="DY11835" s="185" t="s">
        <v>215</v>
      </c>
    </row>
    <row r="11836" spans="129:129" x14ac:dyDescent="0.2">
      <c r="DY11836" s="185" t="s">
        <v>215</v>
      </c>
    </row>
    <row r="11837" spans="129:129" x14ac:dyDescent="0.2">
      <c r="DY11837" s="185" t="s">
        <v>215</v>
      </c>
    </row>
    <row r="11838" spans="129:129" x14ac:dyDescent="0.2">
      <c r="DY11838" s="185" t="s">
        <v>215</v>
      </c>
    </row>
    <row r="11839" spans="129:129" x14ac:dyDescent="0.2">
      <c r="DY11839" s="185" t="s">
        <v>215</v>
      </c>
    </row>
    <row r="11840" spans="129:129" x14ac:dyDescent="0.2">
      <c r="DY11840" s="185" t="s">
        <v>215</v>
      </c>
    </row>
    <row r="11841" spans="129:129" x14ac:dyDescent="0.2">
      <c r="DY11841" s="185" t="s">
        <v>215</v>
      </c>
    </row>
    <row r="11842" spans="129:129" x14ac:dyDescent="0.2">
      <c r="DY11842" s="185" t="s">
        <v>215</v>
      </c>
    </row>
    <row r="11843" spans="129:129" x14ac:dyDescent="0.2">
      <c r="DY11843" s="185" t="s">
        <v>215</v>
      </c>
    </row>
    <row r="11844" spans="129:129" x14ac:dyDescent="0.2">
      <c r="DY11844" s="185" t="s">
        <v>215</v>
      </c>
    </row>
    <row r="11845" spans="129:129" x14ac:dyDescent="0.2">
      <c r="DY11845" s="185" t="s">
        <v>215</v>
      </c>
    </row>
    <row r="11846" spans="129:129" x14ac:dyDescent="0.2">
      <c r="DY11846" s="185" t="s">
        <v>215</v>
      </c>
    </row>
    <row r="11847" spans="129:129" x14ac:dyDescent="0.2">
      <c r="DY11847" s="185" t="s">
        <v>215</v>
      </c>
    </row>
    <row r="11848" spans="129:129" x14ac:dyDescent="0.2">
      <c r="DY11848" s="185" t="s">
        <v>215</v>
      </c>
    </row>
    <row r="11849" spans="129:129" x14ac:dyDescent="0.2">
      <c r="DY11849" s="185" t="s">
        <v>215</v>
      </c>
    </row>
    <row r="11850" spans="129:129" x14ac:dyDescent="0.2">
      <c r="DY11850" s="185" t="s">
        <v>215</v>
      </c>
    </row>
    <row r="11851" spans="129:129" x14ac:dyDescent="0.2">
      <c r="DY11851" s="185" t="s">
        <v>215</v>
      </c>
    </row>
    <row r="11852" spans="129:129" x14ac:dyDescent="0.2">
      <c r="DY11852" s="185" t="s">
        <v>215</v>
      </c>
    </row>
    <row r="11853" spans="129:129" x14ac:dyDescent="0.2">
      <c r="DY11853" s="185" t="s">
        <v>215</v>
      </c>
    </row>
    <row r="11854" spans="129:129" x14ac:dyDescent="0.2">
      <c r="DY11854" s="185" t="s">
        <v>215</v>
      </c>
    </row>
    <row r="11855" spans="129:129" x14ac:dyDescent="0.2">
      <c r="DY11855" s="185" t="s">
        <v>215</v>
      </c>
    </row>
    <row r="11856" spans="129:129" x14ac:dyDescent="0.2">
      <c r="DY11856" s="185" t="s">
        <v>215</v>
      </c>
    </row>
    <row r="11857" spans="129:129" x14ac:dyDescent="0.2">
      <c r="DY11857" s="185" t="s">
        <v>215</v>
      </c>
    </row>
    <row r="11858" spans="129:129" x14ac:dyDescent="0.2">
      <c r="DY11858" s="185" t="s">
        <v>215</v>
      </c>
    </row>
    <row r="11859" spans="129:129" x14ac:dyDescent="0.2">
      <c r="DY11859" s="185" t="s">
        <v>215</v>
      </c>
    </row>
    <row r="11860" spans="129:129" x14ac:dyDescent="0.2">
      <c r="DY11860" s="185" t="s">
        <v>215</v>
      </c>
    </row>
    <row r="11861" spans="129:129" x14ac:dyDescent="0.2">
      <c r="DY11861" s="185" t="s">
        <v>215</v>
      </c>
    </row>
    <row r="11862" spans="129:129" x14ac:dyDescent="0.2">
      <c r="DY11862" s="185" t="s">
        <v>215</v>
      </c>
    </row>
    <row r="11863" spans="129:129" x14ac:dyDescent="0.2">
      <c r="DY11863" s="185" t="s">
        <v>215</v>
      </c>
    </row>
    <row r="11864" spans="129:129" x14ac:dyDescent="0.2">
      <c r="DY11864" s="185" t="s">
        <v>215</v>
      </c>
    </row>
    <row r="11865" spans="129:129" x14ac:dyDescent="0.2">
      <c r="DY11865" s="185" t="s">
        <v>215</v>
      </c>
    </row>
    <row r="11866" spans="129:129" x14ac:dyDescent="0.2">
      <c r="DY11866" s="185" t="s">
        <v>215</v>
      </c>
    </row>
    <row r="11867" spans="129:129" x14ac:dyDescent="0.2">
      <c r="DY11867" s="185" t="s">
        <v>215</v>
      </c>
    </row>
    <row r="11868" spans="129:129" x14ac:dyDescent="0.2">
      <c r="DY11868" s="185" t="s">
        <v>215</v>
      </c>
    </row>
    <row r="11869" spans="129:129" x14ac:dyDescent="0.2">
      <c r="DY11869" s="185" t="s">
        <v>215</v>
      </c>
    </row>
    <row r="11870" spans="129:129" x14ac:dyDescent="0.2">
      <c r="DY11870" s="185" t="s">
        <v>215</v>
      </c>
    </row>
    <row r="11871" spans="129:129" x14ac:dyDescent="0.2">
      <c r="DY11871" s="185" t="s">
        <v>215</v>
      </c>
    </row>
    <row r="11872" spans="129:129" x14ac:dyDescent="0.2">
      <c r="DY11872" s="185" t="s">
        <v>215</v>
      </c>
    </row>
    <row r="11873" spans="129:129" x14ac:dyDescent="0.2">
      <c r="DY11873" s="185" t="s">
        <v>215</v>
      </c>
    </row>
    <row r="11874" spans="129:129" x14ac:dyDescent="0.2">
      <c r="DY11874" s="185" t="s">
        <v>215</v>
      </c>
    </row>
    <row r="11875" spans="129:129" x14ac:dyDescent="0.2">
      <c r="DY11875" s="185" t="s">
        <v>215</v>
      </c>
    </row>
    <row r="11876" spans="129:129" x14ac:dyDescent="0.2">
      <c r="DY11876" s="185" t="s">
        <v>215</v>
      </c>
    </row>
    <row r="11877" spans="129:129" x14ac:dyDescent="0.2">
      <c r="DY11877" s="185" t="s">
        <v>215</v>
      </c>
    </row>
    <row r="11878" spans="129:129" x14ac:dyDescent="0.2">
      <c r="DY11878" s="185" t="s">
        <v>215</v>
      </c>
    </row>
    <row r="11879" spans="129:129" x14ac:dyDescent="0.2">
      <c r="DY11879" s="185" t="s">
        <v>215</v>
      </c>
    </row>
    <row r="11880" spans="129:129" x14ac:dyDescent="0.2">
      <c r="DY11880" s="185" t="s">
        <v>215</v>
      </c>
    </row>
    <row r="11881" spans="129:129" x14ac:dyDescent="0.2">
      <c r="DY11881" s="185" t="s">
        <v>215</v>
      </c>
    </row>
    <row r="11882" spans="129:129" x14ac:dyDescent="0.2">
      <c r="DY11882" s="185" t="s">
        <v>215</v>
      </c>
    </row>
    <row r="11883" spans="129:129" x14ac:dyDescent="0.2">
      <c r="DY11883" s="185" t="s">
        <v>215</v>
      </c>
    </row>
    <row r="11884" spans="129:129" x14ac:dyDescent="0.2">
      <c r="DY11884" s="185" t="s">
        <v>215</v>
      </c>
    </row>
    <row r="11885" spans="129:129" x14ac:dyDescent="0.2">
      <c r="DY11885" s="185" t="s">
        <v>215</v>
      </c>
    </row>
    <row r="11886" spans="129:129" x14ac:dyDescent="0.2">
      <c r="DY11886" s="185" t="s">
        <v>215</v>
      </c>
    </row>
    <row r="11887" spans="129:129" x14ac:dyDescent="0.2">
      <c r="DY11887" s="185" t="s">
        <v>215</v>
      </c>
    </row>
    <row r="11888" spans="129:129" x14ac:dyDescent="0.2">
      <c r="DY11888" s="185" t="s">
        <v>215</v>
      </c>
    </row>
    <row r="11889" spans="129:129" x14ac:dyDescent="0.2">
      <c r="DY11889" s="185" t="s">
        <v>215</v>
      </c>
    </row>
    <row r="11890" spans="129:129" x14ac:dyDescent="0.2">
      <c r="DY11890" s="185" t="s">
        <v>215</v>
      </c>
    </row>
    <row r="11891" spans="129:129" x14ac:dyDescent="0.2">
      <c r="DY11891" s="185" t="s">
        <v>215</v>
      </c>
    </row>
    <row r="11892" spans="129:129" x14ac:dyDescent="0.2">
      <c r="DY11892" s="185" t="s">
        <v>215</v>
      </c>
    </row>
    <row r="11893" spans="129:129" x14ac:dyDescent="0.2">
      <c r="DY11893" s="185" t="s">
        <v>215</v>
      </c>
    </row>
    <row r="11894" spans="129:129" x14ac:dyDescent="0.2">
      <c r="DY11894" s="185" t="s">
        <v>215</v>
      </c>
    </row>
    <row r="11895" spans="129:129" x14ac:dyDescent="0.2">
      <c r="DY11895" s="185" t="s">
        <v>215</v>
      </c>
    </row>
    <row r="11896" spans="129:129" x14ac:dyDescent="0.2">
      <c r="DY11896" s="185" t="s">
        <v>215</v>
      </c>
    </row>
    <row r="11897" spans="129:129" x14ac:dyDescent="0.2">
      <c r="DY11897" s="185" t="s">
        <v>215</v>
      </c>
    </row>
    <row r="11898" spans="129:129" x14ac:dyDescent="0.2">
      <c r="DY11898" s="185" t="s">
        <v>215</v>
      </c>
    </row>
    <row r="11899" spans="129:129" x14ac:dyDescent="0.2">
      <c r="DY11899" s="185" t="s">
        <v>215</v>
      </c>
    </row>
    <row r="11900" spans="129:129" x14ac:dyDescent="0.2">
      <c r="DY11900" s="185" t="s">
        <v>215</v>
      </c>
    </row>
    <row r="11901" spans="129:129" x14ac:dyDescent="0.2">
      <c r="DY11901" s="185" t="s">
        <v>215</v>
      </c>
    </row>
    <row r="11902" spans="129:129" x14ac:dyDescent="0.2">
      <c r="DY11902" s="185" t="s">
        <v>215</v>
      </c>
    </row>
    <row r="11903" spans="129:129" x14ac:dyDescent="0.2">
      <c r="DY11903" s="185" t="s">
        <v>215</v>
      </c>
    </row>
    <row r="11904" spans="129:129" x14ac:dyDescent="0.2">
      <c r="DY11904" s="185" t="s">
        <v>215</v>
      </c>
    </row>
    <row r="11905" spans="129:129" x14ac:dyDescent="0.2">
      <c r="DY11905" s="185" t="s">
        <v>215</v>
      </c>
    </row>
    <row r="11906" spans="129:129" x14ac:dyDescent="0.2">
      <c r="DY11906" s="185" t="s">
        <v>215</v>
      </c>
    </row>
    <row r="11907" spans="129:129" x14ac:dyDescent="0.2">
      <c r="DY11907" s="185" t="s">
        <v>215</v>
      </c>
    </row>
    <row r="11908" spans="129:129" x14ac:dyDescent="0.2">
      <c r="DY11908" s="185" t="s">
        <v>215</v>
      </c>
    </row>
    <row r="11909" spans="129:129" x14ac:dyDescent="0.2">
      <c r="DY11909" s="185" t="s">
        <v>215</v>
      </c>
    </row>
    <row r="11910" spans="129:129" x14ac:dyDescent="0.2">
      <c r="DY11910" s="185" t="s">
        <v>215</v>
      </c>
    </row>
    <row r="11911" spans="129:129" x14ac:dyDescent="0.2">
      <c r="DY11911" s="185" t="s">
        <v>215</v>
      </c>
    </row>
    <row r="11912" spans="129:129" x14ac:dyDescent="0.2">
      <c r="DY11912" s="185" t="s">
        <v>215</v>
      </c>
    </row>
    <row r="11913" spans="129:129" x14ac:dyDescent="0.2">
      <c r="DY11913" s="185" t="s">
        <v>215</v>
      </c>
    </row>
    <row r="11914" spans="129:129" x14ac:dyDescent="0.2">
      <c r="DY11914" s="185" t="s">
        <v>215</v>
      </c>
    </row>
    <row r="11915" spans="129:129" x14ac:dyDescent="0.2">
      <c r="DY11915" s="185" t="s">
        <v>215</v>
      </c>
    </row>
    <row r="11916" spans="129:129" x14ac:dyDescent="0.2">
      <c r="DY11916" s="185" t="s">
        <v>215</v>
      </c>
    </row>
    <row r="11917" spans="129:129" x14ac:dyDescent="0.2">
      <c r="DY11917" s="185" t="s">
        <v>215</v>
      </c>
    </row>
    <row r="11918" spans="129:129" x14ac:dyDescent="0.2">
      <c r="DY11918" s="185" t="s">
        <v>215</v>
      </c>
    </row>
    <row r="11919" spans="129:129" x14ac:dyDescent="0.2">
      <c r="DY11919" s="185" t="s">
        <v>215</v>
      </c>
    </row>
    <row r="11920" spans="129:129" x14ac:dyDescent="0.2">
      <c r="DY11920" s="185" t="s">
        <v>215</v>
      </c>
    </row>
    <row r="11921" spans="129:129" x14ac:dyDescent="0.2">
      <c r="DY11921" s="185" t="s">
        <v>215</v>
      </c>
    </row>
    <row r="11922" spans="129:129" x14ac:dyDescent="0.2">
      <c r="DY11922" s="185" t="s">
        <v>215</v>
      </c>
    </row>
    <row r="11923" spans="129:129" x14ac:dyDescent="0.2">
      <c r="DY11923" s="185" t="s">
        <v>215</v>
      </c>
    </row>
    <row r="11924" spans="129:129" x14ac:dyDescent="0.2">
      <c r="DY11924" s="185" t="s">
        <v>215</v>
      </c>
    </row>
    <row r="11925" spans="129:129" x14ac:dyDescent="0.2">
      <c r="DY11925" s="185" t="s">
        <v>215</v>
      </c>
    </row>
    <row r="11926" spans="129:129" x14ac:dyDescent="0.2">
      <c r="DY11926" s="185" t="s">
        <v>215</v>
      </c>
    </row>
    <row r="11927" spans="129:129" x14ac:dyDescent="0.2">
      <c r="DY11927" s="185" t="s">
        <v>215</v>
      </c>
    </row>
    <row r="11928" spans="129:129" x14ac:dyDescent="0.2">
      <c r="DY11928" s="185" t="s">
        <v>215</v>
      </c>
    </row>
    <row r="11929" spans="129:129" x14ac:dyDescent="0.2">
      <c r="DY11929" s="185" t="s">
        <v>215</v>
      </c>
    </row>
    <row r="11930" spans="129:129" x14ac:dyDescent="0.2">
      <c r="DY11930" s="185" t="s">
        <v>215</v>
      </c>
    </row>
    <row r="11931" spans="129:129" x14ac:dyDescent="0.2">
      <c r="DY11931" s="185" t="s">
        <v>215</v>
      </c>
    </row>
    <row r="11932" spans="129:129" x14ac:dyDescent="0.2">
      <c r="DY11932" s="185" t="s">
        <v>215</v>
      </c>
    </row>
    <row r="11933" spans="129:129" x14ac:dyDescent="0.2">
      <c r="DY11933" s="185" t="s">
        <v>215</v>
      </c>
    </row>
    <row r="11934" spans="129:129" x14ac:dyDescent="0.2">
      <c r="DY11934" s="185" t="s">
        <v>215</v>
      </c>
    </row>
    <row r="11935" spans="129:129" x14ac:dyDescent="0.2">
      <c r="DY11935" s="185" t="s">
        <v>215</v>
      </c>
    </row>
    <row r="11936" spans="129:129" x14ac:dyDescent="0.2">
      <c r="DY11936" s="185" t="s">
        <v>215</v>
      </c>
    </row>
    <row r="11937" spans="129:129" x14ac:dyDescent="0.2">
      <c r="DY11937" s="185" t="s">
        <v>215</v>
      </c>
    </row>
    <row r="11938" spans="129:129" x14ac:dyDescent="0.2">
      <c r="DY11938" s="185" t="s">
        <v>215</v>
      </c>
    </row>
    <row r="11939" spans="129:129" x14ac:dyDescent="0.2">
      <c r="DY11939" s="185" t="s">
        <v>215</v>
      </c>
    </row>
    <row r="11940" spans="129:129" x14ac:dyDescent="0.2">
      <c r="DY11940" s="185" t="s">
        <v>215</v>
      </c>
    </row>
    <row r="11941" spans="129:129" x14ac:dyDescent="0.2">
      <c r="DY11941" s="185" t="s">
        <v>215</v>
      </c>
    </row>
    <row r="11942" spans="129:129" x14ac:dyDescent="0.2">
      <c r="DY11942" s="185" t="s">
        <v>215</v>
      </c>
    </row>
    <row r="11943" spans="129:129" x14ac:dyDescent="0.2">
      <c r="DY11943" s="185" t="s">
        <v>215</v>
      </c>
    </row>
    <row r="11944" spans="129:129" x14ac:dyDescent="0.2">
      <c r="DY11944" s="185" t="s">
        <v>215</v>
      </c>
    </row>
    <row r="11945" spans="129:129" x14ac:dyDescent="0.2">
      <c r="DY11945" s="185" t="s">
        <v>215</v>
      </c>
    </row>
    <row r="11946" spans="129:129" x14ac:dyDescent="0.2">
      <c r="DY11946" s="185" t="s">
        <v>215</v>
      </c>
    </row>
    <row r="11947" spans="129:129" x14ac:dyDescent="0.2">
      <c r="DY11947" s="185" t="s">
        <v>215</v>
      </c>
    </row>
    <row r="11948" spans="129:129" x14ac:dyDescent="0.2">
      <c r="DY11948" s="185" t="s">
        <v>215</v>
      </c>
    </row>
    <row r="11949" spans="129:129" x14ac:dyDescent="0.2">
      <c r="DY11949" s="185" t="s">
        <v>215</v>
      </c>
    </row>
    <row r="11950" spans="129:129" x14ac:dyDescent="0.2">
      <c r="DY11950" s="185" t="s">
        <v>215</v>
      </c>
    </row>
    <row r="11951" spans="129:129" x14ac:dyDescent="0.2">
      <c r="DY11951" s="185" t="s">
        <v>215</v>
      </c>
    </row>
    <row r="11952" spans="129:129" x14ac:dyDescent="0.2">
      <c r="DY11952" s="185" t="s">
        <v>215</v>
      </c>
    </row>
    <row r="11953" spans="129:129" x14ac:dyDescent="0.2">
      <c r="DY11953" s="185" t="s">
        <v>215</v>
      </c>
    </row>
    <row r="11954" spans="129:129" x14ac:dyDescent="0.2">
      <c r="DY11954" s="185" t="s">
        <v>215</v>
      </c>
    </row>
    <row r="11955" spans="129:129" x14ac:dyDescent="0.2">
      <c r="DY11955" s="185" t="s">
        <v>215</v>
      </c>
    </row>
    <row r="11956" spans="129:129" x14ac:dyDescent="0.2">
      <c r="DY11956" s="185" t="s">
        <v>215</v>
      </c>
    </row>
    <row r="11957" spans="129:129" x14ac:dyDescent="0.2">
      <c r="DY11957" s="185" t="s">
        <v>215</v>
      </c>
    </row>
    <row r="11958" spans="129:129" x14ac:dyDescent="0.2">
      <c r="DY11958" s="185" t="s">
        <v>215</v>
      </c>
    </row>
    <row r="11959" spans="129:129" x14ac:dyDescent="0.2">
      <c r="DY11959" s="185" t="s">
        <v>215</v>
      </c>
    </row>
    <row r="11960" spans="129:129" x14ac:dyDescent="0.2">
      <c r="DY11960" s="185" t="s">
        <v>215</v>
      </c>
    </row>
    <row r="11961" spans="129:129" x14ac:dyDescent="0.2">
      <c r="DY11961" s="185" t="s">
        <v>215</v>
      </c>
    </row>
    <row r="11962" spans="129:129" x14ac:dyDescent="0.2">
      <c r="DY11962" s="185" t="s">
        <v>215</v>
      </c>
    </row>
    <row r="11963" spans="129:129" x14ac:dyDescent="0.2">
      <c r="DY11963" s="185" t="s">
        <v>215</v>
      </c>
    </row>
    <row r="11964" spans="129:129" x14ac:dyDescent="0.2">
      <c r="DY11964" s="185" t="s">
        <v>215</v>
      </c>
    </row>
    <row r="11965" spans="129:129" x14ac:dyDescent="0.2">
      <c r="DY11965" s="185" t="s">
        <v>215</v>
      </c>
    </row>
    <row r="11966" spans="129:129" x14ac:dyDescent="0.2">
      <c r="DY11966" s="185" t="s">
        <v>215</v>
      </c>
    </row>
    <row r="11967" spans="129:129" x14ac:dyDescent="0.2">
      <c r="DY11967" s="185" t="s">
        <v>215</v>
      </c>
    </row>
    <row r="11968" spans="129:129" x14ac:dyDescent="0.2">
      <c r="DY11968" s="185" t="s">
        <v>215</v>
      </c>
    </row>
    <row r="11969" spans="129:129" x14ac:dyDescent="0.2">
      <c r="DY11969" s="185" t="s">
        <v>215</v>
      </c>
    </row>
    <row r="11970" spans="129:129" x14ac:dyDescent="0.2">
      <c r="DY11970" s="185" t="s">
        <v>215</v>
      </c>
    </row>
    <row r="11971" spans="129:129" x14ac:dyDescent="0.2">
      <c r="DY11971" s="185" t="s">
        <v>215</v>
      </c>
    </row>
    <row r="11972" spans="129:129" x14ac:dyDescent="0.2">
      <c r="DY11972" s="185" t="s">
        <v>215</v>
      </c>
    </row>
    <row r="11973" spans="129:129" x14ac:dyDescent="0.2">
      <c r="DY11973" s="185" t="s">
        <v>215</v>
      </c>
    </row>
    <row r="11974" spans="129:129" x14ac:dyDescent="0.2">
      <c r="DY11974" s="185" t="s">
        <v>215</v>
      </c>
    </row>
    <row r="11975" spans="129:129" x14ac:dyDescent="0.2">
      <c r="DY11975" s="185" t="s">
        <v>215</v>
      </c>
    </row>
    <row r="11976" spans="129:129" x14ac:dyDescent="0.2">
      <c r="DY11976" s="185" t="s">
        <v>215</v>
      </c>
    </row>
    <row r="11977" spans="129:129" x14ac:dyDescent="0.2">
      <c r="DY11977" s="185" t="s">
        <v>215</v>
      </c>
    </row>
    <row r="11978" spans="129:129" x14ac:dyDescent="0.2">
      <c r="DY11978" s="185" t="s">
        <v>215</v>
      </c>
    </row>
    <row r="11979" spans="129:129" x14ac:dyDescent="0.2">
      <c r="DY11979" s="185" t="s">
        <v>215</v>
      </c>
    </row>
    <row r="11980" spans="129:129" x14ac:dyDescent="0.2">
      <c r="DY11980" s="185" t="s">
        <v>215</v>
      </c>
    </row>
    <row r="11981" spans="129:129" x14ac:dyDescent="0.2">
      <c r="DY11981" s="185" t="s">
        <v>215</v>
      </c>
    </row>
    <row r="11982" spans="129:129" x14ac:dyDescent="0.2">
      <c r="DY11982" s="185" t="s">
        <v>215</v>
      </c>
    </row>
    <row r="11983" spans="129:129" x14ac:dyDescent="0.2">
      <c r="DY11983" s="185" t="s">
        <v>215</v>
      </c>
    </row>
    <row r="11984" spans="129:129" x14ac:dyDescent="0.2">
      <c r="DY11984" s="185" t="s">
        <v>215</v>
      </c>
    </row>
    <row r="11985" spans="129:129" x14ac:dyDescent="0.2">
      <c r="DY11985" s="185" t="s">
        <v>215</v>
      </c>
    </row>
    <row r="11986" spans="129:129" x14ac:dyDescent="0.2">
      <c r="DY11986" s="185" t="s">
        <v>215</v>
      </c>
    </row>
    <row r="11987" spans="129:129" x14ac:dyDescent="0.2">
      <c r="DY11987" s="185" t="s">
        <v>215</v>
      </c>
    </row>
    <row r="11988" spans="129:129" x14ac:dyDescent="0.2">
      <c r="DY11988" s="185" t="s">
        <v>215</v>
      </c>
    </row>
    <row r="11989" spans="129:129" x14ac:dyDescent="0.2">
      <c r="DY11989" s="185" t="s">
        <v>215</v>
      </c>
    </row>
    <row r="11990" spans="129:129" x14ac:dyDescent="0.2">
      <c r="DY11990" s="185" t="s">
        <v>215</v>
      </c>
    </row>
    <row r="11991" spans="129:129" x14ac:dyDescent="0.2">
      <c r="DY11991" s="185" t="s">
        <v>215</v>
      </c>
    </row>
    <row r="11992" spans="129:129" x14ac:dyDescent="0.2">
      <c r="DY11992" s="185" t="s">
        <v>215</v>
      </c>
    </row>
    <row r="11993" spans="129:129" x14ac:dyDescent="0.2">
      <c r="DY11993" s="185" t="s">
        <v>215</v>
      </c>
    </row>
    <row r="11994" spans="129:129" x14ac:dyDescent="0.2">
      <c r="DY11994" s="185" t="s">
        <v>215</v>
      </c>
    </row>
    <row r="11995" spans="129:129" x14ac:dyDescent="0.2">
      <c r="DY11995" s="185" t="s">
        <v>215</v>
      </c>
    </row>
    <row r="11996" spans="129:129" x14ac:dyDescent="0.2">
      <c r="DY11996" s="185" t="s">
        <v>215</v>
      </c>
    </row>
    <row r="11997" spans="129:129" x14ac:dyDescent="0.2">
      <c r="DY11997" s="185" t="s">
        <v>215</v>
      </c>
    </row>
    <row r="11998" spans="129:129" x14ac:dyDescent="0.2">
      <c r="DY11998" s="185" t="s">
        <v>215</v>
      </c>
    </row>
    <row r="11999" spans="129:129" x14ac:dyDescent="0.2">
      <c r="DY11999" s="185" t="s">
        <v>215</v>
      </c>
    </row>
    <row r="12000" spans="129:129" x14ac:dyDescent="0.2">
      <c r="DY12000" s="185" t="s">
        <v>215</v>
      </c>
    </row>
    <row r="12001" spans="129:129" x14ac:dyDescent="0.2">
      <c r="DY12001" s="185" t="s">
        <v>215</v>
      </c>
    </row>
    <row r="12002" spans="129:129" x14ac:dyDescent="0.2">
      <c r="DY12002" s="185" t="s">
        <v>215</v>
      </c>
    </row>
    <row r="12003" spans="129:129" x14ac:dyDescent="0.2">
      <c r="DY12003" s="185" t="s">
        <v>215</v>
      </c>
    </row>
    <row r="12004" spans="129:129" x14ac:dyDescent="0.2">
      <c r="DY12004" s="185" t="s">
        <v>215</v>
      </c>
    </row>
    <row r="12005" spans="129:129" x14ac:dyDescent="0.2">
      <c r="DY12005" s="185" t="s">
        <v>215</v>
      </c>
    </row>
    <row r="12006" spans="129:129" x14ac:dyDescent="0.2">
      <c r="DY12006" s="185" t="s">
        <v>215</v>
      </c>
    </row>
    <row r="12007" spans="129:129" x14ac:dyDescent="0.2">
      <c r="DY12007" s="185" t="s">
        <v>215</v>
      </c>
    </row>
    <row r="12008" spans="129:129" x14ac:dyDescent="0.2">
      <c r="DY12008" s="185" t="s">
        <v>215</v>
      </c>
    </row>
    <row r="12009" spans="129:129" x14ac:dyDescent="0.2">
      <c r="DY12009" s="185" t="s">
        <v>215</v>
      </c>
    </row>
    <row r="12010" spans="129:129" x14ac:dyDescent="0.2">
      <c r="DY12010" s="185" t="s">
        <v>215</v>
      </c>
    </row>
    <row r="12011" spans="129:129" x14ac:dyDescent="0.2">
      <c r="DY12011" s="185" t="s">
        <v>215</v>
      </c>
    </row>
    <row r="12012" spans="129:129" x14ac:dyDescent="0.2">
      <c r="DY12012" s="185" t="s">
        <v>215</v>
      </c>
    </row>
    <row r="12013" spans="129:129" x14ac:dyDescent="0.2">
      <c r="DY12013" s="185" t="s">
        <v>215</v>
      </c>
    </row>
    <row r="12014" spans="129:129" x14ac:dyDescent="0.2">
      <c r="DY12014" s="185" t="s">
        <v>215</v>
      </c>
    </row>
    <row r="12015" spans="129:129" x14ac:dyDescent="0.2">
      <c r="DY12015" s="185" t="s">
        <v>215</v>
      </c>
    </row>
    <row r="12016" spans="129:129" x14ac:dyDescent="0.2">
      <c r="DY12016" s="185" t="s">
        <v>215</v>
      </c>
    </row>
    <row r="12017" spans="129:129" x14ac:dyDescent="0.2">
      <c r="DY12017" s="185" t="s">
        <v>215</v>
      </c>
    </row>
    <row r="12018" spans="129:129" x14ac:dyDescent="0.2">
      <c r="DY12018" s="185" t="s">
        <v>215</v>
      </c>
    </row>
    <row r="12019" spans="129:129" x14ac:dyDescent="0.2">
      <c r="DY12019" s="185" t="s">
        <v>215</v>
      </c>
    </row>
    <row r="12020" spans="129:129" x14ac:dyDescent="0.2">
      <c r="DY12020" s="185" t="s">
        <v>215</v>
      </c>
    </row>
    <row r="12021" spans="129:129" x14ac:dyDescent="0.2">
      <c r="DY12021" s="185" t="s">
        <v>215</v>
      </c>
    </row>
    <row r="12022" spans="129:129" x14ac:dyDescent="0.2">
      <c r="DY12022" s="185" t="s">
        <v>215</v>
      </c>
    </row>
    <row r="12023" spans="129:129" x14ac:dyDescent="0.2">
      <c r="DY12023" s="185" t="s">
        <v>215</v>
      </c>
    </row>
    <row r="12024" spans="129:129" x14ac:dyDescent="0.2">
      <c r="DY12024" s="185" t="s">
        <v>215</v>
      </c>
    </row>
    <row r="12025" spans="129:129" x14ac:dyDescent="0.2">
      <c r="DY12025" s="185" t="s">
        <v>215</v>
      </c>
    </row>
    <row r="12026" spans="129:129" x14ac:dyDescent="0.2">
      <c r="DY12026" s="185" t="s">
        <v>215</v>
      </c>
    </row>
    <row r="12027" spans="129:129" x14ac:dyDescent="0.2">
      <c r="DY12027" s="185" t="s">
        <v>215</v>
      </c>
    </row>
    <row r="12028" spans="129:129" x14ac:dyDescent="0.2">
      <c r="DY12028" s="185" t="s">
        <v>215</v>
      </c>
    </row>
    <row r="12029" spans="129:129" x14ac:dyDescent="0.2">
      <c r="DY12029" s="185" t="s">
        <v>215</v>
      </c>
    </row>
    <row r="12030" spans="129:129" x14ac:dyDescent="0.2">
      <c r="DY12030" s="185" t="s">
        <v>215</v>
      </c>
    </row>
    <row r="12031" spans="129:129" x14ac:dyDescent="0.2">
      <c r="DY12031" s="185" t="s">
        <v>215</v>
      </c>
    </row>
    <row r="12032" spans="129:129" x14ac:dyDescent="0.2">
      <c r="DY12032" s="185" t="s">
        <v>215</v>
      </c>
    </row>
    <row r="12033" spans="129:129" x14ac:dyDescent="0.2">
      <c r="DY12033" s="185" t="s">
        <v>215</v>
      </c>
    </row>
    <row r="12034" spans="129:129" x14ac:dyDescent="0.2">
      <c r="DY12034" s="185" t="s">
        <v>215</v>
      </c>
    </row>
    <row r="12035" spans="129:129" x14ac:dyDescent="0.2">
      <c r="DY12035" s="185" t="s">
        <v>215</v>
      </c>
    </row>
    <row r="12036" spans="129:129" x14ac:dyDescent="0.2">
      <c r="DY12036" s="185" t="s">
        <v>215</v>
      </c>
    </row>
    <row r="12037" spans="129:129" x14ac:dyDescent="0.2">
      <c r="DY12037" s="185" t="s">
        <v>215</v>
      </c>
    </row>
    <row r="12038" spans="129:129" x14ac:dyDescent="0.2">
      <c r="DY12038" s="185" t="s">
        <v>215</v>
      </c>
    </row>
    <row r="12039" spans="129:129" x14ac:dyDescent="0.2">
      <c r="DY12039" s="185" t="s">
        <v>215</v>
      </c>
    </row>
    <row r="12040" spans="129:129" x14ac:dyDescent="0.2">
      <c r="DY12040" s="185" t="s">
        <v>215</v>
      </c>
    </row>
    <row r="12041" spans="129:129" x14ac:dyDescent="0.2">
      <c r="DY12041" s="185" t="s">
        <v>215</v>
      </c>
    </row>
    <row r="12042" spans="129:129" x14ac:dyDescent="0.2">
      <c r="DY12042" s="185" t="s">
        <v>215</v>
      </c>
    </row>
    <row r="12043" spans="129:129" x14ac:dyDescent="0.2">
      <c r="DY12043" s="185" t="s">
        <v>215</v>
      </c>
    </row>
    <row r="12044" spans="129:129" x14ac:dyDescent="0.2">
      <c r="DY12044" s="185" t="s">
        <v>215</v>
      </c>
    </row>
    <row r="12045" spans="129:129" x14ac:dyDescent="0.2">
      <c r="DY12045" s="185" t="s">
        <v>215</v>
      </c>
    </row>
    <row r="12046" spans="129:129" x14ac:dyDescent="0.2">
      <c r="DY12046" s="185" t="s">
        <v>215</v>
      </c>
    </row>
    <row r="12047" spans="129:129" x14ac:dyDescent="0.2">
      <c r="DY12047" s="185" t="s">
        <v>215</v>
      </c>
    </row>
    <row r="12048" spans="129:129" x14ac:dyDescent="0.2">
      <c r="DY12048" s="185" t="s">
        <v>215</v>
      </c>
    </row>
    <row r="12049" spans="129:129" x14ac:dyDescent="0.2">
      <c r="DY12049" s="185" t="s">
        <v>215</v>
      </c>
    </row>
    <row r="12050" spans="129:129" x14ac:dyDescent="0.2">
      <c r="DY12050" s="185" t="s">
        <v>215</v>
      </c>
    </row>
    <row r="12051" spans="129:129" x14ac:dyDescent="0.2">
      <c r="DY12051" s="185" t="s">
        <v>215</v>
      </c>
    </row>
    <row r="12052" spans="129:129" x14ac:dyDescent="0.2">
      <c r="DY12052" s="185" t="s">
        <v>215</v>
      </c>
    </row>
    <row r="12053" spans="129:129" x14ac:dyDescent="0.2">
      <c r="DY12053" s="185" t="s">
        <v>215</v>
      </c>
    </row>
    <row r="12054" spans="129:129" x14ac:dyDescent="0.2">
      <c r="DY12054" s="185" t="s">
        <v>215</v>
      </c>
    </row>
    <row r="12055" spans="129:129" x14ac:dyDescent="0.2">
      <c r="DY12055" s="185" t="s">
        <v>215</v>
      </c>
    </row>
    <row r="12056" spans="129:129" x14ac:dyDescent="0.2">
      <c r="DY12056" s="185" t="s">
        <v>215</v>
      </c>
    </row>
    <row r="12057" spans="129:129" x14ac:dyDescent="0.2">
      <c r="DY12057" s="185" t="s">
        <v>215</v>
      </c>
    </row>
    <row r="12058" spans="129:129" x14ac:dyDescent="0.2">
      <c r="DY12058" s="185" t="s">
        <v>215</v>
      </c>
    </row>
    <row r="12059" spans="129:129" x14ac:dyDescent="0.2">
      <c r="DY12059" s="185" t="s">
        <v>215</v>
      </c>
    </row>
    <row r="12060" spans="129:129" x14ac:dyDescent="0.2">
      <c r="DY12060" s="185" t="s">
        <v>215</v>
      </c>
    </row>
    <row r="12061" spans="129:129" x14ac:dyDescent="0.2">
      <c r="DY12061" s="185" t="s">
        <v>215</v>
      </c>
    </row>
    <row r="12062" spans="129:129" x14ac:dyDescent="0.2">
      <c r="DY12062" s="185" t="s">
        <v>215</v>
      </c>
    </row>
    <row r="12063" spans="129:129" x14ac:dyDescent="0.2">
      <c r="DY12063" s="185" t="s">
        <v>215</v>
      </c>
    </row>
    <row r="12064" spans="129:129" x14ac:dyDescent="0.2">
      <c r="DY12064" s="185" t="s">
        <v>215</v>
      </c>
    </row>
    <row r="12065" spans="129:129" x14ac:dyDescent="0.2">
      <c r="DY12065" s="185" t="s">
        <v>215</v>
      </c>
    </row>
    <row r="12066" spans="129:129" x14ac:dyDescent="0.2">
      <c r="DY12066" s="185" t="s">
        <v>215</v>
      </c>
    </row>
    <row r="12067" spans="129:129" x14ac:dyDescent="0.2">
      <c r="DY12067" s="185" t="s">
        <v>215</v>
      </c>
    </row>
    <row r="12068" spans="129:129" x14ac:dyDescent="0.2">
      <c r="DY12068" s="185" t="s">
        <v>215</v>
      </c>
    </row>
    <row r="12069" spans="129:129" x14ac:dyDescent="0.2">
      <c r="DY12069" s="185" t="s">
        <v>215</v>
      </c>
    </row>
    <row r="12070" spans="129:129" x14ac:dyDescent="0.2">
      <c r="DY12070" s="185" t="s">
        <v>215</v>
      </c>
    </row>
    <row r="12071" spans="129:129" x14ac:dyDescent="0.2">
      <c r="DY12071" s="185" t="s">
        <v>215</v>
      </c>
    </row>
    <row r="12072" spans="129:129" x14ac:dyDescent="0.2">
      <c r="DY12072" s="185" t="s">
        <v>215</v>
      </c>
    </row>
    <row r="12073" spans="129:129" x14ac:dyDescent="0.2">
      <c r="DY12073" s="185" t="s">
        <v>215</v>
      </c>
    </row>
    <row r="12074" spans="129:129" x14ac:dyDescent="0.2">
      <c r="DY12074" s="185" t="s">
        <v>215</v>
      </c>
    </row>
    <row r="12075" spans="129:129" x14ac:dyDescent="0.2">
      <c r="DY12075" s="185" t="s">
        <v>215</v>
      </c>
    </row>
    <row r="12076" spans="129:129" x14ac:dyDescent="0.2">
      <c r="DY12076" s="185" t="s">
        <v>215</v>
      </c>
    </row>
    <row r="12077" spans="129:129" x14ac:dyDescent="0.2">
      <c r="DY12077" s="185" t="s">
        <v>215</v>
      </c>
    </row>
    <row r="12078" spans="129:129" x14ac:dyDescent="0.2">
      <c r="DY12078" s="185" t="s">
        <v>215</v>
      </c>
    </row>
    <row r="12079" spans="129:129" x14ac:dyDescent="0.2">
      <c r="DY12079" s="185" t="s">
        <v>215</v>
      </c>
    </row>
    <row r="12080" spans="129:129" x14ac:dyDescent="0.2">
      <c r="DY12080" s="185" t="s">
        <v>215</v>
      </c>
    </row>
    <row r="12081" spans="129:129" x14ac:dyDescent="0.2">
      <c r="DY12081" s="185" t="s">
        <v>215</v>
      </c>
    </row>
    <row r="12082" spans="129:129" x14ac:dyDescent="0.2">
      <c r="DY12082" s="185" t="s">
        <v>215</v>
      </c>
    </row>
    <row r="12083" spans="129:129" x14ac:dyDescent="0.2">
      <c r="DY12083" s="185" t="s">
        <v>215</v>
      </c>
    </row>
    <row r="12084" spans="129:129" x14ac:dyDescent="0.2">
      <c r="DY12084" s="185" t="s">
        <v>215</v>
      </c>
    </row>
    <row r="12085" spans="129:129" x14ac:dyDescent="0.2">
      <c r="DY12085" s="185" t="s">
        <v>215</v>
      </c>
    </row>
    <row r="12086" spans="129:129" x14ac:dyDescent="0.2">
      <c r="DY12086" s="185" t="s">
        <v>215</v>
      </c>
    </row>
    <row r="12087" spans="129:129" x14ac:dyDescent="0.2">
      <c r="DY12087" s="185" t="s">
        <v>215</v>
      </c>
    </row>
    <row r="12088" spans="129:129" x14ac:dyDescent="0.2">
      <c r="DY12088" s="185" t="s">
        <v>215</v>
      </c>
    </row>
    <row r="12089" spans="129:129" x14ac:dyDescent="0.2">
      <c r="DY12089" s="185" t="s">
        <v>215</v>
      </c>
    </row>
    <row r="12090" spans="129:129" x14ac:dyDescent="0.2">
      <c r="DY12090" s="185" t="s">
        <v>215</v>
      </c>
    </row>
    <row r="12091" spans="129:129" x14ac:dyDescent="0.2">
      <c r="DY12091" s="185" t="s">
        <v>215</v>
      </c>
    </row>
    <row r="12092" spans="129:129" x14ac:dyDescent="0.2">
      <c r="DY12092" s="185" t="s">
        <v>215</v>
      </c>
    </row>
    <row r="12093" spans="129:129" x14ac:dyDescent="0.2">
      <c r="DY12093" s="185" t="s">
        <v>215</v>
      </c>
    </row>
    <row r="12094" spans="129:129" x14ac:dyDescent="0.2">
      <c r="DY12094" s="185" t="s">
        <v>215</v>
      </c>
    </row>
    <row r="12095" spans="129:129" x14ac:dyDescent="0.2">
      <c r="DY12095" s="185" t="s">
        <v>215</v>
      </c>
    </row>
    <row r="12096" spans="129:129" x14ac:dyDescent="0.2">
      <c r="DY12096" s="185" t="s">
        <v>215</v>
      </c>
    </row>
    <row r="12097" spans="129:129" x14ac:dyDescent="0.2">
      <c r="DY12097" s="185" t="s">
        <v>215</v>
      </c>
    </row>
    <row r="12098" spans="129:129" x14ac:dyDescent="0.2">
      <c r="DY12098" s="185" t="s">
        <v>215</v>
      </c>
    </row>
    <row r="12099" spans="129:129" x14ac:dyDescent="0.2">
      <c r="DY12099" s="185" t="s">
        <v>215</v>
      </c>
    </row>
    <row r="12100" spans="129:129" x14ac:dyDescent="0.2">
      <c r="DY12100" s="185" t="s">
        <v>215</v>
      </c>
    </row>
    <row r="12101" spans="129:129" x14ac:dyDescent="0.2">
      <c r="DY12101" s="185" t="s">
        <v>215</v>
      </c>
    </row>
    <row r="12102" spans="129:129" x14ac:dyDescent="0.2">
      <c r="DY12102" s="185" t="s">
        <v>215</v>
      </c>
    </row>
    <row r="12103" spans="129:129" x14ac:dyDescent="0.2">
      <c r="DY12103" s="185" t="s">
        <v>215</v>
      </c>
    </row>
    <row r="12104" spans="129:129" x14ac:dyDescent="0.2">
      <c r="DY12104" s="185" t="s">
        <v>215</v>
      </c>
    </row>
    <row r="12105" spans="129:129" x14ac:dyDescent="0.2">
      <c r="DY12105" s="185" t="s">
        <v>215</v>
      </c>
    </row>
    <row r="12106" spans="129:129" x14ac:dyDescent="0.2">
      <c r="DY12106" s="185" t="s">
        <v>215</v>
      </c>
    </row>
    <row r="12107" spans="129:129" x14ac:dyDescent="0.2">
      <c r="DY12107" s="185" t="s">
        <v>215</v>
      </c>
    </row>
    <row r="12108" spans="129:129" x14ac:dyDescent="0.2">
      <c r="DY12108" s="185" t="s">
        <v>215</v>
      </c>
    </row>
    <row r="12109" spans="129:129" x14ac:dyDescent="0.2">
      <c r="DY12109" s="185" t="s">
        <v>215</v>
      </c>
    </row>
    <row r="12110" spans="129:129" x14ac:dyDescent="0.2">
      <c r="DY12110" s="185" t="s">
        <v>215</v>
      </c>
    </row>
    <row r="12111" spans="129:129" x14ac:dyDescent="0.2">
      <c r="DY12111" s="185" t="s">
        <v>215</v>
      </c>
    </row>
    <row r="12112" spans="129:129" x14ac:dyDescent="0.2">
      <c r="DY12112" s="185" t="s">
        <v>215</v>
      </c>
    </row>
    <row r="12113" spans="129:129" x14ac:dyDescent="0.2">
      <c r="DY12113" s="185" t="s">
        <v>215</v>
      </c>
    </row>
    <row r="12114" spans="129:129" x14ac:dyDescent="0.2">
      <c r="DY12114" s="185" t="s">
        <v>215</v>
      </c>
    </row>
    <row r="12115" spans="129:129" x14ac:dyDescent="0.2">
      <c r="DY12115" s="185" t="s">
        <v>215</v>
      </c>
    </row>
    <row r="12116" spans="129:129" x14ac:dyDescent="0.2">
      <c r="DY12116" s="185" t="s">
        <v>215</v>
      </c>
    </row>
    <row r="12117" spans="129:129" x14ac:dyDescent="0.2">
      <c r="DY12117" s="185" t="s">
        <v>215</v>
      </c>
    </row>
    <row r="12118" spans="129:129" x14ac:dyDescent="0.2">
      <c r="DY12118" s="185" t="s">
        <v>215</v>
      </c>
    </row>
    <row r="12119" spans="129:129" x14ac:dyDescent="0.2">
      <c r="DY12119" s="185" t="s">
        <v>215</v>
      </c>
    </row>
    <row r="12120" spans="129:129" x14ac:dyDescent="0.2">
      <c r="DY12120" s="185" t="s">
        <v>215</v>
      </c>
    </row>
    <row r="12121" spans="129:129" x14ac:dyDescent="0.2">
      <c r="DY12121" s="185" t="s">
        <v>215</v>
      </c>
    </row>
    <row r="12122" spans="129:129" x14ac:dyDescent="0.2">
      <c r="DY12122" s="185" t="s">
        <v>215</v>
      </c>
    </row>
    <row r="12123" spans="129:129" x14ac:dyDescent="0.2">
      <c r="DY12123" s="185" t="s">
        <v>215</v>
      </c>
    </row>
    <row r="12124" spans="129:129" x14ac:dyDescent="0.2">
      <c r="DY12124" s="185" t="s">
        <v>215</v>
      </c>
    </row>
    <row r="12125" spans="129:129" x14ac:dyDescent="0.2">
      <c r="DY12125" s="185" t="s">
        <v>215</v>
      </c>
    </row>
    <row r="12126" spans="129:129" x14ac:dyDescent="0.2">
      <c r="DY12126" s="185" t="s">
        <v>215</v>
      </c>
    </row>
    <row r="12127" spans="129:129" x14ac:dyDescent="0.2">
      <c r="DY12127" s="185" t="s">
        <v>215</v>
      </c>
    </row>
    <row r="12128" spans="129:129" x14ac:dyDescent="0.2">
      <c r="DY12128" s="185" t="s">
        <v>215</v>
      </c>
    </row>
    <row r="12129" spans="129:129" x14ac:dyDescent="0.2">
      <c r="DY12129" s="185" t="s">
        <v>215</v>
      </c>
    </row>
    <row r="12130" spans="129:129" x14ac:dyDescent="0.2">
      <c r="DY12130" s="185" t="s">
        <v>215</v>
      </c>
    </row>
    <row r="12131" spans="129:129" x14ac:dyDescent="0.2">
      <c r="DY12131" s="185" t="s">
        <v>215</v>
      </c>
    </row>
    <row r="12132" spans="129:129" x14ac:dyDescent="0.2">
      <c r="DY12132" s="185" t="s">
        <v>215</v>
      </c>
    </row>
    <row r="12133" spans="129:129" x14ac:dyDescent="0.2">
      <c r="DY12133" s="185" t="s">
        <v>215</v>
      </c>
    </row>
    <row r="12134" spans="129:129" x14ac:dyDescent="0.2">
      <c r="DY12134" s="185" t="s">
        <v>215</v>
      </c>
    </row>
    <row r="12135" spans="129:129" x14ac:dyDescent="0.2">
      <c r="DY12135" s="185" t="s">
        <v>215</v>
      </c>
    </row>
    <row r="12136" spans="129:129" x14ac:dyDescent="0.2">
      <c r="DY12136" s="185" t="s">
        <v>215</v>
      </c>
    </row>
    <row r="12137" spans="129:129" x14ac:dyDescent="0.2">
      <c r="DY12137" s="185" t="s">
        <v>215</v>
      </c>
    </row>
    <row r="12138" spans="129:129" x14ac:dyDescent="0.2">
      <c r="DY12138" s="185" t="s">
        <v>215</v>
      </c>
    </row>
    <row r="12139" spans="129:129" x14ac:dyDescent="0.2">
      <c r="DY12139" s="185" t="s">
        <v>215</v>
      </c>
    </row>
    <row r="12140" spans="129:129" x14ac:dyDescent="0.2">
      <c r="DY12140" s="185" t="s">
        <v>215</v>
      </c>
    </row>
    <row r="12141" spans="129:129" x14ac:dyDescent="0.2">
      <c r="DY12141" s="185" t="s">
        <v>215</v>
      </c>
    </row>
    <row r="12142" spans="129:129" x14ac:dyDescent="0.2">
      <c r="DY12142" s="185" t="s">
        <v>215</v>
      </c>
    </row>
    <row r="12143" spans="129:129" x14ac:dyDescent="0.2">
      <c r="DY12143" s="185" t="s">
        <v>215</v>
      </c>
    </row>
    <row r="12144" spans="129:129" x14ac:dyDescent="0.2">
      <c r="DY12144" s="185" t="s">
        <v>215</v>
      </c>
    </row>
    <row r="12145" spans="129:129" x14ac:dyDescent="0.2">
      <c r="DY12145" s="185" t="s">
        <v>215</v>
      </c>
    </row>
    <row r="12146" spans="129:129" x14ac:dyDescent="0.2">
      <c r="DY12146" s="185" t="s">
        <v>215</v>
      </c>
    </row>
    <row r="12147" spans="129:129" x14ac:dyDescent="0.2">
      <c r="DY12147" s="185" t="s">
        <v>215</v>
      </c>
    </row>
    <row r="12148" spans="129:129" x14ac:dyDescent="0.2">
      <c r="DY12148" s="185" t="s">
        <v>215</v>
      </c>
    </row>
    <row r="12149" spans="129:129" x14ac:dyDescent="0.2">
      <c r="DY12149" s="185" t="s">
        <v>215</v>
      </c>
    </row>
    <row r="12150" spans="129:129" x14ac:dyDescent="0.2">
      <c r="DY12150" s="185" t="s">
        <v>215</v>
      </c>
    </row>
    <row r="12151" spans="129:129" x14ac:dyDescent="0.2">
      <c r="DY12151" s="185" t="s">
        <v>215</v>
      </c>
    </row>
    <row r="12152" spans="129:129" x14ac:dyDescent="0.2">
      <c r="DY12152" s="185" t="s">
        <v>215</v>
      </c>
    </row>
    <row r="12153" spans="129:129" x14ac:dyDescent="0.2">
      <c r="DY12153" s="185" t="s">
        <v>215</v>
      </c>
    </row>
    <row r="12154" spans="129:129" x14ac:dyDescent="0.2">
      <c r="DY12154" s="185" t="s">
        <v>215</v>
      </c>
    </row>
    <row r="12155" spans="129:129" x14ac:dyDescent="0.2">
      <c r="DY12155" s="185" t="s">
        <v>215</v>
      </c>
    </row>
    <row r="12156" spans="129:129" x14ac:dyDescent="0.2">
      <c r="DY12156" s="185" t="s">
        <v>215</v>
      </c>
    </row>
    <row r="12157" spans="129:129" x14ac:dyDescent="0.2">
      <c r="DY12157" s="185" t="s">
        <v>215</v>
      </c>
    </row>
    <row r="12158" spans="129:129" x14ac:dyDescent="0.2">
      <c r="DY12158" s="185" t="s">
        <v>215</v>
      </c>
    </row>
    <row r="12159" spans="129:129" x14ac:dyDescent="0.2">
      <c r="DY12159" s="185" t="s">
        <v>215</v>
      </c>
    </row>
    <row r="12160" spans="129:129" x14ac:dyDescent="0.2">
      <c r="DY12160" s="185" t="s">
        <v>215</v>
      </c>
    </row>
    <row r="12161" spans="129:129" x14ac:dyDescent="0.2">
      <c r="DY12161" s="185" t="s">
        <v>215</v>
      </c>
    </row>
    <row r="12162" spans="129:129" x14ac:dyDescent="0.2">
      <c r="DY12162" s="185" t="s">
        <v>215</v>
      </c>
    </row>
    <row r="12163" spans="129:129" x14ac:dyDescent="0.2">
      <c r="DY12163" s="185" t="s">
        <v>215</v>
      </c>
    </row>
    <row r="12164" spans="129:129" x14ac:dyDescent="0.2">
      <c r="DY12164" s="185" t="s">
        <v>215</v>
      </c>
    </row>
    <row r="12165" spans="129:129" x14ac:dyDescent="0.2">
      <c r="DY12165" s="185" t="s">
        <v>215</v>
      </c>
    </row>
    <row r="12166" spans="129:129" x14ac:dyDescent="0.2">
      <c r="DY12166" s="185" t="s">
        <v>215</v>
      </c>
    </row>
    <row r="12167" spans="129:129" x14ac:dyDescent="0.2">
      <c r="DY12167" s="185" t="s">
        <v>215</v>
      </c>
    </row>
    <row r="12168" spans="129:129" x14ac:dyDescent="0.2">
      <c r="DY12168" s="185" t="s">
        <v>215</v>
      </c>
    </row>
    <row r="12169" spans="129:129" x14ac:dyDescent="0.2">
      <c r="DY12169" s="185" t="s">
        <v>215</v>
      </c>
    </row>
    <row r="12170" spans="129:129" x14ac:dyDescent="0.2">
      <c r="DY12170" s="185" t="s">
        <v>215</v>
      </c>
    </row>
    <row r="12171" spans="129:129" x14ac:dyDescent="0.2">
      <c r="DY12171" s="185" t="s">
        <v>215</v>
      </c>
    </row>
    <row r="12172" spans="129:129" x14ac:dyDescent="0.2">
      <c r="DY12172" s="185" t="s">
        <v>215</v>
      </c>
    </row>
    <row r="12173" spans="129:129" x14ac:dyDescent="0.2">
      <c r="DY12173" s="185" t="s">
        <v>215</v>
      </c>
    </row>
    <row r="12174" spans="129:129" x14ac:dyDescent="0.2">
      <c r="DY12174" s="185" t="s">
        <v>215</v>
      </c>
    </row>
    <row r="12175" spans="129:129" x14ac:dyDescent="0.2">
      <c r="DY12175" s="185" t="s">
        <v>215</v>
      </c>
    </row>
    <row r="12176" spans="129:129" x14ac:dyDescent="0.2">
      <c r="DY12176" s="185" t="s">
        <v>215</v>
      </c>
    </row>
    <row r="12177" spans="129:129" x14ac:dyDescent="0.2">
      <c r="DY12177" s="185" t="s">
        <v>215</v>
      </c>
    </row>
    <row r="12178" spans="129:129" x14ac:dyDescent="0.2">
      <c r="DY12178" s="185" t="s">
        <v>215</v>
      </c>
    </row>
    <row r="12179" spans="129:129" x14ac:dyDescent="0.2">
      <c r="DY12179" s="185" t="s">
        <v>215</v>
      </c>
    </row>
    <row r="12180" spans="129:129" x14ac:dyDescent="0.2">
      <c r="DY12180" s="185" t="s">
        <v>215</v>
      </c>
    </row>
    <row r="12181" spans="129:129" x14ac:dyDescent="0.2">
      <c r="DY12181" s="185" t="s">
        <v>215</v>
      </c>
    </row>
    <row r="12182" spans="129:129" x14ac:dyDescent="0.2">
      <c r="DY12182" s="185" t="s">
        <v>215</v>
      </c>
    </row>
    <row r="12183" spans="129:129" x14ac:dyDescent="0.2">
      <c r="DY12183" s="185" t="s">
        <v>215</v>
      </c>
    </row>
    <row r="12184" spans="129:129" x14ac:dyDescent="0.2">
      <c r="DY12184" s="185" t="s">
        <v>215</v>
      </c>
    </row>
    <row r="12185" spans="129:129" x14ac:dyDescent="0.2">
      <c r="DY12185" s="185" t="s">
        <v>215</v>
      </c>
    </row>
    <row r="12186" spans="129:129" x14ac:dyDescent="0.2">
      <c r="DY12186" s="185" t="s">
        <v>215</v>
      </c>
    </row>
    <row r="12187" spans="129:129" x14ac:dyDescent="0.2">
      <c r="DY12187" s="185" t="s">
        <v>215</v>
      </c>
    </row>
    <row r="12188" spans="129:129" x14ac:dyDescent="0.2">
      <c r="DY12188" s="185" t="s">
        <v>215</v>
      </c>
    </row>
    <row r="12189" spans="129:129" x14ac:dyDescent="0.2">
      <c r="DY12189" s="185" t="s">
        <v>215</v>
      </c>
    </row>
    <row r="12190" spans="129:129" x14ac:dyDescent="0.2">
      <c r="DY12190" s="185" t="s">
        <v>215</v>
      </c>
    </row>
    <row r="12191" spans="129:129" x14ac:dyDescent="0.2">
      <c r="DY12191" s="185" t="s">
        <v>215</v>
      </c>
    </row>
    <row r="12192" spans="129:129" x14ac:dyDescent="0.2">
      <c r="DY12192" s="185" t="s">
        <v>215</v>
      </c>
    </row>
    <row r="12193" spans="129:129" x14ac:dyDescent="0.2">
      <c r="DY12193" s="185" t="s">
        <v>215</v>
      </c>
    </row>
    <row r="12194" spans="129:129" x14ac:dyDescent="0.2">
      <c r="DY12194" s="185" t="s">
        <v>215</v>
      </c>
    </row>
    <row r="12195" spans="129:129" x14ac:dyDescent="0.2">
      <c r="DY12195" s="185" t="s">
        <v>215</v>
      </c>
    </row>
    <row r="12196" spans="129:129" x14ac:dyDescent="0.2">
      <c r="DY12196" s="185" t="s">
        <v>215</v>
      </c>
    </row>
    <row r="12197" spans="129:129" x14ac:dyDescent="0.2">
      <c r="DY12197" s="185" t="s">
        <v>215</v>
      </c>
    </row>
    <row r="12198" spans="129:129" x14ac:dyDescent="0.2">
      <c r="DY12198" s="185" t="s">
        <v>215</v>
      </c>
    </row>
    <row r="12199" spans="129:129" x14ac:dyDescent="0.2">
      <c r="DY12199" s="185" t="s">
        <v>215</v>
      </c>
    </row>
    <row r="12200" spans="129:129" x14ac:dyDescent="0.2">
      <c r="DY12200" s="185" t="s">
        <v>215</v>
      </c>
    </row>
    <row r="12201" spans="129:129" x14ac:dyDescent="0.2">
      <c r="DY12201" s="185" t="s">
        <v>215</v>
      </c>
    </row>
    <row r="12202" spans="129:129" x14ac:dyDescent="0.2">
      <c r="DY12202" s="185" t="s">
        <v>215</v>
      </c>
    </row>
    <row r="12203" spans="129:129" x14ac:dyDescent="0.2">
      <c r="DY12203" s="185" t="s">
        <v>215</v>
      </c>
    </row>
    <row r="12204" spans="129:129" x14ac:dyDescent="0.2">
      <c r="DY12204" s="185" t="s">
        <v>215</v>
      </c>
    </row>
    <row r="12205" spans="129:129" x14ac:dyDescent="0.2">
      <c r="DY12205" s="185" t="s">
        <v>215</v>
      </c>
    </row>
    <row r="12206" spans="129:129" x14ac:dyDescent="0.2">
      <c r="DY12206" s="185" t="s">
        <v>215</v>
      </c>
    </row>
    <row r="12207" spans="129:129" x14ac:dyDescent="0.2">
      <c r="DY12207" s="185" t="s">
        <v>215</v>
      </c>
    </row>
    <row r="12208" spans="129:129" x14ac:dyDescent="0.2">
      <c r="DY12208" s="185" t="s">
        <v>215</v>
      </c>
    </row>
    <row r="12209" spans="129:129" x14ac:dyDescent="0.2">
      <c r="DY12209" s="185" t="s">
        <v>215</v>
      </c>
    </row>
    <row r="12210" spans="129:129" x14ac:dyDescent="0.2">
      <c r="DY12210" s="185" t="s">
        <v>215</v>
      </c>
    </row>
    <row r="12211" spans="129:129" x14ac:dyDescent="0.2">
      <c r="DY12211" s="185" t="s">
        <v>215</v>
      </c>
    </row>
    <row r="12212" spans="129:129" x14ac:dyDescent="0.2">
      <c r="DY12212" s="185" t="s">
        <v>215</v>
      </c>
    </row>
    <row r="12213" spans="129:129" x14ac:dyDescent="0.2">
      <c r="DY12213" s="185" t="s">
        <v>215</v>
      </c>
    </row>
    <row r="12214" spans="129:129" x14ac:dyDescent="0.2">
      <c r="DY12214" s="185" t="s">
        <v>215</v>
      </c>
    </row>
    <row r="12215" spans="129:129" x14ac:dyDescent="0.2">
      <c r="DY12215" s="185" t="s">
        <v>215</v>
      </c>
    </row>
    <row r="12216" spans="129:129" x14ac:dyDescent="0.2">
      <c r="DY12216" s="185" t="s">
        <v>215</v>
      </c>
    </row>
    <row r="12217" spans="129:129" x14ac:dyDescent="0.2">
      <c r="DY12217" s="185" t="s">
        <v>215</v>
      </c>
    </row>
    <row r="12218" spans="129:129" x14ac:dyDescent="0.2">
      <c r="DY12218" s="185" t="s">
        <v>215</v>
      </c>
    </row>
    <row r="12219" spans="129:129" x14ac:dyDescent="0.2">
      <c r="DY12219" s="185" t="s">
        <v>215</v>
      </c>
    </row>
    <row r="12220" spans="129:129" x14ac:dyDescent="0.2">
      <c r="DY12220" s="185" t="s">
        <v>215</v>
      </c>
    </row>
    <row r="12221" spans="129:129" x14ac:dyDescent="0.2">
      <c r="DY12221" s="185" t="s">
        <v>215</v>
      </c>
    </row>
    <row r="12222" spans="129:129" x14ac:dyDescent="0.2">
      <c r="DY12222" s="185" t="s">
        <v>215</v>
      </c>
    </row>
    <row r="12223" spans="129:129" x14ac:dyDescent="0.2">
      <c r="DY12223" s="185" t="s">
        <v>215</v>
      </c>
    </row>
    <row r="12224" spans="129:129" x14ac:dyDescent="0.2">
      <c r="DY12224" s="185" t="s">
        <v>215</v>
      </c>
    </row>
    <row r="12225" spans="129:129" x14ac:dyDescent="0.2">
      <c r="DY12225" s="185" t="s">
        <v>215</v>
      </c>
    </row>
    <row r="12226" spans="129:129" x14ac:dyDescent="0.2">
      <c r="DY12226" s="185" t="s">
        <v>215</v>
      </c>
    </row>
    <row r="12227" spans="129:129" x14ac:dyDescent="0.2">
      <c r="DY12227" s="185" t="s">
        <v>215</v>
      </c>
    </row>
    <row r="12228" spans="129:129" x14ac:dyDescent="0.2">
      <c r="DY12228" s="185" t="s">
        <v>215</v>
      </c>
    </row>
    <row r="12229" spans="129:129" x14ac:dyDescent="0.2">
      <c r="DY12229" s="185" t="s">
        <v>215</v>
      </c>
    </row>
    <row r="12230" spans="129:129" x14ac:dyDescent="0.2">
      <c r="DY12230" s="185" t="s">
        <v>215</v>
      </c>
    </row>
    <row r="12231" spans="129:129" x14ac:dyDescent="0.2">
      <c r="DY12231" s="185" t="s">
        <v>215</v>
      </c>
    </row>
    <row r="12232" spans="129:129" x14ac:dyDescent="0.2">
      <c r="DY12232" s="185" t="s">
        <v>215</v>
      </c>
    </row>
    <row r="12233" spans="129:129" x14ac:dyDescent="0.2">
      <c r="DY12233" s="185" t="s">
        <v>215</v>
      </c>
    </row>
    <row r="12234" spans="129:129" x14ac:dyDescent="0.2">
      <c r="DY12234" s="185" t="s">
        <v>215</v>
      </c>
    </row>
    <row r="12235" spans="129:129" x14ac:dyDescent="0.2">
      <c r="DY12235" s="185" t="s">
        <v>215</v>
      </c>
    </row>
    <row r="12236" spans="129:129" x14ac:dyDescent="0.2">
      <c r="DY12236" s="185" t="s">
        <v>215</v>
      </c>
    </row>
    <row r="12237" spans="129:129" x14ac:dyDescent="0.2">
      <c r="DY12237" s="185" t="s">
        <v>215</v>
      </c>
    </row>
    <row r="12238" spans="129:129" x14ac:dyDescent="0.2">
      <c r="DY12238" s="185" t="s">
        <v>215</v>
      </c>
    </row>
    <row r="12239" spans="129:129" x14ac:dyDescent="0.2">
      <c r="DY12239" s="185" t="s">
        <v>215</v>
      </c>
    </row>
    <row r="12240" spans="129:129" x14ac:dyDescent="0.2">
      <c r="DY12240" s="185" t="s">
        <v>215</v>
      </c>
    </row>
    <row r="12241" spans="129:129" x14ac:dyDescent="0.2">
      <c r="DY12241" s="185" t="s">
        <v>215</v>
      </c>
    </row>
    <row r="12242" spans="129:129" x14ac:dyDescent="0.2">
      <c r="DY12242" s="185" t="s">
        <v>215</v>
      </c>
    </row>
    <row r="12243" spans="129:129" x14ac:dyDescent="0.2">
      <c r="DY12243" s="185" t="s">
        <v>215</v>
      </c>
    </row>
    <row r="12244" spans="129:129" x14ac:dyDescent="0.2">
      <c r="DY12244" s="185" t="s">
        <v>215</v>
      </c>
    </row>
    <row r="12245" spans="129:129" x14ac:dyDescent="0.2">
      <c r="DY12245" s="185" t="s">
        <v>215</v>
      </c>
    </row>
    <row r="12246" spans="129:129" x14ac:dyDescent="0.2">
      <c r="DY12246" s="185" t="s">
        <v>215</v>
      </c>
    </row>
    <row r="12247" spans="129:129" x14ac:dyDescent="0.2">
      <c r="DY12247" s="185" t="s">
        <v>215</v>
      </c>
    </row>
    <row r="12248" spans="129:129" x14ac:dyDescent="0.2">
      <c r="DY12248" s="185" t="s">
        <v>215</v>
      </c>
    </row>
    <row r="12249" spans="129:129" x14ac:dyDescent="0.2">
      <c r="DY12249" s="185" t="s">
        <v>215</v>
      </c>
    </row>
    <row r="12250" spans="129:129" x14ac:dyDescent="0.2">
      <c r="DY12250" s="185" t="s">
        <v>215</v>
      </c>
    </row>
    <row r="12251" spans="129:129" x14ac:dyDescent="0.2">
      <c r="DY12251" s="185" t="s">
        <v>215</v>
      </c>
    </row>
    <row r="12252" spans="129:129" x14ac:dyDescent="0.2">
      <c r="DY12252" s="185" t="s">
        <v>215</v>
      </c>
    </row>
    <row r="12253" spans="129:129" x14ac:dyDescent="0.2">
      <c r="DY12253" s="185" t="s">
        <v>215</v>
      </c>
    </row>
    <row r="12254" spans="129:129" x14ac:dyDescent="0.2">
      <c r="DY12254" s="185" t="s">
        <v>215</v>
      </c>
    </row>
    <row r="12255" spans="129:129" x14ac:dyDescent="0.2">
      <c r="DY12255" s="185" t="s">
        <v>215</v>
      </c>
    </row>
    <row r="12256" spans="129:129" x14ac:dyDescent="0.2">
      <c r="DY12256" s="185" t="s">
        <v>215</v>
      </c>
    </row>
    <row r="12257" spans="129:129" x14ac:dyDescent="0.2">
      <c r="DY12257" s="185" t="s">
        <v>215</v>
      </c>
    </row>
    <row r="12258" spans="129:129" x14ac:dyDescent="0.2">
      <c r="DY12258" s="185" t="s">
        <v>215</v>
      </c>
    </row>
    <row r="12259" spans="129:129" x14ac:dyDescent="0.2">
      <c r="DY12259" s="185" t="s">
        <v>215</v>
      </c>
    </row>
    <row r="12260" spans="129:129" x14ac:dyDescent="0.2">
      <c r="DY12260" s="185" t="s">
        <v>215</v>
      </c>
    </row>
    <row r="12261" spans="129:129" x14ac:dyDescent="0.2">
      <c r="DY12261" s="185" t="s">
        <v>215</v>
      </c>
    </row>
    <row r="12262" spans="129:129" x14ac:dyDescent="0.2">
      <c r="DY12262" s="185" t="s">
        <v>215</v>
      </c>
    </row>
    <row r="12263" spans="129:129" x14ac:dyDescent="0.2">
      <c r="DY12263" s="185" t="s">
        <v>215</v>
      </c>
    </row>
    <row r="12264" spans="129:129" x14ac:dyDescent="0.2">
      <c r="DY12264" s="185" t="s">
        <v>215</v>
      </c>
    </row>
    <row r="12265" spans="129:129" x14ac:dyDescent="0.2">
      <c r="DY12265" s="185" t="s">
        <v>215</v>
      </c>
    </row>
    <row r="12266" spans="129:129" x14ac:dyDescent="0.2">
      <c r="DY12266" s="185" t="s">
        <v>215</v>
      </c>
    </row>
    <row r="12267" spans="129:129" x14ac:dyDescent="0.2">
      <c r="DY12267" s="185" t="s">
        <v>215</v>
      </c>
    </row>
    <row r="12268" spans="129:129" x14ac:dyDescent="0.2">
      <c r="DY12268" s="185" t="s">
        <v>215</v>
      </c>
    </row>
    <row r="12269" spans="129:129" x14ac:dyDescent="0.2">
      <c r="DY12269" s="185" t="s">
        <v>215</v>
      </c>
    </row>
    <row r="12270" spans="129:129" x14ac:dyDescent="0.2">
      <c r="DY12270" s="185" t="s">
        <v>215</v>
      </c>
    </row>
    <row r="12271" spans="129:129" x14ac:dyDescent="0.2">
      <c r="DY12271" s="185" t="s">
        <v>215</v>
      </c>
    </row>
    <row r="12272" spans="129:129" x14ac:dyDescent="0.2">
      <c r="DY12272" s="185" t="s">
        <v>215</v>
      </c>
    </row>
    <row r="12273" spans="129:129" x14ac:dyDescent="0.2">
      <c r="DY12273" s="185" t="s">
        <v>215</v>
      </c>
    </row>
    <row r="12274" spans="129:129" x14ac:dyDescent="0.2">
      <c r="DY12274" s="185" t="s">
        <v>215</v>
      </c>
    </row>
    <row r="12275" spans="129:129" x14ac:dyDescent="0.2">
      <c r="DY12275" s="185" t="s">
        <v>215</v>
      </c>
    </row>
    <row r="12276" spans="129:129" x14ac:dyDescent="0.2">
      <c r="DY12276" s="185" t="s">
        <v>215</v>
      </c>
    </row>
    <row r="12277" spans="129:129" x14ac:dyDescent="0.2">
      <c r="DY12277" s="185" t="s">
        <v>215</v>
      </c>
    </row>
    <row r="12278" spans="129:129" x14ac:dyDescent="0.2">
      <c r="DY12278" s="185" t="s">
        <v>215</v>
      </c>
    </row>
    <row r="12279" spans="129:129" x14ac:dyDescent="0.2">
      <c r="DY12279" s="185" t="s">
        <v>215</v>
      </c>
    </row>
    <row r="12280" spans="129:129" x14ac:dyDescent="0.2">
      <c r="DY12280" s="185" t="s">
        <v>215</v>
      </c>
    </row>
    <row r="12281" spans="129:129" x14ac:dyDescent="0.2">
      <c r="DY12281" s="185" t="s">
        <v>215</v>
      </c>
    </row>
    <row r="12282" spans="129:129" x14ac:dyDescent="0.2">
      <c r="DY12282" s="185" t="s">
        <v>215</v>
      </c>
    </row>
    <row r="12283" spans="129:129" x14ac:dyDescent="0.2">
      <c r="DY12283" s="185" t="s">
        <v>215</v>
      </c>
    </row>
    <row r="12284" spans="129:129" x14ac:dyDescent="0.2">
      <c r="DY12284" s="185" t="s">
        <v>215</v>
      </c>
    </row>
    <row r="12285" spans="129:129" x14ac:dyDescent="0.2">
      <c r="DY12285" s="185" t="s">
        <v>215</v>
      </c>
    </row>
    <row r="12286" spans="129:129" x14ac:dyDescent="0.2">
      <c r="DY12286" s="185" t="s">
        <v>215</v>
      </c>
    </row>
    <row r="12287" spans="129:129" x14ac:dyDescent="0.2">
      <c r="DY12287" s="185" t="s">
        <v>215</v>
      </c>
    </row>
    <row r="12288" spans="129:129" x14ac:dyDescent="0.2">
      <c r="DY12288" s="185" t="s">
        <v>215</v>
      </c>
    </row>
    <row r="12289" spans="129:129" x14ac:dyDescent="0.2">
      <c r="DY12289" s="185" t="s">
        <v>215</v>
      </c>
    </row>
    <row r="12290" spans="129:129" x14ac:dyDescent="0.2">
      <c r="DY12290" s="185" t="s">
        <v>215</v>
      </c>
    </row>
    <row r="12291" spans="129:129" x14ac:dyDescent="0.2">
      <c r="DY12291" s="185" t="s">
        <v>215</v>
      </c>
    </row>
    <row r="12292" spans="129:129" x14ac:dyDescent="0.2">
      <c r="DY12292" s="185" t="s">
        <v>215</v>
      </c>
    </row>
    <row r="12293" spans="129:129" x14ac:dyDescent="0.2">
      <c r="DY12293" s="185" t="s">
        <v>215</v>
      </c>
    </row>
    <row r="12294" spans="129:129" x14ac:dyDescent="0.2">
      <c r="DY12294" s="185" t="s">
        <v>215</v>
      </c>
    </row>
    <row r="12295" spans="129:129" x14ac:dyDescent="0.2">
      <c r="DY12295" s="185" t="s">
        <v>215</v>
      </c>
    </row>
    <row r="12296" spans="129:129" x14ac:dyDescent="0.2">
      <c r="DY12296" s="185" t="s">
        <v>215</v>
      </c>
    </row>
    <row r="12297" spans="129:129" x14ac:dyDescent="0.2">
      <c r="DY12297" s="185" t="s">
        <v>215</v>
      </c>
    </row>
    <row r="12298" spans="129:129" x14ac:dyDescent="0.2">
      <c r="DY12298" s="185" t="s">
        <v>215</v>
      </c>
    </row>
    <row r="12299" spans="129:129" x14ac:dyDescent="0.2">
      <c r="DY12299" s="185" t="s">
        <v>215</v>
      </c>
    </row>
    <row r="12300" spans="129:129" x14ac:dyDescent="0.2">
      <c r="DY12300" s="185" t="s">
        <v>215</v>
      </c>
    </row>
    <row r="12301" spans="129:129" x14ac:dyDescent="0.2">
      <c r="DY12301" s="185" t="s">
        <v>215</v>
      </c>
    </row>
    <row r="12302" spans="129:129" x14ac:dyDescent="0.2">
      <c r="DY12302" s="185" t="s">
        <v>215</v>
      </c>
    </row>
    <row r="12303" spans="129:129" x14ac:dyDescent="0.2">
      <c r="DY12303" s="185" t="s">
        <v>215</v>
      </c>
    </row>
    <row r="12304" spans="129:129" x14ac:dyDescent="0.2">
      <c r="DY12304" s="185" t="s">
        <v>215</v>
      </c>
    </row>
    <row r="12305" spans="129:129" x14ac:dyDescent="0.2">
      <c r="DY12305" s="185" t="s">
        <v>215</v>
      </c>
    </row>
    <row r="12306" spans="129:129" x14ac:dyDescent="0.2">
      <c r="DY12306" s="185" t="s">
        <v>215</v>
      </c>
    </row>
    <row r="12307" spans="129:129" x14ac:dyDescent="0.2">
      <c r="DY12307" s="185" t="s">
        <v>215</v>
      </c>
    </row>
    <row r="12308" spans="129:129" x14ac:dyDescent="0.2">
      <c r="DY12308" s="185" t="s">
        <v>215</v>
      </c>
    </row>
    <row r="12309" spans="129:129" x14ac:dyDescent="0.2">
      <c r="DY12309" s="185" t="s">
        <v>215</v>
      </c>
    </row>
    <row r="12310" spans="129:129" x14ac:dyDescent="0.2">
      <c r="DY12310" s="185" t="s">
        <v>215</v>
      </c>
    </row>
    <row r="12311" spans="129:129" x14ac:dyDescent="0.2">
      <c r="DY12311" s="185" t="s">
        <v>215</v>
      </c>
    </row>
    <row r="12312" spans="129:129" x14ac:dyDescent="0.2">
      <c r="DY12312" s="185" t="s">
        <v>215</v>
      </c>
    </row>
    <row r="12313" spans="129:129" x14ac:dyDescent="0.2">
      <c r="DY12313" s="185" t="s">
        <v>215</v>
      </c>
    </row>
    <row r="12314" spans="129:129" x14ac:dyDescent="0.2">
      <c r="DY12314" s="185" t="s">
        <v>215</v>
      </c>
    </row>
    <row r="12315" spans="129:129" x14ac:dyDescent="0.2">
      <c r="DY12315" s="185" t="s">
        <v>215</v>
      </c>
    </row>
    <row r="12316" spans="129:129" x14ac:dyDescent="0.2">
      <c r="DY12316" s="185" t="s">
        <v>215</v>
      </c>
    </row>
    <row r="12317" spans="129:129" x14ac:dyDescent="0.2">
      <c r="DY12317" s="185" t="s">
        <v>215</v>
      </c>
    </row>
    <row r="12318" spans="129:129" x14ac:dyDescent="0.2">
      <c r="DY12318" s="185" t="s">
        <v>215</v>
      </c>
    </row>
    <row r="12319" spans="129:129" x14ac:dyDescent="0.2">
      <c r="DY12319" s="185" t="s">
        <v>215</v>
      </c>
    </row>
    <row r="12320" spans="129:129" x14ac:dyDescent="0.2">
      <c r="DY12320" s="185" t="s">
        <v>215</v>
      </c>
    </row>
    <row r="12321" spans="129:129" x14ac:dyDescent="0.2">
      <c r="DY12321" s="185" t="s">
        <v>215</v>
      </c>
    </row>
    <row r="12322" spans="129:129" x14ac:dyDescent="0.2">
      <c r="DY12322" s="185" t="s">
        <v>215</v>
      </c>
    </row>
    <row r="12323" spans="129:129" x14ac:dyDescent="0.2">
      <c r="DY12323" s="185" t="s">
        <v>215</v>
      </c>
    </row>
    <row r="12324" spans="129:129" x14ac:dyDescent="0.2">
      <c r="DY12324" s="185" t="s">
        <v>215</v>
      </c>
    </row>
    <row r="12325" spans="129:129" x14ac:dyDescent="0.2">
      <c r="DY12325" s="185" t="s">
        <v>215</v>
      </c>
    </row>
    <row r="12326" spans="129:129" x14ac:dyDescent="0.2">
      <c r="DY12326" s="185" t="s">
        <v>215</v>
      </c>
    </row>
    <row r="12327" spans="129:129" x14ac:dyDescent="0.2">
      <c r="DY12327" s="185" t="s">
        <v>215</v>
      </c>
    </row>
    <row r="12328" spans="129:129" x14ac:dyDescent="0.2">
      <c r="DY12328" s="185" t="s">
        <v>215</v>
      </c>
    </row>
    <row r="12329" spans="129:129" x14ac:dyDescent="0.2">
      <c r="DY12329" s="185" t="s">
        <v>215</v>
      </c>
    </row>
    <row r="12330" spans="129:129" x14ac:dyDescent="0.2">
      <c r="DY12330" s="185" t="s">
        <v>215</v>
      </c>
    </row>
    <row r="12331" spans="129:129" x14ac:dyDescent="0.2">
      <c r="DY12331" s="185" t="s">
        <v>215</v>
      </c>
    </row>
    <row r="12332" spans="129:129" x14ac:dyDescent="0.2">
      <c r="DY12332" s="185" t="s">
        <v>215</v>
      </c>
    </row>
    <row r="12333" spans="129:129" x14ac:dyDescent="0.2">
      <c r="DY12333" s="185" t="s">
        <v>215</v>
      </c>
    </row>
    <row r="12334" spans="129:129" x14ac:dyDescent="0.2">
      <c r="DY12334" s="185" t="s">
        <v>215</v>
      </c>
    </row>
    <row r="12335" spans="129:129" x14ac:dyDescent="0.2">
      <c r="DY12335" s="185" t="s">
        <v>215</v>
      </c>
    </row>
    <row r="12336" spans="129:129" x14ac:dyDescent="0.2">
      <c r="DY12336" s="185" t="s">
        <v>215</v>
      </c>
    </row>
    <row r="12337" spans="129:129" x14ac:dyDescent="0.2">
      <c r="DY12337" s="185" t="s">
        <v>215</v>
      </c>
    </row>
    <row r="12338" spans="129:129" x14ac:dyDescent="0.2">
      <c r="DY12338" s="185" t="s">
        <v>215</v>
      </c>
    </row>
    <row r="12339" spans="129:129" x14ac:dyDescent="0.2">
      <c r="DY12339" s="185" t="s">
        <v>215</v>
      </c>
    </row>
    <row r="12340" spans="129:129" x14ac:dyDescent="0.2">
      <c r="DY12340" s="185" t="s">
        <v>215</v>
      </c>
    </row>
    <row r="12341" spans="129:129" x14ac:dyDescent="0.2">
      <c r="DY12341" s="185" t="s">
        <v>215</v>
      </c>
    </row>
    <row r="12342" spans="129:129" x14ac:dyDescent="0.2">
      <c r="DY12342" s="185" t="s">
        <v>215</v>
      </c>
    </row>
    <row r="12343" spans="129:129" x14ac:dyDescent="0.2">
      <c r="DY12343" s="185" t="s">
        <v>215</v>
      </c>
    </row>
    <row r="12344" spans="129:129" x14ac:dyDescent="0.2">
      <c r="DY12344" s="185" t="s">
        <v>215</v>
      </c>
    </row>
    <row r="12345" spans="129:129" x14ac:dyDescent="0.2">
      <c r="DY12345" s="185" t="s">
        <v>215</v>
      </c>
    </row>
    <row r="12346" spans="129:129" x14ac:dyDescent="0.2">
      <c r="DY12346" s="185" t="s">
        <v>215</v>
      </c>
    </row>
    <row r="12347" spans="129:129" x14ac:dyDescent="0.2">
      <c r="DY12347" s="185" t="s">
        <v>215</v>
      </c>
    </row>
    <row r="12348" spans="129:129" x14ac:dyDescent="0.2">
      <c r="DY12348" s="185" t="s">
        <v>215</v>
      </c>
    </row>
    <row r="12349" spans="129:129" x14ac:dyDescent="0.2">
      <c r="DY12349" s="185" t="s">
        <v>215</v>
      </c>
    </row>
    <row r="12350" spans="129:129" x14ac:dyDescent="0.2">
      <c r="DY12350" s="185" t="s">
        <v>215</v>
      </c>
    </row>
    <row r="12351" spans="129:129" x14ac:dyDescent="0.2">
      <c r="DY12351" s="185" t="s">
        <v>215</v>
      </c>
    </row>
    <row r="12352" spans="129:129" x14ac:dyDescent="0.2">
      <c r="DY12352" s="185" t="s">
        <v>215</v>
      </c>
    </row>
    <row r="12353" spans="129:129" x14ac:dyDescent="0.2">
      <c r="DY12353" s="185" t="s">
        <v>215</v>
      </c>
    </row>
    <row r="12354" spans="129:129" x14ac:dyDescent="0.2">
      <c r="DY12354" s="185" t="s">
        <v>215</v>
      </c>
    </row>
    <row r="12355" spans="129:129" x14ac:dyDescent="0.2">
      <c r="DY12355" s="185" t="s">
        <v>215</v>
      </c>
    </row>
    <row r="12356" spans="129:129" x14ac:dyDescent="0.2">
      <c r="DY12356" s="185" t="s">
        <v>215</v>
      </c>
    </row>
    <row r="12357" spans="129:129" x14ac:dyDescent="0.2">
      <c r="DY12357" s="185" t="s">
        <v>215</v>
      </c>
    </row>
    <row r="12358" spans="129:129" x14ac:dyDescent="0.2">
      <c r="DY12358" s="185" t="s">
        <v>215</v>
      </c>
    </row>
    <row r="12359" spans="129:129" x14ac:dyDescent="0.2">
      <c r="DY12359" s="185" t="s">
        <v>215</v>
      </c>
    </row>
    <row r="12360" spans="129:129" x14ac:dyDescent="0.2">
      <c r="DY12360" s="185" t="s">
        <v>215</v>
      </c>
    </row>
    <row r="12361" spans="129:129" x14ac:dyDescent="0.2">
      <c r="DY12361" s="185" t="s">
        <v>215</v>
      </c>
    </row>
    <row r="12362" spans="129:129" x14ac:dyDescent="0.2">
      <c r="DY12362" s="185" t="s">
        <v>215</v>
      </c>
    </row>
    <row r="12363" spans="129:129" x14ac:dyDescent="0.2">
      <c r="DY12363" s="185" t="s">
        <v>215</v>
      </c>
    </row>
    <row r="12364" spans="129:129" x14ac:dyDescent="0.2">
      <c r="DY12364" s="185" t="s">
        <v>215</v>
      </c>
    </row>
    <row r="12365" spans="129:129" x14ac:dyDescent="0.2">
      <c r="DY12365" s="185" t="s">
        <v>215</v>
      </c>
    </row>
    <row r="12366" spans="129:129" x14ac:dyDescent="0.2">
      <c r="DY12366" s="185" t="s">
        <v>215</v>
      </c>
    </row>
    <row r="12367" spans="129:129" x14ac:dyDescent="0.2">
      <c r="DY12367" s="185" t="s">
        <v>215</v>
      </c>
    </row>
    <row r="12368" spans="129:129" x14ac:dyDescent="0.2">
      <c r="DY12368" s="185" t="s">
        <v>215</v>
      </c>
    </row>
    <row r="12369" spans="129:129" x14ac:dyDescent="0.2">
      <c r="DY12369" s="185" t="s">
        <v>215</v>
      </c>
    </row>
    <row r="12370" spans="129:129" x14ac:dyDescent="0.2">
      <c r="DY12370" s="185" t="s">
        <v>215</v>
      </c>
    </row>
    <row r="12371" spans="129:129" x14ac:dyDescent="0.2">
      <c r="DY12371" s="185" t="s">
        <v>215</v>
      </c>
    </row>
    <row r="12372" spans="129:129" x14ac:dyDescent="0.2">
      <c r="DY12372" s="185" t="s">
        <v>215</v>
      </c>
    </row>
    <row r="12373" spans="129:129" x14ac:dyDescent="0.2">
      <c r="DY12373" s="185" t="s">
        <v>215</v>
      </c>
    </row>
    <row r="12374" spans="129:129" x14ac:dyDescent="0.2">
      <c r="DY12374" s="185" t="s">
        <v>215</v>
      </c>
    </row>
    <row r="12375" spans="129:129" x14ac:dyDescent="0.2">
      <c r="DY12375" s="185" t="s">
        <v>215</v>
      </c>
    </row>
    <row r="12376" spans="129:129" x14ac:dyDescent="0.2">
      <c r="DY12376" s="185" t="s">
        <v>215</v>
      </c>
    </row>
    <row r="12377" spans="129:129" x14ac:dyDescent="0.2">
      <c r="DY12377" s="185" t="s">
        <v>215</v>
      </c>
    </row>
    <row r="12378" spans="129:129" x14ac:dyDescent="0.2">
      <c r="DY12378" s="185" t="s">
        <v>215</v>
      </c>
    </row>
    <row r="12379" spans="129:129" x14ac:dyDescent="0.2">
      <c r="DY12379" s="185" t="s">
        <v>215</v>
      </c>
    </row>
    <row r="12380" spans="129:129" x14ac:dyDescent="0.2">
      <c r="DY12380" s="185" t="s">
        <v>215</v>
      </c>
    </row>
    <row r="12381" spans="129:129" x14ac:dyDescent="0.2">
      <c r="DY12381" s="185" t="s">
        <v>215</v>
      </c>
    </row>
    <row r="12382" spans="129:129" x14ac:dyDescent="0.2">
      <c r="DY12382" s="185" t="s">
        <v>215</v>
      </c>
    </row>
    <row r="12383" spans="129:129" x14ac:dyDescent="0.2">
      <c r="DY12383" s="185" t="s">
        <v>215</v>
      </c>
    </row>
    <row r="12384" spans="129:129" x14ac:dyDescent="0.2">
      <c r="DY12384" s="185" t="s">
        <v>215</v>
      </c>
    </row>
    <row r="12385" spans="129:129" x14ac:dyDescent="0.2">
      <c r="DY12385" s="185" t="s">
        <v>215</v>
      </c>
    </row>
    <row r="12386" spans="129:129" x14ac:dyDescent="0.2">
      <c r="DY12386" s="185" t="s">
        <v>215</v>
      </c>
    </row>
    <row r="12387" spans="129:129" x14ac:dyDescent="0.2">
      <c r="DY12387" s="185" t="s">
        <v>215</v>
      </c>
    </row>
    <row r="12388" spans="129:129" x14ac:dyDescent="0.2">
      <c r="DY12388" s="185" t="s">
        <v>215</v>
      </c>
    </row>
    <row r="12389" spans="129:129" x14ac:dyDescent="0.2">
      <c r="DY12389" s="185" t="s">
        <v>215</v>
      </c>
    </row>
    <row r="12390" spans="129:129" x14ac:dyDescent="0.2">
      <c r="DY12390" s="185" t="s">
        <v>215</v>
      </c>
    </row>
    <row r="12391" spans="129:129" x14ac:dyDescent="0.2">
      <c r="DY12391" s="185" t="s">
        <v>215</v>
      </c>
    </row>
    <row r="12392" spans="129:129" x14ac:dyDescent="0.2">
      <c r="DY12392" s="185" t="s">
        <v>215</v>
      </c>
    </row>
    <row r="12393" spans="129:129" x14ac:dyDescent="0.2">
      <c r="DY12393" s="185" t="s">
        <v>215</v>
      </c>
    </row>
    <row r="12394" spans="129:129" x14ac:dyDescent="0.2">
      <c r="DY12394" s="185" t="s">
        <v>215</v>
      </c>
    </row>
    <row r="12395" spans="129:129" x14ac:dyDescent="0.2">
      <c r="DY12395" s="185" t="s">
        <v>215</v>
      </c>
    </row>
    <row r="12396" spans="129:129" x14ac:dyDescent="0.2">
      <c r="DY12396" s="185" t="s">
        <v>215</v>
      </c>
    </row>
    <row r="12397" spans="129:129" x14ac:dyDescent="0.2">
      <c r="DY12397" s="185" t="s">
        <v>215</v>
      </c>
    </row>
    <row r="12398" spans="129:129" x14ac:dyDescent="0.2">
      <c r="DY12398" s="185" t="s">
        <v>215</v>
      </c>
    </row>
    <row r="12399" spans="129:129" x14ac:dyDescent="0.2">
      <c r="DY12399" s="185" t="s">
        <v>215</v>
      </c>
    </row>
    <row r="12400" spans="129:129" x14ac:dyDescent="0.2">
      <c r="DY12400" s="185" t="s">
        <v>215</v>
      </c>
    </row>
    <row r="12401" spans="129:129" x14ac:dyDescent="0.2">
      <c r="DY12401" s="185" t="s">
        <v>215</v>
      </c>
    </row>
    <row r="12402" spans="129:129" x14ac:dyDescent="0.2">
      <c r="DY12402" s="185" t="s">
        <v>215</v>
      </c>
    </row>
    <row r="12403" spans="129:129" x14ac:dyDescent="0.2">
      <c r="DY12403" s="185" t="s">
        <v>215</v>
      </c>
    </row>
    <row r="12404" spans="129:129" x14ac:dyDescent="0.2">
      <c r="DY12404" s="185" t="s">
        <v>215</v>
      </c>
    </row>
    <row r="12405" spans="129:129" x14ac:dyDescent="0.2">
      <c r="DY12405" s="185" t="s">
        <v>215</v>
      </c>
    </row>
    <row r="12406" spans="129:129" x14ac:dyDescent="0.2">
      <c r="DY12406" s="185" t="s">
        <v>215</v>
      </c>
    </row>
    <row r="12407" spans="129:129" x14ac:dyDescent="0.2">
      <c r="DY12407" s="185" t="s">
        <v>215</v>
      </c>
    </row>
    <row r="12408" spans="129:129" x14ac:dyDescent="0.2">
      <c r="DY12408" s="185" t="s">
        <v>215</v>
      </c>
    </row>
    <row r="12409" spans="129:129" x14ac:dyDescent="0.2">
      <c r="DY12409" s="185" t="s">
        <v>215</v>
      </c>
    </row>
    <row r="12410" spans="129:129" x14ac:dyDescent="0.2">
      <c r="DY12410" s="185" t="s">
        <v>215</v>
      </c>
    </row>
    <row r="12411" spans="129:129" x14ac:dyDescent="0.2">
      <c r="DY12411" s="185" t="s">
        <v>215</v>
      </c>
    </row>
    <row r="12412" spans="129:129" x14ac:dyDescent="0.2">
      <c r="DY12412" s="185" t="s">
        <v>215</v>
      </c>
    </row>
    <row r="12413" spans="129:129" x14ac:dyDescent="0.2">
      <c r="DY12413" s="185" t="s">
        <v>215</v>
      </c>
    </row>
    <row r="12414" spans="129:129" x14ac:dyDescent="0.2">
      <c r="DY12414" s="185" t="s">
        <v>215</v>
      </c>
    </row>
    <row r="12415" spans="129:129" x14ac:dyDescent="0.2">
      <c r="DY12415" s="185" t="s">
        <v>215</v>
      </c>
    </row>
    <row r="12416" spans="129:129" x14ac:dyDescent="0.2">
      <c r="DY12416" s="185" t="s">
        <v>215</v>
      </c>
    </row>
    <row r="12417" spans="129:129" x14ac:dyDescent="0.2">
      <c r="DY12417" s="185" t="s">
        <v>215</v>
      </c>
    </row>
    <row r="12418" spans="129:129" x14ac:dyDescent="0.2">
      <c r="DY12418" s="185" t="s">
        <v>215</v>
      </c>
    </row>
    <row r="12419" spans="129:129" x14ac:dyDescent="0.2">
      <c r="DY12419" s="185" t="s">
        <v>215</v>
      </c>
    </row>
    <row r="12420" spans="129:129" x14ac:dyDescent="0.2">
      <c r="DY12420" s="185" t="s">
        <v>215</v>
      </c>
    </row>
    <row r="12421" spans="129:129" x14ac:dyDescent="0.2">
      <c r="DY12421" s="185" t="s">
        <v>215</v>
      </c>
    </row>
    <row r="12422" spans="129:129" x14ac:dyDescent="0.2">
      <c r="DY12422" s="185" t="s">
        <v>215</v>
      </c>
    </row>
    <row r="12423" spans="129:129" x14ac:dyDescent="0.2">
      <c r="DY12423" s="185" t="s">
        <v>215</v>
      </c>
    </row>
    <row r="12424" spans="129:129" x14ac:dyDescent="0.2">
      <c r="DY12424" s="185" t="s">
        <v>215</v>
      </c>
    </row>
    <row r="12425" spans="129:129" x14ac:dyDescent="0.2">
      <c r="DY12425" s="185" t="s">
        <v>215</v>
      </c>
    </row>
    <row r="12426" spans="129:129" x14ac:dyDescent="0.2">
      <c r="DY12426" s="185" t="s">
        <v>215</v>
      </c>
    </row>
    <row r="12427" spans="129:129" x14ac:dyDescent="0.2">
      <c r="DY12427" s="185" t="s">
        <v>215</v>
      </c>
    </row>
    <row r="12428" spans="129:129" x14ac:dyDescent="0.2">
      <c r="DY12428" s="185" t="s">
        <v>215</v>
      </c>
    </row>
    <row r="12429" spans="129:129" x14ac:dyDescent="0.2">
      <c r="DY12429" s="185" t="s">
        <v>215</v>
      </c>
    </row>
    <row r="12430" spans="129:129" x14ac:dyDescent="0.2">
      <c r="DY12430" s="185" t="s">
        <v>215</v>
      </c>
    </row>
    <row r="12431" spans="129:129" x14ac:dyDescent="0.2">
      <c r="DY12431" s="185" t="s">
        <v>215</v>
      </c>
    </row>
    <row r="12432" spans="129:129" x14ac:dyDescent="0.2">
      <c r="DY12432" s="185" t="s">
        <v>215</v>
      </c>
    </row>
    <row r="12433" spans="129:129" x14ac:dyDescent="0.2">
      <c r="DY12433" s="185" t="s">
        <v>215</v>
      </c>
    </row>
    <row r="12434" spans="129:129" x14ac:dyDescent="0.2">
      <c r="DY12434" s="185" t="s">
        <v>215</v>
      </c>
    </row>
    <row r="12435" spans="129:129" x14ac:dyDescent="0.2">
      <c r="DY12435" s="185" t="s">
        <v>215</v>
      </c>
    </row>
    <row r="12436" spans="129:129" x14ac:dyDescent="0.2">
      <c r="DY12436" s="185" t="s">
        <v>215</v>
      </c>
    </row>
    <row r="12437" spans="129:129" x14ac:dyDescent="0.2">
      <c r="DY12437" s="185" t="s">
        <v>215</v>
      </c>
    </row>
    <row r="12438" spans="129:129" x14ac:dyDescent="0.2">
      <c r="DY12438" s="185" t="s">
        <v>215</v>
      </c>
    </row>
    <row r="12439" spans="129:129" x14ac:dyDescent="0.2">
      <c r="DY12439" s="185" t="s">
        <v>215</v>
      </c>
    </row>
    <row r="12440" spans="129:129" x14ac:dyDescent="0.2">
      <c r="DY12440" s="185" t="s">
        <v>215</v>
      </c>
    </row>
    <row r="12441" spans="129:129" x14ac:dyDescent="0.2">
      <c r="DY12441" s="185" t="s">
        <v>215</v>
      </c>
    </row>
    <row r="12442" spans="129:129" x14ac:dyDescent="0.2">
      <c r="DY12442" s="185" t="s">
        <v>215</v>
      </c>
    </row>
    <row r="12443" spans="129:129" x14ac:dyDescent="0.2">
      <c r="DY12443" s="185" t="s">
        <v>215</v>
      </c>
    </row>
    <row r="12444" spans="129:129" x14ac:dyDescent="0.2">
      <c r="DY12444" s="185" t="s">
        <v>215</v>
      </c>
    </row>
    <row r="12445" spans="129:129" x14ac:dyDescent="0.2">
      <c r="DY12445" s="185" t="s">
        <v>215</v>
      </c>
    </row>
    <row r="12446" spans="129:129" x14ac:dyDescent="0.2">
      <c r="DY12446" s="185" t="s">
        <v>215</v>
      </c>
    </row>
    <row r="12447" spans="129:129" x14ac:dyDescent="0.2">
      <c r="DY12447" s="185" t="s">
        <v>215</v>
      </c>
    </row>
    <row r="12448" spans="129:129" x14ac:dyDescent="0.2">
      <c r="DY12448" s="185" t="s">
        <v>215</v>
      </c>
    </row>
    <row r="12449" spans="129:129" x14ac:dyDescent="0.2">
      <c r="DY12449" s="185" t="s">
        <v>215</v>
      </c>
    </row>
    <row r="12450" spans="129:129" x14ac:dyDescent="0.2">
      <c r="DY12450" s="185" t="s">
        <v>215</v>
      </c>
    </row>
    <row r="12451" spans="129:129" x14ac:dyDescent="0.2">
      <c r="DY12451" s="185" t="s">
        <v>215</v>
      </c>
    </row>
    <row r="12452" spans="129:129" x14ac:dyDescent="0.2">
      <c r="DY12452" s="185" t="s">
        <v>215</v>
      </c>
    </row>
    <row r="12453" spans="129:129" x14ac:dyDescent="0.2">
      <c r="DY12453" s="185" t="s">
        <v>215</v>
      </c>
    </row>
    <row r="12454" spans="129:129" x14ac:dyDescent="0.2">
      <c r="DY12454" s="185" t="s">
        <v>215</v>
      </c>
    </row>
    <row r="12455" spans="129:129" x14ac:dyDescent="0.2">
      <c r="DY12455" s="185" t="s">
        <v>215</v>
      </c>
    </row>
    <row r="12456" spans="129:129" x14ac:dyDescent="0.2">
      <c r="DY12456" s="185" t="s">
        <v>215</v>
      </c>
    </row>
    <row r="12457" spans="129:129" x14ac:dyDescent="0.2">
      <c r="DY12457" s="185" t="s">
        <v>215</v>
      </c>
    </row>
    <row r="12458" spans="129:129" x14ac:dyDescent="0.2">
      <c r="DY12458" s="185" t="s">
        <v>215</v>
      </c>
    </row>
    <row r="12459" spans="129:129" x14ac:dyDescent="0.2">
      <c r="DY12459" s="185" t="s">
        <v>215</v>
      </c>
    </row>
    <row r="12460" spans="129:129" x14ac:dyDescent="0.2">
      <c r="DY12460" s="185" t="s">
        <v>215</v>
      </c>
    </row>
    <row r="12461" spans="129:129" x14ac:dyDescent="0.2">
      <c r="DY12461" s="185" t="s">
        <v>215</v>
      </c>
    </row>
    <row r="12462" spans="129:129" x14ac:dyDescent="0.2">
      <c r="DY12462" s="185" t="s">
        <v>215</v>
      </c>
    </row>
    <row r="12463" spans="129:129" x14ac:dyDescent="0.2">
      <c r="DY12463" s="185" t="s">
        <v>215</v>
      </c>
    </row>
    <row r="12464" spans="129:129" x14ac:dyDescent="0.2">
      <c r="DY12464" s="185" t="s">
        <v>215</v>
      </c>
    </row>
    <row r="12465" spans="129:129" x14ac:dyDescent="0.2">
      <c r="DY12465" s="185" t="s">
        <v>215</v>
      </c>
    </row>
    <row r="12466" spans="129:129" x14ac:dyDescent="0.2">
      <c r="DY12466" s="185" t="s">
        <v>215</v>
      </c>
    </row>
    <row r="12467" spans="129:129" x14ac:dyDescent="0.2">
      <c r="DY12467" s="185" t="s">
        <v>215</v>
      </c>
    </row>
    <row r="12468" spans="129:129" x14ac:dyDescent="0.2">
      <c r="DY12468" s="185" t="s">
        <v>215</v>
      </c>
    </row>
    <row r="12469" spans="129:129" x14ac:dyDescent="0.2">
      <c r="DY12469" s="185" t="s">
        <v>215</v>
      </c>
    </row>
    <row r="12470" spans="129:129" x14ac:dyDescent="0.2">
      <c r="DY12470" s="185" t="s">
        <v>215</v>
      </c>
    </row>
    <row r="12471" spans="129:129" x14ac:dyDescent="0.2">
      <c r="DY12471" s="185" t="s">
        <v>215</v>
      </c>
    </row>
    <row r="12472" spans="129:129" x14ac:dyDescent="0.2">
      <c r="DY12472" s="185" t="s">
        <v>215</v>
      </c>
    </row>
    <row r="12473" spans="129:129" x14ac:dyDescent="0.2">
      <c r="DY12473" s="185" t="s">
        <v>215</v>
      </c>
    </row>
    <row r="12474" spans="129:129" x14ac:dyDescent="0.2">
      <c r="DY12474" s="185" t="s">
        <v>215</v>
      </c>
    </row>
    <row r="12475" spans="129:129" x14ac:dyDescent="0.2">
      <c r="DY12475" s="185" t="s">
        <v>215</v>
      </c>
    </row>
    <row r="12476" spans="129:129" x14ac:dyDescent="0.2">
      <c r="DY12476" s="185" t="s">
        <v>215</v>
      </c>
    </row>
    <row r="12477" spans="129:129" x14ac:dyDescent="0.2">
      <c r="DY12477" s="185" t="s">
        <v>215</v>
      </c>
    </row>
    <row r="12478" spans="129:129" x14ac:dyDescent="0.2">
      <c r="DY12478" s="185" t="s">
        <v>215</v>
      </c>
    </row>
    <row r="12479" spans="129:129" x14ac:dyDescent="0.2">
      <c r="DY12479" s="185" t="s">
        <v>215</v>
      </c>
    </row>
    <row r="12480" spans="129:129" x14ac:dyDescent="0.2">
      <c r="DY12480" s="185" t="s">
        <v>215</v>
      </c>
    </row>
    <row r="12481" spans="129:129" x14ac:dyDescent="0.2">
      <c r="DY12481" s="185" t="s">
        <v>215</v>
      </c>
    </row>
    <row r="12482" spans="129:129" x14ac:dyDescent="0.2">
      <c r="DY12482" s="185" t="s">
        <v>215</v>
      </c>
    </row>
    <row r="12483" spans="129:129" x14ac:dyDescent="0.2">
      <c r="DY12483" s="185" t="s">
        <v>215</v>
      </c>
    </row>
    <row r="12484" spans="129:129" x14ac:dyDescent="0.2">
      <c r="DY12484" s="185" t="s">
        <v>215</v>
      </c>
    </row>
    <row r="12485" spans="129:129" x14ac:dyDescent="0.2">
      <c r="DY12485" s="185" t="s">
        <v>215</v>
      </c>
    </row>
    <row r="12486" spans="129:129" x14ac:dyDescent="0.2">
      <c r="DY12486" s="185" t="s">
        <v>215</v>
      </c>
    </row>
    <row r="12487" spans="129:129" x14ac:dyDescent="0.2">
      <c r="DY12487" s="185" t="s">
        <v>215</v>
      </c>
    </row>
    <row r="12488" spans="129:129" x14ac:dyDescent="0.2">
      <c r="DY12488" s="185" t="s">
        <v>215</v>
      </c>
    </row>
    <row r="12489" spans="129:129" x14ac:dyDescent="0.2">
      <c r="DY12489" s="185" t="s">
        <v>215</v>
      </c>
    </row>
    <row r="12490" spans="129:129" x14ac:dyDescent="0.2">
      <c r="DY12490" s="185" t="s">
        <v>215</v>
      </c>
    </row>
    <row r="12491" spans="129:129" x14ac:dyDescent="0.2">
      <c r="DY12491" s="185" t="s">
        <v>215</v>
      </c>
    </row>
    <row r="12492" spans="129:129" x14ac:dyDescent="0.2">
      <c r="DY12492" s="185" t="s">
        <v>215</v>
      </c>
    </row>
    <row r="12493" spans="129:129" x14ac:dyDescent="0.2">
      <c r="DY12493" s="185" t="s">
        <v>215</v>
      </c>
    </row>
    <row r="12494" spans="129:129" x14ac:dyDescent="0.2">
      <c r="DY12494" s="185" t="s">
        <v>215</v>
      </c>
    </row>
    <row r="12495" spans="129:129" x14ac:dyDescent="0.2">
      <c r="DY12495" s="185" t="s">
        <v>215</v>
      </c>
    </row>
    <row r="12496" spans="129:129" x14ac:dyDescent="0.2">
      <c r="DY12496" s="185" t="s">
        <v>215</v>
      </c>
    </row>
    <row r="12497" spans="129:129" x14ac:dyDescent="0.2">
      <c r="DY12497" s="185" t="s">
        <v>215</v>
      </c>
    </row>
    <row r="12498" spans="129:129" x14ac:dyDescent="0.2">
      <c r="DY12498" s="185" t="s">
        <v>215</v>
      </c>
    </row>
    <row r="12499" spans="129:129" x14ac:dyDescent="0.2">
      <c r="DY12499" s="185" t="s">
        <v>215</v>
      </c>
    </row>
    <row r="12500" spans="129:129" x14ac:dyDescent="0.2">
      <c r="DY12500" s="185" t="s">
        <v>215</v>
      </c>
    </row>
    <row r="12501" spans="129:129" x14ac:dyDescent="0.2">
      <c r="DY12501" s="185" t="s">
        <v>215</v>
      </c>
    </row>
    <row r="12502" spans="129:129" x14ac:dyDescent="0.2">
      <c r="DY12502" s="185" t="s">
        <v>215</v>
      </c>
    </row>
    <row r="12503" spans="129:129" x14ac:dyDescent="0.2">
      <c r="DY12503" s="185" t="s">
        <v>215</v>
      </c>
    </row>
    <row r="12504" spans="129:129" x14ac:dyDescent="0.2">
      <c r="DY12504" s="185" t="s">
        <v>215</v>
      </c>
    </row>
    <row r="12505" spans="129:129" x14ac:dyDescent="0.2">
      <c r="DY12505" s="185" t="s">
        <v>215</v>
      </c>
    </row>
    <row r="12506" spans="129:129" x14ac:dyDescent="0.2">
      <c r="DY12506" s="185" t="s">
        <v>215</v>
      </c>
    </row>
    <row r="12507" spans="129:129" x14ac:dyDescent="0.2">
      <c r="DY12507" s="185" t="s">
        <v>215</v>
      </c>
    </row>
    <row r="12508" spans="129:129" x14ac:dyDescent="0.2">
      <c r="DY12508" s="185" t="s">
        <v>215</v>
      </c>
    </row>
    <row r="12509" spans="129:129" x14ac:dyDescent="0.2">
      <c r="DY12509" s="185" t="s">
        <v>215</v>
      </c>
    </row>
    <row r="12510" spans="129:129" x14ac:dyDescent="0.2">
      <c r="DY12510" s="185" t="s">
        <v>215</v>
      </c>
    </row>
    <row r="12511" spans="129:129" x14ac:dyDescent="0.2">
      <c r="DY12511" s="185" t="s">
        <v>215</v>
      </c>
    </row>
    <row r="12512" spans="129:129" x14ac:dyDescent="0.2">
      <c r="DY12512" s="185" t="s">
        <v>215</v>
      </c>
    </row>
    <row r="12513" spans="129:129" x14ac:dyDescent="0.2">
      <c r="DY12513" s="185" t="s">
        <v>215</v>
      </c>
    </row>
    <row r="12514" spans="129:129" x14ac:dyDescent="0.2">
      <c r="DY12514" s="185" t="s">
        <v>215</v>
      </c>
    </row>
    <row r="12515" spans="129:129" x14ac:dyDescent="0.2">
      <c r="DY12515" s="185" t="s">
        <v>215</v>
      </c>
    </row>
    <row r="12516" spans="129:129" x14ac:dyDescent="0.2">
      <c r="DY12516" s="185" t="s">
        <v>215</v>
      </c>
    </row>
    <row r="12517" spans="129:129" x14ac:dyDescent="0.2">
      <c r="DY12517" s="185" t="s">
        <v>215</v>
      </c>
    </row>
    <row r="12518" spans="129:129" x14ac:dyDescent="0.2">
      <c r="DY12518" s="185" t="s">
        <v>215</v>
      </c>
    </row>
    <row r="12519" spans="129:129" x14ac:dyDescent="0.2">
      <c r="DY12519" s="185" t="s">
        <v>215</v>
      </c>
    </row>
    <row r="12520" spans="129:129" x14ac:dyDescent="0.2">
      <c r="DY12520" s="185" t="s">
        <v>215</v>
      </c>
    </row>
    <row r="12521" spans="129:129" x14ac:dyDescent="0.2">
      <c r="DY12521" s="185" t="s">
        <v>215</v>
      </c>
    </row>
    <row r="12522" spans="129:129" x14ac:dyDescent="0.2">
      <c r="DY12522" s="185" t="s">
        <v>215</v>
      </c>
    </row>
    <row r="12523" spans="129:129" x14ac:dyDescent="0.2">
      <c r="DY12523" s="185" t="s">
        <v>215</v>
      </c>
    </row>
    <row r="12524" spans="129:129" x14ac:dyDescent="0.2">
      <c r="DY12524" s="185" t="s">
        <v>215</v>
      </c>
    </row>
    <row r="12525" spans="129:129" x14ac:dyDescent="0.2">
      <c r="DY12525" s="185" t="s">
        <v>215</v>
      </c>
    </row>
    <row r="12526" spans="129:129" x14ac:dyDescent="0.2">
      <c r="DY12526" s="185" t="s">
        <v>215</v>
      </c>
    </row>
    <row r="12527" spans="129:129" x14ac:dyDescent="0.2">
      <c r="DY12527" s="185" t="s">
        <v>215</v>
      </c>
    </row>
    <row r="12528" spans="129:129" x14ac:dyDescent="0.2">
      <c r="DY12528" s="185" t="s">
        <v>215</v>
      </c>
    </row>
    <row r="12529" spans="129:129" x14ac:dyDescent="0.2">
      <c r="DY12529" s="185" t="s">
        <v>215</v>
      </c>
    </row>
    <row r="12530" spans="129:129" x14ac:dyDescent="0.2">
      <c r="DY12530" s="185" t="s">
        <v>215</v>
      </c>
    </row>
    <row r="12531" spans="129:129" x14ac:dyDescent="0.2">
      <c r="DY12531" s="185" t="s">
        <v>215</v>
      </c>
    </row>
    <row r="12532" spans="129:129" x14ac:dyDescent="0.2">
      <c r="DY12532" s="185" t="s">
        <v>215</v>
      </c>
    </row>
    <row r="12533" spans="129:129" x14ac:dyDescent="0.2">
      <c r="DY12533" s="185" t="s">
        <v>215</v>
      </c>
    </row>
    <row r="12534" spans="129:129" x14ac:dyDescent="0.2">
      <c r="DY12534" s="185" t="s">
        <v>215</v>
      </c>
    </row>
    <row r="12535" spans="129:129" x14ac:dyDescent="0.2">
      <c r="DY12535" s="185" t="s">
        <v>215</v>
      </c>
    </row>
    <row r="12536" spans="129:129" x14ac:dyDescent="0.2">
      <c r="DY12536" s="185" t="s">
        <v>215</v>
      </c>
    </row>
    <row r="12537" spans="129:129" x14ac:dyDescent="0.2">
      <c r="DY12537" s="185" t="s">
        <v>215</v>
      </c>
    </row>
    <row r="12538" spans="129:129" x14ac:dyDescent="0.2">
      <c r="DY12538" s="185" t="s">
        <v>215</v>
      </c>
    </row>
    <row r="12539" spans="129:129" x14ac:dyDescent="0.2">
      <c r="DY12539" s="185" t="s">
        <v>215</v>
      </c>
    </row>
    <row r="12540" spans="129:129" x14ac:dyDescent="0.2">
      <c r="DY12540" s="185" t="s">
        <v>215</v>
      </c>
    </row>
    <row r="12541" spans="129:129" x14ac:dyDescent="0.2">
      <c r="DY12541" s="185" t="s">
        <v>215</v>
      </c>
    </row>
    <row r="12542" spans="129:129" x14ac:dyDescent="0.2">
      <c r="DY12542" s="185" t="s">
        <v>215</v>
      </c>
    </row>
    <row r="12543" spans="129:129" x14ac:dyDescent="0.2">
      <c r="DY12543" s="185" t="s">
        <v>215</v>
      </c>
    </row>
    <row r="12544" spans="129:129" x14ac:dyDescent="0.2">
      <c r="DY12544" s="185" t="s">
        <v>215</v>
      </c>
    </row>
    <row r="12545" spans="129:129" x14ac:dyDescent="0.2">
      <c r="DY12545" s="185" t="s">
        <v>215</v>
      </c>
    </row>
    <row r="12546" spans="129:129" x14ac:dyDescent="0.2">
      <c r="DY12546" s="185" t="s">
        <v>215</v>
      </c>
    </row>
    <row r="12547" spans="129:129" x14ac:dyDescent="0.2">
      <c r="DY12547" s="185" t="s">
        <v>215</v>
      </c>
    </row>
    <row r="12548" spans="129:129" x14ac:dyDescent="0.2">
      <c r="DY12548" s="185" t="s">
        <v>215</v>
      </c>
    </row>
    <row r="12549" spans="129:129" x14ac:dyDescent="0.2">
      <c r="DY12549" s="185" t="s">
        <v>215</v>
      </c>
    </row>
    <row r="12550" spans="129:129" x14ac:dyDescent="0.2">
      <c r="DY12550" s="185" t="s">
        <v>215</v>
      </c>
    </row>
    <row r="12551" spans="129:129" x14ac:dyDescent="0.2">
      <c r="DY12551" s="185" t="s">
        <v>215</v>
      </c>
    </row>
    <row r="12552" spans="129:129" x14ac:dyDescent="0.2">
      <c r="DY12552" s="185" t="s">
        <v>215</v>
      </c>
    </row>
    <row r="12553" spans="129:129" x14ac:dyDescent="0.2">
      <c r="DY12553" s="185" t="s">
        <v>215</v>
      </c>
    </row>
    <row r="12554" spans="129:129" x14ac:dyDescent="0.2">
      <c r="DY12554" s="185" t="s">
        <v>215</v>
      </c>
    </row>
    <row r="12555" spans="129:129" x14ac:dyDescent="0.2">
      <c r="DY12555" s="185" t="s">
        <v>215</v>
      </c>
    </row>
    <row r="12556" spans="129:129" x14ac:dyDescent="0.2">
      <c r="DY12556" s="185" t="s">
        <v>215</v>
      </c>
    </row>
    <row r="12557" spans="129:129" x14ac:dyDescent="0.2">
      <c r="DY12557" s="185" t="s">
        <v>215</v>
      </c>
    </row>
    <row r="12558" spans="129:129" x14ac:dyDescent="0.2">
      <c r="DY12558" s="185" t="s">
        <v>215</v>
      </c>
    </row>
    <row r="12559" spans="129:129" x14ac:dyDescent="0.2">
      <c r="DY12559" s="185" t="s">
        <v>215</v>
      </c>
    </row>
    <row r="12560" spans="129:129" x14ac:dyDescent="0.2">
      <c r="DY12560" s="185" t="s">
        <v>215</v>
      </c>
    </row>
    <row r="12561" spans="129:129" x14ac:dyDescent="0.2">
      <c r="DY12561" s="185" t="s">
        <v>215</v>
      </c>
    </row>
    <row r="12562" spans="129:129" x14ac:dyDescent="0.2">
      <c r="DY12562" s="185" t="s">
        <v>215</v>
      </c>
    </row>
    <row r="12563" spans="129:129" x14ac:dyDescent="0.2">
      <c r="DY12563" s="185" t="s">
        <v>215</v>
      </c>
    </row>
    <row r="12564" spans="129:129" x14ac:dyDescent="0.2">
      <c r="DY12564" s="185" t="s">
        <v>215</v>
      </c>
    </row>
    <row r="12565" spans="129:129" x14ac:dyDescent="0.2">
      <c r="DY12565" s="185" t="s">
        <v>215</v>
      </c>
    </row>
    <row r="12566" spans="129:129" x14ac:dyDescent="0.2">
      <c r="DY12566" s="185" t="s">
        <v>215</v>
      </c>
    </row>
    <row r="12567" spans="129:129" x14ac:dyDescent="0.2">
      <c r="DY12567" s="185" t="s">
        <v>215</v>
      </c>
    </row>
    <row r="12568" spans="129:129" x14ac:dyDescent="0.2">
      <c r="DY12568" s="185" t="s">
        <v>215</v>
      </c>
    </row>
    <row r="12569" spans="129:129" x14ac:dyDescent="0.2">
      <c r="DY12569" s="185" t="s">
        <v>215</v>
      </c>
    </row>
    <row r="12570" spans="129:129" x14ac:dyDescent="0.2">
      <c r="DY12570" s="185" t="s">
        <v>215</v>
      </c>
    </row>
    <row r="12571" spans="129:129" x14ac:dyDescent="0.2">
      <c r="DY12571" s="185" t="s">
        <v>215</v>
      </c>
    </row>
    <row r="12572" spans="129:129" x14ac:dyDescent="0.2">
      <c r="DY12572" s="185" t="s">
        <v>215</v>
      </c>
    </row>
    <row r="12573" spans="129:129" x14ac:dyDescent="0.2">
      <c r="DY12573" s="185" t="s">
        <v>215</v>
      </c>
    </row>
    <row r="12574" spans="129:129" x14ac:dyDescent="0.2">
      <c r="DY12574" s="185" t="s">
        <v>215</v>
      </c>
    </row>
    <row r="12575" spans="129:129" x14ac:dyDescent="0.2">
      <c r="DY12575" s="185" t="s">
        <v>215</v>
      </c>
    </row>
    <row r="12576" spans="129:129" x14ac:dyDescent="0.2">
      <c r="DY12576" s="185" t="s">
        <v>215</v>
      </c>
    </row>
    <row r="12577" spans="129:129" x14ac:dyDescent="0.2">
      <c r="DY12577" s="185" t="s">
        <v>215</v>
      </c>
    </row>
    <row r="12578" spans="129:129" x14ac:dyDescent="0.2">
      <c r="DY12578" s="185" t="s">
        <v>215</v>
      </c>
    </row>
    <row r="12579" spans="129:129" x14ac:dyDescent="0.2">
      <c r="DY12579" s="185" t="s">
        <v>215</v>
      </c>
    </row>
    <row r="12580" spans="129:129" x14ac:dyDescent="0.2">
      <c r="DY12580" s="185" t="s">
        <v>215</v>
      </c>
    </row>
    <row r="12581" spans="129:129" x14ac:dyDescent="0.2">
      <c r="DY12581" s="185" t="s">
        <v>215</v>
      </c>
    </row>
    <row r="12582" spans="129:129" x14ac:dyDescent="0.2">
      <c r="DY12582" s="185" t="s">
        <v>215</v>
      </c>
    </row>
    <row r="12583" spans="129:129" x14ac:dyDescent="0.2">
      <c r="DY12583" s="185" t="s">
        <v>215</v>
      </c>
    </row>
    <row r="12584" spans="129:129" x14ac:dyDescent="0.2">
      <c r="DY12584" s="185" t="s">
        <v>215</v>
      </c>
    </row>
    <row r="12585" spans="129:129" x14ac:dyDescent="0.2">
      <c r="DY12585" s="185" t="s">
        <v>215</v>
      </c>
    </row>
    <row r="12586" spans="129:129" x14ac:dyDescent="0.2">
      <c r="DY12586" s="185" t="s">
        <v>215</v>
      </c>
    </row>
    <row r="12587" spans="129:129" x14ac:dyDescent="0.2">
      <c r="DY12587" s="185" t="s">
        <v>215</v>
      </c>
    </row>
    <row r="12588" spans="129:129" x14ac:dyDescent="0.2">
      <c r="DY12588" s="185" t="s">
        <v>215</v>
      </c>
    </row>
    <row r="12589" spans="129:129" x14ac:dyDescent="0.2">
      <c r="DY12589" s="185" t="s">
        <v>215</v>
      </c>
    </row>
    <row r="12590" spans="129:129" x14ac:dyDescent="0.2">
      <c r="DY12590" s="185" t="s">
        <v>215</v>
      </c>
    </row>
    <row r="12591" spans="129:129" x14ac:dyDescent="0.2">
      <c r="DY12591" s="185" t="s">
        <v>215</v>
      </c>
    </row>
    <row r="12592" spans="129:129" x14ac:dyDescent="0.2">
      <c r="DY12592" s="185" t="s">
        <v>215</v>
      </c>
    </row>
    <row r="12593" spans="129:129" x14ac:dyDescent="0.2">
      <c r="DY12593" s="185" t="s">
        <v>215</v>
      </c>
    </row>
    <row r="12594" spans="129:129" x14ac:dyDescent="0.2">
      <c r="DY12594" s="185" t="s">
        <v>215</v>
      </c>
    </row>
    <row r="12595" spans="129:129" x14ac:dyDescent="0.2">
      <c r="DY12595" s="185" t="s">
        <v>215</v>
      </c>
    </row>
    <row r="12596" spans="129:129" x14ac:dyDescent="0.2">
      <c r="DY12596" s="185" t="s">
        <v>215</v>
      </c>
    </row>
    <row r="12597" spans="129:129" x14ac:dyDescent="0.2">
      <c r="DY12597" s="185" t="s">
        <v>215</v>
      </c>
    </row>
    <row r="12598" spans="129:129" x14ac:dyDescent="0.2">
      <c r="DY12598" s="185" t="s">
        <v>215</v>
      </c>
    </row>
    <row r="12599" spans="129:129" x14ac:dyDescent="0.2">
      <c r="DY12599" s="185" t="s">
        <v>215</v>
      </c>
    </row>
    <row r="12600" spans="129:129" x14ac:dyDescent="0.2">
      <c r="DY12600" s="185" t="s">
        <v>215</v>
      </c>
    </row>
    <row r="12601" spans="129:129" x14ac:dyDescent="0.2">
      <c r="DY12601" s="185" t="s">
        <v>215</v>
      </c>
    </row>
    <row r="12602" spans="129:129" x14ac:dyDescent="0.2">
      <c r="DY12602" s="185" t="s">
        <v>215</v>
      </c>
    </row>
    <row r="12603" spans="129:129" x14ac:dyDescent="0.2">
      <c r="DY12603" s="185" t="s">
        <v>215</v>
      </c>
    </row>
    <row r="12604" spans="129:129" x14ac:dyDescent="0.2">
      <c r="DY12604" s="185" t="s">
        <v>215</v>
      </c>
    </row>
    <row r="12605" spans="129:129" x14ac:dyDescent="0.2">
      <c r="DY12605" s="185" t="s">
        <v>215</v>
      </c>
    </row>
    <row r="12606" spans="129:129" x14ac:dyDescent="0.2">
      <c r="DY12606" s="185" t="s">
        <v>215</v>
      </c>
    </row>
    <row r="12607" spans="129:129" x14ac:dyDescent="0.2">
      <c r="DY12607" s="185" t="s">
        <v>215</v>
      </c>
    </row>
    <row r="12608" spans="129:129" x14ac:dyDescent="0.2">
      <c r="DY12608" s="185" t="s">
        <v>215</v>
      </c>
    </row>
    <row r="12609" spans="129:129" x14ac:dyDescent="0.2">
      <c r="DY12609" s="185" t="s">
        <v>215</v>
      </c>
    </row>
    <row r="12610" spans="129:129" x14ac:dyDescent="0.2">
      <c r="DY12610" s="185" t="s">
        <v>215</v>
      </c>
    </row>
    <row r="12611" spans="129:129" x14ac:dyDescent="0.2">
      <c r="DY12611" s="185" t="s">
        <v>215</v>
      </c>
    </row>
    <row r="12612" spans="129:129" x14ac:dyDescent="0.2">
      <c r="DY12612" s="185" t="s">
        <v>215</v>
      </c>
    </row>
    <row r="12613" spans="129:129" x14ac:dyDescent="0.2">
      <c r="DY12613" s="185" t="s">
        <v>215</v>
      </c>
    </row>
    <row r="12614" spans="129:129" x14ac:dyDescent="0.2">
      <c r="DY12614" s="185" t="s">
        <v>215</v>
      </c>
    </row>
    <row r="12615" spans="129:129" x14ac:dyDescent="0.2">
      <c r="DY12615" s="185" t="s">
        <v>215</v>
      </c>
    </row>
    <row r="12616" spans="129:129" x14ac:dyDescent="0.2">
      <c r="DY12616" s="185" t="s">
        <v>215</v>
      </c>
    </row>
    <row r="12617" spans="129:129" x14ac:dyDescent="0.2">
      <c r="DY12617" s="185" t="s">
        <v>215</v>
      </c>
    </row>
    <row r="12618" spans="129:129" x14ac:dyDescent="0.2">
      <c r="DY12618" s="185" t="s">
        <v>215</v>
      </c>
    </row>
    <row r="12619" spans="129:129" x14ac:dyDescent="0.2">
      <c r="DY12619" s="185" t="s">
        <v>215</v>
      </c>
    </row>
    <row r="12620" spans="129:129" x14ac:dyDescent="0.2">
      <c r="DY12620" s="185" t="s">
        <v>215</v>
      </c>
    </row>
    <row r="12621" spans="129:129" x14ac:dyDescent="0.2">
      <c r="DY12621" s="185" t="s">
        <v>215</v>
      </c>
    </row>
    <row r="12622" spans="129:129" x14ac:dyDescent="0.2">
      <c r="DY12622" s="185" t="s">
        <v>215</v>
      </c>
    </row>
    <row r="12623" spans="129:129" x14ac:dyDescent="0.2">
      <c r="DY12623" s="185" t="s">
        <v>215</v>
      </c>
    </row>
    <row r="12624" spans="129:129" x14ac:dyDescent="0.2">
      <c r="DY12624" s="185" t="s">
        <v>215</v>
      </c>
    </row>
    <row r="12625" spans="129:129" x14ac:dyDescent="0.2">
      <c r="DY12625" s="185" t="s">
        <v>215</v>
      </c>
    </row>
    <row r="12626" spans="129:129" x14ac:dyDescent="0.2">
      <c r="DY12626" s="185" t="s">
        <v>215</v>
      </c>
    </row>
    <row r="12627" spans="129:129" x14ac:dyDescent="0.2">
      <c r="DY12627" s="185" t="s">
        <v>215</v>
      </c>
    </row>
    <row r="12628" spans="129:129" x14ac:dyDescent="0.2">
      <c r="DY12628" s="185" t="s">
        <v>215</v>
      </c>
    </row>
    <row r="12629" spans="129:129" x14ac:dyDescent="0.2">
      <c r="DY12629" s="185" t="s">
        <v>215</v>
      </c>
    </row>
    <row r="12630" spans="129:129" x14ac:dyDescent="0.2">
      <c r="DY12630" s="185" t="s">
        <v>215</v>
      </c>
    </row>
    <row r="12631" spans="129:129" x14ac:dyDescent="0.2">
      <c r="DY12631" s="185" t="s">
        <v>215</v>
      </c>
    </row>
    <row r="12632" spans="129:129" x14ac:dyDescent="0.2">
      <c r="DY12632" s="185" t="s">
        <v>215</v>
      </c>
    </row>
    <row r="12633" spans="129:129" x14ac:dyDescent="0.2">
      <c r="DY12633" s="185" t="s">
        <v>215</v>
      </c>
    </row>
    <row r="12634" spans="129:129" x14ac:dyDescent="0.2">
      <c r="DY12634" s="185" t="s">
        <v>215</v>
      </c>
    </row>
    <row r="12635" spans="129:129" x14ac:dyDescent="0.2">
      <c r="DY12635" s="185" t="s">
        <v>215</v>
      </c>
    </row>
    <row r="12636" spans="129:129" x14ac:dyDescent="0.2">
      <c r="DY12636" s="185" t="s">
        <v>215</v>
      </c>
    </row>
    <row r="12637" spans="129:129" x14ac:dyDescent="0.2">
      <c r="DY12637" s="185" t="s">
        <v>215</v>
      </c>
    </row>
    <row r="12638" spans="129:129" x14ac:dyDescent="0.2">
      <c r="DY12638" s="185" t="s">
        <v>215</v>
      </c>
    </row>
    <row r="12639" spans="129:129" x14ac:dyDescent="0.2">
      <c r="DY12639" s="185" t="s">
        <v>215</v>
      </c>
    </row>
    <row r="12640" spans="129:129" x14ac:dyDescent="0.2">
      <c r="DY12640" s="185" t="s">
        <v>215</v>
      </c>
    </row>
    <row r="12641" spans="129:129" x14ac:dyDescent="0.2">
      <c r="DY12641" s="185" t="s">
        <v>215</v>
      </c>
    </row>
    <row r="12642" spans="129:129" x14ac:dyDescent="0.2">
      <c r="DY12642" s="185" t="s">
        <v>215</v>
      </c>
    </row>
    <row r="12643" spans="129:129" x14ac:dyDescent="0.2">
      <c r="DY12643" s="185" t="s">
        <v>215</v>
      </c>
    </row>
    <row r="12644" spans="129:129" x14ac:dyDescent="0.2">
      <c r="DY12644" s="185" t="s">
        <v>215</v>
      </c>
    </row>
    <row r="12645" spans="129:129" x14ac:dyDescent="0.2">
      <c r="DY12645" s="185" t="s">
        <v>215</v>
      </c>
    </row>
    <row r="12646" spans="129:129" x14ac:dyDescent="0.2">
      <c r="DY12646" s="185" t="s">
        <v>215</v>
      </c>
    </row>
    <row r="12647" spans="129:129" x14ac:dyDescent="0.2">
      <c r="DY12647" s="185" t="s">
        <v>215</v>
      </c>
    </row>
    <row r="12648" spans="129:129" x14ac:dyDescent="0.2">
      <c r="DY12648" s="185" t="s">
        <v>215</v>
      </c>
    </row>
    <row r="12649" spans="129:129" x14ac:dyDescent="0.2">
      <c r="DY12649" s="185" t="s">
        <v>215</v>
      </c>
    </row>
    <row r="12650" spans="129:129" x14ac:dyDescent="0.2">
      <c r="DY12650" s="185" t="s">
        <v>215</v>
      </c>
    </row>
    <row r="12651" spans="129:129" x14ac:dyDescent="0.2">
      <c r="DY12651" s="185" t="s">
        <v>215</v>
      </c>
    </row>
    <row r="12652" spans="129:129" x14ac:dyDescent="0.2">
      <c r="DY12652" s="185" t="s">
        <v>215</v>
      </c>
    </row>
    <row r="12653" spans="129:129" x14ac:dyDescent="0.2">
      <c r="DY12653" s="185" t="s">
        <v>215</v>
      </c>
    </row>
    <row r="12654" spans="129:129" x14ac:dyDescent="0.2">
      <c r="DY12654" s="185" t="s">
        <v>215</v>
      </c>
    </row>
    <row r="12655" spans="129:129" x14ac:dyDescent="0.2">
      <c r="DY12655" s="185" t="s">
        <v>215</v>
      </c>
    </row>
    <row r="12656" spans="129:129" x14ac:dyDescent="0.2">
      <c r="DY12656" s="185" t="s">
        <v>215</v>
      </c>
    </row>
    <row r="12657" spans="129:129" x14ac:dyDescent="0.2">
      <c r="DY12657" s="185" t="s">
        <v>215</v>
      </c>
    </row>
    <row r="12658" spans="129:129" x14ac:dyDescent="0.2">
      <c r="DY12658" s="185" t="s">
        <v>215</v>
      </c>
    </row>
    <row r="12659" spans="129:129" x14ac:dyDescent="0.2">
      <c r="DY12659" s="185" t="s">
        <v>215</v>
      </c>
    </row>
    <row r="12660" spans="129:129" x14ac:dyDescent="0.2">
      <c r="DY12660" s="185" t="s">
        <v>215</v>
      </c>
    </row>
    <row r="12661" spans="129:129" x14ac:dyDescent="0.2">
      <c r="DY12661" s="185" t="s">
        <v>215</v>
      </c>
    </row>
    <row r="12662" spans="129:129" x14ac:dyDescent="0.2">
      <c r="DY12662" s="185" t="s">
        <v>215</v>
      </c>
    </row>
    <row r="12663" spans="129:129" x14ac:dyDescent="0.2">
      <c r="DY12663" s="185" t="s">
        <v>215</v>
      </c>
    </row>
    <row r="12664" spans="129:129" x14ac:dyDescent="0.2">
      <c r="DY12664" s="185" t="s">
        <v>215</v>
      </c>
    </row>
    <row r="12665" spans="129:129" x14ac:dyDescent="0.2">
      <c r="DY12665" s="185" t="s">
        <v>215</v>
      </c>
    </row>
    <row r="12666" spans="129:129" x14ac:dyDescent="0.2">
      <c r="DY12666" s="185" t="s">
        <v>215</v>
      </c>
    </row>
    <row r="12667" spans="129:129" x14ac:dyDescent="0.2">
      <c r="DY12667" s="185" t="s">
        <v>215</v>
      </c>
    </row>
    <row r="12668" spans="129:129" x14ac:dyDescent="0.2">
      <c r="DY12668" s="185" t="s">
        <v>215</v>
      </c>
    </row>
    <row r="12669" spans="129:129" x14ac:dyDescent="0.2">
      <c r="DY12669" s="185" t="s">
        <v>215</v>
      </c>
    </row>
    <row r="12670" spans="129:129" x14ac:dyDescent="0.2">
      <c r="DY12670" s="185" t="s">
        <v>215</v>
      </c>
    </row>
    <row r="12671" spans="129:129" x14ac:dyDescent="0.2">
      <c r="DY12671" s="185" t="s">
        <v>215</v>
      </c>
    </row>
    <row r="12672" spans="129:129" x14ac:dyDescent="0.2">
      <c r="DY12672" s="185" t="s">
        <v>215</v>
      </c>
    </row>
    <row r="12673" spans="129:129" x14ac:dyDescent="0.2">
      <c r="DY12673" s="185" t="s">
        <v>215</v>
      </c>
    </row>
    <row r="12674" spans="129:129" x14ac:dyDescent="0.2">
      <c r="DY12674" s="185" t="s">
        <v>215</v>
      </c>
    </row>
    <row r="12675" spans="129:129" x14ac:dyDescent="0.2">
      <c r="DY12675" s="185" t="s">
        <v>215</v>
      </c>
    </row>
    <row r="12676" spans="129:129" x14ac:dyDescent="0.2">
      <c r="DY12676" s="185" t="s">
        <v>215</v>
      </c>
    </row>
    <row r="12677" spans="129:129" x14ac:dyDescent="0.2">
      <c r="DY12677" s="185" t="s">
        <v>215</v>
      </c>
    </row>
    <row r="12678" spans="129:129" x14ac:dyDescent="0.2">
      <c r="DY12678" s="185" t="s">
        <v>215</v>
      </c>
    </row>
    <row r="12679" spans="129:129" x14ac:dyDescent="0.2">
      <c r="DY12679" s="185" t="s">
        <v>215</v>
      </c>
    </row>
    <row r="12680" spans="129:129" x14ac:dyDescent="0.2">
      <c r="DY12680" s="185" t="s">
        <v>215</v>
      </c>
    </row>
    <row r="12681" spans="129:129" x14ac:dyDescent="0.2">
      <c r="DY12681" s="185" t="s">
        <v>215</v>
      </c>
    </row>
    <row r="12682" spans="129:129" x14ac:dyDescent="0.2">
      <c r="DY12682" s="185" t="s">
        <v>215</v>
      </c>
    </row>
    <row r="12683" spans="129:129" x14ac:dyDescent="0.2">
      <c r="DY12683" s="185" t="s">
        <v>215</v>
      </c>
    </row>
    <row r="12684" spans="129:129" x14ac:dyDescent="0.2">
      <c r="DY12684" s="185" t="s">
        <v>215</v>
      </c>
    </row>
    <row r="12685" spans="129:129" x14ac:dyDescent="0.2">
      <c r="DY12685" s="185" t="s">
        <v>215</v>
      </c>
    </row>
    <row r="12686" spans="129:129" x14ac:dyDescent="0.2">
      <c r="DY12686" s="185" t="s">
        <v>215</v>
      </c>
    </row>
    <row r="12687" spans="129:129" x14ac:dyDescent="0.2">
      <c r="DY12687" s="185" t="s">
        <v>215</v>
      </c>
    </row>
    <row r="12688" spans="129:129" x14ac:dyDescent="0.2">
      <c r="DY12688" s="185" t="s">
        <v>215</v>
      </c>
    </row>
    <row r="12689" spans="129:129" x14ac:dyDescent="0.2">
      <c r="DY12689" s="185" t="s">
        <v>215</v>
      </c>
    </row>
    <row r="12690" spans="129:129" x14ac:dyDescent="0.2">
      <c r="DY12690" s="185" t="s">
        <v>215</v>
      </c>
    </row>
    <row r="12691" spans="129:129" x14ac:dyDescent="0.2">
      <c r="DY12691" s="185" t="s">
        <v>215</v>
      </c>
    </row>
    <row r="12692" spans="129:129" x14ac:dyDescent="0.2">
      <c r="DY12692" s="185" t="s">
        <v>215</v>
      </c>
    </row>
    <row r="12693" spans="129:129" x14ac:dyDescent="0.2">
      <c r="DY12693" s="185" t="s">
        <v>215</v>
      </c>
    </row>
    <row r="12694" spans="129:129" x14ac:dyDescent="0.2">
      <c r="DY12694" s="185" t="s">
        <v>215</v>
      </c>
    </row>
    <row r="12695" spans="129:129" x14ac:dyDescent="0.2">
      <c r="DY12695" s="185" t="s">
        <v>215</v>
      </c>
    </row>
    <row r="12696" spans="129:129" x14ac:dyDescent="0.2">
      <c r="DY12696" s="185" t="s">
        <v>215</v>
      </c>
    </row>
    <row r="12697" spans="129:129" x14ac:dyDescent="0.2">
      <c r="DY12697" s="185" t="s">
        <v>215</v>
      </c>
    </row>
    <row r="12698" spans="129:129" x14ac:dyDescent="0.2">
      <c r="DY12698" s="185" t="s">
        <v>215</v>
      </c>
    </row>
    <row r="12699" spans="129:129" x14ac:dyDescent="0.2">
      <c r="DY12699" s="185" t="s">
        <v>215</v>
      </c>
    </row>
    <row r="12700" spans="129:129" x14ac:dyDescent="0.2">
      <c r="DY12700" s="185" t="s">
        <v>215</v>
      </c>
    </row>
    <row r="12701" spans="129:129" x14ac:dyDescent="0.2">
      <c r="DY12701" s="185" t="s">
        <v>215</v>
      </c>
    </row>
    <row r="12702" spans="129:129" x14ac:dyDescent="0.2">
      <c r="DY12702" s="185" t="s">
        <v>215</v>
      </c>
    </row>
    <row r="12703" spans="129:129" x14ac:dyDescent="0.2">
      <c r="DY12703" s="185" t="s">
        <v>215</v>
      </c>
    </row>
    <row r="12704" spans="129:129" x14ac:dyDescent="0.2">
      <c r="DY12704" s="185" t="s">
        <v>215</v>
      </c>
    </row>
    <row r="12705" spans="129:129" x14ac:dyDescent="0.2">
      <c r="DY12705" s="185" t="s">
        <v>215</v>
      </c>
    </row>
    <row r="12706" spans="129:129" x14ac:dyDescent="0.2">
      <c r="DY12706" s="185" t="s">
        <v>215</v>
      </c>
    </row>
    <row r="12707" spans="129:129" x14ac:dyDescent="0.2">
      <c r="DY12707" s="185" t="s">
        <v>215</v>
      </c>
    </row>
    <row r="12708" spans="129:129" x14ac:dyDescent="0.2">
      <c r="DY12708" s="185" t="s">
        <v>215</v>
      </c>
    </row>
    <row r="12709" spans="129:129" x14ac:dyDescent="0.2">
      <c r="DY12709" s="185" t="s">
        <v>215</v>
      </c>
    </row>
    <row r="12710" spans="129:129" x14ac:dyDescent="0.2">
      <c r="DY12710" s="185" t="s">
        <v>215</v>
      </c>
    </row>
    <row r="12711" spans="129:129" x14ac:dyDescent="0.2">
      <c r="DY12711" s="185" t="s">
        <v>215</v>
      </c>
    </row>
    <row r="12712" spans="129:129" x14ac:dyDescent="0.2">
      <c r="DY12712" s="185" t="s">
        <v>215</v>
      </c>
    </row>
    <row r="12713" spans="129:129" x14ac:dyDescent="0.2">
      <c r="DY12713" s="185" t="s">
        <v>215</v>
      </c>
    </row>
    <row r="12714" spans="129:129" x14ac:dyDescent="0.2">
      <c r="DY12714" s="185" t="s">
        <v>215</v>
      </c>
    </row>
    <row r="12715" spans="129:129" x14ac:dyDescent="0.2">
      <c r="DY12715" s="185" t="s">
        <v>215</v>
      </c>
    </row>
    <row r="12716" spans="129:129" x14ac:dyDescent="0.2">
      <c r="DY12716" s="185" t="s">
        <v>215</v>
      </c>
    </row>
    <row r="12717" spans="129:129" x14ac:dyDescent="0.2">
      <c r="DY12717" s="185" t="s">
        <v>215</v>
      </c>
    </row>
    <row r="12718" spans="129:129" x14ac:dyDescent="0.2">
      <c r="DY12718" s="185" t="s">
        <v>215</v>
      </c>
    </row>
    <row r="12719" spans="129:129" x14ac:dyDescent="0.2">
      <c r="DY12719" s="185" t="s">
        <v>215</v>
      </c>
    </row>
    <row r="12720" spans="129:129" x14ac:dyDescent="0.2">
      <c r="DY12720" s="185" t="s">
        <v>215</v>
      </c>
    </row>
    <row r="12721" spans="129:129" x14ac:dyDescent="0.2">
      <c r="DY12721" s="185" t="s">
        <v>215</v>
      </c>
    </row>
    <row r="12722" spans="129:129" x14ac:dyDescent="0.2">
      <c r="DY12722" s="185" t="s">
        <v>215</v>
      </c>
    </row>
    <row r="12723" spans="129:129" x14ac:dyDescent="0.2">
      <c r="DY12723" s="185" t="s">
        <v>215</v>
      </c>
    </row>
    <row r="12724" spans="129:129" x14ac:dyDescent="0.2">
      <c r="DY12724" s="185" t="s">
        <v>215</v>
      </c>
    </row>
    <row r="12725" spans="129:129" x14ac:dyDescent="0.2">
      <c r="DY12725" s="185" t="s">
        <v>215</v>
      </c>
    </row>
    <row r="12726" spans="129:129" x14ac:dyDescent="0.2">
      <c r="DY12726" s="185" t="s">
        <v>215</v>
      </c>
    </row>
    <row r="12727" spans="129:129" x14ac:dyDescent="0.2">
      <c r="DY12727" s="185" t="s">
        <v>215</v>
      </c>
    </row>
    <row r="12728" spans="129:129" x14ac:dyDescent="0.2">
      <c r="DY12728" s="185" t="s">
        <v>215</v>
      </c>
    </row>
    <row r="12729" spans="129:129" x14ac:dyDescent="0.2">
      <c r="DY12729" s="185" t="s">
        <v>215</v>
      </c>
    </row>
    <row r="12730" spans="129:129" x14ac:dyDescent="0.2">
      <c r="DY12730" s="185" t="s">
        <v>215</v>
      </c>
    </row>
    <row r="12731" spans="129:129" x14ac:dyDescent="0.2">
      <c r="DY12731" s="185" t="s">
        <v>215</v>
      </c>
    </row>
    <row r="12732" spans="129:129" x14ac:dyDescent="0.2">
      <c r="DY12732" s="185" t="s">
        <v>215</v>
      </c>
    </row>
    <row r="12733" spans="129:129" x14ac:dyDescent="0.2">
      <c r="DY12733" s="185" t="s">
        <v>215</v>
      </c>
    </row>
    <row r="12734" spans="129:129" x14ac:dyDescent="0.2">
      <c r="DY12734" s="185" t="s">
        <v>215</v>
      </c>
    </row>
    <row r="12735" spans="129:129" x14ac:dyDescent="0.2">
      <c r="DY12735" s="185" t="s">
        <v>215</v>
      </c>
    </row>
    <row r="12736" spans="129:129" x14ac:dyDescent="0.2">
      <c r="DY12736" s="185" t="s">
        <v>215</v>
      </c>
    </row>
    <row r="12737" spans="129:129" x14ac:dyDescent="0.2">
      <c r="DY12737" s="185" t="s">
        <v>215</v>
      </c>
    </row>
    <row r="12738" spans="129:129" x14ac:dyDescent="0.2">
      <c r="DY12738" s="185" t="s">
        <v>215</v>
      </c>
    </row>
    <row r="12739" spans="129:129" x14ac:dyDescent="0.2">
      <c r="DY12739" s="185" t="s">
        <v>215</v>
      </c>
    </row>
    <row r="12740" spans="129:129" x14ac:dyDescent="0.2">
      <c r="DY12740" s="185" t="s">
        <v>215</v>
      </c>
    </row>
    <row r="12741" spans="129:129" x14ac:dyDescent="0.2">
      <c r="DY12741" s="185" t="s">
        <v>215</v>
      </c>
    </row>
    <row r="12742" spans="129:129" x14ac:dyDescent="0.2">
      <c r="DY12742" s="185" t="s">
        <v>215</v>
      </c>
    </row>
    <row r="12743" spans="129:129" x14ac:dyDescent="0.2">
      <c r="DY12743" s="185" t="s">
        <v>215</v>
      </c>
    </row>
    <row r="12744" spans="129:129" x14ac:dyDescent="0.2">
      <c r="DY12744" s="185" t="s">
        <v>215</v>
      </c>
    </row>
    <row r="12745" spans="129:129" x14ac:dyDescent="0.2">
      <c r="DY12745" s="185" t="s">
        <v>215</v>
      </c>
    </row>
    <row r="12746" spans="129:129" x14ac:dyDescent="0.2">
      <c r="DY12746" s="185" t="s">
        <v>215</v>
      </c>
    </row>
    <row r="12747" spans="129:129" x14ac:dyDescent="0.2">
      <c r="DY12747" s="185" t="s">
        <v>215</v>
      </c>
    </row>
    <row r="12748" spans="129:129" x14ac:dyDescent="0.2">
      <c r="DY12748" s="185" t="s">
        <v>215</v>
      </c>
    </row>
    <row r="12749" spans="129:129" x14ac:dyDescent="0.2">
      <c r="DY12749" s="185" t="s">
        <v>215</v>
      </c>
    </row>
    <row r="12750" spans="129:129" x14ac:dyDescent="0.2">
      <c r="DY12750" s="185" t="s">
        <v>215</v>
      </c>
    </row>
    <row r="12751" spans="129:129" x14ac:dyDescent="0.2">
      <c r="DY12751" s="185" t="s">
        <v>215</v>
      </c>
    </row>
    <row r="12752" spans="129:129" x14ac:dyDescent="0.2">
      <c r="DY12752" s="185" t="s">
        <v>215</v>
      </c>
    </row>
    <row r="12753" spans="129:129" x14ac:dyDescent="0.2">
      <c r="DY12753" s="185" t="s">
        <v>215</v>
      </c>
    </row>
    <row r="12754" spans="129:129" x14ac:dyDescent="0.2">
      <c r="DY12754" s="185" t="s">
        <v>215</v>
      </c>
    </row>
    <row r="12755" spans="129:129" x14ac:dyDescent="0.2">
      <c r="DY12755" s="185" t="s">
        <v>215</v>
      </c>
    </row>
    <row r="12756" spans="129:129" x14ac:dyDescent="0.2">
      <c r="DY12756" s="185" t="s">
        <v>215</v>
      </c>
    </row>
    <row r="12757" spans="129:129" x14ac:dyDescent="0.2">
      <c r="DY12757" s="185" t="s">
        <v>215</v>
      </c>
    </row>
    <row r="12758" spans="129:129" x14ac:dyDescent="0.2">
      <c r="DY12758" s="185" t="s">
        <v>215</v>
      </c>
    </row>
    <row r="12759" spans="129:129" x14ac:dyDescent="0.2">
      <c r="DY12759" s="185" t="s">
        <v>215</v>
      </c>
    </row>
    <row r="12760" spans="129:129" x14ac:dyDescent="0.2">
      <c r="DY12760" s="185" t="s">
        <v>215</v>
      </c>
    </row>
    <row r="12761" spans="129:129" x14ac:dyDescent="0.2">
      <c r="DY12761" s="185" t="s">
        <v>215</v>
      </c>
    </row>
    <row r="12762" spans="129:129" x14ac:dyDescent="0.2">
      <c r="DY12762" s="185" t="s">
        <v>215</v>
      </c>
    </row>
    <row r="12763" spans="129:129" x14ac:dyDescent="0.2">
      <c r="DY12763" s="185" t="s">
        <v>215</v>
      </c>
    </row>
    <row r="12764" spans="129:129" x14ac:dyDescent="0.2">
      <c r="DY12764" s="185" t="s">
        <v>215</v>
      </c>
    </row>
    <row r="12765" spans="129:129" x14ac:dyDescent="0.2">
      <c r="DY12765" s="185" t="s">
        <v>215</v>
      </c>
    </row>
    <row r="12766" spans="129:129" x14ac:dyDescent="0.2">
      <c r="DY12766" s="185" t="s">
        <v>215</v>
      </c>
    </row>
    <row r="12767" spans="129:129" x14ac:dyDescent="0.2">
      <c r="DY12767" s="185" t="s">
        <v>215</v>
      </c>
    </row>
    <row r="12768" spans="129:129" x14ac:dyDescent="0.2">
      <c r="DY12768" s="185" t="s">
        <v>215</v>
      </c>
    </row>
    <row r="12769" spans="129:129" x14ac:dyDescent="0.2">
      <c r="DY12769" s="185" t="s">
        <v>215</v>
      </c>
    </row>
    <row r="12770" spans="129:129" x14ac:dyDescent="0.2">
      <c r="DY12770" s="185" t="s">
        <v>215</v>
      </c>
    </row>
    <row r="12771" spans="129:129" x14ac:dyDescent="0.2">
      <c r="DY12771" s="185" t="s">
        <v>215</v>
      </c>
    </row>
    <row r="12772" spans="129:129" x14ac:dyDescent="0.2">
      <c r="DY12772" s="185" t="s">
        <v>215</v>
      </c>
    </row>
    <row r="12773" spans="129:129" x14ac:dyDescent="0.2">
      <c r="DY12773" s="185" t="s">
        <v>215</v>
      </c>
    </row>
    <row r="12774" spans="129:129" x14ac:dyDescent="0.2">
      <c r="DY12774" s="185" t="s">
        <v>215</v>
      </c>
    </row>
    <row r="12775" spans="129:129" x14ac:dyDescent="0.2">
      <c r="DY12775" s="185" t="s">
        <v>215</v>
      </c>
    </row>
    <row r="12776" spans="129:129" x14ac:dyDescent="0.2">
      <c r="DY12776" s="185" t="s">
        <v>215</v>
      </c>
    </row>
    <row r="12777" spans="129:129" x14ac:dyDescent="0.2">
      <c r="DY12777" s="185" t="s">
        <v>215</v>
      </c>
    </row>
    <row r="12778" spans="129:129" x14ac:dyDescent="0.2">
      <c r="DY12778" s="185" t="s">
        <v>215</v>
      </c>
    </row>
    <row r="12779" spans="129:129" x14ac:dyDescent="0.2">
      <c r="DY12779" s="185" t="s">
        <v>215</v>
      </c>
    </row>
    <row r="12780" spans="129:129" x14ac:dyDescent="0.2">
      <c r="DY12780" s="185" t="s">
        <v>215</v>
      </c>
    </row>
    <row r="12781" spans="129:129" x14ac:dyDescent="0.2">
      <c r="DY12781" s="185" t="s">
        <v>215</v>
      </c>
    </row>
    <row r="12782" spans="129:129" x14ac:dyDescent="0.2">
      <c r="DY12782" s="185" t="s">
        <v>215</v>
      </c>
    </row>
    <row r="12783" spans="129:129" x14ac:dyDescent="0.2">
      <c r="DY12783" s="185" t="s">
        <v>215</v>
      </c>
    </row>
    <row r="12784" spans="129:129" x14ac:dyDescent="0.2">
      <c r="DY12784" s="185" t="s">
        <v>215</v>
      </c>
    </row>
    <row r="12785" spans="129:129" x14ac:dyDescent="0.2">
      <c r="DY12785" s="185" t="s">
        <v>215</v>
      </c>
    </row>
    <row r="12786" spans="129:129" x14ac:dyDescent="0.2">
      <c r="DY12786" s="185" t="s">
        <v>215</v>
      </c>
    </row>
    <row r="12787" spans="129:129" x14ac:dyDescent="0.2">
      <c r="DY12787" s="185" t="s">
        <v>215</v>
      </c>
    </row>
    <row r="12788" spans="129:129" x14ac:dyDescent="0.2">
      <c r="DY12788" s="185" t="s">
        <v>215</v>
      </c>
    </row>
    <row r="12789" spans="129:129" x14ac:dyDescent="0.2">
      <c r="DY12789" s="185" t="s">
        <v>215</v>
      </c>
    </row>
    <row r="12790" spans="129:129" x14ac:dyDescent="0.2">
      <c r="DY12790" s="185" t="s">
        <v>215</v>
      </c>
    </row>
    <row r="12791" spans="129:129" x14ac:dyDescent="0.2">
      <c r="DY12791" s="185" t="s">
        <v>215</v>
      </c>
    </row>
    <row r="12792" spans="129:129" x14ac:dyDescent="0.2">
      <c r="DY12792" s="185" t="s">
        <v>215</v>
      </c>
    </row>
    <row r="12793" spans="129:129" x14ac:dyDescent="0.2">
      <c r="DY12793" s="185" t="s">
        <v>215</v>
      </c>
    </row>
    <row r="12794" spans="129:129" x14ac:dyDescent="0.2">
      <c r="DY12794" s="185" t="s">
        <v>215</v>
      </c>
    </row>
    <row r="12795" spans="129:129" x14ac:dyDescent="0.2">
      <c r="DY12795" s="185" t="s">
        <v>215</v>
      </c>
    </row>
    <row r="12796" spans="129:129" x14ac:dyDescent="0.2">
      <c r="DY12796" s="185" t="s">
        <v>215</v>
      </c>
    </row>
    <row r="12797" spans="129:129" x14ac:dyDescent="0.2">
      <c r="DY12797" s="185" t="s">
        <v>215</v>
      </c>
    </row>
    <row r="12798" spans="129:129" x14ac:dyDescent="0.2">
      <c r="DY12798" s="185" t="s">
        <v>215</v>
      </c>
    </row>
    <row r="12799" spans="129:129" x14ac:dyDescent="0.2">
      <c r="DY12799" s="185" t="s">
        <v>215</v>
      </c>
    </row>
    <row r="12800" spans="129:129" x14ac:dyDescent="0.2">
      <c r="DY12800" s="185" t="s">
        <v>215</v>
      </c>
    </row>
    <row r="12801" spans="129:129" x14ac:dyDescent="0.2">
      <c r="DY12801" s="185" t="s">
        <v>215</v>
      </c>
    </row>
    <row r="12802" spans="129:129" x14ac:dyDescent="0.2">
      <c r="DY12802" s="185" t="s">
        <v>215</v>
      </c>
    </row>
    <row r="12803" spans="129:129" x14ac:dyDescent="0.2">
      <c r="DY12803" s="185" t="s">
        <v>215</v>
      </c>
    </row>
    <row r="12804" spans="129:129" x14ac:dyDescent="0.2">
      <c r="DY12804" s="185" t="s">
        <v>215</v>
      </c>
    </row>
    <row r="12805" spans="129:129" x14ac:dyDescent="0.2">
      <c r="DY12805" s="185" t="s">
        <v>215</v>
      </c>
    </row>
    <row r="12806" spans="129:129" x14ac:dyDescent="0.2">
      <c r="DY12806" s="185" t="s">
        <v>215</v>
      </c>
    </row>
    <row r="12807" spans="129:129" x14ac:dyDescent="0.2">
      <c r="DY12807" s="185" t="s">
        <v>215</v>
      </c>
    </row>
    <row r="12808" spans="129:129" x14ac:dyDescent="0.2">
      <c r="DY12808" s="185" t="s">
        <v>215</v>
      </c>
    </row>
    <row r="12809" spans="129:129" x14ac:dyDescent="0.2">
      <c r="DY12809" s="185" t="s">
        <v>215</v>
      </c>
    </row>
    <row r="12810" spans="129:129" x14ac:dyDescent="0.2">
      <c r="DY12810" s="185" t="s">
        <v>215</v>
      </c>
    </row>
    <row r="12811" spans="129:129" x14ac:dyDescent="0.2">
      <c r="DY12811" s="185" t="s">
        <v>215</v>
      </c>
    </row>
    <row r="12812" spans="129:129" x14ac:dyDescent="0.2">
      <c r="DY12812" s="185" t="s">
        <v>215</v>
      </c>
    </row>
    <row r="12813" spans="129:129" x14ac:dyDescent="0.2">
      <c r="DY12813" s="185" t="s">
        <v>215</v>
      </c>
    </row>
    <row r="12814" spans="129:129" x14ac:dyDescent="0.2">
      <c r="DY12814" s="185" t="s">
        <v>215</v>
      </c>
    </row>
    <row r="12815" spans="129:129" x14ac:dyDescent="0.2">
      <c r="DY12815" s="185" t="s">
        <v>215</v>
      </c>
    </row>
    <row r="12816" spans="129:129" x14ac:dyDescent="0.2">
      <c r="DY12816" s="185" t="s">
        <v>215</v>
      </c>
    </row>
    <row r="12817" spans="129:129" x14ac:dyDescent="0.2">
      <c r="DY12817" s="185" t="s">
        <v>215</v>
      </c>
    </row>
    <row r="12818" spans="129:129" x14ac:dyDescent="0.2">
      <c r="DY12818" s="185" t="s">
        <v>215</v>
      </c>
    </row>
    <row r="12819" spans="129:129" x14ac:dyDescent="0.2">
      <c r="DY12819" s="185" t="s">
        <v>215</v>
      </c>
    </row>
    <row r="12820" spans="129:129" x14ac:dyDescent="0.2">
      <c r="DY12820" s="185" t="s">
        <v>215</v>
      </c>
    </row>
    <row r="12821" spans="129:129" x14ac:dyDescent="0.2">
      <c r="DY12821" s="185" t="s">
        <v>215</v>
      </c>
    </row>
    <row r="12822" spans="129:129" x14ac:dyDescent="0.2">
      <c r="DY12822" s="185" t="s">
        <v>215</v>
      </c>
    </row>
    <row r="12823" spans="129:129" x14ac:dyDescent="0.2">
      <c r="DY12823" s="185" t="s">
        <v>215</v>
      </c>
    </row>
    <row r="12824" spans="129:129" x14ac:dyDescent="0.2">
      <c r="DY12824" s="185" t="s">
        <v>215</v>
      </c>
    </row>
    <row r="12825" spans="129:129" x14ac:dyDescent="0.2">
      <c r="DY12825" s="185" t="s">
        <v>215</v>
      </c>
    </row>
    <row r="12826" spans="129:129" x14ac:dyDescent="0.2">
      <c r="DY12826" s="185" t="s">
        <v>215</v>
      </c>
    </row>
    <row r="12827" spans="129:129" x14ac:dyDescent="0.2">
      <c r="DY12827" s="185" t="s">
        <v>215</v>
      </c>
    </row>
    <row r="12828" spans="129:129" x14ac:dyDescent="0.2">
      <c r="DY12828" s="185" t="s">
        <v>215</v>
      </c>
    </row>
    <row r="12829" spans="129:129" x14ac:dyDescent="0.2">
      <c r="DY12829" s="185" t="s">
        <v>215</v>
      </c>
    </row>
    <row r="12830" spans="129:129" x14ac:dyDescent="0.2">
      <c r="DY12830" s="185" t="s">
        <v>215</v>
      </c>
    </row>
    <row r="12831" spans="129:129" x14ac:dyDescent="0.2">
      <c r="DY12831" s="185" t="s">
        <v>215</v>
      </c>
    </row>
    <row r="12832" spans="129:129" x14ac:dyDescent="0.2">
      <c r="DY12832" s="185" t="s">
        <v>215</v>
      </c>
    </row>
    <row r="12833" spans="129:129" x14ac:dyDescent="0.2">
      <c r="DY12833" s="185" t="s">
        <v>215</v>
      </c>
    </row>
    <row r="12834" spans="129:129" x14ac:dyDescent="0.2">
      <c r="DY12834" s="185" t="s">
        <v>215</v>
      </c>
    </row>
    <row r="12835" spans="129:129" x14ac:dyDescent="0.2">
      <c r="DY12835" s="185" t="s">
        <v>215</v>
      </c>
    </row>
    <row r="12836" spans="129:129" x14ac:dyDescent="0.2">
      <c r="DY12836" s="185" t="s">
        <v>215</v>
      </c>
    </row>
    <row r="12837" spans="129:129" x14ac:dyDescent="0.2">
      <c r="DY12837" s="185" t="s">
        <v>215</v>
      </c>
    </row>
    <row r="12838" spans="129:129" x14ac:dyDescent="0.2">
      <c r="DY12838" s="185" t="s">
        <v>215</v>
      </c>
    </row>
    <row r="12839" spans="129:129" x14ac:dyDescent="0.2">
      <c r="DY12839" s="185" t="s">
        <v>215</v>
      </c>
    </row>
    <row r="12840" spans="129:129" x14ac:dyDescent="0.2">
      <c r="DY12840" s="185" t="s">
        <v>215</v>
      </c>
    </row>
    <row r="12841" spans="129:129" x14ac:dyDescent="0.2">
      <c r="DY12841" s="185" t="s">
        <v>215</v>
      </c>
    </row>
    <row r="12842" spans="129:129" x14ac:dyDescent="0.2">
      <c r="DY12842" s="185" t="s">
        <v>215</v>
      </c>
    </row>
    <row r="12843" spans="129:129" x14ac:dyDescent="0.2">
      <c r="DY12843" s="185" t="s">
        <v>215</v>
      </c>
    </row>
    <row r="12844" spans="129:129" x14ac:dyDescent="0.2">
      <c r="DY12844" s="185" t="s">
        <v>215</v>
      </c>
    </row>
    <row r="12845" spans="129:129" x14ac:dyDescent="0.2">
      <c r="DY12845" s="185" t="s">
        <v>215</v>
      </c>
    </row>
    <row r="12846" spans="129:129" x14ac:dyDescent="0.2">
      <c r="DY12846" s="185" t="s">
        <v>215</v>
      </c>
    </row>
    <row r="12847" spans="129:129" x14ac:dyDescent="0.2">
      <c r="DY12847" s="185" t="s">
        <v>215</v>
      </c>
    </row>
    <row r="12848" spans="129:129" x14ac:dyDescent="0.2">
      <c r="DY12848" s="185" t="s">
        <v>215</v>
      </c>
    </row>
    <row r="12849" spans="129:129" x14ac:dyDescent="0.2">
      <c r="DY12849" s="185" t="s">
        <v>215</v>
      </c>
    </row>
    <row r="12850" spans="129:129" x14ac:dyDescent="0.2">
      <c r="DY12850" s="185" t="s">
        <v>215</v>
      </c>
    </row>
    <row r="12851" spans="129:129" x14ac:dyDescent="0.2">
      <c r="DY12851" s="185" t="s">
        <v>215</v>
      </c>
    </row>
    <row r="12852" spans="129:129" x14ac:dyDescent="0.2">
      <c r="DY12852" s="185" t="s">
        <v>215</v>
      </c>
    </row>
    <row r="12853" spans="129:129" x14ac:dyDescent="0.2">
      <c r="DY12853" s="185" t="s">
        <v>215</v>
      </c>
    </row>
    <row r="12854" spans="129:129" x14ac:dyDescent="0.2">
      <c r="DY12854" s="185" t="s">
        <v>215</v>
      </c>
    </row>
    <row r="12855" spans="129:129" x14ac:dyDescent="0.2">
      <c r="DY12855" s="185" t="s">
        <v>215</v>
      </c>
    </row>
    <row r="12856" spans="129:129" x14ac:dyDescent="0.2">
      <c r="DY12856" s="185" t="s">
        <v>215</v>
      </c>
    </row>
    <row r="12857" spans="129:129" x14ac:dyDescent="0.2">
      <c r="DY12857" s="185" t="s">
        <v>215</v>
      </c>
    </row>
    <row r="12858" spans="129:129" x14ac:dyDescent="0.2">
      <c r="DY12858" s="185" t="s">
        <v>215</v>
      </c>
    </row>
    <row r="12859" spans="129:129" x14ac:dyDescent="0.2">
      <c r="DY12859" s="185" t="s">
        <v>215</v>
      </c>
    </row>
    <row r="12860" spans="129:129" x14ac:dyDescent="0.2">
      <c r="DY12860" s="185" t="s">
        <v>215</v>
      </c>
    </row>
    <row r="12861" spans="129:129" x14ac:dyDescent="0.2">
      <c r="DY12861" s="185" t="s">
        <v>215</v>
      </c>
    </row>
    <row r="12862" spans="129:129" x14ac:dyDescent="0.2">
      <c r="DY12862" s="185" t="s">
        <v>215</v>
      </c>
    </row>
    <row r="12863" spans="129:129" x14ac:dyDescent="0.2">
      <c r="DY12863" s="185" t="s">
        <v>215</v>
      </c>
    </row>
    <row r="12864" spans="129:129" x14ac:dyDescent="0.2">
      <c r="DY12864" s="185" t="s">
        <v>215</v>
      </c>
    </row>
    <row r="12865" spans="129:129" x14ac:dyDescent="0.2">
      <c r="DY12865" s="185" t="s">
        <v>215</v>
      </c>
    </row>
    <row r="12866" spans="129:129" x14ac:dyDescent="0.2">
      <c r="DY12866" s="185" t="s">
        <v>215</v>
      </c>
    </row>
    <row r="12867" spans="129:129" x14ac:dyDescent="0.2">
      <c r="DY12867" s="185" t="s">
        <v>215</v>
      </c>
    </row>
    <row r="12868" spans="129:129" x14ac:dyDescent="0.2">
      <c r="DY12868" s="185" t="s">
        <v>215</v>
      </c>
    </row>
    <row r="12869" spans="129:129" x14ac:dyDescent="0.2">
      <c r="DY12869" s="185" t="s">
        <v>215</v>
      </c>
    </row>
    <row r="12870" spans="129:129" x14ac:dyDescent="0.2">
      <c r="DY12870" s="185" t="s">
        <v>215</v>
      </c>
    </row>
    <row r="12871" spans="129:129" x14ac:dyDescent="0.2">
      <c r="DY12871" s="185" t="s">
        <v>215</v>
      </c>
    </row>
    <row r="12872" spans="129:129" x14ac:dyDescent="0.2">
      <c r="DY12872" s="185" t="s">
        <v>215</v>
      </c>
    </row>
    <row r="12873" spans="129:129" x14ac:dyDescent="0.2">
      <c r="DY12873" s="185" t="s">
        <v>215</v>
      </c>
    </row>
    <row r="12874" spans="129:129" x14ac:dyDescent="0.2">
      <c r="DY12874" s="185" t="s">
        <v>215</v>
      </c>
    </row>
    <row r="12875" spans="129:129" x14ac:dyDescent="0.2">
      <c r="DY12875" s="185" t="s">
        <v>215</v>
      </c>
    </row>
    <row r="12876" spans="129:129" x14ac:dyDescent="0.2">
      <c r="DY12876" s="185" t="s">
        <v>215</v>
      </c>
    </row>
    <row r="12877" spans="129:129" x14ac:dyDescent="0.2">
      <c r="DY12877" s="185" t="s">
        <v>215</v>
      </c>
    </row>
    <row r="12878" spans="129:129" x14ac:dyDescent="0.2">
      <c r="DY12878" s="185" t="s">
        <v>215</v>
      </c>
    </row>
    <row r="12879" spans="129:129" x14ac:dyDescent="0.2">
      <c r="DY12879" s="185" t="s">
        <v>215</v>
      </c>
    </row>
    <row r="12880" spans="129:129" x14ac:dyDescent="0.2">
      <c r="DY12880" s="185" t="s">
        <v>215</v>
      </c>
    </row>
    <row r="12881" spans="129:129" x14ac:dyDescent="0.2">
      <c r="DY12881" s="185" t="s">
        <v>215</v>
      </c>
    </row>
    <row r="12882" spans="129:129" x14ac:dyDescent="0.2">
      <c r="DY12882" s="185" t="s">
        <v>215</v>
      </c>
    </row>
    <row r="12883" spans="129:129" x14ac:dyDescent="0.2">
      <c r="DY12883" s="185" t="s">
        <v>215</v>
      </c>
    </row>
    <row r="12884" spans="129:129" x14ac:dyDescent="0.2">
      <c r="DY12884" s="185" t="s">
        <v>215</v>
      </c>
    </row>
    <row r="12885" spans="129:129" x14ac:dyDescent="0.2">
      <c r="DY12885" s="185" t="s">
        <v>215</v>
      </c>
    </row>
    <row r="12886" spans="129:129" x14ac:dyDescent="0.2">
      <c r="DY12886" s="185" t="s">
        <v>215</v>
      </c>
    </row>
    <row r="12887" spans="129:129" x14ac:dyDescent="0.2">
      <c r="DY12887" s="185" t="s">
        <v>215</v>
      </c>
    </row>
    <row r="12888" spans="129:129" x14ac:dyDescent="0.2">
      <c r="DY12888" s="185" t="s">
        <v>215</v>
      </c>
    </row>
    <row r="12889" spans="129:129" x14ac:dyDescent="0.2">
      <c r="DY12889" s="185" t="s">
        <v>215</v>
      </c>
    </row>
    <row r="12890" spans="129:129" x14ac:dyDescent="0.2">
      <c r="DY12890" s="185" t="s">
        <v>215</v>
      </c>
    </row>
    <row r="12891" spans="129:129" x14ac:dyDescent="0.2">
      <c r="DY12891" s="185" t="s">
        <v>215</v>
      </c>
    </row>
    <row r="12892" spans="129:129" x14ac:dyDescent="0.2">
      <c r="DY12892" s="185" t="s">
        <v>215</v>
      </c>
    </row>
    <row r="12893" spans="129:129" x14ac:dyDescent="0.2">
      <c r="DY12893" s="185" t="s">
        <v>215</v>
      </c>
    </row>
    <row r="12894" spans="129:129" x14ac:dyDescent="0.2">
      <c r="DY12894" s="185" t="s">
        <v>215</v>
      </c>
    </row>
    <row r="12895" spans="129:129" x14ac:dyDescent="0.2">
      <c r="DY12895" s="185" t="s">
        <v>215</v>
      </c>
    </row>
    <row r="12896" spans="129:129" x14ac:dyDescent="0.2">
      <c r="DY12896" s="185" t="s">
        <v>215</v>
      </c>
    </row>
    <row r="12897" spans="129:129" x14ac:dyDescent="0.2">
      <c r="DY12897" s="185" t="s">
        <v>215</v>
      </c>
    </row>
    <row r="12898" spans="129:129" x14ac:dyDescent="0.2">
      <c r="DY12898" s="185" t="s">
        <v>215</v>
      </c>
    </row>
    <row r="12899" spans="129:129" x14ac:dyDescent="0.2">
      <c r="DY12899" s="185" t="s">
        <v>215</v>
      </c>
    </row>
    <row r="12900" spans="129:129" x14ac:dyDescent="0.2">
      <c r="DY12900" s="185" t="s">
        <v>215</v>
      </c>
    </row>
    <row r="12901" spans="129:129" x14ac:dyDescent="0.2">
      <c r="DY12901" s="185" t="s">
        <v>215</v>
      </c>
    </row>
    <row r="12902" spans="129:129" x14ac:dyDescent="0.2">
      <c r="DY12902" s="185" t="s">
        <v>215</v>
      </c>
    </row>
    <row r="12903" spans="129:129" x14ac:dyDescent="0.2">
      <c r="DY12903" s="185" t="s">
        <v>215</v>
      </c>
    </row>
    <row r="12904" spans="129:129" x14ac:dyDescent="0.2">
      <c r="DY12904" s="185" t="s">
        <v>215</v>
      </c>
    </row>
    <row r="12905" spans="129:129" x14ac:dyDescent="0.2">
      <c r="DY12905" s="185" t="s">
        <v>215</v>
      </c>
    </row>
    <row r="12906" spans="129:129" x14ac:dyDescent="0.2">
      <c r="DY12906" s="185" t="s">
        <v>215</v>
      </c>
    </row>
    <row r="12907" spans="129:129" x14ac:dyDescent="0.2">
      <c r="DY12907" s="185" t="s">
        <v>215</v>
      </c>
    </row>
    <row r="12908" spans="129:129" x14ac:dyDescent="0.2">
      <c r="DY12908" s="185" t="s">
        <v>215</v>
      </c>
    </row>
    <row r="12909" spans="129:129" x14ac:dyDescent="0.2">
      <c r="DY12909" s="185" t="s">
        <v>215</v>
      </c>
    </row>
    <row r="12910" spans="129:129" x14ac:dyDescent="0.2">
      <c r="DY12910" s="185" t="s">
        <v>215</v>
      </c>
    </row>
    <row r="12911" spans="129:129" x14ac:dyDescent="0.2">
      <c r="DY12911" s="185" t="s">
        <v>215</v>
      </c>
    </row>
    <row r="12912" spans="129:129" x14ac:dyDescent="0.2">
      <c r="DY12912" s="185" t="s">
        <v>215</v>
      </c>
    </row>
    <row r="12913" spans="129:129" x14ac:dyDescent="0.2">
      <c r="DY12913" s="185" t="s">
        <v>215</v>
      </c>
    </row>
    <row r="12914" spans="129:129" x14ac:dyDescent="0.2">
      <c r="DY12914" s="185" t="s">
        <v>215</v>
      </c>
    </row>
    <row r="12915" spans="129:129" x14ac:dyDescent="0.2">
      <c r="DY12915" s="185" t="s">
        <v>215</v>
      </c>
    </row>
    <row r="12916" spans="129:129" x14ac:dyDescent="0.2">
      <c r="DY12916" s="185" t="s">
        <v>215</v>
      </c>
    </row>
    <row r="12917" spans="129:129" x14ac:dyDescent="0.2">
      <c r="DY12917" s="185" t="s">
        <v>215</v>
      </c>
    </row>
    <row r="12918" spans="129:129" x14ac:dyDescent="0.2">
      <c r="DY12918" s="185" t="s">
        <v>215</v>
      </c>
    </row>
    <row r="12919" spans="129:129" x14ac:dyDescent="0.2">
      <c r="DY12919" s="185" t="s">
        <v>215</v>
      </c>
    </row>
    <row r="12920" spans="129:129" x14ac:dyDescent="0.2">
      <c r="DY12920" s="185" t="s">
        <v>215</v>
      </c>
    </row>
    <row r="12921" spans="129:129" x14ac:dyDescent="0.2">
      <c r="DY12921" s="185" t="s">
        <v>215</v>
      </c>
    </row>
    <row r="12922" spans="129:129" x14ac:dyDescent="0.2">
      <c r="DY12922" s="185" t="s">
        <v>215</v>
      </c>
    </row>
    <row r="12923" spans="129:129" x14ac:dyDescent="0.2">
      <c r="DY12923" s="185" t="s">
        <v>215</v>
      </c>
    </row>
    <row r="12924" spans="129:129" x14ac:dyDescent="0.2">
      <c r="DY12924" s="185" t="s">
        <v>215</v>
      </c>
    </row>
    <row r="12925" spans="129:129" x14ac:dyDescent="0.2">
      <c r="DY12925" s="185" t="s">
        <v>215</v>
      </c>
    </row>
    <row r="12926" spans="129:129" x14ac:dyDescent="0.2">
      <c r="DY12926" s="185" t="s">
        <v>215</v>
      </c>
    </row>
    <row r="12927" spans="129:129" x14ac:dyDescent="0.2">
      <c r="DY12927" s="185" t="s">
        <v>215</v>
      </c>
    </row>
    <row r="12928" spans="129:129" x14ac:dyDescent="0.2">
      <c r="DY12928" s="185" t="s">
        <v>215</v>
      </c>
    </row>
    <row r="12929" spans="129:129" x14ac:dyDescent="0.2">
      <c r="DY12929" s="185" t="s">
        <v>215</v>
      </c>
    </row>
    <row r="12930" spans="129:129" x14ac:dyDescent="0.2">
      <c r="DY12930" s="185" t="s">
        <v>215</v>
      </c>
    </row>
    <row r="12931" spans="129:129" x14ac:dyDescent="0.2">
      <c r="DY12931" s="185" t="s">
        <v>215</v>
      </c>
    </row>
    <row r="12932" spans="129:129" x14ac:dyDescent="0.2">
      <c r="DY12932" s="185" t="s">
        <v>215</v>
      </c>
    </row>
    <row r="12933" spans="129:129" x14ac:dyDescent="0.2">
      <c r="DY12933" s="185" t="s">
        <v>215</v>
      </c>
    </row>
    <row r="12934" spans="129:129" x14ac:dyDescent="0.2">
      <c r="DY12934" s="185" t="s">
        <v>215</v>
      </c>
    </row>
    <row r="12935" spans="129:129" x14ac:dyDescent="0.2">
      <c r="DY12935" s="185" t="s">
        <v>215</v>
      </c>
    </row>
    <row r="12936" spans="129:129" x14ac:dyDescent="0.2">
      <c r="DY12936" s="185" t="s">
        <v>215</v>
      </c>
    </row>
    <row r="12937" spans="129:129" x14ac:dyDescent="0.2">
      <c r="DY12937" s="185" t="s">
        <v>215</v>
      </c>
    </row>
    <row r="12938" spans="129:129" x14ac:dyDescent="0.2">
      <c r="DY12938" s="185" t="s">
        <v>215</v>
      </c>
    </row>
    <row r="12939" spans="129:129" x14ac:dyDescent="0.2">
      <c r="DY12939" s="185" t="s">
        <v>215</v>
      </c>
    </row>
    <row r="12940" spans="129:129" x14ac:dyDescent="0.2">
      <c r="DY12940" s="185" t="s">
        <v>215</v>
      </c>
    </row>
    <row r="12941" spans="129:129" x14ac:dyDescent="0.2">
      <c r="DY12941" s="185" t="s">
        <v>215</v>
      </c>
    </row>
    <row r="12942" spans="129:129" x14ac:dyDescent="0.2">
      <c r="DY12942" s="185" t="s">
        <v>215</v>
      </c>
    </row>
    <row r="12943" spans="129:129" x14ac:dyDescent="0.2">
      <c r="DY12943" s="185" t="s">
        <v>215</v>
      </c>
    </row>
    <row r="12944" spans="129:129" x14ac:dyDescent="0.2">
      <c r="DY12944" s="185" t="s">
        <v>215</v>
      </c>
    </row>
    <row r="12945" spans="129:129" x14ac:dyDescent="0.2">
      <c r="DY12945" s="185" t="s">
        <v>215</v>
      </c>
    </row>
    <row r="12946" spans="129:129" x14ac:dyDescent="0.2">
      <c r="DY12946" s="185" t="s">
        <v>215</v>
      </c>
    </row>
    <row r="12947" spans="129:129" x14ac:dyDescent="0.2">
      <c r="DY12947" s="185" t="s">
        <v>215</v>
      </c>
    </row>
    <row r="12948" spans="129:129" x14ac:dyDescent="0.2">
      <c r="DY12948" s="185" t="s">
        <v>215</v>
      </c>
    </row>
    <row r="12949" spans="129:129" x14ac:dyDescent="0.2">
      <c r="DY12949" s="185" t="s">
        <v>215</v>
      </c>
    </row>
    <row r="12950" spans="129:129" x14ac:dyDescent="0.2">
      <c r="DY12950" s="185" t="s">
        <v>215</v>
      </c>
    </row>
    <row r="12951" spans="129:129" x14ac:dyDescent="0.2">
      <c r="DY12951" s="185" t="s">
        <v>215</v>
      </c>
    </row>
    <row r="12952" spans="129:129" x14ac:dyDescent="0.2">
      <c r="DY12952" s="185" t="s">
        <v>215</v>
      </c>
    </row>
    <row r="12953" spans="129:129" x14ac:dyDescent="0.2">
      <c r="DY12953" s="185" t="s">
        <v>215</v>
      </c>
    </row>
    <row r="12954" spans="129:129" x14ac:dyDescent="0.2">
      <c r="DY12954" s="185" t="s">
        <v>215</v>
      </c>
    </row>
    <row r="12955" spans="129:129" x14ac:dyDescent="0.2">
      <c r="DY12955" s="185" t="s">
        <v>215</v>
      </c>
    </row>
    <row r="12956" spans="129:129" x14ac:dyDescent="0.2">
      <c r="DY12956" s="185" t="s">
        <v>215</v>
      </c>
    </row>
    <row r="12957" spans="129:129" x14ac:dyDescent="0.2">
      <c r="DY12957" s="185" t="s">
        <v>215</v>
      </c>
    </row>
    <row r="12958" spans="129:129" x14ac:dyDescent="0.2">
      <c r="DY12958" s="185" t="s">
        <v>215</v>
      </c>
    </row>
    <row r="12959" spans="129:129" x14ac:dyDescent="0.2">
      <c r="DY12959" s="185" t="s">
        <v>215</v>
      </c>
    </row>
    <row r="12960" spans="129:129" x14ac:dyDescent="0.2">
      <c r="DY12960" s="185" t="s">
        <v>215</v>
      </c>
    </row>
    <row r="12961" spans="129:129" x14ac:dyDescent="0.2">
      <c r="DY12961" s="185" t="s">
        <v>215</v>
      </c>
    </row>
    <row r="12962" spans="129:129" x14ac:dyDescent="0.2">
      <c r="DY12962" s="185" t="s">
        <v>215</v>
      </c>
    </row>
    <row r="12963" spans="129:129" x14ac:dyDescent="0.2">
      <c r="DY12963" s="185" t="s">
        <v>215</v>
      </c>
    </row>
    <row r="12964" spans="129:129" x14ac:dyDescent="0.2">
      <c r="DY12964" s="185" t="s">
        <v>215</v>
      </c>
    </row>
    <row r="12965" spans="129:129" x14ac:dyDescent="0.2">
      <c r="DY12965" s="185" t="s">
        <v>215</v>
      </c>
    </row>
    <row r="12966" spans="129:129" x14ac:dyDescent="0.2">
      <c r="DY12966" s="185" t="s">
        <v>215</v>
      </c>
    </row>
    <row r="12967" spans="129:129" x14ac:dyDescent="0.2">
      <c r="DY12967" s="185" t="s">
        <v>215</v>
      </c>
    </row>
    <row r="12968" spans="129:129" x14ac:dyDescent="0.2">
      <c r="DY12968" s="185" t="s">
        <v>215</v>
      </c>
    </row>
    <row r="12969" spans="129:129" x14ac:dyDescent="0.2">
      <c r="DY12969" s="185" t="s">
        <v>215</v>
      </c>
    </row>
    <row r="12970" spans="129:129" x14ac:dyDescent="0.2">
      <c r="DY12970" s="185" t="s">
        <v>215</v>
      </c>
    </row>
    <row r="12971" spans="129:129" x14ac:dyDescent="0.2">
      <c r="DY12971" s="185" t="s">
        <v>215</v>
      </c>
    </row>
    <row r="12972" spans="129:129" x14ac:dyDescent="0.2">
      <c r="DY12972" s="185" t="s">
        <v>215</v>
      </c>
    </row>
    <row r="12973" spans="129:129" x14ac:dyDescent="0.2">
      <c r="DY12973" s="185" t="s">
        <v>215</v>
      </c>
    </row>
    <row r="12974" spans="129:129" x14ac:dyDescent="0.2">
      <c r="DY12974" s="185" t="s">
        <v>215</v>
      </c>
    </row>
    <row r="12975" spans="129:129" x14ac:dyDescent="0.2">
      <c r="DY12975" s="185" t="s">
        <v>215</v>
      </c>
    </row>
    <row r="12976" spans="129:129" x14ac:dyDescent="0.2">
      <c r="DY12976" s="185" t="s">
        <v>215</v>
      </c>
    </row>
    <row r="12977" spans="129:129" x14ac:dyDescent="0.2">
      <c r="DY12977" s="185" t="s">
        <v>215</v>
      </c>
    </row>
    <row r="12978" spans="129:129" x14ac:dyDescent="0.2">
      <c r="DY12978" s="185" t="s">
        <v>215</v>
      </c>
    </row>
    <row r="12979" spans="129:129" x14ac:dyDescent="0.2">
      <c r="DY12979" s="185" t="s">
        <v>215</v>
      </c>
    </row>
    <row r="12980" spans="129:129" x14ac:dyDescent="0.2">
      <c r="DY12980" s="185" t="s">
        <v>215</v>
      </c>
    </row>
    <row r="12981" spans="129:129" x14ac:dyDescent="0.2">
      <c r="DY12981" s="185" t="s">
        <v>215</v>
      </c>
    </row>
    <row r="12982" spans="129:129" x14ac:dyDescent="0.2">
      <c r="DY12982" s="185" t="s">
        <v>215</v>
      </c>
    </row>
    <row r="12983" spans="129:129" x14ac:dyDescent="0.2">
      <c r="DY12983" s="185" t="s">
        <v>215</v>
      </c>
    </row>
    <row r="12984" spans="129:129" x14ac:dyDescent="0.2">
      <c r="DY12984" s="185" t="s">
        <v>215</v>
      </c>
    </row>
    <row r="12985" spans="129:129" x14ac:dyDescent="0.2">
      <c r="DY12985" s="185" t="s">
        <v>215</v>
      </c>
    </row>
    <row r="12986" spans="129:129" x14ac:dyDescent="0.2">
      <c r="DY12986" s="185" t="s">
        <v>215</v>
      </c>
    </row>
    <row r="12987" spans="129:129" x14ac:dyDescent="0.2">
      <c r="DY12987" s="185" t="s">
        <v>215</v>
      </c>
    </row>
    <row r="12988" spans="129:129" x14ac:dyDescent="0.2">
      <c r="DY12988" s="185" t="s">
        <v>215</v>
      </c>
    </row>
    <row r="12989" spans="129:129" x14ac:dyDescent="0.2">
      <c r="DY12989" s="185" t="s">
        <v>215</v>
      </c>
    </row>
    <row r="12990" spans="129:129" x14ac:dyDescent="0.2">
      <c r="DY12990" s="185" t="s">
        <v>215</v>
      </c>
    </row>
    <row r="12991" spans="129:129" x14ac:dyDescent="0.2">
      <c r="DY12991" s="185" t="s">
        <v>215</v>
      </c>
    </row>
    <row r="12992" spans="129:129" x14ac:dyDescent="0.2">
      <c r="DY12992" s="185" t="s">
        <v>215</v>
      </c>
    </row>
    <row r="12993" spans="129:129" x14ac:dyDescent="0.2">
      <c r="DY12993" s="185" t="s">
        <v>215</v>
      </c>
    </row>
    <row r="12994" spans="129:129" x14ac:dyDescent="0.2">
      <c r="DY12994" s="185" t="s">
        <v>215</v>
      </c>
    </row>
    <row r="12995" spans="129:129" x14ac:dyDescent="0.2">
      <c r="DY12995" s="185" t="s">
        <v>215</v>
      </c>
    </row>
    <row r="12996" spans="129:129" x14ac:dyDescent="0.2">
      <c r="DY12996" s="185" t="s">
        <v>215</v>
      </c>
    </row>
    <row r="12997" spans="129:129" x14ac:dyDescent="0.2">
      <c r="DY12997" s="185" t="s">
        <v>215</v>
      </c>
    </row>
    <row r="12998" spans="129:129" x14ac:dyDescent="0.2">
      <c r="DY12998" s="185" t="s">
        <v>215</v>
      </c>
    </row>
    <row r="12999" spans="129:129" x14ac:dyDescent="0.2">
      <c r="DY12999" s="185" t="s">
        <v>215</v>
      </c>
    </row>
    <row r="13000" spans="129:129" x14ac:dyDescent="0.2">
      <c r="DY13000" s="185" t="s">
        <v>215</v>
      </c>
    </row>
    <row r="13001" spans="129:129" x14ac:dyDescent="0.2">
      <c r="DY13001" s="185" t="s">
        <v>215</v>
      </c>
    </row>
    <row r="13002" spans="129:129" x14ac:dyDescent="0.2">
      <c r="DY13002" s="185" t="s">
        <v>215</v>
      </c>
    </row>
    <row r="13003" spans="129:129" x14ac:dyDescent="0.2">
      <c r="DY13003" s="185" t="s">
        <v>215</v>
      </c>
    </row>
    <row r="13004" spans="129:129" x14ac:dyDescent="0.2">
      <c r="DY13004" s="185" t="s">
        <v>215</v>
      </c>
    </row>
    <row r="13005" spans="129:129" x14ac:dyDescent="0.2">
      <c r="DY13005" s="185" t="s">
        <v>215</v>
      </c>
    </row>
    <row r="13006" spans="129:129" x14ac:dyDescent="0.2">
      <c r="DY13006" s="185" t="s">
        <v>215</v>
      </c>
    </row>
    <row r="13007" spans="129:129" x14ac:dyDescent="0.2">
      <c r="DY13007" s="185" t="s">
        <v>215</v>
      </c>
    </row>
    <row r="13008" spans="129:129" x14ac:dyDescent="0.2">
      <c r="DY13008" s="185" t="s">
        <v>215</v>
      </c>
    </row>
    <row r="13009" spans="129:129" x14ac:dyDescent="0.2">
      <c r="DY13009" s="185" t="s">
        <v>215</v>
      </c>
    </row>
    <row r="13010" spans="129:129" x14ac:dyDescent="0.2">
      <c r="DY13010" s="185" t="s">
        <v>215</v>
      </c>
    </row>
    <row r="13011" spans="129:129" x14ac:dyDescent="0.2">
      <c r="DY13011" s="185" t="s">
        <v>215</v>
      </c>
    </row>
    <row r="13012" spans="129:129" x14ac:dyDescent="0.2">
      <c r="DY13012" s="185" t="s">
        <v>215</v>
      </c>
    </row>
    <row r="13013" spans="129:129" x14ac:dyDescent="0.2">
      <c r="DY13013" s="185" t="s">
        <v>215</v>
      </c>
    </row>
    <row r="13014" spans="129:129" x14ac:dyDescent="0.2">
      <c r="DY13014" s="185" t="s">
        <v>215</v>
      </c>
    </row>
    <row r="13015" spans="129:129" x14ac:dyDescent="0.2">
      <c r="DY13015" s="185" t="s">
        <v>215</v>
      </c>
    </row>
    <row r="13016" spans="129:129" x14ac:dyDescent="0.2">
      <c r="DY13016" s="185" t="s">
        <v>215</v>
      </c>
    </row>
    <row r="13017" spans="129:129" x14ac:dyDescent="0.2">
      <c r="DY13017" s="185" t="s">
        <v>215</v>
      </c>
    </row>
    <row r="13018" spans="129:129" x14ac:dyDescent="0.2">
      <c r="DY13018" s="185" t="s">
        <v>215</v>
      </c>
    </row>
    <row r="13019" spans="129:129" x14ac:dyDescent="0.2">
      <c r="DY13019" s="185" t="s">
        <v>215</v>
      </c>
    </row>
    <row r="13020" spans="129:129" x14ac:dyDescent="0.2">
      <c r="DY13020" s="185" t="s">
        <v>215</v>
      </c>
    </row>
    <row r="13021" spans="129:129" x14ac:dyDescent="0.2">
      <c r="DY13021" s="185" t="s">
        <v>215</v>
      </c>
    </row>
    <row r="13022" spans="129:129" x14ac:dyDescent="0.2">
      <c r="DY13022" s="185" t="s">
        <v>215</v>
      </c>
    </row>
    <row r="13023" spans="129:129" x14ac:dyDescent="0.2">
      <c r="DY13023" s="185" t="s">
        <v>215</v>
      </c>
    </row>
    <row r="13024" spans="129:129" x14ac:dyDescent="0.2">
      <c r="DY13024" s="185" t="s">
        <v>215</v>
      </c>
    </row>
    <row r="13025" spans="129:129" x14ac:dyDescent="0.2">
      <c r="DY13025" s="185" t="s">
        <v>215</v>
      </c>
    </row>
    <row r="13026" spans="129:129" x14ac:dyDescent="0.2">
      <c r="DY13026" s="185" t="s">
        <v>215</v>
      </c>
    </row>
    <row r="13027" spans="129:129" x14ac:dyDescent="0.2">
      <c r="DY13027" s="185" t="s">
        <v>215</v>
      </c>
    </row>
    <row r="13028" spans="129:129" x14ac:dyDescent="0.2">
      <c r="DY13028" s="185" t="s">
        <v>215</v>
      </c>
    </row>
    <row r="13029" spans="129:129" x14ac:dyDescent="0.2">
      <c r="DY13029" s="185" t="s">
        <v>215</v>
      </c>
    </row>
    <row r="13030" spans="129:129" x14ac:dyDescent="0.2">
      <c r="DY13030" s="185" t="s">
        <v>215</v>
      </c>
    </row>
    <row r="13031" spans="129:129" x14ac:dyDescent="0.2">
      <c r="DY13031" s="185" t="s">
        <v>215</v>
      </c>
    </row>
    <row r="13032" spans="129:129" x14ac:dyDescent="0.2">
      <c r="DY13032" s="185" t="s">
        <v>215</v>
      </c>
    </row>
    <row r="13033" spans="129:129" x14ac:dyDescent="0.2">
      <c r="DY13033" s="185" t="s">
        <v>215</v>
      </c>
    </row>
    <row r="13034" spans="129:129" x14ac:dyDescent="0.2">
      <c r="DY13034" s="185" t="s">
        <v>215</v>
      </c>
    </row>
    <row r="13035" spans="129:129" x14ac:dyDescent="0.2">
      <c r="DY13035" s="185" t="s">
        <v>215</v>
      </c>
    </row>
    <row r="13036" spans="129:129" x14ac:dyDescent="0.2">
      <c r="DY13036" s="185" t="s">
        <v>215</v>
      </c>
    </row>
    <row r="13037" spans="129:129" x14ac:dyDescent="0.2">
      <c r="DY13037" s="185" t="s">
        <v>215</v>
      </c>
    </row>
    <row r="13038" spans="129:129" x14ac:dyDescent="0.2">
      <c r="DY13038" s="185" t="s">
        <v>215</v>
      </c>
    </row>
    <row r="13039" spans="129:129" x14ac:dyDescent="0.2">
      <c r="DY13039" s="185" t="s">
        <v>215</v>
      </c>
    </row>
    <row r="13040" spans="129:129" x14ac:dyDescent="0.2">
      <c r="DY13040" s="185" t="s">
        <v>215</v>
      </c>
    </row>
    <row r="13041" spans="129:129" x14ac:dyDescent="0.2">
      <c r="DY13041" s="185" t="s">
        <v>215</v>
      </c>
    </row>
    <row r="13042" spans="129:129" x14ac:dyDescent="0.2">
      <c r="DY13042" s="185" t="s">
        <v>215</v>
      </c>
    </row>
    <row r="13043" spans="129:129" x14ac:dyDescent="0.2">
      <c r="DY13043" s="185" t="s">
        <v>215</v>
      </c>
    </row>
    <row r="13044" spans="129:129" x14ac:dyDescent="0.2">
      <c r="DY13044" s="185" t="s">
        <v>215</v>
      </c>
    </row>
    <row r="13045" spans="129:129" x14ac:dyDescent="0.2">
      <c r="DY13045" s="185" t="s">
        <v>215</v>
      </c>
    </row>
    <row r="13046" spans="129:129" x14ac:dyDescent="0.2">
      <c r="DY13046" s="185" t="s">
        <v>215</v>
      </c>
    </row>
    <row r="13047" spans="129:129" x14ac:dyDescent="0.2">
      <c r="DY13047" s="185" t="s">
        <v>215</v>
      </c>
    </row>
    <row r="13048" spans="129:129" x14ac:dyDescent="0.2">
      <c r="DY13048" s="185" t="s">
        <v>215</v>
      </c>
    </row>
    <row r="13049" spans="129:129" x14ac:dyDescent="0.2">
      <c r="DY13049" s="185" t="s">
        <v>215</v>
      </c>
    </row>
    <row r="13050" spans="129:129" x14ac:dyDescent="0.2">
      <c r="DY13050" s="185" t="s">
        <v>215</v>
      </c>
    </row>
    <row r="13051" spans="129:129" x14ac:dyDescent="0.2">
      <c r="DY13051" s="185" t="s">
        <v>215</v>
      </c>
    </row>
    <row r="13052" spans="129:129" x14ac:dyDescent="0.2">
      <c r="DY13052" s="185" t="s">
        <v>215</v>
      </c>
    </row>
    <row r="13053" spans="129:129" x14ac:dyDescent="0.2">
      <c r="DY13053" s="185" t="s">
        <v>215</v>
      </c>
    </row>
    <row r="13054" spans="129:129" x14ac:dyDescent="0.2">
      <c r="DY13054" s="185" t="s">
        <v>215</v>
      </c>
    </row>
    <row r="13055" spans="129:129" x14ac:dyDescent="0.2">
      <c r="DY13055" s="185" t="s">
        <v>215</v>
      </c>
    </row>
    <row r="13056" spans="129:129" x14ac:dyDescent="0.2">
      <c r="DY13056" s="185" t="s">
        <v>215</v>
      </c>
    </row>
    <row r="13057" spans="129:129" x14ac:dyDescent="0.2">
      <c r="DY13057" s="185" t="s">
        <v>215</v>
      </c>
    </row>
    <row r="13058" spans="129:129" x14ac:dyDescent="0.2">
      <c r="DY13058" s="185" t="s">
        <v>215</v>
      </c>
    </row>
    <row r="13059" spans="129:129" x14ac:dyDescent="0.2">
      <c r="DY13059" s="185" t="s">
        <v>215</v>
      </c>
    </row>
    <row r="13060" spans="129:129" x14ac:dyDescent="0.2">
      <c r="DY13060" s="185" t="s">
        <v>215</v>
      </c>
    </row>
    <row r="13061" spans="129:129" x14ac:dyDescent="0.2">
      <c r="DY13061" s="185" t="s">
        <v>215</v>
      </c>
    </row>
    <row r="13062" spans="129:129" x14ac:dyDescent="0.2">
      <c r="DY13062" s="185" t="s">
        <v>215</v>
      </c>
    </row>
    <row r="13063" spans="129:129" x14ac:dyDescent="0.2">
      <c r="DY13063" s="185" t="s">
        <v>215</v>
      </c>
    </row>
    <row r="13064" spans="129:129" x14ac:dyDescent="0.2">
      <c r="DY13064" s="185" t="s">
        <v>215</v>
      </c>
    </row>
    <row r="13065" spans="129:129" x14ac:dyDescent="0.2">
      <c r="DY13065" s="185" t="s">
        <v>215</v>
      </c>
    </row>
    <row r="13066" spans="129:129" x14ac:dyDescent="0.2">
      <c r="DY13066" s="185" t="s">
        <v>215</v>
      </c>
    </row>
    <row r="13067" spans="129:129" x14ac:dyDescent="0.2">
      <c r="DY13067" s="185" t="s">
        <v>215</v>
      </c>
    </row>
    <row r="13068" spans="129:129" x14ac:dyDescent="0.2">
      <c r="DY13068" s="185" t="s">
        <v>215</v>
      </c>
    </row>
    <row r="13069" spans="129:129" x14ac:dyDescent="0.2">
      <c r="DY13069" s="185" t="s">
        <v>215</v>
      </c>
    </row>
    <row r="13070" spans="129:129" x14ac:dyDescent="0.2">
      <c r="DY13070" s="185" t="s">
        <v>215</v>
      </c>
    </row>
    <row r="13071" spans="129:129" x14ac:dyDescent="0.2">
      <c r="DY13071" s="185" t="s">
        <v>215</v>
      </c>
    </row>
    <row r="13072" spans="129:129" x14ac:dyDescent="0.2">
      <c r="DY13072" s="185" t="s">
        <v>215</v>
      </c>
    </row>
    <row r="13073" spans="129:129" x14ac:dyDescent="0.2">
      <c r="DY13073" s="185" t="s">
        <v>215</v>
      </c>
    </row>
    <row r="13074" spans="129:129" x14ac:dyDescent="0.2">
      <c r="DY13074" s="185" t="s">
        <v>215</v>
      </c>
    </row>
    <row r="13075" spans="129:129" x14ac:dyDescent="0.2">
      <c r="DY13075" s="185" t="s">
        <v>215</v>
      </c>
    </row>
    <row r="13076" spans="129:129" x14ac:dyDescent="0.2">
      <c r="DY13076" s="185" t="s">
        <v>215</v>
      </c>
    </row>
    <row r="13077" spans="129:129" x14ac:dyDescent="0.2">
      <c r="DY13077" s="185" t="s">
        <v>215</v>
      </c>
    </row>
    <row r="13078" spans="129:129" x14ac:dyDescent="0.2">
      <c r="DY13078" s="185" t="s">
        <v>215</v>
      </c>
    </row>
    <row r="13079" spans="129:129" x14ac:dyDescent="0.2">
      <c r="DY13079" s="185" t="s">
        <v>215</v>
      </c>
    </row>
    <row r="13080" spans="129:129" x14ac:dyDescent="0.2">
      <c r="DY13080" s="185" t="s">
        <v>215</v>
      </c>
    </row>
    <row r="13081" spans="129:129" x14ac:dyDescent="0.2">
      <c r="DY13081" s="185" t="s">
        <v>215</v>
      </c>
    </row>
    <row r="13082" spans="129:129" x14ac:dyDescent="0.2">
      <c r="DY13082" s="185" t="s">
        <v>215</v>
      </c>
    </row>
    <row r="13083" spans="129:129" x14ac:dyDescent="0.2">
      <c r="DY13083" s="185" t="s">
        <v>215</v>
      </c>
    </row>
    <row r="13084" spans="129:129" x14ac:dyDescent="0.2">
      <c r="DY13084" s="185" t="s">
        <v>215</v>
      </c>
    </row>
    <row r="13085" spans="129:129" x14ac:dyDescent="0.2">
      <c r="DY13085" s="185" t="s">
        <v>215</v>
      </c>
    </row>
    <row r="13086" spans="129:129" x14ac:dyDescent="0.2">
      <c r="DY13086" s="185" t="s">
        <v>215</v>
      </c>
    </row>
    <row r="13087" spans="129:129" x14ac:dyDescent="0.2">
      <c r="DY13087" s="185" t="s">
        <v>215</v>
      </c>
    </row>
    <row r="13088" spans="129:129" x14ac:dyDescent="0.2">
      <c r="DY13088" s="185" t="s">
        <v>215</v>
      </c>
    </row>
    <row r="13089" spans="129:129" x14ac:dyDescent="0.2">
      <c r="DY13089" s="185" t="s">
        <v>215</v>
      </c>
    </row>
    <row r="13090" spans="129:129" x14ac:dyDescent="0.2">
      <c r="DY13090" s="185" t="s">
        <v>215</v>
      </c>
    </row>
    <row r="13091" spans="129:129" x14ac:dyDescent="0.2">
      <c r="DY13091" s="185" t="s">
        <v>215</v>
      </c>
    </row>
    <row r="13092" spans="129:129" x14ac:dyDescent="0.2">
      <c r="DY13092" s="185" t="s">
        <v>215</v>
      </c>
    </row>
    <row r="13093" spans="129:129" x14ac:dyDescent="0.2">
      <c r="DY13093" s="185" t="s">
        <v>215</v>
      </c>
    </row>
    <row r="13094" spans="129:129" x14ac:dyDescent="0.2">
      <c r="DY13094" s="185" t="s">
        <v>215</v>
      </c>
    </row>
    <row r="13095" spans="129:129" x14ac:dyDescent="0.2">
      <c r="DY13095" s="185" t="s">
        <v>215</v>
      </c>
    </row>
    <row r="13096" spans="129:129" x14ac:dyDescent="0.2">
      <c r="DY13096" s="185" t="s">
        <v>215</v>
      </c>
    </row>
    <row r="13097" spans="129:129" x14ac:dyDescent="0.2">
      <c r="DY13097" s="185" t="s">
        <v>215</v>
      </c>
    </row>
    <row r="13098" spans="129:129" x14ac:dyDescent="0.2">
      <c r="DY13098" s="185" t="s">
        <v>215</v>
      </c>
    </row>
    <row r="13099" spans="129:129" x14ac:dyDescent="0.2">
      <c r="DY13099" s="185" t="s">
        <v>215</v>
      </c>
    </row>
    <row r="13100" spans="129:129" x14ac:dyDescent="0.2">
      <c r="DY13100" s="185" t="s">
        <v>215</v>
      </c>
    </row>
    <row r="13101" spans="129:129" x14ac:dyDescent="0.2">
      <c r="DY13101" s="185" t="s">
        <v>215</v>
      </c>
    </row>
    <row r="13102" spans="129:129" x14ac:dyDescent="0.2">
      <c r="DY13102" s="185" t="s">
        <v>215</v>
      </c>
    </row>
    <row r="13103" spans="129:129" x14ac:dyDescent="0.2">
      <c r="DY13103" s="185" t="s">
        <v>215</v>
      </c>
    </row>
    <row r="13104" spans="129:129" x14ac:dyDescent="0.2">
      <c r="DY13104" s="185" t="s">
        <v>215</v>
      </c>
    </row>
    <row r="13105" spans="129:129" x14ac:dyDescent="0.2">
      <c r="DY13105" s="185" t="s">
        <v>215</v>
      </c>
    </row>
    <row r="13106" spans="129:129" x14ac:dyDescent="0.2">
      <c r="DY13106" s="185" t="s">
        <v>215</v>
      </c>
    </row>
    <row r="13107" spans="129:129" x14ac:dyDescent="0.2">
      <c r="DY13107" s="185" t="s">
        <v>215</v>
      </c>
    </row>
    <row r="13108" spans="129:129" x14ac:dyDescent="0.2">
      <c r="DY13108" s="185" t="s">
        <v>215</v>
      </c>
    </row>
    <row r="13109" spans="129:129" x14ac:dyDescent="0.2">
      <c r="DY13109" s="185" t="s">
        <v>215</v>
      </c>
    </row>
    <row r="13110" spans="129:129" x14ac:dyDescent="0.2">
      <c r="DY13110" s="185" t="s">
        <v>215</v>
      </c>
    </row>
    <row r="13111" spans="129:129" x14ac:dyDescent="0.2">
      <c r="DY13111" s="185" t="s">
        <v>215</v>
      </c>
    </row>
    <row r="13112" spans="129:129" x14ac:dyDescent="0.2">
      <c r="DY13112" s="185" t="s">
        <v>215</v>
      </c>
    </row>
    <row r="13113" spans="129:129" x14ac:dyDescent="0.2">
      <c r="DY13113" s="185" t="s">
        <v>215</v>
      </c>
    </row>
    <row r="13114" spans="129:129" x14ac:dyDescent="0.2">
      <c r="DY13114" s="185" t="s">
        <v>215</v>
      </c>
    </row>
    <row r="13115" spans="129:129" x14ac:dyDescent="0.2">
      <c r="DY13115" s="185" t="s">
        <v>215</v>
      </c>
    </row>
    <row r="13116" spans="129:129" x14ac:dyDescent="0.2">
      <c r="DY13116" s="185" t="s">
        <v>215</v>
      </c>
    </row>
    <row r="13117" spans="129:129" x14ac:dyDescent="0.2">
      <c r="DY13117" s="185" t="s">
        <v>215</v>
      </c>
    </row>
    <row r="13118" spans="129:129" x14ac:dyDescent="0.2">
      <c r="DY13118" s="185" t="s">
        <v>215</v>
      </c>
    </row>
    <row r="13119" spans="129:129" x14ac:dyDescent="0.2">
      <c r="DY13119" s="185" t="s">
        <v>215</v>
      </c>
    </row>
    <row r="13120" spans="129:129" x14ac:dyDescent="0.2">
      <c r="DY13120" s="185" t="s">
        <v>215</v>
      </c>
    </row>
    <row r="13121" spans="129:129" x14ac:dyDescent="0.2">
      <c r="DY13121" s="185" t="s">
        <v>215</v>
      </c>
    </row>
    <row r="13122" spans="129:129" x14ac:dyDescent="0.2">
      <c r="DY13122" s="185" t="s">
        <v>215</v>
      </c>
    </row>
    <row r="13123" spans="129:129" x14ac:dyDescent="0.2">
      <c r="DY13123" s="185" t="s">
        <v>215</v>
      </c>
    </row>
    <row r="13124" spans="129:129" x14ac:dyDescent="0.2">
      <c r="DY13124" s="185" t="s">
        <v>215</v>
      </c>
    </row>
    <row r="13125" spans="129:129" x14ac:dyDescent="0.2">
      <c r="DY13125" s="185" t="s">
        <v>215</v>
      </c>
    </row>
    <row r="13126" spans="129:129" x14ac:dyDescent="0.2">
      <c r="DY13126" s="185" t="s">
        <v>215</v>
      </c>
    </row>
    <row r="13127" spans="129:129" x14ac:dyDescent="0.2">
      <c r="DY13127" s="185" t="s">
        <v>215</v>
      </c>
    </row>
    <row r="13128" spans="129:129" x14ac:dyDescent="0.2">
      <c r="DY13128" s="185" t="s">
        <v>215</v>
      </c>
    </row>
    <row r="13129" spans="129:129" x14ac:dyDescent="0.2">
      <c r="DY13129" s="185" t="s">
        <v>215</v>
      </c>
    </row>
    <row r="13130" spans="129:129" x14ac:dyDescent="0.2">
      <c r="DY13130" s="185" t="s">
        <v>215</v>
      </c>
    </row>
    <row r="13131" spans="129:129" x14ac:dyDescent="0.2">
      <c r="DY13131" s="185" t="s">
        <v>215</v>
      </c>
    </row>
    <row r="13132" spans="129:129" x14ac:dyDescent="0.2">
      <c r="DY13132" s="185" t="s">
        <v>215</v>
      </c>
    </row>
    <row r="13133" spans="129:129" x14ac:dyDescent="0.2">
      <c r="DY13133" s="185" t="s">
        <v>215</v>
      </c>
    </row>
    <row r="13134" spans="129:129" x14ac:dyDescent="0.2">
      <c r="DY13134" s="185" t="s">
        <v>215</v>
      </c>
    </row>
    <row r="13135" spans="129:129" x14ac:dyDescent="0.2">
      <c r="DY13135" s="185" t="s">
        <v>215</v>
      </c>
    </row>
    <row r="13136" spans="129:129" x14ac:dyDescent="0.2">
      <c r="DY13136" s="185" t="s">
        <v>215</v>
      </c>
    </row>
    <row r="13137" spans="129:129" x14ac:dyDescent="0.2">
      <c r="DY13137" s="185" t="s">
        <v>215</v>
      </c>
    </row>
    <row r="13138" spans="129:129" x14ac:dyDescent="0.2">
      <c r="DY13138" s="185" t="s">
        <v>215</v>
      </c>
    </row>
    <row r="13139" spans="129:129" x14ac:dyDescent="0.2">
      <c r="DY13139" s="185" t="s">
        <v>215</v>
      </c>
    </row>
    <row r="13140" spans="129:129" x14ac:dyDescent="0.2">
      <c r="DY13140" s="185" t="s">
        <v>215</v>
      </c>
    </row>
    <row r="13141" spans="129:129" x14ac:dyDescent="0.2">
      <c r="DY13141" s="185" t="s">
        <v>215</v>
      </c>
    </row>
    <row r="13142" spans="129:129" x14ac:dyDescent="0.2">
      <c r="DY13142" s="185" t="s">
        <v>215</v>
      </c>
    </row>
    <row r="13143" spans="129:129" x14ac:dyDescent="0.2">
      <c r="DY13143" s="185" t="s">
        <v>215</v>
      </c>
    </row>
    <row r="13144" spans="129:129" x14ac:dyDescent="0.2">
      <c r="DY13144" s="185" t="s">
        <v>215</v>
      </c>
    </row>
    <row r="13145" spans="129:129" x14ac:dyDescent="0.2">
      <c r="DY13145" s="185" t="s">
        <v>215</v>
      </c>
    </row>
    <row r="13146" spans="129:129" x14ac:dyDescent="0.2">
      <c r="DY13146" s="185" t="s">
        <v>215</v>
      </c>
    </row>
    <row r="13147" spans="129:129" x14ac:dyDescent="0.2">
      <c r="DY13147" s="185" t="s">
        <v>215</v>
      </c>
    </row>
    <row r="13148" spans="129:129" x14ac:dyDescent="0.2">
      <c r="DY13148" s="185" t="s">
        <v>215</v>
      </c>
    </row>
    <row r="13149" spans="129:129" x14ac:dyDescent="0.2">
      <c r="DY13149" s="185" t="s">
        <v>215</v>
      </c>
    </row>
    <row r="13150" spans="129:129" x14ac:dyDescent="0.2">
      <c r="DY13150" s="185" t="s">
        <v>215</v>
      </c>
    </row>
    <row r="13151" spans="129:129" x14ac:dyDescent="0.2">
      <c r="DY13151" s="185" t="s">
        <v>215</v>
      </c>
    </row>
    <row r="13152" spans="129:129" x14ac:dyDescent="0.2">
      <c r="DY13152" s="185" t="s">
        <v>215</v>
      </c>
    </row>
    <row r="13153" spans="129:129" x14ac:dyDescent="0.2">
      <c r="DY13153" s="185" t="s">
        <v>215</v>
      </c>
    </row>
    <row r="13154" spans="129:129" x14ac:dyDescent="0.2">
      <c r="DY13154" s="185" t="s">
        <v>215</v>
      </c>
    </row>
    <row r="13155" spans="129:129" x14ac:dyDescent="0.2">
      <c r="DY13155" s="185" t="s">
        <v>215</v>
      </c>
    </row>
    <row r="13156" spans="129:129" x14ac:dyDescent="0.2">
      <c r="DY13156" s="185" t="s">
        <v>215</v>
      </c>
    </row>
    <row r="13157" spans="129:129" x14ac:dyDescent="0.2">
      <c r="DY13157" s="185" t="s">
        <v>215</v>
      </c>
    </row>
    <row r="13158" spans="129:129" x14ac:dyDescent="0.2">
      <c r="DY13158" s="185" t="s">
        <v>215</v>
      </c>
    </row>
    <row r="13159" spans="129:129" x14ac:dyDescent="0.2">
      <c r="DY13159" s="185" t="s">
        <v>215</v>
      </c>
    </row>
    <row r="13160" spans="129:129" x14ac:dyDescent="0.2">
      <c r="DY13160" s="185" t="s">
        <v>215</v>
      </c>
    </row>
    <row r="13161" spans="129:129" x14ac:dyDescent="0.2">
      <c r="DY13161" s="185" t="s">
        <v>215</v>
      </c>
    </row>
    <row r="13162" spans="129:129" x14ac:dyDescent="0.2">
      <c r="DY13162" s="185" t="s">
        <v>215</v>
      </c>
    </row>
    <row r="13163" spans="129:129" x14ac:dyDescent="0.2">
      <c r="DY13163" s="185" t="s">
        <v>215</v>
      </c>
    </row>
    <row r="13164" spans="129:129" x14ac:dyDescent="0.2">
      <c r="DY13164" s="185" t="s">
        <v>215</v>
      </c>
    </row>
    <row r="13165" spans="129:129" x14ac:dyDescent="0.2">
      <c r="DY13165" s="185" t="s">
        <v>215</v>
      </c>
    </row>
    <row r="13166" spans="129:129" x14ac:dyDescent="0.2">
      <c r="DY13166" s="185" t="s">
        <v>215</v>
      </c>
    </row>
    <row r="13167" spans="129:129" x14ac:dyDescent="0.2">
      <c r="DY13167" s="185" t="s">
        <v>215</v>
      </c>
    </row>
    <row r="13168" spans="129:129" x14ac:dyDescent="0.2">
      <c r="DY13168" s="185" t="s">
        <v>215</v>
      </c>
    </row>
    <row r="13169" spans="129:129" x14ac:dyDescent="0.2">
      <c r="DY13169" s="185" t="s">
        <v>215</v>
      </c>
    </row>
    <row r="13170" spans="129:129" x14ac:dyDescent="0.2">
      <c r="DY13170" s="185" t="s">
        <v>215</v>
      </c>
    </row>
    <row r="13171" spans="129:129" x14ac:dyDescent="0.2">
      <c r="DY13171" s="185" t="s">
        <v>215</v>
      </c>
    </row>
    <row r="13172" spans="129:129" x14ac:dyDescent="0.2">
      <c r="DY13172" s="185" t="s">
        <v>215</v>
      </c>
    </row>
    <row r="13173" spans="129:129" x14ac:dyDescent="0.2">
      <c r="DY13173" s="185" t="s">
        <v>215</v>
      </c>
    </row>
    <row r="13174" spans="129:129" x14ac:dyDescent="0.2">
      <c r="DY13174" s="185" t="s">
        <v>215</v>
      </c>
    </row>
    <row r="13175" spans="129:129" x14ac:dyDescent="0.2">
      <c r="DY13175" s="185" t="s">
        <v>215</v>
      </c>
    </row>
    <row r="13176" spans="129:129" x14ac:dyDescent="0.2">
      <c r="DY13176" s="185" t="s">
        <v>215</v>
      </c>
    </row>
    <row r="13177" spans="129:129" x14ac:dyDescent="0.2">
      <c r="DY13177" s="185" t="s">
        <v>215</v>
      </c>
    </row>
    <row r="13178" spans="129:129" x14ac:dyDescent="0.2">
      <c r="DY13178" s="185" t="s">
        <v>215</v>
      </c>
    </row>
    <row r="13179" spans="129:129" x14ac:dyDescent="0.2">
      <c r="DY13179" s="185" t="s">
        <v>215</v>
      </c>
    </row>
    <row r="13180" spans="129:129" x14ac:dyDescent="0.2">
      <c r="DY13180" s="185" t="s">
        <v>215</v>
      </c>
    </row>
    <row r="13181" spans="129:129" x14ac:dyDescent="0.2">
      <c r="DY13181" s="185" t="s">
        <v>215</v>
      </c>
    </row>
    <row r="13182" spans="129:129" x14ac:dyDescent="0.2">
      <c r="DY13182" s="185" t="s">
        <v>215</v>
      </c>
    </row>
    <row r="13183" spans="129:129" x14ac:dyDescent="0.2">
      <c r="DY13183" s="185" t="s">
        <v>215</v>
      </c>
    </row>
    <row r="13184" spans="129:129" x14ac:dyDescent="0.2">
      <c r="DY13184" s="185" t="s">
        <v>215</v>
      </c>
    </row>
    <row r="13185" spans="129:129" x14ac:dyDescent="0.2">
      <c r="DY13185" s="185" t="s">
        <v>215</v>
      </c>
    </row>
    <row r="13186" spans="129:129" x14ac:dyDescent="0.2">
      <c r="DY13186" s="185" t="s">
        <v>215</v>
      </c>
    </row>
    <row r="13187" spans="129:129" x14ac:dyDescent="0.2">
      <c r="DY13187" s="185" t="s">
        <v>215</v>
      </c>
    </row>
    <row r="13188" spans="129:129" x14ac:dyDescent="0.2">
      <c r="DY13188" s="185" t="s">
        <v>215</v>
      </c>
    </row>
    <row r="13189" spans="129:129" x14ac:dyDescent="0.2">
      <c r="DY13189" s="185" t="s">
        <v>215</v>
      </c>
    </row>
    <row r="13190" spans="129:129" x14ac:dyDescent="0.2">
      <c r="DY13190" s="185" t="s">
        <v>215</v>
      </c>
    </row>
    <row r="13191" spans="129:129" x14ac:dyDescent="0.2">
      <c r="DY13191" s="185" t="s">
        <v>215</v>
      </c>
    </row>
    <row r="13192" spans="129:129" x14ac:dyDescent="0.2">
      <c r="DY13192" s="185" t="s">
        <v>215</v>
      </c>
    </row>
    <row r="13193" spans="129:129" x14ac:dyDescent="0.2">
      <c r="DY13193" s="185" t="s">
        <v>215</v>
      </c>
    </row>
    <row r="13194" spans="129:129" x14ac:dyDescent="0.2">
      <c r="DY13194" s="185" t="s">
        <v>215</v>
      </c>
    </row>
    <row r="13195" spans="129:129" x14ac:dyDescent="0.2">
      <c r="DY13195" s="185" t="s">
        <v>215</v>
      </c>
    </row>
    <row r="13196" spans="129:129" x14ac:dyDescent="0.2">
      <c r="DY13196" s="185" t="s">
        <v>215</v>
      </c>
    </row>
    <row r="13197" spans="129:129" x14ac:dyDescent="0.2">
      <c r="DY13197" s="185" t="s">
        <v>215</v>
      </c>
    </row>
    <row r="13198" spans="129:129" x14ac:dyDescent="0.2">
      <c r="DY13198" s="185" t="s">
        <v>215</v>
      </c>
    </row>
    <row r="13199" spans="129:129" x14ac:dyDescent="0.2">
      <c r="DY13199" s="185" t="s">
        <v>215</v>
      </c>
    </row>
    <row r="13200" spans="129:129" x14ac:dyDescent="0.2">
      <c r="DY13200" s="185" t="s">
        <v>215</v>
      </c>
    </row>
    <row r="13201" spans="129:129" x14ac:dyDescent="0.2">
      <c r="DY13201" s="185" t="s">
        <v>215</v>
      </c>
    </row>
    <row r="13202" spans="129:129" x14ac:dyDescent="0.2">
      <c r="DY13202" s="185" t="s">
        <v>215</v>
      </c>
    </row>
    <row r="13203" spans="129:129" x14ac:dyDescent="0.2">
      <c r="DY13203" s="185" t="s">
        <v>215</v>
      </c>
    </row>
    <row r="13204" spans="129:129" x14ac:dyDescent="0.2">
      <c r="DY13204" s="185" t="s">
        <v>215</v>
      </c>
    </row>
    <row r="13205" spans="129:129" x14ac:dyDescent="0.2">
      <c r="DY13205" s="185" t="s">
        <v>215</v>
      </c>
    </row>
    <row r="13206" spans="129:129" x14ac:dyDescent="0.2">
      <c r="DY13206" s="185" t="s">
        <v>215</v>
      </c>
    </row>
    <row r="13207" spans="129:129" x14ac:dyDescent="0.2">
      <c r="DY13207" s="185" t="s">
        <v>215</v>
      </c>
    </row>
    <row r="13208" spans="129:129" x14ac:dyDescent="0.2">
      <c r="DY13208" s="185" t="s">
        <v>215</v>
      </c>
    </row>
    <row r="13209" spans="129:129" x14ac:dyDescent="0.2">
      <c r="DY13209" s="185" t="s">
        <v>215</v>
      </c>
    </row>
    <row r="13210" spans="129:129" x14ac:dyDescent="0.2">
      <c r="DY13210" s="185" t="s">
        <v>215</v>
      </c>
    </row>
    <row r="13211" spans="129:129" x14ac:dyDescent="0.2">
      <c r="DY13211" s="185" t="s">
        <v>215</v>
      </c>
    </row>
    <row r="13212" spans="129:129" x14ac:dyDescent="0.2">
      <c r="DY13212" s="185" t="s">
        <v>215</v>
      </c>
    </row>
    <row r="13213" spans="129:129" x14ac:dyDescent="0.2">
      <c r="DY13213" s="185" t="s">
        <v>215</v>
      </c>
    </row>
    <row r="13214" spans="129:129" x14ac:dyDescent="0.2">
      <c r="DY13214" s="185" t="s">
        <v>215</v>
      </c>
    </row>
    <row r="13215" spans="129:129" x14ac:dyDescent="0.2">
      <c r="DY13215" s="185" t="s">
        <v>215</v>
      </c>
    </row>
    <row r="13216" spans="129:129" x14ac:dyDescent="0.2">
      <c r="DY13216" s="185" t="s">
        <v>215</v>
      </c>
    </row>
    <row r="13217" spans="129:129" x14ac:dyDescent="0.2">
      <c r="DY13217" s="185" t="s">
        <v>215</v>
      </c>
    </row>
    <row r="13218" spans="129:129" x14ac:dyDescent="0.2">
      <c r="DY13218" s="185" t="s">
        <v>215</v>
      </c>
    </row>
    <row r="13219" spans="129:129" x14ac:dyDescent="0.2">
      <c r="DY13219" s="185" t="s">
        <v>215</v>
      </c>
    </row>
    <row r="13220" spans="129:129" x14ac:dyDescent="0.2">
      <c r="DY13220" s="185" t="s">
        <v>215</v>
      </c>
    </row>
    <row r="13221" spans="129:129" x14ac:dyDescent="0.2">
      <c r="DY13221" s="185" t="s">
        <v>215</v>
      </c>
    </row>
    <row r="13222" spans="129:129" x14ac:dyDescent="0.2">
      <c r="DY13222" s="185" t="s">
        <v>215</v>
      </c>
    </row>
    <row r="13223" spans="129:129" x14ac:dyDescent="0.2">
      <c r="DY13223" s="185" t="s">
        <v>215</v>
      </c>
    </row>
    <row r="13224" spans="129:129" x14ac:dyDescent="0.2">
      <c r="DY13224" s="185" t="s">
        <v>215</v>
      </c>
    </row>
    <row r="13225" spans="129:129" x14ac:dyDescent="0.2">
      <c r="DY13225" s="185" t="s">
        <v>215</v>
      </c>
    </row>
    <row r="13226" spans="129:129" x14ac:dyDescent="0.2">
      <c r="DY13226" s="185" t="s">
        <v>215</v>
      </c>
    </row>
    <row r="13227" spans="129:129" x14ac:dyDescent="0.2">
      <c r="DY13227" s="185" t="s">
        <v>215</v>
      </c>
    </row>
    <row r="13228" spans="129:129" x14ac:dyDescent="0.2">
      <c r="DY13228" s="185" t="s">
        <v>215</v>
      </c>
    </row>
    <row r="13229" spans="129:129" x14ac:dyDescent="0.2">
      <c r="DY13229" s="185" t="s">
        <v>215</v>
      </c>
    </row>
    <row r="13230" spans="129:129" x14ac:dyDescent="0.2">
      <c r="DY13230" s="185" t="s">
        <v>215</v>
      </c>
    </row>
    <row r="13231" spans="129:129" x14ac:dyDescent="0.2">
      <c r="DY13231" s="185" t="s">
        <v>215</v>
      </c>
    </row>
    <row r="13232" spans="129:129" x14ac:dyDescent="0.2">
      <c r="DY13232" s="185" t="s">
        <v>215</v>
      </c>
    </row>
    <row r="13233" spans="129:129" x14ac:dyDescent="0.2">
      <c r="DY13233" s="185" t="s">
        <v>215</v>
      </c>
    </row>
    <row r="13234" spans="129:129" x14ac:dyDescent="0.2">
      <c r="DY13234" s="185" t="s">
        <v>215</v>
      </c>
    </row>
    <row r="13235" spans="129:129" x14ac:dyDescent="0.2">
      <c r="DY13235" s="185" t="s">
        <v>215</v>
      </c>
    </row>
    <row r="13236" spans="129:129" x14ac:dyDescent="0.2">
      <c r="DY13236" s="185" t="s">
        <v>215</v>
      </c>
    </row>
    <row r="13237" spans="129:129" x14ac:dyDescent="0.2">
      <c r="DY13237" s="185" t="s">
        <v>215</v>
      </c>
    </row>
    <row r="13238" spans="129:129" x14ac:dyDescent="0.2">
      <c r="DY13238" s="185" t="s">
        <v>215</v>
      </c>
    </row>
    <row r="13239" spans="129:129" x14ac:dyDescent="0.2">
      <c r="DY13239" s="185" t="s">
        <v>215</v>
      </c>
    </row>
    <row r="13240" spans="129:129" x14ac:dyDescent="0.2">
      <c r="DY13240" s="185" t="s">
        <v>215</v>
      </c>
    </row>
    <row r="13241" spans="129:129" x14ac:dyDescent="0.2">
      <c r="DY13241" s="185" t="s">
        <v>215</v>
      </c>
    </row>
    <row r="13242" spans="129:129" x14ac:dyDescent="0.2">
      <c r="DY13242" s="185" t="s">
        <v>215</v>
      </c>
    </row>
    <row r="13243" spans="129:129" x14ac:dyDescent="0.2">
      <c r="DY13243" s="185" t="s">
        <v>215</v>
      </c>
    </row>
    <row r="13244" spans="129:129" x14ac:dyDescent="0.2">
      <c r="DY13244" s="185" t="s">
        <v>215</v>
      </c>
    </row>
    <row r="13245" spans="129:129" x14ac:dyDescent="0.2">
      <c r="DY13245" s="185" t="s">
        <v>215</v>
      </c>
    </row>
    <row r="13246" spans="129:129" x14ac:dyDescent="0.2">
      <c r="DY13246" s="185" t="s">
        <v>215</v>
      </c>
    </row>
    <row r="13247" spans="129:129" x14ac:dyDescent="0.2">
      <c r="DY13247" s="185" t="s">
        <v>215</v>
      </c>
    </row>
    <row r="13248" spans="129:129" x14ac:dyDescent="0.2">
      <c r="DY13248" s="185" t="s">
        <v>215</v>
      </c>
    </row>
    <row r="13249" spans="129:129" x14ac:dyDescent="0.2">
      <c r="DY13249" s="185" t="s">
        <v>215</v>
      </c>
    </row>
    <row r="13250" spans="129:129" x14ac:dyDescent="0.2">
      <c r="DY13250" s="185" t="s">
        <v>215</v>
      </c>
    </row>
    <row r="13251" spans="129:129" x14ac:dyDescent="0.2">
      <c r="DY13251" s="185" t="s">
        <v>215</v>
      </c>
    </row>
    <row r="13252" spans="129:129" x14ac:dyDescent="0.2">
      <c r="DY13252" s="185" t="s">
        <v>215</v>
      </c>
    </row>
    <row r="13253" spans="129:129" x14ac:dyDescent="0.2">
      <c r="DY13253" s="185" t="s">
        <v>215</v>
      </c>
    </row>
    <row r="13254" spans="129:129" x14ac:dyDescent="0.2">
      <c r="DY13254" s="185" t="s">
        <v>215</v>
      </c>
    </row>
    <row r="13255" spans="129:129" x14ac:dyDescent="0.2">
      <c r="DY13255" s="185" t="s">
        <v>215</v>
      </c>
    </row>
    <row r="13256" spans="129:129" x14ac:dyDescent="0.2">
      <c r="DY13256" s="185" t="s">
        <v>215</v>
      </c>
    </row>
    <row r="13257" spans="129:129" x14ac:dyDescent="0.2">
      <c r="DY13257" s="185" t="s">
        <v>215</v>
      </c>
    </row>
    <row r="13258" spans="129:129" x14ac:dyDescent="0.2">
      <c r="DY13258" s="185" t="s">
        <v>215</v>
      </c>
    </row>
    <row r="13259" spans="129:129" x14ac:dyDescent="0.2">
      <c r="DY13259" s="185" t="s">
        <v>215</v>
      </c>
    </row>
    <row r="13260" spans="129:129" x14ac:dyDescent="0.2">
      <c r="DY13260" s="185" t="s">
        <v>215</v>
      </c>
    </row>
    <row r="13261" spans="129:129" x14ac:dyDescent="0.2">
      <c r="DY13261" s="185" t="s">
        <v>215</v>
      </c>
    </row>
    <row r="13262" spans="129:129" x14ac:dyDescent="0.2">
      <c r="DY13262" s="185" t="s">
        <v>215</v>
      </c>
    </row>
    <row r="13263" spans="129:129" x14ac:dyDescent="0.2">
      <c r="DY13263" s="185" t="s">
        <v>215</v>
      </c>
    </row>
    <row r="13264" spans="129:129" x14ac:dyDescent="0.2">
      <c r="DY13264" s="185" t="s">
        <v>215</v>
      </c>
    </row>
    <row r="13265" spans="129:129" x14ac:dyDescent="0.2">
      <c r="DY13265" s="185" t="s">
        <v>215</v>
      </c>
    </row>
    <row r="13266" spans="129:129" x14ac:dyDescent="0.2">
      <c r="DY13266" s="185" t="s">
        <v>215</v>
      </c>
    </row>
    <row r="13267" spans="129:129" x14ac:dyDescent="0.2">
      <c r="DY13267" s="185" t="s">
        <v>215</v>
      </c>
    </row>
    <row r="13268" spans="129:129" x14ac:dyDescent="0.2">
      <c r="DY13268" s="185" t="s">
        <v>215</v>
      </c>
    </row>
    <row r="13269" spans="129:129" x14ac:dyDescent="0.2">
      <c r="DY13269" s="185" t="s">
        <v>215</v>
      </c>
    </row>
    <row r="13270" spans="129:129" x14ac:dyDescent="0.2">
      <c r="DY13270" s="185" t="s">
        <v>215</v>
      </c>
    </row>
    <row r="13271" spans="129:129" x14ac:dyDescent="0.2">
      <c r="DY13271" s="185" t="s">
        <v>215</v>
      </c>
    </row>
    <row r="13272" spans="129:129" x14ac:dyDescent="0.2">
      <c r="DY13272" s="185" t="s">
        <v>215</v>
      </c>
    </row>
    <row r="13273" spans="129:129" x14ac:dyDescent="0.2">
      <c r="DY13273" s="185" t="s">
        <v>215</v>
      </c>
    </row>
    <row r="13274" spans="129:129" x14ac:dyDescent="0.2">
      <c r="DY13274" s="185" t="s">
        <v>215</v>
      </c>
    </row>
    <row r="13275" spans="129:129" x14ac:dyDescent="0.2">
      <c r="DY13275" s="185" t="s">
        <v>215</v>
      </c>
    </row>
    <row r="13276" spans="129:129" x14ac:dyDescent="0.2">
      <c r="DY13276" s="185" t="s">
        <v>215</v>
      </c>
    </row>
    <row r="13277" spans="129:129" x14ac:dyDescent="0.2">
      <c r="DY13277" s="185" t="s">
        <v>215</v>
      </c>
    </row>
    <row r="13278" spans="129:129" x14ac:dyDescent="0.2">
      <c r="DY13278" s="185" t="s">
        <v>215</v>
      </c>
    </row>
    <row r="13279" spans="129:129" x14ac:dyDescent="0.2">
      <c r="DY13279" s="185" t="s">
        <v>215</v>
      </c>
    </row>
    <row r="13280" spans="129:129" x14ac:dyDescent="0.2">
      <c r="DY13280" s="185" t="s">
        <v>215</v>
      </c>
    </row>
    <row r="13281" spans="129:129" x14ac:dyDescent="0.2">
      <c r="DY13281" s="185" t="s">
        <v>215</v>
      </c>
    </row>
    <row r="13282" spans="129:129" x14ac:dyDescent="0.2">
      <c r="DY13282" s="185" t="s">
        <v>215</v>
      </c>
    </row>
    <row r="13283" spans="129:129" x14ac:dyDescent="0.2">
      <c r="DY13283" s="185" t="s">
        <v>215</v>
      </c>
    </row>
    <row r="13284" spans="129:129" x14ac:dyDescent="0.2">
      <c r="DY13284" s="185" t="s">
        <v>215</v>
      </c>
    </row>
    <row r="13285" spans="129:129" x14ac:dyDescent="0.2">
      <c r="DY13285" s="185" t="s">
        <v>215</v>
      </c>
    </row>
    <row r="13286" spans="129:129" x14ac:dyDescent="0.2">
      <c r="DY13286" s="185" t="s">
        <v>215</v>
      </c>
    </row>
    <row r="13287" spans="129:129" x14ac:dyDescent="0.2">
      <c r="DY13287" s="185" t="s">
        <v>215</v>
      </c>
    </row>
    <row r="13288" spans="129:129" x14ac:dyDescent="0.2">
      <c r="DY13288" s="185" t="s">
        <v>215</v>
      </c>
    </row>
    <row r="13289" spans="129:129" x14ac:dyDescent="0.2">
      <c r="DY13289" s="185" t="s">
        <v>215</v>
      </c>
    </row>
    <row r="13290" spans="129:129" x14ac:dyDescent="0.2">
      <c r="DY13290" s="185" t="s">
        <v>215</v>
      </c>
    </row>
    <row r="13291" spans="129:129" x14ac:dyDescent="0.2">
      <c r="DY13291" s="185" t="s">
        <v>215</v>
      </c>
    </row>
    <row r="13292" spans="129:129" x14ac:dyDescent="0.2">
      <c r="DY13292" s="185" t="s">
        <v>215</v>
      </c>
    </row>
    <row r="13293" spans="129:129" x14ac:dyDescent="0.2">
      <c r="DY13293" s="185" t="s">
        <v>215</v>
      </c>
    </row>
    <row r="13294" spans="129:129" x14ac:dyDescent="0.2">
      <c r="DY13294" s="185" t="s">
        <v>215</v>
      </c>
    </row>
    <row r="13295" spans="129:129" x14ac:dyDescent="0.2">
      <c r="DY13295" s="185" t="s">
        <v>215</v>
      </c>
    </row>
    <row r="13296" spans="129:129" x14ac:dyDescent="0.2">
      <c r="DY13296" s="185" t="s">
        <v>215</v>
      </c>
    </row>
    <row r="13297" spans="129:129" x14ac:dyDescent="0.2">
      <c r="DY13297" s="185" t="s">
        <v>215</v>
      </c>
    </row>
    <row r="13298" spans="129:129" x14ac:dyDescent="0.2">
      <c r="DY13298" s="185" t="s">
        <v>215</v>
      </c>
    </row>
    <row r="13299" spans="129:129" x14ac:dyDescent="0.2">
      <c r="DY13299" s="185" t="s">
        <v>215</v>
      </c>
    </row>
    <row r="13300" spans="129:129" x14ac:dyDescent="0.2">
      <c r="DY13300" s="185" t="s">
        <v>215</v>
      </c>
    </row>
    <row r="13301" spans="129:129" x14ac:dyDescent="0.2">
      <c r="DY13301" s="185" t="s">
        <v>215</v>
      </c>
    </row>
    <row r="13302" spans="129:129" x14ac:dyDescent="0.2">
      <c r="DY13302" s="185" t="s">
        <v>215</v>
      </c>
    </row>
    <row r="13303" spans="129:129" x14ac:dyDescent="0.2">
      <c r="DY13303" s="185" t="s">
        <v>215</v>
      </c>
    </row>
    <row r="13304" spans="129:129" x14ac:dyDescent="0.2">
      <c r="DY13304" s="185" t="s">
        <v>215</v>
      </c>
    </row>
    <row r="13305" spans="129:129" x14ac:dyDescent="0.2">
      <c r="DY13305" s="185" t="s">
        <v>215</v>
      </c>
    </row>
    <row r="13306" spans="129:129" x14ac:dyDescent="0.2">
      <c r="DY13306" s="185" t="s">
        <v>215</v>
      </c>
    </row>
    <row r="13307" spans="129:129" x14ac:dyDescent="0.2">
      <c r="DY13307" s="185" t="s">
        <v>215</v>
      </c>
    </row>
    <row r="13308" spans="129:129" x14ac:dyDescent="0.2">
      <c r="DY13308" s="185" t="s">
        <v>215</v>
      </c>
    </row>
    <row r="13309" spans="129:129" x14ac:dyDescent="0.2">
      <c r="DY13309" s="185" t="s">
        <v>215</v>
      </c>
    </row>
    <row r="13310" spans="129:129" x14ac:dyDescent="0.2">
      <c r="DY13310" s="185" t="s">
        <v>215</v>
      </c>
    </row>
    <row r="13311" spans="129:129" x14ac:dyDescent="0.2">
      <c r="DY13311" s="185" t="s">
        <v>215</v>
      </c>
    </row>
    <row r="13312" spans="129:129" x14ac:dyDescent="0.2">
      <c r="DY13312" s="185" t="s">
        <v>215</v>
      </c>
    </row>
    <row r="13313" spans="129:129" x14ac:dyDescent="0.2">
      <c r="DY13313" s="185" t="s">
        <v>215</v>
      </c>
    </row>
    <row r="13314" spans="129:129" x14ac:dyDescent="0.2">
      <c r="DY13314" s="185" t="s">
        <v>215</v>
      </c>
    </row>
    <row r="13315" spans="129:129" x14ac:dyDescent="0.2">
      <c r="DY13315" s="185" t="s">
        <v>215</v>
      </c>
    </row>
    <row r="13316" spans="129:129" x14ac:dyDescent="0.2">
      <c r="DY13316" s="185" t="s">
        <v>215</v>
      </c>
    </row>
    <row r="13317" spans="129:129" x14ac:dyDescent="0.2">
      <c r="DY13317" s="185" t="s">
        <v>215</v>
      </c>
    </row>
    <row r="13318" spans="129:129" x14ac:dyDescent="0.2">
      <c r="DY13318" s="185" t="s">
        <v>215</v>
      </c>
    </row>
    <row r="13319" spans="129:129" x14ac:dyDescent="0.2">
      <c r="DY13319" s="185" t="s">
        <v>215</v>
      </c>
    </row>
    <row r="13320" spans="129:129" x14ac:dyDescent="0.2">
      <c r="DY13320" s="185" t="s">
        <v>215</v>
      </c>
    </row>
    <row r="13321" spans="129:129" x14ac:dyDescent="0.2">
      <c r="DY13321" s="185" t="s">
        <v>215</v>
      </c>
    </row>
    <row r="13322" spans="129:129" x14ac:dyDescent="0.2">
      <c r="DY13322" s="185" t="s">
        <v>215</v>
      </c>
    </row>
    <row r="13323" spans="129:129" x14ac:dyDescent="0.2">
      <c r="DY13323" s="185" t="s">
        <v>215</v>
      </c>
    </row>
    <row r="13324" spans="129:129" x14ac:dyDescent="0.2">
      <c r="DY13324" s="185" t="s">
        <v>215</v>
      </c>
    </row>
    <row r="13325" spans="129:129" x14ac:dyDescent="0.2">
      <c r="DY13325" s="185" t="s">
        <v>215</v>
      </c>
    </row>
    <row r="13326" spans="129:129" x14ac:dyDescent="0.2">
      <c r="DY13326" s="185" t="s">
        <v>215</v>
      </c>
    </row>
    <row r="13327" spans="129:129" x14ac:dyDescent="0.2">
      <c r="DY13327" s="185" t="s">
        <v>215</v>
      </c>
    </row>
    <row r="13328" spans="129:129" x14ac:dyDescent="0.2">
      <c r="DY13328" s="185" t="s">
        <v>215</v>
      </c>
    </row>
    <row r="13329" spans="129:129" x14ac:dyDescent="0.2">
      <c r="DY13329" s="185" t="s">
        <v>215</v>
      </c>
    </row>
    <row r="13330" spans="129:129" x14ac:dyDescent="0.2">
      <c r="DY13330" s="185" t="s">
        <v>215</v>
      </c>
    </row>
    <row r="13331" spans="129:129" x14ac:dyDescent="0.2">
      <c r="DY13331" s="185" t="s">
        <v>215</v>
      </c>
    </row>
    <row r="13332" spans="129:129" x14ac:dyDescent="0.2">
      <c r="DY13332" s="185" t="s">
        <v>215</v>
      </c>
    </row>
    <row r="13333" spans="129:129" x14ac:dyDescent="0.2">
      <c r="DY13333" s="185" t="s">
        <v>215</v>
      </c>
    </row>
    <row r="13334" spans="129:129" x14ac:dyDescent="0.2">
      <c r="DY13334" s="185" t="s">
        <v>215</v>
      </c>
    </row>
    <row r="13335" spans="129:129" x14ac:dyDescent="0.2">
      <c r="DY13335" s="185" t="s">
        <v>215</v>
      </c>
    </row>
    <row r="13336" spans="129:129" x14ac:dyDescent="0.2">
      <c r="DY13336" s="185" t="s">
        <v>215</v>
      </c>
    </row>
    <row r="13337" spans="129:129" x14ac:dyDescent="0.2">
      <c r="DY13337" s="185" t="s">
        <v>215</v>
      </c>
    </row>
    <row r="13338" spans="129:129" x14ac:dyDescent="0.2">
      <c r="DY13338" s="185" t="s">
        <v>215</v>
      </c>
    </row>
    <row r="13339" spans="129:129" x14ac:dyDescent="0.2">
      <c r="DY13339" s="185" t="s">
        <v>215</v>
      </c>
    </row>
    <row r="13340" spans="129:129" x14ac:dyDescent="0.2">
      <c r="DY13340" s="185" t="s">
        <v>215</v>
      </c>
    </row>
    <row r="13341" spans="129:129" x14ac:dyDescent="0.2">
      <c r="DY13341" s="185" t="s">
        <v>215</v>
      </c>
    </row>
    <row r="13342" spans="129:129" x14ac:dyDescent="0.2">
      <c r="DY13342" s="185" t="s">
        <v>215</v>
      </c>
    </row>
    <row r="13343" spans="129:129" x14ac:dyDescent="0.2">
      <c r="DY13343" s="185" t="s">
        <v>215</v>
      </c>
    </row>
    <row r="13344" spans="129:129" x14ac:dyDescent="0.2">
      <c r="DY13344" s="185" t="s">
        <v>215</v>
      </c>
    </row>
    <row r="13345" spans="129:129" x14ac:dyDescent="0.2">
      <c r="DY13345" s="185" t="s">
        <v>215</v>
      </c>
    </row>
    <row r="13346" spans="129:129" x14ac:dyDescent="0.2">
      <c r="DY13346" s="185" t="s">
        <v>215</v>
      </c>
    </row>
    <row r="13347" spans="129:129" x14ac:dyDescent="0.2">
      <c r="DY13347" s="185" t="s">
        <v>215</v>
      </c>
    </row>
    <row r="13348" spans="129:129" x14ac:dyDescent="0.2">
      <c r="DY13348" s="185" t="s">
        <v>215</v>
      </c>
    </row>
    <row r="13349" spans="129:129" x14ac:dyDescent="0.2">
      <c r="DY13349" s="185" t="s">
        <v>215</v>
      </c>
    </row>
    <row r="13350" spans="129:129" x14ac:dyDescent="0.2">
      <c r="DY13350" s="185" t="s">
        <v>215</v>
      </c>
    </row>
    <row r="13351" spans="129:129" x14ac:dyDescent="0.2">
      <c r="DY13351" s="185" t="s">
        <v>215</v>
      </c>
    </row>
    <row r="13352" spans="129:129" x14ac:dyDescent="0.2">
      <c r="DY13352" s="185" t="s">
        <v>215</v>
      </c>
    </row>
    <row r="13353" spans="129:129" x14ac:dyDescent="0.2">
      <c r="DY13353" s="185" t="s">
        <v>215</v>
      </c>
    </row>
    <row r="13354" spans="129:129" x14ac:dyDescent="0.2">
      <c r="DY13354" s="185" t="s">
        <v>215</v>
      </c>
    </row>
    <row r="13355" spans="129:129" x14ac:dyDescent="0.2">
      <c r="DY13355" s="185" t="s">
        <v>215</v>
      </c>
    </row>
    <row r="13356" spans="129:129" x14ac:dyDescent="0.2">
      <c r="DY13356" s="185" t="s">
        <v>215</v>
      </c>
    </row>
    <row r="13357" spans="129:129" x14ac:dyDescent="0.2">
      <c r="DY13357" s="185" t="s">
        <v>215</v>
      </c>
    </row>
    <row r="13358" spans="129:129" x14ac:dyDescent="0.2">
      <c r="DY13358" s="185" t="s">
        <v>215</v>
      </c>
    </row>
    <row r="13359" spans="129:129" x14ac:dyDescent="0.2">
      <c r="DY13359" s="185" t="s">
        <v>215</v>
      </c>
    </row>
    <row r="13360" spans="129:129" x14ac:dyDescent="0.2">
      <c r="DY13360" s="185" t="s">
        <v>215</v>
      </c>
    </row>
    <row r="13361" spans="129:129" x14ac:dyDescent="0.2">
      <c r="DY13361" s="185" t="s">
        <v>215</v>
      </c>
    </row>
    <row r="13362" spans="129:129" x14ac:dyDescent="0.2">
      <c r="DY13362" s="185" t="s">
        <v>215</v>
      </c>
    </row>
    <row r="13363" spans="129:129" x14ac:dyDescent="0.2">
      <c r="DY13363" s="185" t="s">
        <v>215</v>
      </c>
    </row>
    <row r="13364" spans="129:129" x14ac:dyDescent="0.2">
      <c r="DY13364" s="185" t="s">
        <v>215</v>
      </c>
    </row>
    <row r="13365" spans="129:129" x14ac:dyDescent="0.2">
      <c r="DY13365" s="185" t="s">
        <v>215</v>
      </c>
    </row>
    <row r="13366" spans="129:129" x14ac:dyDescent="0.2">
      <c r="DY13366" s="185" t="s">
        <v>215</v>
      </c>
    </row>
    <row r="13367" spans="129:129" x14ac:dyDescent="0.2">
      <c r="DY13367" s="185" t="s">
        <v>215</v>
      </c>
    </row>
    <row r="13368" spans="129:129" x14ac:dyDescent="0.2">
      <c r="DY13368" s="185" t="s">
        <v>215</v>
      </c>
    </row>
    <row r="13369" spans="129:129" x14ac:dyDescent="0.2">
      <c r="DY13369" s="185" t="s">
        <v>215</v>
      </c>
    </row>
    <row r="13370" spans="129:129" x14ac:dyDescent="0.2">
      <c r="DY13370" s="185" t="s">
        <v>215</v>
      </c>
    </row>
    <row r="13371" spans="129:129" x14ac:dyDescent="0.2">
      <c r="DY13371" s="185" t="s">
        <v>215</v>
      </c>
    </row>
    <row r="13372" spans="129:129" x14ac:dyDescent="0.2">
      <c r="DY13372" s="185" t="s">
        <v>215</v>
      </c>
    </row>
    <row r="13373" spans="129:129" x14ac:dyDescent="0.2">
      <c r="DY13373" s="185" t="s">
        <v>215</v>
      </c>
    </row>
    <row r="13374" spans="129:129" x14ac:dyDescent="0.2">
      <c r="DY13374" s="185" t="s">
        <v>215</v>
      </c>
    </row>
    <row r="13375" spans="129:129" x14ac:dyDescent="0.2">
      <c r="DY13375" s="185" t="s">
        <v>215</v>
      </c>
    </row>
    <row r="13376" spans="129:129" x14ac:dyDescent="0.2">
      <c r="DY13376" s="185" t="s">
        <v>215</v>
      </c>
    </row>
    <row r="13377" spans="129:129" x14ac:dyDescent="0.2">
      <c r="DY13377" s="185" t="s">
        <v>215</v>
      </c>
    </row>
    <row r="13378" spans="129:129" x14ac:dyDescent="0.2">
      <c r="DY13378" s="185" t="s">
        <v>215</v>
      </c>
    </row>
    <row r="13379" spans="129:129" x14ac:dyDescent="0.2">
      <c r="DY13379" s="185" t="s">
        <v>215</v>
      </c>
    </row>
    <row r="13380" spans="129:129" x14ac:dyDescent="0.2">
      <c r="DY13380" s="185" t="s">
        <v>215</v>
      </c>
    </row>
    <row r="13381" spans="129:129" x14ac:dyDescent="0.2">
      <c r="DY13381" s="185" t="s">
        <v>215</v>
      </c>
    </row>
    <row r="13382" spans="129:129" x14ac:dyDescent="0.2">
      <c r="DY13382" s="185" t="s">
        <v>215</v>
      </c>
    </row>
    <row r="13383" spans="129:129" x14ac:dyDescent="0.2">
      <c r="DY13383" s="185" t="s">
        <v>215</v>
      </c>
    </row>
    <row r="13384" spans="129:129" x14ac:dyDescent="0.2">
      <c r="DY13384" s="185" t="s">
        <v>215</v>
      </c>
    </row>
    <row r="13385" spans="129:129" x14ac:dyDescent="0.2">
      <c r="DY13385" s="185" t="s">
        <v>215</v>
      </c>
    </row>
    <row r="13386" spans="129:129" x14ac:dyDescent="0.2">
      <c r="DY13386" s="185" t="s">
        <v>215</v>
      </c>
    </row>
    <row r="13387" spans="129:129" x14ac:dyDescent="0.2">
      <c r="DY13387" s="185" t="s">
        <v>215</v>
      </c>
    </row>
    <row r="13388" spans="129:129" x14ac:dyDescent="0.2">
      <c r="DY13388" s="185" t="s">
        <v>215</v>
      </c>
    </row>
    <row r="13389" spans="129:129" x14ac:dyDescent="0.2">
      <c r="DY13389" s="185" t="s">
        <v>215</v>
      </c>
    </row>
    <row r="13390" spans="129:129" x14ac:dyDescent="0.2">
      <c r="DY13390" s="185" t="s">
        <v>215</v>
      </c>
    </row>
    <row r="13391" spans="129:129" x14ac:dyDescent="0.2">
      <c r="DY13391" s="185" t="s">
        <v>215</v>
      </c>
    </row>
    <row r="13392" spans="129:129" x14ac:dyDescent="0.2">
      <c r="DY13392" s="185" t="s">
        <v>215</v>
      </c>
    </row>
    <row r="13393" spans="129:129" x14ac:dyDescent="0.2">
      <c r="DY13393" s="185" t="s">
        <v>215</v>
      </c>
    </row>
    <row r="13394" spans="129:129" x14ac:dyDescent="0.2">
      <c r="DY13394" s="185" t="s">
        <v>215</v>
      </c>
    </row>
    <row r="13395" spans="129:129" x14ac:dyDescent="0.2">
      <c r="DY13395" s="185" t="s">
        <v>215</v>
      </c>
    </row>
    <row r="13396" spans="129:129" x14ac:dyDescent="0.2">
      <c r="DY13396" s="185" t="s">
        <v>215</v>
      </c>
    </row>
    <row r="13397" spans="129:129" x14ac:dyDescent="0.2">
      <c r="DY13397" s="185" t="s">
        <v>215</v>
      </c>
    </row>
    <row r="13398" spans="129:129" x14ac:dyDescent="0.2">
      <c r="DY13398" s="185" t="s">
        <v>215</v>
      </c>
    </row>
    <row r="13399" spans="129:129" x14ac:dyDescent="0.2">
      <c r="DY13399" s="185" t="s">
        <v>215</v>
      </c>
    </row>
    <row r="13400" spans="129:129" x14ac:dyDescent="0.2">
      <c r="DY13400" s="185" t="s">
        <v>215</v>
      </c>
    </row>
    <row r="13401" spans="129:129" x14ac:dyDescent="0.2">
      <c r="DY13401" s="185" t="s">
        <v>215</v>
      </c>
    </row>
    <row r="13402" spans="129:129" x14ac:dyDescent="0.2">
      <c r="DY13402" s="185" t="s">
        <v>215</v>
      </c>
    </row>
    <row r="13403" spans="129:129" x14ac:dyDescent="0.2">
      <c r="DY13403" s="185" t="s">
        <v>215</v>
      </c>
    </row>
    <row r="13404" spans="129:129" x14ac:dyDescent="0.2">
      <c r="DY13404" s="185" t="s">
        <v>215</v>
      </c>
    </row>
    <row r="13405" spans="129:129" x14ac:dyDescent="0.2">
      <c r="DY13405" s="185" t="s">
        <v>215</v>
      </c>
    </row>
    <row r="13406" spans="129:129" x14ac:dyDescent="0.2">
      <c r="DY13406" s="185" t="s">
        <v>215</v>
      </c>
    </row>
    <row r="13407" spans="129:129" x14ac:dyDescent="0.2">
      <c r="DY13407" s="185" t="s">
        <v>215</v>
      </c>
    </row>
    <row r="13408" spans="129:129" x14ac:dyDescent="0.2">
      <c r="DY13408" s="185" t="s">
        <v>215</v>
      </c>
    </row>
    <row r="13409" spans="129:129" x14ac:dyDescent="0.2">
      <c r="DY13409" s="185" t="s">
        <v>215</v>
      </c>
    </row>
    <row r="13410" spans="129:129" x14ac:dyDescent="0.2">
      <c r="DY13410" s="185" t="s">
        <v>215</v>
      </c>
    </row>
    <row r="13411" spans="129:129" x14ac:dyDescent="0.2">
      <c r="DY13411" s="185" t="s">
        <v>215</v>
      </c>
    </row>
    <row r="13412" spans="129:129" x14ac:dyDescent="0.2">
      <c r="DY13412" s="185" t="s">
        <v>215</v>
      </c>
    </row>
    <row r="13413" spans="129:129" x14ac:dyDescent="0.2">
      <c r="DY13413" s="185" t="s">
        <v>215</v>
      </c>
    </row>
    <row r="13414" spans="129:129" x14ac:dyDescent="0.2">
      <c r="DY13414" s="185" t="s">
        <v>215</v>
      </c>
    </row>
    <row r="13415" spans="129:129" x14ac:dyDescent="0.2">
      <c r="DY13415" s="185" t="s">
        <v>215</v>
      </c>
    </row>
    <row r="13416" spans="129:129" x14ac:dyDescent="0.2">
      <c r="DY13416" s="185" t="s">
        <v>215</v>
      </c>
    </row>
    <row r="13417" spans="129:129" x14ac:dyDescent="0.2">
      <c r="DY13417" s="185" t="s">
        <v>215</v>
      </c>
    </row>
    <row r="13418" spans="129:129" x14ac:dyDescent="0.2">
      <c r="DY13418" s="185" t="s">
        <v>215</v>
      </c>
    </row>
    <row r="13419" spans="129:129" x14ac:dyDescent="0.2">
      <c r="DY13419" s="185" t="s">
        <v>215</v>
      </c>
    </row>
    <row r="13420" spans="129:129" x14ac:dyDescent="0.2">
      <c r="DY13420" s="185" t="s">
        <v>215</v>
      </c>
    </row>
    <row r="13421" spans="129:129" x14ac:dyDescent="0.2">
      <c r="DY13421" s="185" t="s">
        <v>215</v>
      </c>
    </row>
    <row r="13422" spans="129:129" x14ac:dyDescent="0.2">
      <c r="DY13422" s="185" t="s">
        <v>215</v>
      </c>
    </row>
    <row r="13423" spans="129:129" x14ac:dyDescent="0.2">
      <c r="DY13423" s="185" t="s">
        <v>215</v>
      </c>
    </row>
    <row r="13424" spans="129:129" x14ac:dyDescent="0.2">
      <c r="DY13424" s="185" t="s">
        <v>215</v>
      </c>
    </row>
    <row r="13425" spans="129:129" x14ac:dyDescent="0.2">
      <c r="DY13425" s="185" t="s">
        <v>215</v>
      </c>
    </row>
    <row r="13426" spans="129:129" x14ac:dyDescent="0.2">
      <c r="DY13426" s="185" t="s">
        <v>215</v>
      </c>
    </row>
    <row r="13427" spans="129:129" x14ac:dyDescent="0.2">
      <c r="DY13427" s="185" t="s">
        <v>215</v>
      </c>
    </row>
    <row r="13428" spans="129:129" x14ac:dyDescent="0.2">
      <c r="DY13428" s="185" t="s">
        <v>215</v>
      </c>
    </row>
    <row r="13429" spans="129:129" x14ac:dyDescent="0.2">
      <c r="DY13429" s="185" t="s">
        <v>215</v>
      </c>
    </row>
    <row r="13430" spans="129:129" x14ac:dyDescent="0.2">
      <c r="DY13430" s="185" t="s">
        <v>215</v>
      </c>
    </row>
    <row r="13431" spans="129:129" x14ac:dyDescent="0.2">
      <c r="DY13431" s="185" t="s">
        <v>215</v>
      </c>
    </row>
    <row r="13432" spans="129:129" x14ac:dyDescent="0.2">
      <c r="DY13432" s="185" t="s">
        <v>215</v>
      </c>
    </row>
    <row r="13433" spans="129:129" x14ac:dyDescent="0.2">
      <c r="DY13433" s="185" t="s">
        <v>215</v>
      </c>
    </row>
    <row r="13434" spans="129:129" x14ac:dyDescent="0.2">
      <c r="DY13434" s="185" t="s">
        <v>215</v>
      </c>
    </row>
    <row r="13435" spans="129:129" x14ac:dyDescent="0.2">
      <c r="DY13435" s="185" t="s">
        <v>215</v>
      </c>
    </row>
    <row r="13436" spans="129:129" x14ac:dyDescent="0.2">
      <c r="DY13436" s="185" t="s">
        <v>215</v>
      </c>
    </row>
    <row r="13437" spans="129:129" x14ac:dyDescent="0.2">
      <c r="DY13437" s="185" t="s">
        <v>215</v>
      </c>
    </row>
    <row r="13438" spans="129:129" x14ac:dyDescent="0.2">
      <c r="DY13438" s="185" t="s">
        <v>215</v>
      </c>
    </row>
    <row r="13439" spans="129:129" x14ac:dyDescent="0.2">
      <c r="DY13439" s="185" t="s">
        <v>215</v>
      </c>
    </row>
    <row r="13440" spans="129:129" x14ac:dyDescent="0.2">
      <c r="DY13440" s="185" t="s">
        <v>215</v>
      </c>
    </row>
    <row r="13441" spans="129:129" x14ac:dyDescent="0.2">
      <c r="DY13441" s="185" t="s">
        <v>215</v>
      </c>
    </row>
    <row r="13442" spans="129:129" x14ac:dyDescent="0.2">
      <c r="DY13442" s="185" t="s">
        <v>215</v>
      </c>
    </row>
    <row r="13443" spans="129:129" x14ac:dyDescent="0.2">
      <c r="DY13443" s="185" t="s">
        <v>215</v>
      </c>
    </row>
    <row r="13444" spans="129:129" x14ac:dyDescent="0.2">
      <c r="DY13444" s="185" t="s">
        <v>215</v>
      </c>
    </row>
    <row r="13445" spans="129:129" x14ac:dyDescent="0.2">
      <c r="DY13445" s="185" t="s">
        <v>215</v>
      </c>
    </row>
    <row r="13446" spans="129:129" x14ac:dyDescent="0.2">
      <c r="DY13446" s="185" t="s">
        <v>215</v>
      </c>
    </row>
    <row r="13447" spans="129:129" x14ac:dyDescent="0.2">
      <c r="DY13447" s="185" t="s">
        <v>215</v>
      </c>
    </row>
    <row r="13448" spans="129:129" x14ac:dyDescent="0.2">
      <c r="DY13448" s="185" t="s">
        <v>215</v>
      </c>
    </row>
    <row r="13449" spans="129:129" x14ac:dyDescent="0.2">
      <c r="DY13449" s="185" t="s">
        <v>215</v>
      </c>
    </row>
    <row r="13450" spans="129:129" x14ac:dyDescent="0.2">
      <c r="DY13450" s="185" t="s">
        <v>215</v>
      </c>
    </row>
    <row r="13451" spans="129:129" x14ac:dyDescent="0.2">
      <c r="DY13451" s="185" t="s">
        <v>215</v>
      </c>
    </row>
    <row r="13452" spans="129:129" x14ac:dyDescent="0.2">
      <c r="DY13452" s="185" t="s">
        <v>215</v>
      </c>
    </row>
    <row r="13453" spans="129:129" x14ac:dyDescent="0.2">
      <c r="DY13453" s="185" t="s">
        <v>215</v>
      </c>
    </row>
    <row r="13454" spans="129:129" x14ac:dyDescent="0.2">
      <c r="DY13454" s="185" t="s">
        <v>215</v>
      </c>
    </row>
    <row r="13455" spans="129:129" x14ac:dyDescent="0.2">
      <c r="DY13455" s="185" t="s">
        <v>215</v>
      </c>
    </row>
    <row r="13456" spans="129:129" x14ac:dyDescent="0.2">
      <c r="DY13456" s="185" t="s">
        <v>215</v>
      </c>
    </row>
    <row r="13457" spans="129:129" x14ac:dyDescent="0.2">
      <c r="DY13457" s="185" t="s">
        <v>215</v>
      </c>
    </row>
    <row r="13458" spans="129:129" x14ac:dyDescent="0.2">
      <c r="DY13458" s="185" t="s">
        <v>215</v>
      </c>
    </row>
    <row r="13459" spans="129:129" x14ac:dyDescent="0.2">
      <c r="DY13459" s="185" t="s">
        <v>215</v>
      </c>
    </row>
    <row r="13460" spans="129:129" x14ac:dyDescent="0.2">
      <c r="DY13460" s="185" t="s">
        <v>215</v>
      </c>
    </row>
    <row r="13461" spans="129:129" x14ac:dyDescent="0.2">
      <c r="DY13461" s="185" t="s">
        <v>215</v>
      </c>
    </row>
    <row r="13462" spans="129:129" x14ac:dyDescent="0.2">
      <c r="DY13462" s="185" t="s">
        <v>215</v>
      </c>
    </row>
    <row r="13463" spans="129:129" x14ac:dyDescent="0.2">
      <c r="DY13463" s="185" t="s">
        <v>215</v>
      </c>
    </row>
    <row r="13464" spans="129:129" x14ac:dyDescent="0.2">
      <c r="DY13464" s="185" t="s">
        <v>215</v>
      </c>
    </row>
    <row r="13465" spans="129:129" x14ac:dyDescent="0.2">
      <c r="DY13465" s="185" t="s">
        <v>215</v>
      </c>
    </row>
    <row r="13466" spans="129:129" x14ac:dyDescent="0.2">
      <c r="DY13466" s="185" t="s">
        <v>215</v>
      </c>
    </row>
    <row r="13467" spans="129:129" x14ac:dyDescent="0.2">
      <c r="DY13467" s="185" t="s">
        <v>215</v>
      </c>
    </row>
    <row r="13468" spans="129:129" x14ac:dyDescent="0.2">
      <c r="DY13468" s="185" t="s">
        <v>215</v>
      </c>
    </row>
    <row r="13469" spans="129:129" x14ac:dyDescent="0.2">
      <c r="DY13469" s="185" t="s">
        <v>215</v>
      </c>
    </row>
    <row r="13470" spans="129:129" x14ac:dyDescent="0.2">
      <c r="DY13470" s="185" t="s">
        <v>215</v>
      </c>
    </row>
    <row r="13471" spans="129:129" x14ac:dyDescent="0.2">
      <c r="DY13471" s="185" t="s">
        <v>215</v>
      </c>
    </row>
    <row r="13472" spans="129:129" x14ac:dyDescent="0.2">
      <c r="DY13472" s="185" t="s">
        <v>215</v>
      </c>
    </row>
    <row r="13473" spans="129:129" x14ac:dyDescent="0.2">
      <c r="DY13473" s="185" t="s">
        <v>215</v>
      </c>
    </row>
    <row r="13474" spans="129:129" x14ac:dyDescent="0.2">
      <c r="DY13474" s="185" t="s">
        <v>215</v>
      </c>
    </row>
    <row r="13475" spans="129:129" x14ac:dyDescent="0.2">
      <c r="DY13475" s="185" t="s">
        <v>215</v>
      </c>
    </row>
    <row r="13476" spans="129:129" x14ac:dyDescent="0.2">
      <c r="DY13476" s="185" t="s">
        <v>215</v>
      </c>
    </row>
    <row r="13477" spans="129:129" x14ac:dyDescent="0.2">
      <c r="DY13477" s="185" t="s">
        <v>215</v>
      </c>
    </row>
    <row r="13478" spans="129:129" x14ac:dyDescent="0.2">
      <c r="DY13478" s="185" t="s">
        <v>215</v>
      </c>
    </row>
    <row r="13479" spans="129:129" x14ac:dyDescent="0.2">
      <c r="DY13479" s="185" t="s">
        <v>215</v>
      </c>
    </row>
    <row r="13480" spans="129:129" x14ac:dyDescent="0.2">
      <c r="DY13480" s="185" t="s">
        <v>215</v>
      </c>
    </row>
    <row r="13481" spans="129:129" x14ac:dyDescent="0.2">
      <c r="DY13481" s="185" t="s">
        <v>215</v>
      </c>
    </row>
    <row r="13482" spans="129:129" x14ac:dyDescent="0.2">
      <c r="DY13482" s="185" t="s">
        <v>215</v>
      </c>
    </row>
    <row r="13483" spans="129:129" x14ac:dyDescent="0.2">
      <c r="DY13483" s="185" t="s">
        <v>215</v>
      </c>
    </row>
    <row r="13484" spans="129:129" x14ac:dyDescent="0.2">
      <c r="DY13484" s="185" t="s">
        <v>215</v>
      </c>
    </row>
    <row r="13485" spans="129:129" x14ac:dyDescent="0.2">
      <c r="DY13485" s="185" t="s">
        <v>215</v>
      </c>
    </row>
    <row r="13486" spans="129:129" x14ac:dyDescent="0.2">
      <c r="DY13486" s="185" t="s">
        <v>215</v>
      </c>
    </row>
    <row r="13487" spans="129:129" x14ac:dyDescent="0.2">
      <c r="DY13487" s="185" t="s">
        <v>215</v>
      </c>
    </row>
    <row r="13488" spans="129:129" x14ac:dyDescent="0.2">
      <c r="DY13488" s="185" t="s">
        <v>215</v>
      </c>
    </row>
    <row r="13489" spans="129:129" x14ac:dyDescent="0.2">
      <c r="DY13489" s="185" t="s">
        <v>215</v>
      </c>
    </row>
    <row r="13490" spans="129:129" x14ac:dyDescent="0.2">
      <c r="DY13490" s="185" t="s">
        <v>215</v>
      </c>
    </row>
    <row r="13491" spans="129:129" x14ac:dyDescent="0.2">
      <c r="DY13491" s="185" t="s">
        <v>215</v>
      </c>
    </row>
    <row r="13492" spans="129:129" x14ac:dyDescent="0.2">
      <c r="DY13492" s="185" t="s">
        <v>215</v>
      </c>
    </row>
    <row r="13493" spans="129:129" x14ac:dyDescent="0.2">
      <c r="DY13493" s="185" t="s">
        <v>215</v>
      </c>
    </row>
    <row r="13494" spans="129:129" x14ac:dyDescent="0.2">
      <c r="DY13494" s="185" t="s">
        <v>215</v>
      </c>
    </row>
    <row r="13495" spans="129:129" x14ac:dyDescent="0.2">
      <c r="DY13495" s="185" t="s">
        <v>215</v>
      </c>
    </row>
    <row r="13496" spans="129:129" x14ac:dyDescent="0.2">
      <c r="DY13496" s="185" t="s">
        <v>215</v>
      </c>
    </row>
    <row r="13497" spans="129:129" x14ac:dyDescent="0.2">
      <c r="DY13497" s="185" t="s">
        <v>215</v>
      </c>
    </row>
    <row r="13498" spans="129:129" x14ac:dyDescent="0.2">
      <c r="DY13498" s="185" t="s">
        <v>215</v>
      </c>
    </row>
    <row r="13499" spans="129:129" x14ac:dyDescent="0.2">
      <c r="DY13499" s="185" t="s">
        <v>215</v>
      </c>
    </row>
    <row r="13500" spans="129:129" x14ac:dyDescent="0.2">
      <c r="DY13500" s="185" t="s">
        <v>215</v>
      </c>
    </row>
    <row r="13501" spans="129:129" x14ac:dyDescent="0.2">
      <c r="DY13501" s="185" t="s">
        <v>215</v>
      </c>
    </row>
    <row r="13502" spans="129:129" x14ac:dyDescent="0.2">
      <c r="DY13502" s="185" t="s">
        <v>215</v>
      </c>
    </row>
    <row r="13503" spans="129:129" x14ac:dyDescent="0.2">
      <c r="DY13503" s="185" t="s">
        <v>215</v>
      </c>
    </row>
    <row r="13504" spans="129:129" x14ac:dyDescent="0.2">
      <c r="DY13504" s="185" t="s">
        <v>215</v>
      </c>
    </row>
    <row r="13505" spans="129:129" x14ac:dyDescent="0.2">
      <c r="DY13505" s="185" t="s">
        <v>215</v>
      </c>
    </row>
    <row r="13506" spans="129:129" x14ac:dyDescent="0.2">
      <c r="DY13506" s="185" t="s">
        <v>215</v>
      </c>
    </row>
    <row r="13507" spans="129:129" x14ac:dyDescent="0.2">
      <c r="DY13507" s="185" t="s">
        <v>215</v>
      </c>
    </row>
    <row r="13508" spans="129:129" x14ac:dyDescent="0.2">
      <c r="DY13508" s="185" t="s">
        <v>215</v>
      </c>
    </row>
    <row r="13509" spans="129:129" x14ac:dyDescent="0.2">
      <c r="DY13509" s="185" t="s">
        <v>215</v>
      </c>
    </row>
    <row r="13510" spans="129:129" x14ac:dyDescent="0.2">
      <c r="DY13510" s="185" t="s">
        <v>215</v>
      </c>
    </row>
    <row r="13511" spans="129:129" x14ac:dyDescent="0.2">
      <c r="DY13511" s="185" t="s">
        <v>215</v>
      </c>
    </row>
    <row r="13512" spans="129:129" x14ac:dyDescent="0.2">
      <c r="DY13512" s="185" t="s">
        <v>215</v>
      </c>
    </row>
    <row r="13513" spans="129:129" x14ac:dyDescent="0.2">
      <c r="DY13513" s="185" t="s">
        <v>215</v>
      </c>
    </row>
    <row r="13514" spans="129:129" x14ac:dyDescent="0.2">
      <c r="DY13514" s="185" t="s">
        <v>215</v>
      </c>
    </row>
    <row r="13515" spans="129:129" x14ac:dyDescent="0.2">
      <c r="DY13515" s="185" t="s">
        <v>215</v>
      </c>
    </row>
    <row r="13516" spans="129:129" x14ac:dyDescent="0.2">
      <c r="DY13516" s="185" t="s">
        <v>215</v>
      </c>
    </row>
    <row r="13517" spans="129:129" x14ac:dyDescent="0.2">
      <c r="DY13517" s="185" t="s">
        <v>215</v>
      </c>
    </row>
    <row r="13518" spans="129:129" x14ac:dyDescent="0.2">
      <c r="DY13518" s="185" t="s">
        <v>215</v>
      </c>
    </row>
    <row r="13519" spans="129:129" x14ac:dyDescent="0.2">
      <c r="DY13519" s="185" t="s">
        <v>215</v>
      </c>
    </row>
    <row r="13520" spans="129:129" x14ac:dyDescent="0.2">
      <c r="DY13520" s="185" t="s">
        <v>215</v>
      </c>
    </row>
    <row r="13521" spans="129:129" x14ac:dyDescent="0.2">
      <c r="DY13521" s="185" t="s">
        <v>215</v>
      </c>
    </row>
    <row r="13522" spans="129:129" x14ac:dyDescent="0.2">
      <c r="DY13522" s="185" t="s">
        <v>215</v>
      </c>
    </row>
    <row r="13523" spans="129:129" x14ac:dyDescent="0.2">
      <c r="DY13523" s="185" t="s">
        <v>215</v>
      </c>
    </row>
    <row r="13524" spans="129:129" x14ac:dyDescent="0.2">
      <c r="DY13524" s="185" t="s">
        <v>215</v>
      </c>
    </row>
    <row r="13525" spans="129:129" x14ac:dyDescent="0.2">
      <c r="DY13525" s="185" t="s">
        <v>215</v>
      </c>
    </row>
    <row r="13526" spans="129:129" x14ac:dyDescent="0.2">
      <c r="DY13526" s="185" t="s">
        <v>215</v>
      </c>
    </row>
    <row r="13527" spans="129:129" x14ac:dyDescent="0.2">
      <c r="DY13527" s="185" t="s">
        <v>215</v>
      </c>
    </row>
    <row r="13528" spans="129:129" x14ac:dyDescent="0.2">
      <c r="DY13528" s="185" t="s">
        <v>215</v>
      </c>
    </row>
    <row r="13529" spans="129:129" x14ac:dyDescent="0.2">
      <c r="DY13529" s="185" t="s">
        <v>215</v>
      </c>
    </row>
    <row r="13530" spans="129:129" x14ac:dyDescent="0.2">
      <c r="DY13530" s="185" t="s">
        <v>215</v>
      </c>
    </row>
    <row r="13531" spans="129:129" x14ac:dyDescent="0.2">
      <c r="DY13531" s="185" t="s">
        <v>215</v>
      </c>
    </row>
    <row r="13532" spans="129:129" x14ac:dyDescent="0.2">
      <c r="DY13532" s="185" t="s">
        <v>215</v>
      </c>
    </row>
    <row r="13533" spans="129:129" x14ac:dyDescent="0.2">
      <c r="DY13533" s="185" t="s">
        <v>215</v>
      </c>
    </row>
    <row r="13534" spans="129:129" x14ac:dyDescent="0.2">
      <c r="DY13534" s="185" t="s">
        <v>215</v>
      </c>
    </row>
    <row r="13535" spans="129:129" x14ac:dyDescent="0.2">
      <c r="DY13535" s="185" t="s">
        <v>215</v>
      </c>
    </row>
    <row r="13536" spans="129:129" x14ac:dyDescent="0.2">
      <c r="DY13536" s="185" t="s">
        <v>215</v>
      </c>
    </row>
    <row r="13537" spans="129:129" x14ac:dyDescent="0.2">
      <c r="DY13537" s="185" t="s">
        <v>215</v>
      </c>
    </row>
    <row r="13538" spans="129:129" x14ac:dyDescent="0.2">
      <c r="DY13538" s="185" t="s">
        <v>215</v>
      </c>
    </row>
    <row r="13539" spans="129:129" x14ac:dyDescent="0.2">
      <c r="DY13539" s="185" t="s">
        <v>215</v>
      </c>
    </row>
    <row r="13540" spans="129:129" x14ac:dyDescent="0.2">
      <c r="DY13540" s="185" t="s">
        <v>215</v>
      </c>
    </row>
    <row r="13541" spans="129:129" x14ac:dyDescent="0.2">
      <c r="DY13541" s="185" t="s">
        <v>215</v>
      </c>
    </row>
    <row r="13542" spans="129:129" x14ac:dyDescent="0.2">
      <c r="DY13542" s="185" t="s">
        <v>215</v>
      </c>
    </row>
    <row r="13543" spans="129:129" x14ac:dyDescent="0.2">
      <c r="DY13543" s="185" t="s">
        <v>215</v>
      </c>
    </row>
    <row r="13544" spans="129:129" x14ac:dyDescent="0.2">
      <c r="DY13544" s="185" t="s">
        <v>215</v>
      </c>
    </row>
    <row r="13545" spans="129:129" x14ac:dyDescent="0.2">
      <c r="DY13545" s="185" t="s">
        <v>215</v>
      </c>
    </row>
    <row r="13546" spans="129:129" x14ac:dyDescent="0.2">
      <c r="DY13546" s="185" t="s">
        <v>215</v>
      </c>
    </row>
    <row r="13547" spans="129:129" x14ac:dyDescent="0.2">
      <c r="DY13547" s="185" t="s">
        <v>215</v>
      </c>
    </row>
    <row r="13548" spans="129:129" x14ac:dyDescent="0.2">
      <c r="DY13548" s="185" t="s">
        <v>215</v>
      </c>
    </row>
    <row r="13549" spans="129:129" x14ac:dyDescent="0.2">
      <c r="DY13549" s="185" t="s">
        <v>215</v>
      </c>
    </row>
    <row r="13550" spans="129:129" x14ac:dyDescent="0.2">
      <c r="DY13550" s="185" t="s">
        <v>215</v>
      </c>
    </row>
    <row r="13551" spans="129:129" x14ac:dyDescent="0.2">
      <c r="DY13551" s="185" t="s">
        <v>215</v>
      </c>
    </row>
    <row r="13552" spans="129:129" x14ac:dyDescent="0.2">
      <c r="DY13552" s="185" t="s">
        <v>215</v>
      </c>
    </row>
    <row r="13553" spans="129:129" x14ac:dyDescent="0.2">
      <c r="DY13553" s="185" t="s">
        <v>215</v>
      </c>
    </row>
    <row r="13554" spans="129:129" x14ac:dyDescent="0.2">
      <c r="DY13554" s="185" t="s">
        <v>215</v>
      </c>
    </row>
    <row r="13555" spans="129:129" x14ac:dyDescent="0.2">
      <c r="DY13555" s="185" t="s">
        <v>215</v>
      </c>
    </row>
    <row r="13556" spans="129:129" x14ac:dyDescent="0.2">
      <c r="DY13556" s="185" t="s">
        <v>215</v>
      </c>
    </row>
    <row r="13557" spans="129:129" x14ac:dyDescent="0.2">
      <c r="DY13557" s="185" t="s">
        <v>215</v>
      </c>
    </row>
    <row r="13558" spans="129:129" x14ac:dyDescent="0.2">
      <c r="DY13558" s="185" t="s">
        <v>215</v>
      </c>
    </row>
    <row r="13559" spans="129:129" x14ac:dyDescent="0.2">
      <c r="DY13559" s="185" t="s">
        <v>215</v>
      </c>
    </row>
    <row r="13560" spans="129:129" x14ac:dyDescent="0.2">
      <c r="DY13560" s="185" t="s">
        <v>215</v>
      </c>
    </row>
    <row r="13561" spans="129:129" x14ac:dyDescent="0.2">
      <c r="DY13561" s="185" t="s">
        <v>215</v>
      </c>
    </row>
    <row r="13562" spans="129:129" x14ac:dyDescent="0.2">
      <c r="DY13562" s="185" t="s">
        <v>215</v>
      </c>
    </row>
    <row r="13563" spans="129:129" x14ac:dyDescent="0.2">
      <c r="DY13563" s="185" t="s">
        <v>215</v>
      </c>
    </row>
    <row r="13564" spans="129:129" x14ac:dyDescent="0.2">
      <c r="DY13564" s="185" t="s">
        <v>215</v>
      </c>
    </row>
    <row r="13565" spans="129:129" x14ac:dyDescent="0.2">
      <c r="DY13565" s="185" t="s">
        <v>215</v>
      </c>
    </row>
    <row r="13566" spans="129:129" x14ac:dyDescent="0.2">
      <c r="DY13566" s="185" t="s">
        <v>215</v>
      </c>
    </row>
    <row r="13567" spans="129:129" x14ac:dyDescent="0.2">
      <c r="DY13567" s="185" t="s">
        <v>215</v>
      </c>
    </row>
    <row r="13568" spans="129:129" x14ac:dyDescent="0.2">
      <c r="DY13568" s="185" t="s">
        <v>215</v>
      </c>
    </row>
    <row r="13569" spans="129:129" x14ac:dyDescent="0.2">
      <c r="DY13569" s="185" t="s">
        <v>215</v>
      </c>
    </row>
    <row r="13570" spans="129:129" x14ac:dyDescent="0.2">
      <c r="DY13570" s="185" t="s">
        <v>215</v>
      </c>
    </row>
    <row r="13571" spans="129:129" x14ac:dyDescent="0.2">
      <c r="DY13571" s="185" t="s">
        <v>215</v>
      </c>
    </row>
    <row r="13572" spans="129:129" x14ac:dyDescent="0.2">
      <c r="DY13572" s="185" t="s">
        <v>215</v>
      </c>
    </row>
    <row r="13573" spans="129:129" x14ac:dyDescent="0.2">
      <c r="DY13573" s="185" t="s">
        <v>215</v>
      </c>
    </row>
    <row r="13574" spans="129:129" x14ac:dyDescent="0.2">
      <c r="DY13574" s="185" t="s">
        <v>215</v>
      </c>
    </row>
    <row r="13575" spans="129:129" x14ac:dyDescent="0.2">
      <c r="DY13575" s="185" t="s">
        <v>215</v>
      </c>
    </row>
    <row r="13576" spans="129:129" x14ac:dyDescent="0.2">
      <c r="DY13576" s="185" t="s">
        <v>215</v>
      </c>
    </row>
    <row r="13577" spans="129:129" x14ac:dyDescent="0.2">
      <c r="DY13577" s="185" t="s">
        <v>215</v>
      </c>
    </row>
    <row r="13578" spans="129:129" x14ac:dyDescent="0.2">
      <c r="DY13578" s="185" t="s">
        <v>215</v>
      </c>
    </row>
    <row r="13579" spans="129:129" x14ac:dyDescent="0.2">
      <c r="DY13579" s="185" t="s">
        <v>215</v>
      </c>
    </row>
    <row r="13580" spans="129:129" x14ac:dyDescent="0.2">
      <c r="DY13580" s="185" t="s">
        <v>215</v>
      </c>
    </row>
    <row r="13581" spans="129:129" x14ac:dyDescent="0.2">
      <c r="DY13581" s="185" t="s">
        <v>215</v>
      </c>
    </row>
    <row r="13582" spans="129:129" x14ac:dyDescent="0.2">
      <c r="DY13582" s="185" t="s">
        <v>215</v>
      </c>
    </row>
    <row r="13583" spans="129:129" x14ac:dyDescent="0.2">
      <c r="DY13583" s="185" t="s">
        <v>215</v>
      </c>
    </row>
    <row r="13584" spans="129:129" x14ac:dyDescent="0.2">
      <c r="DY13584" s="185" t="s">
        <v>215</v>
      </c>
    </row>
    <row r="13585" spans="129:129" x14ac:dyDescent="0.2">
      <c r="DY13585" s="185" t="s">
        <v>215</v>
      </c>
    </row>
    <row r="13586" spans="129:129" x14ac:dyDescent="0.2">
      <c r="DY13586" s="185" t="s">
        <v>215</v>
      </c>
    </row>
    <row r="13587" spans="129:129" x14ac:dyDescent="0.2">
      <c r="DY13587" s="185" t="s">
        <v>215</v>
      </c>
    </row>
    <row r="13588" spans="129:129" x14ac:dyDescent="0.2">
      <c r="DY13588" s="185" t="s">
        <v>215</v>
      </c>
    </row>
    <row r="13589" spans="129:129" x14ac:dyDescent="0.2">
      <c r="DY13589" s="185" t="s">
        <v>215</v>
      </c>
    </row>
    <row r="13590" spans="129:129" x14ac:dyDescent="0.2">
      <c r="DY13590" s="185" t="s">
        <v>215</v>
      </c>
    </row>
    <row r="13591" spans="129:129" x14ac:dyDescent="0.2">
      <c r="DY13591" s="185" t="s">
        <v>215</v>
      </c>
    </row>
    <row r="13592" spans="129:129" x14ac:dyDescent="0.2">
      <c r="DY13592" s="185" t="s">
        <v>215</v>
      </c>
    </row>
    <row r="13593" spans="129:129" x14ac:dyDescent="0.2">
      <c r="DY13593" s="185" t="s">
        <v>215</v>
      </c>
    </row>
    <row r="13594" spans="129:129" x14ac:dyDescent="0.2">
      <c r="DY13594" s="185" t="s">
        <v>215</v>
      </c>
    </row>
    <row r="13595" spans="129:129" x14ac:dyDescent="0.2">
      <c r="DY13595" s="185" t="s">
        <v>215</v>
      </c>
    </row>
    <row r="13596" spans="129:129" x14ac:dyDescent="0.2">
      <c r="DY13596" s="185" t="s">
        <v>215</v>
      </c>
    </row>
    <row r="13597" spans="129:129" x14ac:dyDescent="0.2">
      <c r="DY13597" s="185" t="s">
        <v>215</v>
      </c>
    </row>
    <row r="13598" spans="129:129" x14ac:dyDescent="0.2">
      <c r="DY13598" s="185" t="s">
        <v>215</v>
      </c>
    </row>
    <row r="13599" spans="129:129" x14ac:dyDescent="0.2">
      <c r="DY13599" s="185" t="s">
        <v>215</v>
      </c>
    </row>
    <row r="13600" spans="129:129" x14ac:dyDescent="0.2">
      <c r="DY13600" s="185" t="s">
        <v>215</v>
      </c>
    </row>
    <row r="13601" spans="129:129" x14ac:dyDescent="0.2">
      <c r="DY13601" s="185" t="s">
        <v>215</v>
      </c>
    </row>
    <row r="13602" spans="129:129" x14ac:dyDescent="0.2">
      <c r="DY13602" s="185" t="s">
        <v>215</v>
      </c>
    </row>
    <row r="13603" spans="129:129" x14ac:dyDescent="0.2">
      <c r="DY13603" s="185" t="s">
        <v>215</v>
      </c>
    </row>
    <row r="13604" spans="129:129" x14ac:dyDescent="0.2">
      <c r="DY13604" s="185" t="s">
        <v>215</v>
      </c>
    </row>
    <row r="13605" spans="129:129" x14ac:dyDescent="0.2">
      <c r="DY13605" s="185" t="s">
        <v>215</v>
      </c>
    </row>
    <row r="13606" spans="129:129" x14ac:dyDescent="0.2">
      <c r="DY13606" s="185" t="s">
        <v>215</v>
      </c>
    </row>
    <row r="13607" spans="129:129" x14ac:dyDescent="0.2">
      <c r="DY13607" s="185" t="s">
        <v>215</v>
      </c>
    </row>
    <row r="13608" spans="129:129" x14ac:dyDescent="0.2">
      <c r="DY13608" s="185" t="s">
        <v>215</v>
      </c>
    </row>
    <row r="13609" spans="129:129" x14ac:dyDescent="0.2">
      <c r="DY13609" s="185" t="s">
        <v>215</v>
      </c>
    </row>
    <row r="13610" spans="129:129" x14ac:dyDescent="0.2">
      <c r="DY13610" s="185" t="s">
        <v>215</v>
      </c>
    </row>
    <row r="13611" spans="129:129" x14ac:dyDescent="0.2">
      <c r="DY13611" s="185" t="s">
        <v>215</v>
      </c>
    </row>
    <row r="13612" spans="129:129" x14ac:dyDescent="0.2">
      <c r="DY13612" s="185" t="s">
        <v>215</v>
      </c>
    </row>
    <row r="13613" spans="129:129" x14ac:dyDescent="0.2">
      <c r="DY13613" s="185" t="s">
        <v>215</v>
      </c>
    </row>
    <row r="13614" spans="129:129" x14ac:dyDescent="0.2">
      <c r="DY13614" s="185" t="s">
        <v>215</v>
      </c>
    </row>
    <row r="13615" spans="129:129" x14ac:dyDescent="0.2">
      <c r="DY13615" s="185" t="s">
        <v>215</v>
      </c>
    </row>
    <row r="13616" spans="129:129" x14ac:dyDescent="0.2">
      <c r="DY13616" s="185" t="s">
        <v>215</v>
      </c>
    </row>
    <row r="13617" spans="129:129" x14ac:dyDescent="0.2">
      <c r="DY13617" s="185" t="s">
        <v>215</v>
      </c>
    </row>
    <row r="13618" spans="129:129" x14ac:dyDescent="0.2">
      <c r="DY13618" s="185" t="s">
        <v>215</v>
      </c>
    </row>
    <row r="13619" spans="129:129" x14ac:dyDescent="0.2">
      <c r="DY13619" s="185" t="s">
        <v>215</v>
      </c>
    </row>
    <row r="13620" spans="129:129" x14ac:dyDescent="0.2">
      <c r="DY13620" s="185" t="s">
        <v>215</v>
      </c>
    </row>
    <row r="13621" spans="129:129" x14ac:dyDescent="0.2">
      <c r="DY13621" s="185" t="s">
        <v>215</v>
      </c>
    </row>
    <row r="13622" spans="129:129" x14ac:dyDescent="0.2">
      <c r="DY13622" s="185" t="s">
        <v>215</v>
      </c>
    </row>
    <row r="13623" spans="129:129" x14ac:dyDescent="0.2">
      <c r="DY13623" s="185" t="s">
        <v>215</v>
      </c>
    </row>
    <row r="13624" spans="129:129" x14ac:dyDescent="0.2">
      <c r="DY13624" s="185" t="s">
        <v>215</v>
      </c>
    </row>
    <row r="13625" spans="129:129" x14ac:dyDescent="0.2">
      <c r="DY13625" s="185" t="s">
        <v>215</v>
      </c>
    </row>
    <row r="13626" spans="129:129" x14ac:dyDescent="0.2">
      <c r="DY13626" s="185" t="s">
        <v>215</v>
      </c>
    </row>
    <row r="13627" spans="129:129" x14ac:dyDescent="0.2">
      <c r="DY13627" s="185" t="s">
        <v>215</v>
      </c>
    </row>
    <row r="13628" spans="129:129" x14ac:dyDescent="0.2">
      <c r="DY13628" s="185" t="s">
        <v>215</v>
      </c>
    </row>
    <row r="13629" spans="129:129" x14ac:dyDescent="0.2">
      <c r="DY13629" s="185" t="s">
        <v>215</v>
      </c>
    </row>
    <row r="13630" spans="129:129" x14ac:dyDescent="0.2">
      <c r="DY13630" s="185" t="s">
        <v>215</v>
      </c>
    </row>
    <row r="13631" spans="129:129" x14ac:dyDescent="0.2">
      <c r="DY13631" s="185" t="s">
        <v>215</v>
      </c>
    </row>
    <row r="13632" spans="129:129" x14ac:dyDescent="0.2">
      <c r="DY13632" s="185" t="s">
        <v>215</v>
      </c>
    </row>
    <row r="13633" spans="129:129" x14ac:dyDescent="0.2">
      <c r="DY13633" s="185" t="s">
        <v>215</v>
      </c>
    </row>
    <row r="13634" spans="129:129" x14ac:dyDescent="0.2">
      <c r="DY13634" s="185" t="s">
        <v>215</v>
      </c>
    </row>
    <row r="13635" spans="129:129" x14ac:dyDescent="0.2">
      <c r="DY13635" s="185" t="s">
        <v>215</v>
      </c>
    </row>
    <row r="13636" spans="129:129" x14ac:dyDescent="0.2">
      <c r="DY13636" s="185" t="s">
        <v>215</v>
      </c>
    </row>
    <row r="13637" spans="129:129" x14ac:dyDescent="0.2">
      <c r="DY13637" s="185" t="s">
        <v>215</v>
      </c>
    </row>
    <row r="13638" spans="129:129" x14ac:dyDescent="0.2">
      <c r="DY13638" s="185" t="s">
        <v>215</v>
      </c>
    </row>
    <row r="13639" spans="129:129" x14ac:dyDescent="0.2">
      <c r="DY13639" s="185" t="s">
        <v>215</v>
      </c>
    </row>
    <row r="13640" spans="129:129" x14ac:dyDescent="0.2">
      <c r="DY13640" s="185" t="s">
        <v>215</v>
      </c>
    </row>
    <row r="13641" spans="129:129" x14ac:dyDescent="0.2">
      <c r="DY13641" s="185" t="s">
        <v>215</v>
      </c>
    </row>
    <row r="13642" spans="129:129" x14ac:dyDescent="0.2">
      <c r="DY13642" s="185" t="s">
        <v>215</v>
      </c>
    </row>
    <row r="13643" spans="129:129" x14ac:dyDescent="0.2">
      <c r="DY13643" s="185" t="s">
        <v>215</v>
      </c>
    </row>
    <row r="13644" spans="129:129" x14ac:dyDescent="0.2">
      <c r="DY13644" s="185" t="s">
        <v>215</v>
      </c>
    </row>
    <row r="13645" spans="129:129" x14ac:dyDescent="0.2">
      <c r="DY13645" s="185" t="s">
        <v>215</v>
      </c>
    </row>
    <row r="13646" spans="129:129" x14ac:dyDescent="0.2">
      <c r="DY13646" s="185" t="s">
        <v>215</v>
      </c>
    </row>
    <row r="13647" spans="129:129" x14ac:dyDescent="0.2">
      <c r="DY13647" s="185" t="s">
        <v>215</v>
      </c>
    </row>
    <row r="13648" spans="129:129" x14ac:dyDescent="0.2">
      <c r="DY13648" s="185" t="s">
        <v>215</v>
      </c>
    </row>
    <row r="13649" spans="129:129" x14ac:dyDescent="0.2">
      <c r="DY13649" s="185" t="s">
        <v>215</v>
      </c>
    </row>
    <row r="13650" spans="129:129" x14ac:dyDescent="0.2">
      <c r="DY13650" s="185" t="s">
        <v>215</v>
      </c>
    </row>
    <row r="13651" spans="129:129" x14ac:dyDescent="0.2">
      <c r="DY13651" s="185" t="s">
        <v>215</v>
      </c>
    </row>
    <row r="13652" spans="129:129" x14ac:dyDescent="0.2">
      <c r="DY13652" s="185" t="s">
        <v>215</v>
      </c>
    </row>
    <row r="13653" spans="129:129" x14ac:dyDescent="0.2">
      <c r="DY13653" s="185" t="s">
        <v>215</v>
      </c>
    </row>
    <row r="13654" spans="129:129" x14ac:dyDescent="0.2">
      <c r="DY13654" s="185" t="s">
        <v>215</v>
      </c>
    </row>
    <row r="13655" spans="129:129" x14ac:dyDescent="0.2">
      <c r="DY13655" s="185" t="s">
        <v>215</v>
      </c>
    </row>
    <row r="13656" spans="129:129" x14ac:dyDescent="0.2">
      <c r="DY13656" s="185" t="s">
        <v>215</v>
      </c>
    </row>
    <row r="13657" spans="129:129" x14ac:dyDescent="0.2">
      <c r="DY13657" s="185" t="s">
        <v>215</v>
      </c>
    </row>
    <row r="13658" spans="129:129" x14ac:dyDescent="0.2">
      <c r="DY13658" s="185" t="s">
        <v>215</v>
      </c>
    </row>
    <row r="13659" spans="129:129" x14ac:dyDescent="0.2">
      <c r="DY13659" s="185" t="s">
        <v>215</v>
      </c>
    </row>
    <row r="13660" spans="129:129" x14ac:dyDescent="0.2">
      <c r="DY13660" s="185" t="s">
        <v>215</v>
      </c>
    </row>
    <row r="13661" spans="129:129" x14ac:dyDescent="0.2">
      <c r="DY13661" s="185" t="s">
        <v>215</v>
      </c>
    </row>
    <row r="13662" spans="129:129" x14ac:dyDescent="0.2">
      <c r="DY13662" s="185" t="s">
        <v>215</v>
      </c>
    </row>
    <row r="13663" spans="129:129" x14ac:dyDescent="0.2">
      <c r="DY13663" s="185" t="s">
        <v>215</v>
      </c>
    </row>
    <row r="13664" spans="129:129" x14ac:dyDescent="0.2">
      <c r="DY13664" s="185" t="s">
        <v>215</v>
      </c>
    </row>
    <row r="13665" spans="129:129" x14ac:dyDescent="0.2">
      <c r="DY13665" s="185" t="s">
        <v>215</v>
      </c>
    </row>
    <row r="13666" spans="129:129" x14ac:dyDescent="0.2">
      <c r="DY13666" s="185" t="s">
        <v>215</v>
      </c>
    </row>
    <row r="13667" spans="129:129" x14ac:dyDescent="0.2">
      <c r="DY13667" s="185" t="s">
        <v>215</v>
      </c>
    </row>
    <row r="13668" spans="129:129" x14ac:dyDescent="0.2">
      <c r="DY13668" s="185" t="s">
        <v>215</v>
      </c>
    </row>
    <row r="13669" spans="129:129" x14ac:dyDescent="0.2">
      <c r="DY13669" s="185" t="s">
        <v>215</v>
      </c>
    </row>
    <row r="13670" spans="129:129" x14ac:dyDescent="0.2">
      <c r="DY13670" s="185" t="s">
        <v>215</v>
      </c>
    </row>
    <row r="13671" spans="129:129" x14ac:dyDescent="0.2">
      <c r="DY13671" s="185" t="s">
        <v>215</v>
      </c>
    </row>
    <row r="13672" spans="129:129" x14ac:dyDescent="0.2">
      <c r="DY13672" s="185" t="s">
        <v>215</v>
      </c>
    </row>
    <row r="13673" spans="129:129" x14ac:dyDescent="0.2">
      <c r="DY13673" s="185" t="s">
        <v>215</v>
      </c>
    </row>
    <row r="13674" spans="129:129" x14ac:dyDescent="0.2">
      <c r="DY13674" s="185" t="s">
        <v>215</v>
      </c>
    </row>
    <row r="13675" spans="129:129" x14ac:dyDescent="0.2">
      <c r="DY13675" s="185" t="s">
        <v>215</v>
      </c>
    </row>
    <row r="13676" spans="129:129" x14ac:dyDescent="0.2">
      <c r="DY13676" s="185" t="s">
        <v>215</v>
      </c>
    </row>
    <row r="13677" spans="129:129" x14ac:dyDescent="0.2">
      <c r="DY13677" s="185" t="s">
        <v>215</v>
      </c>
    </row>
    <row r="13678" spans="129:129" x14ac:dyDescent="0.2">
      <c r="DY13678" s="185" t="s">
        <v>215</v>
      </c>
    </row>
    <row r="13679" spans="129:129" x14ac:dyDescent="0.2">
      <c r="DY13679" s="185" t="s">
        <v>215</v>
      </c>
    </row>
    <row r="13680" spans="129:129" x14ac:dyDescent="0.2">
      <c r="DY13680" s="185" t="s">
        <v>215</v>
      </c>
    </row>
    <row r="13681" spans="129:129" x14ac:dyDescent="0.2">
      <c r="DY13681" s="185" t="s">
        <v>215</v>
      </c>
    </row>
    <row r="13682" spans="129:129" x14ac:dyDescent="0.2">
      <c r="DY13682" s="185" t="s">
        <v>215</v>
      </c>
    </row>
    <row r="13683" spans="129:129" x14ac:dyDescent="0.2">
      <c r="DY13683" s="185" t="s">
        <v>215</v>
      </c>
    </row>
    <row r="13684" spans="129:129" x14ac:dyDescent="0.2">
      <c r="DY13684" s="185" t="s">
        <v>215</v>
      </c>
    </row>
    <row r="13685" spans="129:129" x14ac:dyDescent="0.2">
      <c r="DY13685" s="185" t="s">
        <v>215</v>
      </c>
    </row>
    <row r="13686" spans="129:129" x14ac:dyDescent="0.2">
      <c r="DY13686" s="185" t="s">
        <v>215</v>
      </c>
    </row>
    <row r="13687" spans="129:129" x14ac:dyDescent="0.2">
      <c r="DY13687" s="185" t="s">
        <v>215</v>
      </c>
    </row>
    <row r="13688" spans="129:129" x14ac:dyDescent="0.2">
      <c r="DY13688" s="185" t="s">
        <v>215</v>
      </c>
    </row>
    <row r="13689" spans="129:129" x14ac:dyDescent="0.2">
      <c r="DY13689" s="185" t="s">
        <v>215</v>
      </c>
    </row>
    <row r="13690" spans="129:129" x14ac:dyDescent="0.2">
      <c r="DY13690" s="185" t="s">
        <v>215</v>
      </c>
    </row>
    <row r="13691" spans="129:129" x14ac:dyDescent="0.2">
      <c r="DY13691" s="185" t="s">
        <v>215</v>
      </c>
    </row>
    <row r="13692" spans="129:129" x14ac:dyDescent="0.2">
      <c r="DY13692" s="185" t="s">
        <v>215</v>
      </c>
    </row>
    <row r="13693" spans="129:129" x14ac:dyDescent="0.2">
      <c r="DY13693" s="185" t="s">
        <v>215</v>
      </c>
    </row>
    <row r="13694" spans="129:129" x14ac:dyDescent="0.2">
      <c r="DY13694" s="185" t="s">
        <v>215</v>
      </c>
    </row>
    <row r="13695" spans="129:129" x14ac:dyDescent="0.2">
      <c r="DY13695" s="185" t="s">
        <v>215</v>
      </c>
    </row>
    <row r="13696" spans="129:129" x14ac:dyDescent="0.2">
      <c r="DY13696" s="185" t="s">
        <v>215</v>
      </c>
    </row>
    <row r="13697" spans="129:129" x14ac:dyDescent="0.2">
      <c r="DY13697" s="185" t="s">
        <v>215</v>
      </c>
    </row>
    <row r="13698" spans="129:129" x14ac:dyDescent="0.2">
      <c r="DY13698" s="185" t="s">
        <v>215</v>
      </c>
    </row>
    <row r="13699" spans="129:129" x14ac:dyDescent="0.2">
      <c r="DY13699" s="185" t="s">
        <v>215</v>
      </c>
    </row>
    <row r="13700" spans="129:129" x14ac:dyDescent="0.2">
      <c r="DY13700" s="185" t="s">
        <v>215</v>
      </c>
    </row>
    <row r="13701" spans="129:129" x14ac:dyDescent="0.2">
      <c r="DY13701" s="185" t="s">
        <v>215</v>
      </c>
    </row>
    <row r="13702" spans="129:129" x14ac:dyDescent="0.2">
      <c r="DY13702" s="185" t="s">
        <v>215</v>
      </c>
    </row>
    <row r="13703" spans="129:129" x14ac:dyDescent="0.2">
      <c r="DY13703" s="185" t="s">
        <v>215</v>
      </c>
    </row>
    <row r="13704" spans="129:129" x14ac:dyDescent="0.2">
      <c r="DY13704" s="185" t="s">
        <v>215</v>
      </c>
    </row>
    <row r="13705" spans="129:129" x14ac:dyDescent="0.2">
      <c r="DY13705" s="185" t="s">
        <v>215</v>
      </c>
    </row>
    <row r="13706" spans="129:129" x14ac:dyDescent="0.2">
      <c r="DY13706" s="185" t="s">
        <v>215</v>
      </c>
    </row>
    <row r="13707" spans="129:129" x14ac:dyDescent="0.2">
      <c r="DY13707" s="185" t="s">
        <v>215</v>
      </c>
    </row>
    <row r="13708" spans="129:129" x14ac:dyDescent="0.2">
      <c r="DY13708" s="185" t="s">
        <v>215</v>
      </c>
    </row>
    <row r="13709" spans="129:129" x14ac:dyDescent="0.2">
      <c r="DY13709" s="185" t="s">
        <v>215</v>
      </c>
    </row>
    <row r="13710" spans="129:129" x14ac:dyDescent="0.2">
      <c r="DY13710" s="185" t="s">
        <v>215</v>
      </c>
    </row>
    <row r="13711" spans="129:129" x14ac:dyDescent="0.2">
      <c r="DY13711" s="185" t="s">
        <v>215</v>
      </c>
    </row>
    <row r="13712" spans="129:129" x14ac:dyDescent="0.2">
      <c r="DY13712" s="185" t="s">
        <v>215</v>
      </c>
    </row>
    <row r="13713" spans="129:129" x14ac:dyDescent="0.2">
      <c r="DY13713" s="185" t="s">
        <v>215</v>
      </c>
    </row>
    <row r="13714" spans="129:129" x14ac:dyDescent="0.2">
      <c r="DY13714" s="185" t="s">
        <v>215</v>
      </c>
    </row>
    <row r="13715" spans="129:129" x14ac:dyDescent="0.2">
      <c r="DY13715" s="185" t="s">
        <v>215</v>
      </c>
    </row>
    <row r="13716" spans="129:129" x14ac:dyDescent="0.2">
      <c r="DY13716" s="185" t="s">
        <v>215</v>
      </c>
    </row>
    <row r="13717" spans="129:129" x14ac:dyDescent="0.2">
      <c r="DY13717" s="185" t="s">
        <v>215</v>
      </c>
    </row>
    <row r="13718" spans="129:129" x14ac:dyDescent="0.2">
      <c r="DY13718" s="185" t="s">
        <v>215</v>
      </c>
    </row>
    <row r="13719" spans="129:129" x14ac:dyDescent="0.2">
      <c r="DY13719" s="185" t="s">
        <v>215</v>
      </c>
    </row>
    <row r="13720" spans="129:129" x14ac:dyDescent="0.2">
      <c r="DY13720" s="185" t="s">
        <v>215</v>
      </c>
    </row>
    <row r="13721" spans="129:129" x14ac:dyDescent="0.2">
      <c r="DY13721" s="185" t="s">
        <v>215</v>
      </c>
    </row>
    <row r="13722" spans="129:129" x14ac:dyDescent="0.2">
      <c r="DY13722" s="185" t="s">
        <v>215</v>
      </c>
    </row>
    <row r="13723" spans="129:129" x14ac:dyDescent="0.2">
      <c r="DY13723" s="185" t="s">
        <v>215</v>
      </c>
    </row>
    <row r="13724" spans="129:129" x14ac:dyDescent="0.2">
      <c r="DY13724" s="185" t="s">
        <v>215</v>
      </c>
    </row>
    <row r="13725" spans="129:129" x14ac:dyDescent="0.2">
      <c r="DY13725" s="185" t="s">
        <v>215</v>
      </c>
    </row>
    <row r="13726" spans="129:129" x14ac:dyDescent="0.2">
      <c r="DY13726" s="185" t="s">
        <v>215</v>
      </c>
    </row>
    <row r="13727" spans="129:129" x14ac:dyDescent="0.2">
      <c r="DY13727" s="185" t="s">
        <v>215</v>
      </c>
    </row>
    <row r="13728" spans="129:129" x14ac:dyDescent="0.2">
      <c r="DY13728" s="185" t="s">
        <v>215</v>
      </c>
    </row>
    <row r="13729" spans="129:129" x14ac:dyDescent="0.2">
      <c r="DY13729" s="185" t="s">
        <v>215</v>
      </c>
    </row>
    <row r="13730" spans="129:129" x14ac:dyDescent="0.2">
      <c r="DY13730" s="185" t="s">
        <v>215</v>
      </c>
    </row>
    <row r="13731" spans="129:129" x14ac:dyDescent="0.2">
      <c r="DY13731" s="185" t="s">
        <v>215</v>
      </c>
    </row>
    <row r="13732" spans="129:129" x14ac:dyDescent="0.2">
      <c r="DY13732" s="185" t="s">
        <v>215</v>
      </c>
    </row>
    <row r="13733" spans="129:129" x14ac:dyDescent="0.2">
      <c r="DY13733" s="185" t="s">
        <v>215</v>
      </c>
    </row>
    <row r="13734" spans="129:129" x14ac:dyDescent="0.2">
      <c r="DY13734" s="185" t="s">
        <v>215</v>
      </c>
    </row>
    <row r="13735" spans="129:129" x14ac:dyDescent="0.2">
      <c r="DY13735" s="185" t="s">
        <v>215</v>
      </c>
    </row>
    <row r="13736" spans="129:129" x14ac:dyDescent="0.2">
      <c r="DY13736" s="185" t="s">
        <v>215</v>
      </c>
    </row>
    <row r="13737" spans="129:129" x14ac:dyDescent="0.2">
      <c r="DY13737" s="185" t="s">
        <v>215</v>
      </c>
    </row>
    <row r="13738" spans="129:129" x14ac:dyDescent="0.2">
      <c r="DY13738" s="185" t="s">
        <v>215</v>
      </c>
    </row>
    <row r="13739" spans="129:129" x14ac:dyDescent="0.2">
      <c r="DY13739" s="185" t="s">
        <v>215</v>
      </c>
    </row>
    <row r="13740" spans="129:129" x14ac:dyDescent="0.2">
      <c r="DY13740" s="185" t="s">
        <v>215</v>
      </c>
    </row>
    <row r="13741" spans="129:129" x14ac:dyDescent="0.2">
      <c r="DY13741" s="185" t="s">
        <v>215</v>
      </c>
    </row>
    <row r="13742" spans="129:129" x14ac:dyDescent="0.2">
      <c r="DY13742" s="185" t="s">
        <v>215</v>
      </c>
    </row>
    <row r="13743" spans="129:129" x14ac:dyDescent="0.2">
      <c r="DY13743" s="185" t="s">
        <v>215</v>
      </c>
    </row>
    <row r="13744" spans="129:129" x14ac:dyDescent="0.2">
      <c r="DY13744" s="185" t="s">
        <v>215</v>
      </c>
    </row>
    <row r="13745" spans="129:129" x14ac:dyDescent="0.2">
      <c r="DY13745" s="185" t="s">
        <v>215</v>
      </c>
    </row>
    <row r="13746" spans="129:129" x14ac:dyDescent="0.2">
      <c r="DY13746" s="185" t="s">
        <v>215</v>
      </c>
    </row>
    <row r="13747" spans="129:129" x14ac:dyDescent="0.2">
      <c r="DY13747" s="185" t="s">
        <v>215</v>
      </c>
    </row>
    <row r="13748" spans="129:129" x14ac:dyDescent="0.2">
      <c r="DY13748" s="185" t="s">
        <v>215</v>
      </c>
    </row>
    <row r="13749" spans="129:129" x14ac:dyDescent="0.2">
      <c r="DY13749" s="185" t="s">
        <v>215</v>
      </c>
    </row>
    <row r="13750" spans="129:129" x14ac:dyDescent="0.2">
      <c r="DY13750" s="185" t="s">
        <v>215</v>
      </c>
    </row>
    <row r="13751" spans="129:129" x14ac:dyDescent="0.2">
      <c r="DY13751" s="185" t="s">
        <v>215</v>
      </c>
    </row>
    <row r="13752" spans="129:129" x14ac:dyDescent="0.2">
      <c r="DY13752" s="185" t="s">
        <v>215</v>
      </c>
    </row>
    <row r="13753" spans="129:129" x14ac:dyDescent="0.2">
      <c r="DY13753" s="185" t="s">
        <v>215</v>
      </c>
    </row>
    <row r="13754" spans="129:129" x14ac:dyDescent="0.2">
      <c r="DY13754" s="185" t="s">
        <v>215</v>
      </c>
    </row>
    <row r="13755" spans="129:129" x14ac:dyDescent="0.2">
      <c r="DY13755" s="185" t="s">
        <v>215</v>
      </c>
    </row>
    <row r="13756" spans="129:129" x14ac:dyDescent="0.2">
      <c r="DY13756" s="185" t="s">
        <v>215</v>
      </c>
    </row>
    <row r="13757" spans="129:129" x14ac:dyDescent="0.2">
      <c r="DY13757" s="185" t="s">
        <v>215</v>
      </c>
    </row>
    <row r="13758" spans="129:129" x14ac:dyDescent="0.2">
      <c r="DY13758" s="185" t="s">
        <v>215</v>
      </c>
    </row>
    <row r="13759" spans="129:129" x14ac:dyDescent="0.2">
      <c r="DY13759" s="185" t="s">
        <v>215</v>
      </c>
    </row>
    <row r="13760" spans="129:129" x14ac:dyDescent="0.2">
      <c r="DY13760" s="185" t="s">
        <v>215</v>
      </c>
    </row>
    <row r="13761" spans="129:129" x14ac:dyDescent="0.2">
      <c r="DY13761" s="185" t="s">
        <v>215</v>
      </c>
    </row>
    <row r="13762" spans="129:129" x14ac:dyDescent="0.2">
      <c r="DY13762" s="185" t="s">
        <v>215</v>
      </c>
    </row>
    <row r="13763" spans="129:129" x14ac:dyDescent="0.2">
      <c r="DY13763" s="185" t="s">
        <v>215</v>
      </c>
    </row>
    <row r="13764" spans="129:129" x14ac:dyDescent="0.2">
      <c r="DY13764" s="185" t="s">
        <v>215</v>
      </c>
    </row>
    <row r="13765" spans="129:129" x14ac:dyDescent="0.2">
      <c r="DY13765" s="185" t="s">
        <v>215</v>
      </c>
    </row>
    <row r="13766" spans="129:129" x14ac:dyDescent="0.2">
      <c r="DY13766" s="185" t="s">
        <v>215</v>
      </c>
    </row>
    <row r="13767" spans="129:129" x14ac:dyDescent="0.2">
      <c r="DY13767" s="185" t="s">
        <v>215</v>
      </c>
    </row>
    <row r="13768" spans="129:129" x14ac:dyDescent="0.2">
      <c r="DY13768" s="185" t="s">
        <v>215</v>
      </c>
    </row>
    <row r="13769" spans="129:129" x14ac:dyDescent="0.2">
      <c r="DY13769" s="185" t="s">
        <v>215</v>
      </c>
    </row>
    <row r="13770" spans="129:129" x14ac:dyDescent="0.2">
      <c r="DY13770" s="185" t="s">
        <v>215</v>
      </c>
    </row>
    <row r="13771" spans="129:129" x14ac:dyDescent="0.2">
      <c r="DY13771" s="185" t="s">
        <v>215</v>
      </c>
    </row>
    <row r="13772" spans="129:129" x14ac:dyDescent="0.2">
      <c r="DY13772" s="185" t="s">
        <v>215</v>
      </c>
    </row>
    <row r="13773" spans="129:129" x14ac:dyDescent="0.2">
      <c r="DY13773" s="185" t="s">
        <v>215</v>
      </c>
    </row>
    <row r="13774" spans="129:129" x14ac:dyDescent="0.2">
      <c r="DY13774" s="185" t="s">
        <v>215</v>
      </c>
    </row>
    <row r="13775" spans="129:129" x14ac:dyDescent="0.2">
      <c r="DY13775" s="185" t="s">
        <v>215</v>
      </c>
    </row>
    <row r="13776" spans="129:129" x14ac:dyDescent="0.2">
      <c r="DY13776" s="185" t="s">
        <v>215</v>
      </c>
    </row>
    <row r="13777" spans="129:129" x14ac:dyDescent="0.2">
      <c r="DY13777" s="185" t="s">
        <v>215</v>
      </c>
    </row>
    <row r="13778" spans="129:129" x14ac:dyDescent="0.2">
      <c r="DY13778" s="185" t="s">
        <v>215</v>
      </c>
    </row>
    <row r="13779" spans="129:129" x14ac:dyDescent="0.2">
      <c r="DY13779" s="185" t="s">
        <v>215</v>
      </c>
    </row>
    <row r="13780" spans="129:129" x14ac:dyDescent="0.2">
      <c r="DY13780" s="185" t="s">
        <v>215</v>
      </c>
    </row>
    <row r="13781" spans="129:129" x14ac:dyDescent="0.2">
      <c r="DY13781" s="185" t="s">
        <v>215</v>
      </c>
    </row>
    <row r="13782" spans="129:129" x14ac:dyDescent="0.2">
      <c r="DY13782" s="185" t="s">
        <v>215</v>
      </c>
    </row>
    <row r="13783" spans="129:129" x14ac:dyDescent="0.2">
      <c r="DY13783" s="185" t="s">
        <v>215</v>
      </c>
    </row>
    <row r="13784" spans="129:129" x14ac:dyDescent="0.2">
      <c r="DY13784" s="185" t="s">
        <v>215</v>
      </c>
    </row>
    <row r="13785" spans="129:129" x14ac:dyDescent="0.2">
      <c r="DY13785" s="185" t="s">
        <v>215</v>
      </c>
    </row>
    <row r="13786" spans="129:129" x14ac:dyDescent="0.2">
      <c r="DY13786" s="185" t="s">
        <v>215</v>
      </c>
    </row>
    <row r="13787" spans="129:129" x14ac:dyDescent="0.2">
      <c r="DY13787" s="185" t="s">
        <v>215</v>
      </c>
    </row>
    <row r="13788" spans="129:129" x14ac:dyDescent="0.2">
      <c r="DY13788" s="185" t="s">
        <v>215</v>
      </c>
    </row>
    <row r="13789" spans="129:129" x14ac:dyDescent="0.2">
      <c r="DY13789" s="185" t="s">
        <v>215</v>
      </c>
    </row>
    <row r="13790" spans="129:129" x14ac:dyDescent="0.2">
      <c r="DY13790" s="185" t="s">
        <v>215</v>
      </c>
    </row>
    <row r="13791" spans="129:129" x14ac:dyDescent="0.2">
      <c r="DY13791" s="185" t="s">
        <v>215</v>
      </c>
    </row>
    <row r="13792" spans="129:129" x14ac:dyDescent="0.2">
      <c r="DY13792" s="185" t="s">
        <v>215</v>
      </c>
    </row>
    <row r="13793" spans="129:129" x14ac:dyDescent="0.2">
      <c r="DY13793" s="185" t="s">
        <v>215</v>
      </c>
    </row>
    <row r="13794" spans="129:129" x14ac:dyDescent="0.2">
      <c r="DY13794" s="185" t="s">
        <v>215</v>
      </c>
    </row>
    <row r="13795" spans="129:129" x14ac:dyDescent="0.2">
      <c r="DY13795" s="185" t="s">
        <v>215</v>
      </c>
    </row>
    <row r="13796" spans="129:129" x14ac:dyDescent="0.2">
      <c r="DY13796" s="185" t="s">
        <v>215</v>
      </c>
    </row>
    <row r="13797" spans="129:129" x14ac:dyDescent="0.2">
      <c r="DY13797" s="185" t="s">
        <v>215</v>
      </c>
    </row>
    <row r="13798" spans="129:129" x14ac:dyDescent="0.2">
      <c r="DY13798" s="185" t="s">
        <v>215</v>
      </c>
    </row>
    <row r="13799" spans="129:129" x14ac:dyDescent="0.2">
      <c r="DY13799" s="185" t="s">
        <v>215</v>
      </c>
    </row>
    <row r="13800" spans="129:129" x14ac:dyDescent="0.2">
      <c r="DY13800" s="185" t="s">
        <v>215</v>
      </c>
    </row>
    <row r="13801" spans="129:129" x14ac:dyDescent="0.2">
      <c r="DY13801" s="185" t="s">
        <v>215</v>
      </c>
    </row>
    <row r="13802" spans="129:129" x14ac:dyDescent="0.2">
      <c r="DY13802" s="185" t="s">
        <v>215</v>
      </c>
    </row>
    <row r="13803" spans="129:129" x14ac:dyDescent="0.2">
      <c r="DY13803" s="185" t="s">
        <v>215</v>
      </c>
    </row>
    <row r="13804" spans="129:129" x14ac:dyDescent="0.2">
      <c r="DY13804" s="185" t="s">
        <v>215</v>
      </c>
    </row>
    <row r="13805" spans="129:129" x14ac:dyDescent="0.2">
      <c r="DY13805" s="185" t="s">
        <v>215</v>
      </c>
    </row>
    <row r="13806" spans="129:129" x14ac:dyDescent="0.2">
      <c r="DY13806" s="185" t="s">
        <v>215</v>
      </c>
    </row>
    <row r="13807" spans="129:129" x14ac:dyDescent="0.2">
      <c r="DY13807" s="185" t="s">
        <v>215</v>
      </c>
    </row>
    <row r="13808" spans="129:129" x14ac:dyDescent="0.2">
      <c r="DY13808" s="185" t="s">
        <v>215</v>
      </c>
    </row>
    <row r="13809" spans="129:129" x14ac:dyDescent="0.2">
      <c r="DY13809" s="185" t="s">
        <v>215</v>
      </c>
    </row>
    <row r="13810" spans="129:129" x14ac:dyDescent="0.2">
      <c r="DY13810" s="185" t="s">
        <v>215</v>
      </c>
    </row>
    <row r="13811" spans="129:129" x14ac:dyDescent="0.2">
      <c r="DY13811" s="185" t="s">
        <v>215</v>
      </c>
    </row>
    <row r="13812" spans="129:129" x14ac:dyDescent="0.2">
      <c r="DY13812" s="185" t="s">
        <v>215</v>
      </c>
    </row>
    <row r="13813" spans="129:129" x14ac:dyDescent="0.2">
      <c r="DY13813" s="185" t="s">
        <v>215</v>
      </c>
    </row>
    <row r="13814" spans="129:129" x14ac:dyDescent="0.2">
      <c r="DY13814" s="185" t="s">
        <v>215</v>
      </c>
    </row>
    <row r="13815" spans="129:129" x14ac:dyDescent="0.2">
      <c r="DY13815" s="185" t="s">
        <v>215</v>
      </c>
    </row>
    <row r="13816" spans="129:129" x14ac:dyDescent="0.2">
      <c r="DY13816" s="185" t="s">
        <v>215</v>
      </c>
    </row>
    <row r="13817" spans="129:129" x14ac:dyDescent="0.2">
      <c r="DY13817" s="185" t="s">
        <v>215</v>
      </c>
    </row>
    <row r="13818" spans="129:129" x14ac:dyDescent="0.2">
      <c r="DY13818" s="185" t="s">
        <v>215</v>
      </c>
    </row>
    <row r="13819" spans="129:129" x14ac:dyDescent="0.2">
      <c r="DY13819" s="185" t="s">
        <v>215</v>
      </c>
    </row>
    <row r="13820" spans="129:129" x14ac:dyDescent="0.2">
      <c r="DY13820" s="185" t="s">
        <v>215</v>
      </c>
    </row>
    <row r="13821" spans="129:129" x14ac:dyDescent="0.2">
      <c r="DY13821" s="185" t="s">
        <v>215</v>
      </c>
    </row>
    <row r="13822" spans="129:129" x14ac:dyDescent="0.2">
      <c r="DY13822" s="185" t="s">
        <v>215</v>
      </c>
    </row>
    <row r="13823" spans="129:129" x14ac:dyDescent="0.2">
      <c r="DY13823" s="185" t="s">
        <v>215</v>
      </c>
    </row>
    <row r="13824" spans="129:129" x14ac:dyDescent="0.2">
      <c r="DY13824" s="185" t="s">
        <v>215</v>
      </c>
    </row>
    <row r="13825" spans="129:129" x14ac:dyDescent="0.2">
      <c r="DY13825" s="185" t="s">
        <v>215</v>
      </c>
    </row>
    <row r="13826" spans="129:129" x14ac:dyDescent="0.2">
      <c r="DY13826" s="185" t="s">
        <v>215</v>
      </c>
    </row>
    <row r="13827" spans="129:129" x14ac:dyDescent="0.2">
      <c r="DY13827" s="185" t="s">
        <v>215</v>
      </c>
    </row>
    <row r="13828" spans="129:129" x14ac:dyDescent="0.2">
      <c r="DY13828" s="185" t="s">
        <v>215</v>
      </c>
    </row>
    <row r="13829" spans="129:129" x14ac:dyDescent="0.2">
      <c r="DY13829" s="185" t="s">
        <v>215</v>
      </c>
    </row>
    <row r="13830" spans="129:129" x14ac:dyDescent="0.2">
      <c r="DY13830" s="185" t="s">
        <v>215</v>
      </c>
    </row>
    <row r="13831" spans="129:129" x14ac:dyDescent="0.2">
      <c r="DY13831" s="185" t="s">
        <v>215</v>
      </c>
    </row>
    <row r="13832" spans="129:129" x14ac:dyDescent="0.2">
      <c r="DY13832" s="185" t="s">
        <v>215</v>
      </c>
    </row>
    <row r="13833" spans="129:129" x14ac:dyDescent="0.2">
      <c r="DY13833" s="185" t="s">
        <v>215</v>
      </c>
    </row>
    <row r="13834" spans="129:129" x14ac:dyDescent="0.2">
      <c r="DY13834" s="185" t="s">
        <v>215</v>
      </c>
    </row>
    <row r="13835" spans="129:129" x14ac:dyDescent="0.2">
      <c r="DY13835" s="185" t="s">
        <v>215</v>
      </c>
    </row>
    <row r="13836" spans="129:129" x14ac:dyDescent="0.2">
      <c r="DY13836" s="185" t="s">
        <v>215</v>
      </c>
    </row>
    <row r="13837" spans="129:129" x14ac:dyDescent="0.2">
      <c r="DY13837" s="185" t="s">
        <v>215</v>
      </c>
    </row>
    <row r="13838" spans="129:129" x14ac:dyDescent="0.2">
      <c r="DY13838" s="185" t="s">
        <v>215</v>
      </c>
    </row>
    <row r="13839" spans="129:129" x14ac:dyDescent="0.2">
      <c r="DY13839" s="185" t="s">
        <v>215</v>
      </c>
    </row>
    <row r="13840" spans="129:129" x14ac:dyDescent="0.2">
      <c r="DY13840" s="185" t="s">
        <v>215</v>
      </c>
    </row>
    <row r="13841" spans="129:129" x14ac:dyDescent="0.2">
      <c r="DY13841" s="185" t="s">
        <v>215</v>
      </c>
    </row>
    <row r="13842" spans="129:129" x14ac:dyDescent="0.2">
      <c r="DY13842" s="185" t="s">
        <v>215</v>
      </c>
    </row>
    <row r="13843" spans="129:129" x14ac:dyDescent="0.2">
      <c r="DY13843" s="185" t="s">
        <v>215</v>
      </c>
    </row>
    <row r="13844" spans="129:129" x14ac:dyDescent="0.2">
      <c r="DY13844" s="185" t="s">
        <v>215</v>
      </c>
    </row>
    <row r="13845" spans="129:129" x14ac:dyDescent="0.2">
      <c r="DY13845" s="185" t="s">
        <v>215</v>
      </c>
    </row>
    <row r="13846" spans="129:129" x14ac:dyDescent="0.2">
      <c r="DY13846" s="185" t="s">
        <v>215</v>
      </c>
    </row>
    <row r="13847" spans="129:129" x14ac:dyDescent="0.2">
      <c r="DY13847" s="185" t="s">
        <v>215</v>
      </c>
    </row>
    <row r="13848" spans="129:129" x14ac:dyDescent="0.2">
      <c r="DY13848" s="185" t="s">
        <v>215</v>
      </c>
    </row>
    <row r="13849" spans="129:129" x14ac:dyDescent="0.2">
      <c r="DY13849" s="185" t="s">
        <v>215</v>
      </c>
    </row>
    <row r="13850" spans="129:129" x14ac:dyDescent="0.2">
      <c r="DY13850" s="185" t="s">
        <v>215</v>
      </c>
    </row>
    <row r="13851" spans="129:129" x14ac:dyDescent="0.2">
      <c r="DY13851" s="185" t="s">
        <v>215</v>
      </c>
    </row>
    <row r="13852" spans="129:129" x14ac:dyDescent="0.2">
      <c r="DY13852" s="185" t="s">
        <v>215</v>
      </c>
    </row>
    <row r="13853" spans="129:129" x14ac:dyDescent="0.2">
      <c r="DY13853" s="185" t="s">
        <v>215</v>
      </c>
    </row>
    <row r="13854" spans="129:129" x14ac:dyDescent="0.2">
      <c r="DY13854" s="185" t="s">
        <v>215</v>
      </c>
    </row>
    <row r="13855" spans="129:129" x14ac:dyDescent="0.2">
      <c r="DY13855" s="185" t="s">
        <v>215</v>
      </c>
    </row>
    <row r="13856" spans="129:129" x14ac:dyDescent="0.2">
      <c r="DY13856" s="185" t="s">
        <v>215</v>
      </c>
    </row>
    <row r="13857" spans="129:129" x14ac:dyDescent="0.2">
      <c r="DY13857" s="185" t="s">
        <v>215</v>
      </c>
    </row>
    <row r="13858" spans="129:129" x14ac:dyDescent="0.2">
      <c r="DY13858" s="185" t="s">
        <v>215</v>
      </c>
    </row>
    <row r="13859" spans="129:129" x14ac:dyDescent="0.2">
      <c r="DY13859" s="185" t="s">
        <v>215</v>
      </c>
    </row>
    <row r="13860" spans="129:129" x14ac:dyDescent="0.2">
      <c r="DY13860" s="185" t="s">
        <v>215</v>
      </c>
    </row>
    <row r="13861" spans="129:129" x14ac:dyDescent="0.2">
      <c r="DY13861" s="185" t="s">
        <v>215</v>
      </c>
    </row>
    <row r="13862" spans="129:129" x14ac:dyDescent="0.2">
      <c r="DY13862" s="185" t="s">
        <v>215</v>
      </c>
    </row>
    <row r="13863" spans="129:129" x14ac:dyDescent="0.2">
      <c r="DY13863" s="185" t="s">
        <v>215</v>
      </c>
    </row>
    <row r="13864" spans="129:129" x14ac:dyDescent="0.2">
      <c r="DY13864" s="185" t="s">
        <v>215</v>
      </c>
    </row>
    <row r="13865" spans="129:129" x14ac:dyDescent="0.2">
      <c r="DY13865" s="185" t="s">
        <v>215</v>
      </c>
    </row>
    <row r="13866" spans="129:129" x14ac:dyDescent="0.2">
      <c r="DY13866" s="185" t="s">
        <v>215</v>
      </c>
    </row>
    <row r="13867" spans="129:129" x14ac:dyDescent="0.2">
      <c r="DY13867" s="185" t="s">
        <v>215</v>
      </c>
    </row>
    <row r="13868" spans="129:129" x14ac:dyDescent="0.2">
      <c r="DY13868" s="185" t="s">
        <v>215</v>
      </c>
    </row>
    <row r="13869" spans="129:129" x14ac:dyDescent="0.2">
      <c r="DY13869" s="185" t="s">
        <v>215</v>
      </c>
    </row>
    <row r="13870" spans="129:129" x14ac:dyDescent="0.2">
      <c r="DY13870" s="185" t="s">
        <v>215</v>
      </c>
    </row>
    <row r="13871" spans="129:129" x14ac:dyDescent="0.2">
      <c r="DY13871" s="185" t="s">
        <v>215</v>
      </c>
    </row>
    <row r="13872" spans="129:129" x14ac:dyDescent="0.2">
      <c r="DY13872" s="185" t="s">
        <v>215</v>
      </c>
    </row>
    <row r="13873" spans="129:129" x14ac:dyDescent="0.2">
      <c r="DY13873" s="185" t="s">
        <v>215</v>
      </c>
    </row>
    <row r="13874" spans="129:129" x14ac:dyDescent="0.2">
      <c r="DY13874" s="185" t="s">
        <v>215</v>
      </c>
    </row>
    <row r="13875" spans="129:129" x14ac:dyDescent="0.2">
      <c r="DY13875" s="185" t="s">
        <v>215</v>
      </c>
    </row>
    <row r="13876" spans="129:129" x14ac:dyDescent="0.2">
      <c r="DY13876" s="185" t="s">
        <v>215</v>
      </c>
    </row>
    <row r="13877" spans="129:129" x14ac:dyDescent="0.2">
      <c r="DY13877" s="185" t="s">
        <v>215</v>
      </c>
    </row>
    <row r="13878" spans="129:129" x14ac:dyDescent="0.2">
      <c r="DY13878" s="185" t="s">
        <v>215</v>
      </c>
    </row>
    <row r="13879" spans="129:129" x14ac:dyDescent="0.2">
      <c r="DY13879" s="185" t="s">
        <v>215</v>
      </c>
    </row>
    <row r="13880" spans="129:129" x14ac:dyDescent="0.2">
      <c r="DY13880" s="185" t="s">
        <v>215</v>
      </c>
    </row>
    <row r="13881" spans="129:129" x14ac:dyDescent="0.2">
      <c r="DY13881" s="185" t="s">
        <v>215</v>
      </c>
    </row>
    <row r="13882" spans="129:129" x14ac:dyDescent="0.2">
      <c r="DY13882" s="185" t="s">
        <v>215</v>
      </c>
    </row>
    <row r="13883" spans="129:129" x14ac:dyDescent="0.2">
      <c r="DY13883" s="185" t="s">
        <v>215</v>
      </c>
    </row>
    <row r="13884" spans="129:129" x14ac:dyDescent="0.2">
      <c r="DY13884" s="185" t="s">
        <v>215</v>
      </c>
    </row>
    <row r="13885" spans="129:129" x14ac:dyDescent="0.2">
      <c r="DY13885" s="185" t="s">
        <v>215</v>
      </c>
    </row>
    <row r="13886" spans="129:129" x14ac:dyDescent="0.2">
      <c r="DY13886" s="185" t="s">
        <v>215</v>
      </c>
    </row>
    <row r="13887" spans="129:129" x14ac:dyDescent="0.2">
      <c r="DY13887" s="185" t="s">
        <v>215</v>
      </c>
    </row>
    <row r="13888" spans="129:129" x14ac:dyDescent="0.2">
      <c r="DY13888" s="185" t="s">
        <v>215</v>
      </c>
    </row>
    <row r="13889" spans="129:129" x14ac:dyDescent="0.2">
      <c r="DY13889" s="185" t="s">
        <v>215</v>
      </c>
    </row>
    <row r="13890" spans="129:129" x14ac:dyDescent="0.2">
      <c r="DY13890" s="185" t="s">
        <v>215</v>
      </c>
    </row>
    <row r="13891" spans="129:129" x14ac:dyDescent="0.2">
      <c r="DY13891" s="185" t="s">
        <v>215</v>
      </c>
    </row>
    <row r="13892" spans="129:129" x14ac:dyDescent="0.2">
      <c r="DY13892" s="185" t="s">
        <v>215</v>
      </c>
    </row>
    <row r="13893" spans="129:129" x14ac:dyDescent="0.2">
      <c r="DY13893" s="185" t="s">
        <v>215</v>
      </c>
    </row>
    <row r="13894" spans="129:129" x14ac:dyDescent="0.2">
      <c r="DY13894" s="185" t="s">
        <v>215</v>
      </c>
    </row>
    <row r="13895" spans="129:129" x14ac:dyDescent="0.2">
      <c r="DY13895" s="185" t="s">
        <v>215</v>
      </c>
    </row>
    <row r="13896" spans="129:129" x14ac:dyDescent="0.2">
      <c r="DY13896" s="185" t="s">
        <v>215</v>
      </c>
    </row>
    <row r="13897" spans="129:129" x14ac:dyDescent="0.2">
      <c r="DY13897" s="185" t="s">
        <v>215</v>
      </c>
    </row>
    <row r="13898" spans="129:129" x14ac:dyDescent="0.2">
      <c r="DY13898" s="185" t="s">
        <v>215</v>
      </c>
    </row>
    <row r="13899" spans="129:129" x14ac:dyDescent="0.2">
      <c r="DY13899" s="185" t="s">
        <v>215</v>
      </c>
    </row>
    <row r="13900" spans="129:129" x14ac:dyDescent="0.2">
      <c r="DY13900" s="185" t="s">
        <v>215</v>
      </c>
    </row>
    <row r="13901" spans="129:129" x14ac:dyDescent="0.2">
      <c r="DY13901" s="185" t="s">
        <v>215</v>
      </c>
    </row>
    <row r="13902" spans="129:129" x14ac:dyDescent="0.2">
      <c r="DY13902" s="185" t="s">
        <v>215</v>
      </c>
    </row>
    <row r="13903" spans="129:129" x14ac:dyDescent="0.2">
      <c r="DY13903" s="185" t="s">
        <v>215</v>
      </c>
    </row>
    <row r="13904" spans="129:129" x14ac:dyDescent="0.2">
      <c r="DY13904" s="185" t="s">
        <v>215</v>
      </c>
    </row>
    <row r="13905" spans="129:129" x14ac:dyDescent="0.2">
      <c r="DY13905" s="185" t="s">
        <v>215</v>
      </c>
    </row>
    <row r="13906" spans="129:129" x14ac:dyDescent="0.2">
      <c r="DY13906" s="185" t="s">
        <v>215</v>
      </c>
    </row>
    <row r="13907" spans="129:129" x14ac:dyDescent="0.2">
      <c r="DY13907" s="185" t="s">
        <v>215</v>
      </c>
    </row>
    <row r="13908" spans="129:129" x14ac:dyDescent="0.2">
      <c r="DY13908" s="185" t="s">
        <v>215</v>
      </c>
    </row>
    <row r="13909" spans="129:129" x14ac:dyDescent="0.2">
      <c r="DY13909" s="185" t="s">
        <v>215</v>
      </c>
    </row>
    <row r="13910" spans="129:129" x14ac:dyDescent="0.2">
      <c r="DY13910" s="185" t="s">
        <v>215</v>
      </c>
    </row>
    <row r="13911" spans="129:129" x14ac:dyDescent="0.2">
      <c r="DY13911" s="185" t="s">
        <v>215</v>
      </c>
    </row>
    <row r="13912" spans="129:129" x14ac:dyDescent="0.2">
      <c r="DY13912" s="185" t="s">
        <v>215</v>
      </c>
    </row>
    <row r="13913" spans="129:129" x14ac:dyDescent="0.2">
      <c r="DY13913" s="185" t="s">
        <v>215</v>
      </c>
    </row>
    <row r="13914" spans="129:129" x14ac:dyDescent="0.2">
      <c r="DY13914" s="185" t="s">
        <v>215</v>
      </c>
    </row>
    <row r="13915" spans="129:129" x14ac:dyDescent="0.2">
      <c r="DY13915" s="185" t="s">
        <v>215</v>
      </c>
    </row>
    <row r="13916" spans="129:129" x14ac:dyDescent="0.2">
      <c r="DY13916" s="185" t="s">
        <v>215</v>
      </c>
    </row>
    <row r="13917" spans="129:129" x14ac:dyDescent="0.2">
      <c r="DY13917" s="185" t="s">
        <v>215</v>
      </c>
    </row>
    <row r="13918" spans="129:129" x14ac:dyDescent="0.2">
      <c r="DY13918" s="185" t="s">
        <v>215</v>
      </c>
    </row>
    <row r="13919" spans="129:129" x14ac:dyDescent="0.2">
      <c r="DY13919" s="185" t="s">
        <v>215</v>
      </c>
    </row>
    <row r="13920" spans="129:129" x14ac:dyDescent="0.2">
      <c r="DY13920" s="185" t="s">
        <v>215</v>
      </c>
    </row>
    <row r="13921" spans="129:129" x14ac:dyDescent="0.2">
      <c r="DY13921" s="185" t="s">
        <v>215</v>
      </c>
    </row>
    <row r="13922" spans="129:129" x14ac:dyDescent="0.2">
      <c r="DY13922" s="185" t="s">
        <v>215</v>
      </c>
    </row>
    <row r="13923" spans="129:129" x14ac:dyDescent="0.2">
      <c r="DY13923" s="185" t="s">
        <v>215</v>
      </c>
    </row>
    <row r="13924" spans="129:129" x14ac:dyDescent="0.2">
      <c r="DY13924" s="185" t="s">
        <v>215</v>
      </c>
    </row>
    <row r="13925" spans="129:129" x14ac:dyDescent="0.2">
      <c r="DY13925" s="185" t="s">
        <v>215</v>
      </c>
    </row>
    <row r="13926" spans="129:129" x14ac:dyDescent="0.2">
      <c r="DY13926" s="185" t="s">
        <v>215</v>
      </c>
    </row>
    <row r="13927" spans="129:129" x14ac:dyDescent="0.2">
      <c r="DY13927" s="185" t="s">
        <v>215</v>
      </c>
    </row>
    <row r="13928" spans="129:129" x14ac:dyDescent="0.2">
      <c r="DY13928" s="185" t="s">
        <v>215</v>
      </c>
    </row>
    <row r="13929" spans="129:129" x14ac:dyDescent="0.2">
      <c r="DY13929" s="185" t="s">
        <v>215</v>
      </c>
    </row>
    <row r="13930" spans="129:129" x14ac:dyDescent="0.2">
      <c r="DY13930" s="185" t="s">
        <v>215</v>
      </c>
    </row>
    <row r="13931" spans="129:129" x14ac:dyDescent="0.2">
      <c r="DY13931" s="185" t="s">
        <v>215</v>
      </c>
    </row>
    <row r="13932" spans="129:129" x14ac:dyDescent="0.2">
      <c r="DY13932" s="185" t="s">
        <v>215</v>
      </c>
    </row>
    <row r="13933" spans="129:129" x14ac:dyDescent="0.2">
      <c r="DY13933" s="185" t="s">
        <v>215</v>
      </c>
    </row>
    <row r="13934" spans="129:129" x14ac:dyDescent="0.2">
      <c r="DY13934" s="185" t="s">
        <v>215</v>
      </c>
    </row>
    <row r="13935" spans="129:129" x14ac:dyDescent="0.2">
      <c r="DY13935" s="185" t="s">
        <v>215</v>
      </c>
    </row>
    <row r="13936" spans="129:129" x14ac:dyDescent="0.2">
      <c r="DY13936" s="185" t="s">
        <v>215</v>
      </c>
    </row>
    <row r="13937" spans="129:129" x14ac:dyDescent="0.2">
      <c r="DY13937" s="185" t="s">
        <v>215</v>
      </c>
    </row>
    <row r="13938" spans="129:129" x14ac:dyDescent="0.2">
      <c r="DY13938" s="185" t="s">
        <v>215</v>
      </c>
    </row>
    <row r="13939" spans="129:129" x14ac:dyDescent="0.2">
      <c r="DY13939" s="185" t="s">
        <v>215</v>
      </c>
    </row>
    <row r="13940" spans="129:129" x14ac:dyDescent="0.2">
      <c r="DY13940" s="185" t="s">
        <v>215</v>
      </c>
    </row>
    <row r="13941" spans="129:129" x14ac:dyDescent="0.2">
      <c r="DY13941" s="185" t="s">
        <v>215</v>
      </c>
    </row>
    <row r="13942" spans="129:129" x14ac:dyDescent="0.2">
      <c r="DY13942" s="185" t="s">
        <v>215</v>
      </c>
    </row>
    <row r="13943" spans="129:129" x14ac:dyDescent="0.2">
      <c r="DY13943" s="185" t="s">
        <v>215</v>
      </c>
    </row>
    <row r="13944" spans="129:129" x14ac:dyDescent="0.2">
      <c r="DY13944" s="185" t="s">
        <v>215</v>
      </c>
    </row>
    <row r="13945" spans="129:129" x14ac:dyDescent="0.2">
      <c r="DY13945" s="185" t="s">
        <v>215</v>
      </c>
    </row>
    <row r="13946" spans="129:129" x14ac:dyDescent="0.2">
      <c r="DY13946" s="185" t="s">
        <v>215</v>
      </c>
    </row>
    <row r="13947" spans="129:129" x14ac:dyDescent="0.2">
      <c r="DY13947" s="185" t="s">
        <v>215</v>
      </c>
    </row>
    <row r="13948" spans="129:129" x14ac:dyDescent="0.2">
      <c r="DY13948" s="185" t="s">
        <v>215</v>
      </c>
    </row>
    <row r="13949" spans="129:129" x14ac:dyDescent="0.2">
      <c r="DY13949" s="185" t="s">
        <v>215</v>
      </c>
    </row>
    <row r="13950" spans="129:129" x14ac:dyDescent="0.2">
      <c r="DY13950" s="185" t="s">
        <v>215</v>
      </c>
    </row>
    <row r="13951" spans="129:129" x14ac:dyDescent="0.2">
      <c r="DY13951" s="185" t="s">
        <v>215</v>
      </c>
    </row>
    <row r="13952" spans="129:129" x14ac:dyDescent="0.2">
      <c r="DY13952" s="185" t="s">
        <v>215</v>
      </c>
    </row>
    <row r="13953" spans="129:129" x14ac:dyDescent="0.2">
      <c r="DY13953" s="185" t="s">
        <v>215</v>
      </c>
    </row>
    <row r="13954" spans="129:129" x14ac:dyDescent="0.2">
      <c r="DY13954" s="185" t="s">
        <v>215</v>
      </c>
    </row>
    <row r="13955" spans="129:129" x14ac:dyDescent="0.2">
      <c r="DY13955" s="185" t="s">
        <v>215</v>
      </c>
    </row>
    <row r="13956" spans="129:129" x14ac:dyDescent="0.2">
      <c r="DY13956" s="185" t="s">
        <v>215</v>
      </c>
    </row>
    <row r="13957" spans="129:129" x14ac:dyDescent="0.2">
      <c r="DY13957" s="185" t="s">
        <v>215</v>
      </c>
    </row>
    <row r="13958" spans="129:129" x14ac:dyDescent="0.2">
      <c r="DY13958" s="185" t="s">
        <v>215</v>
      </c>
    </row>
    <row r="13959" spans="129:129" x14ac:dyDescent="0.2">
      <c r="DY13959" s="185" t="s">
        <v>215</v>
      </c>
    </row>
    <row r="13960" spans="129:129" x14ac:dyDescent="0.2">
      <c r="DY13960" s="185" t="s">
        <v>215</v>
      </c>
    </row>
    <row r="13961" spans="129:129" x14ac:dyDescent="0.2">
      <c r="DY13961" s="185" t="s">
        <v>215</v>
      </c>
    </row>
    <row r="13962" spans="129:129" x14ac:dyDescent="0.2">
      <c r="DY13962" s="185" t="s">
        <v>215</v>
      </c>
    </row>
    <row r="13963" spans="129:129" x14ac:dyDescent="0.2">
      <c r="DY13963" s="185" t="s">
        <v>215</v>
      </c>
    </row>
    <row r="13964" spans="129:129" x14ac:dyDescent="0.2">
      <c r="DY13964" s="185" t="s">
        <v>215</v>
      </c>
    </row>
    <row r="13965" spans="129:129" x14ac:dyDescent="0.2">
      <c r="DY13965" s="185" t="s">
        <v>215</v>
      </c>
    </row>
    <row r="13966" spans="129:129" x14ac:dyDescent="0.2">
      <c r="DY13966" s="185" t="s">
        <v>215</v>
      </c>
    </row>
    <row r="13967" spans="129:129" x14ac:dyDescent="0.2">
      <c r="DY13967" s="185" t="s">
        <v>215</v>
      </c>
    </row>
    <row r="13968" spans="129:129" x14ac:dyDescent="0.2">
      <c r="DY13968" s="185" t="s">
        <v>215</v>
      </c>
    </row>
    <row r="13969" spans="129:129" x14ac:dyDescent="0.2">
      <c r="DY13969" s="185" t="s">
        <v>215</v>
      </c>
    </row>
    <row r="13970" spans="129:129" x14ac:dyDescent="0.2">
      <c r="DY13970" s="185" t="s">
        <v>215</v>
      </c>
    </row>
    <row r="13971" spans="129:129" x14ac:dyDescent="0.2">
      <c r="DY13971" s="185" t="s">
        <v>215</v>
      </c>
    </row>
    <row r="13972" spans="129:129" x14ac:dyDescent="0.2">
      <c r="DY13972" s="185" t="s">
        <v>215</v>
      </c>
    </row>
    <row r="13973" spans="129:129" x14ac:dyDescent="0.2">
      <c r="DY13973" s="185" t="s">
        <v>215</v>
      </c>
    </row>
    <row r="13974" spans="129:129" x14ac:dyDescent="0.2">
      <c r="DY13974" s="185" t="s">
        <v>215</v>
      </c>
    </row>
    <row r="13975" spans="129:129" x14ac:dyDescent="0.2">
      <c r="DY13975" s="185" t="s">
        <v>215</v>
      </c>
    </row>
    <row r="13976" spans="129:129" x14ac:dyDescent="0.2">
      <c r="DY13976" s="185" t="s">
        <v>215</v>
      </c>
    </row>
    <row r="13977" spans="129:129" x14ac:dyDescent="0.2">
      <c r="DY13977" s="185" t="s">
        <v>215</v>
      </c>
    </row>
    <row r="13978" spans="129:129" x14ac:dyDescent="0.2">
      <c r="DY13978" s="185" t="s">
        <v>215</v>
      </c>
    </row>
    <row r="13979" spans="129:129" x14ac:dyDescent="0.2">
      <c r="DY13979" s="185" t="s">
        <v>215</v>
      </c>
    </row>
    <row r="13980" spans="129:129" x14ac:dyDescent="0.2">
      <c r="DY13980" s="185" t="s">
        <v>215</v>
      </c>
    </row>
    <row r="13981" spans="129:129" x14ac:dyDescent="0.2">
      <c r="DY13981" s="185" t="s">
        <v>215</v>
      </c>
    </row>
    <row r="13982" spans="129:129" x14ac:dyDescent="0.2">
      <c r="DY13982" s="185" t="s">
        <v>215</v>
      </c>
    </row>
    <row r="13983" spans="129:129" x14ac:dyDescent="0.2">
      <c r="DY13983" s="185" t="s">
        <v>215</v>
      </c>
    </row>
    <row r="13984" spans="129:129" x14ac:dyDescent="0.2">
      <c r="DY13984" s="185" t="s">
        <v>215</v>
      </c>
    </row>
    <row r="13985" spans="129:129" x14ac:dyDescent="0.2">
      <c r="DY13985" s="185" t="s">
        <v>215</v>
      </c>
    </row>
    <row r="13986" spans="129:129" x14ac:dyDescent="0.2">
      <c r="DY13986" s="185" t="s">
        <v>215</v>
      </c>
    </row>
    <row r="13987" spans="129:129" x14ac:dyDescent="0.2">
      <c r="DY13987" s="185" t="s">
        <v>215</v>
      </c>
    </row>
    <row r="13988" spans="129:129" x14ac:dyDescent="0.2">
      <c r="DY13988" s="185" t="s">
        <v>215</v>
      </c>
    </row>
    <row r="13989" spans="129:129" x14ac:dyDescent="0.2">
      <c r="DY13989" s="185" t="s">
        <v>215</v>
      </c>
    </row>
    <row r="13990" spans="129:129" x14ac:dyDescent="0.2">
      <c r="DY13990" s="185" t="s">
        <v>215</v>
      </c>
    </row>
    <row r="13991" spans="129:129" x14ac:dyDescent="0.2">
      <c r="DY13991" s="185" t="s">
        <v>215</v>
      </c>
    </row>
    <row r="13992" spans="129:129" x14ac:dyDescent="0.2">
      <c r="DY13992" s="185" t="s">
        <v>215</v>
      </c>
    </row>
    <row r="13993" spans="129:129" x14ac:dyDescent="0.2">
      <c r="DY13993" s="185" t="s">
        <v>215</v>
      </c>
    </row>
    <row r="13994" spans="129:129" x14ac:dyDescent="0.2">
      <c r="DY13994" s="185" t="s">
        <v>215</v>
      </c>
    </row>
    <row r="13995" spans="129:129" x14ac:dyDescent="0.2">
      <c r="DY13995" s="185" t="s">
        <v>215</v>
      </c>
    </row>
    <row r="13996" spans="129:129" x14ac:dyDescent="0.2">
      <c r="DY13996" s="185" t="s">
        <v>215</v>
      </c>
    </row>
    <row r="13997" spans="129:129" x14ac:dyDescent="0.2">
      <c r="DY13997" s="185" t="s">
        <v>215</v>
      </c>
    </row>
    <row r="13998" spans="129:129" x14ac:dyDescent="0.2">
      <c r="DY13998" s="185" t="s">
        <v>215</v>
      </c>
    </row>
    <row r="13999" spans="129:129" x14ac:dyDescent="0.2">
      <c r="DY13999" s="185" t="s">
        <v>215</v>
      </c>
    </row>
    <row r="14000" spans="129:129" x14ac:dyDescent="0.2">
      <c r="DY14000" s="185" t="s">
        <v>215</v>
      </c>
    </row>
    <row r="14001" spans="129:129" x14ac:dyDescent="0.2">
      <c r="DY14001" s="185" t="s">
        <v>215</v>
      </c>
    </row>
    <row r="14002" spans="129:129" x14ac:dyDescent="0.2">
      <c r="DY14002" s="185" t="s">
        <v>215</v>
      </c>
    </row>
    <row r="14003" spans="129:129" x14ac:dyDescent="0.2">
      <c r="DY14003" s="185" t="s">
        <v>215</v>
      </c>
    </row>
    <row r="14004" spans="129:129" x14ac:dyDescent="0.2">
      <c r="DY14004" s="185" t="s">
        <v>215</v>
      </c>
    </row>
    <row r="14005" spans="129:129" x14ac:dyDescent="0.2">
      <c r="DY14005" s="185" t="s">
        <v>215</v>
      </c>
    </row>
    <row r="14006" spans="129:129" x14ac:dyDescent="0.2">
      <c r="DY14006" s="185" t="s">
        <v>215</v>
      </c>
    </row>
    <row r="14007" spans="129:129" x14ac:dyDescent="0.2">
      <c r="DY14007" s="185" t="s">
        <v>215</v>
      </c>
    </row>
    <row r="14008" spans="129:129" x14ac:dyDescent="0.2">
      <c r="DY14008" s="185" t="s">
        <v>215</v>
      </c>
    </row>
    <row r="14009" spans="129:129" x14ac:dyDescent="0.2">
      <c r="DY14009" s="185" t="s">
        <v>215</v>
      </c>
    </row>
    <row r="14010" spans="129:129" x14ac:dyDescent="0.2">
      <c r="DY14010" s="185" t="s">
        <v>215</v>
      </c>
    </row>
    <row r="14011" spans="129:129" x14ac:dyDescent="0.2">
      <c r="DY14011" s="185" t="s">
        <v>215</v>
      </c>
    </row>
    <row r="14012" spans="129:129" x14ac:dyDescent="0.2">
      <c r="DY14012" s="185" t="s">
        <v>215</v>
      </c>
    </row>
    <row r="14013" spans="129:129" x14ac:dyDescent="0.2">
      <c r="DY14013" s="185" t="s">
        <v>215</v>
      </c>
    </row>
    <row r="14014" spans="129:129" x14ac:dyDescent="0.2">
      <c r="DY14014" s="185" t="s">
        <v>215</v>
      </c>
    </row>
    <row r="14015" spans="129:129" x14ac:dyDescent="0.2">
      <c r="DY14015" s="185" t="s">
        <v>215</v>
      </c>
    </row>
    <row r="14016" spans="129:129" x14ac:dyDescent="0.2">
      <c r="DY14016" s="185" t="s">
        <v>215</v>
      </c>
    </row>
    <row r="14017" spans="129:129" x14ac:dyDescent="0.2">
      <c r="DY14017" s="185" t="s">
        <v>215</v>
      </c>
    </row>
    <row r="14018" spans="129:129" x14ac:dyDescent="0.2">
      <c r="DY14018" s="185" t="s">
        <v>215</v>
      </c>
    </row>
    <row r="14019" spans="129:129" x14ac:dyDescent="0.2">
      <c r="DY14019" s="185" t="s">
        <v>215</v>
      </c>
    </row>
    <row r="14020" spans="129:129" x14ac:dyDescent="0.2">
      <c r="DY14020" s="185" t="s">
        <v>215</v>
      </c>
    </row>
    <row r="14021" spans="129:129" x14ac:dyDescent="0.2">
      <c r="DY14021" s="185" t="s">
        <v>215</v>
      </c>
    </row>
    <row r="14022" spans="129:129" x14ac:dyDescent="0.2">
      <c r="DY14022" s="185" t="s">
        <v>215</v>
      </c>
    </row>
    <row r="14023" spans="129:129" x14ac:dyDescent="0.2">
      <c r="DY14023" s="185" t="s">
        <v>215</v>
      </c>
    </row>
    <row r="14024" spans="129:129" x14ac:dyDescent="0.2">
      <c r="DY14024" s="185" t="s">
        <v>215</v>
      </c>
    </row>
    <row r="14025" spans="129:129" x14ac:dyDescent="0.2">
      <c r="DY14025" s="185" t="s">
        <v>215</v>
      </c>
    </row>
    <row r="14026" spans="129:129" x14ac:dyDescent="0.2">
      <c r="DY14026" s="185" t="s">
        <v>215</v>
      </c>
    </row>
    <row r="14027" spans="129:129" x14ac:dyDescent="0.2">
      <c r="DY14027" s="185" t="s">
        <v>215</v>
      </c>
    </row>
    <row r="14028" spans="129:129" x14ac:dyDescent="0.2">
      <c r="DY14028" s="185" t="s">
        <v>215</v>
      </c>
    </row>
    <row r="14029" spans="129:129" x14ac:dyDescent="0.2">
      <c r="DY14029" s="185" t="s">
        <v>215</v>
      </c>
    </row>
    <row r="14030" spans="129:129" x14ac:dyDescent="0.2">
      <c r="DY14030" s="185" t="s">
        <v>215</v>
      </c>
    </row>
    <row r="14031" spans="129:129" x14ac:dyDescent="0.2">
      <c r="DY14031" s="185" t="s">
        <v>215</v>
      </c>
    </row>
    <row r="14032" spans="129:129" x14ac:dyDescent="0.2">
      <c r="DY14032" s="185" t="s">
        <v>215</v>
      </c>
    </row>
    <row r="14033" spans="129:129" x14ac:dyDescent="0.2">
      <c r="DY14033" s="185" t="s">
        <v>215</v>
      </c>
    </row>
    <row r="14034" spans="129:129" x14ac:dyDescent="0.2">
      <c r="DY14034" s="185" t="s">
        <v>215</v>
      </c>
    </row>
    <row r="14035" spans="129:129" x14ac:dyDescent="0.2">
      <c r="DY14035" s="185" t="s">
        <v>215</v>
      </c>
    </row>
    <row r="14036" spans="129:129" x14ac:dyDescent="0.2">
      <c r="DY14036" s="185" t="s">
        <v>215</v>
      </c>
    </row>
    <row r="14037" spans="129:129" x14ac:dyDescent="0.2">
      <c r="DY14037" s="185" t="s">
        <v>215</v>
      </c>
    </row>
    <row r="14038" spans="129:129" x14ac:dyDescent="0.2">
      <c r="DY14038" s="185" t="s">
        <v>215</v>
      </c>
    </row>
    <row r="14039" spans="129:129" x14ac:dyDescent="0.2">
      <c r="DY14039" s="185" t="s">
        <v>215</v>
      </c>
    </row>
    <row r="14040" spans="129:129" x14ac:dyDescent="0.2">
      <c r="DY14040" s="185" t="s">
        <v>215</v>
      </c>
    </row>
    <row r="14041" spans="129:129" x14ac:dyDescent="0.2">
      <c r="DY14041" s="185" t="s">
        <v>215</v>
      </c>
    </row>
    <row r="14042" spans="129:129" x14ac:dyDescent="0.2">
      <c r="DY14042" s="185" t="s">
        <v>215</v>
      </c>
    </row>
    <row r="14043" spans="129:129" x14ac:dyDescent="0.2">
      <c r="DY14043" s="185" t="s">
        <v>215</v>
      </c>
    </row>
    <row r="14044" spans="129:129" x14ac:dyDescent="0.2">
      <c r="DY14044" s="185" t="s">
        <v>215</v>
      </c>
    </row>
    <row r="14045" spans="129:129" x14ac:dyDescent="0.2">
      <c r="DY14045" s="185" t="s">
        <v>215</v>
      </c>
    </row>
    <row r="14046" spans="129:129" x14ac:dyDescent="0.2">
      <c r="DY14046" s="185" t="s">
        <v>215</v>
      </c>
    </row>
    <row r="14047" spans="129:129" x14ac:dyDescent="0.2">
      <c r="DY14047" s="185" t="s">
        <v>215</v>
      </c>
    </row>
    <row r="14048" spans="129:129" x14ac:dyDescent="0.2">
      <c r="DY14048" s="185" t="s">
        <v>215</v>
      </c>
    </row>
    <row r="14049" spans="129:129" x14ac:dyDescent="0.2">
      <c r="DY14049" s="185" t="s">
        <v>215</v>
      </c>
    </row>
    <row r="14050" spans="129:129" x14ac:dyDescent="0.2">
      <c r="DY14050" s="185" t="s">
        <v>215</v>
      </c>
    </row>
    <row r="14051" spans="129:129" x14ac:dyDescent="0.2">
      <c r="DY14051" s="185" t="s">
        <v>215</v>
      </c>
    </row>
    <row r="14052" spans="129:129" x14ac:dyDescent="0.2">
      <c r="DY14052" s="185" t="s">
        <v>215</v>
      </c>
    </row>
    <row r="14053" spans="129:129" x14ac:dyDescent="0.2">
      <c r="DY14053" s="185" t="s">
        <v>215</v>
      </c>
    </row>
    <row r="14054" spans="129:129" x14ac:dyDescent="0.2">
      <c r="DY14054" s="185" t="s">
        <v>215</v>
      </c>
    </row>
    <row r="14055" spans="129:129" x14ac:dyDescent="0.2">
      <c r="DY14055" s="185" t="s">
        <v>215</v>
      </c>
    </row>
    <row r="14056" spans="129:129" x14ac:dyDescent="0.2">
      <c r="DY14056" s="185" t="s">
        <v>215</v>
      </c>
    </row>
    <row r="14057" spans="129:129" x14ac:dyDescent="0.2">
      <c r="DY14057" s="185" t="s">
        <v>215</v>
      </c>
    </row>
    <row r="14058" spans="129:129" x14ac:dyDescent="0.2">
      <c r="DY14058" s="185" t="s">
        <v>215</v>
      </c>
    </row>
    <row r="14059" spans="129:129" x14ac:dyDescent="0.2">
      <c r="DY14059" s="185" t="s">
        <v>215</v>
      </c>
    </row>
    <row r="14060" spans="129:129" x14ac:dyDescent="0.2">
      <c r="DY14060" s="185" t="s">
        <v>215</v>
      </c>
    </row>
    <row r="14061" spans="129:129" x14ac:dyDescent="0.2">
      <c r="DY14061" s="185" t="s">
        <v>215</v>
      </c>
    </row>
    <row r="14062" spans="129:129" x14ac:dyDescent="0.2">
      <c r="DY14062" s="185" t="s">
        <v>215</v>
      </c>
    </row>
    <row r="14063" spans="129:129" x14ac:dyDescent="0.2">
      <c r="DY14063" s="185" t="s">
        <v>215</v>
      </c>
    </row>
    <row r="14064" spans="129:129" x14ac:dyDescent="0.2">
      <c r="DY14064" s="185" t="s">
        <v>215</v>
      </c>
    </row>
    <row r="14065" spans="129:129" x14ac:dyDescent="0.2">
      <c r="DY14065" s="185" t="s">
        <v>215</v>
      </c>
    </row>
    <row r="14066" spans="129:129" x14ac:dyDescent="0.2">
      <c r="DY14066" s="185" t="s">
        <v>215</v>
      </c>
    </row>
    <row r="14067" spans="129:129" x14ac:dyDescent="0.2">
      <c r="DY14067" s="185" t="s">
        <v>215</v>
      </c>
    </row>
    <row r="14068" spans="129:129" x14ac:dyDescent="0.2">
      <c r="DY14068" s="185" t="s">
        <v>215</v>
      </c>
    </row>
    <row r="14069" spans="129:129" x14ac:dyDescent="0.2">
      <c r="DY14069" s="185" t="s">
        <v>215</v>
      </c>
    </row>
    <row r="14070" spans="129:129" x14ac:dyDescent="0.2">
      <c r="DY14070" s="185" t="s">
        <v>215</v>
      </c>
    </row>
    <row r="14071" spans="129:129" x14ac:dyDescent="0.2">
      <c r="DY14071" s="185" t="s">
        <v>215</v>
      </c>
    </row>
    <row r="14072" spans="129:129" x14ac:dyDescent="0.2">
      <c r="DY14072" s="185" t="s">
        <v>215</v>
      </c>
    </row>
    <row r="14073" spans="129:129" x14ac:dyDescent="0.2">
      <c r="DY14073" s="185" t="s">
        <v>215</v>
      </c>
    </row>
    <row r="14074" spans="129:129" x14ac:dyDescent="0.2">
      <c r="DY14074" s="185" t="s">
        <v>215</v>
      </c>
    </row>
    <row r="14075" spans="129:129" x14ac:dyDescent="0.2">
      <c r="DY14075" s="185" t="s">
        <v>215</v>
      </c>
    </row>
    <row r="14076" spans="129:129" x14ac:dyDescent="0.2">
      <c r="DY14076" s="185" t="s">
        <v>215</v>
      </c>
    </row>
    <row r="14077" spans="129:129" x14ac:dyDescent="0.2">
      <c r="DY14077" s="185" t="s">
        <v>215</v>
      </c>
    </row>
    <row r="14078" spans="129:129" x14ac:dyDescent="0.2">
      <c r="DY14078" s="185" t="s">
        <v>215</v>
      </c>
    </row>
    <row r="14079" spans="129:129" x14ac:dyDescent="0.2">
      <c r="DY14079" s="185" t="s">
        <v>215</v>
      </c>
    </row>
    <row r="14080" spans="129:129" x14ac:dyDescent="0.2">
      <c r="DY14080" s="185" t="s">
        <v>215</v>
      </c>
    </row>
    <row r="14081" spans="129:129" x14ac:dyDescent="0.2">
      <c r="DY14081" s="185" t="s">
        <v>215</v>
      </c>
    </row>
    <row r="14082" spans="129:129" x14ac:dyDescent="0.2">
      <c r="DY14082" s="185" t="s">
        <v>215</v>
      </c>
    </row>
    <row r="14083" spans="129:129" x14ac:dyDescent="0.2">
      <c r="DY14083" s="185" t="s">
        <v>215</v>
      </c>
    </row>
    <row r="14084" spans="129:129" x14ac:dyDescent="0.2">
      <c r="DY14084" s="185" t="s">
        <v>215</v>
      </c>
    </row>
    <row r="14085" spans="129:129" x14ac:dyDescent="0.2">
      <c r="DY14085" s="185" t="s">
        <v>215</v>
      </c>
    </row>
    <row r="14086" spans="129:129" x14ac:dyDescent="0.2">
      <c r="DY14086" s="185" t="s">
        <v>215</v>
      </c>
    </row>
    <row r="14087" spans="129:129" x14ac:dyDescent="0.2">
      <c r="DY14087" s="185" t="s">
        <v>215</v>
      </c>
    </row>
    <row r="14088" spans="129:129" x14ac:dyDescent="0.2">
      <c r="DY14088" s="185" t="s">
        <v>215</v>
      </c>
    </row>
    <row r="14089" spans="129:129" x14ac:dyDescent="0.2">
      <c r="DY14089" s="185" t="s">
        <v>215</v>
      </c>
    </row>
    <row r="14090" spans="129:129" x14ac:dyDescent="0.2">
      <c r="DY14090" s="185" t="s">
        <v>215</v>
      </c>
    </row>
    <row r="14091" spans="129:129" x14ac:dyDescent="0.2">
      <c r="DY14091" s="185" t="s">
        <v>215</v>
      </c>
    </row>
    <row r="14092" spans="129:129" x14ac:dyDescent="0.2">
      <c r="DY14092" s="185" t="s">
        <v>215</v>
      </c>
    </row>
    <row r="14093" spans="129:129" x14ac:dyDescent="0.2">
      <c r="DY14093" s="185" t="s">
        <v>215</v>
      </c>
    </row>
    <row r="14094" spans="129:129" x14ac:dyDescent="0.2">
      <c r="DY14094" s="185" t="s">
        <v>215</v>
      </c>
    </row>
    <row r="14095" spans="129:129" x14ac:dyDescent="0.2">
      <c r="DY14095" s="185" t="s">
        <v>215</v>
      </c>
    </row>
    <row r="14096" spans="129:129" x14ac:dyDescent="0.2">
      <c r="DY14096" s="185" t="s">
        <v>215</v>
      </c>
    </row>
    <row r="14097" spans="129:129" x14ac:dyDescent="0.2">
      <c r="DY14097" s="185" t="s">
        <v>215</v>
      </c>
    </row>
    <row r="14098" spans="129:129" x14ac:dyDescent="0.2">
      <c r="DY14098" s="185" t="s">
        <v>215</v>
      </c>
    </row>
    <row r="14099" spans="129:129" x14ac:dyDescent="0.2">
      <c r="DY14099" s="185" t="s">
        <v>215</v>
      </c>
    </row>
    <row r="14100" spans="129:129" x14ac:dyDescent="0.2">
      <c r="DY14100" s="185" t="s">
        <v>215</v>
      </c>
    </row>
    <row r="14101" spans="129:129" x14ac:dyDescent="0.2">
      <c r="DY14101" s="185" t="s">
        <v>215</v>
      </c>
    </row>
    <row r="14102" spans="129:129" x14ac:dyDescent="0.2">
      <c r="DY14102" s="185" t="s">
        <v>215</v>
      </c>
    </row>
    <row r="14103" spans="129:129" x14ac:dyDescent="0.2">
      <c r="DY14103" s="185" t="s">
        <v>215</v>
      </c>
    </row>
    <row r="14104" spans="129:129" x14ac:dyDescent="0.2">
      <c r="DY14104" s="185" t="s">
        <v>215</v>
      </c>
    </row>
    <row r="14105" spans="129:129" x14ac:dyDescent="0.2">
      <c r="DY14105" s="185" t="s">
        <v>215</v>
      </c>
    </row>
    <row r="14106" spans="129:129" x14ac:dyDescent="0.2">
      <c r="DY14106" s="185" t="s">
        <v>215</v>
      </c>
    </row>
    <row r="14107" spans="129:129" x14ac:dyDescent="0.2">
      <c r="DY14107" s="185" t="s">
        <v>215</v>
      </c>
    </row>
    <row r="14108" spans="129:129" x14ac:dyDescent="0.2">
      <c r="DY14108" s="185" t="s">
        <v>215</v>
      </c>
    </row>
    <row r="14109" spans="129:129" x14ac:dyDescent="0.2">
      <c r="DY14109" s="185" t="s">
        <v>215</v>
      </c>
    </row>
    <row r="14110" spans="129:129" x14ac:dyDescent="0.2">
      <c r="DY14110" s="185" t="s">
        <v>215</v>
      </c>
    </row>
    <row r="14111" spans="129:129" x14ac:dyDescent="0.2">
      <c r="DY14111" s="185" t="s">
        <v>215</v>
      </c>
    </row>
    <row r="14112" spans="129:129" x14ac:dyDescent="0.2">
      <c r="DY14112" s="185" t="s">
        <v>215</v>
      </c>
    </row>
    <row r="14113" spans="129:129" x14ac:dyDescent="0.2">
      <c r="DY14113" s="185" t="s">
        <v>215</v>
      </c>
    </row>
    <row r="14114" spans="129:129" x14ac:dyDescent="0.2">
      <c r="DY14114" s="185" t="s">
        <v>215</v>
      </c>
    </row>
    <row r="14115" spans="129:129" x14ac:dyDescent="0.2">
      <c r="DY14115" s="185" t="s">
        <v>215</v>
      </c>
    </row>
    <row r="14116" spans="129:129" x14ac:dyDescent="0.2">
      <c r="DY14116" s="185" t="s">
        <v>215</v>
      </c>
    </row>
    <row r="14117" spans="129:129" x14ac:dyDescent="0.2">
      <c r="DY14117" s="185" t="s">
        <v>215</v>
      </c>
    </row>
    <row r="14118" spans="129:129" x14ac:dyDescent="0.2">
      <c r="DY14118" s="185" t="s">
        <v>215</v>
      </c>
    </row>
    <row r="14119" spans="129:129" x14ac:dyDescent="0.2">
      <c r="DY14119" s="185" t="s">
        <v>215</v>
      </c>
    </row>
    <row r="14120" spans="129:129" x14ac:dyDescent="0.2">
      <c r="DY14120" s="185" t="s">
        <v>215</v>
      </c>
    </row>
    <row r="14121" spans="129:129" x14ac:dyDescent="0.2">
      <c r="DY14121" s="185" t="s">
        <v>215</v>
      </c>
    </row>
    <row r="14122" spans="129:129" x14ac:dyDescent="0.2">
      <c r="DY14122" s="185" t="s">
        <v>215</v>
      </c>
    </row>
    <row r="14123" spans="129:129" x14ac:dyDescent="0.2">
      <c r="DY14123" s="185" t="s">
        <v>215</v>
      </c>
    </row>
    <row r="14124" spans="129:129" x14ac:dyDescent="0.2">
      <c r="DY14124" s="185" t="s">
        <v>215</v>
      </c>
    </row>
    <row r="14125" spans="129:129" x14ac:dyDescent="0.2">
      <c r="DY14125" s="185" t="s">
        <v>215</v>
      </c>
    </row>
    <row r="14126" spans="129:129" x14ac:dyDescent="0.2">
      <c r="DY14126" s="185" t="s">
        <v>215</v>
      </c>
    </row>
    <row r="14127" spans="129:129" x14ac:dyDescent="0.2">
      <c r="DY14127" s="185" t="s">
        <v>215</v>
      </c>
    </row>
    <row r="14128" spans="129:129" x14ac:dyDescent="0.2">
      <c r="DY14128" s="185" t="s">
        <v>215</v>
      </c>
    </row>
    <row r="14129" spans="129:129" x14ac:dyDescent="0.2">
      <c r="DY14129" s="185" t="s">
        <v>215</v>
      </c>
    </row>
    <row r="14130" spans="129:129" x14ac:dyDescent="0.2">
      <c r="DY14130" s="185" t="s">
        <v>215</v>
      </c>
    </row>
    <row r="14131" spans="129:129" x14ac:dyDescent="0.2">
      <c r="DY14131" s="185" t="s">
        <v>215</v>
      </c>
    </row>
    <row r="14132" spans="129:129" x14ac:dyDescent="0.2">
      <c r="DY14132" s="185" t="s">
        <v>215</v>
      </c>
    </row>
    <row r="14133" spans="129:129" x14ac:dyDescent="0.2">
      <c r="DY14133" s="185" t="s">
        <v>215</v>
      </c>
    </row>
    <row r="14134" spans="129:129" x14ac:dyDescent="0.2">
      <c r="DY14134" s="185" t="s">
        <v>215</v>
      </c>
    </row>
    <row r="14135" spans="129:129" x14ac:dyDescent="0.2">
      <c r="DY14135" s="185" t="s">
        <v>215</v>
      </c>
    </row>
    <row r="14136" spans="129:129" x14ac:dyDescent="0.2">
      <c r="DY14136" s="185" t="s">
        <v>215</v>
      </c>
    </row>
    <row r="14137" spans="129:129" x14ac:dyDescent="0.2">
      <c r="DY14137" s="185" t="s">
        <v>215</v>
      </c>
    </row>
    <row r="14138" spans="129:129" x14ac:dyDescent="0.2">
      <c r="DY14138" s="185" t="s">
        <v>215</v>
      </c>
    </row>
    <row r="14139" spans="129:129" x14ac:dyDescent="0.2">
      <c r="DY14139" s="185" t="s">
        <v>215</v>
      </c>
    </row>
    <row r="14140" spans="129:129" x14ac:dyDescent="0.2">
      <c r="DY14140" s="185" t="s">
        <v>215</v>
      </c>
    </row>
    <row r="14141" spans="129:129" x14ac:dyDescent="0.2">
      <c r="DY14141" s="185" t="s">
        <v>215</v>
      </c>
    </row>
    <row r="14142" spans="129:129" x14ac:dyDescent="0.2">
      <c r="DY14142" s="185" t="s">
        <v>215</v>
      </c>
    </row>
    <row r="14143" spans="129:129" x14ac:dyDescent="0.2">
      <c r="DY14143" s="185" t="s">
        <v>215</v>
      </c>
    </row>
    <row r="14144" spans="129:129" x14ac:dyDescent="0.2">
      <c r="DY14144" s="185" t="s">
        <v>215</v>
      </c>
    </row>
    <row r="14145" spans="129:129" x14ac:dyDescent="0.2">
      <c r="DY14145" s="185" t="s">
        <v>215</v>
      </c>
    </row>
    <row r="14146" spans="129:129" x14ac:dyDescent="0.2">
      <c r="DY14146" s="185" t="s">
        <v>215</v>
      </c>
    </row>
    <row r="14147" spans="129:129" x14ac:dyDescent="0.2">
      <c r="DY14147" s="185" t="s">
        <v>215</v>
      </c>
    </row>
    <row r="14148" spans="129:129" x14ac:dyDescent="0.2">
      <c r="DY14148" s="185" t="s">
        <v>215</v>
      </c>
    </row>
    <row r="14149" spans="129:129" x14ac:dyDescent="0.2">
      <c r="DY14149" s="185" t="s">
        <v>215</v>
      </c>
    </row>
    <row r="14150" spans="129:129" x14ac:dyDescent="0.2">
      <c r="DY14150" s="185" t="s">
        <v>215</v>
      </c>
    </row>
    <row r="14151" spans="129:129" x14ac:dyDescent="0.2">
      <c r="DY14151" s="185" t="s">
        <v>215</v>
      </c>
    </row>
    <row r="14152" spans="129:129" x14ac:dyDescent="0.2">
      <c r="DY14152" s="185" t="s">
        <v>215</v>
      </c>
    </row>
    <row r="14153" spans="129:129" x14ac:dyDescent="0.2">
      <c r="DY14153" s="185" t="s">
        <v>215</v>
      </c>
    </row>
    <row r="14154" spans="129:129" x14ac:dyDescent="0.2">
      <c r="DY14154" s="185" t="s">
        <v>215</v>
      </c>
    </row>
    <row r="14155" spans="129:129" x14ac:dyDescent="0.2">
      <c r="DY14155" s="185" t="s">
        <v>215</v>
      </c>
    </row>
    <row r="14156" spans="129:129" x14ac:dyDescent="0.2">
      <c r="DY14156" s="185" t="s">
        <v>215</v>
      </c>
    </row>
    <row r="14157" spans="129:129" x14ac:dyDescent="0.2">
      <c r="DY14157" s="185" t="s">
        <v>215</v>
      </c>
    </row>
    <row r="14158" spans="129:129" x14ac:dyDescent="0.2">
      <c r="DY14158" s="185" t="s">
        <v>215</v>
      </c>
    </row>
    <row r="14159" spans="129:129" x14ac:dyDescent="0.2">
      <c r="DY14159" s="185" t="s">
        <v>215</v>
      </c>
    </row>
    <row r="14160" spans="129:129" x14ac:dyDescent="0.2">
      <c r="DY14160" s="185" t="s">
        <v>215</v>
      </c>
    </row>
    <row r="14161" spans="129:129" x14ac:dyDescent="0.2">
      <c r="DY14161" s="185" t="s">
        <v>215</v>
      </c>
    </row>
    <row r="14162" spans="129:129" x14ac:dyDescent="0.2">
      <c r="DY14162" s="185" t="s">
        <v>215</v>
      </c>
    </row>
    <row r="14163" spans="129:129" x14ac:dyDescent="0.2">
      <c r="DY14163" s="185" t="s">
        <v>215</v>
      </c>
    </row>
    <row r="14164" spans="129:129" x14ac:dyDescent="0.2">
      <c r="DY14164" s="185" t="s">
        <v>215</v>
      </c>
    </row>
    <row r="14165" spans="129:129" x14ac:dyDescent="0.2">
      <c r="DY14165" s="185" t="s">
        <v>215</v>
      </c>
    </row>
    <row r="14166" spans="129:129" x14ac:dyDescent="0.2">
      <c r="DY14166" s="185" t="s">
        <v>215</v>
      </c>
    </row>
    <row r="14167" spans="129:129" x14ac:dyDescent="0.2">
      <c r="DY14167" s="185" t="s">
        <v>215</v>
      </c>
    </row>
    <row r="14168" spans="129:129" x14ac:dyDescent="0.2">
      <c r="DY14168" s="185" t="s">
        <v>215</v>
      </c>
    </row>
    <row r="14169" spans="129:129" x14ac:dyDescent="0.2">
      <c r="DY14169" s="185" t="s">
        <v>215</v>
      </c>
    </row>
    <row r="14170" spans="129:129" x14ac:dyDescent="0.2">
      <c r="DY14170" s="185" t="s">
        <v>215</v>
      </c>
    </row>
    <row r="14171" spans="129:129" x14ac:dyDescent="0.2">
      <c r="DY14171" s="185" t="s">
        <v>215</v>
      </c>
    </row>
    <row r="14172" spans="129:129" x14ac:dyDescent="0.2">
      <c r="DY14172" s="185" t="s">
        <v>215</v>
      </c>
    </row>
    <row r="14173" spans="129:129" x14ac:dyDescent="0.2">
      <c r="DY14173" s="185" t="s">
        <v>215</v>
      </c>
    </row>
    <row r="14174" spans="129:129" x14ac:dyDescent="0.2">
      <c r="DY14174" s="185" t="s">
        <v>215</v>
      </c>
    </row>
    <row r="14175" spans="129:129" x14ac:dyDescent="0.2">
      <c r="DY14175" s="185" t="s">
        <v>215</v>
      </c>
    </row>
    <row r="14176" spans="129:129" x14ac:dyDescent="0.2">
      <c r="DY14176" s="185" t="s">
        <v>215</v>
      </c>
    </row>
    <row r="14177" spans="129:129" x14ac:dyDescent="0.2">
      <c r="DY14177" s="185" t="s">
        <v>215</v>
      </c>
    </row>
    <row r="14178" spans="129:129" x14ac:dyDescent="0.2">
      <c r="DY14178" s="185" t="s">
        <v>215</v>
      </c>
    </row>
    <row r="14179" spans="129:129" x14ac:dyDescent="0.2">
      <c r="DY14179" s="185" t="s">
        <v>215</v>
      </c>
    </row>
    <row r="14180" spans="129:129" x14ac:dyDescent="0.2">
      <c r="DY14180" s="185" t="s">
        <v>215</v>
      </c>
    </row>
    <row r="14181" spans="129:129" x14ac:dyDescent="0.2">
      <c r="DY14181" s="185" t="s">
        <v>215</v>
      </c>
    </row>
    <row r="14182" spans="129:129" x14ac:dyDescent="0.2">
      <c r="DY14182" s="185" t="s">
        <v>215</v>
      </c>
    </row>
    <row r="14183" spans="129:129" x14ac:dyDescent="0.2">
      <c r="DY14183" s="185" t="s">
        <v>215</v>
      </c>
    </row>
    <row r="14184" spans="129:129" x14ac:dyDescent="0.2">
      <c r="DY14184" s="185" t="s">
        <v>215</v>
      </c>
    </row>
    <row r="14185" spans="129:129" x14ac:dyDescent="0.2">
      <c r="DY14185" s="185" t="s">
        <v>215</v>
      </c>
    </row>
    <row r="14186" spans="129:129" x14ac:dyDescent="0.2">
      <c r="DY14186" s="185" t="s">
        <v>215</v>
      </c>
    </row>
    <row r="14187" spans="129:129" x14ac:dyDescent="0.2">
      <c r="DY14187" s="185" t="s">
        <v>215</v>
      </c>
    </row>
    <row r="14188" spans="129:129" x14ac:dyDescent="0.2">
      <c r="DY14188" s="185" t="s">
        <v>215</v>
      </c>
    </row>
    <row r="14189" spans="129:129" x14ac:dyDescent="0.2">
      <c r="DY14189" s="185" t="s">
        <v>215</v>
      </c>
    </row>
    <row r="14190" spans="129:129" x14ac:dyDescent="0.2">
      <c r="DY14190" s="185" t="s">
        <v>215</v>
      </c>
    </row>
    <row r="14191" spans="129:129" x14ac:dyDescent="0.2">
      <c r="DY14191" s="185" t="s">
        <v>215</v>
      </c>
    </row>
    <row r="14192" spans="129:129" x14ac:dyDescent="0.2">
      <c r="DY14192" s="185" t="s">
        <v>215</v>
      </c>
    </row>
    <row r="14193" spans="129:129" x14ac:dyDescent="0.2">
      <c r="DY14193" s="185" t="s">
        <v>215</v>
      </c>
    </row>
    <row r="14194" spans="129:129" x14ac:dyDescent="0.2">
      <c r="DY14194" s="185" t="s">
        <v>215</v>
      </c>
    </row>
    <row r="14195" spans="129:129" x14ac:dyDescent="0.2">
      <c r="DY14195" s="185" t="s">
        <v>215</v>
      </c>
    </row>
    <row r="14196" spans="129:129" x14ac:dyDescent="0.2">
      <c r="DY14196" s="185" t="s">
        <v>215</v>
      </c>
    </row>
    <row r="14197" spans="129:129" x14ac:dyDescent="0.2">
      <c r="DY14197" s="185" t="s">
        <v>215</v>
      </c>
    </row>
    <row r="14198" spans="129:129" x14ac:dyDescent="0.2">
      <c r="DY14198" s="185" t="s">
        <v>215</v>
      </c>
    </row>
    <row r="14199" spans="129:129" x14ac:dyDescent="0.2">
      <c r="DY14199" s="185" t="s">
        <v>215</v>
      </c>
    </row>
    <row r="14200" spans="129:129" x14ac:dyDescent="0.2">
      <c r="DY14200" s="185" t="s">
        <v>215</v>
      </c>
    </row>
    <row r="14201" spans="129:129" x14ac:dyDescent="0.2">
      <c r="DY14201" s="185" t="s">
        <v>215</v>
      </c>
    </row>
    <row r="14202" spans="129:129" x14ac:dyDescent="0.2">
      <c r="DY14202" s="185" t="s">
        <v>215</v>
      </c>
    </row>
    <row r="14203" spans="129:129" x14ac:dyDescent="0.2">
      <c r="DY14203" s="185" t="s">
        <v>215</v>
      </c>
    </row>
    <row r="14204" spans="129:129" x14ac:dyDescent="0.2">
      <c r="DY14204" s="185" t="s">
        <v>215</v>
      </c>
    </row>
    <row r="14205" spans="129:129" x14ac:dyDescent="0.2">
      <c r="DY14205" s="185" t="s">
        <v>215</v>
      </c>
    </row>
    <row r="14206" spans="129:129" x14ac:dyDescent="0.2">
      <c r="DY14206" s="185" t="s">
        <v>215</v>
      </c>
    </row>
    <row r="14207" spans="129:129" x14ac:dyDescent="0.2">
      <c r="DY14207" s="185" t="s">
        <v>215</v>
      </c>
    </row>
    <row r="14208" spans="129:129" x14ac:dyDescent="0.2">
      <c r="DY14208" s="185" t="s">
        <v>215</v>
      </c>
    </row>
    <row r="14209" spans="129:129" x14ac:dyDescent="0.2">
      <c r="DY14209" s="185" t="s">
        <v>215</v>
      </c>
    </row>
    <row r="14210" spans="129:129" x14ac:dyDescent="0.2">
      <c r="DY14210" s="185" t="s">
        <v>215</v>
      </c>
    </row>
    <row r="14211" spans="129:129" x14ac:dyDescent="0.2">
      <c r="DY14211" s="185" t="s">
        <v>215</v>
      </c>
    </row>
    <row r="14212" spans="129:129" x14ac:dyDescent="0.2">
      <c r="DY14212" s="185" t="s">
        <v>215</v>
      </c>
    </row>
    <row r="14213" spans="129:129" x14ac:dyDescent="0.2">
      <c r="DY14213" s="185" t="s">
        <v>215</v>
      </c>
    </row>
    <row r="14214" spans="129:129" x14ac:dyDescent="0.2">
      <c r="DY14214" s="185" t="s">
        <v>215</v>
      </c>
    </row>
    <row r="14215" spans="129:129" x14ac:dyDescent="0.2">
      <c r="DY14215" s="185" t="s">
        <v>215</v>
      </c>
    </row>
    <row r="14216" spans="129:129" x14ac:dyDescent="0.2">
      <c r="DY14216" s="185" t="s">
        <v>215</v>
      </c>
    </row>
    <row r="14217" spans="129:129" x14ac:dyDescent="0.2">
      <c r="DY14217" s="185" t="s">
        <v>215</v>
      </c>
    </row>
    <row r="14218" spans="129:129" x14ac:dyDescent="0.2">
      <c r="DY14218" s="185" t="s">
        <v>215</v>
      </c>
    </row>
    <row r="14219" spans="129:129" x14ac:dyDescent="0.2">
      <c r="DY14219" s="185" t="s">
        <v>215</v>
      </c>
    </row>
    <row r="14220" spans="129:129" x14ac:dyDescent="0.2">
      <c r="DY14220" s="185" t="s">
        <v>215</v>
      </c>
    </row>
    <row r="14221" spans="129:129" x14ac:dyDescent="0.2">
      <c r="DY14221" s="185" t="s">
        <v>215</v>
      </c>
    </row>
    <row r="14222" spans="129:129" x14ac:dyDescent="0.2">
      <c r="DY14222" s="185" t="s">
        <v>215</v>
      </c>
    </row>
    <row r="14223" spans="129:129" x14ac:dyDescent="0.2">
      <c r="DY14223" s="185" t="s">
        <v>215</v>
      </c>
    </row>
    <row r="14224" spans="129:129" x14ac:dyDescent="0.2">
      <c r="DY14224" s="185" t="s">
        <v>215</v>
      </c>
    </row>
    <row r="14225" spans="129:129" x14ac:dyDescent="0.2">
      <c r="DY14225" s="185" t="s">
        <v>215</v>
      </c>
    </row>
    <row r="14226" spans="129:129" x14ac:dyDescent="0.2">
      <c r="DY14226" s="185" t="s">
        <v>215</v>
      </c>
    </row>
    <row r="14227" spans="129:129" x14ac:dyDescent="0.2">
      <c r="DY14227" s="185" t="s">
        <v>215</v>
      </c>
    </row>
    <row r="14228" spans="129:129" x14ac:dyDescent="0.2">
      <c r="DY14228" s="185" t="s">
        <v>215</v>
      </c>
    </row>
    <row r="14229" spans="129:129" x14ac:dyDescent="0.2">
      <c r="DY14229" s="185" t="s">
        <v>215</v>
      </c>
    </row>
    <row r="14230" spans="129:129" x14ac:dyDescent="0.2">
      <c r="DY14230" s="185" t="s">
        <v>215</v>
      </c>
    </row>
    <row r="14231" spans="129:129" x14ac:dyDescent="0.2">
      <c r="DY14231" s="185" t="s">
        <v>215</v>
      </c>
    </row>
    <row r="14232" spans="129:129" x14ac:dyDescent="0.2">
      <c r="DY14232" s="185" t="s">
        <v>215</v>
      </c>
    </row>
    <row r="14233" spans="129:129" x14ac:dyDescent="0.2">
      <c r="DY14233" s="185" t="s">
        <v>215</v>
      </c>
    </row>
    <row r="14234" spans="129:129" x14ac:dyDescent="0.2">
      <c r="DY14234" s="185" t="s">
        <v>215</v>
      </c>
    </row>
    <row r="14235" spans="129:129" x14ac:dyDescent="0.2">
      <c r="DY14235" s="185" t="s">
        <v>215</v>
      </c>
    </row>
    <row r="14236" spans="129:129" x14ac:dyDescent="0.2">
      <c r="DY14236" s="185" t="s">
        <v>215</v>
      </c>
    </row>
    <row r="14237" spans="129:129" x14ac:dyDescent="0.2">
      <c r="DY14237" s="185" t="s">
        <v>215</v>
      </c>
    </row>
    <row r="14238" spans="129:129" x14ac:dyDescent="0.2">
      <c r="DY14238" s="185" t="s">
        <v>215</v>
      </c>
    </row>
    <row r="14239" spans="129:129" x14ac:dyDescent="0.2">
      <c r="DY14239" s="185" t="s">
        <v>215</v>
      </c>
    </row>
    <row r="14240" spans="129:129" x14ac:dyDescent="0.2">
      <c r="DY14240" s="185" t="s">
        <v>215</v>
      </c>
    </row>
    <row r="14241" spans="129:129" x14ac:dyDescent="0.2">
      <c r="DY14241" s="185" t="s">
        <v>215</v>
      </c>
    </row>
    <row r="14242" spans="129:129" x14ac:dyDescent="0.2">
      <c r="DY14242" s="185" t="s">
        <v>215</v>
      </c>
    </row>
    <row r="14243" spans="129:129" x14ac:dyDescent="0.2">
      <c r="DY14243" s="185" t="s">
        <v>215</v>
      </c>
    </row>
    <row r="14244" spans="129:129" x14ac:dyDescent="0.2">
      <c r="DY14244" s="185" t="s">
        <v>215</v>
      </c>
    </row>
    <row r="14245" spans="129:129" x14ac:dyDescent="0.2">
      <c r="DY14245" s="185" t="s">
        <v>215</v>
      </c>
    </row>
    <row r="14246" spans="129:129" x14ac:dyDescent="0.2">
      <c r="DY14246" s="185" t="s">
        <v>215</v>
      </c>
    </row>
    <row r="14247" spans="129:129" x14ac:dyDescent="0.2">
      <c r="DY14247" s="185" t="s">
        <v>215</v>
      </c>
    </row>
    <row r="14248" spans="129:129" x14ac:dyDescent="0.2">
      <c r="DY14248" s="185" t="s">
        <v>215</v>
      </c>
    </row>
    <row r="14249" spans="129:129" x14ac:dyDescent="0.2">
      <c r="DY14249" s="185" t="s">
        <v>215</v>
      </c>
    </row>
    <row r="14250" spans="129:129" x14ac:dyDescent="0.2">
      <c r="DY14250" s="185" t="s">
        <v>215</v>
      </c>
    </row>
    <row r="14251" spans="129:129" x14ac:dyDescent="0.2">
      <c r="DY14251" s="185" t="s">
        <v>215</v>
      </c>
    </row>
    <row r="14252" spans="129:129" x14ac:dyDescent="0.2">
      <c r="DY14252" s="185" t="s">
        <v>215</v>
      </c>
    </row>
    <row r="14253" spans="129:129" x14ac:dyDescent="0.2">
      <c r="DY14253" s="185" t="s">
        <v>215</v>
      </c>
    </row>
    <row r="14254" spans="129:129" x14ac:dyDescent="0.2">
      <c r="DY14254" s="185" t="s">
        <v>215</v>
      </c>
    </row>
    <row r="14255" spans="129:129" x14ac:dyDescent="0.2">
      <c r="DY14255" s="185" t="s">
        <v>215</v>
      </c>
    </row>
    <row r="14256" spans="129:129" x14ac:dyDescent="0.2">
      <c r="DY14256" s="185" t="s">
        <v>215</v>
      </c>
    </row>
    <row r="14257" spans="129:129" x14ac:dyDescent="0.2">
      <c r="DY14257" s="185" t="s">
        <v>215</v>
      </c>
    </row>
    <row r="14258" spans="129:129" x14ac:dyDescent="0.2">
      <c r="DY14258" s="185" t="s">
        <v>215</v>
      </c>
    </row>
    <row r="14259" spans="129:129" x14ac:dyDescent="0.2">
      <c r="DY14259" s="185" t="s">
        <v>215</v>
      </c>
    </row>
    <row r="14260" spans="129:129" x14ac:dyDescent="0.2">
      <c r="DY14260" s="185" t="s">
        <v>215</v>
      </c>
    </row>
    <row r="14261" spans="129:129" x14ac:dyDescent="0.2">
      <c r="DY14261" s="185" t="s">
        <v>215</v>
      </c>
    </row>
    <row r="14262" spans="129:129" x14ac:dyDescent="0.2">
      <c r="DY14262" s="185" t="s">
        <v>215</v>
      </c>
    </row>
    <row r="14263" spans="129:129" x14ac:dyDescent="0.2">
      <c r="DY14263" s="185" t="s">
        <v>215</v>
      </c>
    </row>
    <row r="14264" spans="129:129" x14ac:dyDescent="0.2">
      <c r="DY14264" s="185" t="s">
        <v>215</v>
      </c>
    </row>
    <row r="14265" spans="129:129" x14ac:dyDescent="0.2">
      <c r="DY14265" s="185" t="s">
        <v>215</v>
      </c>
    </row>
    <row r="14266" spans="129:129" x14ac:dyDescent="0.2">
      <c r="DY14266" s="185" t="s">
        <v>215</v>
      </c>
    </row>
    <row r="14267" spans="129:129" x14ac:dyDescent="0.2">
      <c r="DY14267" s="185" t="s">
        <v>215</v>
      </c>
    </row>
    <row r="14268" spans="129:129" x14ac:dyDescent="0.2">
      <c r="DY14268" s="185" t="s">
        <v>215</v>
      </c>
    </row>
    <row r="14269" spans="129:129" x14ac:dyDescent="0.2">
      <c r="DY14269" s="185" t="s">
        <v>215</v>
      </c>
    </row>
    <row r="14270" spans="129:129" x14ac:dyDescent="0.2">
      <c r="DY14270" s="185" t="s">
        <v>215</v>
      </c>
    </row>
    <row r="14271" spans="129:129" x14ac:dyDescent="0.2">
      <c r="DY14271" s="185" t="s">
        <v>215</v>
      </c>
    </row>
    <row r="14272" spans="129:129" x14ac:dyDescent="0.2">
      <c r="DY14272" s="185" t="s">
        <v>215</v>
      </c>
    </row>
    <row r="14273" spans="129:129" x14ac:dyDescent="0.2">
      <c r="DY14273" s="185" t="s">
        <v>215</v>
      </c>
    </row>
    <row r="14274" spans="129:129" x14ac:dyDescent="0.2">
      <c r="DY14274" s="185" t="s">
        <v>215</v>
      </c>
    </row>
    <row r="14275" spans="129:129" x14ac:dyDescent="0.2">
      <c r="DY14275" s="185" t="s">
        <v>215</v>
      </c>
    </row>
    <row r="14276" spans="129:129" x14ac:dyDescent="0.2">
      <c r="DY14276" s="185" t="s">
        <v>215</v>
      </c>
    </row>
    <row r="14277" spans="129:129" x14ac:dyDescent="0.2">
      <c r="DY14277" s="185" t="s">
        <v>215</v>
      </c>
    </row>
    <row r="14278" spans="129:129" x14ac:dyDescent="0.2">
      <c r="DY14278" s="185" t="s">
        <v>215</v>
      </c>
    </row>
    <row r="14279" spans="129:129" x14ac:dyDescent="0.2">
      <c r="DY14279" s="185" t="s">
        <v>215</v>
      </c>
    </row>
    <row r="14280" spans="129:129" x14ac:dyDescent="0.2">
      <c r="DY14280" s="185" t="s">
        <v>215</v>
      </c>
    </row>
    <row r="14281" spans="129:129" x14ac:dyDescent="0.2">
      <c r="DY14281" s="185" t="s">
        <v>215</v>
      </c>
    </row>
    <row r="14282" spans="129:129" x14ac:dyDescent="0.2">
      <c r="DY14282" s="185" t="s">
        <v>215</v>
      </c>
    </row>
    <row r="14283" spans="129:129" x14ac:dyDescent="0.2">
      <c r="DY14283" s="185" t="s">
        <v>215</v>
      </c>
    </row>
    <row r="14284" spans="129:129" x14ac:dyDescent="0.2">
      <c r="DY14284" s="185" t="s">
        <v>215</v>
      </c>
    </row>
    <row r="14285" spans="129:129" x14ac:dyDescent="0.2">
      <c r="DY14285" s="185" t="s">
        <v>215</v>
      </c>
    </row>
    <row r="14286" spans="129:129" x14ac:dyDescent="0.2">
      <c r="DY14286" s="185" t="s">
        <v>215</v>
      </c>
    </row>
    <row r="14287" spans="129:129" x14ac:dyDescent="0.2">
      <c r="DY14287" s="185" t="s">
        <v>215</v>
      </c>
    </row>
    <row r="14288" spans="129:129" x14ac:dyDescent="0.2">
      <c r="DY14288" s="185" t="s">
        <v>215</v>
      </c>
    </row>
    <row r="14289" spans="129:129" x14ac:dyDescent="0.2">
      <c r="DY14289" s="185" t="s">
        <v>215</v>
      </c>
    </row>
    <row r="14290" spans="129:129" x14ac:dyDescent="0.2">
      <c r="DY14290" s="185" t="s">
        <v>215</v>
      </c>
    </row>
    <row r="14291" spans="129:129" x14ac:dyDescent="0.2">
      <c r="DY14291" s="185" t="s">
        <v>215</v>
      </c>
    </row>
    <row r="14292" spans="129:129" x14ac:dyDescent="0.2">
      <c r="DY14292" s="185" t="s">
        <v>215</v>
      </c>
    </row>
    <row r="14293" spans="129:129" x14ac:dyDescent="0.2">
      <c r="DY14293" s="185" t="s">
        <v>215</v>
      </c>
    </row>
    <row r="14294" spans="129:129" x14ac:dyDescent="0.2">
      <c r="DY14294" s="185" t="s">
        <v>215</v>
      </c>
    </row>
    <row r="14295" spans="129:129" x14ac:dyDescent="0.2">
      <c r="DY14295" s="185" t="s">
        <v>215</v>
      </c>
    </row>
    <row r="14296" spans="129:129" x14ac:dyDescent="0.2">
      <c r="DY14296" s="185" t="s">
        <v>215</v>
      </c>
    </row>
    <row r="14297" spans="129:129" x14ac:dyDescent="0.2">
      <c r="DY14297" s="185" t="s">
        <v>215</v>
      </c>
    </row>
    <row r="14298" spans="129:129" x14ac:dyDescent="0.2">
      <c r="DY14298" s="185" t="s">
        <v>215</v>
      </c>
    </row>
    <row r="14299" spans="129:129" x14ac:dyDescent="0.2">
      <c r="DY14299" s="185" t="s">
        <v>215</v>
      </c>
    </row>
    <row r="14300" spans="129:129" x14ac:dyDescent="0.2">
      <c r="DY14300" s="185" t="s">
        <v>215</v>
      </c>
    </row>
    <row r="14301" spans="129:129" x14ac:dyDescent="0.2">
      <c r="DY14301" s="185" t="s">
        <v>215</v>
      </c>
    </row>
    <row r="14302" spans="129:129" x14ac:dyDescent="0.2">
      <c r="DY14302" s="185" t="s">
        <v>215</v>
      </c>
    </row>
    <row r="14303" spans="129:129" x14ac:dyDescent="0.2">
      <c r="DY14303" s="185" t="s">
        <v>215</v>
      </c>
    </row>
    <row r="14304" spans="129:129" x14ac:dyDescent="0.2">
      <c r="DY14304" s="185" t="s">
        <v>215</v>
      </c>
    </row>
    <row r="14305" spans="129:129" x14ac:dyDescent="0.2">
      <c r="DY14305" s="185" t="s">
        <v>215</v>
      </c>
    </row>
    <row r="14306" spans="129:129" x14ac:dyDescent="0.2">
      <c r="DY14306" s="185" t="s">
        <v>215</v>
      </c>
    </row>
    <row r="14307" spans="129:129" x14ac:dyDescent="0.2">
      <c r="DY14307" s="185" t="s">
        <v>215</v>
      </c>
    </row>
    <row r="14308" spans="129:129" x14ac:dyDescent="0.2">
      <c r="DY14308" s="185" t="s">
        <v>215</v>
      </c>
    </row>
    <row r="14309" spans="129:129" x14ac:dyDescent="0.2">
      <c r="DY14309" s="185" t="s">
        <v>215</v>
      </c>
    </row>
    <row r="14310" spans="129:129" x14ac:dyDescent="0.2">
      <c r="DY14310" s="185" t="s">
        <v>215</v>
      </c>
    </row>
    <row r="14311" spans="129:129" x14ac:dyDescent="0.2">
      <c r="DY14311" s="185" t="s">
        <v>215</v>
      </c>
    </row>
    <row r="14312" spans="129:129" x14ac:dyDescent="0.2">
      <c r="DY14312" s="185" t="s">
        <v>215</v>
      </c>
    </row>
    <row r="14313" spans="129:129" x14ac:dyDescent="0.2">
      <c r="DY14313" s="185" t="s">
        <v>215</v>
      </c>
    </row>
    <row r="14314" spans="129:129" x14ac:dyDescent="0.2">
      <c r="DY14314" s="185" t="s">
        <v>215</v>
      </c>
    </row>
    <row r="14315" spans="129:129" x14ac:dyDescent="0.2">
      <c r="DY14315" s="185" t="s">
        <v>215</v>
      </c>
    </row>
    <row r="14316" spans="129:129" x14ac:dyDescent="0.2">
      <c r="DY14316" s="185" t="s">
        <v>215</v>
      </c>
    </row>
    <row r="14317" spans="129:129" x14ac:dyDescent="0.2">
      <c r="DY14317" s="185" t="s">
        <v>215</v>
      </c>
    </row>
    <row r="14318" spans="129:129" x14ac:dyDescent="0.2">
      <c r="DY14318" s="185" t="s">
        <v>215</v>
      </c>
    </row>
    <row r="14319" spans="129:129" x14ac:dyDescent="0.2">
      <c r="DY14319" s="185" t="s">
        <v>215</v>
      </c>
    </row>
    <row r="14320" spans="129:129" x14ac:dyDescent="0.2">
      <c r="DY14320" s="185" t="s">
        <v>215</v>
      </c>
    </row>
    <row r="14321" spans="129:129" x14ac:dyDescent="0.2">
      <c r="DY14321" s="185" t="s">
        <v>215</v>
      </c>
    </row>
    <row r="14322" spans="129:129" x14ac:dyDescent="0.2">
      <c r="DY14322" s="185" t="s">
        <v>215</v>
      </c>
    </row>
    <row r="14323" spans="129:129" x14ac:dyDescent="0.2">
      <c r="DY14323" s="185" t="s">
        <v>215</v>
      </c>
    </row>
    <row r="14324" spans="129:129" x14ac:dyDescent="0.2">
      <c r="DY14324" s="185" t="s">
        <v>215</v>
      </c>
    </row>
    <row r="14325" spans="129:129" x14ac:dyDescent="0.2">
      <c r="DY14325" s="185" t="s">
        <v>215</v>
      </c>
    </row>
    <row r="14326" spans="129:129" x14ac:dyDescent="0.2">
      <c r="DY14326" s="185" t="s">
        <v>215</v>
      </c>
    </row>
    <row r="14327" spans="129:129" x14ac:dyDescent="0.2">
      <c r="DY14327" s="185" t="s">
        <v>215</v>
      </c>
    </row>
    <row r="14328" spans="129:129" x14ac:dyDescent="0.2">
      <c r="DY14328" s="185" t="s">
        <v>215</v>
      </c>
    </row>
    <row r="14329" spans="129:129" x14ac:dyDescent="0.2">
      <c r="DY14329" s="185" t="s">
        <v>215</v>
      </c>
    </row>
    <row r="14330" spans="129:129" x14ac:dyDescent="0.2">
      <c r="DY14330" s="185" t="s">
        <v>215</v>
      </c>
    </row>
    <row r="14331" spans="129:129" x14ac:dyDescent="0.2">
      <c r="DY14331" s="185" t="s">
        <v>215</v>
      </c>
    </row>
    <row r="14332" spans="129:129" x14ac:dyDescent="0.2">
      <c r="DY14332" s="185" t="s">
        <v>215</v>
      </c>
    </row>
    <row r="14333" spans="129:129" x14ac:dyDescent="0.2">
      <c r="DY14333" s="185" t="s">
        <v>215</v>
      </c>
    </row>
    <row r="14334" spans="129:129" x14ac:dyDescent="0.2">
      <c r="DY14334" s="185" t="s">
        <v>215</v>
      </c>
    </row>
    <row r="14335" spans="129:129" x14ac:dyDescent="0.2">
      <c r="DY14335" s="185" t="s">
        <v>215</v>
      </c>
    </row>
    <row r="14336" spans="129:129" x14ac:dyDescent="0.2">
      <c r="DY14336" s="185" t="s">
        <v>215</v>
      </c>
    </row>
    <row r="14337" spans="129:129" x14ac:dyDescent="0.2">
      <c r="DY14337" s="185" t="s">
        <v>215</v>
      </c>
    </row>
    <row r="14338" spans="129:129" x14ac:dyDescent="0.2">
      <c r="DY14338" s="185" t="s">
        <v>215</v>
      </c>
    </row>
    <row r="14339" spans="129:129" x14ac:dyDescent="0.2">
      <c r="DY14339" s="185" t="s">
        <v>215</v>
      </c>
    </row>
    <row r="14340" spans="129:129" x14ac:dyDescent="0.2">
      <c r="DY14340" s="185" t="s">
        <v>215</v>
      </c>
    </row>
    <row r="14341" spans="129:129" x14ac:dyDescent="0.2">
      <c r="DY14341" s="185" t="s">
        <v>215</v>
      </c>
    </row>
    <row r="14342" spans="129:129" x14ac:dyDescent="0.2">
      <c r="DY14342" s="185" t="s">
        <v>215</v>
      </c>
    </row>
    <row r="14343" spans="129:129" x14ac:dyDescent="0.2">
      <c r="DY14343" s="185" t="s">
        <v>215</v>
      </c>
    </row>
    <row r="14344" spans="129:129" x14ac:dyDescent="0.2">
      <c r="DY14344" s="185" t="s">
        <v>215</v>
      </c>
    </row>
    <row r="14345" spans="129:129" x14ac:dyDescent="0.2">
      <c r="DY14345" s="185" t="s">
        <v>215</v>
      </c>
    </row>
    <row r="14346" spans="129:129" x14ac:dyDescent="0.2">
      <c r="DY14346" s="185" t="s">
        <v>215</v>
      </c>
    </row>
    <row r="14347" spans="129:129" x14ac:dyDescent="0.2">
      <c r="DY14347" s="185" t="s">
        <v>215</v>
      </c>
    </row>
    <row r="14348" spans="129:129" x14ac:dyDescent="0.2">
      <c r="DY14348" s="185" t="s">
        <v>215</v>
      </c>
    </row>
    <row r="14349" spans="129:129" x14ac:dyDescent="0.2">
      <c r="DY14349" s="185" t="s">
        <v>215</v>
      </c>
    </row>
    <row r="14350" spans="129:129" x14ac:dyDescent="0.2">
      <c r="DY14350" s="185" t="s">
        <v>215</v>
      </c>
    </row>
    <row r="14351" spans="129:129" x14ac:dyDescent="0.2">
      <c r="DY14351" s="185" t="s">
        <v>215</v>
      </c>
    </row>
    <row r="14352" spans="129:129" x14ac:dyDescent="0.2">
      <c r="DY14352" s="185" t="s">
        <v>215</v>
      </c>
    </row>
    <row r="14353" spans="129:129" x14ac:dyDescent="0.2">
      <c r="DY14353" s="185" t="s">
        <v>215</v>
      </c>
    </row>
    <row r="14354" spans="129:129" x14ac:dyDescent="0.2">
      <c r="DY14354" s="185" t="s">
        <v>215</v>
      </c>
    </row>
    <row r="14355" spans="129:129" x14ac:dyDescent="0.2">
      <c r="DY14355" s="185" t="s">
        <v>215</v>
      </c>
    </row>
    <row r="14356" spans="129:129" x14ac:dyDescent="0.2">
      <c r="DY14356" s="185" t="s">
        <v>215</v>
      </c>
    </row>
    <row r="14357" spans="129:129" x14ac:dyDescent="0.2">
      <c r="DY14357" s="185" t="s">
        <v>215</v>
      </c>
    </row>
    <row r="14358" spans="129:129" x14ac:dyDescent="0.2">
      <c r="DY14358" s="185" t="s">
        <v>215</v>
      </c>
    </row>
    <row r="14359" spans="129:129" x14ac:dyDescent="0.2">
      <c r="DY14359" s="185" t="s">
        <v>215</v>
      </c>
    </row>
    <row r="14360" spans="129:129" x14ac:dyDescent="0.2">
      <c r="DY14360" s="185" t="s">
        <v>215</v>
      </c>
    </row>
    <row r="14361" spans="129:129" x14ac:dyDescent="0.2">
      <c r="DY14361" s="185" t="s">
        <v>215</v>
      </c>
    </row>
    <row r="14362" spans="129:129" x14ac:dyDescent="0.2">
      <c r="DY14362" s="185" t="s">
        <v>215</v>
      </c>
    </row>
    <row r="14363" spans="129:129" x14ac:dyDescent="0.2">
      <c r="DY14363" s="185" t="s">
        <v>215</v>
      </c>
    </row>
    <row r="14364" spans="129:129" x14ac:dyDescent="0.2">
      <c r="DY14364" s="185" t="s">
        <v>215</v>
      </c>
    </row>
    <row r="14365" spans="129:129" x14ac:dyDescent="0.2">
      <c r="DY14365" s="185" t="s">
        <v>215</v>
      </c>
    </row>
    <row r="14366" spans="129:129" x14ac:dyDescent="0.2">
      <c r="DY14366" s="185" t="s">
        <v>215</v>
      </c>
    </row>
    <row r="14367" spans="129:129" x14ac:dyDescent="0.2">
      <c r="DY14367" s="185" t="s">
        <v>215</v>
      </c>
    </row>
    <row r="14368" spans="129:129" x14ac:dyDescent="0.2">
      <c r="DY14368" s="185" t="s">
        <v>215</v>
      </c>
    </row>
    <row r="14369" spans="129:129" x14ac:dyDescent="0.2">
      <c r="DY14369" s="185" t="s">
        <v>215</v>
      </c>
    </row>
    <row r="14370" spans="129:129" x14ac:dyDescent="0.2">
      <c r="DY14370" s="185" t="s">
        <v>215</v>
      </c>
    </row>
    <row r="14371" spans="129:129" x14ac:dyDescent="0.2">
      <c r="DY14371" s="185" t="s">
        <v>215</v>
      </c>
    </row>
    <row r="14372" spans="129:129" x14ac:dyDescent="0.2">
      <c r="DY14372" s="185" t="s">
        <v>215</v>
      </c>
    </row>
    <row r="14373" spans="129:129" x14ac:dyDescent="0.2">
      <c r="DY14373" s="185" t="s">
        <v>215</v>
      </c>
    </row>
    <row r="14374" spans="129:129" x14ac:dyDescent="0.2">
      <c r="DY14374" s="185" t="s">
        <v>215</v>
      </c>
    </row>
    <row r="14375" spans="129:129" x14ac:dyDescent="0.2">
      <c r="DY14375" s="185" t="s">
        <v>215</v>
      </c>
    </row>
    <row r="14376" spans="129:129" x14ac:dyDescent="0.2">
      <c r="DY14376" s="185" t="s">
        <v>215</v>
      </c>
    </row>
    <row r="14377" spans="129:129" x14ac:dyDescent="0.2">
      <c r="DY14377" s="185" t="s">
        <v>215</v>
      </c>
    </row>
    <row r="14378" spans="129:129" x14ac:dyDescent="0.2">
      <c r="DY14378" s="185" t="s">
        <v>215</v>
      </c>
    </row>
    <row r="14379" spans="129:129" x14ac:dyDescent="0.2">
      <c r="DY14379" s="185" t="s">
        <v>215</v>
      </c>
    </row>
    <row r="14380" spans="129:129" x14ac:dyDescent="0.2">
      <c r="DY14380" s="185" t="s">
        <v>215</v>
      </c>
    </row>
    <row r="14381" spans="129:129" x14ac:dyDescent="0.2">
      <c r="DY14381" s="185" t="s">
        <v>215</v>
      </c>
    </row>
    <row r="14382" spans="129:129" x14ac:dyDescent="0.2">
      <c r="DY14382" s="185" t="s">
        <v>215</v>
      </c>
    </row>
    <row r="14383" spans="129:129" x14ac:dyDescent="0.2">
      <c r="DY14383" s="185" t="s">
        <v>215</v>
      </c>
    </row>
    <row r="14384" spans="129:129" x14ac:dyDescent="0.2">
      <c r="DY14384" s="185" t="s">
        <v>215</v>
      </c>
    </row>
    <row r="14385" spans="129:129" x14ac:dyDescent="0.2">
      <c r="DY14385" s="185" t="s">
        <v>215</v>
      </c>
    </row>
    <row r="14386" spans="129:129" x14ac:dyDescent="0.2">
      <c r="DY14386" s="185" t="s">
        <v>215</v>
      </c>
    </row>
    <row r="14387" spans="129:129" x14ac:dyDescent="0.2">
      <c r="DY14387" s="185" t="s">
        <v>215</v>
      </c>
    </row>
    <row r="14388" spans="129:129" x14ac:dyDescent="0.2">
      <c r="DY14388" s="185" t="s">
        <v>215</v>
      </c>
    </row>
    <row r="14389" spans="129:129" x14ac:dyDescent="0.2">
      <c r="DY14389" s="185" t="s">
        <v>215</v>
      </c>
    </row>
    <row r="14390" spans="129:129" x14ac:dyDescent="0.2">
      <c r="DY14390" s="185" t="s">
        <v>215</v>
      </c>
    </row>
    <row r="14391" spans="129:129" x14ac:dyDescent="0.2">
      <c r="DY14391" s="185" t="s">
        <v>215</v>
      </c>
    </row>
    <row r="14392" spans="129:129" x14ac:dyDescent="0.2">
      <c r="DY14392" s="185" t="s">
        <v>215</v>
      </c>
    </row>
    <row r="14393" spans="129:129" x14ac:dyDescent="0.2">
      <c r="DY14393" s="185" t="s">
        <v>215</v>
      </c>
    </row>
    <row r="14394" spans="129:129" x14ac:dyDescent="0.2">
      <c r="DY14394" s="185" t="s">
        <v>215</v>
      </c>
    </row>
    <row r="14395" spans="129:129" x14ac:dyDescent="0.2">
      <c r="DY14395" s="185" t="s">
        <v>215</v>
      </c>
    </row>
    <row r="14396" spans="129:129" x14ac:dyDescent="0.2">
      <c r="DY14396" s="185" t="s">
        <v>215</v>
      </c>
    </row>
    <row r="14397" spans="129:129" x14ac:dyDescent="0.2">
      <c r="DY14397" s="185" t="s">
        <v>215</v>
      </c>
    </row>
    <row r="14398" spans="129:129" x14ac:dyDescent="0.2">
      <c r="DY14398" s="185" t="s">
        <v>215</v>
      </c>
    </row>
    <row r="14399" spans="129:129" x14ac:dyDescent="0.2">
      <c r="DY14399" s="185" t="s">
        <v>215</v>
      </c>
    </row>
    <row r="14400" spans="129:129" x14ac:dyDescent="0.2">
      <c r="DY14400" s="185" t="s">
        <v>215</v>
      </c>
    </row>
    <row r="14401" spans="129:129" x14ac:dyDescent="0.2">
      <c r="DY14401" s="185" t="s">
        <v>215</v>
      </c>
    </row>
    <row r="14402" spans="129:129" x14ac:dyDescent="0.2">
      <c r="DY14402" s="185" t="s">
        <v>215</v>
      </c>
    </row>
    <row r="14403" spans="129:129" x14ac:dyDescent="0.2">
      <c r="DY14403" s="185" t="s">
        <v>215</v>
      </c>
    </row>
    <row r="14404" spans="129:129" x14ac:dyDescent="0.2">
      <c r="DY14404" s="185" t="s">
        <v>215</v>
      </c>
    </row>
    <row r="14405" spans="129:129" x14ac:dyDescent="0.2">
      <c r="DY14405" s="185" t="s">
        <v>215</v>
      </c>
    </row>
    <row r="14406" spans="129:129" x14ac:dyDescent="0.2">
      <c r="DY14406" s="185" t="s">
        <v>215</v>
      </c>
    </row>
    <row r="14407" spans="129:129" x14ac:dyDescent="0.2">
      <c r="DY14407" s="185" t="s">
        <v>215</v>
      </c>
    </row>
    <row r="14408" spans="129:129" x14ac:dyDescent="0.2">
      <c r="DY14408" s="185" t="s">
        <v>215</v>
      </c>
    </row>
    <row r="14409" spans="129:129" x14ac:dyDescent="0.2">
      <c r="DY14409" s="185" t="s">
        <v>215</v>
      </c>
    </row>
    <row r="14410" spans="129:129" x14ac:dyDescent="0.2">
      <c r="DY14410" s="185" t="s">
        <v>215</v>
      </c>
    </row>
    <row r="14411" spans="129:129" x14ac:dyDescent="0.2">
      <c r="DY14411" s="185" t="s">
        <v>215</v>
      </c>
    </row>
    <row r="14412" spans="129:129" x14ac:dyDescent="0.2">
      <c r="DY14412" s="185" t="s">
        <v>215</v>
      </c>
    </row>
    <row r="14413" spans="129:129" x14ac:dyDescent="0.2">
      <c r="DY14413" s="185" t="s">
        <v>215</v>
      </c>
    </row>
    <row r="14414" spans="129:129" x14ac:dyDescent="0.2">
      <c r="DY14414" s="185" t="s">
        <v>215</v>
      </c>
    </row>
    <row r="14415" spans="129:129" x14ac:dyDescent="0.2">
      <c r="DY14415" s="185" t="s">
        <v>215</v>
      </c>
    </row>
    <row r="14416" spans="129:129" x14ac:dyDescent="0.2">
      <c r="DY14416" s="185" t="s">
        <v>215</v>
      </c>
    </row>
    <row r="14417" spans="129:129" x14ac:dyDescent="0.2">
      <c r="DY14417" s="185" t="s">
        <v>215</v>
      </c>
    </row>
    <row r="14418" spans="129:129" x14ac:dyDescent="0.2">
      <c r="DY14418" s="185" t="s">
        <v>215</v>
      </c>
    </row>
    <row r="14419" spans="129:129" x14ac:dyDescent="0.2">
      <c r="DY14419" s="185" t="s">
        <v>215</v>
      </c>
    </row>
    <row r="14420" spans="129:129" x14ac:dyDescent="0.2">
      <c r="DY14420" s="185" t="s">
        <v>215</v>
      </c>
    </row>
    <row r="14421" spans="129:129" x14ac:dyDescent="0.2">
      <c r="DY14421" s="185" t="s">
        <v>215</v>
      </c>
    </row>
    <row r="14422" spans="129:129" x14ac:dyDescent="0.2">
      <c r="DY14422" s="185" t="s">
        <v>215</v>
      </c>
    </row>
    <row r="14423" spans="129:129" x14ac:dyDescent="0.2">
      <c r="DY14423" s="185" t="s">
        <v>215</v>
      </c>
    </row>
    <row r="14424" spans="129:129" x14ac:dyDescent="0.2">
      <c r="DY14424" s="185" t="s">
        <v>215</v>
      </c>
    </row>
    <row r="14425" spans="129:129" x14ac:dyDescent="0.2">
      <c r="DY14425" s="185" t="s">
        <v>215</v>
      </c>
    </row>
    <row r="14426" spans="129:129" x14ac:dyDescent="0.2">
      <c r="DY14426" s="185" t="s">
        <v>215</v>
      </c>
    </row>
    <row r="14427" spans="129:129" x14ac:dyDescent="0.2">
      <c r="DY14427" s="185" t="s">
        <v>215</v>
      </c>
    </row>
    <row r="14428" spans="129:129" x14ac:dyDescent="0.2">
      <c r="DY14428" s="185" t="s">
        <v>215</v>
      </c>
    </row>
    <row r="14429" spans="129:129" x14ac:dyDescent="0.2">
      <c r="DY14429" s="185" t="s">
        <v>215</v>
      </c>
    </row>
    <row r="14430" spans="129:129" x14ac:dyDescent="0.2">
      <c r="DY14430" s="185" t="s">
        <v>215</v>
      </c>
    </row>
    <row r="14431" spans="129:129" x14ac:dyDescent="0.2">
      <c r="DY14431" s="185" t="s">
        <v>215</v>
      </c>
    </row>
    <row r="14432" spans="129:129" x14ac:dyDescent="0.2">
      <c r="DY14432" s="185" t="s">
        <v>215</v>
      </c>
    </row>
    <row r="14433" spans="129:129" x14ac:dyDescent="0.2">
      <c r="DY14433" s="185" t="s">
        <v>215</v>
      </c>
    </row>
    <row r="14434" spans="129:129" x14ac:dyDescent="0.2">
      <c r="DY14434" s="185" t="s">
        <v>215</v>
      </c>
    </row>
    <row r="14435" spans="129:129" x14ac:dyDescent="0.2">
      <c r="DY14435" s="185" t="s">
        <v>215</v>
      </c>
    </row>
    <row r="14436" spans="129:129" x14ac:dyDescent="0.2">
      <c r="DY14436" s="185" t="s">
        <v>215</v>
      </c>
    </row>
    <row r="14437" spans="129:129" x14ac:dyDescent="0.2">
      <c r="DY14437" s="185" t="s">
        <v>215</v>
      </c>
    </row>
    <row r="14438" spans="129:129" x14ac:dyDescent="0.2">
      <c r="DY14438" s="185" t="s">
        <v>215</v>
      </c>
    </row>
    <row r="14439" spans="129:129" x14ac:dyDescent="0.2">
      <c r="DY14439" s="185" t="s">
        <v>215</v>
      </c>
    </row>
    <row r="14440" spans="129:129" x14ac:dyDescent="0.2">
      <c r="DY14440" s="185" t="s">
        <v>215</v>
      </c>
    </row>
    <row r="14441" spans="129:129" x14ac:dyDescent="0.2">
      <c r="DY14441" s="185" t="s">
        <v>215</v>
      </c>
    </row>
    <row r="14442" spans="129:129" x14ac:dyDescent="0.2">
      <c r="DY14442" s="185" t="s">
        <v>215</v>
      </c>
    </row>
    <row r="14443" spans="129:129" x14ac:dyDescent="0.2">
      <c r="DY14443" s="185" t="s">
        <v>215</v>
      </c>
    </row>
    <row r="14444" spans="129:129" x14ac:dyDescent="0.2">
      <c r="DY14444" s="185" t="s">
        <v>215</v>
      </c>
    </row>
    <row r="14445" spans="129:129" x14ac:dyDescent="0.2">
      <c r="DY14445" s="185" t="s">
        <v>215</v>
      </c>
    </row>
    <row r="14446" spans="129:129" x14ac:dyDescent="0.2">
      <c r="DY14446" s="185" t="s">
        <v>215</v>
      </c>
    </row>
    <row r="14447" spans="129:129" x14ac:dyDescent="0.2">
      <c r="DY14447" s="185" t="s">
        <v>215</v>
      </c>
    </row>
    <row r="14448" spans="129:129" x14ac:dyDescent="0.2">
      <c r="DY14448" s="185" t="s">
        <v>215</v>
      </c>
    </row>
    <row r="14449" spans="129:129" x14ac:dyDescent="0.2">
      <c r="DY14449" s="185" t="s">
        <v>215</v>
      </c>
    </row>
    <row r="14450" spans="129:129" x14ac:dyDescent="0.2">
      <c r="DY14450" s="185" t="s">
        <v>215</v>
      </c>
    </row>
    <row r="14451" spans="129:129" x14ac:dyDescent="0.2">
      <c r="DY14451" s="185" t="s">
        <v>215</v>
      </c>
    </row>
    <row r="14452" spans="129:129" x14ac:dyDescent="0.2">
      <c r="DY14452" s="185" t="s">
        <v>215</v>
      </c>
    </row>
    <row r="14453" spans="129:129" x14ac:dyDescent="0.2">
      <c r="DY14453" s="185" t="s">
        <v>215</v>
      </c>
    </row>
    <row r="14454" spans="129:129" x14ac:dyDescent="0.2">
      <c r="DY14454" s="185" t="s">
        <v>215</v>
      </c>
    </row>
    <row r="14455" spans="129:129" x14ac:dyDescent="0.2">
      <c r="DY14455" s="185" t="s">
        <v>215</v>
      </c>
    </row>
    <row r="14456" spans="129:129" x14ac:dyDescent="0.2">
      <c r="DY14456" s="185" t="s">
        <v>215</v>
      </c>
    </row>
    <row r="14457" spans="129:129" x14ac:dyDescent="0.2">
      <c r="DY14457" s="185" t="s">
        <v>215</v>
      </c>
    </row>
    <row r="14458" spans="129:129" x14ac:dyDescent="0.2">
      <c r="DY14458" s="185" t="s">
        <v>215</v>
      </c>
    </row>
    <row r="14459" spans="129:129" x14ac:dyDescent="0.2">
      <c r="DY14459" s="185" t="s">
        <v>215</v>
      </c>
    </row>
    <row r="14460" spans="129:129" x14ac:dyDescent="0.2">
      <c r="DY14460" s="185" t="s">
        <v>215</v>
      </c>
    </row>
    <row r="14461" spans="129:129" x14ac:dyDescent="0.2">
      <c r="DY14461" s="185" t="s">
        <v>215</v>
      </c>
    </row>
    <row r="14462" spans="129:129" x14ac:dyDescent="0.2">
      <c r="DY14462" s="185" t="s">
        <v>215</v>
      </c>
    </row>
    <row r="14463" spans="129:129" x14ac:dyDescent="0.2">
      <c r="DY14463" s="185" t="s">
        <v>215</v>
      </c>
    </row>
    <row r="14464" spans="129:129" x14ac:dyDescent="0.2">
      <c r="DY14464" s="185" t="s">
        <v>215</v>
      </c>
    </row>
    <row r="14465" spans="129:129" x14ac:dyDescent="0.2">
      <c r="DY14465" s="185" t="s">
        <v>215</v>
      </c>
    </row>
    <row r="14466" spans="129:129" x14ac:dyDescent="0.2">
      <c r="DY14466" s="185" t="s">
        <v>215</v>
      </c>
    </row>
    <row r="14467" spans="129:129" x14ac:dyDescent="0.2">
      <c r="DY14467" s="185" t="s">
        <v>215</v>
      </c>
    </row>
    <row r="14468" spans="129:129" x14ac:dyDescent="0.2">
      <c r="DY14468" s="185" t="s">
        <v>215</v>
      </c>
    </row>
    <row r="14469" spans="129:129" x14ac:dyDescent="0.2">
      <c r="DY14469" s="185" t="s">
        <v>215</v>
      </c>
    </row>
    <row r="14470" spans="129:129" x14ac:dyDescent="0.2">
      <c r="DY14470" s="185" t="s">
        <v>215</v>
      </c>
    </row>
    <row r="14471" spans="129:129" x14ac:dyDescent="0.2">
      <c r="DY14471" s="185" t="s">
        <v>215</v>
      </c>
    </row>
    <row r="14472" spans="129:129" x14ac:dyDescent="0.2">
      <c r="DY14472" s="185" t="s">
        <v>215</v>
      </c>
    </row>
    <row r="14473" spans="129:129" x14ac:dyDescent="0.2">
      <c r="DY14473" s="185" t="s">
        <v>215</v>
      </c>
    </row>
    <row r="14474" spans="129:129" x14ac:dyDescent="0.2">
      <c r="DY14474" s="185" t="s">
        <v>215</v>
      </c>
    </row>
    <row r="14475" spans="129:129" x14ac:dyDescent="0.2">
      <c r="DY14475" s="185" t="s">
        <v>215</v>
      </c>
    </row>
    <row r="14476" spans="129:129" x14ac:dyDescent="0.2">
      <c r="DY14476" s="185" t="s">
        <v>215</v>
      </c>
    </row>
    <row r="14477" spans="129:129" x14ac:dyDescent="0.2">
      <c r="DY14477" s="185" t="s">
        <v>215</v>
      </c>
    </row>
    <row r="14478" spans="129:129" x14ac:dyDescent="0.2">
      <c r="DY14478" s="185" t="s">
        <v>215</v>
      </c>
    </row>
    <row r="14479" spans="129:129" x14ac:dyDescent="0.2">
      <c r="DY14479" s="185" t="s">
        <v>215</v>
      </c>
    </row>
    <row r="14480" spans="129:129" x14ac:dyDescent="0.2">
      <c r="DY14480" s="185" t="s">
        <v>215</v>
      </c>
    </row>
    <row r="14481" spans="129:129" x14ac:dyDescent="0.2">
      <c r="DY14481" s="185" t="s">
        <v>215</v>
      </c>
    </row>
    <row r="14482" spans="129:129" x14ac:dyDescent="0.2">
      <c r="DY14482" s="185" t="s">
        <v>215</v>
      </c>
    </row>
    <row r="14483" spans="129:129" x14ac:dyDescent="0.2">
      <c r="DY14483" s="185" t="s">
        <v>215</v>
      </c>
    </row>
    <row r="14484" spans="129:129" x14ac:dyDescent="0.2">
      <c r="DY14484" s="185" t="s">
        <v>215</v>
      </c>
    </row>
    <row r="14485" spans="129:129" x14ac:dyDescent="0.2">
      <c r="DY14485" s="185" t="s">
        <v>215</v>
      </c>
    </row>
    <row r="14486" spans="129:129" x14ac:dyDescent="0.2">
      <c r="DY14486" s="185" t="s">
        <v>215</v>
      </c>
    </row>
    <row r="14487" spans="129:129" x14ac:dyDescent="0.2">
      <c r="DY14487" s="185" t="s">
        <v>215</v>
      </c>
    </row>
    <row r="14488" spans="129:129" x14ac:dyDescent="0.2">
      <c r="DY14488" s="185" t="s">
        <v>215</v>
      </c>
    </row>
    <row r="14489" spans="129:129" x14ac:dyDescent="0.2">
      <c r="DY14489" s="185" t="s">
        <v>215</v>
      </c>
    </row>
    <row r="14490" spans="129:129" x14ac:dyDescent="0.2">
      <c r="DY14490" s="185" t="s">
        <v>215</v>
      </c>
    </row>
    <row r="14491" spans="129:129" x14ac:dyDescent="0.2">
      <c r="DY14491" s="185" t="s">
        <v>215</v>
      </c>
    </row>
    <row r="14492" spans="129:129" x14ac:dyDescent="0.2">
      <c r="DY14492" s="185" t="s">
        <v>215</v>
      </c>
    </row>
    <row r="14493" spans="129:129" x14ac:dyDescent="0.2">
      <c r="DY14493" s="185" t="s">
        <v>215</v>
      </c>
    </row>
    <row r="14494" spans="129:129" x14ac:dyDescent="0.2">
      <c r="DY14494" s="185" t="s">
        <v>215</v>
      </c>
    </row>
    <row r="14495" spans="129:129" x14ac:dyDescent="0.2">
      <c r="DY14495" s="185" t="s">
        <v>215</v>
      </c>
    </row>
    <row r="14496" spans="129:129" x14ac:dyDescent="0.2">
      <c r="DY14496" s="185" t="s">
        <v>215</v>
      </c>
    </row>
    <row r="14497" spans="129:129" x14ac:dyDescent="0.2">
      <c r="DY14497" s="185" t="s">
        <v>215</v>
      </c>
    </row>
    <row r="14498" spans="129:129" x14ac:dyDescent="0.2">
      <c r="DY14498" s="185" t="s">
        <v>215</v>
      </c>
    </row>
    <row r="14499" spans="129:129" x14ac:dyDescent="0.2">
      <c r="DY14499" s="185" t="s">
        <v>215</v>
      </c>
    </row>
    <row r="14500" spans="129:129" x14ac:dyDescent="0.2">
      <c r="DY14500" s="185" t="s">
        <v>215</v>
      </c>
    </row>
    <row r="14501" spans="129:129" x14ac:dyDescent="0.2">
      <c r="DY14501" s="185" t="s">
        <v>215</v>
      </c>
    </row>
    <row r="14502" spans="129:129" x14ac:dyDescent="0.2">
      <c r="DY14502" s="185" t="s">
        <v>215</v>
      </c>
    </row>
    <row r="14503" spans="129:129" x14ac:dyDescent="0.2">
      <c r="DY14503" s="185" t="s">
        <v>215</v>
      </c>
    </row>
    <row r="14504" spans="129:129" x14ac:dyDescent="0.2">
      <c r="DY14504" s="185" t="s">
        <v>215</v>
      </c>
    </row>
    <row r="14505" spans="129:129" x14ac:dyDescent="0.2">
      <c r="DY14505" s="185" t="s">
        <v>215</v>
      </c>
    </row>
    <row r="14506" spans="129:129" x14ac:dyDescent="0.2">
      <c r="DY14506" s="185" t="s">
        <v>215</v>
      </c>
    </row>
    <row r="14507" spans="129:129" x14ac:dyDescent="0.2">
      <c r="DY14507" s="185" t="s">
        <v>215</v>
      </c>
    </row>
    <row r="14508" spans="129:129" x14ac:dyDescent="0.2">
      <c r="DY14508" s="185" t="s">
        <v>215</v>
      </c>
    </row>
    <row r="14509" spans="129:129" x14ac:dyDescent="0.2">
      <c r="DY14509" s="185" t="s">
        <v>215</v>
      </c>
    </row>
    <row r="14510" spans="129:129" x14ac:dyDescent="0.2">
      <c r="DY14510" s="185" t="s">
        <v>215</v>
      </c>
    </row>
    <row r="14511" spans="129:129" x14ac:dyDescent="0.2">
      <c r="DY14511" s="185" t="s">
        <v>215</v>
      </c>
    </row>
    <row r="14512" spans="129:129" x14ac:dyDescent="0.2">
      <c r="DY14512" s="185" t="s">
        <v>215</v>
      </c>
    </row>
    <row r="14513" spans="129:129" x14ac:dyDescent="0.2">
      <c r="DY14513" s="185" t="s">
        <v>215</v>
      </c>
    </row>
    <row r="14514" spans="129:129" x14ac:dyDescent="0.2">
      <c r="DY14514" s="185" t="s">
        <v>215</v>
      </c>
    </row>
    <row r="14515" spans="129:129" x14ac:dyDescent="0.2">
      <c r="DY14515" s="185" t="s">
        <v>215</v>
      </c>
    </row>
    <row r="14516" spans="129:129" x14ac:dyDescent="0.2">
      <c r="DY14516" s="185" t="s">
        <v>215</v>
      </c>
    </row>
    <row r="14517" spans="129:129" x14ac:dyDescent="0.2">
      <c r="DY14517" s="185" t="s">
        <v>215</v>
      </c>
    </row>
    <row r="14518" spans="129:129" x14ac:dyDescent="0.2">
      <c r="DY14518" s="185" t="s">
        <v>215</v>
      </c>
    </row>
    <row r="14519" spans="129:129" x14ac:dyDescent="0.2">
      <c r="DY14519" s="185" t="s">
        <v>215</v>
      </c>
    </row>
    <row r="14520" spans="129:129" x14ac:dyDescent="0.2">
      <c r="DY14520" s="185" t="s">
        <v>215</v>
      </c>
    </row>
    <row r="14521" spans="129:129" x14ac:dyDescent="0.2">
      <c r="DY14521" s="185" t="s">
        <v>215</v>
      </c>
    </row>
    <row r="14522" spans="129:129" x14ac:dyDescent="0.2">
      <c r="DY14522" s="185" t="s">
        <v>215</v>
      </c>
    </row>
    <row r="14523" spans="129:129" x14ac:dyDescent="0.2">
      <c r="DY14523" s="185" t="s">
        <v>215</v>
      </c>
    </row>
    <row r="14524" spans="129:129" x14ac:dyDescent="0.2">
      <c r="DY14524" s="185" t="s">
        <v>215</v>
      </c>
    </row>
    <row r="14525" spans="129:129" x14ac:dyDescent="0.2">
      <c r="DY14525" s="185" t="s">
        <v>215</v>
      </c>
    </row>
    <row r="14526" spans="129:129" x14ac:dyDescent="0.2">
      <c r="DY14526" s="185" t="s">
        <v>215</v>
      </c>
    </row>
    <row r="14527" spans="129:129" x14ac:dyDescent="0.2">
      <c r="DY14527" s="185" t="s">
        <v>215</v>
      </c>
    </row>
    <row r="14528" spans="129:129" x14ac:dyDescent="0.2">
      <c r="DY14528" s="185" t="s">
        <v>215</v>
      </c>
    </row>
    <row r="14529" spans="129:129" x14ac:dyDescent="0.2">
      <c r="DY14529" s="185" t="s">
        <v>215</v>
      </c>
    </row>
    <row r="14530" spans="129:129" x14ac:dyDescent="0.2">
      <c r="DY14530" s="185" t="s">
        <v>215</v>
      </c>
    </row>
    <row r="14531" spans="129:129" x14ac:dyDescent="0.2">
      <c r="DY14531" s="185" t="s">
        <v>215</v>
      </c>
    </row>
    <row r="14532" spans="129:129" x14ac:dyDescent="0.2">
      <c r="DY14532" s="185" t="s">
        <v>215</v>
      </c>
    </row>
    <row r="14533" spans="129:129" x14ac:dyDescent="0.2">
      <c r="DY14533" s="185" t="s">
        <v>215</v>
      </c>
    </row>
    <row r="14534" spans="129:129" x14ac:dyDescent="0.2">
      <c r="DY14534" s="185" t="s">
        <v>215</v>
      </c>
    </row>
    <row r="14535" spans="129:129" x14ac:dyDescent="0.2">
      <c r="DY14535" s="185" t="s">
        <v>215</v>
      </c>
    </row>
    <row r="14536" spans="129:129" x14ac:dyDescent="0.2">
      <c r="DY14536" s="185" t="s">
        <v>215</v>
      </c>
    </row>
    <row r="14537" spans="129:129" x14ac:dyDescent="0.2">
      <c r="DY14537" s="185" t="s">
        <v>215</v>
      </c>
    </row>
    <row r="14538" spans="129:129" x14ac:dyDescent="0.2">
      <c r="DY14538" s="185" t="s">
        <v>215</v>
      </c>
    </row>
    <row r="14539" spans="129:129" x14ac:dyDescent="0.2">
      <c r="DY14539" s="185" t="s">
        <v>215</v>
      </c>
    </row>
    <row r="14540" spans="129:129" x14ac:dyDescent="0.2">
      <c r="DY14540" s="185" t="s">
        <v>215</v>
      </c>
    </row>
    <row r="14541" spans="129:129" x14ac:dyDescent="0.2">
      <c r="DY14541" s="185" t="s">
        <v>215</v>
      </c>
    </row>
    <row r="14542" spans="129:129" x14ac:dyDescent="0.2">
      <c r="DY14542" s="185" t="s">
        <v>215</v>
      </c>
    </row>
    <row r="14543" spans="129:129" x14ac:dyDescent="0.2">
      <c r="DY14543" s="185" t="s">
        <v>215</v>
      </c>
    </row>
    <row r="14544" spans="129:129" x14ac:dyDescent="0.2">
      <c r="DY14544" s="185" t="s">
        <v>215</v>
      </c>
    </row>
    <row r="14545" spans="129:129" x14ac:dyDescent="0.2">
      <c r="DY14545" s="185" t="s">
        <v>215</v>
      </c>
    </row>
    <row r="14546" spans="129:129" x14ac:dyDescent="0.2">
      <c r="DY14546" s="185" t="s">
        <v>215</v>
      </c>
    </row>
    <row r="14547" spans="129:129" x14ac:dyDescent="0.2">
      <c r="DY14547" s="185" t="s">
        <v>215</v>
      </c>
    </row>
    <row r="14548" spans="129:129" x14ac:dyDescent="0.2">
      <c r="DY14548" s="185" t="s">
        <v>215</v>
      </c>
    </row>
    <row r="14549" spans="129:129" x14ac:dyDescent="0.2">
      <c r="DY14549" s="185" t="s">
        <v>215</v>
      </c>
    </row>
    <row r="14550" spans="129:129" x14ac:dyDescent="0.2">
      <c r="DY14550" s="185" t="s">
        <v>215</v>
      </c>
    </row>
    <row r="14551" spans="129:129" x14ac:dyDescent="0.2">
      <c r="DY14551" s="185" t="s">
        <v>215</v>
      </c>
    </row>
    <row r="14552" spans="129:129" x14ac:dyDescent="0.2">
      <c r="DY14552" s="185" t="s">
        <v>215</v>
      </c>
    </row>
    <row r="14553" spans="129:129" x14ac:dyDescent="0.2">
      <c r="DY14553" s="185" t="s">
        <v>215</v>
      </c>
    </row>
    <row r="14554" spans="129:129" x14ac:dyDescent="0.2">
      <c r="DY14554" s="185" t="s">
        <v>215</v>
      </c>
    </row>
    <row r="14555" spans="129:129" x14ac:dyDescent="0.2">
      <c r="DY14555" s="185" t="s">
        <v>215</v>
      </c>
    </row>
    <row r="14556" spans="129:129" x14ac:dyDescent="0.2">
      <c r="DY14556" s="185" t="s">
        <v>215</v>
      </c>
    </row>
    <row r="14557" spans="129:129" x14ac:dyDescent="0.2">
      <c r="DY14557" s="185" t="s">
        <v>215</v>
      </c>
    </row>
    <row r="14558" spans="129:129" x14ac:dyDescent="0.2">
      <c r="DY14558" s="185" t="s">
        <v>215</v>
      </c>
    </row>
    <row r="14559" spans="129:129" x14ac:dyDescent="0.2">
      <c r="DY14559" s="185" t="s">
        <v>215</v>
      </c>
    </row>
    <row r="14560" spans="129:129" x14ac:dyDescent="0.2">
      <c r="DY14560" s="185" t="s">
        <v>215</v>
      </c>
    </row>
    <row r="14561" spans="129:129" x14ac:dyDescent="0.2">
      <c r="DY14561" s="185" t="s">
        <v>215</v>
      </c>
    </row>
    <row r="14562" spans="129:129" x14ac:dyDescent="0.2">
      <c r="DY14562" s="185" t="s">
        <v>215</v>
      </c>
    </row>
    <row r="14563" spans="129:129" x14ac:dyDescent="0.2">
      <c r="DY14563" s="185" t="s">
        <v>215</v>
      </c>
    </row>
    <row r="14564" spans="129:129" x14ac:dyDescent="0.2">
      <c r="DY14564" s="185" t="s">
        <v>215</v>
      </c>
    </row>
    <row r="14565" spans="129:129" x14ac:dyDescent="0.2">
      <c r="DY14565" s="185" t="s">
        <v>215</v>
      </c>
    </row>
    <row r="14566" spans="129:129" x14ac:dyDescent="0.2">
      <c r="DY14566" s="185" t="s">
        <v>215</v>
      </c>
    </row>
    <row r="14567" spans="129:129" x14ac:dyDescent="0.2">
      <c r="DY14567" s="185" t="s">
        <v>215</v>
      </c>
    </row>
    <row r="14568" spans="129:129" x14ac:dyDescent="0.2">
      <c r="DY14568" s="185" t="s">
        <v>215</v>
      </c>
    </row>
    <row r="14569" spans="129:129" x14ac:dyDescent="0.2">
      <c r="DY14569" s="185" t="s">
        <v>215</v>
      </c>
    </row>
    <row r="14570" spans="129:129" x14ac:dyDescent="0.2">
      <c r="DY14570" s="185" t="s">
        <v>215</v>
      </c>
    </row>
    <row r="14571" spans="129:129" x14ac:dyDescent="0.2">
      <c r="DY14571" s="185" t="s">
        <v>215</v>
      </c>
    </row>
    <row r="14572" spans="129:129" x14ac:dyDescent="0.2">
      <c r="DY14572" s="185" t="s">
        <v>215</v>
      </c>
    </row>
    <row r="14573" spans="129:129" x14ac:dyDescent="0.2">
      <c r="DY14573" s="185" t="s">
        <v>215</v>
      </c>
    </row>
    <row r="14574" spans="129:129" x14ac:dyDescent="0.2">
      <c r="DY14574" s="185" t="s">
        <v>215</v>
      </c>
    </row>
    <row r="14575" spans="129:129" x14ac:dyDescent="0.2">
      <c r="DY14575" s="185" t="s">
        <v>215</v>
      </c>
    </row>
    <row r="14576" spans="129:129" x14ac:dyDescent="0.2">
      <c r="DY14576" s="185" t="s">
        <v>215</v>
      </c>
    </row>
    <row r="14577" spans="129:129" x14ac:dyDescent="0.2">
      <c r="DY14577" s="185" t="s">
        <v>215</v>
      </c>
    </row>
    <row r="14578" spans="129:129" x14ac:dyDescent="0.2">
      <c r="DY14578" s="185" t="s">
        <v>215</v>
      </c>
    </row>
    <row r="14579" spans="129:129" x14ac:dyDescent="0.2">
      <c r="DY14579" s="185" t="s">
        <v>215</v>
      </c>
    </row>
    <row r="14580" spans="129:129" x14ac:dyDescent="0.2">
      <c r="DY14580" s="185" t="s">
        <v>215</v>
      </c>
    </row>
    <row r="14581" spans="129:129" x14ac:dyDescent="0.2">
      <c r="DY14581" s="185" t="s">
        <v>215</v>
      </c>
    </row>
    <row r="14582" spans="129:129" x14ac:dyDescent="0.2">
      <c r="DY14582" s="185" t="s">
        <v>215</v>
      </c>
    </row>
    <row r="14583" spans="129:129" x14ac:dyDescent="0.2">
      <c r="DY14583" s="185" t="s">
        <v>215</v>
      </c>
    </row>
    <row r="14584" spans="129:129" x14ac:dyDescent="0.2">
      <c r="DY14584" s="185" t="s">
        <v>215</v>
      </c>
    </row>
    <row r="14585" spans="129:129" x14ac:dyDescent="0.2">
      <c r="DY14585" s="185" t="s">
        <v>215</v>
      </c>
    </row>
    <row r="14586" spans="129:129" x14ac:dyDescent="0.2">
      <c r="DY14586" s="185" t="s">
        <v>215</v>
      </c>
    </row>
    <row r="14587" spans="129:129" x14ac:dyDescent="0.2">
      <c r="DY14587" s="185" t="s">
        <v>215</v>
      </c>
    </row>
    <row r="14588" spans="129:129" x14ac:dyDescent="0.2">
      <c r="DY14588" s="185" t="s">
        <v>215</v>
      </c>
    </row>
    <row r="14589" spans="129:129" x14ac:dyDescent="0.2">
      <c r="DY14589" s="185" t="s">
        <v>215</v>
      </c>
    </row>
    <row r="14590" spans="129:129" x14ac:dyDescent="0.2">
      <c r="DY14590" s="185" t="s">
        <v>215</v>
      </c>
    </row>
    <row r="14591" spans="129:129" x14ac:dyDescent="0.2">
      <c r="DY14591" s="185" t="s">
        <v>215</v>
      </c>
    </row>
    <row r="14592" spans="129:129" x14ac:dyDescent="0.2">
      <c r="DY14592" s="185" t="s">
        <v>215</v>
      </c>
    </row>
    <row r="14593" spans="129:129" x14ac:dyDescent="0.2">
      <c r="DY14593" s="185" t="s">
        <v>215</v>
      </c>
    </row>
    <row r="14594" spans="129:129" x14ac:dyDescent="0.2">
      <c r="DY14594" s="185" t="s">
        <v>215</v>
      </c>
    </row>
    <row r="14595" spans="129:129" x14ac:dyDescent="0.2">
      <c r="DY14595" s="185" t="s">
        <v>215</v>
      </c>
    </row>
    <row r="14596" spans="129:129" x14ac:dyDescent="0.2">
      <c r="DY14596" s="185" t="s">
        <v>215</v>
      </c>
    </row>
    <row r="14597" spans="129:129" x14ac:dyDescent="0.2">
      <c r="DY14597" s="185" t="s">
        <v>215</v>
      </c>
    </row>
    <row r="14598" spans="129:129" x14ac:dyDescent="0.2">
      <c r="DY14598" s="185" t="s">
        <v>215</v>
      </c>
    </row>
    <row r="14599" spans="129:129" x14ac:dyDescent="0.2">
      <c r="DY14599" s="185" t="s">
        <v>215</v>
      </c>
    </row>
    <row r="14600" spans="129:129" x14ac:dyDescent="0.2">
      <c r="DY14600" s="185" t="s">
        <v>215</v>
      </c>
    </row>
    <row r="14601" spans="129:129" x14ac:dyDescent="0.2">
      <c r="DY14601" s="185" t="s">
        <v>215</v>
      </c>
    </row>
    <row r="14602" spans="129:129" x14ac:dyDescent="0.2">
      <c r="DY14602" s="185" t="s">
        <v>215</v>
      </c>
    </row>
    <row r="14603" spans="129:129" x14ac:dyDescent="0.2">
      <c r="DY14603" s="185" t="s">
        <v>215</v>
      </c>
    </row>
    <row r="14604" spans="129:129" x14ac:dyDescent="0.2">
      <c r="DY14604" s="185" t="s">
        <v>215</v>
      </c>
    </row>
    <row r="14605" spans="129:129" x14ac:dyDescent="0.2">
      <c r="DY14605" s="185" t="s">
        <v>215</v>
      </c>
    </row>
    <row r="14606" spans="129:129" x14ac:dyDescent="0.2">
      <c r="DY14606" s="185" t="s">
        <v>215</v>
      </c>
    </row>
    <row r="14607" spans="129:129" x14ac:dyDescent="0.2">
      <c r="DY14607" s="185" t="s">
        <v>215</v>
      </c>
    </row>
    <row r="14608" spans="129:129" x14ac:dyDescent="0.2">
      <c r="DY14608" s="185" t="s">
        <v>215</v>
      </c>
    </row>
    <row r="14609" spans="129:129" x14ac:dyDescent="0.2">
      <c r="DY14609" s="185" t="s">
        <v>215</v>
      </c>
    </row>
    <row r="14610" spans="129:129" x14ac:dyDescent="0.2">
      <c r="DY14610" s="185" t="s">
        <v>215</v>
      </c>
    </row>
    <row r="14611" spans="129:129" x14ac:dyDescent="0.2">
      <c r="DY14611" s="185" t="s">
        <v>215</v>
      </c>
    </row>
    <row r="14612" spans="129:129" x14ac:dyDescent="0.2">
      <c r="DY14612" s="185" t="s">
        <v>215</v>
      </c>
    </row>
    <row r="14613" spans="129:129" x14ac:dyDescent="0.2">
      <c r="DY14613" s="185" t="s">
        <v>215</v>
      </c>
    </row>
    <row r="14614" spans="129:129" x14ac:dyDescent="0.2">
      <c r="DY14614" s="185" t="s">
        <v>215</v>
      </c>
    </row>
    <row r="14615" spans="129:129" x14ac:dyDescent="0.2">
      <c r="DY14615" s="185" t="s">
        <v>215</v>
      </c>
    </row>
    <row r="14616" spans="129:129" x14ac:dyDescent="0.2">
      <c r="DY14616" s="185" t="s">
        <v>215</v>
      </c>
    </row>
    <row r="14617" spans="129:129" x14ac:dyDescent="0.2">
      <c r="DY14617" s="185" t="s">
        <v>215</v>
      </c>
    </row>
    <row r="14618" spans="129:129" x14ac:dyDescent="0.2">
      <c r="DY14618" s="185" t="s">
        <v>215</v>
      </c>
    </row>
    <row r="14619" spans="129:129" x14ac:dyDescent="0.2">
      <c r="DY14619" s="185" t="s">
        <v>215</v>
      </c>
    </row>
    <row r="14620" spans="129:129" x14ac:dyDescent="0.2">
      <c r="DY14620" s="185" t="s">
        <v>215</v>
      </c>
    </row>
    <row r="14621" spans="129:129" x14ac:dyDescent="0.2">
      <c r="DY14621" s="185" t="s">
        <v>215</v>
      </c>
    </row>
    <row r="14622" spans="129:129" x14ac:dyDescent="0.2">
      <c r="DY14622" s="185" t="s">
        <v>215</v>
      </c>
    </row>
    <row r="14623" spans="129:129" x14ac:dyDescent="0.2">
      <c r="DY14623" s="185" t="s">
        <v>215</v>
      </c>
    </row>
    <row r="14624" spans="129:129" x14ac:dyDescent="0.2">
      <c r="DY14624" s="185" t="s">
        <v>215</v>
      </c>
    </row>
    <row r="14625" spans="129:129" x14ac:dyDescent="0.2">
      <c r="DY14625" s="185" t="s">
        <v>215</v>
      </c>
    </row>
    <row r="14626" spans="129:129" x14ac:dyDescent="0.2">
      <c r="DY14626" s="185" t="s">
        <v>215</v>
      </c>
    </row>
    <row r="14627" spans="129:129" x14ac:dyDescent="0.2">
      <c r="DY14627" s="185" t="s">
        <v>215</v>
      </c>
    </row>
    <row r="14628" spans="129:129" x14ac:dyDescent="0.2">
      <c r="DY14628" s="185" t="s">
        <v>215</v>
      </c>
    </row>
    <row r="14629" spans="129:129" x14ac:dyDescent="0.2">
      <c r="DY14629" s="185" t="s">
        <v>215</v>
      </c>
    </row>
    <row r="14630" spans="129:129" x14ac:dyDescent="0.2">
      <c r="DY14630" s="185" t="s">
        <v>215</v>
      </c>
    </row>
    <row r="14631" spans="129:129" x14ac:dyDescent="0.2">
      <c r="DY14631" s="185" t="s">
        <v>215</v>
      </c>
    </row>
    <row r="14632" spans="129:129" x14ac:dyDescent="0.2">
      <c r="DY14632" s="185" t="s">
        <v>215</v>
      </c>
    </row>
    <row r="14633" spans="129:129" x14ac:dyDescent="0.2">
      <c r="DY14633" s="185" t="s">
        <v>215</v>
      </c>
    </row>
    <row r="14634" spans="129:129" x14ac:dyDescent="0.2">
      <c r="DY14634" s="185" t="s">
        <v>215</v>
      </c>
    </row>
    <row r="14635" spans="129:129" x14ac:dyDescent="0.2">
      <c r="DY14635" s="185" t="s">
        <v>215</v>
      </c>
    </row>
    <row r="14636" spans="129:129" x14ac:dyDescent="0.2">
      <c r="DY14636" s="185" t="s">
        <v>215</v>
      </c>
    </row>
    <row r="14637" spans="129:129" x14ac:dyDescent="0.2">
      <c r="DY14637" s="185" t="s">
        <v>215</v>
      </c>
    </row>
    <row r="14638" spans="129:129" x14ac:dyDescent="0.2">
      <c r="DY14638" s="185" t="s">
        <v>215</v>
      </c>
    </row>
    <row r="14639" spans="129:129" x14ac:dyDescent="0.2">
      <c r="DY14639" s="185" t="s">
        <v>215</v>
      </c>
    </row>
    <row r="14640" spans="129:129" x14ac:dyDescent="0.2">
      <c r="DY14640" s="185" t="s">
        <v>215</v>
      </c>
    </row>
    <row r="14641" spans="129:129" x14ac:dyDescent="0.2">
      <c r="DY14641" s="185" t="s">
        <v>215</v>
      </c>
    </row>
    <row r="14642" spans="129:129" x14ac:dyDescent="0.2">
      <c r="DY14642" s="185" t="s">
        <v>215</v>
      </c>
    </row>
    <row r="14643" spans="129:129" x14ac:dyDescent="0.2">
      <c r="DY14643" s="185" t="s">
        <v>215</v>
      </c>
    </row>
    <row r="14644" spans="129:129" x14ac:dyDescent="0.2">
      <c r="DY14644" s="185" t="s">
        <v>215</v>
      </c>
    </row>
    <row r="14645" spans="129:129" x14ac:dyDescent="0.2">
      <c r="DY14645" s="185" t="s">
        <v>215</v>
      </c>
    </row>
    <row r="14646" spans="129:129" x14ac:dyDescent="0.2">
      <c r="DY14646" s="185" t="s">
        <v>215</v>
      </c>
    </row>
    <row r="14647" spans="129:129" x14ac:dyDescent="0.2">
      <c r="DY14647" s="185" t="s">
        <v>215</v>
      </c>
    </row>
    <row r="14648" spans="129:129" x14ac:dyDescent="0.2">
      <c r="DY14648" s="185" t="s">
        <v>215</v>
      </c>
    </row>
    <row r="14649" spans="129:129" x14ac:dyDescent="0.2">
      <c r="DY14649" s="185" t="s">
        <v>215</v>
      </c>
    </row>
    <row r="14650" spans="129:129" x14ac:dyDescent="0.2">
      <c r="DY14650" s="185" t="s">
        <v>215</v>
      </c>
    </row>
    <row r="14651" spans="129:129" x14ac:dyDescent="0.2">
      <c r="DY14651" s="185" t="s">
        <v>215</v>
      </c>
    </row>
    <row r="14652" spans="129:129" x14ac:dyDescent="0.2">
      <c r="DY14652" s="185" t="s">
        <v>215</v>
      </c>
    </row>
    <row r="14653" spans="129:129" x14ac:dyDescent="0.2">
      <c r="DY14653" s="185" t="s">
        <v>215</v>
      </c>
    </row>
    <row r="14654" spans="129:129" x14ac:dyDescent="0.2">
      <c r="DY14654" s="185" t="s">
        <v>215</v>
      </c>
    </row>
    <row r="14655" spans="129:129" x14ac:dyDescent="0.2">
      <c r="DY14655" s="185" t="s">
        <v>215</v>
      </c>
    </row>
    <row r="14656" spans="129:129" x14ac:dyDescent="0.2">
      <c r="DY14656" s="185" t="s">
        <v>215</v>
      </c>
    </row>
    <row r="14657" spans="129:129" x14ac:dyDescent="0.2">
      <c r="DY14657" s="185" t="s">
        <v>215</v>
      </c>
    </row>
    <row r="14658" spans="129:129" x14ac:dyDescent="0.2">
      <c r="DY14658" s="185" t="s">
        <v>215</v>
      </c>
    </row>
    <row r="14659" spans="129:129" x14ac:dyDescent="0.2">
      <c r="DY14659" s="185" t="s">
        <v>215</v>
      </c>
    </row>
    <row r="14660" spans="129:129" x14ac:dyDescent="0.2">
      <c r="DY14660" s="185" t="s">
        <v>215</v>
      </c>
    </row>
    <row r="14661" spans="129:129" x14ac:dyDescent="0.2">
      <c r="DY14661" s="185" t="s">
        <v>215</v>
      </c>
    </row>
    <row r="14662" spans="129:129" x14ac:dyDescent="0.2">
      <c r="DY14662" s="185" t="s">
        <v>215</v>
      </c>
    </row>
    <row r="14663" spans="129:129" x14ac:dyDescent="0.2">
      <c r="DY14663" s="185" t="s">
        <v>215</v>
      </c>
    </row>
    <row r="14664" spans="129:129" x14ac:dyDescent="0.2">
      <c r="DY14664" s="185" t="s">
        <v>215</v>
      </c>
    </row>
    <row r="14665" spans="129:129" x14ac:dyDescent="0.2">
      <c r="DY14665" s="185" t="s">
        <v>215</v>
      </c>
    </row>
    <row r="14666" spans="129:129" x14ac:dyDescent="0.2">
      <c r="DY14666" s="185" t="s">
        <v>215</v>
      </c>
    </row>
    <row r="14667" spans="129:129" x14ac:dyDescent="0.2">
      <c r="DY14667" s="185" t="s">
        <v>215</v>
      </c>
    </row>
    <row r="14668" spans="129:129" x14ac:dyDescent="0.2">
      <c r="DY14668" s="185" t="s">
        <v>215</v>
      </c>
    </row>
    <row r="14669" spans="129:129" x14ac:dyDescent="0.2">
      <c r="DY14669" s="185" t="s">
        <v>215</v>
      </c>
    </row>
    <row r="14670" spans="129:129" x14ac:dyDescent="0.2">
      <c r="DY14670" s="185" t="s">
        <v>215</v>
      </c>
    </row>
    <row r="14671" spans="129:129" x14ac:dyDescent="0.2">
      <c r="DY14671" s="185" t="s">
        <v>215</v>
      </c>
    </row>
    <row r="14672" spans="129:129" x14ac:dyDescent="0.2">
      <c r="DY14672" s="185" t="s">
        <v>215</v>
      </c>
    </row>
    <row r="14673" spans="129:129" x14ac:dyDescent="0.2">
      <c r="DY14673" s="185" t="s">
        <v>215</v>
      </c>
    </row>
    <row r="14674" spans="129:129" x14ac:dyDescent="0.2">
      <c r="DY14674" s="185" t="s">
        <v>215</v>
      </c>
    </row>
    <row r="14675" spans="129:129" x14ac:dyDescent="0.2">
      <c r="DY14675" s="185" t="s">
        <v>215</v>
      </c>
    </row>
    <row r="14676" spans="129:129" x14ac:dyDescent="0.2">
      <c r="DY14676" s="185" t="s">
        <v>215</v>
      </c>
    </row>
    <row r="14677" spans="129:129" x14ac:dyDescent="0.2">
      <c r="DY14677" s="185" t="s">
        <v>215</v>
      </c>
    </row>
    <row r="14678" spans="129:129" x14ac:dyDescent="0.2">
      <c r="DY14678" s="185" t="s">
        <v>215</v>
      </c>
    </row>
    <row r="14679" spans="129:129" x14ac:dyDescent="0.2">
      <c r="DY14679" s="185" t="s">
        <v>215</v>
      </c>
    </row>
    <row r="14680" spans="129:129" x14ac:dyDescent="0.2">
      <c r="DY14680" s="185" t="s">
        <v>215</v>
      </c>
    </row>
    <row r="14681" spans="129:129" x14ac:dyDescent="0.2">
      <c r="DY14681" s="185" t="s">
        <v>215</v>
      </c>
    </row>
    <row r="14682" spans="129:129" x14ac:dyDescent="0.2">
      <c r="DY14682" s="185" t="s">
        <v>215</v>
      </c>
    </row>
    <row r="14683" spans="129:129" x14ac:dyDescent="0.2">
      <c r="DY14683" s="185" t="s">
        <v>215</v>
      </c>
    </row>
    <row r="14684" spans="129:129" x14ac:dyDescent="0.2">
      <c r="DY14684" s="185" t="s">
        <v>215</v>
      </c>
    </row>
    <row r="14685" spans="129:129" x14ac:dyDescent="0.2">
      <c r="DY14685" s="185" t="s">
        <v>215</v>
      </c>
    </row>
    <row r="14686" spans="129:129" x14ac:dyDescent="0.2">
      <c r="DY14686" s="185" t="s">
        <v>215</v>
      </c>
    </row>
    <row r="14687" spans="129:129" x14ac:dyDescent="0.2">
      <c r="DY14687" s="185" t="s">
        <v>215</v>
      </c>
    </row>
    <row r="14688" spans="129:129" x14ac:dyDescent="0.2">
      <c r="DY14688" s="185" t="s">
        <v>215</v>
      </c>
    </row>
    <row r="14689" spans="129:129" x14ac:dyDescent="0.2">
      <c r="DY14689" s="185" t="s">
        <v>215</v>
      </c>
    </row>
    <row r="14690" spans="129:129" x14ac:dyDescent="0.2">
      <c r="DY14690" s="185" t="s">
        <v>215</v>
      </c>
    </row>
    <row r="14691" spans="129:129" x14ac:dyDescent="0.2">
      <c r="DY14691" s="185" t="s">
        <v>215</v>
      </c>
    </row>
    <row r="14692" spans="129:129" x14ac:dyDescent="0.2">
      <c r="DY14692" s="185" t="s">
        <v>215</v>
      </c>
    </row>
    <row r="14693" spans="129:129" x14ac:dyDescent="0.2">
      <c r="DY14693" s="185" t="s">
        <v>215</v>
      </c>
    </row>
    <row r="14694" spans="129:129" x14ac:dyDescent="0.2">
      <c r="DY14694" s="185" t="s">
        <v>215</v>
      </c>
    </row>
    <row r="14695" spans="129:129" x14ac:dyDescent="0.2">
      <c r="DY14695" s="185" t="s">
        <v>215</v>
      </c>
    </row>
    <row r="14696" spans="129:129" x14ac:dyDescent="0.2">
      <c r="DY14696" s="185" t="s">
        <v>215</v>
      </c>
    </row>
    <row r="14697" spans="129:129" x14ac:dyDescent="0.2">
      <c r="DY14697" s="185" t="s">
        <v>215</v>
      </c>
    </row>
    <row r="14698" spans="129:129" x14ac:dyDescent="0.2">
      <c r="DY14698" s="185" t="s">
        <v>215</v>
      </c>
    </row>
    <row r="14699" spans="129:129" x14ac:dyDescent="0.2">
      <c r="DY14699" s="185" t="s">
        <v>215</v>
      </c>
    </row>
    <row r="14700" spans="129:129" x14ac:dyDescent="0.2">
      <c r="DY14700" s="185" t="s">
        <v>215</v>
      </c>
    </row>
    <row r="14701" spans="129:129" x14ac:dyDescent="0.2">
      <c r="DY14701" s="185" t="s">
        <v>215</v>
      </c>
    </row>
    <row r="14702" spans="129:129" x14ac:dyDescent="0.2">
      <c r="DY14702" s="185" t="s">
        <v>215</v>
      </c>
    </row>
    <row r="14703" spans="129:129" x14ac:dyDescent="0.2">
      <c r="DY14703" s="185" t="s">
        <v>215</v>
      </c>
    </row>
    <row r="14704" spans="129:129" x14ac:dyDescent="0.2">
      <c r="DY14704" s="185" t="s">
        <v>215</v>
      </c>
    </row>
    <row r="14705" spans="129:129" x14ac:dyDescent="0.2">
      <c r="DY14705" s="185" t="s">
        <v>215</v>
      </c>
    </row>
    <row r="14706" spans="129:129" x14ac:dyDescent="0.2">
      <c r="DY14706" s="185" t="s">
        <v>215</v>
      </c>
    </row>
    <row r="14707" spans="129:129" x14ac:dyDescent="0.2">
      <c r="DY14707" s="185" t="s">
        <v>215</v>
      </c>
    </row>
    <row r="14708" spans="129:129" x14ac:dyDescent="0.2">
      <c r="DY14708" s="185" t="s">
        <v>215</v>
      </c>
    </row>
    <row r="14709" spans="129:129" x14ac:dyDescent="0.2">
      <c r="DY14709" s="185" t="s">
        <v>215</v>
      </c>
    </row>
    <row r="14710" spans="129:129" x14ac:dyDescent="0.2">
      <c r="DY14710" s="185" t="s">
        <v>215</v>
      </c>
    </row>
    <row r="14711" spans="129:129" x14ac:dyDescent="0.2">
      <c r="DY14711" s="185" t="s">
        <v>215</v>
      </c>
    </row>
    <row r="14712" spans="129:129" x14ac:dyDescent="0.2">
      <c r="DY14712" s="185" t="s">
        <v>215</v>
      </c>
    </row>
    <row r="14713" spans="129:129" x14ac:dyDescent="0.2">
      <c r="DY14713" s="185" t="s">
        <v>215</v>
      </c>
    </row>
    <row r="14714" spans="129:129" x14ac:dyDescent="0.2">
      <c r="DY14714" s="185" t="s">
        <v>215</v>
      </c>
    </row>
    <row r="14715" spans="129:129" x14ac:dyDescent="0.2">
      <c r="DY14715" s="185" t="s">
        <v>215</v>
      </c>
    </row>
    <row r="14716" spans="129:129" x14ac:dyDescent="0.2">
      <c r="DY14716" s="185" t="s">
        <v>215</v>
      </c>
    </row>
    <row r="14717" spans="129:129" x14ac:dyDescent="0.2">
      <c r="DY14717" s="185" t="s">
        <v>215</v>
      </c>
    </row>
    <row r="14718" spans="129:129" x14ac:dyDescent="0.2">
      <c r="DY14718" s="185" t="s">
        <v>215</v>
      </c>
    </row>
    <row r="14719" spans="129:129" x14ac:dyDescent="0.2">
      <c r="DY14719" s="185" t="s">
        <v>215</v>
      </c>
    </row>
    <row r="14720" spans="129:129" x14ac:dyDescent="0.2">
      <c r="DY14720" s="185" t="s">
        <v>215</v>
      </c>
    </row>
    <row r="14721" spans="129:129" x14ac:dyDescent="0.2">
      <c r="DY14721" s="185" t="s">
        <v>215</v>
      </c>
    </row>
    <row r="14722" spans="129:129" x14ac:dyDescent="0.2">
      <c r="DY14722" s="185" t="s">
        <v>215</v>
      </c>
    </row>
    <row r="14723" spans="129:129" x14ac:dyDescent="0.2">
      <c r="DY14723" s="185" t="s">
        <v>215</v>
      </c>
    </row>
    <row r="14724" spans="129:129" x14ac:dyDescent="0.2">
      <c r="DY14724" s="185" t="s">
        <v>215</v>
      </c>
    </row>
    <row r="14725" spans="129:129" x14ac:dyDescent="0.2">
      <c r="DY14725" s="185" t="s">
        <v>215</v>
      </c>
    </row>
    <row r="14726" spans="129:129" x14ac:dyDescent="0.2">
      <c r="DY14726" s="185" t="s">
        <v>215</v>
      </c>
    </row>
    <row r="14727" spans="129:129" x14ac:dyDescent="0.2">
      <c r="DY14727" s="185" t="s">
        <v>215</v>
      </c>
    </row>
    <row r="14728" spans="129:129" x14ac:dyDescent="0.2">
      <c r="DY14728" s="185" t="s">
        <v>215</v>
      </c>
    </row>
    <row r="14729" spans="129:129" x14ac:dyDescent="0.2">
      <c r="DY14729" s="185" t="s">
        <v>215</v>
      </c>
    </row>
    <row r="14730" spans="129:129" x14ac:dyDescent="0.2">
      <c r="DY14730" s="185" t="s">
        <v>215</v>
      </c>
    </row>
    <row r="14731" spans="129:129" x14ac:dyDescent="0.2">
      <c r="DY14731" s="185" t="s">
        <v>215</v>
      </c>
    </row>
    <row r="14732" spans="129:129" x14ac:dyDescent="0.2">
      <c r="DY14732" s="185" t="s">
        <v>215</v>
      </c>
    </row>
    <row r="14733" spans="129:129" x14ac:dyDescent="0.2">
      <c r="DY14733" s="185" t="s">
        <v>215</v>
      </c>
    </row>
    <row r="14734" spans="129:129" x14ac:dyDescent="0.2">
      <c r="DY14734" s="185" t="s">
        <v>215</v>
      </c>
    </row>
    <row r="14735" spans="129:129" x14ac:dyDescent="0.2">
      <c r="DY14735" s="185" t="s">
        <v>215</v>
      </c>
    </row>
    <row r="14736" spans="129:129" x14ac:dyDescent="0.2">
      <c r="DY14736" s="185" t="s">
        <v>215</v>
      </c>
    </row>
    <row r="14737" spans="129:129" x14ac:dyDescent="0.2">
      <c r="DY14737" s="185" t="s">
        <v>215</v>
      </c>
    </row>
    <row r="14738" spans="129:129" x14ac:dyDescent="0.2">
      <c r="DY14738" s="185" t="s">
        <v>215</v>
      </c>
    </row>
    <row r="14739" spans="129:129" x14ac:dyDescent="0.2">
      <c r="DY14739" s="185" t="s">
        <v>215</v>
      </c>
    </row>
    <row r="14740" spans="129:129" x14ac:dyDescent="0.2">
      <c r="DY14740" s="185" t="s">
        <v>215</v>
      </c>
    </row>
    <row r="14741" spans="129:129" x14ac:dyDescent="0.2">
      <c r="DY14741" s="185" t="s">
        <v>215</v>
      </c>
    </row>
    <row r="14742" spans="129:129" x14ac:dyDescent="0.2">
      <c r="DY14742" s="185" t="s">
        <v>215</v>
      </c>
    </row>
    <row r="14743" spans="129:129" x14ac:dyDescent="0.2">
      <c r="DY14743" s="185" t="s">
        <v>215</v>
      </c>
    </row>
    <row r="14744" spans="129:129" x14ac:dyDescent="0.2">
      <c r="DY14744" s="185" t="s">
        <v>215</v>
      </c>
    </row>
    <row r="14745" spans="129:129" x14ac:dyDescent="0.2">
      <c r="DY14745" s="185" t="s">
        <v>215</v>
      </c>
    </row>
    <row r="14746" spans="129:129" x14ac:dyDescent="0.2">
      <c r="DY14746" s="185" t="s">
        <v>215</v>
      </c>
    </row>
    <row r="14747" spans="129:129" x14ac:dyDescent="0.2">
      <c r="DY14747" s="185" t="s">
        <v>215</v>
      </c>
    </row>
    <row r="14748" spans="129:129" x14ac:dyDescent="0.2">
      <c r="DY14748" s="185" t="s">
        <v>215</v>
      </c>
    </row>
    <row r="14749" spans="129:129" x14ac:dyDescent="0.2">
      <c r="DY14749" s="185" t="s">
        <v>215</v>
      </c>
    </row>
    <row r="14750" spans="129:129" x14ac:dyDescent="0.2">
      <c r="DY14750" s="185" t="s">
        <v>215</v>
      </c>
    </row>
    <row r="14751" spans="129:129" x14ac:dyDescent="0.2">
      <c r="DY14751" s="185" t="s">
        <v>215</v>
      </c>
    </row>
    <row r="14752" spans="129:129" x14ac:dyDescent="0.2">
      <c r="DY14752" s="185" t="s">
        <v>215</v>
      </c>
    </row>
    <row r="14753" spans="129:129" x14ac:dyDescent="0.2">
      <c r="DY14753" s="185" t="s">
        <v>215</v>
      </c>
    </row>
    <row r="14754" spans="129:129" x14ac:dyDescent="0.2">
      <c r="DY14754" s="185" t="s">
        <v>215</v>
      </c>
    </row>
    <row r="14755" spans="129:129" x14ac:dyDescent="0.2">
      <c r="DY14755" s="185" t="s">
        <v>215</v>
      </c>
    </row>
    <row r="14756" spans="129:129" x14ac:dyDescent="0.2">
      <c r="DY14756" s="185" t="s">
        <v>215</v>
      </c>
    </row>
    <row r="14757" spans="129:129" x14ac:dyDescent="0.2">
      <c r="DY14757" s="185" t="s">
        <v>215</v>
      </c>
    </row>
    <row r="14758" spans="129:129" x14ac:dyDescent="0.2">
      <c r="DY14758" s="185" t="s">
        <v>215</v>
      </c>
    </row>
    <row r="14759" spans="129:129" x14ac:dyDescent="0.2">
      <c r="DY14759" s="185" t="s">
        <v>215</v>
      </c>
    </row>
    <row r="14760" spans="129:129" x14ac:dyDescent="0.2">
      <c r="DY14760" s="185" t="s">
        <v>215</v>
      </c>
    </row>
    <row r="14761" spans="129:129" x14ac:dyDescent="0.2">
      <c r="DY14761" s="185" t="s">
        <v>215</v>
      </c>
    </row>
    <row r="14762" spans="129:129" x14ac:dyDescent="0.2">
      <c r="DY14762" s="185" t="s">
        <v>215</v>
      </c>
    </row>
    <row r="14763" spans="129:129" x14ac:dyDescent="0.2">
      <c r="DY14763" s="185" t="s">
        <v>215</v>
      </c>
    </row>
    <row r="14764" spans="129:129" x14ac:dyDescent="0.2">
      <c r="DY14764" s="185" t="s">
        <v>215</v>
      </c>
    </row>
    <row r="14765" spans="129:129" x14ac:dyDescent="0.2">
      <c r="DY14765" s="185" t="s">
        <v>215</v>
      </c>
    </row>
    <row r="14766" spans="129:129" x14ac:dyDescent="0.2">
      <c r="DY14766" s="185" t="s">
        <v>215</v>
      </c>
    </row>
    <row r="14767" spans="129:129" x14ac:dyDescent="0.2">
      <c r="DY14767" s="185" t="s">
        <v>215</v>
      </c>
    </row>
    <row r="14768" spans="129:129" x14ac:dyDescent="0.2">
      <c r="DY14768" s="185" t="s">
        <v>215</v>
      </c>
    </row>
    <row r="14769" spans="129:129" x14ac:dyDescent="0.2">
      <c r="DY14769" s="185" t="s">
        <v>215</v>
      </c>
    </row>
    <row r="14770" spans="129:129" x14ac:dyDescent="0.2">
      <c r="DY14770" s="185" t="s">
        <v>215</v>
      </c>
    </row>
    <row r="14771" spans="129:129" x14ac:dyDescent="0.2">
      <c r="DY14771" s="185" t="s">
        <v>215</v>
      </c>
    </row>
    <row r="14772" spans="129:129" x14ac:dyDescent="0.2">
      <c r="DY14772" s="185" t="s">
        <v>215</v>
      </c>
    </row>
    <row r="14773" spans="129:129" x14ac:dyDescent="0.2">
      <c r="DY14773" s="185" t="s">
        <v>215</v>
      </c>
    </row>
    <row r="14774" spans="129:129" x14ac:dyDescent="0.2">
      <c r="DY14774" s="185" t="s">
        <v>215</v>
      </c>
    </row>
    <row r="14775" spans="129:129" x14ac:dyDescent="0.2">
      <c r="DY14775" s="185" t="s">
        <v>215</v>
      </c>
    </row>
    <row r="14776" spans="129:129" x14ac:dyDescent="0.2">
      <c r="DY14776" s="185" t="s">
        <v>215</v>
      </c>
    </row>
    <row r="14777" spans="129:129" x14ac:dyDescent="0.2">
      <c r="DY14777" s="185" t="s">
        <v>215</v>
      </c>
    </row>
    <row r="14778" spans="129:129" x14ac:dyDescent="0.2">
      <c r="DY14778" s="185" t="s">
        <v>215</v>
      </c>
    </row>
    <row r="14779" spans="129:129" x14ac:dyDescent="0.2">
      <c r="DY14779" s="185" t="s">
        <v>215</v>
      </c>
    </row>
    <row r="14780" spans="129:129" x14ac:dyDescent="0.2">
      <c r="DY14780" s="185" t="s">
        <v>215</v>
      </c>
    </row>
    <row r="14781" spans="129:129" x14ac:dyDescent="0.2">
      <c r="DY14781" s="185" t="s">
        <v>215</v>
      </c>
    </row>
    <row r="14782" spans="129:129" x14ac:dyDescent="0.2">
      <c r="DY14782" s="185" t="s">
        <v>215</v>
      </c>
    </row>
    <row r="14783" spans="129:129" x14ac:dyDescent="0.2">
      <c r="DY14783" s="185" t="s">
        <v>215</v>
      </c>
    </row>
    <row r="14784" spans="129:129" x14ac:dyDescent="0.2">
      <c r="DY14784" s="185" t="s">
        <v>215</v>
      </c>
    </row>
    <row r="14785" spans="129:129" x14ac:dyDescent="0.2">
      <c r="DY14785" s="185" t="s">
        <v>215</v>
      </c>
    </row>
    <row r="14786" spans="129:129" x14ac:dyDescent="0.2">
      <c r="DY14786" s="185" t="s">
        <v>215</v>
      </c>
    </row>
    <row r="14787" spans="129:129" x14ac:dyDescent="0.2">
      <c r="DY14787" s="185" t="s">
        <v>215</v>
      </c>
    </row>
    <row r="14788" spans="129:129" x14ac:dyDescent="0.2">
      <c r="DY14788" s="185" t="s">
        <v>215</v>
      </c>
    </row>
    <row r="14789" spans="129:129" x14ac:dyDescent="0.2">
      <c r="DY14789" s="185" t="s">
        <v>215</v>
      </c>
    </row>
    <row r="14790" spans="129:129" x14ac:dyDescent="0.2">
      <c r="DY14790" s="185" t="s">
        <v>215</v>
      </c>
    </row>
    <row r="14791" spans="129:129" x14ac:dyDescent="0.2">
      <c r="DY14791" s="185" t="s">
        <v>215</v>
      </c>
    </row>
    <row r="14792" spans="129:129" x14ac:dyDescent="0.2">
      <c r="DY14792" s="185" t="s">
        <v>215</v>
      </c>
    </row>
    <row r="14793" spans="129:129" x14ac:dyDescent="0.2">
      <c r="DY14793" s="185" t="s">
        <v>215</v>
      </c>
    </row>
    <row r="14794" spans="129:129" x14ac:dyDescent="0.2">
      <c r="DY14794" s="185" t="s">
        <v>215</v>
      </c>
    </row>
    <row r="14795" spans="129:129" x14ac:dyDescent="0.2">
      <c r="DY14795" s="185" t="s">
        <v>215</v>
      </c>
    </row>
    <row r="14796" spans="129:129" x14ac:dyDescent="0.2">
      <c r="DY14796" s="185" t="s">
        <v>215</v>
      </c>
    </row>
    <row r="14797" spans="129:129" x14ac:dyDescent="0.2">
      <c r="DY14797" s="185" t="s">
        <v>215</v>
      </c>
    </row>
    <row r="14798" spans="129:129" x14ac:dyDescent="0.2">
      <c r="DY14798" s="185" t="s">
        <v>215</v>
      </c>
    </row>
    <row r="14799" spans="129:129" x14ac:dyDescent="0.2">
      <c r="DY14799" s="185" t="s">
        <v>215</v>
      </c>
    </row>
    <row r="14800" spans="129:129" x14ac:dyDescent="0.2">
      <c r="DY14800" s="185" t="s">
        <v>215</v>
      </c>
    </row>
    <row r="14801" spans="129:129" x14ac:dyDescent="0.2">
      <c r="DY14801" s="185" t="s">
        <v>215</v>
      </c>
    </row>
    <row r="14802" spans="129:129" x14ac:dyDescent="0.2">
      <c r="DY14802" s="185" t="s">
        <v>215</v>
      </c>
    </row>
    <row r="14803" spans="129:129" x14ac:dyDescent="0.2">
      <c r="DY14803" s="185" t="s">
        <v>215</v>
      </c>
    </row>
    <row r="14804" spans="129:129" x14ac:dyDescent="0.2">
      <c r="DY14804" s="185" t="s">
        <v>215</v>
      </c>
    </row>
    <row r="14805" spans="129:129" x14ac:dyDescent="0.2">
      <c r="DY14805" s="185" t="s">
        <v>215</v>
      </c>
    </row>
    <row r="14806" spans="129:129" x14ac:dyDescent="0.2">
      <c r="DY14806" s="185" t="s">
        <v>215</v>
      </c>
    </row>
    <row r="14807" spans="129:129" x14ac:dyDescent="0.2">
      <c r="DY14807" s="185" t="s">
        <v>215</v>
      </c>
    </row>
    <row r="14808" spans="129:129" x14ac:dyDescent="0.2">
      <c r="DY14808" s="185" t="s">
        <v>215</v>
      </c>
    </row>
    <row r="14809" spans="129:129" x14ac:dyDescent="0.2">
      <c r="DY14809" s="185" t="s">
        <v>215</v>
      </c>
    </row>
    <row r="14810" spans="129:129" x14ac:dyDescent="0.2">
      <c r="DY14810" s="185" t="s">
        <v>215</v>
      </c>
    </row>
    <row r="14811" spans="129:129" x14ac:dyDescent="0.2">
      <c r="DY14811" s="185" t="s">
        <v>215</v>
      </c>
    </row>
    <row r="14812" spans="129:129" x14ac:dyDescent="0.2">
      <c r="DY14812" s="185" t="s">
        <v>215</v>
      </c>
    </row>
    <row r="14813" spans="129:129" x14ac:dyDescent="0.2">
      <c r="DY14813" s="185" t="s">
        <v>215</v>
      </c>
    </row>
    <row r="14814" spans="129:129" x14ac:dyDescent="0.2">
      <c r="DY14814" s="185" t="s">
        <v>215</v>
      </c>
    </row>
    <row r="14815" spans="129:129" x14ac:dyDescent="0.2">
      <c r="DY14815" s="185" t="s">
        <v>215</v>
      </c>
    </row>
    <row r="14816" spans="129:129" x14ac:dyDescent="0.2">
      <c r="DY14816" s="185" t="s">
        <v>215</v>
      </c>
    </row>
    <row r="14817" spans="129:129" x14ac:dyDescent="0.2">
      <c r="DY14817" s="185" t="s">
        <v>215</v>
      </c>
    </row>
    <row r="14818" spans="129:129" x14ac:dyDescent="0.2">
      <c r="DY14818" s="185" t="s">
        <v>215</v>
      </c>
    </row>
    <row r="14819" spans="129:129" x14ac:dyDescent="0.2">
      <c r="DY14819" s="185" t="s">
        <v>215</v>
      </c>
    </row>
    <row r="14820" spans="129:129" x14ac:dyDescent="0.2">
      <c r="DY14820" s="185" t="s">
        <v>215</v>
      </c>
    </row>
    <row r="14821" spans="129:129" x14ac:dyDescent="0.2">
      <c r="DY14821" s="185" t="s">
        <v>215</v>
      </c>
    </row>
    <row r="14822" spans="129:129" x14ac:dyDescent="0.2">
      <c r="DY14822" s="185" t="s">
        <v>215</v>
      </c>
    </row>
    <row r="14823" spans="129:129" x14ac:dyDescent="0.2">
      <c r="DY14823" s="185" t="s">
        <v>215</v>
      </c>
    </row>
    <row r="14824" spans="129:129" x14ac:dyDescent="0.2">
      <c r="DY14824" s="185" t="s">
        <v>215</v>
      </c>
    </row>
    <row r="14825" spans="129:129" x14ac:dyDescent="0.2">
      <c r="DY14825" s="185" t="s">
        <v>215</v>
      </c>
    </row>
    <row r="14826" spans="129:129" x14ac:dyDescent="0.2">
      <c r="DY14826" s="185" t="s">
        <v>215</v>
      </c>
    </row>
    <row r="14827" spans="129:129" x14ac:dyDescent="0.2">
      <c r="DY14827" s="185" t="s">
        <v>215</v>
      </c>
    </row>
    <row r="14828" spans="129:129" x14ac:dyDescent="0.2">
      <c r="DY14828" s="185" t="s">
        <v>215</v>
      </c>
    </row>
    <row r="14829" spans="129:129" x14ac:dyDescent="0.2">
      <c r="DY14829" s="185" t="s">
        <v>215</v>
      </c>
    </row>
    <row r="14830" spans="129:129" x14ac:dyDescent="0.2">
      <c r="DY14830" s="185" t="s">
        <v>215</v>
      </c>
    </row>
    <row r="14831" spans="129:129" x14ac:dyDescent="0.2">
      <c r="DY14831" s="185" t="s">
        <v>215</v>
      </c>
    </row>
    <row r="14832" spans="129:129" x14ac:dyDescent="0.2">
      <c r="DY14832" s="185" t="s">
        <v>215</v>
      </c>
    </row>
    <row r="14833" spans="129:129" x14ac:dyDescent="0.2">
      <c r="DY14833" s="185" t="s">
        <v>215</v>
      </c>
    </row>
    <row r="14834" spans="129:129" x14ac:dyDescent="0.2">
      <c r="DY14834" s="185" t="s">
        <v>215</v>
      </c>
    </row>
    <row r="14835" spans="129:129" x14ac:dyDescent="0.2">
      <c r="DY14835" s="185" t="s">
        <v>215</v>
      </c>
    </row>
    <row r="14836" spans="129:129" x14ac:dyDescent="0.2">
      <c r="DY14836" s="185" t="s">
        <v>215</v>
      </c>
    </row>
    <row r="14837" spans="129:129" x14ac:dyDescent="0.2">
      <c r="DY14837" s="185" t="s">
        <v>215</v>
      </c>
    </row>
    <row r="14838" spans="129:129" x14ac:dyDescent="0.2">
      <c r="DY14838" s="185" t="s">
        <v>215</v>
      </c>
    </row>
    <row r="14839" spans="129:129" x14ac:dyDescent="0.2">
      <c r="DY14839" s="185" t="s">
        <v>215</v>
      </c>
    </row>
    <row r="14840" spans="129:129" x14ac:dyDescent="0.2">
      <c r="DY14840" s="185" t="s">
        <v>215</v>
      </c>
    </row>
    <row r="14841" spans="129:129" x14ac:dyDescent="0.2">
      <c r="DY14841" s="185" t="s">
        <v>215</v>
      </c>
    </row>
    <row r="14842" spans="129:129" x14ac:dyDescent="0.2">
      <c r="DY14842" s="185" t="s">
        <v>215</v>
      </c>
    </row>
    <row r="14843" spans="129:129" x14ac:dyDescent="0.2">
      <c r="DY14843" s="185" t="s">
        <v>215</v>
      </c>
    </row>
    <row r="14844" spans="129:129" x14ac:dyDescent="0.2">
      <c r="DY14844" s="185" t="s">
        <v>215</v>
      </c>
    </row>
    <row r="14845" spans="129:129" x14ac:dyDescent="0.2">
      <c r="DY14845" s="185" t="s">
        <v>215</v>
      </c>
    </row>
    <row r="14846" spans="129:129" x14ac:dyDescent="0.2">
      <c r="DY14846" s="185" t="s">
        <v>215</v>
      </c>
    </row>
    <row r="14847" spans="129:129" x14ac:dyDescent="0.2">
      <c r="DY14847" s="185" t="s">
        <v>215</v>
      </c>
    </row>
    <row r="14848" spans="129:129" x14ac:dyDescent="0.2">
      <c r="DY14848" s="185" t="s">
        <v>215</v>
      </c>
    </row>
    <row r="14849" spans="129:129" x14ac:dyDescent="0.2">
      <c r="DY14849" s="185" t="s">
        <v>215</v>
      </c>
    </row>
    <row r="14850" spans="129:129" x14ac:dyDescent="0.2">
      <c r="DY14850" s="185" t="s">
        <v>215</v>
      </c>
    </row>
    <row r="14851" spans="129:129" x14ac:dyDescent="0.2">
      <c r="DY14851" s="185" t="s">
        <v>215</v>
      </c>
    </row>
    <row r="14852" spans="129:129" x14ac:dyDescent="0.2">
      <c r="DY14852" s="185" t="s">
        <v>215</v>
      </c>
    </row>
    <row r="14853" spans="129:129" x14ac:dyDescent="0.2">
      <c r="DY14853" s="185" t="s">
        <v>215</v>
      </c>
    </row>
    <row r="14854" spans="129:129" x14ac:dyDescent="0.2">
      <c r="DY14854" s="185" t="s">
        <v>215</v>
      </c>
    </row>
    <row r="14855" spans="129:129" x14ac:dyDescent="0.2">
      <c r="DY14855" s="185" t="s">
        <v>215</v>
      </c>
    </row>
    <row r="14856" spans="129:129" x14ac:dyDescent="0.2">
      <c r="DY14856" s="185" t="s">
        <v>215</v>
      </c>
    </row>
    <row r="14857" spans="129:129" x14ac:dyDescent="0.2">
      <c r="DY14857" s="185" t="s">
        <v>215</v>
      </c>
    </row>
    <row r="14858" spans="129:129" x14ac:dyDescent="0.2">
      <c r="DY14858" s="185" t="s">
        <v>215</v>
      </c>
    </row>
    <row r="14859" spans="129:129" x14ac:dyDescent="0.2">
      <c r="DY14859" s="185" t="s">
        <v>215</v>
      </c>
    </row>
    <row r="14860" spans="129:129" x14ac:dyDescent="0.2">
      <c r="DY14860" s="185" t="s">
        <v>215</v>
      </c>
    </row>
    <row r="14861" spans="129:129" x14ac:dyDescent="0.2">
      <c r="DY14861" s="185" t="s">
        <v>215</v>
      </c>
    </row>
    <row r="14862" spans="129:129" x14ac:dyDescent="0.2">
      <c r="DY14862" s="185" t="s">
        <v>215</v>
      </c>
    </row>
    <row r="14863" spans="129:129" x14ac:dyDescent="0.2">
      <c r="DY14863" s="185" t="s">
        <v>215</v>
      </c>
    </row>
    <row r="14864" spans="129:129" x14ac:dyDescent="0.2">
      <c r="DY14864" s="185" t="s">
        <v>215</v>
      </c>
    </row>
    <row r="14865" spans="129:129" x14ac:dyDescent="0.2">
      <c r="DY14865" s="185" t="s">
        <v>215</v>
      </c>
    </row>
    <row r="14866" spans="129:129" x14ac:dyDescent="0.2">
      <c r="DY14866" s="185" t="s">
        <v>215</v>
      </c>
    </row>
    <row r="14867" spans="129:129" x14ac:dyDescent="0.2">
      <c r="DY14867" s="185" t="s">
        <v>215</v>
      </c>
    </row>
    <row r="14868" spans="129:129" x14ac:dyDescent="0.2">
      <c r="DY14868" s="185" t="s">
        <v>215</v>
      </c>
    </row>
    <row r="14869" spans="129:129" x14ac:dyDescent="0.2">
      <c r="DY14869" s="185" t="s">
        <v>215</v>
      </c>
    </row>
    <row r="14870" spans="129:129" x14ac:dyDescent="0.2">
      <c r="DY14870" s="185" t="s">
        <v>215</v>
      </c>
    </row>
    <row r="14871" spans="129:129" x14ac:dyDescent="0.2">
      <c r="DY14871" s="185" t="s">
        <v>215</v>
      </c>
    </row>
    <row r="14872" spans="129:129" x14ac:dyDescent="0.2">
      <c r="DY14872" s="185" t="s">
        <v>215</v>
      </c>
    </row>
    <row r="14873" spans="129:129" x14ac:dyDescent="0.2">
      <c r="DY14873" s="185" t="s">
        <v>215</v>
      </c>
    </row>
    <row r="14874" spans="129:129" x14ac:dyDescent="0.2">
      <c r="DY14874" s="185" t="s">
        <v>215</v>
      </c>
    </row>
    <row r="14875" spans="129:129" x14ac:dyDescent="0.2">
      <c r="DY14875" s="185" t="s">
        <v>215</v>
      </c>
    </row>
    <row r="14876" spans="129:129" x14ac:dyDescent="0.2">
      <c r="DY14876" s="185" t="s">
        <v>215</v>
      </c>
    </row>
    <row r="14877" spans="129:129" x14ac:dyDescent="0.2">
      <c r="DY14877" s="185" t="s">
        <v>215</v>
      </c>
    </row>
    <row r="14878" spans="129:129" x14ac:dyDescent="0.2">
      <c r="DY14878" s="185" t="s">
        <v>215</v>
      </c>
    </row>
    <row r="14879" spans="129:129" x14ac:dyDescent="0.2">
      <c r="DY14879" s="185" t="s">
        <v>215</v>
      </c>
    </row>
    <row r="14880" spans="129:129" x14ac:dyDescent="0.2">
      <c r="DY14880" s="185" t="s">
        <v>215</v>
      </c>
    </row>
    <row r="14881" spans="129:129" x14ac:dyDescent="0.2">
      <c r="DY14881" s="185" t="s">
        <v>215</v>
      </c>
    </row>
    <row r="14882" spans="129:129" x14ac:dyDescent="0.2">
      <c r="DY14882" s="185" t="s">
        <v>215</v>
      </c>
    </row>
    <row r="14883" spans="129:129" x14ac:dyDescent="0.2">
      <c r="DY14883" s="185" t="s">
        <v>215</v>
      </c>
    </row>
    <row r="14884" spans="129:129" x14ac:dyDescent="0.2">
      <c r="DY14884" s="185" t="s">
        <v>215</v>
      </c>
    </row>
    <row r="14885" spans="129:129" x14ac:dyDescent="0.2">
      <c r="DY14885" s="185" t="s">
        <v>215</v>
      </c>
    </row>
    <row r="14886" spans="129:129" x14ac:dyDescent="0.2">
      <c r="DY14886" s="185" t="s">
        <v>215</v>
      </c>
    </row>
    <row r="14887" spans="129:129" x14ac:dyDescent="0.2">
      <c r="DY14887" s="185" t="s">
        <v>215</v>
      </c>
    </row>
    <row r="14888" spans="129:129" x14ac:dyDescent="0.2">
      <c r="DY14888" s="185" t="s">
        <v>215</v>
      </c>
    </row>
    <row r="14889" spans="129:129" x14ac:dyDescent="0.2">
      <c r="DY14889" s="185" t="s">
        <v>215</v>
      </c>
    </row>
    <row r="14890" spans="129:129" x14ac:dyDescent="0.2">
      <c r="DY14890" s="185" t="s">
        <v>215</v>
      </c>
    </row>
    <row r="14891" spans="129:129" x14ac:dyDescent="0.2">
      <c r="DY14891" s="185" t="s">
        <v>215</v>
      </c>
    </row>
    <row r="14892" spans="129:129" x14ac:dyDescent="0.2">
      <c r="DY14892" s="185" t="s">
        <v>215</v>
      </c>
    </row>
    <row r="14893" spans="129:129" x14ac:dyDescent="0.2">
      <c r="DY14893" s="185" t="s">
        <v>215</v>
      </c>
    </row>
    <row r="14894" spans="129:129" x14ac:dyDescent="0.2">
      <c r="DY14894" s="185" t="s">
        <v>215</v>
      </c>
    </row>
    <row r="14895" spans="129:129" x14ac:dyDescent="0.2">
      <c r="DY14895" s="185" t="s">
        <v>215</v>
      </c>
    </row>
    <row r="14896" spans="129:129" x14ac:dyDescent="0.2">
      <c r="DY14896" s="185" t="s">
        <v>215</v>
      </c>
    </row>
    <row r="14897" spans="129:129" x14ac:dyDescent="0.2">
      <c r="DY14897" s="185" t="s">
        <v>215</v>
      </c>
    </row>
    <row r="14898" spans="129:129" x14ac:dyDescent="0.2">
      <c r="DY14898" s="185" t="s">
        <v>215</v>
      </c>
    </row>
    <row r="14899" spans="129:129" x14ac:dyDescent="0.2">
      <c r="DY14899" s="185" t="s">
        <v>215</v>
      </c>
    </row>
    <row r="14900" spans="129:129" x14ac:dyDescent="0.2">
      <c r="DY14900" s="185" t="s">
        <v>215</v>
      </c>
    </row>
    <row r="14901" spans="129:129" x14ac:dyDescent="0.2">
      <c r="DY14901" s="185" t="s">
        <v>215</v>
      </c>
    </row>
    <row r="14902" spans="129:129" x14ac:dyDescent="0.2">
      <c r="DY14902" s="185" t="s">
        <v>215</v>
      </c>
    </row>
    <row r="14903" spans="129:129" x14ac:dyDescent="0.2">
      <c r="DY14903" s="185" t="s">
        <v>215</v>
      </c>
    </row>
    <row r="14904" spans="129:129" x14ac:dyDescent="0.2">
      <c r="DY14904" s="185" t="s">
        <v>215</v>
      </c>
    </row>
    <row r="14905" spans="129:129" x14ac:dyDescent="0.2">
      <c r="DY14905" s="185" t="s">
        <v>215</v>
      </c>
    </row>
    <row r="14906" spans="129:129" x14ac:dyDescent="0.2">
      <c r="DY14906" s="185" t="s">
        <v>215</v>
      </c>
    </row>
    <row r="14907" spans="129:129" x14ac:dyDescent="0.2">
      <c r="DY14907" s="185" t="s">
        <v>215</v>
      </c>
    </row>
    <row r="14908" spans="129:129" x14ac:dyDescent="0.2">
      <c r="DY14908" s="185" t="s">
        <v>215</v>
      </c>
    </row>
    <row r="14909" spans="129:129" x14ac:dyDescent="0.2">
      <c r="DY14909" s="185" t="s">
        <v>215</v>
      </c>
    </row>
    <row r="14910" spans="129:129" x14ac:dyDescent="0.2">
      <c r="DY14910" s="185" t="s">
        <v>215</v>
      </c>
    </row>
    <row r="14911" spans="129:129" x14ac:dyDescent="0.2">
      <c r="DY14911" s="185" t="s">
        <v>215</v>
      </c>
    </row>
    <row r="14912" spans="129:129" x14ac:dyDescent="0.2">
      <c r="DY14912" s="185" t="s">
        <v>215</v>
      </c>
    </row>
    <row r="14913" spans="129:129" x14ac:dyDescent="0.2">
      <c r="DY14913" s="185" t="s">
        <v>215</v>
      </c>
    </row>
    <row r="14914" spans="129:129" x14ac:dyDescent="0.2">
      <c r="DY14914" s="185" t="s">
        <v>215</v>
      </c>
    </row>
    <row r="14915" spans="129:129" x14ac:dyDescent="0.2">
      <c r="DY14915" s="185" t="s">
        <v>215</v>
      </c>
    </row>
    <row r="14916" spans="129:129" x14ac:dyDescent="0.2">
      <c r="DY14916" s="185" t="s">
        <v>215</v>
      </c>
    </row>
    <row r="14917" spans="129:129" x14ac:dyDescent="0.2">
      <c r="DY14917" s="185" t="s">
        <v>215</v>
      </c>
    </row>
    <row r="14918" spans="129:129" x14ac:dyDescent="0.2">
      <c r="DY14918" s="185" t="s">
        <v>215</v>
      </c>
    </row>
    <row r="14919" spans="129:129" x14ac:dyDescent="0.2">
      <c r="DY14919" s="185" t="s">
        <v>215</v>
      </c>
    </row>
    <row r="14920" spans="129:129" x14ac:dyDescent="0.2">
      <c r="DY14920" s="185" t="s">
        <v>215</v>
      </c>
    </row>
    <row r="14921" spans="129:129" x14ac:dyDescent="0.2">
      <c r="DY14921" s="185" t="s">
        <v>215</v>
      </c>
    </row>
    <row r="14922" spans="129:129" x14ac:dyDescent="0.2">
      <c r="DY14922" s="185" t="s">
        <v>215</v>
      </c>
    </row>
    <row r="14923" spans="129:129" x14ac:dyDescent="0.2">
      <c r="DY14923" s="185" t="s">
        <v>215</v>
      </c>
    </row>
    <row r="14924" spans="129:129" x14ac:dyDescent="0.2">
      <c r="DY14924" s="185" t="s">
        <v>215</v>
      </c>
    </row>
    <row r="14925" spans="129:129" x14ac:dyDescent="0.2">
      <c r="DY14925" s="185" t="s">
        <v>215</v>
      </c>
    </row>
    <row r="14926" spans="129:129" x14ac:dyDescent="0.2">
      <c r="DY14926" s="185" t="s">
        <v>215</v>
      </c>
    </row>
    <row r="14927" spans="129:129" x14ac:dyDescent="0.2">
      <c r="DY14927" s="185" t="s">
        <v>215</v>
      </c>
    </row>
    <row r="14928" spans="129:129" x14ac:dyDescent="0.2">
      <c r="DY14928" s="185" t="s">
        <v>215</v>
      </c>
    </row>
    <row r="14929" spans="129:129" x14ac:dyDescent="0.2">
      <c r="DY14929" s="185" t="s">
        <v>215</v>
      </c>
    </row>
    <row r="14930" spans="129:129" x14ac:dyDescent="0.2">
      <c r="DY14930" s="185" t="s">
        <v>215</v>
      </c>
    </row>
    <row r="14931" spans="129:129" x14ac:dyDescent="0.2">
      <c r="DY14931" s="185" t="s">
        <v>215</v>
      </c>
    </row>
    <row r="14932" spans="129:129" x14ac:dyDescent="0.2">
      <c r="DY14932" s="185" t="s">
        <v>215</v>
      </c>
    </row>
    <row r="14933" spans="129:129" x14ac:dyDescent="0.2">
      <c r="DY14933" s="185" t="s">
        <v>215</v>
      </c>
    </row>
    <row r="14934" spans="129:129" x14ac:dyDescent="0.2">
      <c r="DY14934" s="185" t="s">
        <v>215</v>
      </c>
    </row>
    <row r="14935" spans="129:129" x14ac:dyDescent="0.2">
      <c r="DY14935" s="185" t="s">
        <v>215</v>
      </c>
    </row>
    <row r="14936" spans="129:129" x14ac:dyDescent="0.2">
      <c r="DY14936" s="185" t="s">
        <v>215</v>
      </c>
    </row>
    <row r="14937" spans="129:129" x14ac:dyDescent="0.2">
      <c r="DY14937" s="185" t="s">
        <v>215</v>
      </c>
    </row>
    <row r="14938" spans="129:129" x14ac:dyDescent="0.2">
      <c r="DY14938" s="185" t="s">
        <v>215</v>
      </c>
    </row>
    <row r="14939" spans="129:129" x14ac:dyDescent="0.2">
      <c r="DY14939" s="185" t="s">
        <v>215</v>
      </c>
    </row>
    <row r="14940" spans="129:129" x14ac:dyDescent="0.2">
      <c r="DY14940" s="185" t="s">
        <v>215</v>
      </c>
    </row>
    <row r="14941" spans="129:129" x14ac:dyDescent="0.2">
      <c r="DY14941" s="185" t="s">
        <v>215</v>
      </c>
    </row>
    <row r="14942" spans="129:129" x14ac:dyDescent="0.2">
      <c r="DY14942" s="185" t="s">
        <v>215</v>
      </c>
    </row>
    <row r="14943" spans="129:129" x14ac:dyDescent="0.2">
      <c r="DY14943" s="185" t="s">
        <v>215</v>
      </c>
    </row>
    <row r="14944" spans="129:129" x14ac:dyDescent="0.2">
      <c r="DY14944" s="185" t="s">
        <v>215</v>
      </c>
    </row>
    <row r="14945" spans="129:129" x14ac:dyDescent="0.2">
      <c r="DY14945" s="185" t="s">
        <v>215</v>
      </c>
    </row>
    <row r="14946" spans="129:129" x14ac:dyDescent="0.2">
      <c r="DY14946" s="185" t="s">
        <v>215</v>
      </c>
    </row>
    <row r="14947" spans="129:129" x14ac:dyDescent="0.2">
      <c r="DY14947" s="185" t="s">
        <v>215</v>
      </c>
    </row>
    <row r="14948" spans="129:129" x14ac:dyDescent="0.2">
      <c r="DY14948" s="185" t="s">
        <v>215</v>
      </c>
    </row>
    <row r="14949" spans="129:129" x14ac:dyDescent="0.2">
      <c r="DY14949" s="185" t="s">
        <v>215</v>
      </c>
    </row>
    <row r="14950" spans="129:129" x14ac:dyDescent="0.2">
      <c r="DY14950" s="185" t="s">
        <v>215</v>
      </c>
    </row>
    <row r="14951" spans="129:129" x14ac:dyDescent="0.2">
      <c r="DY14951" s="185" t="s">
        <v>215</v>
      </c>
    </row>
    <row r="14952" spans="129:129" x14ac:dyDescent="0.2">
      <c r="DY14952" s="185" t="s">
        <v>215</v>
      </c>
    </row>
    <row r="14953" spans="129:129" x14ac:dyDescent="0.2">
      <c r="DY14953" s="185" t="s">
        <v>215</v>
      </c>
    </row>
    <row r="14954" spans="129:129" x14ac:dyDescent="0.2">
      <c r="DY14954" s="185" t="s">
        <v>215</v>
      </c>
    </row>
    <row r="14955" spans="129:129" x14ac:dyDescent="0.2">
      <c r="DY14955" s="185" t="s">
        <v>215</v>
      </c>
    </row>
    <row r="14956" spans="129:129" x14ac:dyDescent="0.2">
      <c r="DY14956" s="185" t="s">
        <v>215</v>
      </c>
    </row>
    <row r="14957" spans="129:129" x14ac:dyDescent="0.2">
      <c r="DY14957" s="185" t="s">
        <v>215</v>
      </c>
    </row>
    <row r="14958" spans="129:129" x14ac:dyDescent="0.2">
      <c r="DY14958" s="185" t="s">
        <v>215</v>
      </c>
    </row>
    <row r="14959" spans="129:129" x14ac:dyDescent="0.2">
      <c r="DY14959" s="185" t="s">
        <v>215</v>
      </c>
    </row>
    <row r="14960" spans="129:129" x14ac:dyDescent="0.2">
      <c r="DY14960" s="185" t="s">
        <v>215</v>
      </c>
    </row>
    <row r="14961" spans="129:129" x14ac:dyDescent="0.2">
      <c r="DY14961" s="185" t="s">
        <v>215</v>
      </c>
    </row>
    <row r="14962" spans="129:129" x14ac:dyDescent="0.2">
      <c r="DY14962" s="185" t="s">
        <v>215</v>
      </c>
    </row>
    <row r="14963" spans="129:129" x14ac:dyDescent="0.2">
      <c r="DY14963" s="185" t="s">
        <v>215</v>
      </c>
    </row>
    <row r="14964" spans="129:129" x14ac:dyDescent="0.2">
      <c r="DY14964" s="185" t="s">
        <v>215</v>
      </c>
    </row>
    <row r="14965" spans="129:129" x14ac:dyDescent="0.2">
      <c r="DY14965" s="185" t="s">
        <v>215</v>
      </c>
    </row>
    <row r="14966" spans="129:129" x14ac:dyDescent="0.2">
      <c r="DY14966" s="185" t="s">
        <v>215</v>
      </c>
    </row>
    <row r="14967" spans="129:129" x14ac:dyDescent="0.2">
      <c r="DY14967" s="185" t="s">
        <v>215</v>
      </c>
    </row>
    <row r="14968" spans="129:129" x14ac:dyDescent="0.2">
      <c r="DY14968" s="185" t="s">
        <v>215</v>
      </c>
    </row>
    <row r="14969" spans="129:129" x14ac:dyDescent="0.2">
      <c r="DY14969" s="185" t="s">
        <v>215</v>
      </c>
    </row>
    <row r="14970" spans="129:129" x14ac:dyDescent="0.2">
      <c r="DY14970" s="185" t="s">
        <v>215</v>
      </c>
    </row>
    <row r="14971" spans="129:129" x14ac:dyDescent="0.2">
      <c r="DY14971" s="185" t="s">
        <v>215</v>
      </c>
    </row>
    <row r="14972" spans="129:129" x14ac:dyDescent="0.2">
      <c r="DY14972" s="185" t="s">
        <v>215</v>
      </c>
    </row>
    <row r="14973" spans="129:129" x14ac:dyDescent="0.2">
      <c r="DY14973" s="185" t="s">
        <v>215</v>
      </c>
    </row>
    <row r="14974" spans="129:129" x14ac:dyDescent="0.2">
      <c r="DY14974" s="185" t="s">
        <v>215</v>
      </c>
    </row>
    <row r="14975" spans="129:129" x14ac:dyDescent="0.2">
      <c r="DY14975" s="185" t="s">
        <v>215</v>
      </c>
    </row>
    <row r="14976" spans="129:129" x14ac:dyDescent="0.2">
      <c r="DY14976" s="185" t="s">
        <v>215</v>
      </c>
    </row>
    <row r="14977" spans="129:129" x14ac:dyDescent="0.2">
      <c r="DY14977" s="185" t="s">
        <v>215</v>
      </c>
    </row>
    <row r="14978" spans="129:129" x14ac:dyDescent="0.2">
      <c r="DY14978" s="185" t="s">
        <v>215</v>
      </c>
    </row>
    <row r="14979" spans="129:129" x14ac:dyDescent="0.2">
      <c r="DY14979" s="185" t="s">
        <v>215</v>
      </c>
    </row>
    <row r="14980" spans="129:129" x14ac:dyDescent="0.2">
      <c r="DY14980" s="185" t="s">
        <v>215</v>
      </c>
    </row>
    <row r="14981" spans="129:129" x14ac:dyDescent="0.2">
      <c r="DY14981" s="185" t="s">
        <v>215</v>
      </c>
    </row>
    <row r="14982" spans="129:129" x14ac:dyDescent="0.2">
      <c r="DY14982" s="185" t="s">
        <v>215</v>
      </c>
    </row>
    <row r="14983" spans="129:129" x14ac:dyDescent="0.2">
      <c r="DY14983" s="185" t="s">
        <v>215</v>
      </c>
    </row>
    <row r="14984" spans="129:129" x14ac:dyDescent="0.2">
      <c r="DY14984" s="185" t="s">
        <v>215</v>
      </c>
    </row>
    <row r="14985" spans="129:129" x14ac:dyDescent="0.2">
      <c r="DY14985" s="185" t="s">
        <v>215</v>
      </c>
    </row>
    <row r="14986" spans="129:129" x14ac:dyDescent="0.2">
      <c r="DY14986" s="185" t="s">
        <v>215</v>
      </c>
    </row>
    <row r="14987" spans="129:129" x14ac:dyDescent="0.2">
      <c r="DY14987" s="185" t="s">
        <v>215</v>
      </c>
    </row>
    <row r="14988" spans="129:129" x14ac:dyDescent="0.2">
      <c r="DY14988" s="185" t="s">
        <v>215</v>
      </c>
    </row>
    <row r="14989" spans="129:129" x14ac:dyDescent="0.2">
      <c r="DY14989" s="185" t="s">
        <v>215</v>
      </c>
    </row>
    <row r="14990" spans="129:129" x14ac:dyDescent="0.2">
      <c r="DY14990" s="185" t="s">
        <v>215</v>
      </c>
    </row>
    <row r="14991" spans="129:129" x14ac:dyDescent="0.2">
      <c r="DY14991" s="185" t="s">
        <v>215</v>
      </c>
    </row>
    <row r="14992" spans="129:129" x14ac:dyDescent="0.2">
      <c r="DY14992" s="185" t="s">
        <v>215</v>
      </c>
    </row>
    <row r="14993" spans="129:129" x14ac:dyDescent="0.2">
      <c r="DY14993" s="185" t="s">
        <v>215</v>
      </c>
    </row>
    <row r="14994" spans="129:129" x14ac:dyDescent="0.2">
      <c r="DY14994" s="185" t="s">
        <v>215</v>
      </c>
    </row>
    <row r="14995" spans="129:129" x14ac:dyDescent="0.2">
      <c r="DY14995" s="185" t="s">
        <v>215</v>
      </c>
    </row>
    <row r="14996" spans="129:129" x14ac:dyDescent="0.2">
      <c r="DY14996" s="185" t="s">
        <v>215</v>
      </c>
    </row>
    <row r="14997" spans="129:129" x14ac:dyDescent="0.2">
      <c r="DY14997" s="185" t="s">
        <v>215</v>
      </c>
    </row>
    <row r="14998" spans="129:129" x14ac:dyDescent="0.2">
      <c r="DY14998" s="185" t="s">
        <v>215</v>
      </c>
    </row>
    <row r="14999" spans="129:129" x14ac:dyDescent="0.2">
      <c r="DY14999" s="185" t="s">
        <v>215</v>
      </c>
    </row>
    <row r="15000" spans="129:129" x14ac:dyDescent="0.2">
      <c r="DY15000" s="185" t="s">
        <v>215</v>
      </c>
    </row>
    <row r="15001" spans="129:129" x14ac:dyDescent="0.2">
      <c r="DY15001" s="185" t="s">
        <v>215</v>
      </c>
    </row>
    <row r="15002" spans="129:129" x14ac:dyDescent="0.2">
      <c r="DY15002" s="185" t="s">
        <v>215</v>
      </c>
    </row>
    <row r="15003" spans="129:129" x14ac:dyDescent="0.2">
      <c r="DY15003" s="185" t="s">
        <v>215</v>
      </c>
    </row>
    <row r="15004" spans="129:129" x14ac:dyDescent="0.2">
      <c r="DY15004" s="185" t="s">
        <v>215</v>
      </c>
    </row>
    <row r="15005" spans="129:129" x14ac:dyDescent="0.2">
      <c r="DY15005" s="185" t="s">
        <v>215</v>
      </c>
    </row>
    <row r="15006" spans="129:129" x14ac:dyDescent="0.2">
      <c r="DY15006" s="185" t="s">
        <v>215</v>
      </c>
    </row>
    <row r="15007" spans="129:129" x14ac:dyDescent="0.2">
      <c r="DY15007" s="185" t="s">
        <v>215</v>
      </c>
    </row>
    <row r="15008" spans="129:129" x14ac:dyDescent="0.2">
      <c r="DY15008" s="185" t="s">
        <v>215</v>
      </c>
    </row>
    <row r="15009" spans="129:129" x14ac:dyDescent="0.2">
      <c r="DY15009" s="185" t="s">
        <v>215</v>
      </c>
    </row>
    <row r="15010" spans="129:129" x14ac:dyDescent="0.2">
      <c r="DY15010" s="185" t="s">
        <v>215</v>
      </c>
    </row>
    <row r="15011" spans="129:129" x14ac:dyDescent="0.2">
      <c r="DY15011" s="185" t="s">
        <v>215</v>
      </c>
    </row>
    <row r="15012" spans="129:129" x14ac:dyDescent="0.2">
      <c r="DY15012" s="185" t="s">
        <v>215</v>
      </c>
    </row>
    <row r="15013" spans="129:129" x14ac:dyDescent="0.2">
      <c r="DY15013" s="185" t="s">
        <v>215</v>
      </c>
    </row>
    <row r="15014" spans="129:129" x14ac:dyDescent="0.2">
      <c r="DY15014" s="185" t="s">
        <v>215</v>
      </c>
    </row>
    <row r="15015" spans="129:129" x14ac:dyDescent="0.2">
      <c r="DY15015" s="185" t="s">
        <v>215</v>
      </c>
    </row>
    <row r="15016" spans="129:129" x14ac:dyDescent="0.2">
      <c r="DY15016" s="185" t="s">
        <v>215</v>
      </c>
    </row>
    <row r="15017" spans="129:129" x14ac:dyDescent="0.2">
      <c r="DY15017" s="185" t="s">
        <v>215</v>
      </c>
    </row>
    <row r="15018" spans="129:129" x14ac:dyDescent="0.2">
      <c r="DY15018" s="185" t="s">
        <v>215</v>
      </c>
    </row>
    <row r="15019" spans="129:129" x14ac:dyDescent="0.2">
      <c r="DY15019" s="185" t="s">
        <v>215</v>
      </c>
    </row>
    <row r="15020" spans="129:129" x14ac:dyDescent="0.2">
      <c r="DY15020" s="185" t="s">
        <v>215</v>
      </c>
    </row>
    <row r="15021" spans="129:129" x14ac:dyDescent="0.2">
      <c r="DY15021" s="185" t="s">
        <v>215</v>
      </c>
    </row>
    <row r="15022" spans="129:129" x14ac:dyDescent="0.2">
      <c r="DY15022" s="185" t="s">
        <v>215</v>
      </c>
    </row>
    <row r="15023" spans="129:129" x14ac:dyDescent="0.2">
      <c r="DY15023" s="185" t="s">
        <v>215</v>
      </c>
    </row>
    <row r="15024" spans="129:129" x14ac:dyDescent="0.2">
      <c r="DY15024" s="185" t="s">
        <v>215</v>
      </c>
    </row>
    <row r="15025" spans="129:129" x14ac:dyDescent="0.2">
      <c r="DY15025" s="185" t="s">
        <v>215</v>
      </c>
    </row>
    <row r="15026" spans="129:129" x14ac:dyDescent="0.2">
      <c r="DY15026" s="185" t="s">
        <v>215</v>
      </c>
    </row>
    <row r="15027" spans="129:129" x14ac:dyDescent="0.2">
      <c r="DY15027" s="185" t="s">
        <v>215</v>
      </c>
    </row>
    <row r="15028" spans="129:129" x14ac:dyDescent="0.2">
      <c r="DY15028" s="185" t="s">
        <v>215</v>
      </c>
    </row>
    <row r="15029" spans="129:129" x14ac:dyDescent="0.2">
      <c r="DY15029" s="185" t="s">
        <v>215</v>
      </c>
    </row>
    <row r="15030" spans="129:129" x14ac:dyDescent="0.2">
      <c r="DY15030" s="185" t="s">
        <v>215</v>
      </c>
    </row>
    <row r="15031" spans="129:129" x14ac:dyDescent="0.2">
      <c r="DY15031" s="185" t="s">
        <v>215</v>
      </c>
    </row>
    <row r="15032" spans="129:129" x14ac:dyDescent="0.2">
      <c r="DY15032" s="185" t="s">
        <v>215</v>
      </c>
    </row>
    <row r="15033" spans="129:129" x14ac:dyDescent="0.2">
      <c r="DY15033" s="185" t="s">
        <v>215</v>
      </c>
    </row>
    <row r="15034" spans="129:129" x14ac:dyDescent="0.2">
      <c r="DY15034" s="185" t="s">
        <v>215</v>
      </c>
    </row>
    <row r="15035" spans="129:129" x14ac:dyDescent="0.2">
      <c r="DY15035" s="185" t="s">
        <v>215</v>
      </c>
    </row>
    <row r="15036" spans="129:129" x14ac:dyDescent="0.2">
      <c r="DY15036" s="185" t="s">
        <v>215</v>
      </c>
    </row>
    <row r="15037" spans="129:129" x14ac:dyDescent="0.2">
      <c r="DY15037" s="185" t="s">
        <v>215</v>
      </c>
    </row>
    <row r="15038" spans="129:129" x14ac:dyDescent="0.2">
      <c r="DY15038" s="185" t="s">
        <v>215</v>
      </c>
    </row>
    <row r="15039" spans="129:129" x14ac:dyDescent="0.2">
      <c r="DY15039" s="185" t="s">
        <v>215</v>
      </c>
    </row>
    <row r="15040" spans="129:129" x14ac:dyDescent="0.2">
      <c r="DY15040" s="185" t="s">
        <v>215</v>
      </c>
    </row>
    <row r="15041" spans="129:129" x14ac:dyDescent="0.2">
      <c r="DY15041" s="185" t="s">
        <v>215</v>
      </c>
    </row>
    <row r="15042" spans="129:129" x14ac:dyDescent="0.2">
      <c r="DY15042" s="185" t="s">
        <v>215</v>
      </c>
    </row>
    <row r="15043" spans="129:129" x14ac:dyDescent="0.2">
      <c r="DY15043" s="185" t="s">
        <v>215</v>
      </c>
    </row>
    <row r="15044" spans="129:129" x14ac:dyDescent="0.2">
      <c r="DY15044" s="185" t="s">
        <v>215</v>
      </c>
    </row>
    <row r="15045" spans="129:129" x14ac:dyDescent="0.2">
      <c r="DY15045" s="185" t="s">
        <v>215</v>
      </c>
    </row>
    <row r="15046" spans="129:129" x14ac:dyDescent="0.2">
      <c r="DY15046" s="185" t="s">
        <v>215</v>
      </c>
    </row>
    <row r="15047" spans="129:129" x14ac:dyDescent="0.2">
      <c r="DY15047" s="185" t="s">
        <v>215</v>
      </c>
    </row>
    <row r="15048" spans="129:129" x14ac:dyDescent="0.2">
      <c r="DY15048" s="185" t="s">
        <v>215</v>
      </c>
    </row>
    <row r="15049" spans="129:129" x14ac:dyDescent="0.2">
      <c r="DY15049" s="185" t="s">
        <v>215</v>
      </c>
    </row>
    <row r="15050" spans="129:129" x14ac:dyDescent="0.2">
      <c r="DY15050" s="185" t="s">
        <v>215</v>
      </c>
    </row>
    <row r="15051" spans="129:129" x14ac:dyDescent="0.2">
      <c r="DY15051" s="185" t="s">
        <v>215</v>
      </c>
    </row>
    <row r="15052" spans="129:129" x14ac:dyDescent="0.2">
      <c r="DY15052" s="185" t="s">
        <v>215</v>
      </c>
    </row>
    <row r="15053" spans="129:129" x14ac:dyDescent="0.2">
      <c r="DY15053" s="185" t="s">
        <v>215</v>
      </c>
    </row>
    <row r="15054" spans="129:129" x14ac:dyDescent="0.2">
      <c r="DY15054" s="185" t="s">
        <v>215</v>
      </c>
    </row>
    <row r="15055" spans="129:129" x14ac:dyDescent="0.2">
      <c r="DY15055" s="185" t="s">
        <v>215</v>
      </c>
    </row>
    <row r="15056" spans="129:129" x14ac:dyDescent="0.2">
      <c r="DY15056" s="185" t="s">
        <v>215</v>
      </c>
    </row>
    <row r="15057" spans="129:129" x14ac:dyDescent="0.2">
      <c r="DY15057" s="185" t="s">
        <v>215</v>
      </c>
    </row>
    <row r="15058" spans="129:129" x14ac:dyDescent="0.2">
      <c r="DY15058" s="185" t="s">
        <v>215</v>
      </c>
    </row>
    <row r="15059" spans="129:129" x14ac:dyDescent="0.2">
      <c r="DY15059" s="185" t="s">
        <v>215</v>
      </c>
    </row>
    <row r="15060" spans="129:129" x14ac:dyDescent="0.2">
      <c r="DY15060" s="185" t="s">
        <v>215</v>
      </c>
    </row>
    <row r="15061" spans="129:129" x14ac:dyDescent="0.2">
      <c r="DY15061" s="185" t="s">
        <v>215</v>
      </c>
    </row>
    <row r="15062" spans="129:129" x14ac:dyDescent="0.2">
      <c r="DY15062" s="185" t="s">
        <v>215</v>
      </c>
    </row>
    <row r="15063" spans="129:129" x14ac:dyDescent="0.2">
      <c r="DY15063" s="185" t="s">
        <v>215</v>
      </c>
    </row>
    <row r="15064" spans="129:129" x14ac:dyDescent="0.2">
      <c r="DY15064" s="185" t="s">
        <v>215</v>
      </c>
    </row>
    <row r="15065" spans="129:129" x14ac:dyDescent="0.2">
      <c r="DY15065" s="185" t="s">
        <v>215</v>
      </c>
    </row>
    <row r="15066" spans="129:129" x14ac:dyDescent="0.2">
      <c r="DY15066" s="185" t="s">
        <v>215</v>
      </c>
    </row>
    <row r="15067" spans="129:129" x14ac:dyDescent="0.2">
      <c r="DY15067" s="185" t="s">
        <v>215</v>
      </c>
    </row>
    <row r="15068" spans="129:129" x14ac:dyDescent="0.2">
      <c r="DY15068" s="185" t="s">
        <v>215</v>
      </c>
    </row>
    <row r="15069" spans="129:129" x14ac:dyDescent="0.2">
      <c r="DY15069" s="185" t="s">
        <v>215</v>
      </c>
    </row>
    <row r="15070" spans="129:129" x14ac:dyDescent="0.2">
      <c r="DY15070" s="185" t="s">
        <v>215</v>
      </c>
    </row>
    <row r="15071" spans="129:129" x14ac:dyDescent="0.2">
      <c r="DY15071" s="185" t="s">
        <v>215</v>
      </c>
    </row>
    <row r="15072" spans="129:129" x14ac:dyDescent="0.2">
      <c r="DY15072" s="185" t="s">
        <v>215</v>
      </c>
    </row>
    <row r="15073" spans="129:129" x14ac:dyDescent="0.2">
      <c r="DY15073" s="185" t="s">
        <v>215</v>
      </c>
    </row>
    <row r="15074" spans="129:129" x14ac:dyDescent="0.2">
      <c r="DY15074" s="185" t="s">
        <v>215</v>
      </c>
    </row>
    <row r="15075" spans="129:129" x14ac:dyDescent="0.2">
      <c r="DY15075" s="185" t="s">
        <v>215</v>
      </c>
    </row>
    <row r="15076" spans="129:129" x14ac:dyDescent="0.2">
      <c r="DY15076" s="185" t="s">
        <v>215</v>
      </c>
    </row>
    <row r="15077" spans="129:129" x14ac:dyDescent="0.2">
      <c r="DY15077" s="185" t="s">
        <v>215</v>
      </c>
    </row>
    <row r="15078" spans="129:129" x14ac:dyDescent="0.2">
      <c r="DY15078" s="185" t="s">
        <v>215</v>
      </c>
    </row>
    <row r="15079" spans="129:129" x14ac:dyDescent="0.2">
      <c r="DY15079" s="185" t="s">
        <v>215</v>
      </c>
    </row>
    <row r="15080" spans="129:129" x14ac:dyDescent="0.2">
      <c r="DY15080" s="185" t="s">
        <v>215</v>
      </c>
    </row>
    <row r="15081" spans="129:129" x14ac:dyDescent="0.2">
      <c r="DY15081" s="185" t="s">
        <v>215</v>
      </c>
    </row>
    <row r="15082" spans="129:129" x14ac:dyDescent="0.2">
      <c r="DY15082" s="185" t="s">
        <v>215</v>
      </c>
    </row>
    <row r="15083" spans="129:129" x14ac:dyDescent="0.2">
      <c r="DY15083" s="185" t="s">
        <v>215</v>
      </c>
    </row>
    <row r="15084" spans="129:129" x14ac:dyDescent="0.2">
      <c r="DY15084" s="185" t="s">
        <v>215</v>
      </c>
    </row>
    <row r="15085" spans="129:129" x14ac:dyDescent="0.2">
      <c r="DY15085" s="185" t="s">
        <v>215</v>
      </c>
    </row>
    <row r="15086" spans="129:129" x14ac:dyDescent="0.2">
      <c r="DY15086" s="185" t="s">
        <v>215</v>
      </c>
    </row>
    <row r="15087" spans="129:129" x14ac:dyDescent="0.2">
      <c r="DY15087" s="185" t="s">
        <v>215</v>
      </c>
    </row>
    <row r="15088" spans="129:129" x14ac:dyDescent="0.2">
      <c r="DY15088" s="185" t="s">
        <v>215</v>
      </c>
    </row>
    <row r="15089" spans="129:129" x14ac:dyDescent="0.2">
      <c r="DY15089" s="185" t="s">
        <v>215</v>
      </c>
    </row>
    <row r="15090" spans="129:129" x14ac:dyDescent="0.2">
      <c r="DY15090" s="185" t="s">
        <v>215</v>
      </c>
    </row>
    <row r="15091" spans="129:129" x14ac:dyDescent="0.2">
      <c r="DY15091" s="185" t="s">
        <v>215</v>
      </c>
    </row>
    <row r="15092" spans="129:129" x14ac:dyDescent="0.2">
      <c r="DY15092" s="185" t="s">
        <v>215</v>
      </c>
    </row>
    <row r="15093" spans="129:129" x14ac:dyDescent="0.2">
      <c r="DY15093" s="185" t="s">
        <v>215</v>
      </c>
    </row>
    <row r="15094" spans="129:129" x14ac:dyDescent="0.2">
      <c r="DY15094" s="185" t="s">
        <v>215</v>
      </c>
    </row>
    <row r="15095" spans="129:129" x14ac:dyDescent="0.2">
      <c r="DY15095" s="185" t="s">
        <v>215</v>
      </c>
    </row>
    <row r="15096" spans="129:129" x14ac:dyDescent="0.2">
      <c r="DY15096" s="185" t="s">
        <v>215</v>
      </c>
    </row>
    <row r="15097" spans="129:129" x14ac:dyDescent="0.2">
      <c r="DY15097" s="185" t="s">
        <v>215</v>
      </c>
    </row>
    <row r="15098" spans="129:129" x14ac:dyDescent="0.2">
      <c r="DY15098" s="185" t="s">
        <v>215</v>
      </c>
    </row>
    <row r="15099" spans="129:129" x14ac:dyDescent="0.2">
      <c r="DY15099" s="185" t="s">
        <v>215</v>
      </c>
    </row>
    <row r="15100" spans="129:129" x14ac:dyDescent="0.2">
      <c r="DY15100" s="185" t="s">
        <v>215</v>
      </c>
    </row>
    <row r="15101" spans="129:129" x14ac:dyDescent="0.2">
      <c r="DY15101" s="185" t="s">
        <v>215</v>
      </c>
    </row>
    <row r="15102" spans="129:129" x14ac:dyDescent="0.2">
      <c r="DY15102" s="185" t="s">
        <v>215</v>
      </c>
    </row>
    <row r="15103" spans="129:129" x14ac:dyDescent="0.2">
      <c r="DY15103" s="185" t="s">
        <v>215</v>
      </c>
    </row>
    <row r="15104" spans="129:129" x14ac:dyDescent="0.2">
      <c r="DY15104" s="185" t="s">
        <v>215</v>
      </c>
    </row>
    <row r="15105" spans="129:129" x14ac:dyDescent="0.2">
      <c r="DY15105" s="185" t="s">
        <v>215</v>
      </c>
    </row>
    <row r="15106" spans="129:129" x14ac:dyDescent="0.2">
      <c r="DY15106" s="185" t="s">
        <v>215</v>
      </c>
    </row>
    <row r="15107" spans="129:129" x14ac:dyDescent="0.2">
      <c r="DY15107" s="185" t="s">
        <v>215</v>
      </c>
    </row>
    <row r="15108" spans="129:129" x14ac:dyDescent="0.2">
      <c r="DY15108" s="185" t="s">
        <v>215</v>
      </c>
    </row>
    <row r="15109" spans="129:129" x14ac:dyDescent="0.2">
      <c r="DY15109" s="185" t="s">
        <v>215</v>
      </c>
    </row>
    <row r="15110" spans="129:129" x14ac:dyDescent="0.2">
      <c r="DY15110" s="185" t="s">
        <v>215</v>
      </c>
    </row>
    <row r="15111" spans="129:129" x14ac:dyDescent="0.2">
      <c r="DY15111" s="185" t="s">
        <v>215</v>
      </c>
    </row>
    <row r="15112" spans="129:129" x14ac:dyDescent="0.2">
      <c r="DY15112" s="185" t="s">
        <v>215</v>
      </c>
    </row>
    <row r="15113" spans="129:129" x14ac:dyDescent="0.2">
      <c r="DY15113" s="185" t="s">
        <v>215</v>
      </c>
    </row>
    <row r="15114" spans="129:129" x14ac:dyDescent="0.2">
      <c r="DY15114" s="185" t="s">
        <v>215</v>
      </c>
    </row>
    <row r="15115" spans="129:129" x14ac:dyDescent="0.2">
      <c r="DY15115" s="185" t="s">
        <v>215</v>
      </c>
    </row>
    <row r="15116" spans="129:129" x14ac:dyDescent="0.2">
      <c r="DY15116" s="185" t="s">
        <v>215</v>
      </c>
    </row>
    <row r="15117" spans="129:129" x14ac:dyDescent="0.2">
      <c r="DY15117" s="185" t="s">
        <v>215</v>
      </c>
    </row>
    <row r="15118" spans="129:129" x14ac:dyDescent="0.2">
      <c r="DY15118" s="185" t="s">
        <v>215</v>
      </c>
    </row>
    <row r="15119" spans="129:129" x14ac:dyDescent="0.2">
      <c r="DY15119" s="185" t="s">
        <v>215</v>
      </c>
    </row>
    <row r="15120" spans="129:129" x14ac:dyDescent="0.2">
      <c r="DY15120" s="185" t="s">
        <v>215</v>
      </c>
    </row>
    <row r="15121" spans="129:129" x14ac:dyDescent="0.2">
      <c r="DY15121" s="185" t="s">
        <v>215</v>
      </c>
    </row>
    <row r="15122" spans="129:129" x14ac:dyDescent="0.2">
      <c r="DY15122" s="185" t="s">
        <v>215</v>
      </c>
    </row>
    <row r="15123" spans="129:129" x14ac:dyDescent="0.2">
      <c r="DY15123" s="185" t="s">
        <v>215</v>
      </c>
    </row>
    <row r="15124" spans="129:129" x14ac:dyDescent="0.2">
      <c r="DY15124" s="185" t="s">
        <v>215</v>
      </c>
    </row>
    <row r="15125" spans="129:129" x14ac:dyDescent="0.2">
      <c r="DY15125" s="185" t="s">
        <v>215</v>
      </c>
    </row>
    <row r="15126" spans="129:129" x14ac:dyDescent="0.2">
      <c r="DY15126" s="185" t="s">
        <v>215</v>
      </c>
    </row>
    <row r="15127" spans="129:129" x14ac:dyDescent="0.2">
      <c r="DY15127" s="185" t="s">
        <v>215</v>
      </c>
    </row>
    <row r="15128" spans="129:129" x14ac:dyDescent="0.2">
      <c r="DY15128" s="185" t="s">
        <v>215</v>
      </c>
    </row>
    <row r="15129" spans="129:129" x14ac:dyDescent="0.2">
      <c r="DY15129" s="185" t="s">
        <v>215</v>
      </c>
    </row>
    <row r="15130" spans="129:129" x14ac:dyDescent="0.2">
      <c r="DY15130" s="185" t="s">
        <v>215</v>
      </c>
    </row>
    <row r="15131" spans="129:129" x14ac:dyDescent="0.2">
      <c r="DY15131" s="185" t="s">
        <v>215</v>
      </c>
    </row>
    <row r="15132" spans="129:129" x14ac:dyDescent="0.2">
      <c r="DY15132" s="185" t="s">
        <v>215</v>
      </c>
    </row>
    <row r="15133" spans="129:129" x14ac:dyDescent="0.2">
      <c r="DY15133" s="185" t="s">
        <v>215</v>
      </c>
    </row>
    <row r="15134" spans="129:129" x14ac:dyDescent="0.2">
      <c r="DY15134" s="185" t="s">
        <v>215</v>
      </c>
    </row>
    <row r="15135" spans="129:129" x14ac:dyDescent="0.2">
      <c r="DY15135" s="185" t="s">
        <v>215</v>
      </c>
    </row>
    <row r="15136" spans="129:129" x14ac:dyDescent="0.2">
      <c r="DY15136" s="185" t="s">
        <v>215</v>
      </c>
    </row>
    <row r="15137" spans="129:129" x14ac:dyDescent="0.2">
      <c r="DY15137" s="185" t="s">
        <v>215</v>
      </c>
    </row>
    <row r="15138" spans="129:129" x14ac:dyDescent="0.2">
      <c r="DY15138" s="185" t="s">
        <v>215</v>
      </c>
    </row>
    <row r="15139" spans="129:129" x14ac:dyDescent="0.2">
      <c r="DY15139" s="185" t="s">
        <v>215</v>
      </c>
    </row>
    <row r="15140" spans="129:129" x14ac:dyDescent="0.2">
      <c r="DY15140" s="185" t="s">
        <v>215</v>
      </c>
    </row>
    <row r="15141" spans="129:129" x14ac:dyDescent="0.2">
      <c r="DY15141" s="185" t="s">
        <v>215</v>
      </c>
    </row>
    <row r="15142" spans="129:129" x14ac:dyDescent="0.2">
      <c r="DY15142" s="185" t="s">
        <v>215</v>
      </c>
    </row>
    <row r="15143" spans="129:129" x14ac:dyDescent="0.2">
      <c r="DY15143" s="185" t="s">
        <v>215</v>
      </c>
    </row>
    <row r="15144" spans="129:129" x14ac:dyDescent="0.2">
      <c r="DY15144" s="185" t="s">
        <v>215</v>
      </c>
    </row>
    <row r="15145" spans="129:129" x14ac:dyDescent="0.2">
      <c r="DY15145" s="185" t="s">
        <v>215</v>
      </c>
    </row>
    <row r="15146" spans="129:129" x14ac:dyDescent="0.2">
      <c r="DY15146" s="185" t="s">
        <v>215</v>
      </c>
    </row>
    <row r="15147" spans="129:129" x14ac:dyDescent="0.2">
      <c r="DY15147" s="185" t="s">
        <v>215</v>
      </c>
    </row>
    <row r="15148" spans="129:129" x14ac:dyDescent="0.2">
      <c r="DY15148" s="185" t="s">
        <v>215</v>
      </c>
    </row>
    <row r="15149" spans="129:129" x14ac:dyDescent="0.2">
      <c r="DY15149" s="185" t="s">
        <v>215</v>
      </c>
    </row>
    <row r="15150" spans="129:129" x14ac:dyDescent="0.2">
      <c r="DY15150" s="185" t="s">
        <v>215</v>
      </c>
    </row>
    <row r="15151" spans="129:129" x14ac:dyDescent="0.2">
      <c r="DY15151" s="185" t="s">
        <v>215</v>
      </c>
    </row>
    <row r="15152" spans="129:129" x14ac:dyDescent="0.2">
      <c r="DY15152" s="185" t="s">
        <v>215</v>
      </c>
    </row>
    <row r="15153" spans="129:129" x14ac:dyDescent="0.2">
      <c r="DY15153" s="185" t="s">
        <v>215</v>
      </c>
    </row>
    <row r="15154" spans="129:129" x14ac:dyDescent="0.2">
      <c r="DY15154" s="185" t="s">
        <v>215</v>
      </c>
    </row>
    <row r="15155" spans="129:129" x14ac:dyDescent="0.2">
      <c r="DY15155" s="185" t="s">
        <v>215</v>
      </c>
    </row>
    <row r="15156" spans="129:129" x14ac:dyDescent="0.2">
      <c r="DY15156" s="185" t="s">
        <v>215</v>
      </c>
    </row>
    <row r="15157" spans="129:129" x14ac:dyDescent="0.2">
      <c r="DY15157" s="185" t="s">
        <v>215</v>
      </c>
    </row>
    <row r="15158" spans="129:129" x14ac:dyDescent="0.2">
      <c r="DY15158" s="185" t="s">
        <v>215</v>
      </c>
    </row>
    <row r="15159" spans="129:129" x14ac:dyDescent="0.2">
      <c r="DY15159" s="185" t="s">
        <v>215</v>
      </c>
    </row>
    <row r="15160" spans="129:129" x14ac:dyDescent="0.2">
      <c r="DY15160" s="185" t="s">
        <v>215</v>
      </c>
    </row>
    <row r="15161" spans="129:129" x14ac:dyDescent="0.2">
      <c r="DY15161" s="185" t="s">
        <v>215</v>
      </c>
    </row>
    <row r="15162" spans="129:129" x14ac:dyDescent="0.2">
      <c r="DY15162" s="185" t="s">
        <v>215</v>
      </c>
    </row>
    <row r="15163" spans="129:129" x14ac:dyDescent="0.2">
      <c r="DY15163" s="185" t="s">
        <v>215</v>
      </c>
    </row>
    <row r="15164" spans="129:129" x14ac:dyDescent="0.2">
      <c r="DY15164" s="185" t="s">
        <v>215</v>
      </c>
    </row>
    <row r="15165" spans="129:129" x14ac:dyDescent="0.2">
      <c r="DY15165" s="185" t="s">
        <v>215</v>
      </c>
    </row>
    <row r="15166" spans="129:129" x14ac:dyDescent="0.2">
      <c r="DY15166" s="185" t="s">
        <v>215</v>
      </c>
    </row>
    <row r="15167" spans="129:129" x14ac:dyDescent="0.2">
      <c r="DY15167" s="185" t="s">
        <v>215</v>
      </c>
    </row>
    <row r="15168" spans="129:129" x14ac:dyDescent="0.2">
      <c r="DY15168" s="185" t="s">
        <v>215</v>
      </c>
    </row>
    <row r="15169" spans="129:129" x14ac:dyDescent="0.2">
      <c r="DY15169" s="185" t="s">
        <v>215</v>
      </c>
    </row>
    <row r="15170" spans="129:129" x14ac:dyDescent="0.2">
      <c r="DY15170" s="185" t="s">
        <v>215</v>
      </c>
    </row>
    <row r="15171" spans="129:129" x14ac:dyDescent="0.2">
      <c r="DY15171" s="185" t="s">
        <v>215</v>
      </c>
    </row>
    <row r="15172" spans="129:129" x14ac:dyDescent="0.2">
      <c r="DY15172" s="185" t="s">
        <v>215</v>
      </c>
    </row>
    <row r="15173" spans="129:129" x14ac:dyDescent="0.2">
      <c r="DY15173" s="185" t="s">
        <v>215</v>
      </c>
    </row>
    <row r="15174" spans="129:129" x14ac:dyDescent="0.2">
      <c r="DY15174" s="185" t="s">
        <v>215</v>
      </c>
    </row>
    <row r="15175" spans="129:129" x14ac:dyDescent="0.2">
      <c r="DY15175" s="185" t="s">
        <v>215</v>
      </c>
    </row>
    <row r="15176" spans="129:129" x14ac:dyDescent="0.2">
      <c r="DY15176" s="185" t="s">
        <v>215</v>
      </c>
    </row>
    <row r="15177" spans="129:129" x14ac:dyDescent="0.2">
      <c r="DY15177" s="185" t="s">
        <v>215</v>
      </c>
    </row>
    <row r="15178" spans="129:129" x14ac:dyDescent="0.2">
      <c r="DY15178" s="185" t="s">
        <v>215</v>
      </c>
    </row>
    <row r="15179" spans="129:129" x14ac:dyDescent="0.2">
      <c r="DY15179" s="185" t="s">
        <v>215</v>
      </c>
    </row>
    <row r="15180" spans="129:129" x14ac:dyDescent="0.2">
      <c r="DY15180" s="185" t="s">
        <v>215</v>
      </c>
    </row>
    <row r="15181" spans="129:129" x14ac:dyDescent="0.2">
      <c r="DY15181" s="185" t="s">
        <v>215</v>
      </c>
    </row>
    <row r="15182" spans="129:129" x14ac:dyDescent="0.2">
      <c r="DY15182" s="185" t="s">
        <v>215</v>
      </c>
    </row>
    <row r="15183" spans="129:129" x14ac:dyDescent="0.2">
      <c r="DY15183" s="185" t="s">
        <v>215</v>
      </c>
    </row>
    <row r="15184" spans="129:129" x14ac:dyDescent="0.2">
      <c r="DY15184" s="185" t="s">
        <v>215</v>
      </c>
    </row>
    <row r="15185" spans="129:129" x14ac:dyDescent="0.2">
      <c r="DY15185" s="185" t="s">
        <v>215</v>
      </c>
    </row>
    <row r="15186" spans="129:129" x14ac:dyDescent="0.2">
      <c r="DY15186" s="185" t="s">
        <v>215</v>
      </c>
    </row>
    <row r="15187" spans="129:129" x14ac:dyDescent="0.2">
      <c r="DY15187" s="185" t="s">
        <v>215</v>
      </c>
    </row>
    <row r="15188" spans="129:129" x14ac:dyDescent="0.2">
      <c r="DY15188" s="185" t="s">
        <v>215</v>
      </c>
    </row>
    <row r="15189" spans="129:129" x14ac:dyDescent="0.2">
      <c r="DY15189" s="185" t="s">
        <v>215</v>
      </c>
    </row>
    <row r="15190" spans="129:129" x14ac:dyDescent="0.2">
      <c r="DY15190" s="185" t="s">
        <v>215</v>
      </c>
    </row>
    <row r="15191" spans="129:129" x14ac:dyDescent="0.2">
      <c r="DY15191" s="185" t="s">
        <v>215</v>
      </c>
    </row>
    <row r="15192" spans="129:129" x14ac:dyDescent="0.2">
      <c r="DY15192" s="185" t="s">
        <v>215</v>
      </c>
    </row>
    <row r="15193" spans="129:129" x14ac:dyDescent="0.2">
      <c r="DY15193" s="185" t="s">
        <v>215</v>
      </c>
    </row>
    <row r="15194" spans="129:129" x14ac:dyDescent="0.2">
      <c r="DY15194" s="185" t="s">
        <v>215</v>
      </c>
    </row>
    <row r="15195" spans="129:129" x14ac:dyDescent="0.2">
      <c r="DY15195" s="185" t="s">
        <v>215</v>
      </c>
    </row>
    <row r="15196" spans="129:129" x14ac:dyDescent="0.2">
      <c r="DY15196" s="185" t="s">
        <v>215</v>
      </c>
    </row>
    <row r="15197" spans="129:129" x14ac:dyDescent="0.2">
      <c r="DY15197" s="185" t="s">
        <v>215</v>
      </c>
    </row>
    <row r="15198" spans="129:129" x14ac:dyDescent="0.2">
      <c r="DY15198" s="185" t="s">
        <v>215</v>
      </c>
    </row>
    <row r="15199" spans="129:129" x14ac:dyDescent="0.2">
      <c r="DY15199" s="185" t="s">
        <v>215</v>
      </c>
    </row>
    <row r="15200" spans="129:129" x14ac:dyDescent="0.2">
      <c r="DY15200" s="185" t="s">
        <v>215</v>
      </c>
    </row>
    <row r="15201" spans="129:129" x14ac:dyDescent="0.2">
      <c r="DY15201" s="185" t="s">
        <v>215</v>
      </c>
    </row>
    <row r="15202" spans="129:129" x14ac:dyDescent="0.2">
      <c r="DY15202" s="185" t="s">
        <v>215</v>
      </c>
    </row>
    <row r="15203" spans="129:129" x14ac:dyDescent="0.2">
      <c r="DY15203" s="185" t="s">
        <v>215</v>
      </c>
    </row>
    <row r="15204" spans="129:129" x14ac:dyDescent="0.2">
      <c r="DY15204" s="185" t="s">
        <v>215</v>
      </c>
    </row>
    <row r="15205" spans="129:129" x14ac:dyDescent="0.2">
      <c r="DY15205" s="185" t="s">
        <v>215</v>
      </c>
    </row>
    <row r="15206" spans="129:129" x14ac:dyDescent="0.2">
      <c r="DY15206" s="185" t="s">
        <v>215</v>
      </c>
    </row>
    <row r="15207" spans="129:129" x14ac:dyDescent="0.2">
      <c r="DY15207" s="185" t="s">
        <v>215</v>
      </c>
    </row>
    <row r="15208" spans="129:129" x14ac:dyDescent="0.2">
      <c r="DY15208" s="185" t="s">
        <v>215</v>
      </c>
    </row>
    <row r="15209" spans="129:129" x14ac:dyDescent="0.2">
      <c r="DY15209" s="185" t="s">
        <v>215</v>
      </c>
    </row>
    <row r="15210" spans="129:129" x14ac:dyDescent="0.2">
      <c r="DY15210" s="185" t="s">
        <v>215</v>
      </c>
    </row>
    <row r="15211" spans="129:129" x14ac:dyDescent="0.2">
      <c r="DY15211" s="185" t="s">
        <v>215</v>
      </c>
    </row>
    <row r="15212" spans="129:129" x14ac:dyDescent="0.2">
      <c r="DY15212" s="185" t="s">
        <v>215</v>
      </c>
    </row>
    <row r="15213" spans="129:129" x14ac:dyDescent="0.2">
      <c r="DY15213" s="185" t="s">
        <v>215</v>
      </c>
    </row>
    <row r="15214" spans="129:129" x14ac:dyDescent="0.2">
      <c r="DY15214" s="185" t="s">
        <v>215</v>
      </c>
    </row>
    <row r="15215" spans="129:129" x14ac:dyDescent="0.2">
      <c r="DY15215" s="185" t="s">
        <v>215</v>
      </c>
    </row>
    <row r="15216" spans="129:129" x14ac:dyDescent="0.2">
      <c r="DY15216" s="185" t="s">
        <v>215</v>
      </c>
    </row>
    <row r="15217" spans="129:129" x14ac:dyDescent="0.2">
      <c r="DY15217" s="185" t="s">
        <v>215</v>
      </c>
    </row>
    <row r="15218" spans="129:129" x14ac:dyDescent="0.2">
      <c r="DY15218" s="185" t="s">
        <v>215</v>
      </c>
    </row>
    <row r="15219" spans="129:129" x14ac:dyDescent="0.2">
      <c r="DY15219" s="185" t="s">
        <v>215</v>
      </c>
    </row>
    <row r="15220" spans="129:129" x14ac:dyDescent="0.2">
      <c r="DY15220" s="185" t="s">
        <v>215</v>
      </c>
    </row>
    <row r="15221" spans="129:129" x14ac:dyDescent="0.2">
      <c r="DY15221" s="185" t="s">
        <v>215</v>
      </c>
    </row>
    <row r="15222" spans="129:129" x14ac:dyDescent="0.2">
      <c r="DY15222" s="185" t="s">
        <v>215</v>
      </c>
    </row>
    <row r="15223" spans="129:129" x14ac:dyDescent="0.2">
      <c r="DY15223" s="185" t="s">
        <v>215</v>
      </c>
    </row>
    <row r="15224" spans="129:129" x14ac:dyDescent="0.2">
      <c r="DY15224" s="185" t="s">
        <v>215</v>
      </c>
    </row>
    <row r="15225" spans="129:129" x14ac:dyDescent="0.2">
      <c r="DY15225" s="185" t="s">
        <v>215</v>
      </c>
    </row>
    <row r="15226" spans="129:129" x14ac:dyDescent="0.2">
      <c r="DY15226" s="185" t="s">
        <v>215</v>
      </c>
    </row>
    <row r="15227" spans="129:129" x14ac:dyDescent="0.2">
      <c r="DY15227" s="185" t="s">
        <v>215</v>
      </c>
    </row>
    <row r="15228" spans="129:129" x14ac:dyDescent="0.2">
      <c r="DY15228" s="185" t="s">
        <v>215</v>
      </c>
    </row>
    <row r="15229" spans="129:129" x14ac:dyDescent="0.2">
      <c r="DY15229" s="185" t="s">
        <v>215</v>
      </c>
    </row>
    <row r="15230" spans="129:129" x14ac:dyDescent="0.2">
      <c r="DY15230" s="185" t="s">
        <v>215</v>
      </c>
    </row>
    <row r="15231" spans="129:129" x14ac:dyDescent="0.2">
      <c r="DY15231" s="185" t="s">
        <v>215</v>
      </c>
    </row>
    <row r="15232" spans="129:129" x14ac:dyDescent="0.2">
      <c r="DY15232" s="185" t="s">
        <v>215</v>
      </c>
    </row>
    <row r="15233" spans="129:129" x14ac:dyDescent="0.2">
      <c r="DY15233" s="185" t="s">
        <v>215</v>
      </c>
    </row>
    <row r="15234" spans="129:129" x14ac:dyDescent="0.2">
      <c r="DY15234" s="185" t="s">
        <v>215</v>
      </c>
    </row>
    <row r="15235" spans="129:129" x14ac:dyDescent="0.2">
      <c r="DY15235" s="185" t="s">
        <v>215</v>
      </c>
    </row>
    <row r="15236" spans="129:129" x14ac:dyDescent="0.2">
      <c r="DY15236" s="185" t="s">
        <v>215</v>
      </c>
    </row>
    <row r="15237" spans="129:129" x14ac:dyDescent="0.2">
      <c r="DY15237" s="185" t="s">
        <v>215</v>
      </c>
    </row>
    <row r="15238" spans="129:129" x14ac:dyDescent="0.2">
      <c r="DY15238" s="185" t="s">
        <v>215</v>
      </c>
    </row>
    <row r="15239" spans="129:129" x14ac:dyDescent="0.2">
      <c r="DY15239" s="185" t="s">
        <v>215</v>
      </c>
    </row>
    <row r="15240" spans="129:129" x14ac:dyDescent="0.2">
      <c r="DY15240" s="185" t="s">
        <v>215</v>
      </c>
    </row>
    <row r="15241" spans="129:129" x14ac:dyDescent="0.2">
      <c r="DY15241" s="185" t="s">
        <v>215</v>
      </c>
    </row>
    <row r="15242" spans="129:129" x14ac:dyDescent="0.2">
      <c r="DY15242" s="185" t="s">
        <v>215</v>
      </c>
    </row>
    <row r="15243" spans="129:129" x14ac:dyDescent="0.2">
      <c r="DY15243" s="185" t="s">
        <v>215</v>
      </c>
    </row>
    <row r="15244" spans="129:129" x14ac:dyDescent="0.2">
      <c r="DY15244" s="185" t="s">
        <v>215</v>
      </c>
    </row>
    <row r="15245" spans="129:129" x14ac:dyDescent="0.2">
      <c r="DY15245" s="185" t="s">
        <v>215</v>
      </c>
    </row>
    <row r="15246" spans="129:129" x14ac:dyDescent="0.2">
      <c r="DY15246" s="185" t="s">
        <v>215</v>
      </c>
    </row>
    <row r="15247" spans="129:129" x14ac:dyDescent="0.2">
      <c r="DY15247" s="185" t="s">
        <v>215</v>
      </c>
    </row>
    <row r="15248" spans="129:129" x14ac:dyDescent="0.2">
      <c r="DY15248" s="185" t="s">
        <v>215</v>
      </c>
    </row>
    <row r="15249" spans="129:129" x14ac:dyDescent="0.2">
      <c r="DY15249" s="185" t="s">
        <v>215</v>
      </c>
    </row>
    <row r="15250" spans="129:129" x14ac:dyDescent="0.2">
      <c r="DY15250" s="185" t="s">
        <v>215</v>
      </c>
    </row>
    <row r="15251" spans="129:129" x14ac:dyDescent="0.2">
      <c r="DY15251" s="185" t="s">
        <v>215</v>
      </c>
    </row>
    <row r="15252" spans="129:129" x14ac:dyDescent="0.2">
      <c r="DY15252" s="185" t="s">
        <v>215</v>
      </c>
    </row>
    <row r="15253" spans="129:129" x14ac:dyDescent="0.2">
      <c r="DY15253" s="185" t="s">
        <v>215</v>
      </c>
    </row>
    <row r="15254" spans="129:129" x14ac:dyDescent="0.2">
      <c r="DY15254" s="185" t="s">
        <v>215</v>
      </c>
    </row>
    <row r="15255" spans="129:129" x14ac:dyDescent="0.2">
      <c r="DY15255" s="185" t="s">
        <v>215</v>
      </c>
    </row>
    <row r="15256" spans="129:129" x14ac:dyDescent="0.2">
      <c r="DY15256" s="185" t="s">
        <v>215</v>
      </c>
    </row>
    <row r="15257" spans="129:129" x14ac:dyDescent="0.2">
      <c r="DY15257" s="185" t="s">
        <v>215</v>
      </c>
    </row>
    <row r="15258" spans="129:129" x14ac:dyDescent="0.2">
      <c r="DY15258" s="185" t="s">
        <v>215</v>
      </c>
    </row>
    <row r="15259" spans="129:129" x14ac:dyDescent="0.2">
      <c r="DY15259" s="185" t="s">
        <v>215</v>
      </c>
    </row>
    <row r="15260" spans="129:129" x14ac:dyDescent="0.2">
      <c r="DY15260" s="185" t="s">
        <v>215</v>
      </c>
    </row>
    <row r="15261" spans="129:129" x14ac:dyDescent="0.2">
      <c r="DY15261" s="185" t="s">
        <v>215</v>
      </c>
    </row>
    <row r="15262" spans="129:129" x14ac:dyDescent="0.2">
      <c r="DY15262" s="185" t="s">
        <v>215</v>
      </c>
    </row>
    <row r="15263" spans="129:129" x14ac:dyDescent="0.2">
      <c r="DY15263" s="185" t="s">
        <v>215</v>
      </c>
    </row>
    <row r="15264" spans="129:129" x14ac:dyDescent="0.2">
      <c r="DY15264" s="185" t="s">
        <v>215</v>
      </c>
    </row>
    <row r="15265" spans="129:129" x14ac:dyDescent="0.2">
      <c r="DY15265" s="185" t="s">
        <v>215</v>
      </c>
    </row>
    <row r="15266" spans="129:129" x14ac:dyDescent="0.2">
      <c r="DY15266" s="185" t="s">
        <v>215</v>
      </c>
    </row>
    <row r="15267" spans="129:129" x14ac:dyDescent="0.2">
      <c r="DY15267" s="185" t="s">
        <v>215</v>
      </c>
    </row>
    <row r="15268" spans="129:129" x14ac:dyDescent="0.2">
      <c r="DY15268" s="185" t="s">
        <v>215</v>
      </c>
    </row>
    <row r="15269" spans="129:129" x14ac:dyDescent="0.2">
      <c r="DY15269" s="185" t="s">
        <v>215</v>
      </c>
    </row>
    <row r="15270" spans="129:129" x14ac:dyDescent="0.2">
      <c r="DY15270" s="185" t="s">
        <v>215</v>
      </c>
    </row>
    <row r="15271" spans="129:129" x14ac:dyDescent="0.2">
      <c r="DY15271" s="185" t="s">
        <v>215</v>
      </c>
    </row>
    <row r="15272" spans="129:129" x14ac:dyDescent="0.2">
      <c r="DY15272" s="185" t="s">
        <v>215</v>
      </c>
    </row>
    <row r="15273" spans="129:129" x14ac:dyDescent="0.2">
      <c r="DY15273" s="185" t="s">
        <v>215</v>
      </c>
    </row>
    <row r="15274" spans="129:129" x14ac:dyDescent="0.2">
      <c r="DY15274" s="185" t="s">
        <v>215</v>
      </c>
    </row>
    <row r="15275" spans="129:129" x14ac:dyDescent="0.2">
      <c r="DY15275" s="185" t="s">
        <v>215</v>
      </c>
    </row>
    <row r="15276" spans="129:129" x14ac:dyDescent="0.2">
      <c r="DY15276" s="185" t="s">
        <v>215</v>
      </c>
    </row>
    <row r="15277" spans="129:129" x14ac:dyDescent="0.2">
      <c r="DY15277" s="185" t="s">
        <v>215</v>
      </c>
    </row>
    <row r="15278" spans="129:129" x14ac:dyDescent="0.2">
      <c r="DY15278" s="185" t="s">
        <v>215</v>
      </c>
    </row>
    <row r="15279" spans="129:129" x14ac:dyDescent="0.2">
      <c r="DY15279" s="185" t="s">
        <v>215</v>
      </c>
    </row>
    <row r="15280" spans="129:129" x14ac:dyDescent="0.2">
      <c r="DY15280" s="185" t="s">
        <v>215</v>
      </c>
    </row>
    <row r="15281" spans="129:129" x14ac:dyDescent="0.2">
      <c r="DY15281" s="185" t="s">
        <v>215</v>
      </c>
    </row>
    <row r="15282" spans="129:129" x14ac:dyDescent="0.2">
      <c r="DY15282" s="185" t="s">
        <v>215</v>
      </c>
    </row>
    <row r="15283" spans="129:129" x14ac:dyDescent="0.2">
      <c r="DY15283" s="185" t="s">
        <v>215</v>
      </c>
    </row>
    <row r="15284" spans="129:129" x14ac:dyDescent="0.2">
      <c r="DY15284" s="185" t="s">
        <v>215</v>
      </c>
    </row>
    <row r="15285" spans="129:129" x14ac:dyDescent="0.2">
      <c r="DY15285" s="185" t="s">
        <v>215</v>
      </c>
    </row>
    <row r="15286" spans="129:129" x14ac:dyDescent="0.2">
      <c r="DY15286" s="185" t="s">
        <v>215</v>
      </c>
    </row>
    <row r="15287" spans="129:129" x14ac:dyDescent="0.2">
      <c r="DY15287" s="185" t="s">
        <v>215</v>
      </c>
    </row>
    <row r="15288" spans="129:129" x14ac:dyDescent="0.2">
      <c r="DY15288" s="185" t="s">
        <v>215</v>
      </c>
    </row>
    <row r="15289" spans="129:129" x14ac:dyDescent="0.2">
      <c r="DY15289" s="185" t="s">
        <v>215</v>
      </c>
    </row>
    <row r="15290" spans="129:129" x14ac:dyDescent="0.2">
      <c r="DY15290" s="185" t="s">
        <v>215</v>
      </c>
    </row>
    <row r="15291" spans="129:129" x14ac:dyDescent="0.2">
      <c r="DY15291" s="185" t="s">
        <v>215</v>
      </c>
    </row>
    <row r="15292" spans="129:129" x14ac:dyDescent="0.2">
      <c r="DY15292" s="185" t="s">
        <v>215</v>
      </c>
    </row>
    <row r="15293" spans="129:129" x14ac:dyDescent="0.2">
      <c r="DY15293" s="185" t="s">
        <v>215</v>
      </c>
    </row>
    <row r="15294" spans="129:129" x14ac:dyDescent="0.2">
      <c r="DY15294" s="185" t="s">
        <v>215</v>
      </c>
    </row>
    <row r="15295" spans="129:129" x14ac:dyDescent="0.2">
      <c r="DY15295" s="185" t="s">
        <v>215</v>
      </c>
    </row>
    <row r="15296" spans="129:129" x14ac:dyDescent="0.2">
      <c r="DY15296" s="185" t="s">
        <v>215</v>
      </c>
    </row>
    <row r="15297" spans="129:129" x14ac:dyDescent="0.2">
      <c r="DY15297" s="185" t="s">
        <v>215</v>
      </c>
    </row>
    <row r="15298" spans="129:129" x14ac:dyDescent="0.2">
      <c r="DY15298" s="185" t="s">
        <v>215</v>
      </c>
    </row>
    <row r="15299" spans="129:129" x14ac:dyDescent="0.2">
      <c r="DY15299" s="185" t="s">
        <v>215</v>
      </c>
    </row>
    <row r="15300" spans="129:129" x14ac:dyDescent="0.2">
      <c r="DY15300" s="185" t="s">
        <v>215</v>
      </c>
    </row>
    <row r="15301" spans="129:129" x14ac:dyDescent="0.2">
      <c r="DY15301" s="185" t="s">
        <v>215</v>
      </c>
    </row>
    <row r="15302" spans="129:129" x14ac:dyDescent="0.2">
      <c r="DY15302" s="185" t="s">
        <v>215</v>
      </c>
    </row>
    <row r="15303" spans="129:129" x14ac:dyDescent="0.2">
      <c r="DY15303" s="185" t="s">
        <v>215</v>
      </c>
    </row>
    <row r="15304" spans="129:129" x14ac:dyDescent="0.2">
      <c r="DY15304" s="185" t="s">
        <v>215</v>
      </c>
    </row>
    <row r="15305" spans="129:129" x14ac:dyDescent="0.2">
      <c r="DY15305" s="185" t="s">
        <v>215</v>
      </c>
    </row>
    <row r="15306" spans="129:129" x14ac:dyDescent="0.2">
      <c r="DY15306" s="185" t="s">
        <v>215</v>
      </c>
    </row>
    <row r="15307" spans="129:129" x14ac:dyDescent="0.2">
      <c r="DY15307" s="185" t="s">
        <v>215</v>
      </c>
    </row>
    <row r="15308" spans="129:129" x14ac:dyDescent="0.2">
      <c r="DY15308" s="185" t="s">
        <v>215</v>
      </c>
    </row>
    <row r="15309" spans="129:129" x14ac:dyDescent="0.2">
      <c r="DY15309" s="185" t="s">
        <v>215</v>
      </c>
    </row>
    <row r="15310" spans="129:129" x14ac:dyDescent="0.2">
      <c r="DY15310" s="185" t="s">
        <v>215</v>
      </c>
    </row>
    <row r="15311" spans="129:129" x14ac:dyDescent="0.2">
      <c r="DY15311" s="185" t="s">
        <v>215</v>
      </c>
    </row>
    <row r="15312" spans="129:129" x14ac:dyDescent="0.2">
      <c r="DY15312" s="185" t="s">
        <v>215</v>
      </c>
    </row>
    <row r="15313" spans="129:129" x14ac:dyDescent="0.2">
      <c r="DY15313" s="185" t="s">
        <v>215</v>
      </c>
    </row>
    <row r="15314" spans="129:129" x14ac:dyDescent="0.2">
      <c r="DY15314" s="185" t="s">
        <v>215</v>
      </c>
    </row>
    <row r="15315" spans="129:129" x14ac:dyDescent="0.2">
      <c r="DY15315" s="185" t="s">
        <v>215</v>
      </c>
    </row>
    <row r="15316" spans="129:129" x14ac:dyDescent="0.2">
      <c r="DY15316" s="185" t="s">
        <v>215</v>
      </c>
    </row>
    <row r="15317" spans="129:129" x14ac:dyDescent="0.2">
      <c r="DY15317" s="185" t="s">
        <v>215</v>
      </c>
    </row>
    <row r="15318" spans="129:129" x14ac:dyDescent="0.2">
      <c r="DY15318" s="185" t="s">
        <v>215</v>
      </c>
    </row>
    <row r="15319" spans="129:129" x14ac:dyDescent="0.2">
      <c r="DY15319" s="185" t="s">
        <v>215</v>
      </c>
    </row>
    <row r="15320" spans="129:129" x14ac:dyDescent="0.2">
      <c r="DY15320" s="185" t="s">
        <v>215</v>
      </c>
    </row>
    <row r="15321" spans="129:129" x14ac:dyDescent="0.2">
      <c r="DY15321" s="185" t="s">
        <v>215</v>
      </c>
    </row>
    <row r="15322" spans="129:129" x14ac:dyDescent="0.2">
      <c r="DY15322" s="185" t="s">
        <v>215</v>
      </c>
    </row>
    <row r="15323" spans="129:129" x14ac:dyDescent="0.2">
      <c r="DY15323" s="185" t="s">
        <v>215</v>
      </c>
    </row>
    <row r="15324" spans="129:129" x14ac:dyDescent="0.2">
      <c r="DY15324" s="185" t="s">
        <v>215</v>
      </c>
    </row>
    <row r="15325" spans="129:129" x14ac:dyDescent="0.2">
      <c r="DY15325" s="185" t="s">
        <v>215</v>
      </c>
    </row>
    <row r="15326" spans="129:129" x14ac:dyDescent="0.2">
      <c r="DY15326" s="185" t="s">
        <v>215</v>
      </c>
    </row>
    <row r="15327" spans="129:129" x14ac:dyDescent="0.2">
      <c r="DY15327" s="185" t="s">
        <v>215</v>
      </c>
    </row>
    <row r="15328" spans="129:129" x14ac:dyDescent="0.2">
      <c r="DY15328" s="185" t="s">
        <v>215</v>
      </c>
    </row>
    <row r="15329" spans="129:129" x14ac:dyDescent="0.2">
      <c r="DY15329" s="185" t="s">
        <v>215</v>
      </c>
    </row>
    <row r="15330" spans="129:129" x14ac:dyDescent="0.2">
      <c r="DY15330" s="185" t="s">
        <v>215</v>
      </c>
    </row>
    <row r="15331" spans="129:129" x14ac:dyDescent="0.2">
      <c r="DY15331" s="185" t="s">
        <v>215</v>
      </c>
    </row>
    <row r="15332" spans="129:129" x14ac:dyDescent="0.2">
      <c r="DY15332" s="185" t="s">
        <v>215</v>
      </c>
    </row>
    <row r="15333" spans="129:129" x14ac:dyDescent="0.2">
      <c r="DY15333" s="185" t="s">
        <v>215</v>
      </c>
    </row>
    <row r="15334" spans="129:129" x14ac:dyDescent="0.2">
      <c r="DY15334" s="185" t="s">
        <v>215</v>
      </c>
    </row>
    <row r="15335" spans="129:129" x14ac:dyDescent="0.2">
      <c r="DY15335" s="185" t="s">
        <v>215</v>
      </c>
    </row>
    <row r="15336" spans="129:129" x14ac:dyDescent="0.2">
      <c r="DY15336" s="185" t="s">
        <v>215</v>
      </c>
    </row>
    <row r="15337" spans="129:129" x14ac:dyDescent="0.2">
      <c r="DY15337" s="185" t="s">
        <v>215</v>
      </c>
    </row>
    <row r="15338" spans="129:129" x14ac:dyDescent="0.2">
      <c r="DY15338" s="185" t="s">
        <v>215</v>
      </c>
    </row>
    <row r="15339" spans="129:129" x14ac:dyDescent="0.2">
      <c r="DY15339" s="185" t="s">
        <v>215</v>
      </c>
    </row>
    <row r="15340" spans="129:129" x14ac:dyDescent="0.2">
      <c r="DY15340" s="185" t="s">
        <v>215</v>
      </c>
    </row>
    <row r="15341" spans="129:129" x14ac:dyDescent="0.2">
      <c r="DY15341" s="185" t="s">
        <v>215</v>
      </c>
    </row>
    <row r="15342" spans="129:129" x14ac:dyDescent="0.2">
      <c r="DY15342" s="185" t="s">
        <v>215</v>
      </c>
    </row>
    <row r="15343" spans="129:129" x14ac:dyDescent="0.2">
      <c r="DY15343" s="185" t="s">
        <v>215</v>
      </c>
    </row>
    <row r="15344" spans="129:129" x14ac:dyDescent="0.2">
      <c r="DY15344" s="185" t="s">
        <v>215</v>
      </c>
    </row>
    <row r="15345" spans="129:129" x14ac:dyDescent="0.2">
      <c r="DY15345" s="185" t="s">
        <v>215</v>
      </c>
    </row>
    <row r="15346" spans="129:129" x14ac:dyDescent="0.2">
      <c r="DY15346" s="185" t="s">
        <v>215</v>
      </c>
    </row>
    <row r="15347" spans="129:129" x14ac:dyDescent="0.2">
      <c r="DY15347" s="185" t="s">
        <v>215</v>
      </c>
    </row>
    <row r="15348" spans="129:129" x14ac:dyDescent="0.2">
      <c r="DY15348" s="185" t="s">
        <v>215</v>
      </c>
    </row>
    <row r="15349" spans="129:129" x14ac:dyDescent="0.2">
      <c r="DY15349" s="185" t="s">
        <v>215</v>
      </c>
    </row>
    <row r="15350" spans="129:129" x14ac:dyDescent="0.2">
      <c r="DY15350" s="185" t="s">
        <v>215</v>
      </c>
    </row>
    <row r="15351" spans="129:129" x14ac:dyDescent="0.2">
      <c r="DY15351" s="185" t="s">
        <v>215</v>
      </c>
    </row>
    <row r="15352" spans="129:129" x14ac:dyDescent="0.2">
      <c r="DY15352" s="185" t="s">
        <v>215</v>
      </c>
    </row>
    <row r="15353" spans="129:129" x14ac:dyDescent="0.2">
      <c r="DY15353" s="185" t="s">
        <v>215</v>
      </c>
    </row>
    <row r="15354" spans="129:129" x14ac:dyDescent="0.2">
      <c r="DY15354" s="185" t="s">
        <v>215</v>
      </c>
    </row>
    <row r="15355" spans="129:129" x14ac:dyDescent="0.2">
      <c r="DY15355" s="185" t="s">
        <v>215</v>
      </c>
    </row>
    <row r="15356" spans="129:129" x14ac:dyDescent="0.2">
      <c r="DY15356" s="185" t="s">
        <v>215</v>
      </c>
    </row>
    <row r="15357" spans="129:129" x14ac:dyDescent="0.2">
      <c r="DY15357" s="185" t="s">
        <v>215</v>
      </c>
    </row>
    <row r="15358" spans="129:129" x14ac:dyDescent="0.2">
      <c r="DY15358" s="185" t="s">
        <v>215</v>
      </c>
    </row>
    <row r="15359" spans="129:129" x14ac:dyDescent="0.2">
      <c r="DY15359" s="185" t="s">
        <v>215</v>
      </c>
    </row>
    <row r="15360" spans="129:129" x14ac:dyDescent="0.2">
      <c r="DY15360" s="185" t="s">
        <v>215</v>
      </c>
    </row>
    <row r="15361" spans="129:129" x14ac:dyDescent="0.2">
      <c r="DY15361" s="185" t="s">
        <v>215</v>
      </c>
    </row>
    <row r="15362" spans="129:129" x14ac:dyDescent="0.2">
      <c r="DY15362" s="185" t="s">
        <v>215</v>
      </c>
    </row>
    <row r="15363" spans="129:129" x14ac:dyDescent="0.2">
      <c r="DY15363" s="185" t="s">
        <v>215</v>
      </c>
    </row>
    <row r="15364" spans="129:129" x14ac:dyDescent="0.2">
      <c r="DY15364" s="185" t="s">
        <v>215</v>
      </c>
    </row>
    <row r="15365" spans="129:129" x14ac:dyDescent="0.2">
      <c r="DY15365" s="185" t="s">
        <v>215</v>
      </c>
    </row>
    <row r="15366" spans="129:129" x14ac:dyDescent="0.2">
      <c r="DY15366" s="185" t="s">
        <v>215</v>
      </c>
    </row>
    <row r="15367" spans="129:129" x14ac:dyDescent="0.2">
      <c r="DY15367" s="185" t="s">
        <v>215</v>
      </c>
    </row>
    <row r="15368" spans="129:129" x14ac:dyDescent="0.2">
      <c r="DY15368" s="185" t="s">
        <v>215</v>
      </c>
    </row>
    <row r="15369" spans="129:129" x14ac:dyDescent="0.2">
      <c r="DY15369" s="185" t="s">
        <v>215</v>
      </c>
    </row>
    <row r="15370" spans="129:129" x14ac:dyDescent="0.2">
      <c r="DY15370" s="185" t="s">
        <v>215</v>
      </c>
    </row>
    <row r="15371" spans="129:129" x14ac:dyDescent="0.2">
      <c r="DY15371" s="185" t="s">
        <v>215</v>
      </c>
    </row>
    <row r="15372" spans="129:129" x14ac:dyDescent="0.2">
      <c r="DY15372" s="185" t="s">
        <v>215</v>
      </c>
    </row>
    <row r="15373" spans="129:129" x14ac:dyDescent="0.2">
      <c r="DY15373" s="185" t="s">
        <v>215</v>
      </c>
    </row>
    <row r="15374" spans="129:129" x14ac:dyDescent="0.2">
      <c r="DY15374" s="185" t="s">
        <v>215</v>
      </c>
    </row>
    <row r="15375" spans="129:129" x14ac:dyDescent="0.2">
      <c r="DY15375" s="185" t="s">
        <v>215</v>
      </c>
    </row>
    <row r="15376" spans="129:129" x14ac:dyDescent="0.2">
      <c r="DY15376" s="185" t="s">
        <v>215</v>
      </c>
    </row>
    <row r="15377" spans="129:129" x14ac:dyDescent="0.2">
      <c r="DY15377" s="185" t="s">
        <v>215</v>
      </c>
    </row>
    <row r="15378" spans="129:129" x14ac:dyDescent="0.2">
      <c r="DY15378" s="185" t="s">
        <v>215</v>
      </c>
    </row>
    <row r="15379" spans="129:129" x14ac:dyDescent="0.2">
      <c r="DY15379" s="185" t="s">
        <v>215</v>
      </c>
    </row>
    <row r="15380" spans="129:129" x14ac:dyDescent="0.2">
      <c r="DY15380" s="185" t="s">
        <v>215</v>
      </c>
    </row>
    <row r="15381" spans="129:129" x14ac:dyDescent="0.2">
      <c r="DY15381" s="185" t="s">
        <v>215</v>
      </c>
    </row>
    <row r="15382" spans="129:129" x14ac:dyDescent="0.2">
      <c r="DY15382" s="185" t="s">
        <v>215</v>
      </c>
    </row>
    <row r="15383" spans="129:129" x14ac:dyDescent="0.2">
      <c r="DY15383" s="185" t="s">
        <v>215</v>
      </c>
    </row>
    <row r="15384" spans="129:129" x14ac:dyDescent="0.2">
      <c r="DY15384" s="185" t="s">
        <v>215</v>
      </c>
    </row>
    <row r="15385" spans="129:129" x14ac:dyDescent="0.2">
      <c r="DY15385" s="185" t="s">
        <v>215</v>
      </c>
    </row>
    <row r="15386" spans="129:129" x14ac:dyDescent="0.2">
      <c r="DY15386" s="185" t="s">
        <v>215</v>
      </c>
    </row>
    <row r="15387" spans="129:129" x14ac:dyDescent="0.2">
      <c r="DY15387" s="185" t="s">
        <v>215</v>
      </c>
    </row>
    <row r="15388" spans="129:129" x14ac:dyDescent="0.2">
      <c r="DY15388" s="185" t="s">
        <v>215</v>
      </c>
    </row>
    <row r="15389" spans="129:129" x14ac:dyDescent="0.2">
      <c r="DY15389" s="185" t="s">
        <v>215</v>
      </c>
    </row>
    <row r="15390" spans="129:129" x14ac:dyDescent="0.2">
      <c r="DY15390" s="185" t="s">
        <v>215</v>
      </c>
    </row>
    <row r="15391" spans="129:129" x14ac:dyDescent="0.2">
      <c r="DY15391" s="185" t="s">
        <v>215</v>
      </c>
    </row>
    <row r="15392" spans="129:129" x14ac:dyDescent="0.2">
      <c r="DY15392" s="185" t="s">
        <v>215</v>
      </c>
    </row>
    <row r="15393" spans="129:129" x14ac:dyDescent="0.2">
      <c r="DY15393" s="185" t="s">
        <v>215</v>
      </c>
    </row>
    <row r="15394" spans="129:129" x14ac:dyDescent="0.2">
      <c r="DY15394" s="185" t="s">
        <v>215</v>
      </c>
    </row>
    <row r="15395" spans="129:129" x14ac:dyDescent="0.2">
      <c r="DY15395" s="185" t="s">
        <v>215</v>
      </c>
    </row>
    <row r="15396" spans="129:129" x14ac:dyDescent="0.2">
      <c r="DY15396" s="185" t="s">
        <v>215</v>
      </c>
    </row>
    <row r="15397" spans="129:129" x14ac:dyDescent="0.2">
      <c r="DY15397" s="185" t="s">
        <v>215</v>
      </c>
    </row>
    <row r="15398" spans="129:129" x14ac:dyDescent="0.2">
      <c r="DY15398" s="185" t="s">
        <v>215</v>
      </c>
    </row>
    <row r="15399" spans="129:129" x14ac:dyDescent="0.2">
      <c r="DY15399" s="185" t="s">
        <v>215</v>
      </c>
    </row>
    <row r="15400" spans="129:129" x14ac:dyDescent="0.2">
      <c r="DY15400" s="185" t="s">
        <v>215</v>
      </c>
    </row>
    <row r="15401" spans="129:129" x14ac:dyDescent="0.2">
      <c r="DY15401" s="185" t="s">
        <v>215</v>
      </c>
    </row>
    <row r="15402" spans="129:129" x14ac:dyDescent="0.2">
      <c r="DY15402" s="185" t="s">
        <v>215</v>
      </c>
    </row>
    <row r="15403" spans="129:129" x14ac:dyDescent="0.2">
      <c r="DY15403" s="185" t="s">
        <v>215</v>
      </c>
    </row>
    <row r="15404" spans="129:129" x14ac:dyDescent="0.2">
      <c r="DY15404" s="185" t="s">
        <v>215</v>
      </c>
    </row>
    <row r="15405" spans="129:129" x14ac:dyDescent="0.2">
      <c r="DY15405" s="185" t="s">
        <v>215</v>
      </c>
    </row>
    <row r="15406" spans="129:129" x14ac:dyDescent="0.2">
      <c r="DY15406" s="185" t="s">
        <v>215</v>
      </c>
    </row>
    <row r="15407" spans="129:129" x14ac:dyDescent="0.2">
      <c r="DY15407" s="185" t="s">
        <v>215</v>
      </c>
    </row>
    <row r="15408" spans="129:129" x14ac:dyDescent="0.2">
      <c r="DY15408" s="185" t="s">
        <v>215</v>
      </c>
    </row>
    <row r="15409" spans="129:129" x14ac:dyDescent="0.2">
      <c r="DY15409" s="185" t="s">
        <v>215</v>
      </c>
    </row>
    <row r="15410" spans="129:129" x14ac:dyDescent="0.2">
      <c r="DY15410" s="185" t="s">
        <v>215</v>
      </c>
    </row>
    <row r="15411" spans="129:129" x14ac:dyDescent="0.2">
      <c r="DY15411" s="185" t="s">
        <v>215</v>
      </c>
    </row>
    <row r="15412" spans="129:129" x14ac:dyDescent="0.2">
      <c r="DY15412" s="185" t="s">
        <v>215</v>
      </c>
    </row>
    <row r="15413" spans="129:129" x14ac:dyDescent="0.2">
      <c r="DY15413" s="185" t="s">
        <v>215</v>
      </c>
    </row>
    <row r="15414" spans="129:129" x14ac:dyDescent="0.2">
      <c r="DY15414" s="185" t="s">
        <v>215</v>
      </c>
    </row>
    <row r="15415" spans="129:129" x14ac:dyDescent="0.2">
      <c r="DY15415" s="185" t="s">
        <v>215</v>
      </c>
    </row>
    <row r="15416" spans="129:129" x14ac:dyDescent="0.2">
      <c r="DY15416" s="185" t="s">
        <v>215</v>
      </c>
    </row>
    <row r="15417" spans="129:129" x14ac:dyDescent="0.2">
      <c r="DY15417" s="185" t="s">
        <v>215</v>
      </c>
    </row>
    <row r="15418" spans="129:129" x14ac:dyDescent="0.2">
      <c r="DY15418" s="185" t="s">
        <v>215</v>
      </c>
    </row>
    <row r="15419" spans="129:129" x14ac:dyDescent="0.2">
      <c r="DY15419" s="185" t="s">
        <v>215</v>
      </c>
    </row>
    <row r="15420" spans="129:129" x14ac:dyDescent="0.2">
      <c r="DY15420" s="185" t="s">
        <v>215</v>
      </c>
    </row>
    <row r="15421" spans="129:129" x14ac:dyDescent="0.2">
      <c r="DY15421" s="185" t="s">
        <v>215</v>
      </c>
    </row>
    <row r="15422" spans="129:129" x14ac:dyDescent="0.2">
      <c r="DY15422" s="185" t="s">
        <v>215</v>
      </c>
    </row>
    <row r="15423" spans="129:129" x14ac:dyDescent="0.2">
      <c r="DY15423" s="185" t="s">
        <v>215</v>
      </c>
    </row>
    <row r="15424" spans="129:129" x14ac:dyDescent="0.2">
      <c r="DY15424" s="185" t="s">
        <v>215</v>
      </c>
    </row>
    <row r="15425" spans="129:129" x14ac:dyDescent="0.2">
      <c r="DY15425" s="185" t="s">
        <v>215</v>
      </c>
    </row>
    <row r="15426" spans="129:129" x14ac:dyDescent="0.2">
      <c r="DY15426" s="185" t="s">
        <v>215</v>
      </c>
    </row>
    <row r="15427" spans="129:129" x14ac:dyDescent="0.2">
      <c r="DY15427" s="185" t="s">
        <v>215</v>
      </c>
    </row>
    <row r="15428" spans="129:129" x14ac:dyDescent="0.2">
      <c r="DY15428" s="185" t="s">
        <v>215</v>
      </c>
    </row>
    <row r="15429" spans="129:129" x14ac:dyDescent="0.2">
      <c r="DY15429" s="185" t="s">
        <v>215</v>
      </c>
    </row>
    <row r="15430" spans="129:129" x14ac:dyDescent="0.2">
      <c r="DY15430" s="185" t="s">
        <v>215</v>
      </c>
    </row>
    <row r="15431" spans="129:129" x14ac:dyDescent="0.2">
      <c r="DY15431" s="185" t="s">
        <v>215</v>
      </c>
    </row>
    <row r="15432" spans="129:129" x14ac:dyDescent="0.2">
      <c r="DY15432" s="185" t="s">
        <v>215</v>
      </c>
    </row>
    <row r="15433" spans="129:129" x14ac:dyDescent="0.2">
      <c r="DY15433" s="185" t="s">
        <v>215</v>
      </c>
    </row>
    <row r="15434" spans="129:129" x14ac:dyDescent="0.2">
      <c r="DY15434" s="185" t="s">
        <v>215</v>
      </c>
    </row>
    <row r="15435" spans="129:129" x14ac:dyDescent="0.2">
      <c r="DY15435" s="185" t="s">
        <v>215</v>
      </c>
    </row>
    <row r="15436" spans="129:129" x14ac:dyDescent="0.2">
      <c r="DY15436" s="185" t="s">
        <v>215</v>
      </c>
    </row>
    <row r="15437" spans="129:129" x14ac:dyDescent="0.2">
      <c r="DY15437" s="185" t="s">
        <v>215</v>
      </c>
    </row>
    <row r="15438" spans="129:129" x14ac:dyDescent="0.2">
      <c r="DY15438" s="185" t="s">
        <v>215</v>
      </c>
    </row>
    <row r="15439" spans="129:129" x14ac:dyDescent="0.2">
      <c r="DY15439" s="185" t="s">
        <v>215</v>
      </c>
    </row>
    <row r="15440" spans="129:129" x14ac:dyDescent="0.2">
      <c r="DY15440" s="185" t="s">
        <v>215</v>
      </c>
    </row>
    <row r="15441" spans="129:129" x14ac:dyDescent="0.2">
      <c r="DY15441" s="185" t="s">
        <v>215</v>
      </c>
    </row>
    <row r="15442" spans="129:129" x14ac:dyDescent="0.2">
      <c r="DY15442" s="185" t="s">
        <v>215</v>
      </c>
    </row>
    <row r="15443" spans="129:129" x14ac:dyDescent="0.2">
      <c r="DY15443" s="185" t="s">
        <v>215</v>
      </c>
    </row>
    <row r="15444" spans="129:129" x14ac:dyDescent="0.2">
      <c r="DY15444" s="185" t="s">
        <v>215</v>
      </c>
    </row>
    <row r="15445" spans="129:129" x14ac:dyDescent="0.2">
      <c r="DY15445" s="185" t="s">
        <v>215</v>
      </c>
    </row>
    <row r="15446" spans="129:129" x14ac:dyDescent="0.2">
      <c r="DY15446" s="185" t="s">
        <v>215</v>
      </c>
    </row>
    <row r="15447" spans="129:129" x14ac:dyDescent="0.2">
      <c r="DY15447" s="185" t="s">
        <v>215</v>
      </c>
    </row>
    <row r="15448" spans="129:129" x14ac:dyDescent="0.2">
      <c r="DY15448" s="185" t="s">
        <v>215</v>
      </c>
    </row>
    <row r="15449" spans="129:129" x14ac:dyDescent="0.2">
      <c r="DY15449" s="185" t="s">
        <v>215</v>
      </c>
    </row>
    <row r="15450" spans="129:129" x14ac:dyDescent="0.2">
      <c r="DY15450" s="185" t="s">
        <v>215</v>
      </c>
    </row>
    <row r="15451" spans="129:129" x14ac:dyDescent="0.2">
      <c r="DY15451" s="185" t="s">
        <v>215</v>
      </c>
    </row>
    <row r="15452" spans="129:129" x14ac:dyDescent="0.2">
      <c r="DY15452" s="185" t="s">
        <v>215</v>
      </c>
    </row>
    <row r="15453" spans="129:129" x14ac:dyDescent="0.2">
      <c r="DY15453" s="185" t="s">
        <v>215</v>
      </c>
    </row>
    <row r="15454" spans="129:129" x14ac:dyDescent="0.2">
      <c r="DY15454" s="185" t="s">
        <v>215</v>
      </c>
    </row>
    <row r="15455" spans="129:129" x14ac:dyDescent="0.2">
      <c r="DY15455" s="185" t="s">
        <v>215</v>
      </c>
    </row>
    <row r="15456" spans="129:129" x14ac:dyDescent="0.2">
      <c r="DY15456" s="185" t="s">
        <v>215</v>
      </c>
    </row>
    <row r="15457" spans="129:129" x14ac:dyDescent="0.2">
      <c r="DY15457" s="185" t="s">
        <v>215</v>
      </c>
    </row>
    <row r="15458" spans="129:129" x14ac:dyDescent="0.2">
      <c r="DY15458" s="185" t="s">
        <v>215</v>
      </c>
    </row>
    <row r="15459" spans="129:129" x14ac:dyDescent="0.2">
      <c r="DY15459" s="185" t="s">
        <v>215</v>
      </c>
    </row>
    <row r="15460" spans="129:129" x14ac:dyDescent="0.2">
      <c r="DY15460" s="185" t="s">
        <v>215</v>
      </c>
    </row>
    <row r="15461" spans="129:129" x14ac:dyDescent="0.2">
      <c r="DY15461" s="185" t="s">
        <v>215</v>
      </c>
    </row>
    <row r="15462" spans="129:129" x14ac:dyDescent="0.2">
      <c r="DY15462" s="185" t="s">
        <v>215</v>
      </c>
    </row>
    <row r="15463" spans="129:129" x14ac:dyDescent="0.2">
      <c r="DY15463" s="185" t="s">
        <v>215</v>
      </c>
    </row>
    <row r="15464" spans="129:129" x14ac:dyDescent="0.2">
      <c r="DY15464" s="185" t="s">
        <v>215</v>
      </c>
    </row>
    <row r="15465" spans="129:129" x14ac:dyDescent="0.2">
      <c r="DY15465" s="185" t="s">
        <v>215</v>
      </c>
    </row>
    <row r="15466" spans="129:129" x14ac:dyDescent="0.2">
      <c r="DY15466" s="185" t="s">
        <v>215</v>
      </c>
    </row>
    <row r="15467" spans="129:129" x14ac:dyDescent="0.2">
      <c r="DY15467" s="185" t="s">
        <v>215</v>
      </c>
    </row>
    <row r="15468" spans="129:129" x14ac:dyDescent="0.2">
      <c r="DY15468" s="185" t="s">
        <v>215</v>
      </c>
    </row>
    <row r="15469" spans="129:129" x14ac:dyDescent="0.2">
      <c r="DY15469" s="185" t="s">
        <v>215</v>
      </c>
    </row>
    <row r="15470" spans="129:129" x14ac:dyDescent="0.2">
      <c r="DY15470" s="185" t="s">
        <v>215</v>
      </c>
    </row>
    <row r="15471" spans="129:129" x14ac:dyDescent="0.2">
      <c r="DY15471" s="185" t="s">
        <v>215</v>
      </c>
    </row>
    <row r="15472" spans="129:129" x14ac:dyDescent="0.2">
      <c r="DY15472" s="185" t="s">
        <v>215</v>
      </c>
    </row>
    <row r="15473" spans="129:129" x14ac:dyDescent="0.2">
      <c r="DY15473" s="185" t="s">
        <v>215</v>
      </c>
    </row>
    <row r="15474" spans="129:129" x14ac:dyDescent="0.2">
      <c r="DY15474" s="185" t="s">
        <v>215</v>
      </c>
    </row>
    <row r="15475" spans="129:129" x14ac:dyDescent="0.2">
      <c r="DY15475" s="185" t="s">
        <v>215</v>
      </c>
    </row>
    <row r="15476" spans="129:129" x14ac:dyDescent="0.2">
      <c r="DY15476" s="185" t="s">
        <v>215</v>
      </c>
    </row>
    <row r="15477" spans="129:129" x14ac:dyDescent="0.2">
      <c r="DY15477" s="185" t="s">
        <v>215</v>
      </c>
    </row>
    <row r="15478" spans="129:129" x14ac:dyDescent="0.2">
      <c r="DY15478" s="185" t="s">
        <v>215</v>
      </c>
    </row>
    <row r="15479" spans="129:129" x14ac:dyDescent="0.2">
      <c r="DY15479" s="185" t="s">
        <v>215</v>
      </c>
    </row>
    <row r="15480" spans="129:129" x14ac:dyDescent="0.2">
      <c r="DY15480" s="185" t="s">
        <v>215</v>
      </c>
    </row>
    <row r="15481" spans="129:129" x14ac:dyDescent="0.2">
      <c r="DY15481" s="185" t="s">
        <v>215</v>
      </c>
    </row>
    <row r="15482" spans="129:129" x14ac:dyDescent="0.2">
      <c r="DY15482" s="185" t="s">
        <v>215</v>
      </c>
    </row>
    <row r="15483" spans="129:129" x14ac:dyDescent="0.2">
      <c r="DY15483" s="185" t="s">
        <v>215</v>
      </c>
    </row>
    <row r="15484" spans="129:129" x14ac:dyDescent="0.2">
      <c r="DY15484" s="185" t="s">
        <v>215</v>
      </c>
    </row>
    <row r="15485" spans="129:129" x14ac:dyDescent="0.2">
      <c r="DY15485" s="185" t="s">
        <v>215</v>
      </c>
    </row>
    <row r="15486" spans="129:129" x14ac:dyDescent="0.2">
      <c r="DY15486" s="185" t="s">
        <v>215</v>
      </c>
    </row>
    <row r="15487" spans="129:129" x14ac:dyDescent="0.2">
      <c r="DY15487" s="185" t="s">
        <v>215</v>
      </c>
    </row>
    <row r="15488" spans="129:129" x14ac:dyDescent="0.2">
      <c r="DY15488" s="185" t="s">
        <v>215</v>
      </c>
    </row>
    <row r="15489" spans="129:129" x14ac:dyDescent="0.2">
      <c r="DY15489" s="185" t="s">
        <v>215</v>
      </c>
    </row>
    <row r="15490" spans="129:129" x14ac:dyDescent="0.2">
      <c r="DY15490" s="185" t="s">
        <v>215</v>
      </c>
    </row>
    <row r="15491" spans="129:129" x14ac:dyDescent="0.2">
      <c r="DY15491" s="185" t="s">
        <v>215</v>
      </c>
    </row>
    <row r="15492" spans="129:129" x14ac:dyDescent="0.2">
      <c r="DY15492" s="185" t="s">
        <v>215</v>
      </c>
    </row>
    <row r="15493" spans="129:129" x14ac:dyDescent="0.2">
      <c r="DY15493" s="185" t="s">
        <v>215</v>
      </c>
    </row>
    <row r="15494" spans="129:129" x14ac:dyDescent="0.2">
      <c r="DY15494" s="185" t="s">
        <v>215</v>
      </c>
    </row>
    <row r="15495" spans="129:129" x14ac:dyDescent="0.2">
      <c r="DY15495" s="185" t="s">
        <v>215</v>
      </c>
    </row>
    <row r="15496" spans="129:129" x14ac:dyDescent="0.2">
      <c r="DY15496" s="185" t="s">
        <v>215</v>
      </c>
    </row>
    <row r="15497" spans="129:129" x14ac:dyDescent="0.2">
      <c r="DY15497" s="185" t="s">
        <v>215</v>
      </c>
    </row>
    <row r="15498" spans="129:129" x14ac:dyDescent="0.2">
      <c r="DY15498" s="185" t="s">
        <v>215</v>
      </c>
    </row>
    <row r="15499" spans="129:129" x14ac:dyDescent="0.2">
      <c r="DY15499" s="185" t="s">
        <v>215</v>
      </c>
    </row>
    <row r="15500" spans="129:129" x14ac:dyDescent="0.2">
      <c r="DY15500" s="185" t="s">
        <v>215</v>
      </c>
    </row>
    <row r="15501" spans="129:129" x14ac:dyDescent="0.2">
      <c r="DY15501" s="185" t="s">
        <v>215</v>
      </c>
    </row>
    <row r="15502" spans="129:129" x14ac:dyDescent="0.2">
      <c r="DY15502" s="185" t="s">
        <v>215</v>
      </c>
    </row>
    <row r="15503" spans="129:129" x14ac:dyDescent="0.2">
      <c r="DY15503" s="185" t="s">
        <v>215</v>
      </c>
    </row>
    <row r="15504" spans="129:129" x14ac:dyDescent="0.2">
      <c r="DY15504" s="185" t="s">
        <v>215</v>
      </c>
    </row>
    <row r="15505" spans="129:129" x14ac:dyDescent="0.2">
      <c r="DY15505" s="185" t="s">
        <v>215</v>
      </c>
    </row>
    <row r="15506" spans="129:129" x14ac:dyDescent="0.2">
      <c r="DY15506" s="185" t="s">
        <v>215</v>
      </c>
    </row>
    <row r="15507" spans="129:129" x14ac:dyDescent="0.2">
      <c r="DY15507" s="185" t="s">
        <v>215</v>
      </c>
    </row>
    <row r="15508" spans="129:129" x14ac:dyDescent="0.2">
      <c r="DY15508" s="185" t="s">
        <v>215</v>
      </c>
    </row>
    <row r="15509" spans="129:129" x14ac:dyDescent="0.2">
      <c r="DY15509" s="185" t="s">
        <v>215</v>
      </c>
    </row>
    <row r="15510" spans="129:129" x14ac:dyDescent="0.2">
      <c r="DY15510" s="185" t="s">
        <v>215</v>
      </c>
    </row>
    <row r="15511" spans="129:129" x14ac:dyDescent="0.2">
      <c r="DY15511" s="185" t="s">
        <v>215</v>
      </c>
    </row>
    <row r="15512" spans="129:129" x14ac:dyDescent="0.2">
      <c r="DY15512" s="185" t="s">
        <v>215</v>
      </c>
    </row>
    <row r="15513" spans="129:129" x14ac:dyDescent="0.2">
      <c r="DY15513" s="185" t="s">
        <v>215</v>
      </c>
    </row>
    <row r="15514" spans="129:129" x14ac:dyDescent="0.2">
      <c r="DY15514" s="185" t="s">
        <v>215</v>
      </c>
    </row>
    <row r="15515" spans="129:129" x14ac:dyDescent="0.2">
      <c r="DY15515" s="185" t="s">
        <v>215</v>
      </c>
    </row>
    <row r="15516" spans="129:129" x14ac:dyDescent="0.2">
      <c r="DY15516" s="185" t="s">
        <v>215</v>
      </c>
    </row>
    <row r="15517" spans="129:129" x14ac:dyDescent="0.2">
      <c r="DY15517" s="185" t="s">
        <v>215</v>
      </c>
    </row>
    <row r="15518" spans="129:129" x14ac:dyDescent="0.2">
      <c r="DY15518" s="185" t="s">
        <v>215</v>
      </c>
    </row>
    <row r="15519" spans="129:129" x14ac:dyDescent="0.2">
      <c r="DY15519" s="185" t="s">
        <v>215</v>
      </c>
    </row>
    <row r="15520" spans="129:129" x14ac:dyDescent="0.2">
      <c r="DY15520" s="185" t="s">
        <v>215</v>
      </c>
    </row>
    <row r="15521" spans="129:129" x14ac:dyDescent="0.2">
      <c r="DY15521" s="185" t="s">
        <v>215</v>
      </c>
    </row>
    <row r="15522" spans="129:129" x14ac:dyDescent="0.2">
      <c r="DY15522" s="185" t="s">
        <v>215</v>
      </c>
    </row>
    <row r="15523" spans="129:129" x14ac:dyDescent="0.2">
      <c r="DY15523" s="185" t="s">
        <v>215</v>
      </c>
    </row>
    <row r="15524" spans="129:129" x14ac:dyDescent="0.2">
      <c r="DY15524" s="185" t="s">
        <v>215</v>
      </c>
    </row>
    <row r="15525" spans="129:129" x14ac:dyDescent="0.2">
      <c r="DY15525" s="185" t="s">
        <v>215</v>
      </c>
    </row>
    <row r="15526" spans="129:129" x14ac:dyDescent="0.2">
      <c r="DY15526" s="185" t="s">
        <v>215</v>
      </c>
    </row>
    <row r="15527" spans="129:129" x14ac:dyDescent="0.2">
      <c r="DY15527" s="185" t="s">
        <v>215</v>
      </c>
    </row>
    <row r="15528" spans="129:129" x14ac:dyDescent="0.2">
      <c r="DY15528" s="185" t="s">
        <v>215</v>
      </c>
    </row>
    <row r="15529" spans="129:129" x14ac:dyDescent="0.2">
      <c r="DY15529" s="185" t="s">
        <v>215</v>
      </c>
    </row>
    <row r="15530" spans="129:129" x14ac:dyDescent="0.2">
      <c r="DY15530" s="185" t="s">
        <v>215</v>
      </c>
    </row>
    <row r="15531" spans="129:129" x14ac:dyDescent="0.2">
      <c r="DY15531" s="185" t="s">
        <v>215</v>
      </c>
    </row>
    <row r="15532" spans="129:129" x14ac:dyDescent="0.2">
      <c r="DY15532" s="185" t="s">
        <v>215</v>
      </c>
    </row>
    <row r="15533" spans="129:129" x14ac:dyDescent="0.2">
      <c r="DY15533" s="185" t="s">
        <v>215</v>
      </c>
    </row>
    <row r="15534" spans="129:129" x14ac:dyDescent="0.2">
      <c r="DY15534" s="185" t="s">
        <v>215</v>
      </c>
    </row>
    <row r="15535" spans="129:129" x14ac:dyDescent="0.2">
      <c r="DY15535" s="185" t="s">
        <v>215</v>
      </c>
    </row>
    <row r="15536" spans="129:129" x14ac:dyDescent="0.2">
      <c r="DY15536" s="185" t="s">
        <v>215</v>
      </c>
    </row>
    <row r="15537" spans="129:129" x14ac:dyDescent="0.2">
      <c r="DY15537" s="185" t="s">
        <v>215</v>
      </c>
    </row>
    <row r="15538" spans="129:129" x14ac:dyDescent="0.2">
      <c r="DY15538" s="185" t="s">
        <v>215</v>
      </c>
    </row>
    <row r="15539" spans="129:129" x14ac:dyDescent="0.2">
      <c r="DY15539" s="185" t="s">
        <v>215</v>
      </c>
    </row>
    <row r="15540" spans="129:129" x14ac:dyDescent="0.2">
      <c r="DY15540" s="185" t="s">
        <v>215</v>
      </c>
    </row>
    <row r="15541" spans="129:129" x14ac:dyDescent="0.2">
      <c r="DY15541" s="185" t="s">
        <v>215</v>
      </c>
    </row>
    <row r="15542" spans="129:129" x14ac:dyDescent="0.2">
      <c r="DY15542" s="185" t="s">
        <v>215</v>
      </c>
    </row>
    <row r="15543" spans="129:129" x14ac:dyDescent="0.2">
      <c r="DY15543" s="185" t="s">
        <v>215</v>
      </c>
    </row>
    <row r="15544" spans="129:129" x14ac:dyDescent="0.2">
      <c r="DY15544" s="185" t="s">
        <v>215</v>
      </c>
    </row>
    <row r="15545" spans="129:129" x14ac:dyDescent="0.2">
      <c r="DY15545" s="185" t="s">
        <v>215</v>
      </c>
    </row>
    <row r="15546" spans="129:129" x14ac:dyDescent="0.2">
      <c r="DY15546" s="185" t="s">
        <v>215</v>
      </c>
    </row>
    <row r="15547" spans="129:129" x14ac:dyDescent="0.2">
      <c r="DY15547" s="185" t="s">
        <v>215</v>
      </c>
    </row>
    <row r="15548" spans="129:129" x14ac:dyDescent="0.2">
      <c r="DY15548" s="185" t="s">
        <v>215</v>
      </c>
    </row>
    <row r="15549" spans="129:129" x14ac:dyDescent="0.2">
      <c r="DY15549" s="185" t="s">
        <v>215</v>
      </c>
    </row>
    <row r="15550" spans="129:129" x14ac:dyDescent="0.2">
      <c r="DY15550" s="185" t="s">
        <v>215</v>
      </c>
    </row>
    <row r="15551" spans="129:129" x14ac:dyDescent="0.2">
      <c r="DY15551" s="185" t="s">
        <v>215</v>
      </c>
    </row>
    <row r="15552" spans="129:129" x14ac:dyDescent="0.2">
      <c r="DY15552" s="185" t="s">
        <v>215</v>
      </c>
    </row>
    <row r="15553" spans="129:129" x14ac:dyDescent="0.2">
      <c r="DY15553" s="185" t="s">
        <v>215</v>
      </c>
    </row>
    <row r="15554" spans="129:129" x14ac:dyDescent="0.2">
      <c r="DY15554" s="185" t="s">
        <v>215</v>
      </c>
    </row>
    <row r="15555" spans="129:129" x14ac:dyDescent="0.2">
      <c r="DY15555" s="185" t="s">
        <v>215</v>
      </c>
    </row>
    <row r="15556" spans="129:129" x14ac:dyDescent="0.2">
      <c r="DY15556" s="185" t="s">
        <v>215</v>
      </c>
    </row>
    <row r="15557" spans="129:129" x14ac:dyDescent="0.2">
      <c r="DY15557" s="185" t="s">
        <v>215</v>
      </c>
    </row>
    <row r="15558" spans="129:129" x14ac:dyDescent="0.2">
      <c r="DY15558" s="185" t="s">
        <v>215</v>
      </c>
    </row>
    <row r="15559" spans="129:129" x14ac:dyDescent="0.2">
      <c r="DY15559" s="185" t="s">
        <v>215</v>
      </c>
    </row>
    <row r="15560" spans="129:129" x14ac:dyDescent="0.2">
      <c r="DY15560" s="185" t="s">
        <v>215</v>
      </c>
    </row>
    <row r="15561" spans="129:129" x14ac:dyDescent="0.2">
      <c r="DY15561" s="185" t="s">
        <v>215</v>
      </c>
    </row>
    <row r="15562" spans="129:129" x14ac:dyDescent="0.2">
      <c r="DY15562" s="185" t="s">
        <v>215</v>
      </c>
    </row>
    <row r="15563" spans="129:129" x14ac:dyDescent="0.2">
      <c r="DY15563" s="185" t="s">
        <v>215</v>
      </c>
    </row>
    <row r="15564" spans="129:129" x14ac:dyDescent="0.2">
      <c r="DY15564" s="185" t="s">
        <v>215</v>
      </c>
    </row>
    <row r="15565" spans="129:129" x14ac:dyDescent="0.2">
      <c r="DY15565" s="185" t="s">
        <v>215</v>
      </c>
    </row>
    <row r="15566" spans="129:129" x14ac:dyDescent="0.2">
      <c r="DY15566" s="185" t="s">
        <v>215</v>
      </c>
    </row>
    <row r="15567" spans="129:129" x14ac:dyDescent="0.2">
      <c r="DY15567" s="185" t="s">
        <v>215</v>
      </c>
    </row>
    <row r="15568" spans="129:129" x14ac:dyDescent="0.2">
      <c r="DY15568" s="185" t="s">
        <v>215</v>
      </c>
    </row>
    <row r="15569" spans="129:129" x14ac:dyDescent="0.2">
      <c r="DY15569" s="185" t="s">
        <v>215</v>
      </c>
    </row>
    <row r="15570" spans="129:129" x14ac:dyDescent="0.2">
      <c r="DY15570" s="185" t="s">
        <v>215</v>
      </c>
    </row>
    <row r="15571" spans="129:129" x14ac:dyDescent="0.2">
      <c r="DY15571" s="185" t="s">
        <v>215</v>
      </c>
    </row>
    <row r="15572" spans="129:129" x14ac:dyDescent="0.2">
      <c r="DY15572" s="185" t="s">
        <v>215</v>
      </c>
    </row>
    <row r="15573" spans="129:129" x14ac:dyDescent="0.2">
      <c r="DY15573" s="185" t="s">
        <v>215</v>
      </c>
    </row>
    <row r="15574" spans="129:129" x14ac:dyDescent="0.2">
      <c r="DY15574" s="185" t="s">
        <v>215</v>
      </c>
    </row>
    <row r="15575" spans="129:129" x14ac:dyDescent="0.2">
      <c r="DY15575" s="185" t="s">
        <v>215</v>
      </c>
    </row>
    <row r="15576" spans="129:129" x14ac:dyDescent="0.2">
      <c r="DY15576" s="185" t="s">
        <v>215</v>
      </c>
    </row>
    <row r="15577" spans="129:129" x14ac:dyDescent="0.2">
      <c r="DY15577" s="185" t="s">
        <v>215</v>
      </c>
    </row>
    <row r="15578" spans="129:129" x14ac:dyDescent="0.2">
      <c r="DY15578" s="185" t="s">
        <v>215</v>
      </c>
    </row>
    <row r="15579" spans="129:129" x14ac:dyDescent="0.2">
      <c r="DY15579" s="185" t="s">
        <v>215</v>
      </c>
    </row>
    <row r="15580" spans="129:129" x14ac:dyDescent="0.2">
      <c r="DY15580" s="185" t="s">
        <v>215</v>
      </c>
    </row>
    <row r="15581" spans="129:129" x14ac:dyDescent="0.2">
      <c r="DY15581" s="185" t="s">
        <v>215</v>
      </c>
    </row>
    <row r="15582" spans="129:129" x14ac:dyDescent="0.2">
      <c r="DY15582" s="185" t="s">
        <v>215</v>
      </c>
    </row>
    <row r="15583" spans="129:129" x14ac:dyDescent="0.2">
      <c r="DY15583" s="185" t="s">
        <v>215</v>
      </c>
    </row>
    <row r="15584" spans="129:129" x14ac:dyDescent="0.2">
      <c r="DY15584" s="185" t="s">
        <v>215</v>
      </c>
    </row>
    <row r="15585" spans="129:129" x14ac:dyDescent="0.2">
      <c r="DY15585" s="185" t="s">
        <v>215</v>
      </c>
    </row>
    <row r="15586" spans="129:129" x14ac:dyDescent="0.2">
      <c r="DY15586" s="185" t="s">
        <v>215</v>
      </c>
    </row>
    <row r="15587" spans="129:129" x14ac:dyDescent="0.2">
      <c r="DY15587" s="185" t="s">
        <v>215</v>
      </c>
    </row>
    <row r="15588" spans="129:129" x14ac:dyDescent="0.2">
      <c r="DY15588" s="185" t="s">
        <v>215</v>
      </c>
    </row>
    <row r="15589" spans="129:129" x14ac:dyDescent="0.2">
      <c r="DY15589" s="185" t="s">
        <v>215</v>
      </c>
    </row>
    <row r="15590" spans="129:129" x14ac:dyDescent="0.2">
      <c r="DY15590" s="185" t="s">
        <v>215</v>
      </c>
    </row>
    <row r="15591" spans="129:129" x14ac:dyDescent="0.2">
      <c r="DY15591" s="185" t="s">
        <v>215</v>
      </c>
    </row>
    <row r="15592" spans="129:129" x14ac:dyDescent="0.2">
      <c r="DY15592" s="185" t="s">
        <v>215</v>
      </c>
    </row>
    <row r="15593" spans="129:129" x14ac:dyDescent="0.2">
      <c r="DY15593" s="185" t="s">
        <v>215</v>
      </c>
    </row>
    <row r="15594" spans="129:129" x14ac:dyDescent="0.2">
      <c r="DY15594" s="185" t="s">
        <v>215</v>
      </c>
    </row>
    <row r="15595" spans="129:129" x14ac:dyDescent="0.2">
      <c r="DY15595" s="185" t="s">
        <v>215</v>
      </c>
    </row>
    <row r="15596" spans="129:129" x14ac:dyDescent="0.2">
      <c r="DY15596" s="185" t="s">
        <v>215</v>
      </c>
    </row>
    <row r="15597" spans="129:129" x14ac:dyDescent="0.2">
      <c r="DY15597" s="185" t="s">
        <v>215</v>
      </c>
    </row>
    <row r="15598" spans="129:129" x14ac:dyDescent="0.2">
      <c r="DY15598" s="185" t="s">
        <v>215</v>
      </c>
    </row>
    <row r="15599" spans="129:129" x14ac:dyDescent="0.2">
      <c r="DY15599" s="185" t="s">
        <v>215</v>
      </c>
    </row>
    <row r="15600" spans="129:129" x14ac:dyDescent="0.2">
      <c r="DY15600" s="185" t="s">
        <v>215</v>
      </c>
    </row>
    <row r="15601" spans="129:129" x14ac:dyDescent="0.2">
      <c r="DY15601" s="185" t="s">
        <v>215</v>
      </c>
    </row>
    <row r="15602" spans="129:129" x14ac:dyDescent="0.2">
      <c r="DY15602" s="185" t="s">
        <v>215</v>
      </c>
    </row>
    <row r="15603" spans="129:129" x14ac:dyDescent="0.2">
      <c r="DY15603" s="185" t="s">
        <v>215</v>
      </c>
    </row>
    <row r="15604" spans="129:129" x14ac:dyDescent="0.2">
      <c r="DY15604" s="185" t="s">
        <v>215</v>
      </c>
    </row>
    <row r="15605" spans="129:129" x14ac:dyDescent="0.2">
      <c r="DY15605" s="185" t="s">
        <v>215</v>
      </c>
    </row>
    <row r="15606" spans="129:129" x14ac:dyDescent="0.2">
      <c r="DY15606" s="185" t="s">
        <v>215</v>
      </c>
    </row>
    <row r="15607" spans="129:129" x14ac:dyDescent="0.2">
      <c r="DY15607" s="185" t="s">
        <v>215</v>
      </c>
    </row>
    <row r="15608" spans="129:129" x14ac:dyDescent="0.2">
      <c r="DY15608" s="185" t="s">
        <v>215</v>
      </c>
    </row>
    <row r="15609" spans="129:129" x14ac:dyDescent="0.2">
      <c r="DY15609" s="185" t="s">
        <v>215</v>
      </c>
    </row>
    <row r="15610" spans="129:129" x14ac:dyDescent="0.2">
      <c r="DY15610" s="185" t="s">
        <v>215</v>
      </c>
    </row>
    <row r="15611" spans="129:129" x14ac:dyDescent="0.2">
      <c r="DY15611" s="185" t="s">
        <v>215</v>
      </c>
    </row>
    <row r="15612" spans="129:129" x14ac:dyDescent="0.2">
      <c r="DY15612" s="185" t="s">
        <v>215</v>
      </c>
    </row>
    <row r="15613" spans="129:129" x14ac:dyDescent="0.2">
      <c r="DY15613" s="185" t="s">
        <v>215</v>
      </c>
    </row>
    <row r="15614" spans="129:129" x14ac:dyDescent="0.2">
      <c r="DY15614" s="185" t="s">
        <v>215</v>
      </c>
    </row>
    <row r="15615" spans="129:129" x14ac:dyDescent="0.2">
      <c r="DY15615" s="185" t="s">
        <v>215</v>
      </c>
    </row>
    <row r="15616" spans="129:129" x14ac:dyDescent="0.2">
      <c r="DY15616" s="185" t="s">
        <v>215</v>
      </c>
    </row>
    <row r="15617" spans="129:129" x14ac:dyDescent="0.2">
      <c r="DY15617" s="185" t="s">
        <v>215</v>
      </c>
    </row>
    <row r="15618" spans="129:129" x14ac:dyDescent="0.2">
      <c r="DY15618" s="185" t="s">
        <v>215</v>
      </c>
    </row>
    <row r="15619" spans="129:129" x14ac:dyDescent="0.2">
      <c r="DY15619" s="185" t="s">
        <v>215</v>
      </c>
    </row>
    <row r="15620" spans="129:129" x14ac:dyDescent="0.2">
      <c r="DY15620" s="185" t="s">
        <v>215</v>
      </c>
    </row>
    <row r="15621" spans="129:129" x14ac:dyDescent="0.2">
      <c r="DY15621" s="185" t="s">
        <v>215</v>
      </c>
    </row>
    <row r="15622" spans="129:129" x14ac:dyDescent="0.2">
      <c r="DY15622" s="185" t="s">
        <v>215</v>
      </c>
    </row>
    <row r="15623" spans="129:129" x14ac:dyDescent="0.2">
      <c r="DY15623" s="185" t="s">
        <v>215</v>
      </c>
    </row>
    <row r="15624" spans="129:129" x14ac:dyDescent="0.2">
      <c r="DY15624" s="185" t="s">
        <v>215</v>
      </c>
    </row>
    <row r="15625" spans="129:129" x14ac:dyDescent="0.2">
      <c r="DY15625" s="185" t="s">
        <v>215</v>
      </c>
    </row>
    <row r="15626" spans="129:129" x14ac:dyDescent="0.2">
      <c r="DY15626" s="185" t="s">
        <v>215</v>
      </c>
    </row>
    <row r="15627" spans="129:129" x14ac:dyDescent="0.2">
      <c r="DY15627" s="185" t="s">
        <v>215</v>
      </c>
    </row>
    <row r="15628" spans="129:129" x14ac:dyDescent="0.2">
      <c r="DY15628" s="185" t="s">
        <v>215</v>
      </c>
    </row>
    <row r="15629" spans="129:129" x14ac:dyDescent="0.2">
      <c r="DY15629" s="185" t="s">
        <v>215</v>
      </c>
    </row>
    <row r="15630" spans="129:129" x14ac:dyDescent="0.2">
      <c r="DY15630" s="185" t="s">
        <v>215</v>
      </c>
    </row>
    <row r="15631" spans="129:129" x14ac:dyDescent="0.2">
      <c r="DY15631" s="185" t="s">
        <v>215</v>
      </c>
    </row>
    <row r="15632" spans="129:129" x14ac:dyDescent="0.2">
      <c r="DY15632" s="185" t="s">
        <v>215</v>
      </c>
    </row>
    <row r="15633" spans="129:129" x14ac:dyDescent="0.2">
      <c r="DY15633" s="185" t="s">
        <v>215</v>
      </c>
    </row>
    <row r="15634" spans="129:129" x14ac:dyDescent="0.2">
      <c r="DY15634" s="185" t="s">
        <v>215</v>
      </c>
    </row>
    <row r="15635" spans="129:129" x14ac:dyDescent="0.2">
      <c r="DY15635" s="185" t="s">
        <v>215</v>
      </c>
    </row>
    <row r="15636" spans="129:129" x14ac:dyDescent="0.2">
      <c r="DY15636" s="185" t="s">
        <v>215</v>
      </c>
    </row>
    <row r="15637" spans="129:129" x14ac:dyDescent="0.2">
      <c r="DY15637" s="185" t="s">
        <v>215</v>
      </c>
    </row>
    <row r="15638" spans="129:129" x14ac:dyDescent="0.2">
      <c r="DY15638" s="185" t="s">
        <v>215</v>
      </c>
    </row>
    <row r="15639" spans="129:129" x14ac:dyDescent="0.2">
      <c r="DY15639" s="185" t="s">
        <v>215</v>
      </c>
    </row>
    <row r="15640" spans="129:129" x14ac:dyDescent="0.2">
      <c r="DY15640" s="185" t="s">
        <v>215</v>
      </c>
    </row>
    <row r="15641" spans="129:129" x14ac:dyDescent="0.2">
      <c r="DY15641" s="185" t="s">
        <v>215</v>
      </c>
    </row>
    <row r="15642" spans="129:129" x14ac:dyDescent="0.2">
      <c r="DY15642" s="185" t="s">
        <v>215</v>
      </c>
    </row>
    <row r="15643" spans="129:129" x14ac:dyDescent="0.2">
      <c r="DY15643" s="185" t="s">
        <v>215</v>
      </c>
    </row>
    <row r="15644" spans="129:129" x14ac:dyDescent="0.2">
      <c r="DY15644" s="185" t="s">
        <v>215</v>
      </c>
    </row>
    <row r="15645" spans="129:129" x14ac:dyDescent="0.2">
      <c r="DY15645" s="185" t="s">
        <v>215</v>
      </c>
    </row>
    <row r="15646" spans="129:129" x14ac:dyDescent="0.2">
      <c r="DY15646" s="185" t="s">
        <v>215</v>
      </c>
    </row>
    <row r="15647" spans="129:129" x14ac:dyDescent="0.2">
      <c r="DY15647" s="185" t="s">
        <v>215</v>
      </c>
    </row>
    <row r="15648" spans="129:129" x14ac:dyDescent="0.2">
      <c r="DY15648" s="185" t="s">
        <v>215</v>
      </c>
    </row>
    <row r="15649" spans="129:129" x14ac:dyDescent="0.2">
      <c r="DY15649" s="185" t="s">
        <v>215</v>
      </c>
    </row>
    <row r="15650" spans="129:129" x14ac:dyDescent="0.2">
      <c r="DY15650" s="185" t="s">
        <v>215</v>
      </c>
    </row>
    <row r="15651" spans="129:129" x14ac:dyDescent="0.2">
      <c r="DY15651" s="185" t="s">
        <v>215</v>
      </c>
    </row>
    <row r="15652" spans="129:129" x14ac:dyDescent="0.2">
      <c r="DY15652" s="185" t="s">
        <v>215</v>
      </c>
    </row>
    <row r="15653" spans="129:129" x14ac:dyDescent="0.2">
      <c r="DY15653" s="185" t="s">
        <v>215</v>
      </c>
    </row>
    <row r="15654" spans="129:129" x14ac:dyDescent="0.2">
      <c r="DY15654" s="185" t="s">
        <v>215</v>
      </c>
    </row>
    <row r="15655" spans="129:129" x14ac:dyDescent="0.2">
      <c r="DY15655" s="185" t="s">
        <v>215</v>
      </c>
    </row>
    <row r="15656" spans="129:129" x14ac:dyDescent="0.2">
      <c r="DY15656" s="185" t="s">
        <v>215</v>
      </c>
    </row>
    <row r="15657" spans="129:129" x14ac:dyDescent="0.2">
      <c r="DY15657" s="185" t="s">
        <v>215</v>
      </c>
    </row>
    <row r="15658" spans="129:129" x14ac:dyDescent="0.2">
      <c r="DY15658" s="185" t="s">
        <v>215</v>
      </c>
    </row>
    <row r="15659" spans="129:129" x14ac:dyDescent="0.2">
      <c r="DY15659" s="185" t="s">
        <v>215</v>
      </c>
    </row>
    <row r="15660" spans="129:129" x14ac:dyDescent="0.2">
      <c r="DY15660" s="185" t="s">
        <v>215</v>
      </c>
    </row>
    <row r="15661" spans="129:129" x14ac:dyDescent="0.2">
      <c r="DY15661" s="185" t="s">
        <v>215</v>
      </c>
    </row>
    <row r="15662" spans="129:129" x14ac:dyDescent="0.2">
      <c r="DY15662" s="185" t="s">
        <v>215</v>
      </c>
    </row>
    <row r="15663" spans="129:129" x14ac:dyDescent="0.2">
      <c r="DY15663" s="185" t="s">
        <v>215</v>
      </c>
    </row>
    <row r="15664" spans="129:129" x14ac:dyDescent="0.2">
      <c r="DY15664" s="185" t="s">
        <v>215</v>
      </c>
    </row>
    <row r="15665" spans="129:129" x14ac:dyDescent="0.2">
      <c r="DY15665" s="185" t="s">
        <v>215</v>
      </c>
    </row>
    <row r="15666" spans="129:129" x14ac:dyDescent="0.2">
      <c r="DY15666" s="185" t="s">
        <v>215</v>
      </c>
    </row>
    <row r="15667" spans="129:129" x14ac:dyDescent="0.2">
      <c r="DY15667" s="185" t="s">
        <v>215</v>
      </c>
    </row>
    <row r="15668" spans="129:129" x14ac:dyDescent="0.2">
      <c r="DY15668" s="185" t="s">
        <v>215</v>
      </c>
    </row>
    <row r="15669" spans="129:129" x14ac:dyDescent="0.2">
      <c r="DY15669" s="185" t="s">
        <v>215</v>
      </c>
    </row>
    <row r="15670" spans="129:129" x14ac:dyDescent="0.2">
      <c r="DY15670" s="185" t="s">
        <v>215</v>
      </c>
    </row>
    <row r="15671" spans="129:129" x14ac:dyDescent="0.2">
      <c r="DY15671" s="185" t="s">
        <v>215</v>
      </c>
    </row>
    <row r="15672" spans="129:129" x14ac:dyDescent="0.2">
      <c r="DY15672" s="185" t="s">
        <v>215</v>
      </c>
    </row>
    <row r="15673" spans="129:129" x14ac:dyDescent="0.2">
      <c r="DY15673" s="185" t="s">
        <v>215</v>
      </c>
    </row>
    <row r="15674" spans="129:129" x14ac:dyDescent="0.2">
      <c r="DY15674" s="185" t="s">
        <v>215</v>
      </c>
    </row>
    <row r="15675" spans="129:129" x14ac:dyDescent="0.2">
      <c r="DY15675" s="185" t="s">
        <v>215</v>
      </c>
    </row>
    <row r="15676" spans="129:129" x14ac:dyDescent="0.2">
      <c r="DY15676" s="185" t="s">
        <v>215</v>
      </c>
    </row>
    <row r="15677" spans="129:129" x14ac:dyDescent="0.2">
      <c r="DY15677" s="185" t="s">
        <v>215</v>
      </c>
    </row>
    <row r="15678" spans="129:129" x14ac:dyDescent="0.2">
      <c r="DY15678" s="185" t="s">
        <v>215</v>
      </c>
    </row>
    <row r="15679" spans="129:129" x14ac:dyDescent="0.2">
      <c r="DY15679" s="185" t="s">
        <v>215</v>
      </c>
    </row>
    <row r="15680" spans="129:129" x14ac:dyDescent="0.2">
      <c r="DY15680" s="185" t="s">
        <v>215</v>
      </c>
    </row>
    <row r="15681" spans="129:129" x14ac:dyDescent="0.2">
      <c r="DY15681" s="185" t="s">
        <v>215</v>
      </c>
    </row>
    <row r="15682" spans="129:129" x14ac:dyDescent="0.2">
      <c r="DY15682" s="185" t="s">
        <v>215</v>
      </c>
    </row>
    <row r="15683" spans="129:129" x14ac:dyDescent="0.2">
      <c r="DY15683" s="185" t="s">
        <v>215</v>
      </c>
    </row>
    <row r="15684" spans="129:129" x14ac:dyDescent="0.2">
      <c r="DY15684" s="185" t="s">
        <v>215</v>
      </c>
    </row>
    <row r="15685" spans="129:129" x14ac:dyDescent="0.2">
      <c r="DY15685" s="185" t="s">
        <v>215</v>
      </c>
    </row>
    <row r="15686" spans="129:129" x14ac:dyDescent="0.2">
      <c r="DY15686" s="185" t="s">
        <v>215</v>
      </c>
    </row>
    <row r="15687" spans="129:129" x14ac:dyDescent="0.2">
      <c r="DY15687" s="185" t="s">
        <v>215</v>
      </c>
    </row>
    <row r="15688" spans="129:129" x14ac:dyDescent="0.2">
      <c r="DY15688" s="185" t="s">
        <v>215</v>
      </c>
    </row>
    <row r="15689" spans="129:129" x14ac:dyDescent="0.2">
      <c r="DY15689" s="185" t="s">
        <v>215</v>
      </c>
    </row>
    <row r="15690" spans="129:129" x14ac:dyDescent="0.2">
      <c r="DY15690" s="185" t="s">
        <v>215</v>
      </c>
    </row>
    <row r="15691" spans="129:129" x14ac:dyDescent="0.2">
      <c r="DY15691" s="185" t="s">
        <v>215</v>
      </c>
    </row>
    <row r="15692" spans="129:129" x14ac:dyDescent="0.2">
      <c r="DY15692" s="185" t="s">
        <v>215</v>
      </c>
    </row>
    <row r="15693" spans="129:129" x14ac:dyDescent="0.2">
      <c r="DY15693" s="185" t="s">
        <v>215</v>
      </c>
    </row>
    <row r="15694" spans="129:129" x14ac:dyDescent="0.2">
      <c r="DY15694" s="185" t="s">
        <v>215</v>
      </c>
    </row>
    <row r="15695" spans="129:129" x14ac:dyDescent="0.2">
      <c r="DY15695" s="185" t="s">
        <v>215</v>
      </c>
    </row>
    <row r="15696" spans="129:129" x14ac:dyDescent="0.2">
      <c r="DY15696" s="185" t="s">
        <v>215</v>
      </c>
    </row>
    <row r="15697" spans="129:129" x14ac:dyDescent="0.2">
      <c r="DY15697" s="185" t="s">
        <v>215</v>
      </c>
    </row>
    <row r="15698" spans="129:129" x14ac:dyDescent="0.2">
      <c r="DY15698" s="185" t="s">
        <v>215</v>
      </c>
    </row>
    <row r="15699" spans="129:129" x14ac:dyDescent="0.2">
      <c r="DY15699" s="185" t="s">
        <v>215</v>
      </c>
    </row>
    <row r="15700" spans="129:129" x14ac:dyDescent="0.2">
      <c r="DY15700" s="185" t="s">
        <v>215</v>
      </c>
    </row>
    <row r="15701" spans="129:129" x14ac:dyDescent="0.2">
      <c r="DY15701" s="185" t="s">
        <v>215</v>
      </c>
    </row>
    <row r="15702" spans="129:129" x14ac:dyDescent="0.2">
      <c r="DY15702" s="185" t="s">
        <v>215</v>
      </c>
    </row>
    <row r="15703" spans="129:129" x14ac:dyDescent="0.2">
      <c r="DY15703" s="185" t="s">
        <v>215</v>
      </c>
    </row>
    <row r="15704" spans="129:129" x14ac:dyDescent="0.2">
      <c r="DY15704" s="185" t="s">
        <v>215</v>
      </c>
    </row>
    <row r="15705" spans="129:129" x14ac:dyDescent="0.2">
      <c r="DY15705" s="185" t="s">
        <v>215</v>
      </c>
    </row>
    <row r="15706" spans="129:129" x14ac:dyDescent="0.2">
      <c r="DY15706" s="185" t="s">
        <v>215</v>
      </c>
    </row>
    <row r="15707" spans="129:129" x14ac:dyDescent="0.2">
      <c r="DY15707" s="185" t="s">
        <v>215</v>
      </c>
    </row>
    <row r="15708" spans="129:129" x14ac:dyDescent="0.2">
      <c r="DY15708" s="185" t="s">
        <v>215</v>
      </c>
    </row>
    <row r="15709" spans="129:129" x14ac:dyDescent="0.2">
      <c r="DY15709" s="185" t="s">
        <v>215</v>
      </c>
    </row>
    <row r="15710" spans="129:129" x14ac:dyDescent="0.2">
      <c r="DY15710" s="185" t="s">
        <v>215</v>
      </c>
    </row>
    <row r="15711" spans="129:129" x14ac:dyDescent="0.2">
      <c r="DY15711" s="185" t="s">
        <v>215</v>
      </c>
    </row>
    <row r="15712" spans="129:129" x14ac:dyDescent="0.2">
      <c r="DY15712" s="185" t="s">
        <v>215</v>
      </c>
    </row>
    <row r="15713" spans="129:129" x14ac:dyDescent="0.2">
      <c r="DY15713" s="185" t="s">
        <v>215</v>
      </c>
    </row>
    <row r="15714" spans="129:129" x14ac:dyDescent="0.2">
      <c r="DY15714" s="185" t="s">
        <v>215</v>
      </c>
    </row>
    <row r="15715" spans="129:129" x14ac:dyDescent="0.2">
      <c r="DY15715" s="185" t="s">
        <v>215</v>
      </c>
    </row>
    <row r="15716" spans="129:129" x14ac:dyDescent="0.2">
      <c r="DY15716" s="185" t="s">
        <v>215</v>
      </c>
    </row>
    <row r="15717" spans="129:129" x14ac:dyDescent="0.2">
      <c r="DY15717" s="185" t="s">
        <v>215</v>
      </c>
    </row>
    <row r="15718" spans="129:129" x14ac:dyDescent="0.2">
      <c r="DY15718" s="185" t="s">
        <v>215</v>
      </c>
    </row>
    <row r="15719" spans="129:129" x14ac:dyDescent="0.2">
      <c r="DY15719" s="185" t="s">
        <v>215</v>
      </c>
    </row>
    <row r="15720" spans="129:129" x14ac:dyDescent="0.2">
      <c r="DY15720" s="185" t="s">
        <v>215</v>
      </c>
    </row>
    <row r="15721" spans="129:129" x14ac:dyDescent="0.2">
      <c r="DY15721" s="185" t="s">
        <v>215</v>
      </c>
    </row>
    <row r="15722" spans="129:129" x14ac:dyDescent="0.2">
      <c r="DY15722" s="185" t="s">
        <v>215</v>
      </c>
    </row>
    <row r="15723" spans="129:129" x14ac:dyDescent="0.2">
      <c r="DY15723" s="185" t="s">
        <v>215</v>
      </c>
    </row>
    <row r="15724" spans="129:129" x14ac:dyDescent="0.2">
      <c r="DY15724" s="185" t="s">
        <v>215</v>
      </c>
    </row>
    <row r="15725" spans="129:129" x14ac:dyDescent="0.2">
      <c r="DY15725" s="185" t="s">
        <v>215</v>
      </c>
    </row>
    <row r="15726" spans="129:129" x14ac:dyDescent="0.2">
      <c r="DY15726" s="185" t="s">
        <v>215</v>
      </c>
    </row>
    <row r="15727" spans="129:129" x14ac:dyDescent="0.2">
      <c r="DY15727" s="185" t="s">
        <v>215</v>
      </c>
    </row>
    <row r="15728" spans="129:129" x14ac:dyDescent="0.2">
      <c r="DY15728" s="185" t="s">
        <v>215</v>
      </c>
    </row>
    <row r="15729" spans="129:129" x14ac:dyDescent="0.2">
      <c r="DY15729" s="185" t="s">
        <v>215</v>
      </c>
    </row>
    <row r="15730" spans="129:129" x14ac:dyDescent="0.2">
      <c r="DY15730" s="185" t="s">
        <v>215</v>
      </c>
    </row>
    <row r="15731" spans="129:129" x14ac:dyDescent="0.2">
      <c r="DY15731" s="185" t="s">
        <v>215</v>
      </c>
    </row>
    <row r="15732" spans="129:129" x14ac:dyDescent="0.2">
      <c r="DY15732" s="185" t="s">
        <v>215</v>
      </c>
    </row>
    <row r="15733" spans="129:129" x14ac:dyDescent="0.2">
      <c r="DY15733" s="185" t="s">
        <v>215</v>
      </c>
    </row>
    <row r="15734" spans="129:129" x14ac:dyDescent="0.2">
      <c r="DY15734" s="185" t="s">
        <v>215</v>
      </c>
    </row>
    <row r="15735" spans="129:129" x14ac:dyDescent="0.2">
      <c r="DY15735" s="185" t="s">
        <v>215</v>
      </c>
    </row>
    <row r="15736" spans="129:129" x14ac:dyDescent="0.2">
      <c r="DY15736" s="185" t="s">
        <v>215</v>
      </c>
    </row>
    <row r="15737" spans="129:129" x14ac:dyDescent="0.2">
      <c r="DY15737" s="185" t="s">
        <v>215</v>
      </c>
    </row>
    <row r="15738" spans="129:129" x14ac:dyDescent="0.2">
      <c r="DY15738" s="185" t="s">
        <v>215</v>
      </c>
    </row>
    <row r="15739" spans="129:129" x14ac:dyDescent="0.2">
      <c r="DY15739" s="185" t="s">
        <v>215</v>
      </c>
    </row>
    <row r="15740" spans="129:129" x14ac:dyDescent="0.2">
      <c r="DY15740" s="185" t="s">
        <v>215</v>
      </c>
    </row>
    <row r="15741" spans="129:129" x14ac:dyDescent="0.2">
      <c r="DY15741" s="185" t="s">
        <v>215</v>
      </c>
    </row>
    <row r="15742" spans="129:129" x14ac:dyDescent="0.2">
      <c r="DY15742" s="185" t="s">
        <v>215</v>
      </c>
    </row>
    <row r="15743" spans="129:129" x14ac:dyDescent="0.2">
      <c r="DY15743" s="185" t="s">
        <v>215</v>
      </c>
    </row>
    <row r="15744" spans="129:129" x14ac:dyDescent="0.2">
      <c r="DY15744" s="185" t="s">
        <v>215</v>
      </c>
    </row>
    <row r="15745" spans="129:129" x14ac:dyDescent="0.2">
      <c r="DY15745" s="185" t="s">
        <v>215</v>
      </c>
    </row>
    <row r="15746" spans="129:129" x14ac:dyDescent="0.2">
      <c r="DY15746" s="185" t="s">
        <v>215</v>
      </c>
    </row>
    <row r="15747" spans="129:129" x14ac:dyDescent="0.2">
      <c r="DY15747" s="185" t="s">
        <v>215</v>
      </c>
    </row>
    <row r="15748" spans="129:129" x14ac:dyDescent="0.2">
      <c r="DY15748" s="185" t="s">
        <v>215</v>
      </c>
    </row>
    <row r="15749" spans="129:129" x14ac:dyDescent="0.2">
      <c r="DY15749" s="185" t="s">
        <v>215</v>
      </c>
    </row>
    <row r="15750" spans="129:129" x14ac:dyDescent="0.2">
      <c r="DY15750" s="185" t="s">
        <v>215</v>
      </c>
    </row>
    <row r="15751" spans="129:129" x14ac:dyDescent="0.2">
      <c r="DY15751" s="185" t="s">
        <v>215</v>
      </c>
    </row>
    <row r="15752" spans="129:129" x14ac:dyDescent="0.2">
      <c r="DY15752" s="185" t="s">
        <v>215</v>
      </c>
    </row>
    <row r="15753" spans="129:129" x14ac:dyDescent="0.2">
      <c r="DY15753" s="185" t="s">
        <v>215</v>
      </c>
    </row>
    <row r="15754" spans="129:129" x14ac:dyDescent="0.2">
      <c r="DY15754" s="185" t="s">
        <v>215</v>
      </c>
    </row>
    <row r="15755" spans="129:129" x14ac:dyDescent="0.2">
      <c r="DY15755" s="185" t="s">
        <v>215</v>
      </c>
    </row>
    <row r="15756" spans="129:129" x14ac:dyDescent="0.2">
      <c r="DY15756" s="185" t="s">
        <v>215</v>
      </c>
    </row>
    <row r="15757" spans="129:129" x14ac:dyDescent="0.2">
      <c r="DY15757" s="185" t="s">
        <v>215</v>
      </c>
    </row>
    <row r="15758" spans="129:129" x14ac:dyDescent="0.2">
      <c r="DY15758" s="185" t="s">
        <v>215</v>
      </c>
    </row>
    <row r="15759" spans="129:129" x14ac:dyDescent="0.2">
      <c r="DY15759" s="185" t="s">
        <v>215</v>
      </c>
    </row>
    <row r="15760" spans="129:129" x14ac:dyDescent="0.2">
      <c r="DY15760" s="185" t="s">
        <v>215</v>
      </c>
    </row>
    <row r="15761" spans="129:129" x14ac:dyDescent="0.2">
      <c r="DY15761" s="185" t="s">
        <v>215</v>
      </c>
    </row>
    <row r="15762" spans="129:129" x14ac:dyDescent="0.2">
      <c r="DY15762" s="185" t="s">
        <v>215</v>
      </c>
    </row>
    <row r="15763" spans="129:129" x14ac:dyDescent="0.2">
      <c r="DY15763" s="185" t="s">
        <v>215</v>
      </c>
    </row>
    <row r="15764" spans="129:129" x14ac:dyDescent="0.2">
      <c r="DY15764" s="185" t="s">
        <v>215</v>
      </c>
    </row>
    <row r="15765" spans="129:129" x14ac:dyDescent="0.2">
      <c r="DY15765" s="185" t="s">
        <v>215</v>
      </c>
    </row>
    <row r="15766" spans="129:129" x14ac:dyDescent="0.2">
      <c r="DY15766" s="185" t="s">
        <v>215</v>
      </c>
    </row>
    <row r="15767" spans="129:129" x14ac:dyDescent="0.2">
      <c r="DY15767" s="185" t="s">
        <v>215</v>
      </c>
    </row>
    <row r="15768" spans="129:129" x14ac:dyDescent="0.2">
      <c r="DY15768" s="185" t="s">
        <v>215</v>
      </c>
    </row>
    <row r="15769" spans="129:129" x14ac:dyDescent="0.2">
      <c r="DY15769" s="185" t="s">
        <v>215</v>
      </c>
    </row>
    <row r="15770" spans="129:129" x14ac:dyDescent="0.2">
      <c r="DY15770" s="185" t="s">
        <v>215</v>
      </c>
    </row>
    <row r="15771" spans="129:129" x14ac:dyDescent="0.2">
      <c r="DY15771" s="185" t="s">
        <v>215</v>
      </c>
    </row>
    <row r="15772" spans="129:129" x14ac:dyDescent="0.2">
      <c r="DY15772" s="185" t="s">
        <v>215</v>
      </c>
    </row>
    <row r="15773" spans="129:129" x14ac:dyDescent="0.2">
      <c r="DY15773" s="185" t="s">
        <v>215</v>
      </c>
    </row>
    <row r="15774" spans="129:129" x14ac:dyDescent="0.2">
      <c r="DY15774" s="185" t="s">
        <v>215</v>
      </c>
    </row>
    <row r="15775" spans="129:129" x14ac:dyDescent="0.2">
      <c r="DY15775" s="185" t="s">
        <v>215</v>
      </c>
    </row>
    <row r="15776" spans="129:129" x14ac:dyDescent="0.2">
      <c r="DY15776" s="185" t="s">
        <v>215</v>
      </c>
    </row>
    <row r="15777" spans="129:129" x14ac:dyDescent="0.2">
      <c r="DY15777" s="185" t="s">
        <v>215</v>
      </c>
    </row>
    <row r="15778" spans="129:129" x14ac:dyDescent="0.2">
      <c r="DY15778" s="185" t="s">
        <v>215</v>
      </c>
    </row>
    <row r="15779" spans="129:129" x14ac:dyDescent="0.2">
      <c r="DY15779" s="185" t="s">
        <v>215</v>
      </c>
    </row>
    <row r="15780" spans="129:129" x14ac:dyDescent="0.2">
      <c r="DY15780" s="185" t="s">
        <v>215</v>
      </c>
    </row>
    <row r="15781" spans="129:129" x14ac:dyDescent="0.2">
      <c r="DY15781" s="185" t="s">
        <v>215</v>
      </c>
    </row>
    <row r="15782" spans="129:129" x14ac:dyDescent="0.2">
      <c r="DY15782" s="185" t="s">
        <v>215</v>
      </c>
    </row>
    <row r="15783" spans="129:129" x14ac:dyDescent="0.2">
      <c r="DY15783" s="185" t="s">
        <v>215</v>
      </c>
    </row>
    <row r="15784" spans="129:129" x14ac:dyDescent="0.2">
      <c r="DY15784" s="185" t="s">
        <v>215</v>
      </c>
    </row>
    <row r="15785" spans="129:129" x14ac:dyDescent="0.2">
      <c r="DY15785" s="185" t="s">
        <v>215</v>
      </c>
    </row>
    <row r="15786" spans="129:129" x14ac:dyDescent="0.2">
      <c r="DY15786" s="185" t="s">
        <v>215</v>
      </c>
    </row>
    <row r="15787" spans="129:129" x14ac:dyDescent="0.2">
      <c r="DY15787" s="185" t="s">
        <v>215</v>
      </c>
    </row>
    <row r="15788" spans="129:129" x14ac:dyDescent="0.2">
      <c r="DY15788" s="185" t="s">
        <v>215</v>
      </c>
    </row>
    <row r="15789" spans="129:129" x14ac:dyDescent="0.2">
      <c r="DY15789" s="185" t="s">
        <v>215</v>
      </c>
    </row>
    <row r="15790" spans="129:129" x14ac:dyDescent="0.2">
      <c r="DY15790" s="185" t="s">
        <v>215</v>
      </c>
    </row>
    <row r="15791" spans="129:129" x14ac:dyDescent="0.2">
      <c r="DY15791" s="185" t="s">
        <v>215</v>
      </c>
    </row>
    <row r="15792" spans="129:129" x14ac:dyDescent="0.2">
      <c r="DY15792" s="185" t="s">
        <v>215</v>
      </c>
    </row>
    <row r="15793" spans="129:129" x14ac:dyDescent="0.2">
      <c r="DY15793" s="185" t="s">
        <v>215</v>
      </c>
    </row>
    <row r="15794" spans="129:129" x14ac:dyDescent="0.2">
      <c r="DY15794" s="185" t="s">
        <v>215</v>
      </c>
    </row>
    <row r="15795" spans="129:129" x14ac:dyDescent="0.2">
      <c r="DY15795" s="185" t="s">
        <v>215</v>
      </c>
    </row>
    <row r="15796" spans="129:129" x14ac:dyDescent="0.2">
      <c r="DY15796" s="185" t="s">
        <v>215</v>
      </c>
    </row>
    <row r="15797" spans="129:129" x14ac:dyDescent="0.2">
      <c r="DY15797" s="185" t="s">
        <v>215</v>
      </c>
    </row>
    <row r="15798" spans="129:129" x14ac:dyDescent="0.2">
      <c r="DY15798" s="185" t="s">
        <v>215</v>
      </c>
    </row>
    <row r="15799" spans="129:129" x14ac:dyDescent="0.2">
      <c r="DY15799" s="185" t="s">
        <v>215</v>
      </c>
    </row>
    <row r="15800" spans="129:129" x14ac:dyDescent="0.2">
      <c r="DY15800" s="185" t="s">
        <v>215</v>
      </c>
    </row>
    <row r="15801" spans="129:129" x14ac:dyDescent="0.2">
      <c r="DY15801" s="185" t="s">
        <v>215</v>
      </c>
    </row>
    <row r="15802" spans="129:129" x14ac:dyDescent="0.2">
      <c r="DY15802" s="185" t="s">
        <v>215</v>
      </c>
    </row>
    <row r="15803" spans="129:129" x14ac:dyDescent="0.2">
      <c r="DY15803" s="185" t="s">
        <v>215</v>
      </c>
    </row>
    <row r="15804" spans="129:129" x14ac:dyDescent="0.2">
      <c r="DY15804" s="185" t="s">
        <v>215</v>
      </c>
    </row>
    <row r="15805" spans="129:129" x14ac:dyDescent="0.2">
      <c r="DY15805" s="185" t="s">
        <v>215</v>
      </c>
    </row>
    <row r="15806" spans="129:129" x14ac:dyDescent="0.2">
      <c r="DY15806" s="185" t="s">
        <v>215</v>
      </c>
    </row>
    <row r="15807" spans="129:129" x14ac:dyDescent="0.2">
      <c r="DY15807" s="185" t="s">
        <v>215</v>
      </c>
    </row>
    <row r="15808" spans="129:129" x14ac:dyDescent="0.2">
      <c r="DY15808" s="185" t="s">
        <v>215</v>
      </c>
    </row>
    <row r="15809" spans="129:129" x14ac:dyDescent="0.2">
      <c r="DY15809" s="185" t="s">
        <v>215</v>
      </c>
    </row>
    <row r="15810" spans="129:129" x14ac:dyDescent="0.2">
      <c r="DY15810" s="185" t="s">
        <v>215</v>
      </c>
    </row>
    <row r="15811" spans="129:129" x14ac:dyDescent="0.2">
      <c r="DY15811" s="185" t="s">
        <v>215</v>
      </c>
    </row>
    <row r="15812" spans="129:129" x14ac:dyDescent="0.2">
      <c r="DY15812" s="185" t="s">
        <v>215</v>
      </c>
    </row>
    <row r="15813" spans="129:129" x14ac:dyDescent="0.2">
      <c r="DY15813" s="185" t="s">
        <v>215</v>
      </c>
    </row>
    <row r="15814" spans="129:129" x14ac:dyDescent="0.2">
      <c r="DY15814" s="185" t="s">
        <v>215</v>
      </c>
    </row>
    <row r="15815" spans="129:129" x14ac:dyDescent="0.2">
      <c r="DY15815" s="185" t="s">
        <v>215</v>
      </c>
    </row>
    <row r="15816" spans="129:129" x14ac:dyDescent="0.2">
      <c r="DY15816" s="185" t="s">
        <v>215</v>
      </c>
    </row>
    <row r="15817" spans="129:129" x14ac:dyDescent="0.2">
      <c r="DY15817" s="185" t="s">
        <v>215</v>
      </c>
    </row>
    <row r="15818" spans="129:129" x14ac:dyDescent="0.2">
      <c r="DY15818" s="185" t="s">
        <v>215</v>
      </c>
    </row>
    <row r="15819" spans="129:129" x14ac:dyDescent="0.2">
      <c r="DY15819" s="185" t="s">
        <v>215</v>
      </c>
    </row>
    <row r="15820" spans="129:129" x14ac:dyDescent="0.2">
      <c r="DY15820" s="185" t="s">
        <v>215</v>
      </c>
    </row>
    <row r="15821" spans="129:129" x14ac:dyDescent="0.2">
      <c r="DY15821" s="185" t="s">
        <v>215</v>
      </c>
    </row>
    <row r="15822" spans="129:129" x14ac:dyDescent="0.2">
      <c r="DY15822" s="185" t="s">
        <v>215</v>
      </c>
    </row>
    <row r="15823" spans="129:129" x14ac:dyDescent="0.2">
      <c r="DY15823" s="185" t="s">
        <v>215</v>
      </c>
    </row>
    <row r="15824" spans="129:129" x14ac:dyDescent="0.2">
      <c r="DY15824" s="185" t="s">
        <v>215</v>
      </c>
    </row>
    <row r="15825" spans="129:129" x14ac:dyDescent="0.2">
      <c r="DY15825" s="185" t="s">
        <v>215</v>
      </c>
    </row>
    <row r="15826" spans="129:129" x14ac:dyDescent="0.2">
      <c r="DY15826" s="185" t="s">
        <v>215</v>
      </c>
    </row>
    <row r="15827" spans="129:129" x14ac:dyDescent="0.2">
      <c r="DY15827" s="185" t="s">
        <v>215</v>
      </c>
    </row>
    <row r="15828" spans="129:129" x14ac:dyDescent="0.2">
      <c r="DY15828" s="185" t="s">
        <v>215</v>
      </c>
    </row>
    <row r="15829" spans="129:129" x14ac:dyDescent="0.2">
      <c r="DY15829" s="185" t="s">
        <v>215</v>
      </c>
    </row>
    <row r="15830" spans="129:129" x14ac:dyDescent="0.2">
      <c r="DY15830" s="185" t="s">
        <v>215</v>
      </c>
    </row>
    <row r="15831" spans="129:129" x14ac:dyDescent="0.2">
      <c r="DY15831" s="185" t="s">
        <v>215</v>
      </c>
    </row>
    <row r="15832" spans="129:129" x14ac:dyDescent="0.2">
      <c r="DY15832" s="185" t="s">
        <v>215</v>
      </c>
    </row>
    <row r="15833" spans="129:129" x14ac:dyDescent="0.2">
      <c r="DY15833" s="185" t="s">
        <v>215</v>
      </c>
    </row>
    <row r="15834" spans="129:129" x14ac:dyDescent="0.2">
      <c r="DY15834" s="185" t="s">
        <v>215</v>
      </c>
    </row>
    <row r="15835" spans="129:129" x14ac:dyDescent="0.2">
      <c r="DY15835" s="185" t="s">
        <v>215</v>
      </c>
    </row>
    <row r="15836" spans="129:129" x14ac:dyDescent="0.2">
      <c r="DY15836" s="185" t="s">
        <v>215</v>
      </c>
    </row>
    <row r="15837" spans="129:129" x14ac:dyDescent="0.2">
      <c r="DY15837" s="185" t="s">
        <v>215</v>
      </c>
    </row>
    <row r="15838" spans="129:129" x14ac:dyDescent="0.2">
      <c r="DY15838" s="185" t="s">
        <v>215</v>
      </c>
    </row>
    <row r="15839" spans="129:129" x14ac:dyDescent="0.2">
      <c r="DY15839" s="185" t="s">
        <v>215</v>
      </c>
    </row>
    <row r="15840" spans="129:129" x14ac:dyDescent="0.2">
      <c r="DY15840" s="185" t="s">
        <v>215</v>
      </c>
    </row>
    <row r="15841" spans="129:129" x14ac:dyDescent="0.2">
      <c r="DY15841" s="185" t="s">
        <v>215</v>
      </c>
    </row>
    <row r="15842" spans="129:129" x14ac:dyDescent="0.2">
      <c r="DY15842" s="185" t="s">
        <v>215</v>
      </c>
    </row>
    <row r="15843" spans="129:129" x14ac:dyDescent="0.2">
      <c r="DY15843" s="185" t="s">
        <v>215</v>
      </c>
    </row>
    <row r="15844" spans="129:129" x14ac:dyDescent="0.2">
      <c r="DY15844" s="185" t="s">
        <v>215</v>
      </c>
    </row>
    <row r="15845" spans="129:129" x14ac:dyDescent="0.2">
      <c r="DY15845" s="185" t="s">
        <v>215</v>
      </c>
    </row>
    <row r="15846" spans="129:129" x14ac:dyDescent="0.2">
      <c r="DY15846" s="185" t="s">
        <v>215</v>
      </c>
    </row>
    <row r="15847" spans="129:129" x14ac:dyDescent="0.2">
      <c r="DY15847" s="185" t="s">
        <v>215</v>
      </c>
    </row>
    <row r="15848" spans="129:129" x14ac:dyDescent="0.2">
      <c r="DY15848" s="185" t="s">
        <v>215</v>
      </c>
    </row>
    <row r="15849" spans="129:129" x14ac:dyDescent="0.2">
      <c r="DY15849" s="185" t="s">
        <v>215</v>
      </c>
    </row>
    <row r="15850" spans="129:129" x14ac:dyDescent="0.2">
      <c r="DY15850" s="185" t="s">
        <v>215</v>
      </c>
    </row>
    <row r="15851" spans="129:129" x14ac:dyDescent="0.2">
      <c r="DY15851" s="185" t="s">
        <v>215</v>
      </c>
    </row>
    <row r="15852" spans="129:129" x14ac:dyDescent="0.2">
      <c r="DY15852" s="185" t="s">
        <v>215</v>
      </c>
    </row>
    <row r="15853" spans="129:129" x14ac:dyDescent="0.2">
      <c r="DY15853" s="185" t="s">
        <v>215</v>
      </c>
    </row>
    <row r="15854" spans="129:129" x14ac:dyDescent="0.2">
      <c r="DY15854" s="185" t="s">
        <v>215</v>
      </c>
    </row>
    <row r="15855" spans="129:129" x14ac:dyDescent="0.2">
      <c r="DY15855" s="185" t="s">
        <v>215</v>
      </c>
    </row>
    <row r="15856" spans="129:129" x14ac:dyDescent="0.2">
      <c r="DY15856" s="185" t="s">
        <v>215</v>
      </c>
    </row>
    <row r="15857" spans="129:129" x14ac:dyDescent="0.2">
      <c r="DY15857" s="185" t="s">
        <v>215</v>
      </c>
    </row>
    <row r="15858" spans="129:129" x14ac:dyDescent="0.2">
      <c r="DY15858" s="185" t="s">
        <v>215</v>
      </c>
    </row>
    <row r="15859" spans="129:129" x14ac:dyDescent="0.2">
      <c r="DY15859" s="185" t="s">
        <v>215</v>
      </c>
    </row>
    <row r="15860" spans="129:129" x14ac:dyDescent="0.2">
      <c r="DY15860" s="185" t="s">
        <v>215</v>
      </c>
    </row>
    <row r="15861" spans="129:129" x14ac:dyDescent="0.2">
      <c r="DY15861" s="185" t="s">
        <v>215</v>
      </c>
    </row>
    <row r="15862" spans="129:129" x14ac:dyDescent="0.2">
      <c r="DY15862" s="185" t="s">
        <v>215</v>
      </c>
    </row>
    <row r="15863" spans="129:129" x14ac:dyDescent="0.2">
      <c r="DY15863" s="185" t="s">
        <v>215</v>
      </c>
    </row>
    <row r="15864" spans="129:129" x14ac:dyDescent="0.2">
      <c r="DY15864" s="185" t="s">
        <v>215</v>
      </c>
    </row>
    <row r="15865" spans="129:129" x14ac:dyDescent="0.2">
      <c r="DY15865" s="185" t="s">
        <v>215</v>
      </c>
    </row>
    <row r="15866" spans="129:129" x14ac:dyDescent="0.2">
      <c r="DY15866" s="185" t="s">
        <v>215</v>
      </c>
    </row>
    <row r="15867" spans="129:129" x14ac:dyDescent="0.2">
      <c r="DY15867" s="185" t="s">
        <v>215</v>
      </c>
    </row>
    <row r="15868" spans="129:129" x14ac:dyDescent="0.2">
      <c r="DY15868" s="185" t="s">
        <v>215</v>
      </c>
    </row>
    <row r="15869" spans="129:129" x14ac:dyDescent="0.2">
      <c r="DY15869" s="185" t="s">
        <v>215</v>
      </c>
    </row>
    <row r="15870" spans="129:129" x14ac:dyDescent="0.2">
      <c r="DY15870" s="185" t="s">
        <v>215</v>
      </c>
    </row>
    <row r="15871" spans="129:129" x14ac:dyDescent="0.2">
      <c r="DY15871" s="185" t="s">
        <v>215</v>
      </c>
    </row>
    <row r="15872" spans="129:129" x14ac:dyDescent="0.2">
      <c r="DY15872" s="185" t="s">
        <v>215</v>
      </c>
    </row>
    <row r="15873" spans="129:129" x14ac:dyDescent="0.2">
      <c r="DY15873" s="185" t="s">
        <v>215</v>
      </c>
    </row>
    <row r="15874" spans="129:129" x14ac:dyDescent="0.2">
      <c r="DY15874" s="185" t="s">
        <v>215</v>
      </c>
    </row>
    <row r="15875" spans="129:129" x14ac:dyDescent="0.2">
      <c r="DY15875" s="185" t="s">
        <v>215</v>
      </c>
    </row>
    <row r="15876" spans="129:129" x14ac:dyDescent="0.2">
      <c r="DY15876" s="185" t="s">
        <v>215</v>
      </c>
    </row>
    <row r="15877" spans="129:129" x14ac:dyDescent="0.2">
      <c r="DY15877" s="185" t="s">
        <v>215</v>
      </c>
    </row>
    <row r="15878" spans="129:129" x14ac:dyDescent="0.2">
      <c r="DY15878" s="185" t="s">
        <v>215</v>
      </c>
    </row>
    <row r="15879" spans="129:129" x14ac:dyDescent="0.2">
      <c r="DY15879" s="185" t="s">
        <v>215</v>
      </c>
    </row>
    <row r="15880" spans="129:129" x14ac:dyDescent="0.2">
      <c r="DY15880" s="185" t="s">
        <v>215</v>
      </c>
    </row>
    <row r="15881" spans="129:129" x14ac:dyDescent="0.2">
      <c r="DY15881" s="185" t="s">
        <v>215</v>
      </c>
    </row>
    <row r="15882" spans="129:129" x14ac:dyDescent="0.2">
      <c r="DY15882" s="185" t="s">
        <v>215</v>
      </c>
    </row>
    <row r="15883" spans="129:129" x14ac:dyDescent="0.2">
      <c r="DY15883" s="185" t="s">
        <v>215</v>
      </c>
    </row>
    <row r="15884" spans="129:129" x14ac:dyDescent="0.2">
      <c r="DY15884" s="185" t="s">
        <v>215</v>
      </c>
    </row>
    <row r="15885" spans="129:129" x14ac:dyDescent="0.2">
      <c r="DY15885" s="185" t="s">
        <v>215</v>
      </c>
    </row>
    <row r="15886" spans="129:129" x14ac:dyDescent="0.2">
      <c r="DY15886" s="185" t="s">
        <v>215</v>
      </c>
    </row>
    <row r="15887" spans="129:129" x14ac:dyDescent="0.2">
      <c r="DY15887" s="185" t="s">
        <v>215</v>
      </c>
    </row>
    <row r="15888" spans="129:129" x14ac:dyDescent="0.2">
      <c r="DY15888" s="185" t="s">
        <v>215</v>
      </c>
    </row>
    <row r="15889" spans="129:129" x14ac:dyDescent="0.2">
      <c r="DY15889" s="185" t="s">
        <v>215</v>
      </c>
    </row>
    <row r="15890" spans="129:129" x14ac:dyDescent="0.2">
      <c r="DY15890" s="185" t="s">
        <v>215</v>
      </c>
    </row>
    <row r="15891" spans="129:129" x14ac:dyDescent="0.2">
      <c r="DY15891" s="185" t="s">
        <v>215</v>
      </c>
    </row>
    <row r="15892" spans="129:129" x14ac:dyDescent="0.2">
      <c r="DY15892" s="185" t="s">
        <v>215</v>
      </c>
    </row>
    <row r="15893" spans="129:129" x14ac:dyDescent="0.2">
      <c r="DY15893" s="185" t="s">
        <v>215</v>
      </c>
    </row>
    <row r="15894" spans="129:129" x14ac:dyDescent="0.2">
      <c r="DY15894" s="185" t="s">
        <v>215</v>
      </c>
    </row>
    <row r="15895" spans="129:129" x14ac:dyDescent="0.2">
      <c r="DY15895" s="185" t="s">
        <v>215</v>
      </c>
    </row>
    <row r="15896" spans="129:129" x14ac:dyDescent="0.2">
      <c r="DY15896" s="185" t="s">
        <v>215</v>
      </c>
    </row>
    <row r="15897" spans="129:129" x14ac:dyDescent="0.2">
      <c r="DY15897" s="185" t="s">
        <v>215</v>
      </c>
    </row>
    <row r="15898" spans="129:129" x14ac:dyDescent="0.2">
      <c r="DY15898" s="185" t="s">
        <v>215</v>
      </c>
    </row>
    <row r="15899" spans="129:129" x14ac:dyDescent="0.2">
      <c r="DY15899" s="185" t="s">
        <v>215</v>
      </c>
    </row>
    <row r="15900" spans="129:129" x14ac:dyDescent="0.2">
      <c r="DY15900" s="185" t="s">
        <v>215</v>
      </c>
    </row>
    <row r="15901" spans="129:129" x14ac:dyDescent="0.2">
      <c r="DY15901" s="185" t="s">
        <v>215</v>
      </c>
    </row>
    <row r="15902" spans="129:129" x14ac:dyDescent="0.2">
      <c r="DY15902" s="185" t="s">
        <v>215</v>
      </c>
    </row>
    <row r="15903" spans="129:129" x14ac:dyDescent="0.2">
      <c r="DY15903" s="185" t="s">
        <v>215</v>
      </c>
    </row>
    <row r="15904" spans="129:129" x14ac:dyDescent="0.2">
      <c r="DY15904" s="185" t="s">
        <v>215</v>
      </c>
    </row>
    <row r="15905" spans="129:129" x14ac:dyDescent="0.2">
      <c r="DY15905" s="185" t="s">
        <v>215</v>
      </c>
    </row>
    <row r="15906" spans="129:129" x14ac:dyDescent="0.2">
      <c r="DY15906" s="185" t="s">
        <v>215</v>
      </c>
    </row>
    <row r="15907" spans="129:129" x14ac:dyDescent="0.2">
      <c r="DY15907" s="185" t="s">
        <v>215</v>
      </c>
    </row>
    <row r="15908" spans="129:129" x14ac:dyDescent="0.2">
      <c r="DY15908" s="185" t="s">
        <v>215</v>
      </c>
    </row>
    <row r="15909" spans="129:129" x14ac:dyDescent="0.2">
      <c r="DY15909" s="185" t="s">
        <v>215</v>
      </c>
    </row>
    <row r="15910" spans="129:129" x14ac:dyDescent="0.2">
      <c r="DY15910" s="185" t="s">
        <v>215</v>
      </c>
    </row>
    <row r="15911" spans="129:129" x14ac:dyDescent="0.2">
      <c r="DY15911" s="185" t="s">
        <v>215</v>
      </c>
    </row>
    <row r="15912" spans="129:129" x14ac:dyDescent="0.2">
      <c r="DY15912" s="185" t="s">
        <v>215</v>
      </c>
    </row>
    <row r="15913" spans="129:129" x14ac:dyDescent="0.2">
      <c r="DY15913" s="185" t="s">
        <v>215</v>
      </c>
    </row>
    <row r="15914" spans="129:129" x14ac:dyDescent="0.2">
      <c r="DY15914" s="185" t="s">
        <v>215</v>
      </c>
    </row>
    <row r="15915" spans="129:129" x14ac:dyDescent="0.2">
      <c r="DY15915" s="185" t="s">
        <v>215</v>
      </c>
    </row>
    <row r="15916" spans="129:129" x14ac:dyDescent="0.2">
      <c r="DY15916" s="185" t="s">
        <v>215</v>
      </c>
    </row>
    <row r="15917" spans="129:129" x14ac:dyDescent="0.2">
      <c r="DY15917" s="185" t="s">
        <v>215</v>
      </c>
    </row>
    <row r="15918" spans="129:129" x14ac:dyDescent="0.2">
      <c r="DY15918" s="185" t="s">
        <v>215</v>
      </c>
    </row>
    <row r="15919" spans="129:129" x14ac:dyDescent="0.2">
      <c r="DY15919" s="185" t="s">
        <v>215</v>
      </c>
    </row>
    <row r="15920" spans="129:129" x14ac:dyDescent="0.2">
      <c r="DY15920" s="185" t="s">
        <v>215</v>
      </c>
    </row>
    <row r="15921" spans="129:129" x14ac:dyDescent="0.2">
      <c r="DY15921" s="185" t="s">
        <v>215</v>
      </c>
    </row>
    <row r="15922" spans="129:129" x14ac:dyDescent="0.2">
      <c r="DY15922" s="185" t="s">
        <v>215</v>
      </c>
    </row>
    <row r="15923" spans="129:129" x14ac:dyDescent="0.2">
      <c r="DY15923" s="185" t="s">
        <v>215</v>
      </c>
    </row>
    <row r="15924" spans="129:129" x14ac:dyDescent="0.2">
      <c r="DY15924" s="185" t="s">
        <v>215</v>
      </c>
    </row>
    <row r="15925" spans="129:129" x14ac:dyDescent="0.2">
      <c r="DY15925" s="185" t="s">
        <v>215</v>
      </c>
    </row>
    <row r="15926" spans="129:129" x14ac:dyDescent="0.2">
      <c r="DY15926" s="185" t="s">
        <v>215</v>
      </c>
    </row>
    <row r="15927" spans="129:129" x14ac:dyDescent="0.2">
      <c r="DY15927" s="185" t="s">
        <v>215</v>
      </c>
    </row>
    <row r="15928" spans="129:129" x14ac:dyDescent="0.2">
      <c r="DY15928" s="185" t="s">
        <v>215</v>
      </c>
    </row>
    <row r="15929" spans="129:129" x14ac:dyDescent="0.2">
      <c r="DY15929" s="185" t="s">
        <v>215</v>
      </c>
    </row>
    <row r="15930" spans="129:129" x14ac:dyDescent="0.2">
      <c r="DY15930" s="185" t="s">
        <v>215</v>
      </c>
    </row>
    <row r="15931" spans="129:129" x14ac:dyDescent="0.2">
      <c r="DY15931" s="185" t="s">
        <v>215</v>
      </c>
    </row>
    <row r="15932" spans="129:129" x14ac:dyDescent="0.2">
      <c r="DY15932" s="185" t="s">
        <v>215</v>
      </c>
    </row>
    <row r="15933" spans="129:129" x14ac:dyDescent="0.2">
      <c r="DY15933" s="185" t="s">
        <v>215</v>
      </c>
    </row>
    <row r="15934" spans="129:129" x14ac:dyDescent="0.2">
      <c r="DY15934" s="185" t="s">
        <v>215</v>
      </c>
    </row>
    <row r="15935" spans="129:129" x14ac:dyDescent="0.2">
      <c r="DY15935" s="185" t="s">
        <v>215</v>
      </c>
    </row>
    <row r="15936" spans="129:129" x14ac:dyDescent="0.2">
      <c r="DY15936" s="185" t="s">
        <v>215</v>
      </c>
    </row>
    <row r="15937" spans="129:129" x14ac:dyDescent="0.2">
      <c r="DY15937" s="185" t="s">
        <v>215</v>
      </c>
    </row>
    <row r="15938" spans="129:129" x14ac:dyDescent="0.2">
      <c r="DY15938" s="185" t="s">
        <v>215</v>
      </c>
    </row>
    <row r="15939" spans="129:129" x14ac:dyDescent="0.2">
      <c r="DY15939" s="185" t="s">
        <v>215</v>
      </c>
    </row>
    <row r="15940" spans="129:129" x14ac:dyDescent="0.2">
      <c r="DY15940" s="185" t="s">
        <v>215</v>
      </c>
    </row>
    <row r="15941" spans="129:129" x14ac:dyDescent="0.2">
      <c r="DY15941" s="185" t="s">
        <v>215</v>
      </c>
    </row>
    <row r="15942" spans="129:129" x14ac:dyDescent="0.2">
      <c r="DY15942" s="185" t="s">
        <v>215</v>
      </c>
    </row>
    <row r="15943" spans="129:129" x14ac:dyDescent="0.2">
      <c r="DY15943" s="185" t="s">
        <v>215</v>
      </c>
    </row>
    <row r="15944" spans="129:129" x14ac:dyDescent="0.2">
      <c r="DY15944" s="185" t="s">
        <v>215</v>
      </c>
    </row>
    <row r="15945" spans="129:129" x14ac:dyDescent="0.2">
      <c r="DY15945" s="185" t="s">
        <v>215</v>
      </c>
    </row>
    <row r="15946" spans="129:129" x14ac:dyDescent="0.2">
      <c r="DY15946" s="185" t="s">
        <v>215</v>
      </c>
    </row>
    <row r="15947" spans="129:129" x14ac:dyDescent="0.2">
      <c r="DY15947" s="185" t="s">
        <v>215</v>
      </c>
    </row>
    <row r="15948" spans="129:129" x14ac:dyDescent="0.2">
      <c r="DY15948" s="185" t="s">
        <v>215</v>
      </c>
    </row>
    <row r="15949" spans="129:129" x14ac:dyDescent="0.2">
      <c r="DY15949" s="185" t="s">
        <v>215</v>
      </c>
    </row>
    <row r="15950" spans="129:129" x14ac:dyDescent="0.2">
      <c r="DY15950" s="185" t="s">
        <v>215</v>
      </c>
    </row>
    <row r="15951" spans="129:129" x14ac:dyDescent="0.2">
      <c r="DY15951" s="185" t="s">
        <v>215</v>
      </c>
    </row>
    <row r="15952" spans="129:129" x14ac:dyDescent="0.2">
      <c r="DY15952" s="185" t="s">
        <v>215</v>
      </c>
    </row>
    <row r="15953" spans="129:129" x14ac:dyDescent="0.2">
      <c r="DY15953" s="185" t="s">
        <v>215</v>
      </c>
    </row>
    <row r="15954" spans="129:129" x14ac:dyDescent="0.2">
      <c r="DY15954" s="185" t="s">
        <v>215</v>
      </c>
    </row>
    <row r="15955" spans="129:129" x14ac:dyDescent="0.2">
      <c r="DY15955" s="185" t="s">
        <v>215</v>
      </c>
    </row>
    <row r="15956" spans="129:129" x14ac:dyDescent="0.2">
      <c r="DY15956" s="185" t="s">
        <v>215</v>
      </c>
    </row>
    <row r="15957" spans="129:129" x14ac:dyDescent="0.2">
      <c r="DY15957" s="185" t="s">
        <v>215</v>
      </c>
    </row>
    <row r="15958" spans="129:129" x14ac:dyDescent="0.2">
      <c r="DY15958" s="185" t="s">
        <v>215</v>
      </c>
    </row>
    <row r="15959" spans="129:129" x14ac:dyDescent="0.2">
      <c r="DY15959" s="185" t="s">
        <v>215</v>
      </c>
    </row>
    <row r="15960" spans="129:129" x14ac:dyDescent="0.2">
      <c r="DY15960" s="185" t="s">
        <v>215</v>
      </c>
    </row>
    <row r="15961" spans="129:129" x14ac:dyDescent="0.2">
      <c r="DY15961" s="185" t="s">
        <v>215</v>
      </c>
    </row>
    <row r="15962" spans="129:129" x14ac:dyDescent="0.2">
      <c r="DY15962" s="185" t="s">
        <v>215</v>
      </c>
    </row>
    <row r="15963" spans="129:129" x14ac:dyDescent="0.2">
      <c r="DY15963" s="185" t="s">
        <v>215</v>
      </c>
    </row>
    <row r="15964" spans="129:129" x14ac:dyDescent="0.2">
      <c r="DY15964" s="185" t="s">
        <v>215</v>
      </c>
    </row>
    <row r="15965" spans="129:129" x14ac:dyDescent="0.2">
      <c r="DY15965" s="185" t="s">
        <v>215</v>
      </c>
    </row>
    <row r="15966" spans="129:129" x14ac:dyDescent="0.2">
      <c r="DY15966" s="185" t="s">
        <v>215</v>
      </c>
    </row>
    <row r="15967" spans="129:129" x14ac:dyDescent="0.2">
      <c r="DY15967" s="185" t="s">
        <v>215</v>
      </c>
    </row>
    <row r="15968" spans="129:129" x14ac:dyDescent="0.2">
      <c r="DY15968" s="185" t="s">
        <v>215</v>
      </c>
    </row>
    <row r="15969" spans="129:129" x14ac:dyDescent="0.2">
      <c r="DY15969" s="185" t="s">
        <v>215</v>
      </c>
    </row>
    <row r="15970" spans="129:129" x14ac:dyDescent="0.2">
      <c r="DY15970" s="185" t="s">
        <v>215</v>
      </c>
    </row>
    <row r="15971" spans="129:129" x14ac:dyDescent="0.2">
      <c r="DY15971" s="185" t="s">
        <v>215</v>
      </c>
    </row>
    <row r="15972" spans="129:129" x14ac:dyDescent="0.2">
      <c r="DY15972" s="185" t="s">
        <v>215</v>
      </c>
    </row>
    <row r="15973" spans="129:129" x14ac:dyDescent="0.2">
      <c r="DY15973" s="185" t="s">
        <v>215</v>
      </c>
    </row>
    <row r="15974" spans="129:129" x14ac:dyDescent="0.2">
      <c r="DY15974" s="185" t="s">
        <v>215</v>
      </c>
    </row>
    <row r="15975" spans="129:129" x14ac:dyDescent="0.2">
      <c r="DY15975" s="185" t="s">
        <v>215</v>
      </c>
    </row>
    <row r="15976" spans="129:129" x14ac:dyDescent="0.2">
      <c r="DY15976" s="185" t="s">
        <v>215</v>
      </c>
    </row>
    <row r="15977" spans="129:129" x14ac:dyDescent="0.2">
      <c r="DY15977" s="185" t="s">
        <v>215</v>
      </c>
    </row>
    <row r="15978" spans="129:129" x14ac:dyDescent="0.2">
      <c r="DY15978" s="185" t="s">
        <v>215</v>
      </c>
    </row>
    <row r="15979" spans="129:129" x14ac:dyDescent="0.2">
      <c r="DY15979" s="185" t="s">
        <v>215</v>
      </c>
    </row>
    <row r="15980" spans="129:129" x14ac:dyDescent="0.2">
      <c r="DY15980" s="185" t="s">
        <v>215</v>
      </c>
    </row>
    <row r="15981" spans="129:129" x14ac:dyDescent="0.2">
      <c r="DY15981" s="185" t="s">
        <v>215</v>
      </c>
    </row>
    <row r="15982" spans="129:129" x14ac:dyDescent="0.2">
      <c r="DY15982" s="185" t="s">
        <v>215</v>
      </c>
    </row>
    <row r="15983" spans="129:129" x14ac:dyDescent="0.2">
      <c r="DY15983" s="185" t="s">
        <v>215</v>
      </c>
    </row>
    <row r="15984" spans="129:129" x14ac:dyDescent="0.2">
      <c r="DY15984" s="185" t="s">
        <v>215</v>
      </c>
    </row>
    <row r="15985" spans="129:129" x14ac:dyDescent="0.2">
      <c r="DY15985" s="185" t="s">
        <v>215</v>
      </c>
    </row>
    <row r="15986" spans="129:129" x14ac:dyDescent="0.2">
      <c r="DY15986" s="185" t="s">
        <v>215</v>
      </c>
    </row>
    <row r="15987" spans="129:129" x14ac:dyDescent="0.2">
      <c r="DY15987" s="185" t="s">
        <v>215</v>
      </c>
    </row>
    <row r="15988" spans="129:129" x14ac:dyDescent="0.2">
      <c r="DY15988" s="185" t="s">
        <v>215</v>
      </c>
    </row>
    <row r="15989" spans="129:129" x14ac:dyDescent="0.2">
      <c r="DY15989" s="185" t="s">
        <v>215</v>
      </c>
    </row>
    <row r="15990" spans="129:129" x14ac:dyDescent="0.2">
      <c r="DY15990" s="185" t="s">
        <v>215</v>
      </c>
    </row>
    <row r="15991" spans="129:129" x14ac:dyDescent="0.2">
      <c r="DY15991" s="185" t="s">
        <v>215</v>
      </c>
    </row>
    <row r="15992" spans="129:129" x14ac:dyDescent="0.2">
      <c r="DY15992" s="185" t="s">
        <v>215</v>
      </c>
    </row>
    <row r="15993" spans="129:129" x14ac:dyDescent="0.2">
      <c r="DY15993" s="185" t="s">
        <v>215</v>
      </c>
    </row>
    <row r="15994" spans="129:129" x14ac:dyDescent="0.2">
      <c r="DY15994" s="185" t="s">
        <v>215</v>
      </c>
    </row>
    <row r="15995" spans="129:129" x14ac:dyDescent="0.2">
      <c r="DY15995" s="185" t="s">
        <v>215</v>
      </c>
    </row>
    <row r="15996" spans="129:129" x14ac:dyDescent="0.2">
      <c r="DY15996" s="185" t="s">
        <v>215</v>
      </c>
    </row>
    <row r="15997" spans="129:129" x14ac:dyDescent="0.2">
      <c r="DY15997" s="185" t="s">
        <v>215</v>
      </c>
    </row>
    <row r="15998" spans="129:129" x14ac:dyDescent="0.2">
      <c r="DY15998" s="185" t="s">
        <v>215</v>
      </c>
    </row>
    <row r="15999" spans="129:129" x14ac:dyDescent="0.2">
      <c r="DY15999" s="185" t="s">
        <v>215</v>
      </c>
    </row>
    <row r="16000" spans="129:129" x14ac:dyDescent="0.2">
      <c r="DY16000" s="185" t="s">
        <v>215</v>
      </c>
    </row>
    <row r="16001" spans="129:129" x14ac:dyDescent="0.2">
      <c r="DY16001" s="185" t="s">
        <v>215</v>
      </c>
    </row>
    <row r="16002" spans="129:129" x14ac:dyDescent="0.2">
      <c r="DY16002" s="185" t="s">
        <v>215</v>
      </c>
    </row>
    <row r="16003" spans="129:129" x14ac:dyDescent="0.2">
      <c r="DY16003" s="185" t="s">
        <v>215</v>
      </c>
    </row>
    <row r="16004" spans="129:129" x14ac:dyDescent="0.2">
      <c r="DY16004" s="185" t="s">
        <v>215</v>
      </c>
    </row>
    <row r="16005" spans="129:129" x14ac:dyDescent="0.2">
      <c r="DY16005" s="185" t="s">
        <v>215</v>
      </c>
    </row>
    <row r="16006" spans="129:129" x14ac:dyDescent="0.2">
      <c r="DY16006" s="185" t="s">
        <v>215</v>
      </c>
    </row>
    <row r="16007" spans="129:129" x14ac:dyDescent="0.2">
      <c r="DY16007" s="185" t="s">
        <v>215</v>
      </c>
    </row>
    <row r="16008" spans="129:129" x14ac:dyDescent="0.2">
      <c r="DY16008" s="185" t="s">
        <v>215</v>
      </c>
    </row>
    <row r="16009" spans="129:129" x14ac:dyDescent="0.2">
      <c r="DY16009" s="185" t="s">
        <v>215</v>
      </c>
    </row>
    <row r="16010" spans="129:129" x14ac:dyDescent="0.2">
      <c r="DY16010" s="185" t="s">
        <v>215</v>
      </c>
    </row>
    <row r="16011" spans="129:129" x14ac:dyDescent="0.2">
      <c r="DY16011" s="185" t="s">
        <v>215</v>
      </c>
    </row>
    <row r="16012" spans="129:129" x14ac:dyDescent="0.2">
      <c r="DY16012" s="185" t="s">
        <v>215</v>
      </c>
    </row>
    <row r="16013" spans="129:129" x14ac:dyDescent="0.2">
      <c r="DY16013" s="185" t="s">
        <v>215</v>
      </c>
    </row>
    <row r="16014" spans="129:129" x14ac:dyDescent="0.2">
      <c r="DY16014" s="185" t="s">
        <v>215</v>
      </c>
    </row>
    <row r="16015" spans="129:129" x14ac:dyDescent="0.2">
      <c r="DY16015" s="185" t="s">
        <v>215</v>
      </c>
    </row>
    <row r="16016" spans="129:129" x14ac:dyDescent="0.2">
      <c r="DY16016" s="185" t="s">
        <v>215</v>
      </c>
    </row>
    <row r="16017" spans="129:129" x14ac:dyDescent="0.2">
      <c r="DY16017" s="185" t="s">
        <v>215</v>
      </c>
    </row>
    <row r="16018" spans="129:129" x14ac:dyDescent="0.2">
      <c r="DY16018" s="185" t="s">
        <v>215</v>
      </c>
    </row>
    <row r="16019" spans="129:129" x14ac:dyDescent="0.2">
      <c r="DY16019" s="185" t="s">
        <v>215</v>
      </c>
    </row>
    <row r="16020" spans="129:129" x14ac:dyDescent="0.2">
      <c r="DY16020" s="185" t="s">
        <v>215</v>
      </c>
    </row>
    <row r="16021" spans="129:129" x14ac:dyDescent="0.2">
      <c r="DY16021" s="185" t="s">
        <v>215</v>
      </c>
    </row>
    <row r="16022" spans="129:129" x14ac:dyDescent="0.2">
      <c r="DY16022" s="185" t="s">
        <v>215</v>
      </c>
    </row>
    <row r="16023" spans="129:129" x14ac:dyDescent="0.2">
      <c r="DY16023" s="185" t="s">
        <v>215</v>
      </c>
    </row>
    <row r="16024" spans="129:129" x14ac:dyDescent="0.2">
      <c r="DY16024" s="185" t="s">
        <v>215</v>
      </c>
    </row>
    <row r="16025" spans="129:129" x14ac:dyDescent="0.2">
      <c r="DY16025" s="185" t="s">
        <v>215</v>
      </c>
    </row>
    <row r="16026" spans="129:129" x14ac:dyDescent="0.2">
      <c r="DY16026" s="185" t="s">
        <v>215</v>
      </c>
    </row>
    <row r="16027" spans="129:129" x14ac:dyDescent="0.2">
      <c r="DY16027" s="185" t="s">
        <v>215</v>
      </c>
    </row>
    <row r="16028" spans="129:129" x14ac:dyDescent="0.2">
      <c r="DY16028" s="185" t="s">
        <v>215</v>
      </c>
    </row>
    <row r="16029" spans="129:129" x14ac:dyDescent="0.2">
      <c r="DY16029" s="185" t="s">
        <v>215</v>
      </c>
    </row>
    <row r="16030" spans="129:129" x14ac:dyDescent="0.2">
      <c r="DY16030" s="185" t="s">
        <v>215</v>
      </c>
    </row>
    <row r="16031" spans="129:129" x14ac:dyDescent="0.2">
      <c r="DY16031" s="185" t="s">
        <v>215</v>
      </c>
    </row>
    <row r="16032" spans="129:129" x14ac:dyDescent="0.2">
      <c r="DY16032" s="185" t="s">
        <v>215</v>
      </c>
    </row>
    <row r="16033" spans="129:129" x14ac:dyDescent="0.2">
      <c r="DY16033" s="185" t="s">
        <v>215</v>
      </c>
    </row>
    <row r="16034" spans="129:129" x14ac:dyDescent="0.2">
      <c r="DY16034" s="185" t="s">
        <v>215</v>
      </c>
    </row>
    <row r="16035" spans="129:129" x14ac:dyDescent="0.2">
      <c r="DY16035" s="185" t="s">
        <v>215</v>
      </c>
    </row>
    <row r="16036" spans="129:129" x14ac:dyDescent="0.2">
      <c r="DY16036" s="185" t="s">
        <v>215</v>
      </c>
    </row>
    <row r="16037" spans="129:129" x14ac:dyDescent="0.2">
      <c r="DY16037" s="185" t="s">
        <v>215</v>
      </c>
    </row>
    <row r="16038" spans="129:129" x14ac:dyDescent="0.2">
      <c r="DY16038" s="185" t="s">
        <v>215</v>
      </c>
    </row>
    <row r="16039" spans="129:129" x14ac:dyDescent="0.2">
      <c r="DY16039" s="185" t="s">
        <v>215</v>
      </c>
    </row>
    <row r="16040" spans="129:129" x14ac:dyDescent="0.2">
      <c r="DY16040" s="185" t="s">
        <v>215</v>
      </c>
    </row>
    <row r="16041" spans="129:129" x14ac:dyDescent="0.2">
      <c r="DY16041" s="185" t="s">
        <v>215</v>
      </c>
    </row>
    <row r="16042" spans="129:129" x14ac:dyDescent="0.2">
      <c r="DY16042" s="185" t="s">
        <v>215</v>
      </c>
    </row>
    <row r="16043" spans="129:129" x14ac:dyDescent="0.2">
      <c r="DY16043" s="185" t="s">
        <v>215</v>
      </c>
    </row>
    <row r="16044" spans="129:129" x14ac:dyDescent="0.2">
      <c r="DY16044" s="185" t="s">
        <v>215</v>
      </c>
    </row>
    <row r="16045" spans="129:129" x14ac:dyDescent="0.2">
      <c r="DY16045" s="185" t="s">
        <v>215</v>
      </c>
    </row>
    <row r="16046" spans="129:129" x14ac:dyDescent="0.2">
      <c r="DY16046" s="185" t="s">
        <v>215</v>
      </c>
    </row>
    <row r="16047" spans="129:129" x14ac:dyDescent="0.2">
      <c r="DY16047" s="185" t="s">
        <v>215</v>
      </c>
    </row>
    <row r="16048" spans="129:129" x14ac:dyDescent="0.2">
      <c r="DY16048" s="185" t="s">
        <v>215</v>
      </c>
    </row>
    <row r="16049" spans="129:129" x14ac:dyDescent="0.2">
      <c r="DY16049" s="185" t="s">
        <v>215</v>
      </c>
    </row>
    <row r="16050" spans="129:129" x14ac:dyDescent="0.2">
      <c r="DY16050" s="185" t="s">
        <v>215</v>
      </c>
    </row>
    <row r="16051" spans="129:129" x14ac:dyDescent="0.2">
      <c r="DY16051" s="185" t="s">
        <v>215</v>
      </c>
    </row>
    <row r="16052" spans="129:129" x14ac:dyDescent="0.2">
      <c r="DY16052" s="185" t="s">
        <v>215</v>
      </c>
    </row>
    <row r="16053" spans="129:129" x14ac:dyDescent="0.2">
      <c r="DY16053" s="185" t="s">
        <v>215</v>
      </c>
    </row>
    <row r="16054" spans="129:129" x14ac:dyDescent="0.2">
      <c r="DY16054" s="185" t="s">
        <v>215</v>
      </c>
    </row>
    <row r="16055" spans="129:129" x14ac:dyDescent="0.2">
      <c r="DY16055" s="185" t="s">
        <v>215</v>
      </c>
    </row>
    <row r="16056" spans="129:129" x14ac:dyDescent="0.2">
      <c r="DY16056" s="185" t="s">
        <v>215</v>
      </c>
    </row>
    <row r="16057" spans="129:129" x14ac:dyDescent="0.2">
      <c r="DY16057" s="185" t="s">
        <v>215</v>
      </c>
    </row>
    <row r="16058" spans="129:129" x14ac:dyDescent="0.2">
      <c r="DY16058" s="185" t="s">
        <v>215</v>
      </c>
    </row>
    <row r="16059" spans="129:129" x14ac:dyDescent="0.2">
      <c r="DY16059" s="185" t="s">
        <v>215</v>
      </c>
    </row>
    <row r="16060" spans="129:129" x14ac:dyDescent="0.2">
      <c r="DY16060" s="185" t="s">
        <v>215</v>
      </c>
    </row>
    <row r="16061" spans="129:129" x14ac:dyDescent="0.2">
      <c r="DY16061" s="185" t="s">
        <v>215</v>
      </c>
    </row>
    <row r="16062" spans="129:129" x14ac:dyDescent="0.2">
      <c r="DY16062" s="185" t="s">
        <v>215</v>
      </c>
    </row>
    <row r="16063" spans="129:129" x14ac:dyDescent="0.2">
      <c r="DY16063" s="185" t="s">
        <v>215</v>
      </c>
    </row>
    <row r="16064" spans="129:129" x14ac:dyDescent="0.2">
      <c r="DY16064" s="185" t="s">
        <v>215</v>
      </c>
    </row>
    <row r="16065" spans="129:129" x14ac:dyDescent="0.2">
      <c r="DY16065" s="185" t="s">
        <v>215</v>
      </c>
    </row>
    <row r="16066" spans="129:129" x14ac:dyDescent="0.2">
      <c r="DY16066" s="185" t="s">
        <v>215</v>
      </c>
    </row>
    <row r="16067" spans="129:129" x14ac:dyDescent="0.2">
      <c r="DY16067" s="185" t="s">
        <v>215</v>
      </c>
    </row>
    <row r="16068" spans="129:129" x14ac:dyDescent="0.2">
      <c r="DY16068" s="185" t="s">
        <v>215</v>
      </c>
    </row>
    <row r="16069" spans="129:129" x14ac:dyDescent="0.2">
      <c r="DY16069" s="185" t="s">
        <v>215</v>
      </c>
    </row>
    <row r="16070" spans="129:129" x14ac:dyDescent="0.2">
      <c r="DY16070" s="185" t="s">
        <v>215</v>
      </c>
    </row>
    <row r="16071" spans="129:129" x14ac:dyDescent="0.2">
      <c r="DY16071" s="185" t="s">
        <v>215</v>
      </c>
    </row>
    <row r="16072" spans="129:129" x14ac:dyDescent="0.2">
      <c r="DY16072" s="185" t="s">
        <v>215</v>
      </c>
    </row>
    <row r="16073" spans="129:129" x14ac:dyDescent="0.2">
      <c r="DY16073" s="185" t="s">
        <v>215</v>
      </c>
    </row>
    <row r="16074" spans="129:129" x14ac:dyDescent="0.2">
      <c r="DY16074" s="185" t="s">
        <v>215</v>
      </c>
    </row>
    <row r="16075" spans="129:129" x14ac:dyDescent="0.2">
      <c r="DY16075" s="185" t="s">
        <v>215</v>
      </c>
    </row>
    <row r="16076" spans="129:129" x14ac:dyDescent="0.2">
      <c r="DY16076" s="185" t="s">
        <v>215</v>
      </c>
    </row>
    <row r="16077" spans="129:129" x14ac:dyDescent="0.2">
      <c r="DY16077" s="185" t="s">
        <v>215</v>
      </c>
    </row>
    <row r="16078" spans="129:129" x14ac:dyDescent="0.2">
      <c r="DY16078" s="185" t="s">
        <v>215</v>
      </c>
    </row>
    <row r="16079" spans="129:129" x14ac:dyDescent="0.2">
      <c r="DY16079" s="185" t="s">
        <v>215</v>
      </c>
    </row>
    <row r="16080" spans="129:129" x14ac:dyDescent="0.2">
      <c r="DY16080" s="185" t="s">
        <v>215</v>
      </c>
    </row>
    <row r="16081" spans="129:129" x14ac:dyDescent="0.2">
      <c r="DY16081" s="185" t="s">
        <v>215</v>
      </c>
    </row>
    <row r="16082" spans="129:129" x14ac:dyDescent="0.2">
      <c r="DY16082" s="185" t="s">
        <v>215</v>
      </c>
    </row>
    <row r="16083" spans="129:129" x14ac:dyDescent="0.2">
      <c r="DY16083" s="185" t="s">
        <v>215</v>
      </c>
    </row>
    <row r="16084" spans="129:129" x14ac:dyDescent="0.2">
      <c r="DY16084" s="185" t="s">
        <v>215</v>
      </c>
    </row>
    <row r="16085" spans="129:129" x14ac:dyDescent="0.2">
      <c r="DY16085" s="185" t="s">
        <v>215</v>
      </c>
    </row>
    <row r="16086" spans="129:129" x14ac:dyDescent="0.2">
      <c r="DY16086" s="185" t="s">
        <v>215</v>
      </c>
    </row>
    <row r="16087" spans="129:129" x14ac:dyDescent="0.2">
      <c r="DY16087" s="185" t="s">
        <v>215</v>
      </c>
    </row>
    <row r="16088" spans="129:129" x14ac:dyDescent="0.2">
      <c r="DY16088" s="185" t="s">
        <v>215</v>
      </c>
    </row>
    <row r="16089" spans="129:129" x14ac:dyDescent="0.2">
      <c r="DY16089" s="185" t="s">
        <v>215</v>
      </c>
    </row>
    <row r="16090" spans="129:129" x14ac:dyDescent="0.2">
      <c r="DY16090" s="185" t="s">
        <v>215</v>
      </c>
    </row>
    <row r="16091" spans="129:129" x14ac:dyDescent="0.2">
      <c r="DY16091" s="185" t="s">
        <v>215</v>
      </c>
    </row>
    <row r="16092" spans="129:129" x14ac:dyDescent="0.2">
      <c r="DY16092" s="185" t="s">
        <v>215</v>
      </c>
    </row>
    <row r="16093" spans="129:129" x14ac:dyDescent="0.2">
      <c r="DY16093" s="185" t="s">
        <v>215</v>
      </c>
    </row>
    <row r="16094" spans="129:129" x14ac:dyDescent="0.2">
      <c r="DY16094" s="185" t="s">
        <v>215</v>
      </c>
    </row>
    <row r="16095" spans="129:129" x14ac:dyDescent="0.2">
      <c r="DY16095" s="185" t="s">
        <v>215</v>
      </c>
    </row>
    <row r="16096" spans="129:129" x14ac:dyDescent="0.2">
      <c r="DY16096" s="185" t="s">
        <v>215</v>
      </c>
    </row>
    <row r="16097" spans="129:129" x14ac:dyDescent="0.2">
      <c r="DY16097" s="185" t="s">
        <v>215</v>
      </c>
    </row>
    <row r="16098" spans="129:129" x14ac:dyDescent="0.2">
      <c r="DY16098" s="185" t="s">
        <v>215</v>
      </c>
    </row>
    <row r="16099" spans="129:129" x14ac:dyDescent="0.2">
      <c r="DY16099" s="185" t="s">
        <v>215</v>
      </c>
    </row>
    <row r="16100" spans="129:129" x14ac:dyDescent="0.2">
      <c r="DY16100" s="185" t="s">
        <v>215</v>
      </c>
    </row>
    <row r="16101" spans="129:129" x14ac:dyDescent="0.2">
      <c r="DY16101" s="185" t="s">
        <v>215</v>
      </c>
    </row>
    <row r="16102" spans="129:129" x14ac:dyDescent="0.2">
      <c r="DY16102" s="185" t="s">
        <v>215</v>
      </c>
    </row>
    <row r="16103" spans="129:129" x14ac:dyDescent="0.2">
      <c r="DY16103" s="185" t="s">
        <v>215</v>
      </c>
    </row>
    <row r="16104" spans="129:129" x14ac:dyDescent="0.2">
      <c r="DY16104" s="185" t="s">
        <v>215</v>
      </c>
    </row>
    <row r="16105" spans="129:129" x14ac:dyDescent="0.2">
      <c r="DY16105" s="185" t="s">
        <v>215</v>
      </c>
    </row>
    <row r="16106" spans="129:129" x14ac:dyDescent="0.2">
      <c r="DY16106" s="185" t="s">
        <v>215</v>
      </c>
    </row>
    <row r="16107" spans="129:129" x14ac:dyDescent="0.2">
      <c r="DY16107" s="185" t="s">
        <v>215</v>
      </c>
    </row>
    <row r="16108" spans="129:129" x14ac:dyDescent="0.2">
      <c r="DY16108" s="185" t="s">
        <v>215</v>
      </c>
    </row>
    <row r="16109" spans="129:129" x14ac:dyDescent="0.2">
      <c r="DY16109" s="185" t="s">
        <v>215</v>
      </c>
    </row>
    <row r="16110" spans="129:129" x14ac:dyDescent="0.2">
      <c r="DY16110" s="185" t="s">
        <v>215</v>
      </c>
    </row>
    <row r="16111" spans="129:129" x14ac:dyDescent="0.2">
      <c r="DY16111" s="185" t="s">
        <v>215</v>
      </c>
    </row>
    <row r="16112" spans="129:129" x14ac:dyDescent="0.2">
      <c r="DY16112" s="185" t="s">
        <v>215</v>
      </c>
    </row>
    <row r="16113" spans="129:129" x14ac:dyDescent="0.2">
      <c r="DY16113" s="185" t="s">
        <v>215</v>
      </c>
    </row>
    <row r="16114" spans="129:129" x14ac:dyDescent="0.2">
      <c r="DY16114" s="185" t="s">
        <v>215</v>
      </c>
    </row>
    <row r="16115" spans="129:129" x14ac:dyDescent="0.2">
      <c r="DY16115" s="185" t="s">
        <v>215</v>
      </c>
    </row>
    <row r="16116" spans="129:129" x14ac:dyDescent="0.2">
      <c r="DY16116" s="185" t="s">
        <v>215</v>
      </c>
    </row>
    <row r="16117" spans="129:129" x14ac:dyDescent="0.2">
      <c r="DY16117" s="185" t="s">
        <v>215</v>
      </c>
    </row>
    <row r="16118" spans="129:129" x14ac:dyDescent="0.2">
      <c r="DY16118" s="185" t="s">
        <v>215</v>
      </c>
    </row>
    <row r="16119" spans="129:129" x14ac:dyDescent="0.2">
      <c r="DY16119" s="185" t="s">
        <v>215</v>
      </c>
    </row>
    <row r="16120" spans="129:129" x14ac:dyDescent="0.2">
      <c r="DY16120" s="185" t="s">
        <v>215</v>
      </c>
    </row>
    <row r="16121" spans="129:129" x14ac:dyDescent="0.2">
      <c r="DY16121" s="185" t="s">
        <v>215</v>
      </c>
    </row>
    <row r="16122" spans="129:129" x14ac:dyDescent="0.2">
      <c r="DY16122" s="185" t="s">
        <v>215</v>
      </c>
    </row>
    <row r="16123" spans="129:129" x14ac:dyDescent="0.2">
      <c r="DY16123" s="185" t="s">
        <v>215</v>
      </c>
    </row>
    <row r="16124" spans="129:129" x14ac:dyDescent="0.2">
      <c r="DY16124" s="185" t="s">
        <v>215</v>
      </c>
    </row>
    <row r="16125" spans="129:129" x14ac:dyDescent="0.2">
      <c r="DY16125" s="185" t="s">
        <v>215</v>
      </c>
    </row>
    <row r="16126" spans="129:129" x14ac:dyDescent="0.2">
      <c r="DY16126" s="185" t="s">
        <v>215</v>
      </c>
    </row>
    <row r="16127" spans="129:129" x14ac:dyDescent="0.2">
      <c r="DY16127" s="185" t="s">
        <v>215</v>
      </c>
    </row>
    <row r="16128" spans="129:129" x14ac:dyDescent="0.2">
      <c r="DY16128" s="185" t="s">
        <v>215</v>
      </c>
    </row>
    <row r="16129" spans="129:129" x14ac:dyDescent="0.2">
      <c r="DY16129" s="185" t="s">
        <v>215</v>
      </c>
    </row>
    <row r="16130" spans="129:129" x14ac:dyDescent="0.2">
      <c r="DY16130" s="185" t="s">
        <v>215</v>
      </c>
    </row>
    <row r="16131" spans="129:129" x14ac:dyDescent="0.2">
      <c r="DY16131" s="185" t="s">
        <v>215</v>
      </c>
    </row>
    <row r="16132" spans="129:129" x14ac:dyDescent="0.2">
      <c r="DY16132" s="185" t="s">
        <v>215</v>
      </c>
    </row>
    <row r="16133" spans="129:129" x14ac:dyDescent="0.2">
      <c r="DY16133" s="185" t="s">
        <v>215</v>
      </c>
    </row>
    <row r="16134" spans="129:129" x14ac:dyDescent="0.2">
      <c r="DY16134" s="185" t="s">
        <v>215</v>
      </c>
    </row>
    <row r="16135" spans="129:129" x14ac:dyDescent="0.2">
      <c r="DY16135" s="185" t="s">
        <v>215</v>
      </c>
    </row>
    <row r="16136" spans="129:129" x14ac:dyDescent="0.2">
      <c r="DY16136" s="185" t="s">
        <v>215</v>
      </c>
    </row>
    <row r="16137" spans="129:129" x14ac:dyDescent="0.2">
      <c r="DY16137" s="185" t="s">
        <v>215</v>
      </c>
    </row>
    <row r="16138" spans="129:129" x14ac:dyDescent="0.2">
      <c r="DY16138" s="185" t="s">
        <v>215</v>
      </c>
    </row>
    <row r="16139" spans="129:129" x14ac:dyDescent="0.2">
      <c r="DY16139" s="185" t="s">
        <v>215</v>
      </c>
    </row>
    <row r="16140" spans="129:129" x14ac:dyDescent="0.2">
      <c r="DY16140" s="185" t="s">
        <v>215</v>
      </c>
    </row>
    <row r="16141" spans="129:129" x14ac:dyDescent="0.2">
      <c r="DY16141" s="185" t="s">
        <v>215</v>
      </c>
    </row>
    <row r="16142" spans="129:129" x14ac:dyDescent="0.2">
      <c r="DY16142" s="185" t="s">
        <v>215</v>
      </c>
    </row>
    <row r="16143" spans="129:129" x14ac:dyDescent="0.2">
      <c r="DY16143" s="185" t="s">
        <v>215</v>
      </c>
    </row>
    <row r="16144" spans="129:129" x14ac:dyDescent="0.2">
      <c r="DY16144" s="185" t="s">
        <v>215</v>
      </c>
    </row>
    <row r="16145" spans="129:129" x14ac:dyDescent="0.2">
      <c r="DY16145" s="185" t="s">
        <v>215</v>
      </c>
    </row>
    <row r="16146" spans="129:129" x14ac:dyDescent="0.2">
      <c r="DY16146" s="185" t="s">
        <v>215</v>
      </c>
    </row>
    <row r="16147" spans="129:129" x14ac:dyDescent="0.2">
      <c r="DY16147" s="185" t="s">
        <v>215</v>
      </c>
    </row>
    <row r="16148" spans="129:129" x14ac:dyDescent="0.2">
      <c r="DY16148" s="185" t="s">
        <v>215</v>
      </c>
    </row>
    <row r="16149" spans="129:129" x14ac:dyDescent="0.2">
      <c r="DY16149" s="185" t="s">
        <v>215</v>
      </c>
    </row>
    <row r="16150" spans="129:129" x14ac:dyDescent="0.2">
      <c r="DY16150" s="185" t="s">
        <v>215</v>
      </c>
    </row>
    <row r="16151" spans="129:129" x14ac:dyDescent="0.2">
      <c r="DY16151" s="185" t="s">
        <v>215</v>
      </c>
    </row>
    <row r="16152" spans="129:129" x14ac:dyDescent="0.2">
      <c r="DY16152" s="185" t="s">
        <v>215</v>
      </c>
    </row>
    <row r="16153" spans="129:129" x14ac:dyDescent="0.2">
      <c r="DY16153" s="185" t="s">
        <v>215</v>
      </c>
    </row>
    <row r="16154" spans="129:129" x14ac:dyDescent="0.2">
      <c r="DY16154" s="185" t="s">
        <v>215</v>
      </c>
    </row>
    <row r="16155" spans="129:129" x14ac:dyDescent="0.2">
      <c r="DY16155" s="185" t="s">
        <v>215</v>
      </c>
    </row>
    <row r="16156" spans="129:129" x14ac:dyDescent="0.2">
      <c r="DY16156" s="185" t="s">
        <v>215</v>
      </c>
    </row>
    <row r="16157" spans="129:129" x14ac:dyDescent="0.2">
      <c r="DY16157" s="185" t="s">
        <v>215</v>
      </c>
    </row>
    <row r="16158" spans="129:129" x14ac:dyDescent="0.2">
      <c r="DY16158" s="185" t="s">
        <v>215</v>
      </c>
    </row>
    <row r="16159" spans="129:129" x14ac:dyDescent="0.2">
      <c r="DY16159" s="185" t="s">
        <v>215</v>
      </c>
    </row>
    <row r="16160" spans="129:129" x14ac:dyDescent="0.2">
      <c r="DY16160" s="185" t="s">
        <v>215</v>
      </c>
    </row>
    <row r="16161" spans="129:129" x14ac:dyDescent="0.2">
      <c r="DY16161" s="185" t="s">
        <v>215</v>
      </c>
    </row>
    <row r="16162" spans="129:129" x14ac:dyDescent="0.2">
      <c r="DY16162" s="185" t="s">
        <v>215</v>
      </c>
    </row>
    <row r="16163" spans="129:129" x14ac:dyDescent="0.2">
      <c r="DY16163" s="185" t="s">
        <v>215</v>
      </c>
    </row>
    <row r="16164" spans="129:129" x14ac:dyDescent="0.2">
      <c r="DY16164" s="185" t="s">
        <v>215</v>
      </c>
    </row>
    <row r="16165" spans="129:129" x14ac:dyDescent="0.2">
      <c r="DY16165" s="185" t="s">
        <v>215</v>
      </c>
    </row>
    <row r="16166" spans="129:129" x14ac:dyDescent="0.2">
      <c r="DY16166" s="185" t="s">
        <v>215</v>
      </c>
    </row>
    <row r="16167" spans="129:129" x14ac:dyDescent="0.2">
      <c r="DY16167" s="185" t="s">
        <v>215</v>
      </c>
    </row>
    <row r="16168" spans="129:129" x14ac:dyDescent="0.2">
      <c r="DY16168" s="185" t="s">
        <v>215</v>
      </c>
    </row>
    <row r="16169" spans="129:129" x14ac:dyDescent="0.2">
      <c r="DY16169" s="185" t="s">
        <v>215</v>
      </c>
    </row>
    <row r="16170" spans="129:129" x14ac:dyDescent="0.2">
      <c r="DY16170" s="185" t="s">
        <v>215</v>
      </c>
    </row>
    <row r="16171" spans="129:129" x14ac:dyDescent="0.2">
      <c r="DY16171" s="185" t="s">
        <v>215</v>
      </c>
    </row>
    <row r="16172" spans="129:129" x14ac:dyDescent="0.2">
      <c r="DY16172" s="185" t="s">
        <v>215</v>
      </c>
    </row>
    <row r="16173" spans="129:129" x14ac:dyDescent="0.2">
      <c r="DY16173" s="185" t="s">
        <v>215</v>
      </c>
    </row>
    <row r="16174" spans="129:129" x14ac:dyDescent="0.2">
      <c r="DY16174" s="185" t="s">
        <v>215</v>
      </c>
    </row>
    <row r="16175" spans="129:129" x14ac:dyDescent="0.2">
      <c r="DY16175" s="185" t="s">
        <v>215</v>
      </c>
    </row>
    <row r="16176" spans="129:129" x14ac:dyDescent="0.2">
      <c r="DY16176" s="185" t="s">
        <v>215</v>
      </c>
    </row>
    <row r="16177" spans="129:129" x14ac:dyDescent="0.2">
      <c r="DY16177" s="185" t="s">
        <v>215</v>
      </c>
    </row>
    <row r="16178" spans="129:129" x14ac:dyDescent="0.2">
      <c r="DY16178" s="185" t="s">
        <v>215</v>
      </c>
    </row>
    <row r="16179" spans="129:129" x14ac:dyDescent="0.2">
      <c r="DY16179" s="185" t="s">
        <v>215</v>
      </c>
    </row>
    <row r="16180" spans="129:129" x14ac:dyDescent="0.2">
      <c r="DY16180" s="185" t="s">
        <v>215</v>
      </c>
    </row>
    <row r="16181" spans="129:129" x14ac:dyDescent="0.2">
      <c r="DY16181" s="185" t="s">
        <v>215</v>
      </c>
    </row>
    <row r="16182" spans="129:129" x14ac:dyDescent="0.2">
      <c r="DY16182" s="185" t="s">
        <v>215</v>
      </c>
    </row>
    <row r="16183" spans="129:129" x14ac:dyDescent="0.2">
      <c r="DY16183" s="185" t="s">
        <v>215</v>
      </c>
    </row>
    <row r="16184" spans="129:129" x14ac:dyDescent="0.2">
      <c r="DY16184" s="185" t="s">
        <v>215</v>
      </c>
    </row>
    <row r="16185" spans="129:129" x14ac:dyDescent="0.2">
      <c r="DY16185" s="185" t="s">
        <v>215</v>
      </c>
    </row>
    <row r="16186" spans="129:129" x14ac:dyDescent="0.2">
      <c r="DY16186" s="185" t="s">
        <v>215</v>
      </c>
    </row>
    <row r="16187" spans="129:129" x14ac:dyDescent="0.2">
      <c r="DY16187" s="185" t="s">
        <v>215</v>
      </c>
    </row>
    <row r="16188" spans="129:129" x14ac:dyDescent="0.2">
      <c r="DY16188" s="185" t="s">
        <v>215</v>
      </c>
    </row>
    <row r="16189" spans="129:129" x14ac:dyDescent="0.2">
      <c r="DY16189" s="185" t="s">
        <v>215</v>
      </c>
    </row>
    <row r="16190" spans="129:129" x14ac:dyDescent="0.2">
      <c r="DY16190" s="185" t="s">
        <v>215</v>
      </c>
    </row>
    <row r="16191" spans="129:129" x14ac:dyDescent="0.2">
      <c r="DY16191" s="185" t="s">
        <v>215</v>
      </c>
    </row>
    <row r="16192" spans="129:129" x14ac:dyDescent="0.2">
      <c r="DY16192" s="185" t="s">
        <v>215</v>
      </c>
    </row>
    <row r="16193" spans="129:129" x14ac:dyDescent="0.2">
      <c r="DY16193" s="185" t="s">
        <v>215</v>
      </c>
    </row>
    <row r="16194" spans="129:129" x14ac:dyDescent="0.2">
      <c r="DY16194" s="185" t="s">
        <v>215</v>
      </c>
    </row>
    <row r="16195" spans="129:129" x14ac:dyDescent="0.2">
      <c r="DY16195" s="185" t="s">
        <v>215</v>
      </c>
    </row>
    <row r="16196" spans="129:129" x14ac:dyDescent="0.2">
      <c r="DY16196" s="185" t="s">
        <v>215</v>
      </c>
    </row>
    <row r="16197" spans="129:129" x14ac:dyDescent="0.2">
      <c r="DY16197" s="185" t="s">
        <v>215</v>
      </c>
    </row>
    <row r="16198" spans="129:129" x14ac:dyDescent="0.2">
      <c r="DY16198" s="185" t="s">
        <v>215</v>
      </c>
    </row>
    <row r="16199" spans="129:129" x14ac:dyDescent="0.2">
      <c r="DY16199" s="185" t="s">
        <v>215</v>
      </c>
    </row>
    <row r="16200" spans="129:129" x14ac:dyDescent="0.2">
      <c r="DY16200" s="185" t="s">
        <v>215</v>
      </c>
    </row>
    <row r="16201" spans="129:129" x14ac:dyDescent="0.2">
      <c r="DY16201" s="185" t="s">
        <v>215</v>
      </c>
    </row>
    <row r="16202" spans="129:129" x14ac:dyDescent="0.2">
      <c r="DY16202" s="185" t="s">
        <v>215</v>
      </c>
    </row>
    <row r="16203" spans="129:129" x14ac:dyDescent="0.2">
      <c r="DY16203" s="185" t="s">
        <v>215</v>
      </c>
    </row>
    <row r="16204" spans="129:129" x14ac:dyDescent="0.2">
      <c r="DY16204" s="185" t="s">
        <v>215</v>
      </c>
    </row>
    <row r="16205" spans="129:129" x14ac:dyDescent="0.2">
      <c r="DY16205" s="185" t="s">
        <v>215</v>
      </c>
    </row>
    <row r="16206" spans="129:129" x14ac:dyDescent="0.2">
      <c r="DY16206" s="185" t="s">
        <v>215</v>
      </c>
    </row>
    <row r="16207" spans="129:129" x14ac:dyDescent="0.2">
      <c r="DY16207" s="185" t="s">
        <v>215</v>
      </c>
    </row>
    <row r="16208" spans="129:129" x14ac:dyDescent="0.2">
      <c r="DY16208" s="185" t="s">
        <v>215</v>
      </c>
    </row>
    <row r="16209" spans="129:129" x14ac:dyDescent="0.2">
      <c r="DY16209" s="185" t="s">
        <v>215</v>
      </c>
    </row>
    <row r="16210" spans="129:129" x14ac:dyDescent="0.2">
      <c r="DY16210" s="185" t="s">
        <v>215</v>
      </c>
    </row>
    <row r="16211" spans="129:129" x14ac:dyDescent="0.2">
      <c r="DY16211" s="185" t="s">
        <v>215</v>
      </c>
    </row>
    <row r="16212" spans="129:129" x14ac:dyDescent="0.2">
      <c r="DY16212" s="185" t="s">
        <v>215</v>
      </c>
    </row>
    <row r="16213" spans="129:129" x14ac:dyDescent="0.2">
      <c r="DY16213" s="185" t="s">
        <v>215</v>
      </c>
    </row>
    <row r="16214" spans="129:129" x14ac:dyDescent="0.2">
      <c r="DY16214" s="185" t="s">
        <v>215</v>
      </c>
    </row>
    <row r="16215" spans="129:129" x14ac:dyDescent="0.2">
      <c r="DY16215" s="185" t="s">
        <v>215</v>
      </c>
    </row>
    <row r="16216" spans="129:129" x14ac:dyDescent="0.2">
      <c r="DY16216" s="185" t="s">
        <v>215</v>
      </c>
    </row>
    <row r="16217" spans="129:129" x14ac:dyDescent="0.2">
      <c r="DY16217" s="185" t="s">
        <v>215</v>
      </c>
    </row>
    <row r="16218" spans="129:129" x14ac:dyDescent="0.2">
      <c r="DY16218" s="185" t="s">
        <v>215</v>
      </c>
    </row>
    <row r="16219" spans="129:129" x14ac:dyDescent="0.2">
      <c r="DY16219" s="185" t="s">
        <v>215</v>
      </c>
    </row>
    <row r="16220" spans="129:129" x14ac:dyDescent="0.2">
      <c r="DY16220" s="185" t="s">
        <v>215</v>
      </c>
    </row>
    <row r="16221" spans="129:129" x14ac:dyDescent="0.2">
      <c r="DY16221" s="185" t="s">
        <v>215</v>
      </c>
    </row>
    <row r="16222" spans="129:129" x14ac:dyDescent="0.2">
      <c r="DY16222" s="185" t="s">
        <v>215</v>
      </c>
    </row>
    <row r="16223" spans="129:129" x14ac:dyDescent="0.2">
      <c r="DY16223" s="185" t="s">
        <v>215</v>
      </c>
    </row>
    <row r="16224" spans="129:129" x14ac:dyDescent="0.2">
      <c r="DY16224" s="185" t="s">
        <v>215</v>
      </c>
    </row>
    <row r="16225" spans="129:129" x14ac:dyDescent="0.2">
      <c r="DY16225" s="185" t="s">
        <v>215</v>
      </c>
    </row>
    <row r="16226" spans="129:129" x14ac:dyDescent="0.2">
      <c r="DY16226" s="185" t="s">
        <v>215</v>
      </c>
    </row>
    <row r="16227" spans="129:129" x14ac:dyDescent="0.2">
      <c r="DY16227" s="185" t="s">
        <v>215</v>
      </c>
    </row>
    <row r="16228" spans="129:129" x14ac:dyDescent="0.2">
      <c r="DY16228" s="185" t="s">
        <v>215</v>
      </c>
    </row>
    <row r="16229" spans="129:129" x14ac:dyDescent="0.2">
      <c r="DY16229" s="185" t="s">
        <v>215</v>
      </c>
    </row>
    <row r="16230" spans="129:129" x14ac:dyDescent="0.2">
      <c r="DY16230" s="185" t="s">
        <v>215</v>
      </c>
    </row>
    <row r="16231" spans="129:129" x14ac:dyDescent="0.2">
      <c r="DY16231" s="185" t="s">
        <v>215</v>
      </c>
    </row>
    <row r="16232" spans="129:129" x14ac:dyDescent="0.2">
      <c r="DY16232" s="185" t="s">
        <v>215</v>
      </c>
    </row>
    <row r="16233" spans="129:129" x14ac:dyDescent="0.2">
      <c r="DY16233" s="185" t="s">
        <v>215</v>
      </c>
    </row>
    <row r="16234" spans="129:129" x14ac:dyDescent="0.2">
      <c r="DY16234" s="185" t="s">
        <v>215</v>
      </c>
    </row>
    <row r="16235" spans="129:129" x14ac:dyDescent="0.2">
      <c r="DY16235" s="185" t="s">
        <v>215</v>
      </c>
    </row>
    <row r="16236" spans="129:129" x14ac:dyDescent="0.2">
      <c r="DY16236" s="185" t="s">
        <v>215</v>
      </c>
    </row>
    <row r="16237" spans="129:129" x14ac:dyDescent="0.2">
      <c r="DY16237" s="185" t="s">
        <v>215</v>
      </c>
    </row>
    <row r="16238" spans="129:129" x14ac:dyDescent="0.2">
      <c r="DY16238" s="185" t="s">
        <v>215</v>
      </c>
    </row>
    <row r="16239" spans="129:129" x14ac:dyDescent="0.2">
      <c r="DY16239" s="185" t="s">
        <v>215</v>
      </c>
    </row>
    <row r="16240" spans="129:129" x14ac:dyDescent="0.2">
      <c r="DY16240" s="185" t="s">
        <v>215</v>
      </c>
    </row>
    <row r="16241" spans="129:129" x14ac:dyDescent="0.2">
      <c r="DY16241" s="185" t="s">
        <v>215</v>
      </c>
    </row>
    <row r="16242" spans="129:129" x14ac:dyDescent="0.2">
      <c r="DY16242" s="185" t="s">
        <v>215</v>
      </c>
    </row>
    <row r="16243" spans="129:129" x14ac:dyDescent="0.2">
      <c r="DY16243" s="185" t="s">
        <v>215</v>
      </c>
    </row>
    <row r="16244" spans="129:129" x14ac:dyDescent="0.2">
      <c r="DY16244" s="185" t="s">
        <v>215</v>
      </c>
    </row>
    <row r="16245" spans="129:129" x14ac:dyDescent="0.2">
      <c r="DY16245" s="185" t="s">
        <v>215</v>
      </c>
    </row>
    <row r="16246" spans="129:129" x14ac:dyDescent="0.2">
      <c r="DY16246" s="185" t="s">
        <v>215</v>
      </c>
    </row>
    <row r="16247" spans="129:129" x14ac:dyDescent="0.2">
      <c r="DY16247" s="185" t="s">
        <v>215</v>
      </c>
    </row>
    <row r="16248" spans="129:129" x14ac:dyDescent="0.2">
      <c r="DY16248" s="185" t="s">
        <v>215</v>
      </c>
    </row>
    <row r="16249" spans="129:129" x14ac:dyDescent="0.2">
      <c r="DY16249" s="185" t="s">
        <v>215</v>
      </c>
    </row>
    <row r="16250" spans="129:129" x14ac:dyDescent="0.2">
      <c r="DY16250" s="185" t="s">
        <v>215</v>
      </c>
    </row>
    <row r="16251" spans="129:129" x14ac:dyDescent="0.2">
      <c r="DY16251" s="185" t="s">
        <v>215</v>
      </c>
    </row>
    <row r="16252" spans="129:129" x14ac:dyDescent="0.2">
      <c r="DY16252" s="185" t="s">
        <v>215</v>
      </c>
    </row>
    <row r="16253" spans="129:129" x14ac:dyDescent="0.2">
      <c r="DY16253" s="185" t="s">
        <v>215</v>
      </c>
    </row>
    <row r="16254" spans="129:129" x14ac:dyDescent="0.2">
      <c r="DY16254" s="185" t="s">
        <v>215</v>
      </c>
    </row>
    <row r="16255" spans="129:129" x14ac:dyDescent="0.2">
      <c r="DY16255" s="185" t="s">
        <v>215</v>
      </c>
    </row>
    <row r="16256" spans="129:129" x14ac:dyDescent="0.2">
      <c r="DY16256" s="185" t="s">
        <v>215</v>
      </c>
    </row>
    <row r="16257" spans="129:129" x14ac:dyDescent="0.2">
      <c r="DY16257" s="185" t="s">
        <v>215</v>
      </c>
    </row>
    <row r="16258" spans="129:129" x14ac:dyDescent="0.2">
      <c r="DY16258" s="185" t="s">
        <v>215</v>
      </c>
    </row>
    <row r="16259" spans="129:129" x14ac:dyDescent="0.2">
      <c r="DY16259" s="185" t="s">
        <v>215</v>
      </c>
    </row>
    <row r="16260" spans="129:129" x14ac:dyDescent="0.2">
      <c r="DY16260" s="185" t="s">
        <v>215</v>
      </c>
    </row>
    <row r="16261" spans="129:129" x14ac:dyDescent="0.2">
      <c r="DY16261" s="185" t="s">
        <v>215</v>
      </c>
    </row>
    <row r="16262" spans="129:129" x14ac:dyDescent="0.2">
      <c r="DY16262" s="185" t="s">
        <v>215</v>
      </c>
    </row>
    <row r="16263" spans="129:129" x14ac:dyDescent="0.2">
      <c r="DY16263" s="185" t="s">
        <v>215</v>
      </c>
    </row>
    <row r="16264" spans="129:129" x14ac:dyDescent="0.2">
      <c r="DY16264" s="185" t="s">
        <v>215</v>
      </c>
    </row>
    <row r="16265" spans="129:129" x14ac:dyDescent="0.2">
      <c r="DY16265" s="185" t="s">
        <v>215</v>
      </c>
    </row>
    <row r="16266" spans="129:129" x14ac:dyDescent="0.2">
      <c r="DY16266" s="185" t="s">
        <v>215</v>
      </c>
    </row>
    <row r="16267" spans="129:129" x14ac:dyDescent="0.2">
      <c r="DY16267" s="185" t="s">
        <v>215</v>
      </c>
    </row>
    <row r="16268" spans="129:129" x14ac:dyDescent="0.2">
      <c r="DY16268" s="185" t="s">
        <v>215</v>
      </c>
    </row>
    <row r="16269" spans="129:129" x14ac:dyDescent="0.2">
      <c r="DY16269" s="185" t="s">
        <v>215</v>
      </c>
    </row>
    <row r="16270" spans="129:129" x14ac:dyDescent="0.2">
      <c r="DY16270" s="185" t="s">
        <v>215</v>
      </c>
    </row>
    <row r="16271" spans="129:129" x14ac:dyDescent="0.2">
      <c r="DY16271" s="185" t="s">
        <v>215</v>
      </c>
    </row>
    <row r="16272" spans="129:129" x14ac:dyDescent="0.2">
      <c r="DY16272" s="185" t="s">
        <v>215</v>
      </c>
    </row>
    <row r="16273" spans="129:129" x14ac:dyDescent="0.2">
      <c r="DY16273" s="185" t="s">
        <v>215</v>
      </c>
    </row>
    <row r="16274" spans="129:129" x14ac:dyDescent="0.2">
      <c r="DY16274" s="185" t="s">
        <v>215</v>
      </c>
    </row>
    <row r="16275" spans="129:129" x14ac:dyDescent="0.2">
      <c r="DY16275" s="185" t="s">
        <v>215</v>
      </c>
    </row>
    <row r="16276" spans="129:129" x14ac:dyDescent="0.2">
      <c r="DY16276" s="185" t="s">
        <v>215</v>
      </c>
    </row>
    <row r="16277" spans="129:129" x14ac:dyDescent="0.2">
      <c r="DY16277" s="185" t="s">
        <v>215</v>
      </c>
    </row>
    <row r="16278" spans="129:129" x14ac:dyDescent="0.2">
      <c r="DY16278" s="185" t="s">
        <v>215</v>
      </c>
    </row>
    <row r="16279" spans="129:129" x14ac:dyDescent="0.2">
      <c r="DY16279" s="185" t="s">
        <v>215</v>
      </c>
    </row>
    <row r="16280" spans="129:129" x14ac:dyDescent="0.2">
      <c r="DY16280" s="185" t="s">
        <v>215</v>
      </c>
    </row>
    <row r="16281" spans="129:129" x14ac:dyDescent="0.2">
      <c r="DY16281" s="185" t="s">
        <v>215</v>
      </c>
    </row>
    <row r="16282" spans="129:129" x14ac:dyDescent="0.2">
      <c r="DY16282" s="185" t="s">
        <v>215</v>
      </c>
    </row>
    <row r="16283" spans="129:129" x14ac:dyDescent="0.2">
      <c r="DY16283" s="185" t="s">
        <v>215</v>
      </c>
    </row>
    <row r="16284" spans="129:129" x14ac:dyDescent="0.2">
      <c r="DY16284" s="185" t="s">
        <v>215</v>
      </c>
    </row>
    <row r="16285" spans="129:129" x14ac:dyDescent="0.2">
      <c r="DY16285" s="185" t="s">
        <v>215</v>
      </c>
    </row>
    <row r="16286" spans="129:129" x14ac:dyDescent="0.2">
      <c r="DY16286" s="185" t="s">
        <v>215</v>
      </c>
    </row>
    <row r="16287" spans="129:129" x14ac:dyDescent="0.2">
      <c r="DY16287" s="185" t="s">
        <v>215</v>
      </c>
    </row>
    <row r="16288" spans="129:129" x14ac:dyDescent="0.2">
      <c r="DY16288" s="185" t="s">
        <v>215</v>
      </c>
    </row>
    <row r="16289" spans="129:129" x14ac:dyDescent="0.2">
      <c r="DY16289" s="185" t="s">
        <v>215</v>
      </c>
    </row>
    <row r="16290" spans="129:129" x14ac:dyDescent="0.2">
      <c r="DY16290" s="185" t="s">
        <v>215</v>
      </c>
    </row>
    <row r="16291" spans="129:129" x14ac:dyDescent="0.2">
      <c r="DY16291" s="185" t="s">
        <v>215</v>
      </c>
    </row>
    <row r="16292" spans="129:129" x14ac:dyDescent="0.2">
      <c r="DY16292" s="185" t="s">
        <v>215</v>
      </c>
    </row>
    <row r="16293" spans="129:129" x14ac:dyDescent="0.2">
      <c r="DY16293" s="185" t="s">
        <v>215</v>
      </c>
    </row>
    <row r="16294" spans="129:129" x14ac:dyDescent="0.2">
      <c r="DY16294" s="185" t="s">
        <v>215</v>
      </c>
    </row>
    <row r="16295" spans="129:129" x14ac:dyDescent="0.2">
      <c r="DY16295" s="185" t="s">
        <v>215</v>
      </c>
    </row>
    <row r="16296" spans="129:129" x14ac:dyDescent="0.2">
      <c r="DY16296" s="185" t="s">
        <v>215</v>
      </c>
    </row>
    <row r="16297" spans="129:129" x14ac:dyDescent="0.2">
      <c r="DY16297" s="185" t="s">
        <v>215</v>
      </c>
    </row>
    <row r="16298" spans="129:129" x14ac:dyDescent="0.2">
      <c r="DY16298" s="185" t="s">
        <v>215</v>
      </c>
    </row>
    <row r="16299" spans="129:129" x14ac:dyDescent="0.2">
      <c r="DY16299" s="185" t="s">
        <v>215</v>
      </c>
    </row>
    <row r="16300" spans="129:129" x14ac:dyDescent="0.2">
      <c r="DY16300" s="185" t="s">
        <v>215</v>
      </c>
    </row>
    <row r="16301" spans="129:129" x14ac:dyDescent="0.2">
      <c r="DY16301" s="185" t="s">
        <v>215</v>
      </c>
    </row>
    <row r="16302" spans="129:129" x14ac:dyDescent="0.2">
      <c r="DY16302" s="185" t="s">
        <v>215</v>
      </c>
    </row>
    <row r="16303" spans="129:129" x14ac:dyDescent="0.2">
      <c r="DY16303" s="185" t="s">
        <v>215</v>
      </c>
    </row>
    <row r="16304" spans="129:129" x14ac:dyDescent="0.2">
      <c r="DY16304" s="185" t="s">
        <v>215</v>
      </c>
    </row>
    <row r="16305" spans="129:129" x14ac:dyDescent="0.2">
      <c r="DY16305" s="185" t="s">
        <v>215</v>
      </c>
    </row>
    <row r="16306" spans="129:129" x14ac:dyDescent="0.2">
      <c r="DY16306" s="185" t="s">
        <v>215</v>
      </c>
    </row>
    <row r="16307" spans="129:129" x14ac:dyDescent="0.2">
      <c r="DY16307" s="185" t="s">
        <v>215</v>
      </c>
    </row>
    <row r="16308" spans="129:129" x14ac:dyDescent="0.2">
      <c r="DY16308" s="185" t="s">
        <v>215</v>
      </c>
    </row>
    <row r="16309" spans="129:129" x14ac:dyDescent="0.2">
      <c r="DY16309" s="185" t="s">
        <v>215</v>
      </c>
    </row>
    <row r="16310" spans="129:129" x14ac:dyDescent="0.2">
      <c r="DY16310" s="185" t="s">
        <v>215</v>
      </c>
    </row>
    <row r="16311" spans="129:129" x14ac:dyDescent="0.2">
      <c r="DY16311" s="185" t="s">
        <v>215</v>
      </c>
    </row>
    <row r="16312" spans="129:129" x14ac:dyDescent="0.2">
      <c r="DY16312" s="185" t="s">
        <v>215</v>
      </c>
    </row>
    <row r="16313" spans="129:129" x14ac:dyDescent="0.2">
      <c r="DY16313" s="185" t="s">
        <v>215</v>
      </c>
    </row>
    <row r="16314" spans="129:129" x14ac:dyDescent="0.2">
      <c r="DY16314" s="185" t="s">
        <v>215</v>
      </c>
    </row>
    <row r="16315" spans="129:129" x14ac:dyDescent="0.2">
      <c r="DY16315" s="185" t="s">
        <v>215</v>
      </c>
    </row>
    <row r="16316" spans="129:129" x14ac:dyDescent="0.2">
      <c r="DY16316" s="185" t="s">
        <v>215</v>
      </c>
    </row>
    <row r="16317" spans="129:129" x14ac:dyDescent="0.2">
      <c r="DY16317" s="185" t="s">
        <v>215</v>
      </c>
    </row>
    <row r="16318" spans="129:129" x14ac:dyDescent="0.2">
      <c r="DY16318" s="185" t="s">
        <v>215</v>
      </c>
    </row>
    <row r="16319" spans="129:129" x14ac:dyDescent="0.2">
      <c r="DY16319" s="185" t="s">
        <v>215</v>
      </c>
    </row>
    <row r="16320" spans="129:129" x14ac:dyDescent="0.2">
      <c r="DY16320" s="185" t="s">
        <v>215</v>
      </c>
    </row>
    <row r="16321" spans="129:129" x14ac:dyDescent="0.2">
      <c r="DY16321" s="185" t="s">
        <v>215</v>
      </c>
    </row>
    <row r="16322" spans="129:129" x14ac:dyDescent="0.2">
      <c r="DY16322" s="185" t="s">
        <v>215</v>
      </c>
    </row>
    <row r="16323" spans="129:129" x14ac:dyDescent="0.2">
      <c r="DY16323" s="185" t="s">
        <v>215</v>
      </c>
    </row>
    <row r="16324" spans="129:129" x14ac:dyDescent="0.2">
      <c r="DY16324" s="185" t="s">
        <v>215</v>
      </c>
    </row>
    <row r="16325" spans="129:129" x14ac:dyDescent="0.2">
      <c r="DY16325" s="185" t="s">
        <v>215</v>
      </c>
    </row>
    <row r="16326" spans="129:129" x14ac:dyDescent="0.2">
      <c r="DY16326" s="185" t="s">
        <v>215</v>
      </c>
    </row>
    <row r="16327" spans="129:129" x14ac:dyDescent="0.2">
      <c r="DY16327" s="185" t="s">
        <v>215</v>
      </c>
    </row>
    <row r="16328" spans="129:129" x14ac:dyDescent="0.2">
      <c r="DY16328" s="185" t="s">
        <v>215</v>
      </c>
    </row>
    <row r="16329" spans="129:129" x14ac:dyDescent="0.2">
      <c r="DY16329" s="185" t="s">
        <v>215</v>
      </c>
    </row>
    <row r="16330" spans="129:129" x14ac:dyDescent="0.2">
      <c r="DY16330" s="185" t="s">
        <v>215</v>
      </c>
    </row>
    <row r="16331" spans="129:129" x14ac:dyDescent="0.2">
      <c r="DY16331" s="185" t="s">
        <v>215</v>
      </c>
    </row>
    <row r="16332" spans="129:129" x14ac:dyDescent="0.2">
      <c r="DY16332" s="185" t="s">
        <v>215</v>
      </c>
    </row>
    <row r="16333" spans="129:129" x14ac:dyDescent="0.2">
      <c r="DY16333" s="185" t="s">
        <v>215</v>
      </c>
    </row>
    <row r="16334" spans="129:129" x14ac:dyDescent="0.2">
      <c r="DY16334" s="185" t="s">
        <v>215</v>
      </c>
    </row>
    <row r="16335" spans="129:129" x14ac:dyDescent="0.2">
      <c r="DY16335" s="185" t="s">
        <v>215</v>
      </c>
    </row>
    <row r="16336" spans="129:129" x14ac:dyDescent="0.2">
      <c r="DY16336" s="185" t="s">
        <v>215</v>
      </c>
    </row>
    <row r="16337" spans="129:129" x14ac:dyDescent="0.2">
      <c r="DY16337" s="185" t="s">
        <v>215</v>
      </c>
    </row>
    <row r="16338" spans="129:129" x14ac:dyDescent="0.2">
      <c r="DY16338" s="185" t="s">
        <v>215</v>
      </c>
    </row>
    <row r="16339" spans="129:129" x14ac:dyDescent="0.2">
      <c r="DY16339" s="185" t="s">
        <v>215</v>
      </c>
    </row>
    <row r="16340" spans="129:129" x14ac:dyDescent="0.2">
      <c r="DY16340" s="185" t="s">
        <v>215</v>
      </c>
    </row>
    <row r="16341" spans="129:129" x14ac:dyDescent="0.2">
      <c r="DY16341" s="185" t="s">
        <v>215</v>
      </c>
    </row>
    <row r="16342" spans="129:129" x14ac:dyDescent="0.2">
      <c r="DY16342" s="185" t="s">
        <v>215</v>
      </c>
    </row>
    <row r="16343" spans="129:129" x14ac:dyDescent="0.2">
      <c r="DY16343" s="185" t="s">
        <v>215</v>
      </c>
    </row>
    <row r="16344" spans="129:129" x14ac:dyDescent="0.2">
      <c r="DY16344" s="185" t="s">
        <v>215</v>
      </c>
    </row>
    <row r="16345" spans="129:129" x14ac:dyDescent="0.2">
      <c r="DY16345" s="185" t="s">
        <v>215</v>
      </c>
    </row>
    <row r="16346" spans="129:129" x14ac:dyDescent="0.2">
      <c r="DY16346" s="185" t="s">
        <v>215</v>
      </c>
    </row>
    <row r="16347" spans="129:129" x14ac:dyDescent="0.2">
      <c r="DY16347" s="185" t="s">
        <v>215</v>
      </c>
    </row>
    <row r="16348" spans="129:129" x14ac:dyDescent="0.2">
      <c r="DY16348" s="185" t="s">
        <v>215</v>
      </c>
    </row>
    <row r="16349" spans="129:129" x14ac:dyDescent="0.2">
      <c r="DY16349" s="185" t="s">
        <v>215</v>
      </c>
    </row>
    <row r="16350" spans="129:129" x14ac:dyDescent="0.2">
      <c r="DY16350" s="185" t="s">
        <v>215</v>
      </c>
    </row>
    <row r="16351" spans="129:129" x14ac:dyDescent="0.2">
      <c r="DY16351" s="185" t="s">
        <v>215</v>
      </c>
    </row>
    <row r="16352" spans="129:129" x14ac:dyDescent="0.2">
      <c r="DY16352" s="185" t="s">
        <v>215</v>
      </c>
    </row>
    <row r="16353" spans="129:129" x14ac:dyDescent="0.2">
      <c r="DY16353" s="185" t="s">
        <v>215</v>
      </c>
    </row>
    <row r="16354" spans="129:129" x14ac:dyDescent="0.2">
      <c r="DY16354" s="185" t="s">
        <v>215</v>
      </c>
    </row>
    <row r="16355" spans="129:129" x14ac:dyDescent="0.2">
      <c r="DY16355" s="185" t="s">
        <v>215</v>
      </c>
    </row>
    <row r="16356" spans="129:129" x14ac:dyDescent="0.2">
      <c r="DY16356" s="185" t="s">
        <v>215</v>
      </c>
    </row>
    <row r="16357" spans="129:129" x14ac:dyDescent="0.2">
      <c r="DY16357" s="185" t="s">
        <v>215</v>
      </c>
    </row>
    <row r="16358" spans="129:129" x14ac:dyDescent="0.2">
      <c r="DY16358" s="185" t="s">
        <v>215</v>
      </c>
    </row>
    <row r="16359" spans="129:129" x14ac:dyDescent="0.2">
      <c r="DY16359" s="185" t="s">
        <v>215</v>
      </c>
    </row>
    <row r="16360" spans="129:129" x14ac:dyDescent="0.2">
      <c r="DY16360" s="185" t="s">
        <v>215</v>
      </c>
    </row>
    <row r="16361" spans="129:129" x14ac:dyDescent="0.2">
      <c r="DY16361" s="185" t="s">
        <v>215</v>
      </c>
    </row>
    <row r="16362" spans="129:129" x14ac:dyDescent="0.2">
      <c r="DY16362" s="185" t="s">
        <v>215</v>
      </c>
    </row>
    <row r="16363" spans="129:129" x14ac:dyDescent="0.2">
      <c r="DY16363" s="185" t="s">
        <v>215</v>
      </c>
    </row>
    <row r="16364" spans="129:129" x14ac:dyDescent="0.2">
      <c r="DY16364" s="185" t="s">
        <v>215</v>
      </c>
    </row>
    <row r="16365" spans="129:129" x14ac:dyDescent="0.2">
      <c r="DY16365" s="185" t="s">
        <v>215</v>
      </c>
    </row>
    <row r="16366" spans="129:129" x14ac:dyDescent="0.2">
      <c r="DY16366" s="185" t="s">
        <v>215</v>
      </c>
    </row>
    <row r="16367" spans="129:129" x14ac:dyDescent="0.2">
      <c r="DY16367" s="185" t="s">
        <v>215</v>
      </c>
    </row>
    <row r="16368" spans="129:129" x14ac:dyDescent="0.2">
      <c r="DY16368" s="185" t="s">
        <v>215</v>
      </c>
    </row>
    <row r="16369" spans="129:129" x14ac:dyDescent="0.2">
      <c r="DY16369" s="185" t="s">
        <v>215</v>
      </c>
    </row>
    <row r="16370" spans="129:129" x14ac:dyDescent="0.2">
      <c r="DY16370" s="185" t="s">
        <v>215</v>
      </c>
    </row>
    <row r="16371" spans="129:129" x14ac:dyDescent="0.2">
      <c r="DY16371" s="185" t="s">
        <v>215</v>
      </c>
    </row>
    <row r="16372" spans="129:129" x14ac:dyDescent="0.2">
      <c r="DY16372" s="185" t="s">
        <v>215</v>
      </c>
    </row>
    <row r="16373" spans="129:129" x14ac:dyDescent="0.2">
      <c r="DY16373" s="185" t="s">
        <v>215</v>
      </c>
    </row>
    <row r="16374" spans="129:129" x14ac:dyDescent="0.2">
      <c r="DY16374" s="185" t="s">
        <v>215</v>
      </c>
    </row>
    <row r="16375" spans="129:129" x14ac:dyDescent="0.2">
      <c r="DY16375" s="185" t="s">
        <v>215</v>
      </c>
    </row>
    <row r="16376" spans="129:129" x14ac:dyDescent="0.2">
      <c r="DY16376" s="185" t="s">
        <v>215</v>
      </c>
    </row>
    <row r="16377" spans="129:129" x14ac:dyDescent="0.2">
      <c r="DY16377" s="185" t="s">
        <v>215</v>
      </c>
    </row>
    <row r="16378" spans="129:129" x14ac:dyDescent="0.2">
      <c r="DY16378" s="185" t="s">
        <v>215</v>
      </c>
    </row>
    <row r="16379" spans="129:129" x14ac:dyDescent="0.2">
      <c r="DY16379" s="185" t="s">
        <v>215</v>
      </c>
    </row>
    <row r="16380" spans="129:129" x14ac:dyDescent="0.2">
      <c r="DY16380" s="185" t="s">
        <v>215</v>
      </c>
    </row>
    <row r="16381" spans="129:129" x14ac:dyDescent="0.2">
      <c r="DY16381" s="185" t="s">
        <v>215</v>
      </c>
    </row>
    <row r="16382" spans="129:129" x14ac:dyDescent="0.2">
      <c r="DY16382" s="185" t="s">
        <v>215</v>
      </c>
    </row>
    <row r="16383" spans="129:129" x14ac:dyDescent="0.2">
      <c r="DY16383" s="185" t="s">
        <v>215</v>
      </c>
    </row>
    <row r="16384" spans="129:129" x14ac:dyDescent="0.2">
      <c r="DY16384" s="185" t="s">
        <v>215</v>
      </c>
    </row>
    <row r="16385" spans="129:129" x14ac:dyDescent="0.2">
      <c r="DY16385" s="185" t="s">
        <v>215</v>
      </c>
    </row>
    <row r="16386" spans="129:129" x14ac:dyDescent="0.2">
      <c r="DY16386" s="185" t="s">
        <v>215</v>
      </c>
    </row>
    <row r="16387" spans="129:129" x14ac:dyDescent="0.2">
      <c r="DY16387" s="185" t="s">
        <v>215</v>
      </c>
    </row>
    <row r="16388" spans="129:129" x14ac:dyDescent="0.2">
      <c r="DY16388" s="185" t="s">
        <v>215</v>
      </c>
    </row>
    <row r="16389" spans="129:129" x14ac:dyDescent="0.2">
      <c r="DY16389" s="185" t="s">
        <v>215</v>
      </c>
    </row>
    <row r="16390" spans="129:129" x14ac:dyDescent="0.2">
      <c r="DY16390" s="185" t="s">
        <v>215</v>
      </c>
    </row>
    <row r="16391" spans="129:129" x14ac:dyDescent="0.2">
      <c r="DY16391" s="185" t="s">
        <v>215</v>
      </c>
    </row>
    <row r="16392" spans="129:129" x14ac:dyDescent="0.2">
      <c r="DY16392" s="185" t="s">
        <v>215</v>
      </c>
    </row>
    <row r="16393" spans="129:129" x14ac:dyDescent="0.2">
      <c r="DY16393" s="185" t="s">
        <v>215</v>
      </c>
    </row>
    <row r="16394" spans="129:129" x14ac:dyDescent="0.2">
      <c r="DY16394" s="185" t="s">
        <v>215</v>
      </c>
    </row>
    <row r="16395" spans="129:129" x14ac:dyDescent="0.2">
      <c r="DY16395" s="185" t="s">
        <v>215</v>
      </c>
    </row>
    <row r="16396" spans="129:129" x14ac:dyDescent="0.2">
      <c r="DY16396" s="185" t="s">
        <v>215</v>
      </c>
    </row>
    <row r="16397" spans="129:129" x14ac:dyDescent="0.2">
      <c r="DY16397" s="185" t="s">
        <v>215</v>
      </c>
    </row>
    <row r="16398" spans="129:129" x14ac:dyDescent="0.2">
      <c r="DY16398" s="185" t="s">
        <v>215</v>
      </c>
    </row>
    <row r="16399" spans="129:129" x14ac:dyDescent="0.2">
      <c r="DY16399" s="185" t="s">
        <v>215</v>
      </c>
    </row>
    <row r="16400" spans="129:129" x14ac:dyDescent="0.2">
      <c r="DY16400" s="185" t="s">
        <v>215</v>
      </c>
    </row>
    <row r="16401" spans="129:129" x14ac:dyDescent="0.2">
      <c r="DY16401" s="185" t="s">
        <v>215</v>
      </c>
    </row>
    <row r="16402" spans="129:129" x14ac:dyDescent="0.2">
      <c r="DY16402" s="185" t="s">
        <v>215</v>
      </c>
    </row>
    <row r="16403" spans="129:129" x14ac:dyDescent="0.2">
      <c r="DY16403" s="185" t="s">
        <v>215</v>
      </c>
    </row>
    <row r="16404" spans="129:129" x14ac:dyDescent="0.2">
      <c r="DY16404" s="185" t="s">
        <v>215</v>
      </c>
    </row>
    <row r="16405" spans="129:129" x14ac:dyDescent="0.2">
      <c r="DY16405" s="185" t="s">
        <v>215</v>
      </c>
    </row>
    <row r="16406" spans="129:129" x14ac:dyDescent="0.2">
      <c r="DY16406" s="185" t="s">
        <v>215</v>
      </c>
    </row>
    <row r="16407" spans="129:129" x14ac:dyDescent="0.2">
      <c r="DY16407" s="185" t="s">
        <v>215</v>
      </c>
    </row>
    <row r="16408" spans="129:129" x14ac:dyDescent="0.2">
      <c r="DY16408" s="185" t="s">
        <v>215</v>
      </c>
    </row>
    <row r="16409" spans="129:129" x14ac:dyDescent="0.2">
      <c r="DY16409" s="185" t="s">
        <v>215</v>
      </c>
    </row>
    <row r="16410" spans="129:129" x14ac:dyDescent="0.2">
      <c r="DY16410" s="185" t="s">
        <v>215</v>
      </c>
    </row>
    <row r="16411" spans="129:129" x14ac:dyDescent="0.2">
      <c r="DY16411" s="185" t="s">
        <v>215</v>
      </c>
    </row>
    <row r="16412" spans="129:129" x14ac:dyDescent="0.2">
      <c r="DY16412" s="185" t="s">
        <v>215</v>
      </c>
    </row>
    <row r="16413" spans="129:129" x14ac:dyDescent="0.2">
      <c r="DY16413" s="185" t="s">
        <v>215</v>
      </c>
    </row>
    <row r="16414" spans="129:129" x14ac:dyDescent="0.2">
      <c r="DY16414" s="185" t="s">
        <v>215</v>
      </c>
    </row>
    <row r="16415" spans="129:129" x14ac:dyDescent="0.2">
      <c r="DY16415" s="185" t="s">
        <v>215</v>
      </c>
    </row>
    <row r="16416" spans="129:129" x14ac:dyDescent="0.2">
      <c r="DY16416" s="185" t="s">
        <v>215</v>
      </c>
    </row>
    <row r="16417" spans="129:129" x14ac:dyDescent="0.2">
      <c r="DY16417" s="185" t="s">
        <v>215</v>
      </c>
    </row>
    <row r="16418" spans="129:129" x14ac:dyDescent="0.2">
      <c r="DY16418" s="185" t="s">
        <v>215</v>
      </c>
    </row>
    <row r="16419" spans="129:129" x14ac:dyDescent="0.2">
      <c r="DY16419" s="185" t="s">
        <v>215</v>
      </c>
    </row>
    <row r="16420" spans="129:129" x14ac:dyDescent="0.2">
      <c r="DY16420" s="185" t="s">
        <v>215</v>
      </c>
    </row>
    <row r="16421" spans="129:129" x14ac:dyDescent="0.2">
      <c r="DY16421" s="185" t="s">
        <v>215</v>
      </c>
    </row>
    <row r="16422" spans="129:129" x14ac:dyDescent="0.2">
      <c r="DY16422" s="185" t="s">
        <v>215</v>
      </c>
    </row>
    <row r="16423" spans="129:129" x14ac:dyDescent="0.2">
      <c r="DY16423" s="185" t="s">
        <v>215</v>
      </c>
    </row>
    <row r="16424" spans="129:129" x14ac:dyDescent="0.2">
      <c r="DY16424" s="185" t="s">
        <v>215</v>
      </c>
    </row>
    <row r="16425" spans="129:129" x14ac:dyDescent="0.2">
      <c r="DY16425" s="185" t="s">
        <v>215</v>
      </c>
    </row>
    <row r="16426" spans="129:129" x14ac:dyDescent="0.2">
      <c r="DY16426" s="185" t="s">
        <v>215</v>
      </c>
    </row>
    <row r="16427" spans="129:129" x14ac:dyDescent="0.2">
      <c r="DY16427" s="185" t="s">
        <v>215</v>
      </c>
    </row>
    <row r="16428" spans="129:129" x14ac:dyDescent="0.2">
      <c r="DY16428" s="185" t="s">
        <v>215</v>
      </c>
    </row>
    <row r="16429" spans="129:129" x14ac:dyDescent="0.2">
      <c r="DY16429" s="185" t="s">
        <v>215</v>
      </c>
    </row>
    <row r="16430" spans="129:129" x14ac:dyDescent="0.2">
      <c r="DY16430" s="185" t="s">
        <v>215</v>
      </c>
    </row>
    <row r="16431" spans="129:129" x14ac:dyDescent="0.2">
      <c r="DY16431" s="185" t="s">
        <v>215</v>
      </c>
    </row>
    <row r="16432" spans="129:129" x14ac:dyDescent="0.2">
      <c r="DY16432" s="185" t="s">
        <v>215</v>
      </c>
    </row>
    <row r="16433" spans="129:129" x14ac:dyDescent="0.2">
      <c r="DY16433" s="185" t="s">
        <v>215</v>
      </c>
    </row>
    <row r="16434" spans="129:129" x14ac:dyDescent="0.2">
      <c r="DY16434" s="185" t="s">
        <v>215</v>
      </c>
    </row>
    <row r="16435" spans="129:129" x14ac:dyDescent="0.2">
      <c r="DY16435" s="185" t="s">
        <v>215</v>
      </c>
    </row>
    <row r="16436" spans="129:129" x14ac:dyDescent="0.2">
      <c r="DY16436" s="185" t="s">
        <v>215</v>
      </c>
    </row>
    <row r="16437" spans="129:129" x14ac:dyDescent="0.2">
      <c r="DY16437" s="185" t="s">
        <v>215</v>
      </c>
    </row>
    <row r="16438" spans="129:129" x14ac:dyDescent="0.2">
      <c r="DY16438" s="185" t="s">
        <v>215</v>
      </c>
    </row>
    <row r="16439" spans="129:129" x14ac:dyDescent="0.2">
      <c r="DY16439" s="185" t="s">
        <v>215</v>
      </c>
    </row>
    <row r="16440" spans="129:129" x14ac:dyDescent="0.2">
      <c r="DY16440" s="185" t="s">
        <v>215</v>
      </c>
    </row>
    <row r="16441" spans="129:129" x14ac:dyDescent="0.2">
      <c r="DY16441" s="185" t="s">
        <v>215</v>
      </c>
    </row>
    <row r="16442" spans="129:129" x14ac:dyDescent="0.2">
      <c r="DY16442" s="185" t="s">
        <v>215</v>
      </c>
    </row>
    <row r="16443" spans="129:129" x14ac:dyDescent="0.2">
      <c r="DY16443" s="185" t="s">
        <v>215</v>
      </c>
    </row>
    <row r="16444" spans="129:129" x14ac:dyDescent="0.2">
      <c r="DY16444" s="185" t="s">
        <v>215</v>
      </c>
    </row>
    <row r="16445" spans="129:129" x14ac:dyDescent="0.2">
      <c r="DY16445" s="185" t="s">
        <v>215</v>
      </c>
    </row>
    <row r="16446" spans="129:129" x14ac:dyDescent="0.2">
      <c r="DY16446" s="185" t="s">
        <v>215</v>
      </c>
    </row>
    <row r="16447" spans="129:129" x14ac:dyDescent="0.2">
      <c r="DY16447" s="185" t="s">
        <v>215</v>
      </c>
    </row>
    <row r="16448" spans="129:129" x14ac:dyDescent="0.2">
      <c r="DY16448" s="185" t="s">
        <v>215</v>
      </c>
    </row>
    <row r="16449" spans="129:129" x14ac:dyDescent="0.2">
      <c r="DY16449" s="185" t="s">
        <v>215</v>
      </c>
    </row>
    <row r="16450" spans="129:129" x14ac:dyDescent="0.2">
      <c r="DY16450" s="185" t="s">
        <v>215</v>
      </c>
    </row>
    <row r="16451" spans="129:129" x14ac:dyDescent="0.2">
      <c r="DY16451" s="185" t="s">
        <v>215</v>
      </c>
    </row>
    <row r="16452" spans="129:129" x14ac:dyDescent="0.2">
      <c r="DY16452" s="185" t="s">
        <v>215</v>
      </c>
    </row>
    <row r="16453" spans="129:129" x14ac:dyDescent="0.2">
      <c r="DY16453" s="185" t="s">
        <v>215</v>
      </c>
    </row>
    <row r="16454" spans="129:129" x14ac:dyDescent="0.2">
      <c r="DY16454" s="185" t="s">
        <v>215</v>
      </c>
    </row>
    <row r="16455" spans="129:129" x14ac:dyDescent="0.2">
      <c r="DY16455" s="185" t="s">
        <v>215</v>
      </c>
    </row>
    <row r="16456" spans="129:129" x14ac:dyDescent="0.2">
      <c r="DY16456" s="185" t="s">
        <v>215</v>
      </c>
    </row>
    <row r="16457" spans="129:129" x14ac:dyDescent="0.2">
      <c r="DY16457" s="185" t="s">
        <v>215</v>
      </c>
    </row>
    <row r="16458" spans="129:129" x14ac:dyDescent="0.2">
      <c r="DY16458" s="185" t="s">
        <v>215</v>
      </c>
    </row>
    <row r="16459" spans="129:129" x14ac:dyDescent="0.2">
      <c r="DY16459" s="185" t="s">
        <v>215</v>
      </c>
    </row>
    <row r="16460" spans="129:129" x14ac:dyDescent="0.2">
      <c r="DY16460" s="185" t="s">
        <v>215</v>
      </c>
    </row>
    <row r="16461" spans="129:129" x14ac:dyDescent="0.2">
      <c r="DY16461" s="185" t="s">
        <v>215</v>
      </c>
    </row>
    <row r="16462" spans="129:129" x14ac:dyDescent="0.2">
      <c r="DY16462" s="185" t="s">
        <v>215</v>
      </c>
    </row>
    <row r="16463" spans="129:129" x14ac:dyDescent="0.2">
      <c r="DY16463" s="185" t="s">
        <v>215</v>
      </c>
    </row>
    <row r="16464" spans="129:129" x14ac:dyDescent="0.2">
      <c r="DY16464" s="185" t="s">
        <v>215</v>
      </c>
    </row>
    <row r="16465" spans="129:129" x14ac:dyDescent="0.2">
      <c r="DY16465" s="185" t="s">
        <v>215</v>
      </c>
    </row>
    <row r="16466" spans="129:129" x14ac:dyDescent="0.2">
      <c r="DY16466" s="185" t="s">
        <v>215</v>
      </c>
    </row>
    <row r="16467" spans="129:129" x14ac:dyDescent="0.2">
      <c r="DY16467" s="185" t="s">
        <v>215</v>
      </c>
    </row>
    <row r="16468" spans="129:129" x14ac:dyDescent="0.2">
      <c r="DY16468" s="185" t="s">
        <v>215</v>
      </c>
    </row>
    <row r="16469" spans="129:129" x14ac:dyDescent="0.2">
      <c r="DY16469" s="185" t="s">
        <v>215</v>
      </c>
    </row>
    <row r="16470" spans="129:129" x14ac:dyDescent="0.2">
      <c r="DY16470" s="185" t="s">
        <v>215</v>
      </c>
    </row>
    <row r="16471" spans="129:129" x14ac:dyDescent="0.2">
      <c r="DY16471" s="185" t="s">
        <v>215</v>
      </c>
    </row>
    <row r="16472" spans="129:129" x14ac:dyDescent="0.2">
      <c r="DY16472" s="185" t="s">
        <v>215</v>
      </c>
    </row>
    <row r="16473" spans="129:129" x14ac:dyDescent="0.2">
      <c r="DY16473" s="185" t="s">
        <v>215</v>
      </c>
    </row>
    <row r="16474" spans="129:129" x14ac:dyDescent="0.2">
      <c r="DY16474" s="185" t="s">
        <v>215</v>
      </c>
    </row>
    <row r="16475" spans="129:129" x14ac:dyDescent="0.2">
      <c r="DY16475" s="185" t="s">
        <v>215</v>
      </c>
    </row>
    <row r="16476" spans="129:129" x14ac:dyDescent="0.2">
      <c r="DY16476" s="185" t="s">
        <v>215</v>
      </c>
    </row>
    <row r="16477" spans="129:129" x14ac:dyDescent="0.2">
      <c r="DY16477" s="185" t="s">
        <v>215</v>
      </c>
    </row>
    <row r="16478" spans="129:129" x14ac:dyDescent="0.2">
      <c r="DY16478" s="185" t="s">
        <v>215</v>
      </c>
    </row>
    <row r="16479" spans="129:129" x14ac:dyDescent="0.2">
      <c r="DY16479" s="185" t="s">
        <v>215</v>
      </c>
    </row>
    <row r="16480" spans="129:129" x14ac:dyDescent="0.2">
      <c r="DY16480" s="185" t="s">
        <v>215</v>
      </c>
    </row>
    <row r="16481" spans="129:129" x14ac:dyDescent="0.2">
      <c r="DY16481" s="185" t="s">
        <v>215</v>
      </c>
    </row>
    <row r="16482" spans="129:129" x14ac:dyDescent="0.2">
      <c r="DY16482" s="185" t="s">
        <v>215</v>
      </c>
    </row>
    <row r="16483" spans="129:129" x14ac:dyDescent="0.2">
      <c r="DY16483" s="185" t="s">
        <v>215</v>
      </c>
    </row>
    <row r="16484" spans="129:129" x14ac:dyDescent="0.2">
      <c r="DY16484" s="185" t="s">
        <v>215</v>
      </c>
    </row>
    <row r="16485" spans="129:129" x14ac:dyDescent="0.2">
      <c r="DY16485" s="185" t="s">
        <v>215</v>
      </c>
    </row>
    <row r="16486" spans="129:129" x14ac:dyDescent="0.2">
      <c r="DY16486" s="185" t="s">
        <v>215</v>
      </c>
    </row>
    <row r="16487" spans="129:129" x14ac:dyDescent="0.2">
      <c r="DY16487" s="185" t="s">
        <v>215</v>
      </c>
    </row>
    <row r="16488" spans="129:129" x14ac:dyDescent="0.2">
      <c r="DY16488" s="185" t="s">
        <v>215</v>
      </c>
    </row>
    <row r="16489" spans="129:129" x14ac:dyDescent="0.2">
      <c r="DY16489" s="185" t="s">
        <v>215</v>
      </c>
    </row>
    <row r="16490" spans="129:129" x14ac:dyDescent="0.2">
      <c r="DY16490" s="185" t="s">
        <v>215</v>
      </c>
    </row>
    <row r="16491" spans="129:129" x14ac:dyDescent="0.2">
      <c r="DY16491" s="185" t="s">
        <v>215</v>
      </c>
    </row>
    <row r="16492" spans="129:129" x14ac:dyDescent="0.2">
      <c r="DY16492" s="185" t="s">
        <v>215</v>
      </c>
    </row>
    <row r="16493" spans="129:129" x14ac:dyDescent="0.2">
      <c r="DY16493" s="185" t="s">
        <v>215</v>
      </c>
    </row>
    <row r="16494" spans="129:129" x14ac:dyDescent="0.2">
      <c r="DY16494" s="185" t="s">
        <v>215</v>
      </c>
    </row>
    <row r="16495" spans="129:129" x14ac:dyDescent="0.2">
      <c r="DY16495" s="185" t="s">
        <v>215</v>
      </c>
    </row>
    <row r="16496" spans="129:129" x14ac:dyDescent="0.2">
      <c r="DY16496" s="185" t="s">
        <v>215</v>
      </c>
    </row>
    <row r="16497" spans="129:129" x14ac:dyDescent="0.2">
      <c r="DY16497" s="185" t="s">
        <v>215</v>
      </c>
    </row>
    <row r="16498" spans="129:129" x14ac:dyDescent="0.2">
      <c r="DY16498" s="185" t="s">
        <v>215</v>
      </c>
    </row>
    <row r="16499" spans="129:129" x14ac:dyDescent="0.2">
      <c r="DY16499" s="185" t="s">
        <v>215</v>
      </c>
    </row>
    <row r="16500" spans="129:129" x14ac:dyDescent="0.2">
      <c r="DY16500" s="185" t="s">
        <v>215</v>
      </c>
    </row>
    <row r="16501" spans="129:129" x14ac:dyDescent="0.2">
      <c r="DY16501" s="185" t="s">
        <v>215</v>
      </c>
    </row>
    <row r="16502" spans="129:129" x14ac:dyDescent="0.2">
      <c r="DY16502" s="185" t="s">
        <v>215</v>
      </c>
    </row>
    <row r="16503" spans="129:129" x14ac:dyDescent="0.2">
      <c r="DY16503" s="185" t="s">
        <v>215</v>
      </c>
    </row>
    <row r="16504" spans="129:129" x14ac:dyDescent="0.2">
      <c r="DY16504" s="185" t="s">
        <v>215</v>
      </c>
    </row>
    <row r="16505" spans="129:129" x14ac:dyDescent="0.2">
      <c r="DY16505" s="185" t="s">
        <v>215</v>
      </c>
    </row>
    <row r="16506" spans="129:129" x14ac:dyDescent="0.2">
      <c r="DY16506" s="185" t="s">
        <v>215</v>
      </c>
    </row>
    <row r="16507" spans="129:129" x14ac:dyDescent="0.2">
      <c r="DY16507" s="185" t="s">
        <v>215</v>
      </c>
    </row>
    <row r="16508" spans="129:129" x14ac:dyDescent="0.2">
      <c r="DY16508" s="185" t="s">
        <v>215</v>
      </c>
    </row>
    <row r="16509" spans="129:129" x14ac:dyDescent="0.2">
      <c r="DY16509" s="185" t="s">
        <v>215</v>
      </c>
    </row>
    <row r="16510" spans="129:129" x14ac:dyDescent="0.2">
      <c r="DY16510" s="185" t="s">
        <v>215</v>
      </c>
    </row>
    <row r="16511" spans="129:129" x14ac:dyDescent="0.2">
      <c r="DY16511" s="185" t="s">
        <v>215</v>
      </c>
    </row>
    <row r="16512" spans="129:129" x14ac:dyDescent="0.2">
      <c r="DY16512" s="185" t="s">
        <v>215</v>
      </c>
    </row>
    <row r="16513" spans="129:129" x14ac:dyDescent="0.2">
      <c r="DY16513" s="185" t="s">
        <v>215</v>
      </c>
    </row>
    <row r="16514" spans="129:129" x14ac:dyDescent="0.2">
      <c r="DY16514" s="185" t="s">
        <v>215</v>
      </c>
    </row>
    <row r="16515" spans="129:129" x14ac:dyDescent="0.2">
      <c r="DY16515" s="185" t="s">
        <v>215</v>
      </c>
    </row>
    <row r="16516" spans="129:129" x14ac:dyDescent="0.2">
      <c r="DY16516" s="185" t="s">
        <v>215</v>
      </c>
    </row>
    <row r="16517" spans="129:129" x14ac:dyDescent="0.2">
      <c r="DY16517" s="185" t="s">
        <v>215</v>
      </c>
    </row>
    <row r="16518" spans="129:129" x14ac:dyDescent="0.2">
      <c r="DY16518" s="185" t="s">
        <v>215</v>
      </c>
    </row>
    <row r="16519" spans="129:129" x14ac:dyDescent="0.2">
      <c r="DY16519" s="185" t="s">
        <v>215</v>
      </c>
    </row>
    <row r="16520" spans="129:129" x14ac:dyDescent="0.2">
      <c r="DY16520" s="185" t="s">
        <v>215</v>
      </c>
    </row>
    <row r="16521" spans="129:129" x14ac:dyDescent="0.2">
      <c r="DY16521" s="185" t="s">
        <v>215</v>
      </c>
    </row>
    <row r="16522" spans="129:129" x14ac:dyDescent="0.2">
      <c r="DY16522" s="185" t="s">
        <v>215</v>
      </c>
    </row>
    <row r="16523" spans="129:129" x14ac:dyDescent="0.2">
      <c r="DY16523" s="185" t="s">
        <v>215</v>
      </c>
    </row>
    <row r="16524" spans="129:129" x14ac:dyDescent="0.2">
      <c r="DY16524" s="185" t="s">
        <v>215</v>
      </c>
    </row>
    <row r="16525" spans="129:129" x14ac:dyDescent="0.2">
      <c r="DY16525" s="185" t="s">
        <v>215</v>
      </c>
    </row>
    <row r="16526" spans="129:129" x14ac:dyDescent="0.2">
      <c r="DY16526" s="185" t="s">
        <v>215</v>
      </c>
    </row>
    <row r="16527" spans="129:129" x14ac:dyDescent="0.2">
      <c r="DY16527" s="185" t="s">
        <v>215</v>
      </c>
    </row>
    <row r="16528" spans="129:129" x14ac:dyDescent="0.2">
      <c r="DY16528" s="185" t="s">
        <v>215</v>
      </c>
    </row>
    <row r="16529" spans="129:129" x14ac:dyDescent="0.2">
      <c r="DY16529" s="185" t="s">
        <v>215</v>
      </c>
    </row>
    <row r="16530" spans="129:129" x14ac:dyDescent="0.2">
      <c r="DY16530" s="185" t="s">
        <v>215</v>
      </c>
    </row>
    <row r="16531" spans="129:129" x14ac:dyDescent="0.2">
      <c r="DY16531" s="185" t="s">
        <v>215</v>
      </c>
    </row>
    <row r="16532" spans="129:129" x14ac:dyDescent="0.2">
      <c r="DY16532" s="185" t="s">
        <v>215</v>
      </c>
    </row>
    <row r="16533" spans="129:129" x14ac:dyDescent="0.2">
      <c r="DY16533" s="185" t="s">
        <v>215</v>
      </c>
    </row>
    <row r="16534" spans="129:129" x14ac:dyDescent="0.2">
      <c r="DY16534" s="185" t="s">
        <v>215</v>
      </c>
    </row>
    <row r="16535" spans="129:129" x14ac:dyDescent="0.2">
      <c r="DY16535" s="185" t="s">
        <v>215</v>
      </c>
    </row>
    <row r="16536" spans="129:129" x14ac:dyDescent="0.2">
      <c r="DY16536" s="185" t="s">
        <v>215</v>
      </c>
    </row>
    <row r="16537" spans="129:129" x14ac:dyDescent="0.2">
      <c r="DY16537" s="185" t="s">
        <v>215</v>
      </c>
    </row>
    <row r="16538" spans="129:129" x14ac:dyDescent="0.2">
      <c r="DY16538" s="185" t="s">
        <v>215</v>
      </c>
    </row>
    <row r="16539" spans="129:129" x14ac:dyDescent="0.2">
      <c r="DY16539" s="185" t="s">
        <v>215</v>
      </c>
    </row>
    <row r="16540" spans="129:129" x14ac:dyDescent="0.2">
      <c r="DY16540" s="185" t="s">
        <v>215</v>
      </c>
    </row>
    <row r="16541" spans="129:129" x14ac:dyDescent="0.2">
      <c r="DY16541" s="185" t="s">
        <v>215</v>
      </c>
    </row>
    <row r="16542" spans="129:129" x14ac:dyDescent="0.2">
      <c r="DY16542" s="185" t="s">
        <v>215</v>
      </c>
    </row>
    <row r="16543" spans="129:129" x14ac:dyDescent="0.2">
      <c r="DY16543" s="185" t="s">
        <v>215</v>
      </c>
    </row>
    <row r="16544" spans="129:129" x14ac:dyDescent="0.2">
      <c r="DY16544" s="185" t="s">
        <v>215</v>
      </c>
    </row>
    <row r="16545" spans="129:129" x14ac:dyDescent="0.2">
      <c r="DY16545" s="185" t="s">
        <v>215</v>
      </c>
    </row>
    <row r="16546" spans="129:129" x14ac:dyDescent="0.2">
      <c r="DY16546" s="185" t="s">
        <v>215</v>
      </c>
    </row>
    <row r="16547" spans="129:129" x14ac:dyDescent="0.2">
      <c r="DY16547" s="185" t="s">
        <v>215</v>
      </c>
    </row>
    <row r="16548" spans="129:129" x14ac:dyDescent="0.2">
      <c r="DY16548" s="185" t="s">
        <v>215</v>
      </c>
    </row>
    <row r="16549" spans="129:129" x14ac:dyDescent="0.2">
      <c r="DY16549" s="185" t="s">
        <v>215</v>
      </c>
    </row>
    <row r="16550" spans="129:129" x14ac:dyDescent="0.2">
      <c r="DY16550" s="185" t="s">
        <v>215</v>
      </c>
    </row>
    <row r="16551" spans="129:129" x14ac:dyDescent="0.2">
      <c r="DY16551" s="185" t="s">
        <v>215</v>
      </c>
    </row>
    <row r="16552" spans="129:129" x14ac:dyDescent="0.2">
      <c r="DY16552" s="185" t="s">
        <v>215</v>
      </c>
    </row>
    <row r="16553" spans="129:129" x14ac:dyDescent="0.2">
      <c r="DY16553" s="185" t="s">
        <v>215</v>
      </c>
    </row>
    <row r="16554" spans="129:129" x14ac:dyDescent="0.2">
      <c r="DY16554" s="185" t="s">
        <v>215</v>
      </c>
    </row>
    <row r="16555" spans="129:129" x14ac:dyDescent="0.2">
      <c r="DY16555" s="185" t="s">
        <v>215</v>
      </c>
    </row>
    <row r="16556" spans="129:129" x14ac:dyDescent="0.2">
      <c r="DY16556" s="185" t="s">
        <v>215</v>
      </c>
    </row>
    <row r="16557" spans="129:129" x14ac:dyDescent="0.2">
      <c r="DY16557" s="185" t="s">
        <v>215</v>
      </c>
    </row>
    <row r="16558" spans="129:129" x14ac:dyDescent="0.2">
      <c r="DY16558" s="185" t="s">
        <v>215</v>
      </c>
    </row>
    <row r="16559" spans="129:129" x14ac:dyDescent="0.2">
      <c r="DY16559" s="185" t="s">
        <v>215</v>
      </c>
    </row>
    <row r="16560" spans="129:129" x14ac:dyDescent="0.2">
      <c r="DY16560" s="185" t="s">
        <v>215</v>
      </c>
    </row>
    <row r="16561" spans="129:129" x14ac:dyDescent="0.2">
      <c r="DY16561" s="185" t="s">
        <v>215</v>
      </c>
    </row>
    <row r="16562" spans="129:129" x14ac:dyDescent="0.2">
      <c r="DY16562" s="185" t="s">
        <v>215</v>
      </c>
    </row>
    <row r="16563" spans="129:129" x14ac:dyDescent="0.2">
      <c r="DY16563" s="185" t="s">
        <v>215</v>
      </c>
    </row>
    <row r="16564" spans="129:129" x14ac:dyDescent="0.2">
      <c r="DY16564" s="185" t="s">
        <v>215</v>
      </c>
    </row>
    <row r="16565" spans="129:129" x14ac:dyDescent="0.2">
      <c r="DY16565" s="185" t="s">
        <v>215</v>
      </c>
    </row>
    <row r="16566" spans="129:129" x14ac:dyDescent="0.2">
      <c r="DY16566" s="185" t="s">
        <v>215</v>
      </c>
    </row>
    <row r="16567" spans="129:129" x14ac:dyDescent="0.2">
      <c r="DY16567" s="185" t="s">
        <v>215</v>
      </c>
    </row>
    <row r="16568" spans="129:129" x14ac:dyDescent="0.2">
      <c r="DY16568" s="185" t="s">
        <v>215</v>
      </c>
    </row>
    <row r="16569" spans="129:129" x14ac:dyDescent="0.2">
      <c r="DY16569" s="185" t="s">
        <v>215</v>
      </c>
    </row>
    <row r="16570" spans="129:129" x14ac:dyDescent="0.2">
      <c r="DY16570" s="185" t="s">
        <v>215</v>
      </c>
    </row>
    <row r="16571" spans="129:129" x14ac:dyDescent="0.2">
      <c r="DY16571" s="185" t="s">
        <v>215</v>
      </c>
    </row>
    <row r="16572" spans="129:129" x14ac:dyDescent="0.2">
      <c r="DY16572" s="185" t="s">
        <v>215</v>
      </c>
    </row>
    <row r="16573" spans="129:129" x14ac:dyDescent="0.2">
      <c r="DY16573" s="185" t="s">
        <v>215</v>
      </c>
    </row>
    <row r="16574" spans="129:129" x14ac:dyDescent="0.2">
      <c r="DY16574" s="185" t="s">
        <v>215</v>
      </c>
    </row>
    <row r="16575" spans="129:129" x14ac:dyDescent="0.2">
      <c r="DY16575" s="185" t="s">
        <v>215</v>
      </c>
    </row>
    <row r="16576" spans="129:129" x14ac:dyDescent="0.2">
      <c r="DY16576" s="185" t="s">
        <v>215</v>
      </c>
    </row>
    <row r="16577" spans="129:129" x14ac:dyDescent="0.2">
      <c r="DY16577" s="185" t="s">
        <v>215</v>
      </c>
    </row>
    <row r="16578" spans="129:129" x14ac:dyDescent="0.2">
      <c r="DY16578" s="185" t="s">
        <v>215</v>
      </c>
    </row>
    <row r="16579" spans="129:129" x14ac:dyDescent="0.2">
      <c r="DY16579" s="185" t="s">
        <v>215</v>
      </c>
    </row>
    <row r="16580" spans="129:129" x14ac:dyDescent="0.2">
      <c r="DY16580" s="185" t="s">
        <v>215</v>
      </c>
    </row>
    <row r="16581" spans="129:129" x14ac:dyDescent="0.2">
      <c r="DY16581" s="185" t="s">
        <v>215</v>
      </c>
    </row>
    <row r="16582" spans="129:129" x14ac:dyDescent="0.2">
      <c r="DY16582" s="185" t="s">
        <v>215</v>
      </c>
    </row>
    <row r="16583" spans="129:129" x14ac:dyDescent="0.2">
      <c r="DY16583" s="185" t="s">
        <v>215</v>
      </c>
    </row>
    <row r="16584" spans="129:129" x14ac:dyDescent="0.2">
      <c r="DY16584" s="185" t="s">
        <v>215</v>
      </c>
    </row>
    <row r="16585" spans="129:129" x14ac:dyDescent="0.2">
      <c r="DY16585" s="185" t="s">
        <v>215</v>
      </c>
    </row>
    <row r="16586" spans="129:129" x14ac:dyDescent="0.2">
      <c r="DY16586" s="185" t="s">
        <v>215</v>
      </c>
    </row>
    <row r="16587" spans="129:129" x14ac:dyDescent="0.2">
      <c r="DY16587" s="185" t="s">
        <v>215</v>
      </c>
    </row>
    <row r="16588" spans="129:129" x14ac:dyDescent="0.2">
      <c r="DY16588" s="185" t="s">
        <v>215</v>
      </c>
    </row>
    <row r="16589" spans="129:129" x14ac:dyDescent="0.2">
      <c r="DY16589" s="185" t="s">
        <v>215</v>
      </c>
    </row>
    <row r="16590" spans="129:129" x14ac:dyDescent="0.2">
      <c r="DY16590" s="185" t="s">
        <v>215</v>
      </c>
    </row>
    <row r="16591" spans="129:129" x14ac:dyDescent="0.2">
      <c r="DY16591" s="185" t="s">
        <v>215</v>
      </c>
    </row>
    <row r="16592" spans="129:129" x14ac:dyDescent="0.2">
      <c r="DY16592" s="185" t="s">
        <v>215</v>
      </c>
    </row>
    <row r="16593" spans="129:129" x14ac:dyDescent="0.2">
      <c r="DY16593" s="185" t="s">
        <v>215</v>
      </c>
    </row>
    <row r="16594" spans="129:129" x14ac:dyDescent="0.2">
      <c r="DY16594" s="185" t="s">
        <v>215</v>
      </c>
    </row>
    <row r="16595" spans="129:129" x14ac:dyDescent="0.2">
      <c r="DY16595" s="185" t="s">
        <v>215</v>
      </c>
    </row>
    <row r="16596" spans="129:129" x14ac:dyDescent="0.2">
      <c r="DY16596" s="185" t="s">
        <v>215</v>
      </c>
    </row>
    <row r="16597" spans="129:129" x14ac:dyDescent="0.2">
      <c r="DY16597" s="185" t="s">
        <v>215</v>
      </c>
    </row>
    <row r="16598" spans="129:129" x14ac:dyDescent="0.2">
      <c r="DY16598" s="185" t="s">
        <v>215</v>
      </c>
    </row>
    <row r="16599" spans="129:129" x14ac:dyDescent="0.2">
      <c r="DY16599" s="185" t="s">
        <v>215</v>
      </c>
    </row>
    <row r="16600" spans="129:129" x14ac:dyDescent="0.2">
      <c r="DY16600" s="185" t="s">
        <v>215</v>
      </c>
    </row>
    <row r="16601" spans="129:129" x14ac:dyDescent="0.2">
      <c r="DY16601" s="185" t="s">
        <v>215</v>
      </c>
    </row>
    <row r="16602" spans="129:129" x14ac:dyDescent="0.2">
      <c r="DY16602" s="185" t="s">
        <v>215</v>
      </c>
    </row>
    <row r="16603" spans="129:129" x14ac:dyDescent="0.2">
      <c r="DY16603" s="185" t="s">
        <v>215</v>
      </c>
    </row>
    <row r="16604" spans="129:129" x14ac:dyDescent="0.2">
      <c r="DY16604" s="185" t="s">
        <v>215</v>
      </c>
    </row>
    <row r="16605" spans="129:129" x14ac:dyDescent="0.2">
      <c r="DY16605" s="185" t="s">
        <v>215</v>
      </c>
    </row>
    <row r="16606" spans="129:129" x14ac:dyDescent="0.2">
      <c r="DY16606" s="185" t="s">
        <v>215</v>
      </c>
    </row>
    <row r="16607" spans="129:129" x14ac:dyDescent="0.2">
      <c r="DY16607" s="185" t="s">
        <v>215</v>
      </c>
    </row>
    <row r="16608" spans="129:129" x14ac:dyDescent="0.2">
      <c r="DY16608" s="185" t="s">
        <v>215</v>
      </c>
    </row>
    <row r="16609" spans="129:129" x14ac:dyDescent="0.2">
      <c r="DY16609" s="185" t="s">
        <v>215</v>
      </c>
    </row>
    <row r="16610" spans="129:129" x14ac:dyDescent="0.2">
      <c r="DY16610" s="185" t="s">
        <v>215</v>
      </c>
    </row>
    <row r="16611" spans="129:129" x14ac:dyDescent="0.2">
      <c r="DY16611" s="185" t="s">
        <v>215</v>
      </c>
    </row>
    <row r="16612" spans="129:129" x14ac:dyDescent="0.2">
      <c r="DY16612" s="185" t="s">
        <v>215</v>
      </c>
    </row>
    <row r="16613" spans="129:129" x14ac:dyDescent="0.2">
      <c r="DY16613" s="185" t="s">
        <v>215</v>
      </c>
    </row>
    <row r="16614" spans="129:129" x14ac:dyDescent="0.2">
      <c r="DY16614" s="185" t="s">
        <v>215</v>
      </c>
    </row>
    <row r="16615" spans="129:129" x14ac:dyDescent="0.2">
      <c r="DY16615" s="185" t="s">
        <v>215</v>
      </c>
    </row>
    <row r="16616" spans="129:129" x14ac:dyDescent="0.2">
      <c r="DY16616" s="185" t="s">
        <v>215</v>
      </c>
    </row>
    <row r="16617" spans="129:129" x14ac:dyDescent="0.2">
      <c r="DY16617" s="185" t="s">
        <v>215</v>
      </c>
    </row>
    <row r="16618" spans="129:129" x14ac:dyDescent="0.2">
      <c r="DY16618" s="185" t="s">
        <v>215</v>
      </c>
    </row>
    <row r="16619" spans="129:129" x14ac:dyDescent="0.2">
      <c r="DY16619" s="185" t="s">
        <v>215</v>
      </c>
    </row>
    <row r="16620" spans="129:129" x14ac:dyDescent="0.2">
      <c r="DY16620" s="185" t="s">
        <v>215</v>
      </c>
    </row>
    <row r="16621" spans="129:129" x14ac:dyDescent="0.2">
      <c r="DY16621" s="185" t="s">
        <v>215</v>
      </c>
    </row>
    <row r="16622" spans="129:129" x14ac:dyDescent="0.2">
      <c r="DY16622" s="185" t="s">
        <v>215</v>
      </c>
    </row>
    <row r="16623" spans="129:129" x14ac:dyDescent="0.2">
      <c r="DY16623" s="185" t="s">
        <v>215</v>
      </c>
    </row>
    <row r="16624" spans="129:129" x14ac:dyDescent="0.2">
      <c r="DY16624" s="185" t="s">
        <v>215</v>
      </c>
    </row>
    <row r="16625" spans="129:129" x14ac:dyDescent="0.2">
      <c r="DY16625" s="185" t="s">
        <v>215</v>
      </c>
    </row>
    <row r="16626" spans="129:129" x14ac:dyDescent="0.2">
      <c r="DY16626" s="185" t="s">
        <v>215</v>
      </c>
    </row>
    <row r="16627" spans="129:129" x14ac:dyDescent="0.2">
      <c r="DY16627" s="185" t="s">
        <v>215</v>
      </c>
    </row>
    <row r="16628" spans="129:129" x14ac:dyDescent="0.2">
      <c r="DY16628" s="185" t="s">
        <v>215</v>
      </c>
    </row>
    <row r="16629" spans="129:129" x14ac:dyDescent="0.2">
      <c r="DY16629" s="185" t="s">
        <v>215</v>
      </c>
    </row>
    <row r="16630" spans="129:129" x14ac:dyDescent="0.2">
      <c r="DY16630" s="185" t="s">
        <v>215</v>
      </c>
    </row>
    <row r="16631" spans="129:129" x14ac:dyDescent="0.2">
      <c r="DY16631" s="185" t="s">
        <v>215</v>
      </c>
    </row>
    <row r="16632" spans="129:129" x14ac:dyDescent="0.2">
      <c r="DY16632" s="185" t="s">
        <v>215</v>
      </c>
    </row>
    <row r="16633" spans="129:129" x14ac:dyDescent="0.2">
      <c r="DY16633" s="185" t="s">
        <v>215</v>
      </c>
    </row>
    <row r="16634" spans="129:129" x14ac:dyDescent="0.2">
      <c r="DY16634" s="185" t="s">
        <v>215</v>
      </c>
    </row>
    <row r="16635" spans="129:129" x14ac:dyDescent="0.2">
      <c r="DY16635" s="185" t="s">
        <v>215</v>
      </c>
    </row>
    <row r="16636" spans="129:129" x14ac:dyDescent="0.2">
      <c r="DY16636" s="185" t="s">
        <v>215</v>
      </c>
    </row>
    <row r="16637" spans="129:129" x14ac:dyDescent="0.2">
      <c r="DY16637" s="185" t="s">
        <v>215</v>
      </c>
    </row>
    <row r="16638" spans="129:129" x14ac:dyDescent="0.2">
      <c r="DY16638" s="185" t="s">
        <v>215</v>
      </c>
    </row>
    <row r="16639" spans="129:129" x14ac:dyDescent="0.2">
      <c r="DY16639" s="185" t="s">
        <v>215</v>
      </c>
    </row>
    <row r="16640" spans="129:129" x14ac:dyDescent="0.2">
      <c r="DY16640" s="185" t="s">
        <v>215</v>
      </c>
    </row>
    <row r="16641" spans="129:129" x14ac:dyDescent="0.2">
      <c r="DY16641" s="185" t="s">
        <v>215</v>
      </c>
    </row>
    <row r="16642" spans="129:129" x14ac:dyDescent="0.2">
      <c r="DY16642" s="185" t="s">
        <v>215</v>
      </c>
    </row>
    <row r="16643" spans="129:129" x14ac:dyDescent="0.2">
      <c r="DY16643" s="185" t="s">
        <v>215</v>
      </c>
    </row>
    <row r="16644" spans="129:129" x14ac:dyDescent="0.2">
      <c r="DY16644" s="185" t="s">
        <v>215</v>
      </c>
    </row>
    <row r="16645" spans="129:129" x14ac:dyDescent="0.2">
      <c r="DY16645" s="185" t="s">
        <v>215</v>
      </c>
    </row>
    <row r="16646" spans="129:129" x14ac:dyDescent="0.2">
      <c r="DY16646" s="185" t="s">
        <v>215</v>
      </c>
    </row>
    <row r="16647" spans="129:129" x14ac:dyDescent="0.2">
      <c r="DY16647" s="185" t="s">
        <v>215</v>
      </c>
    </row>
    <row r="16648" spans="129:129" x14ac:dyDescent="0.2">
      <c r="DY16648" s="185" t="s">
        <v>215</v>
      </c>
    </row>
    <row r="16649" spans="129:129" x14ac:dyDescent="0.2">
      <c r="DY16649" s="185" t="s">
        <v>215</v>
      </c>
    </row>
    <row r="16650" spans="129:129" x14ac:dyDescent="0.2">
      <c r="DY16650" s="185" t="s">
        <v>215</v>
      </c>
    </row>
    <row r="16651" spans="129:129" x14ac:dyDescent="0.2">
      <c r="DY16651" s="185" t="s">
        <v>215</v>
      </c>
    </row>
    <row r="16652" spans="129:129" x14ac:dyDescent="0.2">
      <c r="DY16652" s="185" t="s">
        <v>215</v>
      </c>
    </row>
    <row r="16653" spans="129:129" x14ac:dyDescent="0.2">
      <c r="DY16653" s="185" t="s">
        <v>215</v>
      </c>
    </row>
    <row r="16654" spans="129:129" x14ac:dyDescent="0.2">
      <c r="DY16654" s="185" t="s">
        <v>215</v>
      </c>
    </row>
    <row r="16655" spans="129:129" x14ac:dyDescent="0.2">
      <c r="DY16655" s="185" t="s">
        <v>215</v>
      </c>
    </row>
    <row r="16656" spans="129:129" x14ac:dyDescent="0.2">
      <c r="DY16656" s="185" t="s">
        <v>215</v>
      </c>
    </row>
    <row r="16657" spans="129:129" x14ac:dyDescent="0.2">
      <c r="DY16657" s="185" t="s">
        <v>215</v>
      </c>
    </row>
    <row r="16658" spans="129:129" x14ac:dyDescent="0.2">
      <c r="DY16658" s="185" t="s">
        <v>215</v>
      </c>
    </row>
    <row r="16659" spans="129:129" x14ac:dyDescent="0.2">
      <c r="DY16659" s="185" t="s">
        <v>215</v>
      </c>
    </row>
    <row r="16660" spans="129:129" x14ac:dyDescent="0.2">
      <c r="DY16660" s="185" t="s">
        <v>215</v>
      </c>
    </row>
    <row r="16661" spans="129:129" x14ac:dyDescent="0.2">
      <c r="DY16661" s="185" t="s">
        <v>215</v>
      </c>
    </row>
    <row r="16662" spans="129:129" x14ac:dyDescent="0.2">
      <c r="DY16662" s="185" t="s">
        <v>215</v>
      </c>
    </row>
    <row r="16663" spans="129:129" x14ac:dyDescent="0.2">
      <c r="DY16663" s="185" t="s">
        <v>215</v>
      </c>
    </row>
    <row r="16664" spans="129:129" x14ac:dyDescent="0.2">
      <c r="DY16664" s="185" t="s">
        <v>215</v>
      </c>
    </row>
    <row r="16665" spans="129:129" x14ac:dyDescent="0.2">
      <c r="DY16665" s="185" t="s">
        <v>215</v>
      </c>
    </row>
    <row r="16666" spans="129:129" x14ac:dyDescent="0.2">
      <c r="DY16666" s="185" t="s">
        <v>215</v>
      </c>
    </row>
    <row r="16667" spans="129:129" x14ac:dyDescent="0.2">
      <c r="DY16667" s="185" t="s">
        <v>215</v>
      </c>
    </row>
    <row r="16668" spans="129:129" x14ac:dyDescent="0.2">
      <c r="DY16668" s="185" t="s">
        <v>215</v>
      </c>
    </row>
    <row r="16669" spans="129:129" x14ac:dyDescent="0.2">
      <c r="DY16669" s="185" t="s">
        <v>215</v>
      </c>
    </row>
    <row r="16670" spans="129:129" x14ac:dyDescent="0.2">
      <c r="DY16670" s="185" t="s">
        <v>215</v>
      </c>
    </row>
    <row r="16671" spans="129:129" x14ac:dyDescent="0.2">
      <c r="DY16671" s="185" t="s">
        <v>215</v>
      </c>
    </row>
    <row r="16672" spans="129:129" x14ac:dyDescent="0.2">
      <c r="DY16672" s="185" t="s">
        <v>215</v>
      </c>
    </row>
    <row r="16673" spans="129:129" x14ac:dyDescent="0.2">
      <c r="DY16673" s="185" t="s">
        <v>215</v>
      </c>
    </row>
    <row r="16674" spans="129:129" x14ac:dyDescent="0.2">
      <c r="DY16674" s="185" t="s">
        <v>215</v>
      </c>
    </row>
    <row r="16675" spans="129:129" x14ac:dyDescent="0.2">
      <c r="DY16675" s="185" t="s">
        <v>215</v>
      </c>
    </row>
    <row r="16676" spans="129:129" x14ac:dyDescent="0.2">
      <c r="DY16676" s="185" t="s">
        <v>215</v>
      </c>
    </row>
    <row r="16677" spans="129:129" x14ac:dyDescent="0.2">
      <c r="DY16677" s="185" t="s">
        <v>215</v>
      </c>
    </row>
    <row r="16678" spans="129:129" x14ac:dyDescent="0.2">
      <c r="DY16678" s="185" t="s">
        <v>215</v>
      </c>
    </row>
    <row r="16679" spans="129:129" x14ac:dyDescent="0.2">
      <c r="DY16679" s="185" t="s">
        <v>215</v>
      </c>
    </row>
    <row r="16680" spans="129:129" x14ac:dyDescent="0.2">
      <c r="DY16680" s="185" t="s">
        <v>215</v>
      </c>
    </row>
    <row r="16681" spans="129:129" x14ac:dyDescent="0.2">
      <c r="DY16681" s="185" t="s">
        <v>215</v>
      </c>
    </row>
    <row r="16682" spans="129:129" x14ac:dyDescent="0.2">
      <c r="DY16682" s="185" t="s">
        <v>215</v>
      </c>
    </row>
    <row r="16683" spans="129:129" x14ac:dyDescent="0.2">
      <c r="DY16683" s="185" t="s">
        <v>215</v>
      </c>
    </row>
    <row r="16684" spans="129:129" x14ac:dyDescent="0.2">
      <c r="DY16684" s="185" t="s">
        <v>215</v>
      </c>
    </row>
    <row r="16685" spans="129:129" x14ac:dyDescent="0.2">
      <c r="DY16685" s="185" t="s">
        <v>215</v>
      </c>
    </row>
    <row r="16686" spans="129:129" x14ac:dyDescent="0.2">
      <c r="DY16686" s="185" t="s">
        <v>215</v>
      </c>
    </row>
    <row r="16687" spans="129:129" x14ac:dyDescent="0.2">
      <c r="DY16687" s="185" t="s">
        <v>215</v>
      </c>
    </row>
    <row r="16688" spans="129:129" x14ac:dyDescent="0.2">
      <c r="DY16688" s="185" t="s">
        <v>215</v>
      </c>
    </row>
    <row r="16689" spans="129:129" x14ac:dyDescent="0.2">
      <c r="DY16689" s="185" t="s">
        <v>215</v>
      </c>
    </row>
    <row r="16690" spans="129:129" x14ac:dyDescent="0.2">
      <c r="DY16690" s="185" t="s">
        <v>215</v>
      </c>
    </row>
    <row r="16691" spans="129:129" x14ac:dyDescent="0.2">
      <c r="DY16691" s="185" t="s">
        <v>215</v>
      </c>
    </row>
    <row r="16692" spans="129:129" x14ac:dyDescent="0.2">
      <c r="DY16692" s="185" t="s">
        <v>215</v>
      </c>
    </row>
    <row r="16693" spans="129:129" x14ac:dyDescent="0.2">
      <c r="DY16693" s="185" t="s">
        <v>215</v>
      </c>
    </row>
    <row r="16694" spans="129:129" x14ac:dyDescent="0.2">
      <c r="DY16694" s="185" t="s">
        <v>215</v>
      </c>
    </row>
    <row r="16695" spans="129:129" x14ac:dyDescent="0.2">
      <c r="DY16695" s="185" t="s">
        <v>215</v>
      </c>
    </row>
    <row r="16696" spans="129:129" x14ac:dyDescent="0.2">
      <c r="DY16696" s="185" t="s">
        <v>215</v>
      </c>
    </row>
    <row r="16697" spans="129:129" x14ac:dyDescent="0.2">
      <c r="DY16697" s="185" t="s">
        <v>215</v>
      </c>
    </row>
    <row r="16698" spans="129:129" x14ac:dyDescent="0.2">
      <c r="DY16698" s="185" t="s">
        <v>215</v>
      </c>
    </row>
    <row r="16699" spans="129:129" x14ac:dyDescent="0.2">
      <c r="DY16699" s="185" t="s">
        <v>215</v>
      </c>
    </row>
    <row r="16700" spans="129:129" x14ac:dyDescent="0.2">
      <c r="DY16700" s="185" t="s">
        <v>215</v>
      </c>
    </row>
    <row r="16701" spans="129:129" x14ac:dyDescent="0.2">
      <c r="DY16701" s="185" t="s">
        <v>215</v>
      </c>
    </row>
    <row r="16702" spans="129:129" x14ac:dyDescent="0.2">
      <c r="DY16702" s="185" t="s">
        <v>215</v>
      </c>
    </row>
    <row r="16703" spans="129:129" x14ac:dyDescent="0.2">
      <c r="DY16703" s="185" t="s">
        <v>215</v>
      </c>
    </row>
    <row r="16704" spans="129:129" x14ac:dyDescent="0.2">
      <c r="DY16704" s="185" t="s">
        <v>215</v>
      </c>
    </row>
    <row r="16705" spans="129:129" x14ac:dyDescent="0.2">
      <c r="DY16705" s="185" t="s">
        <v>215</v>
      </c>
    </row>
    <row r="16706" spans="129:129" x14ac:dyDescent="0.2">
      <c r="DY16706" s="185" t="s">
        <v>215</v>
      </c>
    </row>
    <row r="16707" spans="129:129" x14ac:dyDescent="0.2">
      <c r="DY16707" s="185" t="s">
        <v>215</v>
      </c>
    </row>
    <row r="16708" spans="129:129" x14ac:dyDescent="0.2">
      <c r="DY16708" s="185" t="s">
        <v>215</v>
      </c>
    </row>
    <row r="16709" spans="129:129" x14ac:dyDescent="0.2">
      <c r="DY16709" s="185" t="s">
        <v>215</v>
      </c>
    </row>
    <row r="16710" spans="129:129" x14ac:dyDescent="0.2">
      <c r="DY16710" s="185" t="s">
        <v>215</v>
      </c>
    </row>
    <row r="16711" spans="129:129" x14ac:dyDescent="0.2">
      <c r="DY16711" s="185" t="s">
        <v>215</v>
      </c>
    </row>
    <row r="16712" spans="129:129" x14ac:dyDescent="0.2">
      <c r="DY16712" s="185" t="s">
        <v>215</v>
      </c>
    </row>
    <row r="16713" spans="129:129" x14ac:dyDescent="0.2">
      <c r="DY16713" s="185" t="s">
        <v>215</v>
      </c>
    </row>
    <row r="16714" spans="129:129" x14ac:dyDescent="0.2">
      <c r="DY16714" s="185" t="s">
        <v>215</v>
      </c>
    </row>
    <row r="16715" spans="129:129" x14ac:dyDescent="0.2">
      <c r="DY16715" s="185" t="s">
        <v>215</v>
      </c>
    </row>
    <row r="16716" spans="129:129" x14ac:dyDescent="0.2">
      <c r="DY16716" s="185" t="s">
        <v>215</v>
      </c>
    </row>
    <row r="16717" spans="129:129" x14ac:dyDescent="0.2">
      <c r="DY16717" s="185" t="s">
        <v>215</v>
      </c>
    </row>
    <row r="16718" spans="129:129" x14ac:dyDescent="0.2">
      <c r="DY16718" s="185" t="s">
        <v>215</v>
      </c>
    </row>
    <row r="16719" spans="129:129" x14ac:dyDescent="0.2">
      <c r="DY16719" s="185" t="s">
        <v>215</v>
      </c>
    </row>
    <row r="16720" spans="129:129" x14ac:dyDescent="0.2">
      <c r="DY16720" s="185" t="s">
        <v>215</v>
      </c>
    </row>
    <row r="16721" spans="129:129" x14ac:dyDescent="0.2">
      <c r="DY16721" s="185" t="s">
        <v>215</v>
      </c>
    </row>
    <row r="16722" spans="129:129" x14ac:dyDescent="0.2">
      <c r="DY16722" s="185" t="s">
        <v>215</v>
      </c>
    </row>
    <row r="16723" spans="129:129" x14ac:dyDescent="0.2">
      <c r="DY16723" s="185" t="s">
        <v>215</v>
      </c>
    </row>
    <row r="16724" spans="129:129" x14ac:dyDescent="0.2">
      <c r="DY16724" s="185" t="s">
        <v>215</v>
      </c>
    </row>
    <row r="16725" spans="129:129" x14ac:dyDescent="0.2">
      <c r="DY16725" s="185" t="s">
        <v>215</v>
      </c>
    </row>
    <row r="16726" spans="129:129" x14ac:dyDescent="0.2">
      <c r="DY16726" s="185" t="s">
        <v>215</v>
      </c>
    </row>
    <row r="16727" spans="129:129" x14ac:dyDescent="0.2">
      <c r="DY16727" s="185" t="s">
        <v>215</v>
      </c>
    </row>
    <row r="16728" spans="129:129" x14ac:dyDescent="0.2">
      <c r="DY16728" s="185" t="s">
        <v>215</v>
      </c>
    </row>
    <row r="16729" spans="129:129" x14ac:dyDescent="0.2">
      <c r="DY16729" s="185" t="s">
        <v>215</v>
      </c>
    </row>
    <row r="16730" spans="129:129" x14ac:dyDescent="0.2">
      <c r="DY16730" s="185" t="s">
        <v>215</v>
      </c>
    </row>
    <row r="16731" spans="129:129" x14ac:dyDescent="0.2">
      <c r="DY16731" s="185" t="s">
        <v>215</v>
      </c>
    </row>
    <row r="16732" spans="129:129" x14ac:dyDescent="0.2">
      <c r="DY16732" s="185" t="s">
        <v>215</v>
      </c>
    </row>
    <row r="16733" spans="129:129" x14ac:dyDescent="0.2">
      <c r="DY16733" s="185" t="s">
        <v>215</v>
      </c>
    </row>
    <row r="16734" spans="129:129" x14ac:dyDescent="0.2">
      <c r="DY16734" s="185" t="s">
        <v>215</v>
      </c>
    </row>
    <row r="16735" spans="129:129" x14ac:dyDescent="0.2">
      <c r="DY16735" s="185" t="s">
        <v>215</v>
      </c>
    </row>
    <row r="16736" spans="129:129" x14ac:dyDescent="0.2">
      <c r="DY16736" s="185" t="s">
        <v>215</v>
      </c>
    </row>
    <row r="16737" spans="129:129" x14ac:dyDescent="0.2">
      <c r="DY16737" s="185" t="s">
        <v>215</v>
      </c>
    </row>
    <row r="16738" spans="129:129" x14ac:dyDescent="0.2">
      <c r="DY16738" s="185" t="s">
        <v>215</v>
      </c>
    </row>
    <row r="16739" spans="129:129" x14ac:dyDescent="0.2">
      <c r="DY16739" s="185" t="s">
        <v>215</v>
      </c>
    </row>
    <row r="16740" spans="129:129" x14ac:dyDescent="0.2">
      <c r="DY16740" s="185" t="s">
        <v>215</v>
      </c>
    </row>
    <row r="16741" spans="129:129" x14ac:dyDescent="0.2">
      <c r="DY16741" s="185" t="s">
        <v>215</v>
      </c>
    </row>
    <row r="16742" spans="129:129" x14ac:dyDescent="0.2">
      <c r="DY16742" s="185" t="s">
        <v>215</v>
      </c>
    </row>
    <row r="16743" spans="129:129" x14ac:dyDescent="0.2">
      <c r="DY16743" s="185" t="s">
        <v>215</v>
      </c>
    </row>
    <row r="16744" spans="129:129" x14ac:dyDescent="0.2">
      <c r="DY16744" s="185" t="s">
        <v>215</v>
      </c>
    </row>
    <row r="16745" spans="129:129" x14ac:dyDescent="0.2">
      <c r="DY16745" s="185" t="s">
        <v>215</v>
      </c>
    </row>
    <row r="16746" spans="129:129" x14ac:dyDescent="0.2">
      <c r="DY16746" s="185" t="s">
        <v>215</v>
      </c>
    </row>
    <row r="16747" spans="129:129" x14ac:dyDescent="0.2">
      <c r="DY16747" s="185" t="s">
        <v>215</v>
      </c>
    </row>
    <row r="16748" spans="129:129" x14ac:dyDescent="0.2">
      <c r="DY16748" s="185" t="s">
        <v>215</v>
      </c>
    </row>
    <row r="16749" spans="129:129" x14ac:dyDescent="0.2">
      <c r="DY16749" s="185" t="s">
        <v>215</v>
      </c>
    </row>
    <row r="16750" spans="129:129" x14ac:dyDescent="0.2">
      <c r="DY16750" s="185" t="s">
        <v>215</v>
      </c>
    </row>
    <row r="16751" spans="129:129" x14ac:dyDescent="0.2">
      <c r="DY16751" s="185" t="s">
        <v>215</v>
      </c>
    </row>
    <row r="16752" spans="129:129" x14ac:dyDescent="0.2">
      <c r="DY16752" s="185" t="s">
        <v>215</v>
      </c>
    </row>
    <row r="16753" spans="129:129" x14ac:dyDescent="0.2">
      <c r="DY16753" s="185" t="s">
        <v>215</v>
      </c>
    </row>
    <row r="16754" spans="129:129" x14ac:dyDescent="0.2">
      <c r="DY16754" s="185" t="s">
        <v>215</v>
      </c>
    </row>
    <row r="16755" spans="129:129" x14ac:dyDescent="0.2">
      <c r="DY16755" s="185" t="s">
        <v>215</v>
      </c>
    </row>
    <row r="16756" spans="129:129" x14ac:dyDescent="0.2">
      <c r="DY16756" s="185" t="s">
        <v>215</v>
      </c>
    </row>
    <row r="16757" spans="129:129" x14ac:dyDescent="0.2">
      <c r="DY16757" s="185" t="s">
        <v>215</v>
      </c>
    </row>
    <row r="16758" spans="129:129" x14ac:dyDescent="0.2">
      <c r="DY16758" s="185" t="s">
        <v>215</v>
      </c>
    </row>
    <row r="16759" spans="129:129" x14ac:dyDescent="0.2">
      <c r="DY16759" s="185" t="s">
        <v>215</v>
      </c>
    </row>
    <row r="16760" spans="129:129" x14ac:dyDescent="0.2">
      <c r="DY16760" s="185" t="s">
        <v>215</v>
      </c>
    </row>
    <row r="16761" spans="129:129" x14ac:dyDescent="0.2">
      <c r="DY16761" s="185" t="s">
        <v>215</v>
      </c>
    </row>
    <row r="16762" spans="129:129" x14ac:dyDescent="0.2">
      <c r="DY16762" s="185" t="s">
        <v>215</v>
      </c>
    </row>
    <row r="16763" spans="129:129" x14ac:dyDescent="0.2">
      <c r="DY16763" s="185" t="s">
        <v>215</v>
      </c>
    </row>
    <row r="16764" spans="129:129" x14ac:dyDescent="0.2">
      <c r="DY16764" s="185" t="s">
        <v>215</v>
      </c>
    </row>
    <row r="16765" spans="129:129" x14ac:dyDescent="0.2">
      <c r="DY16765" s="185" t="s">
        <v>215</v>
      </c>
    </row>
    <row r="16766" spans="129:129" x14ac:dyDescent="0.2">
      <c r="DY16766" s="185" t="s">
        <v>215</v>
      </c>
    </row>
    <row r="16767" spans="129:129" x14ac:dyDescent="0.2">
      <c r="DY16767" s="185" t="s">
        <v>215</v>
      </c>
    </row>
    <row r="16768" spans="129:129" x14ac:dyDescent="0.2">
      <c r="DY16768" s="185" t="s">
        <v>215</v>
      </c>
    </row>
    <row r="16769" spans="129:129" x14ac:dyDescent="0.2">
      <c r="DY16769" s="185" t="s">
        <v>215</v>
      </c>
    </row>
    <row r="16770" spans="129:129" x14ac:dyDescent="0.2">
      <c r="DY16770" s="185" t="s">
        <v>215</v>
      </c>
    </row>
    <row r="16771" spans="129:129" x14ac:dyDescent="0.2">
      <c r="DY16771" s="185" t="s">
        <v>215</v>
      </c>
    </row>
    <row r="16772" spans="129:129" x14ac:dyDescent="0.2">
      <c r="DY16772" s="185" t="s">
        <v>215</v>
      </c>
    </row>
    <row r="16773" spans="129:129" x14ac:dyDescent="0.2">
      <c r="DY16773" s="185" t="s">
        <v>215</v>
      </c>
    </row>
    <row r="16774" spans="129:129" x14ac:dyDescent="0.2">
      <c r="DY16774" s="185" t="s">
        <v>215</v>
      </c>
    </row>
    <row r="16775" spans="129:129" x14ac:dyDescent="0.2">
      <c r="DY16775" s="185" t="s">
        <v>215</v>
      </c>
    </row>
    <row r="16776" spans="129:129" x14ac:dyDescent="0.2">
      <c r="DY16776" s="185" t="s">
        <v>215</v>
      </c>
    </row>
    <row r="16777" spans="129:129" x14ac:dyDescent="0.2">
      <c r="DY16777" s="185" t="s">
        <v>215</v>
      </c>
    </row>
    <row r="16778" spans="129:129" x14ac:dyDescent="0.2">
      <c r="DY16778" s="185" t="s">
        <v>215</v>
      </c>
    </row>
    <row r="16779" spans="129:129" x14ac:dyDescent="0.2">
      <c r="DY16779" s="185" t="s">
        <v>215</v>
      </c>
    </row>
    <row r="16780" spans="129:129" x14ac:dyDescent="0.2">
      <c r="DY16780" s="185" t="s">
        <v>215</v>
      </c>
    </row>
    <row r="16781" spans="129:129" x14ac:dyDescent="0.2">
      <c r="DY16781" s="185" t="s">
        <v>215</v>
      </c>
    </row>
    <row r="16782" spans="129:129" x14ac:dyDescent="0.2">
      <c r="DY16782" s="185" t="s">
        <v>215</v>
      </c>
    </row>
    <row r="16783" spans="129:129" x14ac:dyDescent="0.2">
      <c r="DY16783" s="185" t="s">
        <v>215</v>
      </c>
    </row>
    <row r="16784" spans="129:129" x14ac:dyDescent="0.2">
      <c r="DY16784" s="185" t="s">
        <v>215</v>
      </c>
    </row>
    <row r="16785" spans="129:129" x14ac:dyDescent="0.2">
      <c r="DY16785" s="185" t="s">
        <v>215</v>
      </c>
    </row>
    <row r="16786" spans="129:129" x14ac:dyDescent="0.2">
      <c r="DY16786" s="185" t="s">
        <v>215</v>
      </c>
    </row>
    <row r="16787" spans="129:129" x14ac:dyDescent="0.2">
      <c r="DY16787" s="185" t="s">
        <v>215</v>
      </c>
    </row>
    <row r="16788" spans="129:129" x14ac:dyDescent="0.2">
      <c r="DY16788" s="185" t="s">
        <v>215</v>
      </c>
    </row>
    <row r="16789" spans="129:129" x14ac:dyDescent="0.2">
      <c r="DY16789" s="185" t="s">
        <v>215</v>
      </c>
    </row>
    <row r="16790" spans="129:129" x14ac:dyDescent="0.2">
      <c r="DY16790" s="185" t="s">
        <v>215</v>
      </c>
    </row>
    <row r="16791" spans="129:129" x14ac:dyDescent="0.2">
      <c r="DY16791" s="185" t="s">
        <v>215</v>
      </c>
    </row>
    <row r="16792" spans="129:129" x14ac:dyDescent="0.2">
      <c r="DY16792" s="185" t="s">
        <v>215</v>
      </c>
    </row>
    <row r="16793" spans="129:129" x14ac:dyDescent="0.2">
      <c r="DY16793" s="185" t="s">
        <v>215</v>
      </c>
    </row>
    <row r="16794" spans="129:129" x14ac:dyDescent="0.2">
      <c r="DY16794" s="185" t="s">
        <v>215</v>
      </c>
    </row>
    <row r="16795" spans="129:129" x14ac:dyDescent="0.2">
      <c r="DY16795" s="185" t="s">
        <v>215</v>
      </c>
    </row>
    <row r="16796" spans="129:129" x14ac:dyDescent="0.2">
      <c r="DY16796" s="185" t="s">
        <v>215</v>
      </c>
    </row>
    <row r="16797" spans="129:129" x14ac:dyDescent="0.2">
      <c r="DY16797" s="185" t="s">
        <v>215</v>
      </c>
    </row>
    <row r="16798" spans="129:129" x14ac:dyDescent="0.2">
      <c r="DY16798" s="185" t="s">
        <v>215</v>
      </c>
    </row>
    <row r="16799" spans="129:129" x14ac:dyDescent="0.2">
      <c r="DY16799" s="185" t="s">
        <v>215</v>
      </c>
    </row>
    <row r="16800" spans="129:129" x14ac:dyDescent="0.2">
      <c r="DY16800" s="185" t="s">
        <v>215</v>
      </c>
    </row>
    <row r="16801" spans="129:129" x14ac:dyDescent="0.2">
      <c r="DY16801" s="185" t="s">
        <v>215</v>
      </c>
    </row>
    <row r="16802" spans="129:129" x14ac:dyDescent="0.2">
      <c r="DY16802" s="185" t="s">
        <v>215</v>
      </c>
    </row>
    <row r="16803" spans="129:129" x14ac:dyDescent="0.2">
      <c r="DY16803" s="185" t="s">
        <v>215</v>
      </c>
    </row>
    <row r="16804" spans="129:129" x14ac:dyDescent="0.2">
      <c r="DY16804" s="185" t="s">
        <v>215</v>
      </c>
    </row>
    <row r="16805" spans="129:129" x14ac:dyDescent="0.2">
      <c r="DY16805" s="185" t="s">
        <v>215</v>
      </c>
    </row>
    <row r="16806" spans="129:129" x14ac:dyDescent="0.2">
      <c r="DY16806" s="185" t="s">
        <v>215</v>
      </c>
    </row>
    <row r="16807" spans="129:129" x14ac:dyDescent="0.2">
      <c r="DY16807" s="185" t="s">
        <v>215</v>
      </c>
    </row>
    <row r="16808" spans="129:129" x14ac:dyDescent="0.2">
      <c r="DY16808" s="185" t="s">
        <v>215</v>
      </c>
    </row>
    <row r="16809" spans="129:129" x14ac:dyDescent="0.2">
      <c r="DY16809" s="185" t="s">
        <v>215</v>
      </c>
    </row>
    <row r="16810" spans="129:129" x14ac:dyDescent="0.2">
      <c r="DY16810" s="185" t="s">
        <v>215</v>
      </c>
    </row>
    <row r="16811" spans="129:129" x14ac:dyDescent="0.2">
      <c r="DY16811" s="185" t="s">
        <v>215</v>
      </c>
    </row>
    <row r="16812" spans="129:129" x14ac:dyDescent="0.2">
      <c r="DY16812" s="185" t="s">
        <v>215</v>
      </c>
    </row>
    <row r="16813" spans="129:129" x14ac:dyDescent="0.2">
      <c r="DY16813" s="185" t="s">
        <v>215</v>
      </c>
    </row>
    <row r="16814" spans="129:129" x14ac:dyDescent="0.2">
      <c r="DY16814" s="185" t="s">
        <v>215</v>
      </c>
    </row>
    <row r="16815" spans="129:129" x14ac:dyDescent="0.2">
      <c r="DY16815" s="185" t="s">
        <v>215</v>
      </c>
    </row>
    <row r="16816" spans="129:129" x14ac:dyDescent="0.2">
      <c r="DY16816" s="185" t="s">
        <v>215</v>
      </c>
    </row>
    <row r="16817" spans="129:129" x14ac:dyDescent="0.2">
      <c r="DY16817" s="185" t="s">
        <v>215</v>
      </c>
    </row>
    <row r="16818" spans="129:129" x14ac:dyDescent="0.2">
      <c r="DY16818" s="185" t="s">
        <v>215</v>
      </c>
    </row>
    <row r="16819" spans="129:129" x14ac:dyDescent="0.2">
      <c r="DY16819" s="185" t="s">
        <v>215</v>
      </c>
    </row>
    <row r="16820" spans="129:129" x14ac:dyDescent="0.2">
      <c r="DY16820" s="185" t="s">
        <v>215</v>
      </c>
    </row>
    <row r="16821" spans="129:129" x14ac:dyDescent="0.2">
      <c r="DY16821" s="185" t="s">
        <v>215</v>
      </c>
    </row>
    <row r="16822" spans="129:129" x14ac:dyDescent="0.2">
      <c r="DY16822" s="185" t="s">
        <v>215</v>
      </c>
    </row>
    <row r="16823" spans="129:129" x14ac:dyDescent="0.2">
      <c r="DY16823" s="185" t="s">
        <v>215</v>
      </c>
    </row>
    <row r="16824" spans="129:129" x14ac:dyDescent="0.2">
      <c r="DY16824" s="185" t="s">
        <v>215</v>
      </c>
    </row>
    <row r="16825" spans="129:129" x14ac:dyDescent="0.2">
      <c r="DY16825" s="185" t="s">
        <v>215</v>
      </c>
    </row>
    <row r="16826" spans="129:129" x14ac:dyDescent="0.2">
      <c r="DY16826" s="185" t="s">
        <v>215</v>
      </c>
    </row>
    <row r="16827" spans="129:129" x14ac:dyDescent="0.2">
      <c r="DY16827" s="185" t="s">
        <v>215</v>
      </c>
    </row>
    <row r="16828" spans="129:129" x14ac:dyDescent="0.2">
      <c r="DY16828" s="185" t="s">
        <v>215</v>
      </c>
    </row>
    <row r="16829" spans="129:129" x14ac:dyDescent="0.2">
      <c r="DY16829" s="185" t="s">
        <v>215</v>
      </c>
    </row>
    <row r="16830" spans="129:129" x14ac:dyDescent="0.2">
      <c r="DY16830" s="185" t="s">
        <v>215</v>
      </c>
    </row>
    <row r="16831" spans="129:129" x14ac:dyDescent="0.2">
      <c r="DY16831" s="185" t="s">
        <v>215</v>
      </c>
    </row>
    <row r="16832" spans="129:129" x14ac:dyDescent="0.2">
      <c r="DY16832" s="185" t="s">
        <v>215</v>
      </c>
    </row>
    <row r="16833" spans="129:129" x14ac:dyDescent="0.2">
      <c r="DY16833" s="185" t="s">
        <v>215</v>
      </c>
    </row>
    <row r="16834" spans="129:129" x14ac:dyDescent="0.2">
      <c r="DY16834" s="185" t="s">
        <v>215</v>
      </c>
    </row>
    <row r="16835" spans="129:129" x14ac:dyDescent="0.2">
      <c r="DY16835" s="185" t="s">
        <v>215</v>
      </c>
    </row>
    <row r="16836" spans="129:129" x14ac:dyDescent="0.2">
      <c r="DY16836" s="185" t="s">
        <v>215</v>
      </c>
    </row>
    <row r="16837" spans="129:129" x14ac:dyDescent="0.2">
      <c r="DY16837" s="185" t="s">
        <v>215</v>
      </c>
    </row>
    <row r="16838" spans="129:129" x14ac:dyDescent="0.2">
      <c r="DY16838" s="185" t="s">
        <v>215</v>
      </c>
    </row>
    <row r="16839" spans="129:129" x14ac:dyDescent="0.2">
      <c r="DY16839" s="185" t="s">
        <v>215</v>
      </c>
    </row>
    <row r="16840" spans="129:129" x14ac:dyDescent="0.2">
      <c r="DY16840" s="185" t="s">
        <v>215</v>
      </c>
    </row>
    <row r="16841" spans="129:129" x14ac:dyDescent="0.2">
      <c r="DY16841" s="185" t="s">
        <v>215</v>
      </c>
    </row>
    <row r="16842" spans="129:129" x14ac:dyDescent="0.2">
      <c r="DY16842" s="185" t="s">
        <v>215</v>
      </c>
    </row>
    <row r="16843" spans="129:129" x14ac:dyDescent="0.2">
      <c r="DY16843" s="185" t="s">
        <v>215</v>
      </c>
    </row>
    <row r="16844" spans="129:129" x14ac:dyDescent="0.2">
      <c r="DY16844" s="185" t="s">
        <v>215</v>
      </c>
    </row>
    <row r="16845" spans="129:129" x14ac:dyDescent="0.2">
      <c r="DY16845" s="185" t="s">
        <v>215</v>
      </c>
    </row>
    <row r="16846" spans="129:129" x14ac:dyDescent="0.2">
      <c r="DY16846" s="185" t="s">
        <v>215</v>
      </c>
    </row>
    <row r="16847" spans="129:129" x14ac:dyDescent="0.2">
      <c r="DY16847" s="185" t="s">
        <v>215</v>
      </c>
    </row>
    <row r="16848" spans="129:129" x14ac:dyDescent="0.2">
      <c r="DY16848" s="185" t="s">
        <v>215</v>
      </c>
    </row>
    <row r="16849" spans="129:129" x14ac:dyDescent="0.2">
      <c r="DY16849" s="185" t="s">
        <v>215</v>
      </c>
    </row>
    <row r="16850" spans="129:129" x14ac:dyDescent="0.2">
      <c r="DY16850" s="185" t="s">
        <v>215</v>
      </c>
    </row>
    <row r="16851" spans="129:129" x14ac:dyDescent="0.2">
      <c r="DY16851" s="185" t="s">
        <v>215</v>
      </c>
    </row>
    <row r="16852" spans="129:129" x14ac:dyDescent="0.2">
      <c r="DY16852" s="185" t="s">
        <v>215</v>
      </c>
    </row>
    <row r="16853" spans="129:129" x14ac:dyDescent="0.2">
      <c r="DY16853" s="185" t="s">
        <v>215</v>
      </c>
    </row>
    <row r="16854" spans="129:129" x14ac:dyDescent="0.2">
      <c r="DY16854" s="185" t="s">
        <v>215</v>
      </c>
    </row>
    <row r="16855" spans="129:129" x14ac:dyDescent="0.2">
      <c r="DY16855" s="185" t="s">
        <v>215</v>
      </c>
    </row>
    <row r="16856" spans="129:129" x14ac:dyDescent="0.2">
      <c r="DY16856" s="185" t="s">
        <v>215</v>
      </c>
    </row>
    <row r="16857" spans="129:129" x14ac:dyDescent="0.2">
      <c r="DY16857" s="185" t="s">
        <v>215</v>
      </c>
    </row>
    <row r="16858" spans="129:129" x14ac:dyDescent="0.2">
      <c r="DY16858" s="185" t="s">
        <v>215</v>
      </c>
    </row>
    <row r="16859" spans="129:129" x14ac:dyDescent="0.2">
      <c r="DY16859" s="185" t="s">
        <v>215</v>
      </c>
    </row>
    <row r="16860" spans="129:129" x14ac:dyDescent="0.2">
      <c r="DY16860" s="185" t="s">
        <v>215</v>
      </c>
    </row>
    <row r="16861" spans="129:129" x14ac:dyDescent="0.2">
      <c r="DY16861" s="185" t="s">
        <v>215</v>
      </c>
    </row>
    <row r="16862" spans="129:129" x14ac:dyDescent="0.2">
      <c r="DY16862" s="185" t="s">
        <v>215</v>
      </c>
    </row>
    <row r="16863" spans="129:129" x14ac:dyDescent="0.2">
      <c r="DY16863" s="185" t="s">
        <v>215</v>
      </c>
    </row>
    <row r="16864" spans="129:129" x14ac:dyDescent="0.2">
      <c r="DY16864" s="185" t="s">
        <v>215</v>
      </c>
    </row>
    <row r="16865" spans="129:129" x14ac:dyDescent="0.2">
      <c r="DY16865" s="185" t="s">
        <v>215</v>
      </c>
    </row>
    <row r="16866" spans="129:129" x14ac:dyDescent="0.2">
      <c r="DY16866" s="185" t="s">
        <v>215</v>
      </c>
    </row>
    <row r="16867" spans="129:129" x14ac:dyDescent="0.2">
      <c r="DY16867" s="185" t="s">
        <v>215</v>
      </c>
    </row>
    <row r="16868" spans="129:129" x14ac:dyDescent="0.2">
      <c r="DY16868" s="185" t="s">
        <v>215</v>
      </c>
    </row>
    <row r="16869" spans="129:129" x14ac:dyDescent="0.2">
      <c r="DY16869" s="185" t="s">
        <v>215</v>
      </c>
    </row>
    <row r="16870" spans="129:129" x14ac:dyDescent="0.2">
      <c r="DY16870" s="185" t="s">
        <v>215</v>
      </c>
    </row>
    <row r="16871" spans="129:129" x14ac:dyDescent="0.2">
      <c r="DY16871" s="185" t="s">
        <v>215</v>
      </c>
    </row>
    <row r="16872" spans="129:129" x14ac:dyDescent="0.2">
      <c r="DY16872" s="185" t="s">
        <v>215</v>
      </c>
    </row>
    <row r="16873" spans="129:129" x14ac:dyDescent="0.2">
      <c r="DY16873" s="185" t="s">
        <v>215</v>
      </c>
    </row>
    <row r="16874" spans="129:129" x14ac:dyDescent="0.2">
      <c r="DY16874" s="185" t="s">
        <v>215</v>
      </c>
    </row>
    <row r="16875" spans="129:129" x14ac:dyDescent="0.2">
      <c r="DY16875" s="185" t="s">
        <v>215</v>
      </c>
    </row>
    <row r="16876" spans="129:129" x14ac:dyDescent="0.2">
      <c r="DY16876" s="185" t="s">
        <v>215</v>
      </c>
    </row>
    <row r="16877" spans="129:129" x14ac:dyDescent="0.2">
      <c r="DY16877" s="185" t="s">
        <v>215</v>
      </c>
    </row>
    <row r="16878" spans="129:129" x14ac:dyDescent="0.2">
      <c r="DY16878" s="185" t="s">
        <v>215</v>
      </c>
    </row>
    <row r="16879" spans="129:129" x14ac:dyDescent="0.2">
      <c r="DY16879" s="185" t="s">
        <v>215</v>
      </c>
    </row>
    <row r="16880" spans="129:129" x14ac:dyDescent="0.2">
      <c r="DY16880" s="185" t="s">
        <v>215</v>
      </c>
    </row>
    <row r="16881" spans="129:129" x14ac:dyDescent="0.2">
      <c r="DY16881" s="185" t="s">
        <v>215</v>
      </c>
    </row>
    <row r="16882" spans="129:129" x14ac:dyDescent="0.2">
      <c r="DY16882" s="185" t="s">
        <v>215</v>
      </c>
    </row>
    <row r="16883" spans="129:129" x14ac:dyDescent="0.2">
      <c r="DY16883" s="185" t="s">
        <v>215</v>
      </c>
    </row>
    <row r="16884" spans="129:129" x14ac:dyDescent="0.2">
      <c r="DY16884" s="185" t="s">
        <v>215</v>
      </c>
    </row>
    <row r="16885" spans="129:129" x14ac:dyDescent="0.2">
      <c r="DY16885" s="185" t="s">
        <v>215</v>
      </c>
    </row>
    <row r="16886" spans="129:129" x14ac:dyDescent="0.2">
      <c r="DY16886" s="185" t="s">
        <v>215</v>
      </c>
    </row>
    <row r="16887" spans="129:129" x14ac:dyDescent="0.2">
      <c r="DY16887" s="185" t="s">
        <v>215</v>
      </c>
    </row>
    <row r="16888" spans="129:129" x14ac:dyDescent="0.2">
      <c r="DY16888" s="185" t="s">
        <v>215</v>
      </c>
    </row>
    <row r="16889" spans="129:129" x14ac:dyDescent="0.2">
      <c r="DY16889" s="185" t="s">
        <v>215</v>
      </c>
    </row>
    <row r="16890" spans="129:129" x14ac:dyDescent="0.2">
      <c r="DY16890" s="185" t="s">
        <v>215</v>
      </c>
    </row>
    <row r="16891" spans="129:129" x14ac:dyDescent="0.2">
      <c r="DY16891" s="185" t="s">
        <v>215</v>
      </c>
    </row>
    <row r="16892" spans="129:129" x14ac:dyDescent="0.2">
      <c r="DY16892" s="185" t="s">
        <v>215</v>
      </c>
    </row>
    <row r="16893" spans="129:129" x14ac:dyDescent="0.2">
      <c r="DY16893" s="185" t="s">
        <v>215</v>
      </c>
    </row>
    <row r="16894" spans="129:129" x14ac:dyDescent="0.2">
      <c r="DY16894" s="185" t="s">
        <v>215</v>
      </c>
    </row>
    <row r="16895" spans="129:129" x14ac:dyDescent="0.2">
      <c r="DY16895" s="185" t="s">
        <v>215</v>
      </c>
    </row>
    <row r="16896" spans="129:129" x14ac:dyDescent="0.2">
      <c r="DY16896" s="185" t="s">
        <v>215</v>
      </c>
    </row>
    <row r="16897" spans="129:129" x14ac:dyDescent="0.2">
      <c r="DY16897" s="185" t="s">
        <v>215</v>
      </c>
    </row>
    <row r="16898" spans="129:129" x14ac:dyDescent="0.2">
      <c r="DY16898" s="185" t="s">
        <v>215</v>
      </c>
    </row>
    <row r="16899" spans="129:129" x14ac:dyDescent="0.2">
      <c r="DY16899" s="185" t="s">
        <v>215</v>
      </c>
    </row>
    <row r="16900" spans="129:129" x14ac:dyDescent="0.2">
      <c r="DY16900" s="185" t="s">
        <v>215</v>
      </c>
    </row>
    <row r="16901" spans="129:129" x14ac:dyDescent="0.2">
      <c r="DY16901" s="185" t="s">
        <v>215</v>
      </c>
    </row>
    <row r="16902" spans="129:129" x14ac:dyDescent="0.2">
      <c r="DY16902" s="185" t="s">
        <v>215</v>
      </c>
    </row>
    <row r="16903" spans="129:129" x14ac:dyDescent="0.2">
      <c r="DY16903" s="185" t="s">
        <v>215</v>
      </c>
    </row>
    <row r="16904" spans="129:129" x14ac:dyDescent="0.2">
      <c r="DY16904" s="185" t="s">
        <v>215</v>
      </c>
    </row>
    <row r="16905" spans="129:129" x14ac:dyDescent="0.2">
      <c r="DY16905" s="185" t="s">
        <v>215</v>
      </c>
    </row>
    <row r="16906" spans="129:129" x14ac:dyDescent="0.2">
      <c r="DY16906" s="185" t="s">
        <v>215</v>
      </c>
    </row>
    <row r="16907" spans="129:129" x14ac:dyDescent="0.2">
      <c r="DY16907" s="185" t="s">
        <v>215</v>
      </c>
    </row>
    <row r="16908" spans="129:129" x14ac:dyDescent="0.2">
      <c r="DY16908" s="185" t="s">
        <v>215</v>
      </c>
    </row>
    <row r="16909" spans="129:129" x14ac:dyDescent="0.2">
      <c r="DY16909" s="185" t="s">
        <v>215</v>
      </c>
    </row>
    <row r="16910" spans="129:129" x14ac:dyDescent="0.2">
      <c r="DY16910" s="185" t="s">
        <v>215</v>
      </c>
    </row>
    <row r="16911" spans="129:129" x14ac:dyDescent="0.2">
      <c r="DY16911" s="185" t="s">
        <v>215</v>
      </c>
    </row>
    <row r="16912" spans="129:129" x14ac:dyDescent="0.2">
      <c r="DY16912" s="185" t="s">
        <v>215</v>
      </c>
    </row>
    <row r="16913" spans="129:129" x14ac:dyDescent="0.2">
      <c r="DY16913" s="185" t="s">
        <v>215</v>
      </c>
    </row>
    <row r="16914" spans="129:129" x14ac:dyDescent="0.2">
      <c r="DY16914" s="185" t="s">
        <v>215</v>
      </c>
    </row>
    <row r="16915" spans="129:129" x14ac:dyDescent="0.2">
      <c r="DY16915" s="185" t="s">
        <v>215</v>
      </c>
    </row>
    <row r="16916" spans="129:129" x14ac:dyDescent="0.2">
      <c r="DY16916" s="185" t="s">
        <v>215</v>
      </c>
    </row>
    <row r="16917" spans="129:129" x14ac:dyDescent="0.2">
      <c r="DY16917" s="185" t="s">
        <v>215</v>
      </c>
    </row>
    <row r="16918" spans="129:129" x14ac:dyDescent="0.2">
      <c r="DY16918" s="185" t="s">
        <v>215</v>
      </c>
    </row>
    <row r="16919" spans="129:129" x14ac:dyDescent="0.2">
      <c r="DY16919" s="185" t="s">
        <v>215</v>
      </c>
    </row>
    <row r="16920" spans="129:129" x14ac:dyDescent="0.2">
      <c r="DY16920" s="185" t="s">
        <v>215</v>
      </c>
    </row>
    <row r="16921" spans="129:129" x14ac:dyDescent="0.2">
      <c r="DY16921" s="185" t="s">
        <v>215</v>
      </c>
    </row>
    <row r="16922" spans="129:129" x14ac:dyDescent="0.2">
      <c r="DY16922" s="185" t="s">
        <v>215</v>
      </c>
    </row>
    <row r="16923" spans="129:129" x14ac:dyDescent="0.2">
      <c r="DY16923" s="185" t="s">
        <v>215</v>
      </c>
    </row>
    <row r="16924" spans="129:129" x14ac:dyDescent="0.2">
      <c r="DY16924" s="185" t="s">
        <v>215</v>
      </c>
    </row>
    <row r="16925" spans="129:129" x14ac:dyDescent="0.2">
      <c r="DY16925" s="185" t="s">
        <v>215</v>
      </c>
    </row>
    <row r="16926" spans="129:129" x14ac:dyDescent="0.2">
      <c r="DY16926" s="185" t="s">
        <v>215</v>
      </c>
    </row>
    <row r="16927" spans="129:129" x14ac:dyDescent="0.2">
      <c r="DY16927" s="185" t="s">
        <v>215</v>
      </c>
    </row>
    <row r="16928" spans="129:129" x14ac:dyDescent="0.2">
      <c r="DY16928" s="185" t="s">
        <v>215</v>
      </c>
    </row>
    <row r="16929" spans="129:129" x14ac:dyDescent="0.2">
      <c r="DY16929" s="185" t="s">
        <v>215</v>
      </c>
    </row>
    <row r="16930" spans="129:129" x14ac:dyDescent="0.2">
      <c r="DY16930" s="185" t="s">
        <v>215</v>
      </c>
    </row>
    <row r="16931" spans="129:129" x14ac:dyDescent="0.2">
      <c r="DY16931" s="185" t="s">
        <v>215</v>
      </c>
    </row>
    <row r="16932" spans="129:129" x14ac:dyDescent="0.2">
      <c r="DY16932" s="185" t="s">
        <v>215</v>
      </c>
    </row>
    <row r="16933" spans="129:129" x14ac:dyDescent="0.2">
      <c r="DY16933" s="185" t="s">
        <v>215</v>
      </c>
    </row>
    <row r="16934" spans="129:129" x14ac:dyDescent="0.2">
      <c r="DY16934" s="185" t="s">
        <v>215</v>
      </c>
    </row>
    <row r="16935" spans="129:129" x14ac:dyDescent="0.2">
      <c r="DY16935" s="185" t="s">
        <v>215</v>
      </c>
    </row>
    <row r="16936" spans="129:129" x14ac:dyDescent="0.2">
      <c r="DY16936" s="185" t="s">
        <v>215</v>
      </c>
    </row>
    <row r="16937" spans="129:129" x14ac:dyDescent="0.2">
      <c r="DY16937" s="185" t="s">
        <v>215</v>
      </c>
    </row>
    <row r="16938" spans="129:129" x14ac:dyDescent="0.2">
      <c r="DY16938" s="185" t="s">
        <v>215</v>
      </c>
    </row>
    <row r="16939" spans="129:129" x14ac:dyDescent="0.2">
      <c r="DY16939" s="185" t="s">
        <v>215</v>
      </c>
    </row>
    <row r="16940" spans="129:129" x14ac:dyDescent="0.2">
      <c r="DY16940" s="185" t="s">
        <v>215</v>
      </c>
    </row>
    <row r="16941" spans="129:129" x14ac:dyDescent="0.2">
      <c r="DY16941" s="185" t="s">
        <v>215</v>
      </c>
    </row>
    <row r="16942" spans="129:129" x14ac:dyDescent="0.2">
      <c r="DY16942" s="185" t="s">
        <v>215</v>
      </c>
    </row>
    <row r="16943" spans="129:129" x14ac:dyDescent="0.2">
      <c r="DY16943" s="185" t="s">
        <v>215</v>
      </c>
    </row>
    <row r="16944" spans="129:129" x14ac:dyDescent="0.2">
      <c r="DY16944" s="185" t="s">
        <v>215</v>
      </c>
    </row>
    <row r="16945" spans="129:129" x14ac:dyDescent="0.2">
      <c r="DY16945" s="185" t="s">
        <v>215</v>
      </c>
    </row>
    <row r="16946" spans="129:129" x14ac:dyDescent="0.2">
      <c r="DY16946" s="185" t="s">
        <v>215</v>
      </c>
    </row>
    <row r="16947" spans="129:129" x14ac:dyDescent="0.2">
      <c r="DY16947" s="185" t="s">
        <v>215</v>
      </c>
    </row>
    <row r="16948" spans="129:129" x14ac:dyDescent="0.2">
      <c r="DY16948" s="185" t="s">
        <v>215</v>
      </c>
    </row>
    <row r="16949" spans="129:129" x14ac:dyDescent="0.2">
      <c r="DY16949" s="185" t="s">
        <v>215</v>
      </c>
    </row>
    <row r="16950" spans="129:129" x14ac:dyDescent="0.2">
      <c r="DY16950" s="185" t="s">
        <v>215</v>
      </c>
    </row>
    <row r="16951" spans="129:129" x14ac:dyDescent="0.2">
      <c r="DY16951" s="185" t="s">
        <v>215</v>
      </c>
    </row>
    <row r="16952" spans="129:129" x14ac:dyDescent="0.2">
      <c r="DY16952" s="185" t="s">
        <v>215</v>
      </c>
    </row>
    <row r="16953" spans="129:129" x14ac:dyDescent="0.2">
      <c r="DY16953" s="185" t="s">
        <v>215</v>
      </c>
    </row>
    <row r="16954" spans="129:129" x14ac:dyDescent="0.2">
      <c r="DY16954" s="185" t="s">
        <v>215</v>
      </c>
    </row>
    <row r="16955" spans="129:129" x14ac:dyDescent="0.2">
      <c r="DY16955" s="185" t="s">
        <v>215</v>
      </c>
    </row>
    <row r="16956" spans="129:129" x14ac:dyDescent="0.2">
      <c r="DY16956" s="185" t="s">
        <v>215</v>
      </c>
    </row>
    <row r="16957" spans="129:129" x14ac:dyDescent="0.2">
      <c r="DY16957" s="185" t="s">
        <v>215</v>
      </c>
    </row>
    <row r="16958" spans="129:129" x14ac:dyDescent="0.2">
      <c r="DY16958" s="185" t="s">
        <v>215</v>
      </c>
    </row>
    <row r="16959" spans="129:129" x14ac:dyDescent="0.2">
      <c r="DY16959" s="185" t="s">
        <v>215</v>
      </c>
    </row>
    <row r="16960" spans="129:129" x14ac:dyDescent="0.2">
      <c r="DY16960" s="185" t="s">
        <v>215</v>
      </c>
    </row>
    <row r="16961" spans="129:129" x14ac:dyDescent="0.2">
      <c r="DY16961" s="185" t="s">
        <v>215</v>
      </c>
    </row>
    <row r="16962" spans="129:129" x14ac:dyDescent="0.2">
      <c r="DY16962" s="185" t="s">
        <v>215</v>
      </c>
    </row>
    <row r="16963" spans="129:129" x14ac:dyDescent="0.2">
      <c r="DY16963" s="185" t="s">
        <v>215</v>
      </c>
    </row>
    <row r="16964" spans="129:129" x14ac:dyDescent="0.2">
      <c r="DY16964" s="185" t="s">
        <v>215</v>
      </c>
    </row>
    <row r="16965" spans="129:129" x14ac:dyDescent="0.2">
      <c r="DY16965" s="185" t="s">
        <v>215</v>
      </c>
    </row>
    <row r="16966" spans="129:129" x14ac:dyDescent="0.2">
      <c r="DY16966" s="185" t="s">
        <v>215</v>
      </c>
    </row>
    <row r="16967" spans="129:129" x14ac:dyDescent="0.2">
      <c r="DY16967" s="185" t="s">
        <v>215</v>
      </c>
    </row>
    <row r="16968" spans="129:129" x14ac:dyDescent="0.2">
      <c r="DY16968" s="185" t="s">
        <v>215</v>
      </c>
    </row>
    <row r="16969" spans="129:129" x14ac:dyDescent="0.2">
      <c r="DY16969" s="185" t="s">
        <v>215</v>
      </c>
    </row>
    <row r="16970" spans="129:129" x14ac:dyDescent="0.2">
      <c r="DY16970" s="185" t="s">
        <v>215</v>
      </c>
    </row>
    <row r="16971" spans="129:129" x14ac:dyDescent="0.2">
      <c r="DY16971" s="185" t="s">
        <v>215</v>
      </c>
    </row>
    <row r="16972" spans="129:129" x14ac:dyDescent="0.2">
      <c r="DY16972" s="185" t="s">
        <v>215</v>
      </c>
    </row>
    <row r="16973" spans="129:129" x14ac:dyDescent="0.2">
      <c r="DY16973" s="185" t="s">
        <v>215</v>
      </c>
    </row>
    <row r="16974" spans="129:129" x14ac:dyDescent="0.2">
      <c r="DY16974" s="185" t="s">
        <v>215</v>
      </c>
    </row>
    <row r="16975" spans="129:129" x14ac:dyDescent="0.2">
      <c r="DY16975" s="185" t="s">
        <v>215</v>
      </c>
    </row>
    <row r="16976" spans="129:129" x14ac:dyDescent="0.2">
      <c r="DY16976" s="185" t="s">
        <v>215</v>
      </c>
    </row>
    <row r="16977" spans="129:129" x14ac:dyDescent="0.2">
      <c r="DY16977" s="185" t="s">
        <v>215</v>
      </c>
    </row>
    <row r="16978" spans="129:129" x14ac:dyDescent="0.2">
      <c r="DY16978" s="185" t="s">
        <v>215</v>
      </c>
    </row>
    <row r="16979" spans="129:129" x14ac:dyDescent="0.2">
      <c r="DY16979" s="185" t="s">
        <v>215</v>
      </c>
    </row>
    <row r="16980" spans="129:129" x14ac:dyDescent="0.2">
      <c r="DY16980" s="185" t="s">
        <v>215</v>
      </c>
    </row>
    <row r="16981" spans="129:129" x14ac:dyDescent="0.2">
      <c r="DY16981" s="185" t="s">
        <v>215</v>
      </c>
    </row>
    <row r="16982" spans="129:129" x14ac:dyDescent="0.2">
      <c r="DY16982" s="185" t="s">
        <v>215</v>
      </c>
    </row>
    <row r="16983" spans="129:129" x14ac:dyDescent="0.2">
      <c r="DY16983" s="185" t="s">
        <v>215</v>
      </c>
    </row>
    <row r="16984" spans="129:129" x14ac:dyDescent="0.2">
      <c r="DY16984" s="185" t="s">
        <v>215</v>
      </c>
    </row>
    <row r="16985" spans="129:129" x14ac:dyDescent="0.2">
      <c r="DY16985" s="185" t="s">
        <v>215</v>
      </c>
    </row>
    <row r="16986" spans="129:129" x14ac:dyDescent="0.2">
      <c r="DY16986" s="185" t="s">
        <v>215</v>
      </c>
    </row>
    <row r="16987" spans="129:129" x14ac:dyDescent="0.2">
      <c r="DY16987" s="185" t="s">
        <v>215</v>
      </c>
    </row>
    <row r="16988" spans="129:129" x14ac:dyDescent="0.2">
      <c r="DY16988" s="185" t="s">
        <v>215</v>
      </c>
    </row>
    <row r="16989" spans="129:129" x14ac:dyDescent="0.2">
      <c r="DY16989" s="185" t="s">
        <v>215</v>
      </c>
    </row>
    <row r="16990" spans="129:129" x14ac:dyDescent="0.2">
      <c r="DY16990" s="185" t="s">
        <v>215</v>
      </c>
    </row>
    <row r="16991" spans="129:129" x14ac:dyDescent="0.2">
      <c r="DY16991" s="185" t="s">
        <v>215</v>
      </c>
    </row>
    <row r="16992" spans="129:129" x14ac:dyDescent="0.2">
      <c r="DY16992" s="185" t="s">
        <v>215</v>
      </c>
    </row>
    <row r="16993" spans="129:129" x14ac:dyDescent="0.2">
      <c r="DY16993" s="185" t="s">
        <v>215</v>
      </c>
    </row>
    <row r="16994" spans="129:129" x14ac:dyDescent="0.2">
      <c r="DY16994" s="185" t="s">
        <v>215</v>
      </c>
    </row>
    <row r="16995" spans="129:129" x14ac:dyDescent="0.2">
      <c r="DY16995" s="185" t="s">
        <v>215</v>
      </c>
    </row>
    <row r="16996" spans="129:129" x14ac:dyDescent="0.2">
      <c r="DY16996" s="185" t="s">
        <v>215</v>
      </c>
    </row>
    <row r="16997" spans="129:129" x14ac:dyDescent="0.2">
      <c r="DY16997" s="185" t="s">
        <v>215</v>
      </c>
    </row>
    <row r="16998" spans="129:129" x14ac:dyDescent="0.2">
      <c r="DY16998" s="185" t="s">
        <v>215</v>
      </c>
    </row>
    <row r="16999" spans="129:129" x14ac:dyDescent="0.2">
      <c r="DY16999" s="185" t="s">
        <v>215</v>
      </c>
    </row>
    <row r="17000" spans="129:129" x14ac:dyDescent="0.2">
      <c r="DY17000" s="185" t="s">
        <v>215</v>
      </c>
    </row>
    <row r="17001" spans="129:129" x14ac:dyDescent="0.2">
      <c r="DY17001" s="185" t="s">
        <v>215</v>
      </c>
    </row>
    <row r="17002" spans="129:129" x14ac:dyDescent="0.2">
      <c r="DY17002" s="185" t="s">
        <v>215</v>
      </c>
    </row>
    <row r="17003" spans="129:129" x14ac:dyDescent="0.2">
      <c r="DY17003" s="185" t="s">
        <v>215</v>
      </c>
    </row>
    <row r="17004" spans="129:129" x14ac:dyDescent="0.2">
      <c r="DY17004" s="185" t="s">
        <v>215</v>
      </c>
    </row>
    <row r="17005" spans="129:129" x14ac:dyDescent="0.2">
      <c r="DY17005" s="185" t="s">
        <v>215</v>
      </c>
    </row>
    <row r="17006" spans="129:129" x14ac:dyDescent="0.2">
      <c r="DY17006" s="185" t="s">
        <v>215</v>
      </c>
    </row>
    <row r="17007" spans="129:129" x14ac:dyDescent="0.2">
      <c r="DY17007" s="185" t="s">
        <v>215</v>
      </c>
    </row>
    <row r="17008" spans="129:129" x14ac:dyDescent="0.2">
      <c r="DY17008" s="185" t="s">
        <v>215</v>
      </c>
    </row>
    <row r="17009" spans="129:129" x14ac:dyDescent="0.2">
      <c r="DY17009" s="185" t="s">
        <v>215</v>
      </c>
    </row>
    <row r="17010" spans="129:129" x14ac:dyDescent="0.2">
      <c r="DY17010" s="185" t="s">
        <v>215</v>
      </c>
    </row>
    <row r="17011" spans="129:129" x14ac:dyDescent="0.2">
      <c r="DY17011" s="185" t="s">
        <v>215</v>
      </c>
    </row>
    <row r="17012" spans="129:129" x14ac:dyDescent="0.2">
      <c r="DY17012" s="185" t="s">
        <v>215</v>
      </c>
    </row>
    <row r="17013" spans="129:129" x14ac:dyDescent="0.2">
      <c r="DY17013" s="185" t="s">
        <v>215</v>
      </c>
    </row>
    <row r="17014" spans="129:129" x14ac:dyDescent="0.2">
      <c r="DY17014" s="185" t="s">
        <v>215</v>
      </c>
    </row>
    <row r="17015" spans="129:129" x14ac:dyDescent="0.2">
      <c r="DY17015" s="185" t="s">
        <v>215</v>
      </c>
    </row>
    <row r="17016" spans="129:129" x14ac:dyDescent="0.2">
      <c r="DY17016" s="185" t="s">
        <v>215</v>
      </c>
    </row>
    <row r="17017" spans="129:129" x14ac:dyDescent="0.2">
      <c r="DY17017" s="185" t="s">
        <v>215</v>
      </c>
    </row>
    <row r="17018" spans="129:129" x14ac:dyDescent="0.2">
      <c r="DY17018" s="185" t="s">
        <v>215</v>
      </c>
    </row>
    <row r="17019" spans="129:129" x14ac:dyDescent="0.2">
      <c r="DY17019" s="185" t="s">
        <v>215</v>
      </c>
    </row>
    <row r="17020" spans="129:129" x14ac:dyDescent="0.2">
      <c r="DY17020" s="185" t="s">
        <v>215</v>
      </c>
    </row>
    <row r="17021" spans="129:129" x14ac:dyDescent="0.2">
      <c r="DY17021" s="185" t="s">
        <v>215</v>
      </c>
    </row>
    <row r="17022" spans="129:129" x14ac:dyDescent="0.2">
      <c r="DY17022" s="185" t="s">
        <v>215</v>
      </c>
    </row>
    <row r="17023" spans="129:129" x14ac:dyDescent="0.2">
      <c r="DY17023" s="185" t="s">
        <v>215</v>
      </c>
    </row>
    <row r="17024" spans="129:129" x14ac:dyDescent="0.2">
      <c r="DY17024" s="185" t="s">
        <v>215</v>
      </c>
    </row>
    <row r="17025" spans="129:129" x14ac:dyDescent="0.2">
      <c r="DY17025" s="185" t="s">
        <v>215</v>
      </c>
    </row>
    <row r="17026" spans="129:129" x14ac:dyDescent="0.2">
      <c r="DY17026" s="185" t="s">
        <v>215</v>
      </c>
    </row>
    <row r="17027" spans="129:129" x14ac:dyDescent="0.2">
      <c r="DY17027" s="185" t="s">
        <v>215</v>
      </c>
    </row>
    <row r="17028" spans="129:129" x14ac:dyDescent="0.2">
      <c r="DY17028" s="185" t="s">
        <v>215</v>
      </c>
    </row>
    <row r="17029" spans="129:129" x14ac:dyDescent="0.2">
      <c r="DY17029" s="185" t="s">
        <v>215</v>
      </c>
    </row>
    <row r="17030" spans="129:129" x14ac:dyDescent="0.2">
      <c r="DY17030" s="185" t="s">
        <v>215</v>
      </c>
    </row>
    <row r="17031" spans="129:129" x14ac:dyDescent="0.2">
      <c r="DY17031" s="185" t="s">
        <v>215</v>
      </c>
    </row>
    <row r="17032" spans="129:129" x14ac:dyDescent="0.2">
      <c r="DY17032" s="185" t="s">
        <v>215</v>
      </c>
    </row>
    <row r="17033" spans="129:129" x14ac:dyDescent="0.2">
      <c r="DY17033" s="185" t="s">
        <v>215</v>
      </c>
    </row>
    <row r="17034" spans="129:129" x14ac:dyDescent="0.2">
      <c r="DY17034" s="185" t="s">
        <v>215</v>
      </c>
    </row>
    <row r="17035" spans="129:129" x14ac:dyDescent="0.2">
      <c r="DY17035" s="185" t="s">
        <v>215</v>
      </c>
    </row>
    <row r="17036" spans="129:129" x14ac:dyDescent="0.2">
      <c r="DY17036" s="185" t="s">
        <v>215</v>
      </c>
    </row>
    <row r="17037" spans="129:129" x14ac:dyDescent="0.2">
      <c r="DY17037" s="185" t="s">
        <v>215</v>
      </c>
    </row>
    <row r="17038" spans="129:129" x14ac:dyDescent="0.2">
      <c r="DY17038" s="185" t="s">
        <v>215</v>
      </c>
    </row>
    <row r="17039" spans="129:129" x14ac:dyDescent="0.2">
      <c r="DY17039" s="185" t="s">
        <v>215</v>
      </c>
    </row>
    <row r="17040" spans="129:129" x14ac:dyDescent="0.2">
      <c r="DY17040" s="185" t="s">
        <v>215</v>
      </c>
    </row>
    <row r="17041" spans="129:129" x14ac:dyDescent="0.2">
      <c r="DY17041" s="185" t="s">
        <v>215</v>
      </c>
    </row>
    <row r="17042" spans="129:129" x14ac:dyDescent="0.2">
      <c r="DY17042" s="185" t="s">
        <v>215</v>
      </c>
    </row>
    <row r="17043" spans="129:129" x14ac:dyDescent="0.2">
      <c r="DY17043" s="185" t="s">
        <v>215</v>
      </c>
    </row>
    <row r="17044" spans="129:129" x14ac:dyDescent="0.2">
      <c r="DY17044" s="185" t="s">
        <v>215</v>
      </c>
    </row>
    <row r="17045" spans="129:129" x14ac:dyDescent="0.2">
      <c r="DY17045" s="185" t="s">
        <v>215</v>
      </c>
    </row>
    <row r="17046" spans="129:129" x14ac:dyDescent="0.2">
      <c r="DY17046" s="185" t="s">
        <v>215</v>
      </c>
    </row>
    <row r="17047" spans="129:129" x14ac:dyDescent="0.2">
      <c r="DY17047" s="185" t="s">
        <v>215</v>
      </c>
    </row>
    <row r="17048" spans="129:129" x14ac:dyDescent="0.2">
      <c r="DY17048" s="185" t="s">
        <v>215</v>
      </c>
    </row>
    <row r="17049" spans="129:129" x14ac:dyDescent="0.2">
      <c r="DY17049" s="185" t="s">
        <v>215</v>
      </c>
    </row>
    <row r="17050" spans="129:129" x14ac:dyDescent="0.2">
      <c r="DY17050" s="185" t="s">
        <v>215</v>
      </c>
    </row>
    <row r="17051" spans="129:129" x14ac:dyDescent="0.2">
      <c r="DY17051" s="185" t="s">
        <v>215</v>
      </c>
    </row>
    <row r="17052" spans="129:129" x14ac:dyDescent="0.2">
      <c r="DY17052" s="185" t="s">
        <v>215</v>
      </c>
    </row>
    <row r="17053" spans="129:129" x14ac:dyDescent="0.2">
      <c r="DY17053" s="185" t="s">
        <v>215</v>
      </c>
    </row>
    <row r="17054" spans="129:129" x14ac:dyDescent="0.2">
      <c r="DY17054" s="185" t="s">
        <v>215</v>
      </c>
    </row>
    <row r="17055" spans="129:129" x14ac:dyDescent="0.2">
      <c r="DY17055" s="185" t="s">
        <v>215</v>
      </c>
    </row>
    <row r="17056" spans="129:129" x14ac:dyDescent="0.2">
      <c r="DY17056" s="185" t="s">
        <v>215</v>
      </c>
    </row>
    <row r="17057" spans="129:129" x14ac:dyDescent="0.2">
      <c r="DY17057" s="185" t="s">
        <v>215</v>
      </c>
    </row>
    <row r="17058" spans="129:129" x14ac:dyDescent="0.2">
      <c r="DY17058" s="185" t="s">
        <v>215</v>
      </c>
    </row>
    <row r="17059" spans="129:129" x14ac:dyDescent="0.2">
      <c r="DY17059" s="185" t="s">
        <v>215</v>
      </c>
    </row>
    <row r="17060" spans="129:129" x14ac:dyDescent="0.2">
      <c r="DY17060" s="185" t="s">
        <v>215</v>
      </c>
    </row>
    <row r="17061" spans="129:129" x14ac:dyDescent="0.2">
      <c r="DY17061" s="185" t="s">
        <v>215</v>
      </c>
    </row>
    <row r="17062" spans="129:129" x14ac:dyDescent="0.2">
      <c r="DY17062" s="185" t="s">
        <v>215</v>
      </c>
    </row>
    <row r="17063" spans="129:129" x14ac:dyDescent="0.2">
      <c r="DY17063" s="185" t="s">
        <v>215</v>
      </c>
    </row>
    <row r="17064" spans="129:129" x14ac:dyDescent="0.2">
      <c r="DY17064" s="185" t="s">
        <v>215</v>
      </c>
    </row>
    <row r="17065" spans="129:129" x14ac:dyDescent="0.2">
      <c r="DY17065" s="185" t="s">
        <v>215</v>
      </c>
    </row>
    <row r="17066" spans="129:129" x14ac:dyDescent="0.2">
      <c r="DY17066" s="185" t="s">
        <v>215</v>
      </c>
    </row>
    <row r="17067" spans="129:129" x14ac:dyDescent="0.2">
      <c r="DY17067" s="185" t="s">
        <v>215</v>
      </c>
    </row>
    <row r="17068" spans="129:129" x14ac:dyDescent="0.2">
      <c r="DY17068" s="185" t="s">
        <v>215</v>
      </c>
    </row>
    <row r="17069" spans="129:129" x14ac:dyDescent="0.2">
      <c r="DY17069" s="185" t="s">
        <v>215</v>
      </c>
    </row>
    <row r="17070" spans="129:129" x14ac:dyDescent="0.2">
      <c r="DY17070" s="185" t="s">
        <v>215</v>
      </c>
    </row>
    <row r="17071" spans="129:129" x14ac:dyDescent="0.2">
      <c r="DY17071" s="185" t="s">
        <v>215</v>
      </c>
    </row>
    <row r="17072" spans="129:129" x14ac:dyDescent="0.2">
      <c r="DY17072" s="185" t="s">
        <v>215</v>
      </c>
    </row>
    <row r="17073" spans="129:129" x14ac:dyDescent="0.2">
      <c r="DY17073" s="185" t="s">
        <v>215</v>
      </c>
    </row>
    <row r="17074" spans="129:129" x14ac:dyDescent="0.2">
      <c r="DY17074" s="185" t="s">
        <v>215</v>
      </c>
    </row>
    <row r="17075" spans="129:129" x14ac:dyDescent="0.2">
      <c r="DY17075" s="185" t="s">
        <v>215</v>
      </c>
    </row>
    <row r="17076" spans="129:129" x14ac:dyDescent="0.2">
      <c r="DY17076" s="185" t="s">
        <v>215</v>
      </c>
    </row>
    <row r="17077" spans="129:129" x14ac:dyDescent="0.2">
      <c r="DY17077" s="185" t="s">
        <v>215</v>
      </c>
    </row>
    <row r="17078" spans="129:129" x14ac:dyDescent="0.2">
      <c r="DY17078" s="185" t="s">
        <v>215</v>
      </c>
    </row>
    <row r="17079" spans="129:129" x14ac:dyDescent="0.2">
      <c r="DY17079" s="185" t="s">
        <v>215</v>
      </c>
    </row>
    <row r="17080" spans="129:129" x14ac:dyDescent="0.2">
      <c r="DY17080" s="185" t="s">
        <v>215</v>
      </c>
    </row>
    <row r="17081" spans="129:129" x14ac:dyDescent="0.2">
      <c r="DY17081" s="185" t="s">
        <v>215</v>
      </c>
    </row>
    <row r="17082" spans="129:129" x14ac:dyDescent="0.2">
      <c r="DY17082" s="185" t="s">
        <v>215</v>
      </c>
    </row>
    <row r="17083" spans="129:129" x14ac:dyDescent="0.2">
      <c r="DY17083" s="185" t="s">
        <v>215</v>
      </c>
    </row>
    <row r="17084" spans="129:129" x14ac:dyDescent="0.2">
      <c r="DY17084" s="185" t="s">
        <v>215</v>
      </c>
    </row>
    <row r="17085" spans="129:129" x14ac:dyDescent="0.2">
      <c r="DY17085" s="185" t="s">
        <v>215</v>
      </c>
    </row>
    <row r="17086" spans="129:129" x14ac:dyDescent="0.2">
      <c r="DY17086" s="185" t="s">
        <v>215</v>
      </c>
    </row>
    <row r="17087" spans="129:129" x14ac:dyDescent="0.2">
      <c r="DY17087" s="185" t="s">
        <v>215</v>
      </c>
    </row>
    <row r="17088" spans="129:129" x14ac:dyDescent="0.2">
      <c r="DY17088" s="185" t="s">
        <v>215</v>
      </c>
    </row>
    <row r="17089" spans="129:129" x14ac:dyDescent="0.2">
      <c r="DY17089" s="185" t="s">
        <v>215</v>
      </c>
    </row>
    <row r="17090" spans="129:129" x14ac:dyDescent="0.2">
      <c r="DY17090" s="185" t="s">
        <v>215</v>
      </c>
    </row>
    <row r="17091" spans="129:129" x14ac:dyDescent="0.2">
      <c r="DY17091" s="185" t="s">
        <v>215</v>
      </c>
    </row>
    <row r="17092" spans="129:129" x14ac:dyDescent="0.2">
      <c r="DY17092" s="185" t="s">
        <v>215</v>
      </c>
    </row>
    <row r="17093" spans="129:129" x14ac:dyDescent="0.2">
      <c r="DY17093" s="185" t="s">
        <v>215</v>
      </c>
    </row>
    <row r="17094" spans="129:129" x14ac:dyDescent="0.2">
      <c r="DY17094" s="185" t="s">
        <v>215</v>
      </c>
    </row>
    <row r="17095" spans="129:129" x14ac:dyDescent="0.2">
      <c r="DY17095" s="185" t="s">
        <v>215</v>
      </c>
    </row>
    <row r="17096" spans="129:129" x14ac:dyDescent="0.2">
      <c r="DY17096" s="185" t="s">
        <v>215</v>
      </c>
    </row>
    <row r="17097" spans="129:129" x14ac:dyDescent="0.2">
      <c r="DY17097" s="185" t="s">
        <v>215</v>
      </c>
    </row>
    <row r="17098" spans="129:129" x14ac:dyDescent="0.2">
      <c r="DY17098" s="185" t="s">
        <v>215</v>
      </c>
    </row>
    <row r="17099" spans="129:129" x14ac:dyDescent="0.2">
      <c r="DY17099" s="185" t="s">
        <v>215</v>
      </c>
    </row>
    <row r="17100" spans="129:129" x14ac:dyDescent="0.2">
      <c r="DY17100" s="185" t="s">
        <v>215</v>
      </c>
    </row>
    <row r="17101" spans="129:129" x14ac:dyDescent="0.2">
      <c r="DY17101" s="185" t="s">
        <v>215</v>
      </c>
    </row>
    <row r="17102" spans="129:129" x14ac:dyDescent="0.2">
      <c r="DY17102" s="185" t="s">
        <v>215</v>
      </c>
    </row>
    <row r="17103" spans="129:129" x14ac:dyDescent="0.2">
      <c r="DY17103" s="185" t="s">
        <v>215</v>
      </c>
    </row>
    <row r="17104" spans="129:129" x14ac:dyDescent="0.2">
      <c r="DY17104" s="185" t="s">
        <v>215</v>
      </c>
    </row>
    <row r="17105" spans="129:129" x14ac:dyDescent="0.2">
      <c r="DY17105" s="185" t="s">
        <v>215</v>
      </c>
    </row>
    <row r="17106" spans="129:129" x14ac:dyDescent="0.2">
      <c r="DY17106" s="185" t="s">
        <v>215</v>
      </c>
    </row>
    <row r="17107" spans="129:129" x14ac:dyDescent="0.2">
      <c r="DY17107" s="185" t="s">
        <v>215</v>
      </c>
    </row>
    <row r="17108" spans="129:129" x14ac:dyDescent="0.2">
      <c r="DY17108" s="185" t="s">
        <v>215</v>
      </c>
    </row>
    <row r="17109" spans="129:129" x14ac:dyDescent="0.2">
      <c r="DY17109" s="185" t="s">
        <v>215</v>
      </c>
    </row>
    <row r="17110" spans="129:129" x14ac:dyDescent="0.2">
      <c r="DY17110" s="185" t="s">
        <v>215</v>
      </c>
    </row>
    <row r="17111" spans="129:129" x14ac:dyDescent="0.2">
      <c r="DY17111" s="185" t="s">
        <v>215</v>
      </c>
    </row>
    <row r="17112" spans="129:129" x14ac:dyDescent="0.2">
      <c r="DY17112" s="185" t="s">
        <v>215</v>
      </c>
    </row>
    <row r="17113" spans="129:129" x14ac:dyDescent="0.2">
      <c r="DY17113" s="185" t="s">
        <v>215</v>
      </c>
    </row>
    <row r="17114" spans="129:129" x14ac:dyDescent="0.2">
      <c r="DY17114" s="185" t="s">
        <v>215</v>
      </c>
    </row>
    <row r="17115" spans="129:129" x14ac:dyDescent="0.2">
      <c r="DY17115" s="185" t="s">
        <v>215</v>
      </c>
    </row>
    <row r="17116" spans="129:129" x14ac:dyDescent="0.2">
      <c r="DY17116" s="185" t="s">
        <v>215</v>
      </c>
    </row>
    <row r="17117" spans="129:129" x14ac:dyDescent="0.2">
      <c r="DY17117" s="185" t="s">
        <v>215</v>
      </c>
    </row>
    <row r="17118" spans="129:129" x14ac:dyDescent="0.2">
      <c r="DY17118" s="185" t="s">
        <v>215</v>
      </c>
    </row>
    <row r="17119" spans="129:129" x14ac:dyDescent="0.2">
      <c r="DY17119" s="185" t="s">
        <v>215</v>
      </c>
    </row>
    <row r="17120" spans="129:129" x14ac:dyDescent="0.2">
      <c r="DY17120" s="185" t="s">
        <v>215</v>
      </c>
    </row>
    <row r="17121" spans="129:129" x14ac:dyDescent="0.2">
      <c r="DY17121" s="185" t="s">
        <v>215</v>
      </c>
    </row>
    <row r="17122" spans="129:129" x14ac:dyDescent="0.2">
      <c r="DY17122" s="185" t="s">
        <v>215</v>
      </c>
    </row>
    <row r="17123" spans="129:129" x14ac:dyDescent="0.2">
      <c r="DY17123" s="185" t="s">
        <v>215</v>
      </c>
    </row>
    <row r="17124" spans="129:129" x14ac:dyDescent="0.2">
      <c r="DY17124" s="185" t="s">
        <v>215</v>
      </c>
    </row>
    <row r="17125" spans="129:129" x14ac:dyDescent="0.2">
      <c r="DY17125" s="185" t="s">
        <v>215</v>
      </c>
    </row>
    <row r="17126" spans="129:129" x14ac:dyDescent="0.2">
      <c r="DY17126" s="185" t="s">
        <v>215</v>
      </c>
    </row>
    <row r="17127" spans="129:129" x14ac:dyDescent="0.2">
      <c r="DY17127" s="185" t="s">
        <v>215</v>
      </c>
    </row>
    <row r="17128" spans="129:129" x14ac:dyDescent="0.2">
      <c r="DY17128" s="185" t="s">
        <v>215</v>
      </c>
    </row>
    <row r="17129" spans="129:129" x14ac:dyDescent="0.2">
      <c r="DY17129" s="185" t="s">
        <v>215</v>
      </c>
    </row>
    <row r="17130" spans="129:129" x14ac:dyDescent="0.2">
      <c r="DY17130" s="185" t="s">
        <v>215</v>
      </c>
    </row>
    <row r="17131" spans="129:129" x14ac:dyDescent="0.2">
      <c r="DY17131" s="185" t="s">
        <v>215</v>
      </c>
    </row>
    <row r="17132" spans="129:129" x14ac:dyDescent="0.2">
      <c r="DY17132" s="185" t="s">
        <v>215</v>
      </c>
    </row>
    <row r="17133" spans="129:129" x14ac:dyDescent="0.2">
      <c r="DY17133" s="185" t="s">
        <v>215</v>
      </c>
    </row>
    <row r="17134" spans="129:129" x14ac:dyDescent="0.2">
      <c r="DY17134" s="185" t="s">
        <v>215</v>
      </c>
    </row>
    <row r="17135" spans="129:129" x14ac:dyDescent="0.2">
      <c r="DY17135" s="185" t="s">
        <v>215</v>
      </c>
    </row>
    <row r="17136" spans="129:129" x14ac:dyDescent="0.2">
      <c r="DY17136" s="185" t="s">
        <v>215</v>
      </c>
    </row>
    <row r="17137" spans="129:129" x14ac:dyDescent="0.2">
      <c r="DY17137" s="185" t="s">
        <v>215</v>
      </c>
    </row>
    <row r="17138" spans="129:129" x14ac:dyDescent="0.2">
      <c r="DY17138" s="185" t="s">
        <v>215</v>
      </c>
    </row>
    <row r="17139" spans="129:129" x14ac:dyDescent="0.2">
      <c r="DY17139" s="185" t="s">
        <v>215</v>
      </c>
    </row>
    <row r="17140" spans="129:129" x14ac:dyDescent="0.2">
      <c r="DY17140" s="185" t="s">
        <v>215</v>
      </c>
    </row>
    <row r="17141" spans="129:129" x14ac:dyDescent="0.2">
      <c r="DY17141" s="185" t="s">
        <v>215</v>
      </c>
    </row>
    <row r="17142" spans="129:129" x14ac:dyDescent="0.2">
      <c r="DY17142" s="185" t="s">
        <v>215</v>
      </c>
    </row>
    <row r="17143" spans="129:129" x14ac:dyDescent="0.2">
      <c r="DY17143" s="185" t="s">
        <v>215</v>
      </c>
    </row>
    <row r="17144" spans="129:129" x14ac:dyDescent="0.2">
      <c r="DY17144" s="185" t="s">
        <v>215</v>
      </c>
    </row>
    <row r="17145" spans="129:129" x14ac:dyDescent="0.2">
      <c r="DY17145" s="185" t="s">
        <v>215</v>
      </c>
    </row>
    <row r="17146" spans="129:129" x14ac:dyDescent="0.2">
      <c r="DY17146" s="185" t="s">
        <v>215</v>
      </c>
    </row>
    <row r="17147" spans="129:129" x14ac:dyDescent="0.2">
      <c r="DY17147" s="185" t="s">
        <v>215</v>
      </c>
    </row>
    <row r="17148" spans="129:129" x14ac:dyDescent="0.2">
      <c r="DY17148" s="185" t="s">
        <v>215</v>
      </c>
    </row>
    <row r="17149" spans="129:129" x14ac:dyDescent="0.2">
      <c r="DY17149" s="185" t="s">
        <v>215</v>
      </c>
    </row>
    <row r="17150" spans="129:129" x14ac:dyDescent="0.2">
      <c r="DY17150" s="185" t="s">
        <v>215</v>
      </c>
    </row>
    <row r="17151" spans="129:129" x14ac:dyDescent="0.2">
      <c r="DY17151" s="185" t="s">
        <v>215</v>
      </c>
    </row>
    <row r="17152" spans="129:129" x14ac:dyDescent="0.2">
      <c r="DY17152" s="185" t="s">
        <v>215</v>
      </c>
    </row>
    <row r="17153" spans="129:129" x14ac:dyDescent="0.2">
      <c r="DY17153" s="185" t="s">
        <v>215</v>
      </c>
    </row>
    <row r="17154" spans="129:129" x14ac:dyDescent="0.2">
      <c r="DY17154" s="185" t="s">
        <v>215</v>
      </c>
    </row>
    <row r="17155" spans="129:129" x14ac:dyDescent="0.2">
      <c r="DY17155" s="185" t="s">
        <v>215</v>
      </c>
    </row>
    <row r="17156" spans="129:129" x14ac:dyDescent="0.2">
      <c r="DY17156" s="185" t="s">
        <v>215</v>
      </c>
    </row>
    <row r="17157" spans="129:129" x14ac:dyDescent="0.2">
      <c r="DY17157" s="185" t="s">
        <v>215</v>
      </c>
    </row>
    <row r="17158" spans="129:129" x14ac:dyDescent="0.2">
      <c r="DY17158" s="185" t="s">
        <v>215</v>
      </c>
    </row>
    <row r="17159" spans="129:129" x14ac:dyDescent="0.2">
      <c r="DY17159" s="185" t="s">
        <v>215</v>
      </c>
    </row>
    <row r="17160" spans="129:129" x14ac:dyDescent="0.2">
      <c r="DY17160" s="185" t="s">
        <v>215</v>
      </c>
    </row>
    <row r="17161" spans="129:129" x14ac:dyDescent="0.2">
      <c r="DY17161" s="185" t="s">
        <v>215</v>
      </c>
    </row>
    <row r="17162" spans="129:129" x14ac:dyDescent="0.2">
      <c r="DY17162" s="185" t="s">
        <v>215</v>
      </c>
    </row>
    <row r="17163" spans="129:129" x14ac:dyDescent="0.2">
      <c r="DY17163" s="185" t="s">
        <v>215</v>
      </c>
    </row>
    <row r="17164" spans="129:129" x14ac:dyDescent="0.2">
      <c r="DY17164" s="185" t="s">
        <v>215</v>
      </c>
    </row>
    <row r="17165" spans="129:129" x14ac:dyDescent="0.2">
      <c r="DY17165" s="185" t="s">
        <v>215</v>
      </c>
    </row>
    <row r="17166" spans="129:129" x14ac:dyDescent="0.2">
      <c r="DY17166" s="185" t="s">
        <v>215</v>
      </c>
    </row>
    <row r="17167" spans="129:129" x14ac:dyDescent="0.2">
      <c r="DY17167" s="185" t="s">
        <v>215</v>
      </c>
    </row>
    <row r="17168" spans="129:129" x14ac:dyDescent="0.2">
      <c r="DY17168" s="185" t="s">
        <v>215</v>
      </c>
    </row>
    <row r="17169" spans="129:129" x14ac:dyDescent="0.2">
      <c r="DY17169" s="185" t="s">
        <v>215</v>
      </c>
    </row>
    <row r="17170" spans="129:129" x14ac:dyDescent="0.2">
      <c r="DY17170" s="185" t="s">
        <v>215</v>
      </c>
    </row>
    <row r="17171" spans="129:129" x14ac:dyDescent="0.2">
      <c r="DY17171" s="185" t="s">
        <v>215</v>
      </c>
    </row>
    <row r="17172" spans="129:129" x14ac:dyDescent="0.2">
      <c r="DY17172" s="185" t="s">
        <v>215</v>
      </c>
    </row>
    <row r="17173" spans="129:129" x14ac:dyDescent="0.2">
      <c r="DY17173" s="185" t="s">
        <v>215</v>
      </c>
    </row>
    <row r="17174" spans="129:129" x14ac:dyDescent="0.2">
      <c r="DY17174" s="185" t="s">
        <v>215</v>
      </c>
    </row>
    <row r="17175" spans="129:129" x14ac:dyDescent="0.2">
      <c r="DY17175" s="185" t="s">
        <v>215</v>
      </c>
    </row>
    <row r="17176" spans="129:129" x14ac:dyDescent="0.2">
      <c r="DY17176" s="185" t="s">
        <v>215</v>
      </c>
    </row>
    <row r="17177" spans="129:129" x14ac:dyDescent="0.2">
      <c r="DY17177" s="185" t="s">
        <v>215</v>
      </c>
    </row>
    <row r="17178" spans="129:129" x14ac:dyDescent="0.2">
      <c r="DY17178" s="185" t="s">
        <v>215</v>
      </c>
    </row>
    <row r="17179" spans="129:129" x14ac:dyDescent="0.2">
      <c r="DY17179" s="185" t="s">
        <v>215</v>
      </c>
    </row>
    <row r="17180" spans="129:129" x14ac:dyDescent="0.2">
      <c r="DY17180" s="185" t="s">
        <v>215</v>
      </c>
    </row>
    <row r="17181" spans="129:129" x14ac:dyDescent="0.2">
      <c r="DY17181" s="185" t="s">
        <v>215</v>
      </c>
    </row>
    <row r="17182" spans="129:129" x14ac:dyDescent="0.2">
      <c r="DY17182" s="185" t="s">
        <v>215</v>
      </c>
    </row>
    <row r="17183" spans="129:129" x14ac:dyDescent="0.2">
      <c r="DY17183" s="185" t="s">
        <v>215</v>
      </c>
    </row>
    <row r="17184" spans="129:129" x14ac:dyDescent="0.2">
      <c r="DY17184" s="185" t="s">
        <v>215</v>
      </c>
    </row>
    <row r="17185" spans="129:129" x14ac:dyDescent="0.2">
      <c r="DY17185" s="185" t="s">
        <v>215</v>
      </c>
    </row>
    <row r="17186" spans="129:129" x14ac:dyDescent="0.2">
      <c r="DY17186" s="185" t="s">
        <v>215</v>
      </c>
    </row>
    <row r="17187" spans="129:129" x14ac:dyDescent="0.2">
      <c r="DY17187" s="185" t="s">
        <v>215</v>
      </c>
    </row>
    <row r="17188" spans="129:129" x14ac:dyDescent="0.2">
      <c r="DY17188" s="185" t="s">
        <v>215</v>
      </c>
    </row>
    <row r="17189" spans="129:129" x14ac:dyDescent="0.2">
      <c r="DY17189" s="185" t="s">
        <v>215</v>
      </c>
    </row>
    <row r="17190" spans="129:129" x14ac:dyDescent="0.2">
      <c r="DY17190" s="185" t="s">
        <v>215</v>
      </c>
    </row>
    <row r="17191" spans="129:129" x14ac:dyDescent="0.2">
      <c r="DY17191" s="185" t="s">
        <v>215</v>
      </c>
    </row>
    <row r="17192" spans="129:129" x14ac:dyDescent="0.2">
      <c r="DY17192" s="185" t="s">
        <v>215</v>
      </c>
    </row>
    <row r="17193" spans="129:129" x14ac:dyDescent="0.2">
      <c r="DY17193" s="185" t="s">
        <v>215</v>
      </c>
    </row>
    <row r="17194" spans="129:129" x14ac:dyDescent="0.2">
      <c r="DY17194" s="185" t="s">
        <v>215</v>
      </c>
    </row>
    <row r="17195" spans="129:129" x14ac:dyDescent="0.2">
      <c r="DY17195" s="185" t="s">
        <v>215</v>
      </c>
    </row>
    <row r="17196" spans="129:129" x14ac:dyDescent="0.2">
      <c r="DY17196" s="185" t="s">
        <v>215</v>
      </c>
    </row>
    <row r="17197" spans="129:129" x14ac:dyDescent="0.2">
      <c r="DY17197" s="185" t="s">
        <v>215</v>
      </c>
    </row>
    <row r="17198" spans="129:129" x14ac:dyDescent="0.2">
      <c r="DY17198" s="185" t="s">
        <v>215</v>
      </c>
    </row>
    <row r="17199" spans="129:129" x14ac:dyDescent="0.2">
      <c r="DY17199" s="185" t="s">
        <v>215</v>
      </c>
    </row>
    <row r="17200" spans="129:129" x14ac:dyDescent="0.2">
      <c r="DY17200" s="185" t="s">
        <v>215</v>
      </c>
    </row>
    <row r="17201" spans="129:129" x14ac:dyDescent="0.2">
      <c r="DY17201" s="185" t="s">
        <v>215</v>
      </c>
    </row>
    <row r="17202" spans="129:129" x14ac:dyDescent="0.2">
      <c r="DY17202" s="185" t="s">
        <v>215</v>
      </c>
    </row>
    <row r="17203" spans="129:129" x14ac:dyDescent="0.2">
      <c r="DY17203" s="185" t="s">
        <v>215</v>
      </c>
    </row>
    <row r="17204" spans="129:129" x14ac:dyDescent="0.2">
      <c r="DY17204" s="185" t="s">
        <v>215</v>
      </c>
    </row>
    <row r="17205" spans="129:129" x14ac:dyDescent="0.2">
      <c r="DY17205" s="185" t="s">
        <v>215</v>
      </c>
    </row>
    <row r="17206" spans="129:129" x14ac:dyDescent="0.2">
      <c r="DY17206" s="185" t="s">
        <v>215</v>
      </c>
    </row>
    <row r="17207" spans="129:129" x14ac:dyDescent="0.2">
      <c r="DY17207" s="185" t="s">
        <v>215</v>
      </c>
    </row>
    <row r="17208" spans="129:129" x14ac:dyDescent="0.2">
      <c r="DY17208" s="185" t="s">
        <v>215</v>
      </c>
    </row>
    <row r="17209" spans="129:129" x14ac:dyDescent="0.2">
      <c r="DY17209" s="185" t="s">
        <v>215</v>
      </c>
    </row>
    <row r="17210" spans="129:129" x14ac:dyDescent="0.2">
      <c r="DY17210" s="185" t="s">
        <v>215</v>
      </c>
    </row>
    <row r="17211" spans="129:129" x14ac:dyDescent="0.2">
      <c r="DY17211" s="185" t="s">
        <v>215</v>
      </c>
    </row>
    <row r="17212" spans="129:129" x14ac:dyDescent="0.2">
      <c r="DY17212" s="185" t="s">
        <v>215</v>
      </c>
    </row>
    <row r="17213" spans="129:129" x14ac:dyDescent="0.2">
      <c r="DY17213" s="185" t="s">
        <v>215</v>
      </c>
    </row>
    <row r="17214" spans="129:129" x14ac:dyDescent="0.2">
      <c r="DY17214" s="185" t="s">
        <v>215</v>
      </c>
    </row>
    <row r="17215" spans="129:129" x14ac:dyDescent="0.2">
      <c r="DY17215" s="185" t="s">
        <v>215</v>
      </c>
    </row>
    <row r="17216" spans="129:129" x14ac:dyDescent="0.2">
      <c r="DY17216" s="185" t="s">
        <v>215</v>
      </c>
    </row>
    <row r="17217" spans="129:129" x14ac:dyDescent="0.2">
      <c r="DY17217" s="185" t="s">
        <v>215</v>
      </c>
    </row>
    <row r="17218" spans="129:129" x14ac:dyDescent="0.2">
      <c r="DY17218" s="185" t="s">
        <v>215</v>
      </c>
    </row>
    <row r="17219" spans="129:129" x14ac:dyDescent="0.2">
      <c r="DY17219" s="185" t="s">
        <v>215</v>
      </c>
    </row>
    <row r="17220" spans="129:129" x14ac:dyDescent="0.2">
      <c r="DY17220" s="185" t="s">
        <v>215</v>
      </c>
    </row>
    <row r="17221" spans="129:129" x14ac:dyDescent="0.2">
      <c r="DY17221" s="185" t="s">
        <v>215</v>
      </c>
    </row>
    <row r="17222" spans="129:129" x14ac:dyDescent="0.2">
      <c r="DY17222" s="185" t="s">
        <v>215</v>
      </c>
    </row>
    <row r="17223" spans="129:129" x14ac:dyDescent="0.2">
      <c r="DY17223" s="185" t="s">
        <v>215</v>
      </c>
    </row>
    <row r="17224" spans="129:129" x14ac:dyDescent="0.2">
      <c r="DY17224" s="185" t="s">
        <v>215</v>
      </c>
    </row>
    <row r="17225" spans="129:129" x14ac:dyDescent="0.2">
      <c r="DY17225" s="185" t="s">
        <v>215</v>
      </c>
    </row>
    <row r="17226" spans="129:129" x14ac:dyDescent="0.2">
      <c r="DY17226" s="185" t="s">
        <v>215</v>
      </c>
    </row>
    <row r="17227" spans="129:129" x14ac:dyDescent="0.2">
      <c r="DY17227" s="185" t="s">
        <v>215</v>
      </c>
    </row>
    <row r="17228" spans="129:129" x14ac:dyDescent="0.2">
      <c r="DY17228" s="185" t="s">
        <v>215</v>
      </c>
    </row>
    <row r="17229" spans="129:129" x14ac:dyDescent="0.2">
      <c r="DY17229" s="185" t="s">
        <v>215</v>
      </c>
    </row>
    <row r="17230" spans="129:129" x14ac:dyDescent="0.2">
      <c r="DY17230" s="185" t="s">
        <v>215</v>
      </c>
    </row>
    <row r="17231" spans="129:129" x14ac:dyDescent="0.2">
      <c r="DY17231" s="185" t="s">
        <v>215</v>
      </c>
    </row>
    <row r="17232" spans="129:129" x14ac:dyDescent="0.2">
      <c r="DY17232" s="185" t="s">
        <v>215</v>
      </c>
    </row>
    <row r="17233" spans="129:129" x14ac:dyDescent="0.2">
      <c r="DY17233" s="185" t="s">
        <v>215</v>
      </c>
    </row>
    <row r="17234" spans="129:129" x14ac:dyDescent="0.2">
      <c r="DY17234" s="185" t="s">
        <v>215</v>
      </c>
    </row>
    <row r="17235" spans="129:129" x14ac:dyDescent="0.2">
      <c r="DY17235" s="185" t="s">
        <v>215</v>
      </c>
    </row>
    <row r="17236" spans="129:129" x14ac:dyDescent="0.2">
      <c r="DY17236" s="185" t="s">
        <v>215</v>
      </c>
    </row>
    <row r="17237" spans="129:129" x14ac:dyDescent="0.2">
      <c r="DY17237" s="185" t="s">
        <v>215</v>
      </c>
    </row>
    <row r="17238" spans="129:129" x14ac:dyDescent="0.2">
      <c r="DY17238" s="185" t="s">
        <v>215</v>
      </c>
    </row>
    <row r="17239" spans="129:129" x14ac:dyDescent="0.2">
      <c r="DY17239" s="185" t="s">
        <v>215</v>
      </c>
    </row>
    <row r="17240" spans="129:129" x14ac:dyDescent="0.2">
      <c r="DY17240" s="185" t="s">
        <v>215</v>
      </c>
    </row>
    <row r="17241" spans="129:129" x14ac:dyDescent="0.2">
      <c r="DY17241" s="185" t="s">
        <v>215</v>
      </c>
    </row>
    <row r="17242" spans="129:129" x14ac:dyDescent="0.2">
      <c r="DY17242" s="185" t="s">
        <v>215</v>
      </c>
    </row>
    <row r="17243" spans="129:129" x14ac:dyDescent="0.2">
      <c r="DY17243" s="185" t="s">
        <v>215</v>
      </c>
    </row>
    <row r="17244" spans="129:129" x14ac:dyDescent="0.2">
      <c r="DY17244" s="185" t="s">
        <v>215</v>
      </c>
    </row>
    <row r="17245" spans="129:129" x14ac:dyDescent="0.2">
      <c r="DY17245" s="185" t="s">
        <v>215</v>
      </c>
    </row>
    <row r="17246" spans="129:129" x14ac:dyDescent="0.2">
      <c r="DY17246" s="185" t="s">
        <v>215</v>
      </c>
    </row>
    <row r="17247" spans="129:129" x14ac:dyDescent="0.2">
      <c r="DY17247" s="185" t="s">
        <v>215</v>
      </c>
    </row>
    <row r="17248" spans="129:129" x14ac:dyDescent="0.2">
      <c r="DY17248" s="185" t="s">
        <v>215</v>
      </c>
    </row>
    <row r="17249" spans="129:129" x14ac:dyDescent="0.2">
      <c r="DY17249" s="185" t="s">
        <v>215</v>
      </c>
    </row>
    <row r="17250" spans="129:129" x14ac:dyDescent="0.2">
      <c r="DY17250" s="185" t="s">
        <v>215</v>
      </c>
    </row>
    <row r="17251" spans="129:129" x14ac:dyDescent="0.2">
      <c r="DY17251" s="185" t="s">
        <v>215</v>
      </c>
    </row>
    <row r="17252" spans="129:129" x14ac:dyDescent="0.2">
      <c r="DY17252" s="185" t="s">
        <v>215</v>
      </c>
    </row>
    <row r="17253" spans="129:129" x14ac:dyDescent="0.2">
      <c r="DY17253" s="185" t="s">
        <v>215</v>
      </c>
    </row>
    <row r="17254" spans="129:129" x14ac:dyDescent="0.2">
      <c r="DY17254" s="185" t="s">
        <v>215</v>
      </c>
    </row>
    <row r="17255" spans="129:129" x14ac:dyDescent="0.2">
      <c r="DY17255" s="185" t="s">
        <v>215</v>
      </c>
    </row>
    <row r="17256" spans="129:129" x14ac:dyDescent="0.2">
      <c r="DY17256" s="185" t="s">
        <v>215</v>
      </c>
    </row>
    <row r="17257" spans="129:129" x14ac:dyDescent="0.2">
      <c r="DY17257" s="185" t="s">
        <v>215</v>
      </c>
    </row>
    <row r="17258" spans="129:129" x14ac:dyDescent="0.2">
      <c r="DY17258" s="185" t="s">
        <v>215</v>
      </c>
    </row>
    <row r="17259" spans="129:129" x14ac:dyDescent="0.2">
      <c r="DY17259" s="185" t="s">
        <v>215</v>
      </c>
    </row>
    <row r="17260" spans="129:129" x14ac:dyDescent="0.2">
      <c r="DY17260" s="185" t="s">
        <v>215</v>
      </c>
    </row>
    <row r="17261" spans="129:129" x14ac:dyDescent="0.2">
      <c r="DY17261" s="185" t="s">
        <v>215</v>
      </c>
    </row>
    <row r="17262" spans="129:129" x14ac:dyDescent="0.2">
      <c r="DY17262" s="185" t="s">
        <v>215</v>
      </c>
    </row>
    <row r="17263" spans="129:129" x14ac:dyDescent="0.2">
      <c r="DY17263" s="185" t="s">
        <v>215</v>
      </c>
    </row>
    <row r="17264" spans="129:129" x14ac:dyDescent="0.2">
      <c r="DY17264" s="185" t="s">
        <v>215</v>
      </c>
    </row>
    <row r="17265" spans="129:129" x14ac:dyDescent="0.2">
      <c r="DY17265" s="185" t="s">
        <v>215</v>
      </c>
    </row>
    <row r="17266" spans="129:129" x14ac:dyDescent="0.2">
      <c r="DY17266" s="185" t="s">
        <v>215</v>
      </c>
    </row>
    <row r="17267" spans="129:129" x14ac:dyDescent="0.2">
      <c r="DY17267" s="185" t="s">
        <v>215</v>
      </c>
    </row>
    <row r="17268" spans="129:129" x14ac:dyDescent="0.2">
      <c r="DY17268" s="185" t="s">
        <v>215</v>
      </c>
    </row>
    <row r="17269" spans="129:129" x14ac:dyDescent="0.2">
      <c r="DY17269" s="185" t="s">
        <v>215</v>
      </c>
    </row>
    <row r="17270" spans="129:129" x14ac:dyDescent="0.2">
      <c r="DY17270" s="185" t="s">
        <v>215</v>
      </c>
    </row>
    <row r="17271" spans="129:129" x14ac:dyDescent="0.2">
      <c r="DY17271" s="185" t="s">
        <v>215</v>
      </c>
    </row>
    <row r="17272" spans="129:129" x14ac:dyDescent="0.2">
      <c r="DY17272" s="185" t="s">
        <v>215</v>
      </c>
    </row>
    <row r="17273" spans="129:129" x14ac:dyDescent="0.2">
      <c r="DY17273" s="185" t="s">
        <v>215</v>
      </c>
    </row>
    <row r="17274" spans="129:129" x14ac:dyDescent="0.2">
      <c r="DY17274" s="185" t="s">
        <v>215</v>
      </c>
    </row>
    <row r="17275" spans="129:129" x14ac:dyDescent="0.2">
      <c r="DY17275" s="185" t="s">
        <v>215</v>
      </c>
    </row>
    <row r="17276" spans="129:129" x14ac:dyDescent="0.2">
      <c r="DY17276" s="185" t="s">
        <v>215</v>
      </c>
    </row>
    <row r="17277" spans="129:129" x14ac:dyDescent="0.2">
      <c r="DY17277" s="185" t="s">
        <v>215</v>
      </c>
    </row>
    <row r="17278" spans="129:129" x14ac:dyDescent="0.2">
      <c r="DY17278" s="185" t="s">
        <v>215</v>
      </c>
    </row>
    <row r="17279" spans="129:129" x14ac:dyDescent="0.2">
      <c r="DY17279" s="185" t="s">
        <v>215</v>
      </c>
    </row>
    <row r="17280" spans="129:129" x14ac:dyDescent="0.2">
      <c r="DY17280" s="185" t="s">
        <v>215</v>
      </c>
    </row>
    <row r="17281" spans="129:129" x14ac:dyDescent="0.2">
      <c r="DY17281" s="185" t="s">
        <v>215</v>
      </c>
    </row>
    <row r="17282" spans="129:129" x14ac:dyDescent="0.2">
      <c r="DY17282" s="185" t="s">
        <v>215</v>
      </c>
    </row>
    <row r="17283" spans="129:129" x14ac:dyDescent="0.2">
      <c r="DY17283" s="185" t="s">
        <v>215</v>
      </c>
    </row>
    <row r="17284" spans="129:129" x14ac:dyDescent="0.2">
      <c r="DY17284" s="185" t="s">
        <v>215</v>
      </c>
    </row>
    <row r="17285" spans="129:129" x14ac:dyDescent="0.2">
      <c r="DY17285" s="185" t="s">
        <v>215</v>
      </c>
    </row>
    <row r="17286" spans="129:129" x14ac:dyDescent="0.2">
      <c r="DY17286" s="185" t="s">
        <v>215</v>
      </c>
    </row>
    <row r="17287" spans="129:129" x14ac:dyDescent="0.2">
      <c r="DY17287" s="185" t="s">
        <v>215</v>
      </c>
    </row>
    <row r="17288" spans="129:129" x14ac:dyDescent="0.2">
      <c r="DY17288" s="185" t="s">
        <v>215</v>
      </c>
    </row>
    <row r="17289" spans="129:129" x14ac:dyDescent="0.2">
      <c r="DY17289" s="185" t="s">
        <v>215</v>
      </c>
    </row>
    <row r="17290" spans="129:129" x14ac:dyDescent="0.2">
      <c r="DY17290" s="185" t="s">
        <v>215</v>
      </c>
    </row>
    <row r="17291" spans="129:129" x14ac:dyDescent="0.2">
      <c r="DY17291" s="185" t="s">
        <v>215</v>
      </c>
    </row>
    <row r="17292" spans="129:129" x14ac:dyDescent="0.2">
      <c r="DY17292" s="185" t="s">
        <v>215</v>
      </c>
    </row>
    <row r="17293" spans="129:129" x14ac:dyDescent="0.2">
      <c r="DY17293" s="185" t="s">
        <v>215</v>
      </c>
    </row>
    <row r="17294" spans="129:129" x14ac:dyDescent="0.2">
      <c r="DY17294" s="185" t="s">
        <v>215</v>
      </c>
    </row>
    <row r="17295" spans="129:129" x14ac:dyDescent="0.2">
      <c r="DY17295" s="185" t="s">
        <v>215</v>
      </c>
    </row>
    <row r="17296" spans="129:129" x14ac:dyDescent="0.2">
      <c r="DY17296" s="185" t="s">
        <v>215</v>
      </c>
    </row>
    <row r="17297" spans="129:129" x14ac:dyDescent="0.2">
      <c r="DY17297" s="185" t="s">
        <v>215</v>
      </c>
    </row>
    <row r="17298" spans="129:129" x14ac:dyDescent="0.2">
      <c r="DY17298" s="185" t="s">
        <v>215</v>
      </c>
    </row>
    <row r="17299" spans="129:129" x14ac:dyDescent="0.2">
      <c r="DY17299" s="185" t="s">
        <v>215</v>
      </c>
    </row>
    <row r="17300" spans="129:129" x14ac:dyDescent="0.2">
      <c r="DY17300" s="185" t="s">
        <v>215</v>
      </c>
    </row>
    <row r="17301" spans="129:129" x14ac:dyDescent="0.2">
      <c r="DY17301" s="185" t="s">
        <v>215</v>
      </c>
    </row>
    <row r="17302" spans="129:129" x14ac:dyDescent="0.2">
      <c r="DY17302" s="185" t="s">
        <v>215</v>
      </c>
    </row>
    <row r="17303" spans="129:129" x14ac:dyDescent="0.2">
      <c r="DY17303" s="185" t="s">
        <v>215</v>
      </c>
    </row>
    <row r="17304" spans="129:129" x14ac:dyDescent="0.2">
      <c r="DY17304" s="185" t="s">
        <v>215</v>
      </c>
    </row>
    <row r="17305" spans="129:129" x14ac:dyDescent="0.2">
      <c r="DY17305" s="185" t="s">
        <v>215</v>
      </c>
    </row>
    <row r="17306" spans="129:129" x14ac:dyDescent="0.2">
      <c r="DY17306" s="185" t="s">
        <v>215</v>
      </c>
    </row>
    <row r="17307" spans="129:129" x14ac:dyDescent="0.2">
      <c r="DY17307" s="185" t="s">
        <v>215</v>
      </c>
    </row>
    <row r="17308" spans="129:129" x14ac:dyDescent="0.2">
      <c r="DY17308" s="185" t="s">
        <v>215</v>
      </c>
    </row>
    <row r="17309" spans="129:129" x14ac:dyDescent="0.2">
      <c r="DY17309" s="185" t="s">
        <v>215</v>
      </c>
    </row>
    <row r="17310" spans="129:129" x14ac:dyDescent="0.2">
      <c r="DY17310" s="185" t="s">
        <v>215</v>
      </c>
    </row>
    <row r="17311" spans="129:129" x14ac:dyDescent="0.2">
      <c r="DY17311" s="185" t="s">
        <v>215</v>
      </c>
    </row>
    <row r="17312" spans="129:129" x14ac:dyDescent="0.2">
      <c r="DY17312" s="185" t="s">
        <v>215</v>
      </c>
    </row>
    <row r="17313" spans="129:129" x14ac:dyDescent="0.2">
      <c r="DY17313" s="185" t="s">
        <v>215</v>
      </c>
    </row>
    <row r="17314" spans="129:129" x14ac:dyDescent="0.2">
      <c r="DY17314" s="185" t="s">
        <v>215</v>
      </c>
    </row>
    <row r="17315" spans="129:129" x14ac:dyDescent="0.2">
      <c r="DY17315" s="185" t="s">
        <v>215</v>
      </c>
    </row>
    <row r="17316" spans="129:129" x14ac:dyDescent="0.2">
      <c r="DY17316" s="185" t="s">
        <v>215</v>
      </c>
    </row>
    <row r="17317" spans="129:129" x14ac:dyDescent="0.2">
      <c r="DY17317" s="185" t="s">
        <v>215</v>
      </c>
    </row>
    <row r="17318" spans="129:129" x14ac:dyDescent="0.2">
      <c r="DY17318" s="185" t="s">
        <v>215</v>
      </c>
    </row>
    <row r="17319" spans="129:129" x14ac:dyDescent="0.2">
      <c r="DY17319" s="185" t="s">
        <v>215</v>
      </c>
    </row>
    <row r="17320" spans="129:129" x14ac:dyDescent="0.2">
      <c r="DY17320" s="185" t="s">
        <v>215</v>
      </c>
    </row>
    <row r="17321" spans="129:129" x14ac:dyDescent="0.2">
      <c r="DY17321" s="185" t="s">
        <v>215</v>
      </c>
    </row>
    <row r="17322" spans="129:129" x14ac:dyDescent="0.2">
      <c r="DY17322" s="185" t="s">
        <v>215</v>
      </c>
    </row>
    <row r="17323" spans="129:129" x14ac:dyDescent="0.2">
      <c r="DY17323" s="185" t="s">
        <v>215</v>
      </c>
    </row>
    <row r="17324" spans="129:129" x14ac:dyDescent="0.2">
      <c r="DY17324" s="185" t="s">
        <v>215</v>
      </c>
    </row>
    <row r="17325" spans="129:129" x14ac:dyDescent="0.2">
      <c r="DY17325" s="185" t="s">
        <v>215</v>
      </c>
    </row>
    <row r="17326" spans="129:129" x14ac:dyDescent="0.2">
      <c r="DY17326" s="185" t="s">
        <v>215</v>
      </c>
    </row>
    <row r="17327" spans="129:129" x14ac:dyDescent="0.2">
      <c r="DY17327" s="185" t="s">
        <v>215</v>
      </c>
    </row>
    <row r="17328" spans="129:129" x14ac:dyDescent="0.2">
      <c r="DY17328" s="185" t="s">
        <v>215</v>
      </c>
    </row>
    <row r="17329" spans="129:129" x14ac:dyDescent="0.2">
      <c r="DY17329" s="185" t="s">
        <v>215</v>
      </c>
    </row>
    <row r="17330" spans="129:129" x14ac:dyDescent="0.2">
      <c r="DY17330" s="185" t="s">
        <v>215</v>
      </c>
    </row>
    <row r="17331" spans="129:129" x14ac:dyDescent="0.2">
      <c r="DY17331" s="185" t="s">
        <v>215</v>
      </c>
    </row>
    <row r="17332" spans="129:129" x14ac:dyDescent="0.2">
      <c r="DY17332" s="185" t="s">
        <v>215</v>
      </c>
    </row>
    <row r="17333" spans="129:129" x14ac:dyDescent="0.2">
      <c r="DY17333" s="185" t="s">
        <v>215</v>
      </c>
    </row>
    <row r="17334" spans="129:129" x14ac:dyDescent="0.2">
      <c r="DY17334" s="185" t="s">
        <v>215</v>
      </c>
    </row>
    <row r="17335" spans="129:129" x14ac:dyDescent="0.2">
      <c r="DY17335" s="185" t="s">
        <v>215</v>
      </c>
    </row>
    <row r="17336" spans="129:129" x14ac:dyDescent="0.2">
      <c r="DY17336" s="185" t="s">
        <v>215</v>
      </c>
    </row>
    <row r="17337" spans="129:129" x14ac:dyDescent="0.2">
      <c r="DY17337" s="185" t="s">
        <v>215</v>
      </c>
    </row>
    <row r="17338" spans="129:129" x14ac:dyDescent="0.2">
      <c r="DY17338" s="185" t="s">
        <v>215</v>
      </c>
    </row>
    <row r="17339" spans="129:129" x14ac:dyDescent="0.2">
      <c r="DY17339" s="185" t="s">
        <v>215</v>
      </c>
    </row>
    <row r="17340" spans="129:129" x14ac:dyDescent="0.2">
      <c r="DY17340" s="185" t="s">
        <v>215</v>
      </c>
    </row>
    <row r="17341" spans="129:129" x14ac:dyDescent="0.2">
      <c r="DY17341" s="185" t="s">
        <v>215</v>
      </c>
    </row>
    <row r="17342" spans="129:129" x14ac:dyDescent="0.2">
      <c r="DY17342" s="185" t="s">
        <v>215</v>
      </c>
    </row>
    <row r="17343" spans="129:129" x14ac:dyDescent="0.2">
      <c r="DY17343" s="185" t="s">
        <v>215</v>
      </c>
    </row>
    <row r="17344" spans="129:129" x14ac:dyDescent="0.2">
      <c r="DY17344" s="185" t="s">
        <v>215</v>
      </c>
    </row>
    <row r="17345" spans="129:129" x14ac:dyDescent="0.2">
      <c r="DY17345" s="185" t="s">
        <v>215</v>
      </c>
    </row>
    <row r="17346" spans="129:129" x14ac:dyDescent="0.2">
      <c r="DY17346" s="185" t="s">
        <v>215</v>
      </c>
    </row>
    <row r="17347" spans="129:129" x14ac:dyDescent="0.2">
      <c r="DY17347" s="185" t="s">
        <v>215</v>
      </c>
    </row>
    <row r="17348" spans="129:129" x14ac:dyDescent="0.2">
      <c r="DY17348" s="185" t="s">
        <v>215</v>
      </c>
    </row>
    <row r="17349" spans="129:129" x14ac:dyDescent="0.2">
      <c r="DY17349" s="185" t="s">
        <v>215</v>
      </c>
    </row>
    <row r="17350" spans="129:129" x14ac:dyDescent="0.2">
      <c r="DY17350" s="185" t="s">
        <v>215</v>
      </c>
    </row>
    <row r="17351" spans="129:129" x14ac:dyDescent="0.2">
      <c r="DY17351" s="185" t="s">
        <v>215</v>
      </c>
    </row>
    <row r="17352" spans="129:129" x14ac:dyDescent="0.2">
      <c r="DY17352" s="185" t="s">
        <v>215</v>
      </c>
    </row>
    <row r="17353" spans="129:129" x14ac:dyDescent="0.2">
      <c r="DY17353" s="185" t="s">
        <v>215</v>
      </c>
    </row>
    <row r="17354" spans="129:129" x14ac:dyDescent="0.2">
      <c r="DY17354" s="185" t="s">
        <v>215</v>
      </c>
    </row>
    <row r="17355" spans="129:129" x14ac:dyDescent="0.2">
      <c r="DY17355" s="185" t="s">
        <v>215</v>
      </c>
    </row>
    <row r="17356" spans="129:129" x14ac:dyDescent="0.2">
      <c r="DY17356" s="185" t="s">
        <v>215</v>
      </c>
    </row>
    <row r="17357" spans="129:129" x14ac:dyDescent="0.2">
      <c r="DY17357" s="185" t="s">
        <v>215</v>
      </c>
    </row>
    <row r="17358" spans="129:129" x14ac:dyDescent="0.2">
      <c r="DY17358" s="185" t="s">
        <v>215</v>
      </c>
    </row>
    <row r="17359" spans="129:129" x14ac:dyDescent="0.2">
      <c r="DY17359" s="185" t="s">
        <v>215</v>
      </c>
    </row>
    <row r="17360" spans="129:129" x14ac:dyDescent="0.2">
      <c r="DY17360" s="185" t="s">
        <v>215</v>
      </c>
    </row>
    <row r="17361" spans="129:129" x14ac:dyDescent="0.2">
      <c r="DY17361" s="185" t="s">
        <v>215</v>
      </c>
    </row>
    <row r="17362" spans="129:129" x14ac:dyDescent="0.2">
      <c r="DY17362" s="185" t="s">
        <v>215</v>
      </c>
    </row>
    <row r="17363" spans="129:129" x14ac:dyDescent="0.2">
      <c r="DY17363" s="185" t="s">
        <v>215</v>
      </c>
    </row>
    <row r="17364" spans="129:129" x14ac:dyDescent="0.2">
      <c r="DY17364" s="185" t="s">
        <v>215</v>
      </c>
    </row>
    <row r="17365" spans="129:129" x14ac:dyDescent="0.2">
      <c r="DY17365" s="185" t="s">
        <v>215</v>
      </c>
    </row>
    <row r="17366" spans="129:129" x14ac:dyDescent="0.2">
      <c r="DY17366" s="185" t="s">
        <v>215</v>
      </c>
    </row>
    <row r="17367" spans="129:129" x14ac:dyDescent="0.2">
      <c r="DY17367" s="185" t="s">
        <v>215</v>
      </c>
    </row>
    <row r="17368" spans="129:129" x14ac:dyDescent="0.2">
      <c r="DY17368" s="185" t="s">
        <v>215</v>
      </c>
    </row>
    <row r="17369" spans="129:129" x14ac:dyDescent="0.2">
      <c r="DY17369" s="185" t="s">
        <v>215</v>
      </c>
    </row>
    <row r="17370" spans="129:129" x14ac:dyDescent="0.2">
      <c r="DY17370" s="185" t="s">
        <v>215</v>
      </c>
    </row>
    <row r="17371" spans="129:129" x14ac:dyDescent="0.2">
      <c r="DY17371" s="185" t="s">
        <v>215</v>
      </c>
    </row>
    <row r="17372" spans="129:129" x14ac:dyDescent="0.2">
      <c r="DY17372" s="185" t="s">
        <v>215</v>
      </c>
    </row>
    <row r="17373" spans="129:129" x14ac:dyDescent="0.2">
      <c r="DY17373" s="185" t="s">
        <v>215</v>
      </c>
    </row>
    <row r="17374" spans="129:129" x14ac:dyDescent="0.2">
      <c r="DY17374" s="185" t="s">
        <v>215</v>
      </c>
    </row>
    <row r="17375" spans="129:129" x14ac:dyDescent="0.2">
      <c r="DY17375" s="185" t="s">
        <v>215</v>
      </c>
    </row>
    <row r="17376" spans="129:129" x14ac:dyDescent="0.2">
      <c r="DY17376" s="185" t="s">
        <v>215</v>
      </c>
    </row>
    <row r="17377" spans="129:129" x14ac:dyDescent="0.2">
      <c r="DY17377" s="185" t="s">
        <v>215</v>
      </c>
    </row>
    <row r="17378" spans="129:129" x14ac:dyDescent="0.2">
      <c r="DY17378" s="185" t="s">
        <v>215</v>
      </c>
    </row>
    <row r="17379" spans="129:129" x14ac:dyDescent="0.2">
      <c r="DY17379" s="185" t="s">
        <v>215</v>
      </c>
    </row>
    <row r="17380" spans="129:129" x14ac:dyDescent="0.2">
      <c r="DY17380" s="185" t="s">
        <v>215</v>
      </c>
    </row>
    <row r="17381" spans="129:129" x14ac:dyDescent="0.2">
      <c r="DY17381" s="185" t="s">
        <v>215</v>
      </c>
    </row>
    <row r="17382" spans="129:129" x14ac:dyDescent="0.2">
      <c r="DY17382" s="185" t="s">
        <v>215</v>
      </c>
    </row>
    <row r="17383" spans="129:129" x14ac:dyDescent="0.2">
      <c r="DY17383" s="185" t="s">
        <v>215</v>
      </c>
    </row>
    <row r="17384" spans="129:129" x14ac:dyDescent="0.2">
      <c r="DY17384" s="185" t="s">
        <v>215</v>
      </c>
    </row>
    <row r="17385" spans="129:129" x14ac:dyDescent="0.2">
      <c r="DY17385" s="185" t="s">
        <v>215</v>
      </c>
    </row>
    <row r="17386" spans="129:129" x14ac:dyDescent="0.2">
      <c r="DY17386" s="185" t="s">
        <v>215</v>
      </c>
    </row>
    <row r="17387" spans="129:129" x14ac:dyDescent="0.2">
      <c r="DY17387" s="185" t="s">
        <v>215</v>
      </c>
    </row>
    <row r="17388" spans="129:129" x14ac:dyDescent="0.2">
      <c r="DY17388" s="185" t="s">
        <v>215</v>
      </c>
    </row>
    <row r="17389" spans="129:129" x14ac:dyDescent="0.2">
      <c r="DY17389" s="185" t="s">
        <v>215</v>
      </c>
    </row>
    <row r="17390" spans="129:129" x14ac:dyDescent="0.2">
      <c r="DY17390" s="185" t="s">
        <v>215</v>
      </c>
    </row>
    <row r="17391" spans="129:129" x14ac:dyDescent="0.2">
      <c r="DY17391" s="185" t="s">
        <v>215</v>
      </c>
    </row>
    <row r="17392" spans="129:129" x14ac:dyDescent="0.2">
      <c r="DY17392" s="185" t="s">
        <v>215</v>
      </c>
    </row>
    <row r="17393" spans="129:129" x14ac:dyDescent="0.2">
      <c r="DY17393" s="185" t="s">
        <v>215</v>
      </c>
    </row>
    <row r="17394" spans="129:129" x14ac:dyDescent="0.2">
      <c r="DY17394" s="185" t="s">
        <v>215</v>
      </c>
    </row>
    <row r="17395" spans="129:129" x14ac:dyDescent="0.2">
      <c r="DY17395" s="185" t="s">
        <v>215</v>
      </c>
    </row>
    <row r="17396" spans="129:129" x14ac:dyDescent="0.2">
      <c r="DY17396" s="185" t="s">
        <v>215</v>
      </c>
    </row>
    <row r="17397" spans="129:129" x14ac:dyDescent="0.2">
      <c r="DY17397" s="185" t="s">
        <v>215</v>
      </c>
    </row>
    <row r="17398" spans="129:129" x14ac:dyDescent="0.2">
      <c r="DY17398" s="185" t="s">
        <v>215</v>
      </c>
    </row>
    <row r="17399" spans="129:129" x14ac:dyDescent="0.2">
      <c r="DY17399" s="185" t="s">
        <v>215</v>
      </c>
    </row>
    <row r="17400" spans="129:129" x14ac:dyDescent="0.2">
      <c r="DY17400" s="185" t="s">
        <v>215</v>
      </c>
    </row>
    <row r="17401" spans="129:129" x14ac:dyDescent="0.2">
      <c r="DY17401" s="185" t="s">
        <v>215</v>
      </c>
    </row>
    <row r="17402" spans="129:129" x14ac:dyDescent="0.2">
      <c r="DY17402" s="185" t="s">
        <v>215</v>
      </c>
    </row>
    <row r="17403" spans="129:129" x14ac:dyDescent="0.2">
      <c r="DY17403" s="185" t="s">
        <v>215</v>
      </c>
    </row>
    <row r="17404" spans="129:129" x14ac:dyDescent="0.2">
      <c r="DY17404" s="185" t="s">
        <v>215</v>
      </c>
    </row>
    <row r="17405" spans="129:129" x14ac:dyDescent="0.2">
      <c r="DY17405" s="185" t="s">
        <v>215</v>
      </c>
    </row>
    <row r="17406" spans="129:129" x14ac:dyDescent="0.2">
      <c r="DY17406" s="185" t="s">
        <v>215</v>
      </c>
    </row>
    <row r="17407" spans="129:129" x14ac:dyDescent="0.2">
      <c r="DY17407" s="185" t="s">
        <v>215</v>
      </c>
    </row>
    <row r="17408" spans="129:129" x14ac:dyDescent="0.2">
      <c r="DY17408" s="185" t="s">
        <v>215</v>
      </c>
    </row>
    <row r="17409" spans="129:129" x14ac:dyDescent="0.2">
      <c r="DY17409" s="185" t="s">
        <v>215</v>
      </c>
    </row>
    <row r="17410" spans="129:129" x14ac:dyDescent="0.2">
      <c r="DY17410" s="185" t="s">
        <v>215</v>
      </c>
    </row>
    <row r="17411" spans="129:129" x14ac:dyDescent="0.2">
      <c r="DY17411" s="185" t="s">
        <v>215</v>
      </c>
    </row>
    <row r="17412" spans="129:129" x14ac:dyDescent="0.2">
      <c r="DY17412" s="185" t="s">
        <v>215</v>
      </c>
    </row>
    <row r="17413" spans="129:129" x14ac:dyDescent="0.2">
      <c r="DY17413" s="185" t="s">
        <v>215</v>
      </c>
    </row>
    <row r="17414" spans="129:129" x14ac:dyDescent="0.2">
      <c r="DY17414" s="185" t="s">
        <v>215</v>
      </c>
    </row>
    <row r="17415" spans="129:129" x14ac:dyDescent="0.2">
      <c r="DY17415" s="185" t="s">
        <v>215</v>
      </c>
    </row>
    <row r="17416" spans="129:129" x14ac:dyDescent="0.2">
      <c r="DY17416" s="185" t="s">
        <v>215</v>
      </c>
    </row>
    <row r="17417" spans="129:129" x14ac:dyDescent="0.2">
      <c r="DY17417" s="185" t="s">
        <v>215</v>
      </c>
    </row>
    <row r="17418" spans="129:129" x14ac:dyDescent="0.2">
      <c r="DY17418" s="185" t="s">
        <v>215</v>
      </c>
    </row>
    <row r="17419" spans="129:129" x14ac:dyDescent="0.2">
      <c r="DY17419" s="185" t="s">
        <v>215</v>
      </c>
    </row>
    <row r="17420" spans="129:129" x14ac:dyDescent="0.2">
      <c r="DY17420" s="185" t="s">
        <v>215</v>
      </c>
    </row>
    <row r="17421" spans="129:129" x14ac:dyDescent="0.2">
      <c r="DY17421" s="185" t="s">
        <v>215</v>
      </c>
    </row>
    <row r="17422" spans="129:129" x14ac:dyDescent="0.2">
      <c r="DY17422" s="185" t="s">
        <v>215</v>
      </c>
    </row>
    <row r="17423" spans="129:129" x14ac:dyDescent="0.2">
      <c r="DY17423" s="185" t="s">
        <v>215</v>
      </c>
    </row>
    <row r="17424" spans="129:129" x14ac:dyDescent="0.2">
      <c r="DY17424" s="185" t="s">
        <v>215</v>
      </c>
    </row>
    <row r="17425" spans="129:129" x14ac:dyDescent="0.2">
      <c r="DY17425" s="185" t="s">
        <v>215</v>
      </c>
    </row>
    <row r="17426" spans="129:129" x14ac:dyDescent="0.2">
      <c r="DY17426" s="185" t="s">
        <v>215</v>
      </c>
    </row>
    <row r="17427" spans="129:129" x14ac:dyDescent="0.2">
      <c r="DY17427" s="185" t="s">
        <v>215</v>
      </c>
    </row>
    <row r="17428" spans="129:129" x14ac:dyDescent="0.2">
      <c r="DY17428" s="185" t="s">
        <v>215</v>
      </c>
    </row>
    <row r="17429" spans="129:129" x14ac:dyDescent="0.2">
      <c r="DY17429" s="185" t="s">
        <v>215</v>
      </c>
    </row>
    <row r="17430" spans="129:129" x14ac:dyDescent="0.2">
      <c r="DY17430" s="185" t="s">
        <v>215</v>
      </c>
    </row>
    <row r="17431" spans="129:129" x14ac:dyDescent="0.2">
      <c r="DY17431" s="185" t="s">
        <v>215</v>
      </c>
    </row>
    <row r="17432" spans="129:129" x14ac:dyDescent="0.2">
      <c r="DY17432" s="185" t="s">
        <v>215</v>
      </c>
    </row>
    <row r="17433" spans="129:129" x14ac:dyDescent="0.2">
      <c r="DY17433" s="185" t="s">
        <v>215</v>
      </c>
    </row>
    <row r="17434" spans="129:129" x14ac:dyDescent="0.2">
      <c r="DY17434" s="185" t="s">
        <v>215</v>
      </c>
    </row>
    <row r="17435" spans="129:129" x14ac:dyDescent="0.2">
      <c r="DY17435" s="185" t="s">
        <v>215</v>
      </c>
    </row>
    <row r="17436" spans="129:129" x14ac:dyDescent="0.2">
      <c r="DY17436" s="185" t="s">
        <v>215</v>
      </c>
    </row>
    <row r="17437" spans="129:129" x14ac:dyDescent="0.2">
      <c r="DY17437" s="185" t="s">
        <v>215</v>
      </c>
    </row>
    <row r="17438" spans="129:129" x14ac:dyDescent="0.2">
      <c r="DY17438" s="185" t="s">
        <v>215</v>
      </c>
    </row>
    <row r="17439" spans="129:129" x14ac:dyDescent="0.2">
      <c r="DY17439" s="185" t="s">
        <v>215</v>
      </c>
    </row>
    <row r="17440" spans="129:129" x14ac:dyDescent="0.2">
      <c r="DY17440" s="185" t="s">
        <v>215</v>
      </c>
    </row>
    <row r="17441" spans="129:129" x14ac:dyDescent="0.2">
      <c r="DY17441" s="185" t="s">
        <v>215</v>
      </c>
    </row>
    <row r="17442" spans="129:129" x14ac:dyDescent="0.2">
      <c r="DY17442" s="185" t="s">
        <v>215</v>
      </c>
    </row>
    <row r="17443" spans="129:129" x14ac:dyDescent="0.2">
      <c r="DY17443" s="185" t="s">
        <v>215</v>
      </c>
    </row>
    <row r="17444" spans="129:129" x14ac:dyDescent="0.2">
      <c r="DY17444" s="185" t="s">
        <v>215</v>
      </c>
    </row>
    <row r="17445" spans="129:129" x14ac:dyDescent="0.2">
      <c r="DY17445" s="185" t="s">
        <v>215</v>
      </c>
    </row>
    <row r="17446" spans="129:129" x14ac:dyDescent="0.2">
      <c r="DY17446" s="185" t="s">
        <v>215</v>
      </c>
    </row>
    <row r="17447" spans="129:129" x14ac:dyDescent="0.2">
      <c r="DY17447" s="185" t="s">
        <v>215</v>
      </c>
    </row>
    <row r="17448" spans="129:129" x14ac:dyDescent="0.2">
      <c r="DY17448" s="185" t="s">
        <v>215</v>
      </c>
    </row>
    <row r="17449" spans="129:129" x14ac:dyDescent="0.2">
      <c r="DY17449" s="185" t="s">
        <v>215</v>
      </c>
    </row>
    <row r="17450" spans="129:129" x14ac:dyDescent="0.2">
      <c r="DY17450" s="185" t="s">
        <v>215</v>
      </c>
    </row>
    <row r="17451" spans="129:129" x14ac:dyDescent="0.2">
      <c r="DY17451" s="185" t="s">
        <v>215</v>
      </c>
    </row>
    <row r="17452" spans="129:129" x14ac:dyDescent="0.2">
      <c r="DY17452" s="185" t="s">
        <v>215</v>
      </c>
    </row>
    <row r="17453" spans="129:129" x14ac:dyDescent="0.2">
      <c r="DY17453" s="185" t="s">
        <v>215</v>
      </c>
    </row>
    <row r="17454" spans="129:129" x14ac:dyDescent="0.2">
      <c r="DY17454" s="185" t="s">
        <v>215</v>
      </c>
    </row>
    <row r="17455" spans="129:129" x14ac:dyDescent="0.2">
      <c r="DY17455" s="185" t="s">
        <v>215</v>
      </c>
    </row>
    <row r="17456" spans="129:129" x14ac:dyDescent="0.2">
      <c r="DY17456" s="185" t="s">
        <v>215</v>
      </c>
    </row>
    <row r="17457" spans="129:129" x14ac:dyDescent="0.2">
      <c r="DY17457" s="185" t="s">
        <v>215</v>
      </c>
    </row>
    <row r="17458" spans="129:129" x14ac:dyDescent="0.2">
      <c r="DY17458" s="185" t="s">
        <v>215</v>
      </c>
    </row>
    <row r="17459" spans="129:129" x14ac:dyDescent="0.2">
      <c r="DY17459" s="185" t="s">
        <v>215</v>
      </c>
    </row>
    <row r="17460" spans="129:129" x14ac:dyDescent="0.2">
      <c r="DY17460" s="185" t="s">
        <v>215</v>
      </c>
    </row>
    <row r="17461" spans="129:129" x14ac:dyDescent="0.2">
      <c r="DY17461" s="185" t="s">
        <v>215</v>
      </c>
    </row>
    <row r="17462" spans="129:129" x14ac:dyDescent="0.2">
      <c r="DY17462" s="185" t="s">
        <v>215</v>
      </c>
    </row>
    <row r="17463" spans="129:129" x14ac:dyDescent="0.2">
      <c r="DY17463" s="185" t="s">
        <v>215</v>
      </c>
    </row>
    <row r="17464" spans="129:129" x14ac:dyDescent="0.2">
      <c r="DY17464" s="185" t="s">
        <v>215</v>
      </c>
    </row>
    <row r="17465" spans="129:129" x14ac:dyDescent="0.2">
      <c r="DY17465" s="185" t="s">
        <v>215</v>
      </c>
    </row>
    <row r="17466" spans="129:129" x14ac:dyDescent="0.2">
      <c r="DY17466" s="185" t="s">
        <v>215</v>
      </c>
    </row>
    <row r="17467" spans="129:129" x14ac:dyDescent="0.2">
      <c r="DY17467" s="185" t="s">
        <v>215</v>
      </c>
    </row>
    <row r="17468" spans="129:129" x14ac:dyDescent="0.2">
      <c r="DY17468" s="185" t="s">
        <v>215</v>
      </c>
    </row>
    <row r="17469" spans="129:129" x14ac:dyDescent="0.2">
      <c r="DY17469" s="185" t="s">
        <v>215</v>
      </c>
    </row>
    <row r="17470" spans="129:129" x14ac:dyDescent="0.2">
      <c r="DY17470" s="185" t="s">
        <v>215</v>
      </c>
    </row>
    <row r="17471" spans="129:129" x14ac:dyDescent="0.2">
      <c r="DY17471" s="185" t="s">
        <v>215</v>
      </c>
    </row>
    <row r="17472" spans="129:129" x14ac:dyDescent="0.2">
      <c r="DY17472" s="185" t="s">
        <v>215</v>
      </c>
    </row>
    <row r="17473" spans="129:129" x14ac:dyDescent="0.2">
      <c r="DY17473" s="185" t="s">
        <v>215</v>
      </c>
    </row>
    <row r="17474" spans="129:129" x14ac:dyDescent="0.2">
      <c r="DY17474" s="185" t="s">
        <v>215</v>
      </c>
    </row>
    <row r="17475" spans="129:129" x14ac:dyDescent="0.2">
      <c r="DY17475" s="185" t="s">
        <v>215</v>
      </c>
    </row>
    <row r="17476" spans="129:129" x14ac:dyDescent="0.2">
      <c r="DY17476" s="185" t="s">
        <v>215</v>
      </c>
    </row>
    <row r="17477" spans="129:129" x14ac:dyDescent="0.2">
      <c r="DY17477" s="185" t="s">
        <v>215</v>
      </c>
    </row>
    <row r="17478" spans="129:129" x14ac:dyDescent="0.2">
      <c r="DY17478" s="185" t="s">
        <v>215</v>
      </c>
    </row>
    <row r="17479" spans="129:129" x14ac:dyDescent="0.2">
      <c r="DY17479" s="185" t="s">
        <v>215</v>
      </c>
    </row>
    <row r="17480" spans="129:129" x14ac:dyDescent="0.2">
      <c r="DY17480" s="185" t="s">
        <v>215</v>
      </c>
    </row>
    <row r="17481" spans="129:129" x14ac:dyDescent="0.2">
      <c r="DY17481" s="185" t="s">
        <v>215</v>
      </c>
    </row>
    <row r="17482" spans="129:129" x14ac:dyDescent="0.2">
      <c r="DY17482" s="185" t="s">
        <v>215</v>
      </c>
    </row>
    <row r="17483" spans="129:129" x14ac:dyDescent="0.2">
      <c r="DY17483" s="185" t="s">
        <v>215</v>
      </c>
    </row>
    <row r="17484" spans="129:129" x14ac:dyDescent="0.2">
      <c r="DY17484" s="185" t="s">
        <v>215</v>
      </c>
    </row>
    <row r="17485" spans="129:129" x14ac:dyDescent="0.2">
      <c r="DY17485" s="185" t="s">
        <v>215</v>
      </c>
    </row>
    <row r="17486" spans="129:129" x14ac:dyDescent="0.2">
      <c r="DY17486" s="185" t="s">
        <v>215</v>
      </c>
    </row>
    <row r="17487" spans="129:129" x14ac:dyDescent="0.2">
      <c r="DY17487" s="185" t="s">
        <v>215</v>
      </c>
    </row>
    <row r="17488" spans="129:129" x14ac:dyDescent="0.2">
      <c r="DY17488" s="185" t="s">
        <v>215</v>
      </c>
    </row>
    <row r="17489" spans="129:129" x14ac:dyDescent="0.2">
      <c r="DY17489" s="185" t="s">
        <v>215</v>
      </c>
    </row>
    <row r="17490" spans="129:129" x14ac:dyDescent="0.2">
      <c r="DY17490" s="185" t="s">
        <v>215</v>
      </c>
    </row>
    <row r="17491" spans="129:129" x14ac:dyDescent="0.2">
      <c r="DY17491" s="185" t="s">
        <v>215</v>
      </c>
    </row>
    <row r="17492" spans="129:129" x14ac:dyDescent="0.2">
      <c r="DY17492" s="185" t="s">
        <v>215</v>
      </c>
    </row>
    <row r="17493" spans="129:129" x14ac:dyDescent="0.2">
      <c r="DY17493" s="185" t="s">
        <v>215</v>
      </c>
    </row>
    <row r="17494" spans="129:129" x14ac:dyDescent="0.2">
      <c r="DY17494" s="185" t="s">
        <v>215</v>
      </c>
    </row>
    <row r="17495" spans="129:129" x14ac:dyDescent="0.2">
      <c r="DY17495" s="185" t="s">
        <v>215</v>
      </c>
    </row>
    <row r="17496" spans="129:129" x14ac:dyDescent="0.2">
      <c r="DY17496" s="185" t="s">
        <v>215</v>
      </c>
    </row>
    <row r="17497" spans="129:129" x14ac:dyDescent="0.2">
      <c r="DY17497" s="185" t="s">
        <v>215</v>
      </c>
    </row>
    <row r="17498" spans="129:129" x14ac:dyDescent="0.2">
      <c r="DY17498" s="185" t="s">
        <v>215</v>
      </c>
    </row>
    <row r="17499" spans="129:129" x14ac:dyDescent="0.2">
      <c r="DY17499" s="185" t="s">
        <v>215</v>
      </c>
    </row>
    <row r="17500" spans="129:129" x14ac:dyDescent="0.2">
      <c r="DY17500" s="185" t="s">
        <v>215</v>
      </c>
    </row>
    <row r="17501" spans="129:129" x14ac:dyDescent="0.2">
      <c r="DY17501" s="185" t="s">
        <v>215</v>
      </c>
    </row>
    <row r="17502" spans="129:129" x14ac:dyDescent="0.2">
      <c r="DY17502" s="185" t="s">
        <v>215</v>
      </c>
    </row>
    <row r="17503" spans="129:129" x14ac:dyDescent="0.2">
      <c r="DY17503" s="185" t="s">
        <v>215</v>
      </c>
    </row>
    <row r="17504" spans="129:129" x14ac:dyDescent="0.2">
      <c r="DY17504" s="185" t="s">
        <v>215</v>
      </c>
    </row>
    <row r="17505" spans="129:129" x14ac:dyDescent="0.2">
      <c r="DY17505" s="185" t="s">
        <v>215</v>
      </c>
    </row>
    <row r="17506" spans="129:129" x14ac:dyDescent="0.2">
      <c r="DY17506" s="185" t="s">
        <v>215</v>
      </c>
    </row>
    <row r="17507" spans="129:129" x14ac:dyDescent="0.2">
      <c r="DY17507" s="185" t="s">
        <v>215</v>
      </c>
    </row>
    <row r="17508" spans="129:129" x14ac:dyDescent="0.2">
      <c r="DY17508" s="185" t="s">
        <v>215</v>
      </c>
    </row>
    <row r="17509" spans="129:129" x14ac:dyDescent="0.2">
      <c r="DY17509" s="185" t="s">
        <v>215</v>
      </c>
    </row>
    <row r="17510" spans="129:129" x14ac:dyDescent="0.2">
      <c r="DY17510" s="185" t="s">
        <v>215</v>
      </c>
    </row>
    <row r="17511" spans="129:129" x14ac:dyDescent="0.2">
      <c r="DY17511" s="185" t="s">
        <v>215</v>
      </c>
    </row>
    <row r="17512" spans="129:129" x14ac:dyDescent="0.2">
      <c r="DY17512" s="185" t="s">
        <v>215</v>
      </c>
    </row>
    <row r="17513" spans="129:129" x14ac:dyDescent="0.2">
      <c r="DY17513" s="185" t="s">
        <v>215</v>
      </c>
    </row>
    <row r="17514" spans="129:129" x14ac:dyDescent="0.2">
      <c r="DY17514" s="185" t="s">
        <v>215</v>
      </c>
    </row>
    <row r="17515" spans="129:129" x14ac:dyDescent="0.2">
      <c r="DY17515" s="185" t="s">
        <v>215</v>
      </c>
    </row>
    <row r="17516" spans="129:129" x14ac:dyDescent="0.2">
      <c r="DY17516" s="185" t="s">
        <v>215</v>
      </c>
    </row>
    <row r="17517" spans="129:129" x14ac:dyDescent="0.2">
      <c r="DY17517" s="185" t="s">
        <v>215</v>
      </c>
    </row>
    <row r="17518" spans="129:129" x14ac:dyDescent="0.2">
      <c r="DY17518" s="185" t="s">
        <v>215</v>
      </c>
    </row>
    <row r="17519" spans="129:129" x14ac:dyDescent="0.2">
      <c r="DY17519" s="185" t="s">
        <v>215</v>
      </c>
    </row>
    <row r="17520" spans="129:129" x14ac:dyDescent="0.2">
      <c r="DY17520" s="185" t="s">
        <v>215</v>
      </c>
    </row>
    <row r="17521" spans="129:129" x14ac:dyDescent="0.2">
      <c r="DY17521" s="185" t="s">
        <v>215</v>
      </c>
    </row>
    <row r="17522" spans="129:129" x14ac:dyDescent="0.2">
      <c r="DY17522" s="185" t="s">
        <v>215</v>
      </c>
    </row>
    <row r="17523" spans="129:129" x14ac:dyDescent="0.2">
      <c r="DY17523" s="185" t="s">
        <v>215</v>
      </c>
    </row>
    <row r="17524" spans="129:129" x14ac:dyDescent="0.2">
      <c r="DY17524" s="185" t="s">
        <v>215</v>
      </c>
    </row>
    <row r="17525" spans="129:129" x14ac:dyDescent="0.2">
      <c r="DY17525" s="185" t="s">
        <v>215</v>
      </c>
    </row>
    <row r="17526" spans="129:129" x14ac:dyDescent="0.2">
      <c r="DY17526" s="185" t="s">
        <v>215</v>
      </c>
    </row>
    <row r="17527" spans="129:129" x14ac:dyDescent="0.2">
      <c r="DY17527" s="185" t="s">
        <v>215</v>
      </c>
    </row>
    <row r="17528" spans="129:129" x14ac:dyDescent="0.2">
      <c r="DY17528" s="185" t="s">
        <v>215</v>
      </c>
    </row>
    <row r="17529" spans="129:129" x14ac:dyDescent="0.2">
      <c r="DY17529" s="185" t="s">
        <v>215</v>
      </c>
    </row>
    <row r="17530" spans="129:129" x14ac:dyDescent="0.2">
      <c r="DY17530" s="185" t="s">
        <v>215</v>
      </c>
    </row>
    <row r="17531" spans="129:129" x14ac:dyDescent="0.2">
      <c r="DY17531" s="185" t="s">
        <v>215</v>
      </c>
    </row>
    <row r="17532" spans="129:129" x14ac:dyDescent="0.2">
      <c r="DY17532" s="185" t="s">
        <v>215</v>
      </c>
    </row>
    <row r="17533" spans="129:129" x14ac:dyDescent="0.2">
      <c r="DY17533" s="185" t="s">
        <v>215</v>
      </c>
    </row>
    <row r="17534" spans="129:129" x14ac:dyDescent="0.2">
      <c r="DY17534" s="185" t="s">
        <v>215</v>
      </c>
    </row>
    <row r="17535" spans="129:129" x14ac:dyDescent="0.2">
      <c r="DY17535" s="185" t="s">
        <v>215</v>
      </c>
    </row>
    <row r="17536" spans="129:129" x14ac:dyDescent="0.2">
      <c r="DY17536" s="185" t="s">
        <v>215</v>
      </c>
    </row>
    <row r="17537" spans="129:129" x14ac:dyDescent="0.2">
      <c r="DY17537" s="185" t="s">
        <v>215</v>
      </c>
    </row>
    <row r="17538" spans="129:129" x14ac:dyDescent="0.2">
      <c r="DY17538" s="185" t="s">
        <v>215</v>
      </c>
    </row>
    <row r="17539" spans="129:129" x14ac:dyDescent="0.2">
      <c r="DY17539" s="185" t="s">
        <v>215</v>
      </c>
    </row>
    <row r="17540" spans="129:129" x14ac:dyDescent="0.2">
      <c r="DY17540" s="185" t="s">
        <v>215</v>
      </c>
    </row>
    <row r="17541" spans="129:129" x14ac:dyDescent="0.2">
      <c r="DY17541" s="185" t="s">
        <v>215</v>
      </c>
    </row>
    <row r="17542" spans="129:129" x14ac:dyDescent="0.2">
      <c r="DY17542" s="185" t="s">
        <v>215</v>
      </c>
    </row>
    <row r="17543" spans="129:129" x14ac:dyDescent="0.2">
      <c r="DY17543" s="185" t="s">
        <v>215</v>
      </c>
    </row>
    <row r="17544" spans="129:129" x14ac:dyDescent="0.2">
      <c r="DY17544" s="185" t="s">
        <v>215</v>
      </c>
    </row>
    <row r="17545" spans="129:129" x14ac:dyDescent="0.2">
      <c r="DY17545" s="185" t="s">
        <v>215</v>
      </c>
    </row>
    <row r="17546" spans="129:129" x14ac:dyDescent="0.2">
      <c r="DY17546" s="185" t="s">
        <v>215</v>
      </c>
    </row>
    <row r="17547" spans="129:129" x14ac:dyDescent="0.2">
      <c r="DY17547" s="185" t="s">
        <v>215</v>
      </c>
    </row>
    <row r="17548" spans="129:129" x14ac:dyDescent="0.2">
      <c r="DY17548" s="185" t="s">
        <v>215</v>
      </c>
    </row>
    <row r="17549" spans="129:129" x14ac:dyDescent="0.2">
      <c r="DY17549" s="185" t="s">
        <v>215</v>
      </c>
    </row>
    <row r="17550" spans="129:129" x14ac:dyDescent="0.2">
      <c r="DY17550" s="185" t="s">
        <v>215</v>
      </c>
    </row>
    <row r="17551" spans="129:129" x14ac:dyDescent="0.2">
      <c r="DY17551" s="185" t="s">
        <v>215</v>
      </c>
    </row>
    <row r="17552" spans="129:129" x14ac:dyDescent="0.2">
      <c r="DY17552" s="185" t="s">
        <v>215</v>
      </c>
    </row>
    <row r="17553" spans="129:129" x14ac:dyDescent="0.2">
      <c r="DY17553" s="185" t="s">
        <v>215</v>
      </c>
    </row>
    <row r="17554" spans="129:129" x14ac:dyDescent="0.2">
      <c r="DY17554" s="185" t="s">
        <v>215</v>
      </c>
    </row>
    <row r="17555" spans="129:129" x14ac:dyDescent="0.2">
      <c r="DY17555" s="185" t="s">
        <v>215</v>
      </c>
    </row>
    <row r="17556" spans="129:129" x14ac:dyDescent="0.2">
      <c r="DY17556" s="185" t="s">
        <v>215</v>
      </c>
    </row>
    <row r="17557" spans="129:129" x14ac:dyDescent="0.2">
      <c r="DY17557" s="185" t="s">
        <v>215</v>
      </c>
    </row>
    <row r="17558" spans="129:129" x14ac:dyDescent="0.2">
      <c r="DY17558" s="185" t="s">
        <v>215</v>
      </c>
    </row>
    <row r="17559" spans="129:129" x14ac:dyDescent="0.2">
      <c r="DY17559" s="185" t="s">
        <v>215</v>
      </c>
    </row>
    <row r="17560" spans="129:129" x14ac:dyDescent="0.2">
      <c r="DY17560" s="185" t="s">
        <v>215</v>
      </c>
    </row>
    <row r="17561" spans="129:129" x14ac:dyDescent="0.2">
      <c r="DY17561" s="185" t="s">
        <v>215</v>
      </c>
    </row>
    <row r="17562" spans="129:129" x14ac:dyDescent="0.2">
      <c r="DY17562" s="185" t="s">
        <v>215</v>
      </c>
    </row>
    <row r="17563" spans="129:129" x14ac:dyDescent="0.2">
      <c r="DY17563" s="185" t="s">
        <v>215</v>
      </c>
    </row>
    <row r="17564" spans="129:129" x14ac:dyDescent="0.2">
      <c r="DY17564" s="185" t="s">
        <v>215</v>
      </c>
    </row>
    <row r="17565" spans="129:129" x14ac:dyDescent="0.2">
      <c r="DY17565" s="185" t="s">
        <v>215</v>
      </c>
    </row>
    <row r="17566" spans="129:129" x14ac:dyDescent="0.2">
      <c r="DY17566" s="185" t="s">
        <v>215</v>
      </c>
    </row>
    <row r="17567" spans="129:129" x14ac:dyDescent="0.2">
      <c r="DY17567" s="185" t="s">
        <v>215</v>
      </c>
    </row>
    <row r="17568" spans="129:129" x14ac:dyDescent="0.2">
      <c r="DY17568" s="185" t="s">
        <v>215</v>
      </c>
    </row>
    <row r="17569" spans="129:129" x14ac:dyDescent="0.2">
      <c r="DY17569" s="185" t="s">
        <v>215</v>
      </c>
    </row>
    <row r="17570" spans="129:129" x14ac:dyDescent="0.2">
      <c r="DY17570" s="185" t="s">
        <v>215</v>
      </c>
    </row>
    <row r="17571" spans="129:129" x14ac:dyDescent="0.2">
      <c r="DY17571" s="185" t="s">
        <v>215</v>
      </c>
    </row>
    <row r="17572" spans="129:129" x14ac:dyDescent="0.2">
      <c r="DY17572" s="185" t="s">
        <v>215</v>
      </c>
    </row>
    <row r="17573" spans="129:129" x14ac:dyDescent="0.2">
      <c r="DY17573" s="185" t="s">
        <v>215</v>
      </c>
    </row>
    <row r="17574" spans="129:129" x14ac:dyDescent="0.2">
      <c r="DY17574" s="185" t="s">
        <v>215</v>
      </c>
    </row>
    <row r="17575" spans="129:129" x14ac:dyDescent="0.2">
      <c r="DY17575" s="185" t="s">
        <v>215</v>
      </c>
    </row>
    <row r="17576" spans="129:129" x14ac:dyDescent="0.2">
      <c r="DY17576" s="185" t="s">
        <v>215</v>
      </c>
    </row>
    <row r="17577" spans="129:129" x14ac:dyDescent="0.2">
      <c r="DY17577" s="185" t="s">
        <v>215</v>
      </c>
    </row>
    <row r="17578" spans="129:129" x14ac:dyDescent="0.2">
      <c r="DY17578" s="185" t="s">
        <v>215</v>
      </c>
    </row>
    <row r="17579" spans="129:129" x14ac:dyDescent="0.2">
      <c r="DY17579" s="185" t="s">
        <v>215</v>
      </c>
    </row>
    <row r="17580" spans="129:129" x14ac:dyDescent="0.2">
      <c r="DY17580" s="185" t="s">
        <v>215</v>
      </c>
    </row>
    <row r="17581" spans="129:129" x14ac:dyDescent="0.2">
      <c r="DY17581" s="185" t="s">
        <v>215</v>
      </c>
    </row>
    <row r="17582" spans="129:129" x14ac:dyDescent="0.2">
      <c r="DY17582" s="185" t="s">
        <v>215</v>
      </c>
    </row>
    <row r="17583" spans="129:129" x14ac:dyDescent="0.2">
      <c r="DY17583" s="185" t="s">
        <v>215</v>
      </c>
    </row>
    <row r="17584" spans="129:129" x14ac:dyDescent="0.2">
      <c r="DY17584" s="185" t="s">
        <v>215</v>
      </c>
    </row>
    <row r="17585" spans="129:129" x14ac:dyDescent="0.2">
      <c r="DY17585" s="185" t="s">
        <v>215</v>
      </c>
    </row>
    <row r="17586" spans="129:129" x14ac:dyDescent="0.2">
      <c r="DY17586" s="185" t="s">
        <v>215</v>
      </c>
    </row>
    <row r="17587" spans="129:129" x14ac:dyDescent="0.2">
      <c r="DY17587" s="185" t="s">
        <v>215</v>
      </c>
    </row>
    <row r="17588" spans="129:129" x14ac:dyDescent="0.2">
      <c r="DY17588" s="185" t="s">
        <v>215</v>
      </c>
    </row>
    <row r="17589" spans="129:129" x14ac:dyDescent="0.2">
      <c r="DY17589" s="185" t="s">
        <v>215</v>
      </c>
    </row>
    <row r="17590" spans="129:129" x14ac:dyDescent="0.2">
      <c r="DY17590" s="185" t="s">
        <v>215</v>
      </c>
    </row>
    <row r="17591" spans="129:129" x14ac:dyDescent="0.2">
      <c r="DY17591" s="185" t="s">
        <v>215</v>
      </c>
    </row>
    <row r="17592" spans="129:129" x14ac:dyDescent="0.2">
      <c r="DY17592" s="185" t="s">
        <v>215</v>
      </c>
    </row>
    <row r="17593" spans="129:129" x14ac:dyDescent="0.2">
      <c r="DY17593" s="185" t="s">
        <v>215</v>
      </c>
    </row>
    <row r="17594" spans="129:129" x14ac:dyDescent="0.2">
      <c r="DY17594" s="185" t="s">
        <v>215</v>
      </c>
    </row>
    <row r="17595" spans="129:129" x14ac:dyDescent="0.2">
      <c r="DY17595" s="185" t="s">
        <v>215</v>
      </c>
    </row>
    <row r="17596" spans="129:129" x14ac:dyDescent="0.2">
      <c r="DY17596" s="185" t="s">
        <v>215</v>
      </c>
    </row>
    <row r="17597" spans="129:129" x14ac:dyDescent="0.2">
      <c r="DY17597" s="185" t="s">
        <v>215</v>
      </c>
    </row>
    <row r="17598" spans="129:129" x14ac:dyDescent="0.2">
      <c r="DY17598" s="185" t="s">
        <v>215</v>
      </c>
    </row>
    <row r="17599" spans="129:129" x14ac:dyDescent="0.2">
      <c r="DY17599" s="185" t="s">
        <v>215</v>
      </c>
    </row>
    <row r="17600" spans="129:129" x14ac:dyDescent="0.2">
      <c r="DY17600" s="185" t="s">
        <v>215</v>
      </c>
    </row>
    <row r="17601" spans="129:129" x14ac:dyDescent="0.2">
      <c r="DY17601" s="185" t="s">
        <v>215</v>
      </c>
    </row>
    <row r="17602" spans="129:129" x14ac:dyDescent="0.2">
      <c r="DY17602" s="185" t="s">
        <v>215</v>
      </c>
    </row>
    <row r="17603" spans="129:129" x14ac:dyDescent="0.2">
      <c r="DY17603" s="185" t="s">
        <v>215</v>
      </c>
    </row>
    <row r="17604" spans="129:129" x14ac:dyDescent="0.2">
      <c r="DY17604" s="185" t="s">
        <v>215</v>
      </c>
    </row>
    <row r="17605" spans="129:129" x14ac:dyDescent="0.2">
      <c r="DY17605" s="185" t="s">
        <v>215</v>
      </c>
    </row>
    <row r="17606" spans="129:129" x14ac:dyDescent="0.2">
      <c r="DY17606" s="185" t="s">
        <v>215</v>
      </c>
    </row>
    <row r="17607" spans="129:129" x14ac:dyDescent="0.2">
      <c r="DY17607" s="185" t="s">
        <v>215</v>
      </c>
    </row>
    <row r="17608" spans="129:129" x14ac:dyDescent="0.2">
      <c r="DY17608" s="185" t="s">
        <v>215</v>
      </c>
    </row>
    <row r="17609" spans="129:129" x14ac:dyDescent="0.2">
      <c r="DY17609" s="185" t="s">
        <v>215</v>
      </c>
    </row>
    <row r="17610" spans="129:129" x14ac:dyDescent="0.2">
      <c r="DY17610" s="185" t="s">
        <v>215</v>
      </c>
    </row>
    <row r="17611" spans="129:129" x14ac:dyDescent="0.2">
      <c r="DY17611" s="185" t="s">
        <v>215</v>
      </c>
    </row>
    <row r="17612" spans="129:129" x14ac:dyDescent="0.2">
      <c r="DY17612" s="185" t="s">
        <v>215</v>
      </c>
    </row>
    <row r="17613" spans="129:129" x14ac:dyDescent="0.2">
      <c r="DY17613" s="185" t="s">
        <v>215</v>
      </c>
    </row>
    <row r="17614" spans="129:129" x14ac:dyDescent="0.2">
      <c r="DY17614" s="185" t="s">
        <v>215</v>
      </c>
    </row>
    <row r="17615" spans="129:129" x14ac:dyDescent="0.2">
      <c r="DY17615" s="185" t="s">
        <v>215</v>
      </c>
    </row>
    <row r="17616" spans="129:129" x14ac:dyDescent="0.2">
      <c r="DY17616" s="185" t="s">
        <v>215</v>
      </c>
    </row>
    <row r="17617" spans="129:129" x14ac:dyDescent="0.2">
      <c r="DY17617" s="185" t="s">
        <v>215</v>
      </c>
    </row>
    <row r="17618" spans="129:129" x14ac:dyDescent="0.2">
      <c r="DY17618" s="185" t="s">
        <v>215</v>
      </c>
    </row>
    <row r="17619" spans="129:129" x14ac:dyDescent="0.2">
      <c r="DY17619" s="185" t="s">
        <v>215</v>
      </c>
    </row>
    <row r="17620" spans="129:129" x14ac:dyDescent="0.2">
      <c r="DY17620" s="185" t="s">
        <v>215</v>
      </c>
    </row>
    <row r="17621" spans="129:129" x14ac:dyDescent="0.2">
      <c r="DY17621" s="185" t="s">
        <v>215</v>
      </c>
    </row>
    <row r="17622" spans="129:129" x14ac:dyDescent="0.2">
      <c r="DY17622" s="185" t="s">
        <v>215</v>
      </c>
    </row>
    <row r="17623" spans="129:129" x14ac:dyDescent="0.2">
      <c r="DY17623" s="185" t="s">
        <v>215</v>
      </c>
    </row>
    <row r="17624" spans="129:129" x14ac:dyDescent="0.2">
      <c r="DY17624" s="185" t="s">
        <v>215</v>
      </c>
    </row>
    <row r="17625" spans="129:129" x14ac:dyDescent="0.2">
      <c r="DY17625" s="185" t="s">
        <v>215</v>
      </c>
    </row>
    <row r="17626" spans="129:129" x14ac:dyDescent="0.2">
      <c r="DY17626" s="185" t="s">
        <v>215</v>
      </c>
    </row>
    <row r="17627" spans="129:129" x14ac:dyDescent="0.2">
      <c r="DY17627" s="185" t="s">
        <v>215</v>
      </c>
    </row>
    <row r="17628" spans="129:129" x14ac:dyDescent="0.2">
      <c r="DY17628" s="185" t="s">
        <v>215</v>
      </c>
    </row>
    <row r="17629" spans="129:129" x14ac:dyDescent="0.2">
      <c r="DY17629" s="185" t="s">
        <v>215</v>
      </c>
    </row>
    <row r="17630" spans="129:129" x14ac:dyDescent="0.2">
      <c r="DY17630" s="185" t="s">
        <v>215</v>
      </c>
    </row>
    <row r="17631" spans="129:129" x14ac:dyDescent="0.2">
      <c r="DY17631" s="185" t="s">
        <v>215</v>
      </c>
    </row>
    <row r="17632" spans="129:129" x14ac:dyDescent="0.2">
      <c r="DY17632" s="185" t="s">
        <v>215</v>
      </c>
    </row>
    <row r="17633" spans="129:129" x14ac:dyDescent="0.2">
      <c r="DY17633" s="185" t="s">
        <v>215</v>
      </c>
    </row>
    <row r="17634" spans="129:129" x14ac:dyDescent="0.2">
      <c r="DY17634" s="185" t="s">
        <v>215</v>
      </c>
    </row>
    <row r="17635" spans="129:129" x14ac:dyDescent="0.2">
      <c r="DY17635" s="185" t="s">
        <v>215</v>
      </c>
    </row>
    <row r="17636" spans="129:129" x14ac:dyDescent="0.2">
      <c r="DY17636" s="185" t="s">
        <v>215</v>
      </c>
    </row>
    <row r="17637" spans="129:129" x14ac:dyDescent="0.2">
      <c r="DY17637" s="185" t="s">
        <v>215</v>
      </c>
    </row>
    <row r="17638" spans="129:129" x14ac:dyDescent="0.2">
      <c r="DY17638" s="185" t="s">
        <v>215</v>
      </c>
    </row>
    <row r="17639" spans="129:129" x14ac:dyDescent="0.2">
      <c r="DY17639" s="185" t="s">
        <v>215</v>
      </c>
    </row>
    <row r="17640" spans="129:129" x14ac:dyDescent="0.2">
      <c r="DY17640" s="185" t="s">
        <v>215</v>
      </c>
    </row>
    <row r="17641" spans="129:129" x14ac:dyDescent="0.2">
      <c r="DY17641" s="185" t="s">
        <v>215</v>
      </c>
    </row>
    <row r="17642" spans="129:129" x14ac:dyDescent="0.2">
      <c r="DY17642" s="185" t="s">
        <v>215</v>
      </c>
    </row>
    <row r="17643" spans="129:129" x14ac:dyDescent="0.2">
      <c r="DY17643" s="185" t="s">
        <v>215</v>
      </c>
    </row>
    <row r="17644" spans="129:129" x14ac:dyDescent="0.2">
      <c r="DY17644" s="185" t="s">
        <v>215</v>
      </c>
    </row>
    <row r="17645" spans="129:129" x14ac:dyDescent="0.2">
      <c r="DY17645" s="185" t="s">
        <v>215</v>
      </c>
    </row>
    <row r="17646" spans="129:129" x14ac:dyDescent="0.2">
      <c r="DY17646" s="185" t="s">
        <v>215</v>
      </c>
    </row>
    <row r="17647" spans="129:129" x14ac:dyDescent="0.2">
      <c r="DY17647" s="185" t="s">
        <v>215</v>
      </c>
    </row>
    <row r="17648" spans="129:129" x14ac:dyDescent="0.2">
      <c r="DY17648" s="185" t="s">
        <v>215</v>
      </c>
    </row>
    <row r="17649" spans="129:129" x14ac:dyDescent="0.2">
      <c r="DY17649" s="185" t="s">
        <v>215</v>
      </c>
    </row>
    <row r="17650" spans="129:129" x14ac:dyDescent="0.2">
      <c r="DY17650" s="185" t="s">
        <v>215</v>
      </c>
    </row>
    <row r="17651" spans="129:129" x14ac:dyDescent="0.2">
      <c r="DY17651" s="185" t="s">
        <v>215</v>
      </c>
    </row>
    <row r="17652" spans="129:129" x14ac:dyDescent="0.2">
      <c r="DY17652" s="185" t="s">
        <v>215</v>
      </c>
    </row>
    <row r="17653" spans="129:129" x14ac:dyDescent="0.2">
      <c r="DY17653" s="185" t="s">
        <v>215</v>
      </c>
    </row>
    <row r="17654" spans="129:129" x14ac:dyDescent="0.2">
      <c r="DY17654" s="185" t="s">
        <v>215</v>
      </c>
    </row>
    <row r="17655" spans="129:129" x14ac:dyDescent="0.2">
      <c r="DY17655" s="185" t="s">
        <v>215</v>
      </c>
    </row>
    <row r="17656" spans="129:129" x14ac:dyDescent="0.2">
      <c r="DY17656" s="185" t="s">
        <v>215</v>
      </c>
    </row>
    <row r="17657" spans="129:129" x14ac:dyDescent="0.2">
      <c r="DY17657" s="185" t="s">
        <v>215</v>
      </c>
    </row>
    <row r="17658" spans="129:129" x14ac:dyDescent="0.2">
      <c r="DY17658" s="185" t="s">
        <v>215</v>
      </c>
    </row>
    <row r="17659" spans="129:129" x14ac:dyDescent="0.2">
      <c r="DY17659" s="185" t="s">
        <v>215</v>
      </c>
    </row>
    <row r="17660" spans="129:129" x14ac:dyDescent="0.2">
      <c r="DY17660" s="185" t="s">
        <v>215</v>
      </c>
    </row>
    <row r="17661" spans="129:129" x14ac:dyDescent="0.2">
      <c r="DY17661" s="185" t="s">
        <v>215</v>
      </c>
    </row>
    <row r="17662" spans="129:129" x14ac:dyDescent="0.2">
      <c r="DY17662" s="185" t="s">
        <v>215</v>
      </c>
    </row>
    <row r="17663" spans="129:129" x14ac:dyDescent="0.2">
      <c r="DY17663" s="185" t="s">
        <v>215</v>
      </c>
    </row>
    <row r="17664" spans="129:129" x14ac:dyDescent="0.2">
      <c r="DY17664" s="185" t="s">
        <v>215</v>
      </c>
    </row>
    <row r="17665" spans="129:129" x14ac:dyDescent="0.2">
      <c r="DY17665" s="185" t="s">
        <v>215</v>
      </c>
    </row>
    <row r="17666" spans="129:129" x14ac:dyDescent="0.2">
      <c r="DY17666" s="185" t="s">
        <v>215</v>
      </c>
    </row>
    <row r="17667" spans="129:129" x14ac:dyDescent="0.2">
      <c r="DY17667" s="185" t="s">
        <v>215</v>
      </c>
    </row>
    <row r="17668" spans="129:129" x14ac:dyDescent="0.2">
      <c r="DY17668" s="185" t="s">
        <v>215</v>
      </c>
    </row>
    <row r="17669" spans="129:129" x14ac:dyDescent="0.2">
      <c r="DY17669" s="185" t="s">
        <v>215</v>
      </c>
    </row>
    <row r="17670" spans="129:129" x14ac:dyDescent="0.2">
      <c r="DY17670" s="185" t="s">
        <v>215</v>
      </c>
    </row>
    <row r="17671" spans="129:129" x14ac:dyDescent="0.2">
      <c r="DY17671" s="185" t="s">
        <v>215</v>
      </c>
    </row>
    <row r="17672" spans="129:129" x14ac:dyDescent="0.2">
      <c r="DY17672" s="185" t="s">
        <v>215</v>
      </c>
    </row>
    <row r="17673" spans="129:129" x14ac:dyDescent="0.2">
      <c r="DY17673" s="185" t="s">
        <v>215</v>
      </c>
    </row>
    <row r="17674" spans="129:129" x14ac:dyDescent="0.2">
      <c r="DY17674" s="185" t="s">
        <v>215</v>
      </c>
    </row>
    <row r="17675" spans="129:129" x14ac:dyDescent="0.2">
      <c r="DY17675" s="185" t="s">
        <v>215</v>
      </c>
    </row>
    <row r="17676" spans="129:129" x14ac:dyDescent="0.2">
      <c r="DY17676" s="185" t="s">
        <v>215</v>
      </c>
    </row>
    <row r="17677" spans="129:129" x14ac:dyDescent="0.2">
      <c r="DY17677" s="185" t="s">
        <v>215</v>
      </c>
    </row>
    <row r="17678" spans="129:129" x14ac:dyDescent="0.2">
      <c r="DY17678" s="185" t="s">
        <v>215</v>
      </c>
    </row>
    <row r="17679" spans="129:129" x14ac:dyDescent="0.2">
      <c r="DY17679" s="185" t="s">
        <v>215</v>
      </c>
    </row>
    <row r="17680" spans="129:129" x14ac:dyDescent="0.2">
      <c r="DY17680" s="185" t="s">
        <v>215</v>
      </c>
    </row>
    <row r="17681" spans="129:129" x14ac:dyDescent="0.2">
      <c r="DY17681" s="185" t="s">
        <v>215</v>
      </c>
    </row>
    <row r="17682" spans="129:129" x14ac:dyDescent="0.2">
      <c r="DY17682" s="185" t="s">
        <v>215</v>
      </c>
    </row>
    <row r="17683" spans="129:129" x14ac:dyDescent="0.2">
      <c r="DY17683" s="185" t="s">
        <v>215</v>
      </c>
    </row>
    <row r="17684" spans="129:129" x14ac:dyDescent="0.2">
      <c r="DY17684" s="185" t="s">
        <v>215</v>
      </c>
    </row>
    <row r="17685" spans="129:129" x14ac:dyDescent="0.2">
      <c r="DY17685" s="185" t="s">
        <v>215</v>
      </c>
    </row>
    <row r="17686" spans="129:129" x14ac:dyDescent="0.2">
      <c r="DY17686" s="185" t="s">
        <v>215</v>
      </c>
    </row>
    <row r="17687" spans="129:129" x14ac:dyDescent="0.2">
      <c r="DY17687" s="185" t="s">
        <v>215</v>
      </c>
    </row>
    <row r="17688" spans="129:129" x14ac:dyDescent="0.2">
      <c r="DY17688" s="185" t="s">
        <v>215</v>
      </c>
    </row>
    <row r="17689" spans="129:129" x14ac:dyDescent="0.2">
      <c r="DY17689" s="185" t="s">
        <v>215</v>
      </c>
    </row>
    <row r="17690" spans="129:129" x14ac:dyDescent="0.2">
      <c r="DY17690" s="185" t="s">
        <v>215</v>
      </c>
    </row>
    <row r="17691" spans="129:129" x14ac:dyDescent="0.2">
      <c r="DY17691" s="185" t="s">
        <v>215</v>
      </c>
    </row>
    <row r="17692" spans="129:129" x14ac:dyDescent="0.2">
      <c r="DY17692" s="185" t="s">
        <v>215</v>
      </c>
    </row>
    <row r="17693" spans="129:129" x14ac:dyDescent="0.2">
      <c r="DY17693" s="185" t="s">
        <v>215</v>
      </c>
    </row>
    <row r="17694" spans="129:129" x14ac:dyDescent="0.2">
      <c r="DY17694" s="185" t="s">
        <v>215</v>
      </c>
    </row>
    <row r="17695" spans="129:129" x14ac:dyDescent="0.2">
      <c r="DY17695" s="185" t="s">
        <v>215</v>
      </c>
    </row>
    <row r="17696" spans="129:129" x14ac:dyDescent="0.2">
      <c r="DY17696" s="185" t="s">
        <v>215</v>
      </c>
    </row>
    <row r="17697" spans="129:129" x14ac:dyDescent="0.2">
      <c r="DY17697" s="185" t="s">
        <v>215</v>
      </c>
    </row>
    <row r="17698" spans="129:129" x14ac:dyDescent="0.2">
      <c r="DY17698" s="185" t="s">
        <v>215</v>
      </c>
    </row>
    <row r="17699" spans="129:129" x14ac:dyDescent="0.2">
      <c r="DY17699" s="185" t="s">
        <v>215</v>
      </c>
    </row>
    <row r="17700" spans="129:129" x14ac:dyDescent="0.2">
      <c r="DY17700" s="185" t="s">
        <v>215</v>
      </c>
    </row>
    <row r="17701" spans="129:129" x14ac:dyDescent="0.2">
      <c r="DY17701" s="185" t="s">
        <v>215</v>
      </c>
    </row>
    <row r="17702" spans="129:129" x14ac:dyDescent="0.2">
      <c r="DY17702" s="185" t="s">
        <v>215</v>
      </c>
    </row>
    <row r="17703" spans="129:129" x14ac:dyDescent="0.2">
      <c r="DY17703" s="185" t="s">
        <v>215</v>
      </c>
    </row>
    <row r="17704" spans="129:129" x14ac:dyDescent="0.2">
      <c r="DY17704" s="185" t="s">
        <v>215</v>
      </c>
    </row>
    <row r="17705" spans="129:129" x14ac:dyDescent="0.2">
      <c r="DY17705" s="185" t="s">
        <v>215</v>
      </c>
    </row>
    <row r="17706" spans="129:129" x14ac:dyDescent="0.2">
      <c r="DY17706" s="185" t="s">
        <v>215</v>
      </c>
    </row>
    <row r="17707" spans="129:129" x14ac:dyDescent="0.2">
      <c r="DY17707" s="185" t="s">
        <v>215</v>
      </c>
    </row>
    <row r="17708" spans="129:129" x14ac:dyDescent="0.2">
      <c r="DY17708" s="185" t="s">
        <v>215</v>
      </c>
    </row>
    <row r="17709" spans="129:129" x14ac:dyDescent="0.2">
      <c r="DY17709" s="185" t="s">
        <v>215</v>
      </c>
    </row>
    <row r="17710" spans="129:129" x14ac:dyDescent="0.2">
      <c r="DY17710" s="185" t="s">
        <v>215</v>
      </c>
    </row>
    <row r="17711" spans="129:129" x14ac:dyDescent="0.2">
      <c r="DY17711" s="185" t="s">
        <v>215</v>
      </c>
    </row>
    <row r="17712" spans="129:129" x14ac:dyDescent="0.2">
      <c r="DY17712" s="185" t="s">
        <v>215</v>
      </c>
    </row>
    <row r="17713" spans="129:129" x14ac:dyDescent="0.2">
      <c r="DY17713" s="185" t="s">
        <v>215</v>
      </c>
    </row>
    <row r="17714" spans="129:129" x14ac:dyDescent="0.2">
      <c r="DY17714" s="185" t="s">
        <v>215</v>
      </c>
    </row>
    <row r="17715" spans="129:129" x14ac:dyDescent="0.2">
      <c r="DY17715" s="185" t="s">
        <v>215</v>
      </c>
    </row>
    <row r="17716" spans="129:129" x14ac:dyDescent="0.2">
      <c r="DY17716" s="185" t="s">
        <v>215</v>
      </c>
    </row>
    <row r="17717" spans="129:129" x14ac:dyDescent="0.2">
      <c r="DY17717" s="185" t="s">
        <v>215</v>
      </c>
    </row>
    <row r="17718" spans="129:129" x14ac:dyDescent="0.2">
      <c r="DY17718" s="185" t="s">
        <v>215</v>
      </c>
    </row>
    <row r="17719" spans="129:129" x14ac:dyDescent="0.2">
      <c r="DY17719" s="185" t="s">
        <v>215</v>
      </c>
    </row>
    <row r="17720" spans="129:129" x14ac:dyDescent="0.2">
      <c r="DY17720" s="185" t="s">
        <v>215</v>
      </c>
    </row>
    <row r="17721" spans="129:129" x14ac:dyDescent="0.2">
      <c r="DY17721" s="185" t="s">
        <v>215</v>
      </c>
    </row>
    <row r="17722" spans="129:129" x14ac:dyDescent="0.2">
      <c r="DY17722" s="185" t="s">
        <v>215</v>
      </c>
    </row>
    <row r="17723" spans="129:129" x14ac:dyDescent="0.2">
      <c r="DY17723" s="185" t="s">
        <v>215</v>
      </c>
    </row>
    <row r="17724" spans="129:129" x14ac:dyDescent="0.2">
      <c r="DY17724" s="185" t="s">
        <v>215</v>
      </c>
    </row>
    <row r="17725" spans="129:129" x14ac:dyDescent="0.2">
      <c r="DY17725" s="185" t="s">
        <v>215</v>
      </c>
    </row>
    <row r="17726" spans="129:129" x14ac:dyDescent="0.2">
      <c r="DY17726" s="185" t="s">
        <v>215</v>
      </c>
    </row>
    <row r="17727" spans="129:129" x14ac:dyDescent="0.2">
      <c r="DY17727" s="185" t="s">
        <v>215</v>
      </c>
    </row>
    <row r="17728" spans="129:129" x14ac:dyDescent="0.2">
      <c r="DY17728" s="185" t="s">
        <v>215</v>
      </c>
    </row>
    <row r="17729" spans="129:129" x14ac:dyDescent="0.2">
      <c r="DY17729" s="185" t="s">
        <v>215</v>
      </c>
    </row>
    <row r="17730" spans="129:129" x14ac:dyDescent="0.2">
      <c r="DY17730" s="185" t="s">
        <v>215</v>
      </c>
    </row>
    <row r="17731" spans="129:129" x14ac:dyDescent="0.2">
      <c r="DY17731" s="185" t="s">
        <v>215</v>
      </c>
    </row>
    <row r="17732" spans="129:129" x14ac:dyDescent="0.2">
      <c r="DY17732" s="185" t="s">
        <v>215</v>
      </c>
    </row>
    <row r="17733" spans="129:129" x14ac:dyDescent="0.2">
      <c r="DY17733" s="185" t="s">
        <v>215</v>
      </c>
    </row>
    <row r="17734" spans="129:129" x14ac:dyDescent="0.2">
      <c r="DY17734" s="185" t="s">
        <v>215</v>
      </c>
    </row>
    <row r="17735" spans="129:129" x14ac:dyDescent="0.2">
      <c r="DY17735" s="185" t="s">
        <v>215</v>
      </c>
    </row>
    <row r="17736" spans="129:129" x14ac:dyDescent="0.2">
      <c r="DY17736" s="185" t="s">
        <v>215</v>
      </c>
    </row>
    <row r="17737" spans="129:129" x14ac:dyDescent="0.2">
      <c r="DY17737" s="185" t="s">
        <v>215</v>
      </c>
    </row>
    <row r="17738" spans="129:129" x14ac:dyDescent="0.2">
      <c r="DY17738" s="185" t="s">
        <v>215</v>
      </c>
    </row>
    <row r="17739" spans="129:129" x14ac:dyDescent="0.2">
      <c r="DY17739" s="185" t="s">
        <v>215</v>
      </c>
    </row>
    <row r="17740" spans="129:129" x14ac:dyDescent="0.2">
      <c r="DY17740" s="185" t="s">
        <v>215</v>
      </c>
    </row>
    <row r="17741" spans="129:129" x14ac:dyDescent="0.2">
      <c r="DY17741" s="185" t="s">
        <v>215</v>
      </c>
    </row>
    <row r="17742" spans="129:129" x14ac:dyDescent="0.2">
      <c r="DY17742" s="185" t="s">
        <v>215</v>
      </c>
    </row>
    <row r="17743" spans="129:129" x14ac:dyDescent="0.2">
      <c r="DY17743" s="185" t="s">
        <v>215</v>
      </c>
    </row>
    <row r="17744" spans="129:129" x14ac:dyDescent="0.2">
      <c r="DY17744" s="185" t="s">
        <v>215</v>
      </c>
    </row>
    <row r="17745" spans="129:129" x14ac:dyDescent="0.2">
      <c r="DY17745" s="185" t="s">
        <v>215</v>
      </c>
    </row>
    <row r="17746" spans="129:129" x14ac:dyDescent="0.2">
      <c r="DY17746" s="185" t="s">
        <v>215</v>
      </c>
    </row>
    <row r="17747" spans="129:129" x14ac:dyDescent="0.2">
      <c r="DY17747" s="185" t="s">
        <v>215</v>
      </c>
    </row>
    <row r="17748" spans="129:129" x14ac:dyDescent="0.2">
      <c r="DY17748" s="185" t="s">
        <v>215</v>
      </c>
    </row>
    <row r="17749" spans="129:129" x14ac:dyDescent="0.2">
      <c r="DY17749" s="185" t="s">
        <v>215</v>
      </c>
    </row>
    <row r="17750" spans="129:129" x14ac:dyDescent="0.2">
      <c r="DY17750" s="185" t="s">
        <v>215</v>
      </c>
    </row>
    <row r="17751" spans="129:129" x14ac:dyDescent="0.2">
      <c r="DY17751" s="185" t="s">
        <v>215</v>
      </c>
    </row>
    <row r="17752" spans="129:129" x14ac:dyDescent="0.2">
      <c r="DY17752" s="185" t="s">
        <v>215</v>
      </c>
    </row>
    <row r="17753" spans="129:129" x14ac:dyDescent="0.2">
      <c r="DY17753" s="185" t="s">
        <v>215</v>
      </c>
    </row>
    <row r="17754" spans="129:129" x14ac:dyDescent="0.2">
      <c r="DY17754" s="185" t="s">
        <v>215</v>
      </c>
    </row>
    <row r="17755" spans="129:129" x14ac:dyDescent="0.2">
      <c r="DY17755" s="185" t="s">
        <v>215</v>
      </c>
    </row>
    <row r="17756" spans="129:129" x14ac:dyDescent="0.2">
      <c r="DY17756" s="185" t="s">
        <v>215</v>
      </c>
    </row>
    <row r="17757" spans="129:129" x14ac:dyDescent="0.2">
      <c r="DY17757" s="185" t="s">
        <v>215</v>
      </c>
    </row>
    <row r="17758" spans="129:129" x14ac:dyDescent="0.2">
      <c r="DY17758" s="185" t="s">
        <v>215</v>
      </c>
    </row>
    <row r="17759" spans="129:129" x14ac:dyDescent="0.2">
      <c r="DY17759" s="185" t="s">
        <v>215</v>
      </c>
    </row>
    <row r="17760" spans="129:129" x14ac:dyDescent="0.2">
      <c r="DY17760" s="185" t="s">
        <v>215</v>
      </c>
    </row>
    <row r="17761" spans="129:129" x14ac:dyDescent="0.2">
      <c r="DY17761" s="185" t="s">
        <v>215</v>
      </c>
    </row>
    <row r="17762" spans="129:129" x14ac:dyDescent="0.2">
      <c r="DY17762" s="185" t="s">
        <v>215</v>
      </c>
    </row>
    <row r="17763" spans="129:129" x14ac:dyDescent="0.2">
      <c r="DY17763" s="185" t="s">
        <v>215</v>
      </c>
    </row>
    <row r="17764" spans="129:129" x14ac:dyDescent="0.2">
      <c r="DY17764" s="185" t="s">
        <v>215</v>
      </c>
    </row>
    <row r="17765" spans="129:129" x14ac:dyDescent="0.2">
      <c r="DY17765" s="185" t="s">
        <v>215</v>
      </c>
    </row>
    <row r="17766" spans="129:129" x14ac:dyDescent="0.2">
      <c r="DY17766" s="185" t="s">
        <v>215</v>
      </c>
    </row>
    <row r="17767" spans="129:129" x14ac:dyDescent="0.2">
      <c r="DY17767" s="185" t="s">
        <v>215</v>
      </c>
    </row>
    <row r="17768" spans="129:129" x14ac:dyDescent="0.2">
      <c r="DY17768" s="185" t="s">
        <v>215</v>
      </c>
    </row>
    <row r="17769" spans="129:129" x14ac:dyDescent="0.2">
      <c r="DY17769" s="185" t="s">
        <v>215</v>
      </c>
    </row>
    <row r="17770" spans="129:129" x14ac:dyDescent="0.2">
      <c r="DY17770" s="185" t="s">
        <v>215</v>
      </c>
    </row>
    <row r="17771" spans="129:129" x14ac:dyDescent="0.2">
      <c r="DY17771" s="185" t="s">
        <v>215</v>
      </c>
    </row>
    <row r="17772" spans="129:129" x14ac:dyDescent="0.2">
      <c r="DY17772" s="185" t="s">
        <v>215</v>
      </c>
    </row>
    <row r="17773" spans="129:129" x14ac:dyDescent="0.2">
      <c r="DY17773" s="185" t="s">
        <v>215</v>
      </c>
    </row>
    <row r="17774" spans="129:129" x14ac:dyDescent="0.2">
      <c r="DY17774" s="185" t="s">
        <v>215</v>
      </c>
    </row>
    <row r="17775" spans="129:129" x14ac:dyDescent="0.2">
      <c r="DY17775" s="185" t="s">
        <v>215</v>
      </c>
    </row>
    <row r="17776" spans="129:129" x14ac:dyDescent="0.2">
      <c r="DY17776" s="185" t="s">
        <v>215</v>
      </c>
    </row>
    <row r="17777" spans="129:129" x14ac:dyDescent="0.2">
      <c r="DY17777" s="185" t="s">
        <v>215</v>
      </c>
    </row>
    <row r="17778" spans="129:129" x14ac:dyDescent="0.2">
      <c r="DY17778" s="185" t="s">
        <v>215</v>
      </c>
    </row>
    <row r="17779" spans="129:129" x14ac:dyDescent="0.2">
      <c r="DY17779" s="185" t="s">
        <v>215</v>
      </c>
    </row>
    <row r="17780" spans="129:129" x14ac:dyDescent="0.2">
      <c r="DY17780" s="185" t="s">
        <v>215</v>
      </c>
    </row>
    <row r="17781" spans="129:129" x14ac:dyDescent="0.2">
      <c r="DY17781" s="185" t="s">
        <v>215</v>
      </c>
    </row>
    <row r="17782" spans="129:129" x14ac:dyDescent="0.2">
      <c r="DY17782" s="185" t="s">
        <v>215</v>
      </c>
    </row>
    <row r="17783" spans="129:129" x14ac:dyDescent="0.2">
      <c r="DY17783" s="185" t="s">
        <v>215</v>
      </c>
    </row>
    <row r="17784" spans="129:129" x14ac:dyDescent="0.2">
      <c r="DY17784" s="185" t="s">
        <v>215</v>
      </c>
    </row>
    <row r="17785" spans="129:129" x14ac:dyDescent="0.2">
      <c r="DY17785" s="185" t="s">
        <v>215</v>
      </c>
    </row>
    <row r="17786" spans="129:129" x14ac:dyDescent="0.2">
      <c r="DY17786" s="185" t="s">
        <v>215</v>
      </c>
    </row>
    <row r="17787" spans="129:129" x14ac:dyDescent="0.2">
      <c r="DY17787" s="185" t="s">
        <v>215</v>
      </c>
    </row>
    <row r="17788" spans="129:129" x14ac:dyDescent="0.2">
      <c r="DY17788" s="185" t="s">
        <v>215</v>
      </c>
    </row>
    <row r="17789" spans="129:129" x14ac:dyDescent="0.2">
      <c r="DY17789" s="185" t="s">
        <v>215</v>
      </c>
    </row>
    <row r="17790" spans="129:129" x14ac:dyDescent="0.2">
      <c r="DY17790" s="185" t="s">
        <v>215</v>
      </c>
    </row>
    <row r="17791" spans="129:129" x14ac:dyDescent="0.2">
      <c r="DY17791" s="185" t="s">
        <v>215</v>
      </c>
    </row>
    <row r="17792" spans="129:129" x14ac:dyDescent="0.2">
      <c r="DY17792" s="185" t="s">
        <v>215</v>
      </c>
    </row>
    <row r="17793" spans="129:129" x14ac:dyDescent="0.2">
      <c r="DY17793" s="185" t="s">
        <v>215</v>
      </c>
    </row>
    <row r="17794" spans="129:129" x14ac:dyDescent="0.2">
      <c r="DY17794" s="185" t="s">
        <v>215</v>
      </c>
    </row>
    <row r="17795" spans="129:129" x14ac:dyDescent="0.2">
      <c r="DY17795" s="185" t="s">
        <v>215</v>
      </c>
    </row>
    <row r="17796" spans="129:129" x14ac:dyDescent="0.2">
      <c r="DY17796" s="185" t="s">
        <v>215</v>
      </c>
    </row>
    <row r="17797" spans="129:129" x14ac:dyDescent="0.2">
      <c r="DY17797" s="185" t="s">
        <v>215</v>
      </c>
    </row>
    <row r="17798" spans="129:129" x14ac:dyDescent="0.2">
      <c r="DY17798" s="185" t="s">
        <v>215</v>
      </c>
    </row>
    <row r="17799" spans="129:129" x14ac:dyDescent="0.2">
      <c r="DY17799" s="185" t="s">
        <v>215</v>
      </c>
    </row>
    <row r="17800" spans="129:129" x14ac:dyDescent="0.2">
      <c r="DY17800" s="185" t="s">
        <v>215</v>
      </c>
    </row>
    <row r="17801" spans="129:129" x14ac:dyDescent="0.2">
      <c r="DY17801" s="185" t="s">
        <v>215</v>
      </c>
    </row>
    <row r="17802" spans="129:129" x14ac:dyDescent="0.2">
      <c r="DY17802" s="185" t="s">
        <v>215</v>
      </c>
    </row>
    <row r="17803" spans="129:129" x14ac:dyDescent="0.2">
      <c r="DY17803" s="185" t="s">
        <v>215</v>
      </c>
    </row>
    <row r="17804" spans="129:129" x14ac:dyDescent="0.2">
      <c r="DY17804" s="185" t="s">
        <v>215</v>
      </c>
    </row>
    <row r="17805" spans="129:129" x14ac:dyDescent="0.2">
      <c r="DY17805" s="185" t="s">
        <v>215</v>
      </c>
    </row>
    <row r="17806" spans="129:129" x14ac:dyDescent="0.2">
      <c r="DY17806" s="185" t="s">
        <v>215</v>
      </c>
    </row>
    <row r="17807" spans="129:129" x14ac:dyDescent="0.2">
      <c r="DY17807" s="185" t="s">
        <v>215</v>
      </c>
    </row>
    <row r="17808" spans="129:129" x14ac:dyDescent="0.2">
      <c r="DY17808" s="185" t="s">
        <v>215</v>
      </c>
    </row>
    <row r="17809" spans="129:129" x14ac:dyDescent="0.2">
      <c r="DY17809" s="185" t="s">
        <v>215</v>
      </c>
    </row>
    <row r="17810" spans="129:129" x14ac:dyDescent="0.2">
      <c r="DY17810" s="185" t="s">
        <v>215</v>
      </c>
    </row>
    <row r="17811" spans="129:129" x14ac:dyDescent="0.2">
      <c r="DY17811" s="185" t="s">
        <v>215</v>
      </c>
    </row>
    <row r="17812" spans="129:129" x14ac:dyDescent="0.2">
      <c r="DY17812" s="185" t="s">
        <v>215</v>
      </c>
    </row>
    <row r="17813" spans="129:129" x14ac:dyDescent="0.2">
      <c r="DY17813" s="185" t="s">
        <v>215</v>
      </c>
    </row>
    <row r="17814" spans="129:129" x14ac:dyDescent="0.2">
      <c r="DY17814" s="185" t="s">
        <v>215</v>
      </c>
    </row>
    <row r="17815" spans="129:129" x14ac:dyDescent="0.2">
      <c r="DY17815" s="185" t="s">
        <v>215</v>
      </c>
    </row>
    <row r="17816" spans="129:129" x14ac:dyDescent="0.2">
      <c r="DY17816" s="185" t="s">
        <v>215</v>
      </c>
    </row>
    <row r="17817" spans="129:129" x14ac:dyDescent="0.2">
      <c r="DY17817" s="185" t="s">
        <v>215</v>
      </c>
    </row>
    <row r="17818" spans="129:129" x14ac:dyDescent="0.2">
      <c r="DY17818" s="185" t="s">
        <v>215</v>
      </c>
    </row>
    <row r="17819" spans="129:129" x14ac:dyDescent="0.2">
      <c r="DY17819" s="185" t="s">
        <v>215</v>
      </c>
    </row>
    <row r="17820" spans="129:129" x14ac:dyDescent="0.2">
      <c r="DY17820" s="185" t="s">
        <v>215</v>
      </c>
    </row>
    <row r="17821" spans="129:129" x14ac:dyDescent="0.2">
      <c r="DY17821" s="185" t="s">
        <v>215</v>
      </c>
    </row>
    <row r="17822" spans="129:129" x14ac:dyDescent="0.2">
      <c r="DY17822" s="185" t="s">
        <v>215</v>
      </c>
    </row>
    <row r="17823" spans="129:129" x14ac:dyDescent="0.2">
      <c r="DY17823" s="185" t="s">
        <v>215</v>
      </c>
    </row>
    <row r="17824" spans="129:129" x14ac:dyDescent="0.2">
      <c r="DY17824" s="185" t="s">
        <v>215</v>
      </c>
    </row>
    <row r="17825" spans="129:129" x14ac:dyDescent="0.2">
      <c r="DY17825" s="185" t="s">
        <v>215</v>
      </c>
    </row>
    <row r="17826" spans="129:129" x14ac:dyDescent="0.2">
      <c r="DY17826" s="185" t="s">
        <v>215</v>
      </c>
    </row>
    <row r="17827" spans="129:129" x14ac:dyDescent="0.2">
      <c r="DY17827" s="185" t="s">
        <v>215</v>
      </c>
    </row>
    <row r="17828" spans="129:129" x14ac:dyDescent="0.2">
      <c r="DY17828" s="185" t="s">
        <v>215</v>
      </c>
    </row>
    <row r="17829" spans="129:129" x14ac:dyDescent="0.2">
      <c r="DY17829" s="185" t="s">
        <v>215</v>
      </c>
    </row>
    <row r="17830" spans="129:129" x14ac:dyDescent="0.2">
      <c r="DY17830" s="185" t="s">
        <v>215</v>
      </c>
    </row>
    <row r="17831" spans="129:129" x14ac:dyDescent="0.2">
      <c r="DY17831" s="185" t="s">
        <v>215</v>
      </c>
    </row>
    <row r="17832" spans="129:129" x14ac:dyDescent="0.2">
      <c r="DY17832" s="185" t="s">
        <v>215</v>
      </c>
    </row>
    <row r="17833" spans="129:129" x14ac:dyDescent="0.2">
      <c r="DY17833" s="185" t="s">
        <v>215</v>
      </c>
    </row>
    <row r="17834" spans="129:129" x14ac:dyDescent="0.2">
      <c r="DY17834" s="185" t="s">
        <v>215</v>
      </c>
    </row>
    <row r="17835" spans="129:129" x14ac:dyDescent="0.2">
      <c r="DY17835" s="185" t="s">
        <v>215</v>
      </c>
    </row>
    <row r="17836" spans="129:129" x14ac:dyDescent="0.2">
      <c r="DY17836" s="185" t="s">
        <v>215</v>
      </c>
    </row>
    <row r="17837" spans="129:129" x14ac:dyDescent="0.2">
      <c r="DY17837" s="185" t="s">
        <v>215</v>
      </c>
    </row>
    <row r="17838" spans="129:129" x14ac:dyDescent="0.2">
      <c r="DY17838" s="185" t="s">
        <v>215</v>
      </c>
    </row>
    <row r="17839" spans="129:129" x14ac:dyDescent="0.2">
      <c r="DY17839" s="185" t="s">
        <v>215</v>
      </c>
    </row>
    <row r="17840" spans="129:129" x14ac:dyDescent="0.2">
      <c r="DY17840" s="185" t="s">
        <v>215</v>
      </c>
    </row>
    <row r="17841" spans="129:129" x14ac:dyDescent="0.2">
      <c r="DY17841" s="185" t="s">
        <v>215</v>
      </c>
    </row>
    <row r="17842" spans="129:129" x14ac:dyDescent="0.2">
      <c r="DY17842" s="185" t="s">
        <v>215</v>
      </c>
    </row>
    <row r="17843" spans="129:129" x14ac:dyDescent="0.2">
      <c r="DY17843" s="185" t="s">
        <v>215</v>
      </c>
    </row>
    <row r="17844" spans="129:129" x14ac:dyDescent="0.2">
      <c r="DY17844" s="185" t="s">
        <v>215</v>
      </c>
    </row>
    <row r="17845" spans="129:129" x14ac:dyDescent="0.2">
      <c r="DY17845" s="185" t="s">
        <v>215</v>
      </c>
    </row>
    <row r="17846" spans="129:129" x14ac:dyDescent="0.2">
      <c r="DY17846" s="185" t="s">
        <v>215</v>
      </c>
    </row>
    <row r="17847" spans="129:129" x14ac:dyDescent="0.2">
      <c r="DY17847" s="185" t="s">
        <v>215</v>
      </c>
    </row>
    <row r="17848" spans="129:129" x14ac:dyDescent="0.2">
      <c r="DY17848" s="185" t="s">
        <v>215</v>
      </c>
    </row>
    <row r="17849" spans="129:129" x14ac:dyDescent="0.2">
      <c r="DY17849" s="185" t="s">
        <v>215</v>
      </c>
    </row>
    <row r="17850" spans="129:129" x14ac:dyDescent="0.2">
      <c r="DY17850" s="185" t="s">
        <v>215</v>
      </c>
    </row>
    <row r="17851" spans="129:129" x14ac:dyDescent="0.2">
      <c r="DY17851" s="185" t="s">
        <v>215</v>
      </c>
    </row>
    <row r="17852" spans="129:129" x14ac:dyDescent="0.2">
      <c r="DY17852" s="185" t="s">
        <v>215</v>
      </c>
    </row>
    <row r="17853" spans="129:129" x14ac:dyDescent="0.2">
      <c r="DY17853" s="185" t="s">
        <v>215</v>
      </c>
    </row>
    <row r="17854" spans="129:129" x14ac:dyDescent="0.2">
      <c r="DY17854" s="185" t="s">
        <v>215</v>
      </c>
    </row>
    <row r="17855" spans="129:129" x14ac:dyDescent="0.2">
      <c r="DY17855" s="185" t="s">
        <v>215</v>
      </c>
    </row>
    <row r="17856" spans="129:129" x14ac:dyDescent="0.2">
      <c r="DY17856" s="185" t="s">
        <v>215</v>
      </c>
    </row>
    <row r="17857" spans="129:129" x14ac:dyDescent="0.2">
      <c r="DY17857" s="185" t="s">
        <v>215</v>
      </c>
    </row>
    <row r="17858" spans="129:129" x14ac:dyDescent="0.2">
      <c r="DY17858" s="185" t="s">
        <v>215</v>
      </c>
    </row>
    <row r="17859" spans="129:129" x14ac:dyDescent="0.2">
      <c r="DY17859" s="185" t="s">
        <v>215</v>
      </c>
    </row>
    <row r="17860" spans="129:129" x14ac:dyDescent="0.2">
      <c r="DY17860" s="185" t="s">
        <v>215</v>
      </c>
    </row>
    <row r="17861" spans="129:129" x14ac:dyDescent="0.2">
      <c r="DY17861" s="185" t="s">
        <v>215</v>
      </c>
    </row>
    <row r="17862" spans="129:129" x14ac:dyDescent="0.2">
      <c r="DY17862" s="185" t="s">
        <v>215</v>
      </c>
    </row>
    <row r="17863" spans="129:129" x14ac:dyDescent="0.2">
      <c r="DY17863" s="185" t="s">
        <v>215</v>
      </c>
    </row>
    <row r="17864" spans="129:129" x14ac:dyDescent="0.2">
      <c r="DY17864" s="185" t="s">
        <v>215</v>
      </c>
    </row>
    <row r="17865" spans="129:129" x14ac:dyDescent="0.2">
      <c r="DY17865" s="185" t="s">
        <v>215</v>
      </c>
    </row>
    <row r="17866" spans="129:129" x14ac:dyDescent="0.2">
      <c r="DY17866" s="185" t="s">
        <v>215</v>
      </c>
    </row>
    <row r="17867" spans="129:129" x14ac:dyDescent="0.2">
      <c r="DY17867" s="185" t="s">
        <v>215</v>
      </c>
    </row>
    <row r="17868" spans="129:129" x14ac:dyDescent="0.2">
      <c r="DY17868" s="185" t="s">
        <v>215</v>
      </c>
    </row>
    <row r="17869" spans="129:129" x14ac:dyDescent="0.2">
      <c r="DY17869" s="185" t="s">
        <v>215</v>
      </c>
    </row>
    <row r="17870" spans="129:129" x14ac:dyDescent="0.2">
      <c r="DY17870" s="185" t="s">
        <v>215</v>
      </c>
    </row>
    <row r="17871" spans="129:129" x14ac:dyDescent="0.2">
      <c r="DY17871" s="185" t="s">
        <v>215</v>
      </c>
    </row>
    <row r="17872" spans="129:129" x14ac:dyDescent="0.2">
      <c r="DY17872" s="185" t="s">
        <v>215</v>
      </c>
    </row>
    <row r="17873" spans="129:129" x14ac:dyDescent="0.2">
      <c r="DY17873" s="185" t="s">
        <v>215</v>
      </c>
    </row>
    <row r="17874" spans="129:129" x14ac:dyDescent="0.2">
      <c r="DY17874" s="185" t="s">
        <v>215</v>
      </c>
    </row>
    <row r="17875" spans="129:129" x14ac:dyDescent="0.2">
      <c r="DY17875" s="185" t="s">
        <v>215</v>
      </c>
    </row>
    <row r="17876" spans="129:129" x14ac:dyDescent="0.2">
      <c r="DY17876" s="185" t="s">
        <v>215</v>
      </c>
    </row>
    <row r="17877" spans="129:129" x14ac:dyDescent="0.2">
      <c r="DY17877" s="185" t="s">
        <v>215</v>
      </c>
    </row>
    <row r="17878" spans="129:129" x14ac:dyDescent="0.2">
      <c r="DY17878" s="185" t="s">
        <v>215</v>
      </c>
    </row>
    <row r="17879" spans="129:129" x14ac:dyDescent="0.2">
      <c r="DY17879" s="185" t="s">
        <v>215</v>
      </c>
    </row>
    <row r="17880" spans="129:129" x14ac:dyDescent="0.2">
      <c r="DY17880" s="185" t="s">
        <v>215</v>
      </c>
    </row>
    <row r="17881" spans="129:129" x14ac:dyDescent="0.2">
      <c r="DY17881" s="185" t="s">
        <v>215</v>
      </c>
    </row>
    <row r="17882" spans="129:129" x14ac:dyDescent="0.2">
      <c r="DY17882" s="185" t="s">
        <v>215</v>
      </c>
    </row>
    <row r="17883" spans="129:129" x14ac:dyDescent="0.2">
      <c r="DY17883" s="185" t="s">
        <v>215</v>
      </c>
    </row>
    <row r="17884" spans="129:129" x14ac:dyDescent="0.2">
      <c r="DY17884" s="185" t="s">
        <v>215</v>
      </c>
    </row>
    <row r="17885" spans="129:129" x14ac:dyDescent="0.2">
      <c r="DY17885" s="185" t="s">
        <v>215</v>
      </c>
    </row>
    <row r="17886" spans="129:129" x14ac:dyDescent="0.2">
      <c r="DY17886" s="185" t="s">
        <v>215</v>
      </c>
    </row>
    <row r="17887" spans="129:129" x14ac:dyDescent="0.2">
      <c r="DY17887" s="185" t="s">
        <v>215</v>
      </c>
    </row>
    <row r="17888" spans="129:129" x14ac:dyDescent="0.2">
      <c r="DY17888" s="185" t="s">
        <v>215</v>
      </c>
    </row>
    <row r="17889" spans="129:129" x14ac:dyDescent="0.2">
      <c r="DY17889" s="185" t="s">
        <v>215</v>
      </c>
    </row>
    <row r="17890" spans="129:129" x14ac:dyDescent="0.2">
      <c r="DY17890" s="185" t="s">
        <v>215</v>
      </c>
    </row>
    <row r="17891" spans="129:129" x14ac:dyDescent="0.2">
      <c r="DY17891" s="185" t="s">
        <v>215</v>
      </c>
    </row>
    <row r="17892" spans="129:129" x14ac:dyDescent="0.2">
      <c r="DY17892" s="185" t="s">
        <v>215</v>
      </c>
    </row>
    <row r="17893" spans="129:129" x14ac:dyDescent="0.2">
      <c r="DY17893" s="185" t="s">
        <v>215</v>
      </c>
    </row>
    <row r="17894" spans="129:129" x14ac:dyDescent="0.2">
      <c r="DY17894" s="185" t="s">
        <v>215</v>
      </c>
    </row>
    <row r="17895" spans="129:129" x14ac:dyDescent="0.2">
      <c r="DY17895" s="185" t="s">
        <v>215</v>
      </c>
    </row>
    <row r="17896" spans="129:129" x14ac:dyDescent="0.2">
      <c r="DY17896" s="185" t="s">
        <v>215</v>
      </c>
    </row>
    <row r="17897" spans="129:129" x14ac:dyDescent="0.2">
      <c r="DY17897" s="185" t="s">
        <v>215</v>
      </c>
    </row>
    <row r="17898" spans="129:129" x14ac:dyDescent="0.2">
      <c r="DY17898" s="185" t="s">
        <v>215</v>
      </c>
    </row>
    <row r="17899" spans="129:129" x14ac:dyDescent="0.2">
      <c r="DY17899" s="185" t="s">
        <v>215</v>
      </c>
    </row>
    <row r="17900" spans="129:129" x14ac:dyDescent="0.2">
      <c r="DY17900" s="185" t="s">
        <v>215</v>
      </c>
    </row>
    <row r="17901" spans="129:129" x14ac:dyDescent="0.2">
      <c r="DY17901" s="185" t="s">
        <v>215</v>
      </c>
    </row>
    <row r="17902" spans="129:129" x14ac:dyDescent="0.2">
      <c r="DY17902" s="185" t="s">
        <v>215</v>
      </c>
    </row>
    <row r="17903" spans="129:129" x14ac:dyDescent="0.2">
      <c r="DY17903" s="185" t="s">
        <v>215</v>
      </c>
    </row>
    <row r="17904" spans="129:129" x14ac:dyDescent="0.2">
      <c r="DY17904" s="185" t="s">
        <v>215</v>
      </c>
    </row>
    <row r="17905" spans="129:129" x14ac:dyDescent="0.2">
      <c r="DY17905" s="185" t="s">
        <v>215</v>
      </c>
    </row>
    <row r="17906" spans="129:129" x14ac:dyDescent="0.2">
      <c r="DY17906" s="185" t="s">
        <v>215</v>
      </c>
    </row>
    <row r="17907" spans="129:129" x14ac:dyDescent="0.2">
      <c r="DY17907" s="185" t="s">
        <v>215</v>
      </c>
    </row>
    <row r="17908" spans="129:129" x14ac:dyDescent="0.2">
      <c r="DY17908" s="185" t="s">
        <v>215</v>
      </c>
    </row>
    <row r="17909" spans="129:129" x14ac:dyDescent="0.2">
      <c r="DY17909" s="185" t="s">
        <v>215</v>
      </c>
    </row>
    <row r="17910" spans="129:129" x14ac:dyDescent="0.2">
      <c r="DY17910" s="185" t="s">
        <v>215</v>
      </c>
    </row>
    <row r="17911" spans="129:129" x14ac:dyDescent="0.2">
      <c r="DY17911" s="185" t="s">
        <v>215</v>
      </c>
    </row>
    <row r="17912" spans="129:129" x14ac:dyDescent="0.2">
      <c r="DY17912" s="185" t="s">
        <v>215</v>
      </c>
    </row>
    <row r="17913" spans="129:129" x14ac:dyDescent="0.2">
      <c r="DY17913" s="185" t="s">
        <v>215</v>
      </c>
    </row>
    <row r="17914" spans="129:129" x14ac:dyDescent="0.2">
      <c r="DY17914" s="185" t="s">
        <v>215</v>
      </c>
    </row>
    <row r="17915" spans="129:129" x14ac:dyDescent="0.2">
      <c r="DY17915" s="185" t="s">
        <v>215</v>
      </c>
    </row>
    <row r="17916" spans="129:129" x14ac:dyDescent="0.2">
      <c r="DY17916" s="185" t="s">
        <v>215</v>
      </c>
    </row>
    <row r="17917" spans="129:129" x14ac:dyDescent="0.2">
      <c r="DY17917" s="185" t="s">
        <v>215</v>
      </c>
    </row>
    <row r="17918" spans="129:129" x14ac:dyDescent="0.2">
      <c r="DY17918" s="185" t="s">
        <v>215</v>
      </c>
    </row>
    <row r="17919" spans="129:129" x14ac:dyDescent="0.2">
      <c r="DY17919" s="185" t="s">
        <v>215</v>
      </c>
    </row>
    <row r="17920" spans="129:129" x14ac:dyDescent="0.2">
      <c r="DY17920" s="185" t="s">
        <v>215</v>
      </c>
    </row>
    <row r="17921" spans="129:129" x14ac:dyDescent="0.2">
      <c r="DY17921" s="185" t="s">
        <v>215</v>
      </c>
    </row>
    <row r="17922" spans="129:129" x14ac:dyDescent="0.2">
      <c r="DY17922" s="185" t="s">
        <v>215</v>
      </c>
    </row>
    <row r="17923" spans="129:129" x14ac:dyDescent="0.2">
      <c r="DY17923" s="185" t="s">
        <v>215</v>
      </c>
    </row>
    <row r="17924" spans="129:129" x14ac:dyDescent="0.2">
      <c r="DY17924" s="185" t="s">
        <v>215</v>
      </c>
    </row>
    <row r="17925" spans="129:129" x14ac:dyDescent="0.2">
      <c r="DY17925" s="185" t="s">
        <v>215</v>
      </c>
    </row>
    <row r="17926" spans="129:129" x14ac:dyDescent="0.2">
      <c r="DY17926" s="185" t="s">
        <v>215</v>
      </c>
    </row>
    <row r="17927" spans="129:129" x14ac:dyDescent="0.2">
      <c r="DY17927" s="185" t="s">
        <v>215</v>
      </c>
    </row>
    <row r="17928" spans="129:129" x14ac:dyDescent="0.2">
      <c r="DY17928" s="185" t="s">
        <v>215</v>
      </c>
    </row>
    <row r="17929" spans="129:129" x14ac:dyDescent="0.2">
      <c r="DY17929" s="185" t="s">
        <v>215</v>
      </c>
    </row>
    <row r="17930" spans="129:129" x14ac:dyDescent="0.2">
      <c r="DY17930" s="185" t="s">
        <v>215</v>
      </c>
    </row>
    <row r="17931" spans="129:129" x14ac:dyDescent="0.2">
      <c r="DY17931" s="185" t="s">
        <v>215</v>
      </c>
    </row>
    <row r="17932" spans="129:129" x14ac:dyDescent="0.2">
      <c r="DY17932" s="185" t="s">
        <v>215</v>
      </c>
    </row>
    <row r="17933" spans="129:129" x14ac:dyDescent="0.2">
      <c r="DY17933" s="185" t="s">
        <v>215</v>
      </c>
    </row>
    <row r="17934" spans="129:129" x14ac:dyDescent="0.2">
      <c r="DY17934" s="185" t="s">
        <v>215</v>
      </c>
    </row>
    <row r="17935" spans="129:129" x14ac:dyDescent="0.2">
      <c r="DY17935" s="185" t="s">
        <v>215</v>
      </c>
    </row>
    <row r="17936" spans="129:129" x14ac:dyDescent="0.2">
      <c r="DY17936" s="185" t="s">
        <v>215</v>
      </c>
    </row>
    <row r="17937" spans="129:129" x14ac:dyDescent="0.2">
      <c r="DY17937" s="185" t="s">
        <v>215</v>
      </c>
    </row>
    <row r="17938" spans="129:129" x14ac:dyDescent="0.2">
      <c r="DY17938" s="185" t="s">
        <v>215</v>
      </c>
    </row>
    <row r="17939" spans="129:129" x14ac:dyDescent="0.2">
      <c r="DY17939" s="185" t="s">
        <v>215</v>
      </c>
    </row>
    <row r="17940" spans="129:129" x14ac:dyDescent="0.2">
      <c r="DY17940" s="185" t="s">
        <v>215</v>
      </c>
    </row>
    <row r="17941" spans="129:129" x14ac:dyDescent="0.2">
      <c r="DY17941" s="185" t="s">
        <v>215</v>
      </c>
    </row>
    <row r="17942" spans="129:129" x14ac:dyDescent="0.2">
      <c r="DY17942" s="185" t="s">
        <v>215</v>
      </c>
    </row>
    <row r="17943" spans="129:129" x14ac:dyDescent="0.2">
      <c r="DY17943" s="185" t="s">
        <v>215</v>
      </c>
    </row>
    <row r="17944" spans="129:129" x14ac:dyDescent="0.2">
      <c r="DY17944" s="185" t="s">
        <v>215</v>
      </c>
    </row>
    <row r="17945" spans="129:129" x14ac:dyDescent="0.2">
      <c r="DY17945" s="185" t="s">
        <v>215</v>
      </c>
    </row>
    <row r="17946" spans="129:129" x14ac:dyDescent="0.2">
      <c r="DY17946" s="185" t="s">
        <v>215</v>
      </c>
    </row>
    <row r="17947" spans="129:129" x14ac:dyDescent="0.2">
      <c r="DY17947" s="185" t="s">
        <v>215</v>
      </c>
    </row>
    <row r="17948" spans="129:129" x14ac:dyDescent="0.2">
      <c r="DY17948" s="185" t="s">
        <v>215</v>
      </c>
    </row>
    <row r="17949" spans="129:129" x14ac:dyDescent="0.2">
      <c r="DY17949" s="185" t="s">
        <v>215</v>
      </c>
    </row>
    <row r="17950" spans="129:129" x14ac:dyDescent="0.2">
      <c r="DY17950" s="185" t="s">
        <v>215</v>
      </c>
    </row>
    <row r="17951" spans="129:129" x14ac:dyDescent="0.2">
      <c r="DY17951" s="185" t="s">
        <v>215</v>
      </c>
    </row>
    <row r="17952" spans="129:129" x14ac:dyDescent="0.2">
      <c r="DY17952" s="185" t="s">
        <v>215</v>
      </c>
    </row>
    <row r="17953" spans="129:129" x14ac:dyDescent="0.2">
      <c r="DY17953" s="185" t="s">
        <v>215</v>
      </c>
    </row>
    <row r="17954" spans="129:129" x14ac:dyDescent="0.2">
      <c r="DY17954" s="185" t="s">
        <v>215</v>
      </c>
    </row>
    <row r="17955" spans="129:129" x14ac:dyDescent="0.2">
      <c r="DY17955" s="185" t="s">
        <v>215</v>
      </c>
    </row>
    <row r="17956" spans="129:129" x14ac:dyDescent="0.2">
      <c r="DY17956" s="185" t="s">
        <v>215</v>
      </c>
    </row>
    <row r="17957" spans="129:129" x14ac:dyDescent="0.2">
      <c r="DY17957" s="185" t="s">
        <v>215</v>
      </c>
    </row>
    <row r="17958" spans="129:129" x14ac:dyDescent="0.2">
      <c r="DY17958" s="185" t="s">
        <v>215</v>
      </c>
    </row>
    <row r="17959" spans="129:129" x14ac:dyDescent="0.2">
      <c r="DY17959" s="185" t="s">
        <v>215</v>
      </c>
    </row>
    <row r="17960" spans="129:129" x14ac:dyDescent="0.2">
      <c r="DY17960" s="185" t="s">
        <v>215</v>
      </c>
    </row>
    <row r="17961" spans="129:129" x14ac:dyDescent="0.2">
      <c r="DY17961" s="185" t="s">
        <v>215</v>
      </c>
    </row>
    <row r="17962" spans="129:129" x14ac:dyDescent="0.2">
      <c r="DY17962" s="185" t="s">
        <v>215</v>
      </c>
    </row>
    <row r="17963" spans="129:129" x14ac:dyDescent="0.2">
      <c r="DY17963" s="185" t="s">
        <v>215</v>
      </c>
    </row>
    <row r="17964" spans="129:129" x14ac:dyDescent="0.2">
      <c r="DY17964" s="185" t="s">
        <v>215</v>
      </c>
    </row>
    <row r="17965" spans="129:129" x14ac:dyDescent="0.2">
      <c r="DY17965" s="185" t="s">
        <v>215</v>
      </c>
    </row>
    <row r="17966" spans="129:129" x14ac:dyDescent="0.2">
      <c r="DY17966" s="185" t="s">
        <v>215</v>
      </c>
    </row>
    <row r="17967" spans="129:129" x14ac:dyDescent="0.2">
      <c r="DY17967" s="185" t="s">
        <v>215</v>
      </c>
    </row>
    <row r="17968" spans="129:129" x14ac:dyDescent="0.2">
      <c r="DY17968" s="185" t="s">
        <v>215</v>
      </c>
    </row>
    <row r="17969" spans="129:129" x14ac:dyDescent="0.2">
      <c r="DY17969" s="185" t="s">
        <v>215</v>
      </c>
    </row>
    <row r="17970" spans="129:129" x14ac:dyDescent="0.2">
      <c r="DY17970" s="185" t="s">
        <v>215</v>
      </c>
    </row>
    <row r="17971" spans="129:129" x14ac:dyDescent="0.2">
      <c r="DY17971" s="185" t="s">
        <v>215</v>
      </c>
    </row>
    <row r="17972" spans="129:129" x14ac:dyDescent="0.2">
      <c r="DY17972" s="185" t="s">
        <v>215</v>
      </c>
    </row>
    <row r="17973" spans="129:129" x14ac:dyDescent="0.2">
      <c r="DY17973" s="185" t="s">
        <v>215</v>
      </c>
    </row>
    <row r="17974" spans="129:129" x14ac:dyDescent="0.2">
      <c r="DY17974" s="185" t="s">
        <v>215</v>
      </c>
    </row>
    <row r="17975" spans="129:129" x14ac:dyDescent="0.2">
      <c r="DY17975" s="185" t="s">
        <v>215</v>
      </c>
    </row>
    <row r="17976" spans="129:129" x14ac:dyDescent="0.2">
      <c r="DY17976" s="185" t="s">
        <v>215</v>
      </c>
    </row>
    <row r="17977" spans="129:129" x14ac:dyDescent="0.2">
      <c r="DY17977" s="185" t="s">
        <v>215</v>
      </c>
    </row>
    <row r="17978" spans="129:129" x14ac:dyDescent="0.2">
      <c r="DY17978" s="185" t="s">
        <v>215</v>
      </c>
    </row>
    <row r="17979" spans="129:129" x14ac:dyDescent="0.2">
      <c r="DY17979" s="185" t="s">
        <v>215</v>
      </c>
    </row>
    <row r="17980" spans="129:129" x14ac:dyDescent="0.2">
      <c r="DY17980" s="185" t="s">
        <v>215</v>
      </c>
    </row>
    <row r="17981" spans="129:129" x14ac:dyDescent="0.2">
      <c r="DY17981" s="185" t="s">
        <v>215</v>
      </c>
    </row>
    <row r="17982" spans="129:129" x14ac:dyDescent="0.2">
      <c r="DY17982" s="185" t="s">
        <v>215</v>
      </c>
    </row>
    <row r="17983" spans="129:129" x14ac:dyDescent="0.2">
      <c r="DY17983" s="185" t="s">
        <v>215</v>
      </c>
    </row>
    <row r="17984" spans="129:129" x14ac:dyDescent="0.2">
      <c r="DY17984" s="185" t="s">
        <v>215</v>
      </c>
    </row>
    <row r="17985" spans="129:129" x14ac:dyDescent="0.2">
      <c r="DY17985" s="185" t="s">
        <v>215</v>
      </c>
    </row>
    <row r="17986" spans="129:129" x14ac:dyDescent="0.2">
      <c r="DY17986" s="185" t="s">
        <v>215</v>
      </c>
    </row>
    <row r="17987" spans="129:129" x14ac:dyDescent="0.2">
      <c r="DY17987" s="185" t="s">
        <v>215</v>
      </c>
    </row>
    <row r="17988" spans="129:129" x14ac:dyDescent="0.2">
      <c r="DY17988" s="185" t="s">
        <v>215</v>
      </c>
    </row>
    <row r="17989" spans="129:129" x14ac:dyDescent="0.2">
      <c r="DY17989" s="185" t="s">
        <v>215</v>
      </c>
    </row>
    <row r="17990" spans="129:129" x14ac:dyDescent="0.2">
      <c r="DY17990" s="185" t="s">
        <v>215</v>
      </c>
    </row>
    <row r="17991" spans="129:129" x14ac:dyDescent="0.2">
      <c r="DY17991" s="185" t="s">
        <v>215</v>
      </c>
    </row>
    <row r="17992" spans="129:129" x14ac:dyDescent="0.2">
      <c r="DY17992" s="185" t="s">
        <v>215</v>
      </c>
    </row>
    <row r="17993" spans="129:129" x14ac:dyDescent="0.2">
      <c r="DY17993" s="185" t="s">
        <v>215</v>
      </c>
    </row>
    <row r="17994" spans="129:129" x14ac:dyDescent="0.2">
      <c r="DY17994" s="185" t="s">
        <v>215</v>
      </c>
    </row>
    <row r="17995" spans="129:129" x14ac:dyDescent="0.2">
      <c r="DY17995" s="185" t="s">
        <v>215</v>
      </c>
    </row>
    <row r="17996" spans="129:129" x14ac:dyDescent="0.2">
      <c r="DY17996" s="185" t="s">
        <v>215</v>
      </c>
    </row>
    <row r="17997" spans="129:129" x14ac:dyDescent="0.2">
      <c r="DY17997" s="185" t="s">
        <v>215</v>
      </c>
    </row>
    <row r="17998" spans="129:129" x14ac:dyDescent="0.2">
      <c r="DY17998" s="185" t="s">
        <v>215</v>
      </c>
    </row>
    <row r="17999" spans="129:129" x14ac:dyDescent="0.2">
      <c r="DY17999" s="185" t="s">
        <v>215</v>
      </c>
    </row>
    <row r="18000" spans="129:129" x14ac:dyDescent="0.2">
      <c r="DY18000" s="185" t="s">
        <v>215</v>
      </c>
    </row>
    <row r="18001" spans="129:129" x14ac:dyDescent="0.2">
      <c r="DY18001" s="185" t="s">
        <v>215</v>
      </c>
    </row>
    <row r="18002" spans="129:129" x14ac:dyDescent="0.2">
      <c r="DY18002" s="185" t="s">
        <v>215</v>
      </c>
    </row>
    <row r="18003" spans="129:129" x14ac:dyDescent="0.2">
      <c r="DY18003" s="185" t="s">
        <v>215</v>
      </c>
    </row>
    <row r="18004" spans="129:129" x14ac:dyDescent="0.2">
      <c r="DY18004" s="185" t="s">
        <v>215</v>
      </c>
    </row>
    <row r="18005" spans="129:129" x14ac:dyDescent="0.2">
      <c r="DY18005" s="185" t="s">
        <v>215</v>
      </c>
    </row>
    <row r="18006" spans="129:129" x14ac:dyDescent="0.2">
      <c r="DY18006" s="185" t="s">
        <v>215</v>
      </c>
    </row>
    <row r="18007" spans="129:129" x14ac:dyDescent="0.2">
      <c r="DY18007" s="185" t="s">
        <v>215</v>
      </c>
    </row>
    <row r="18008" spans="129:129" x14ac:dyDescent="0.2">
      <c r="DY18008" s="185" t="s">
        <v>215</v>
      </c>
    </row>
    <row r="18009" spans="129:129" x14ac:dyDescent="0.2">
      <c r="DY18009" s="185" t="s">
        <v>215</v>
      </c>
    </row>
    <row r="18010" spans="129:129" x14ac:dyDescent="0.2">
      <c r="DY18010" s="185" t="s">
        <v>215</v>
      </c>
    </row>
    <row r="18011" spans="129:129" x14ac:dyDescent="0.2">
      <c r="DY18011" s="185" t="s">
        <v>215</v>
      </c>
    </row>
    <row r="18012" spans="129:129" x14ac:dyDescent="0.2">
      <c r="DY18012" s="185" t="s">
        <v>215</v>
      </c>
    </row>
    <row r="18013" spans="129:129" x14ac:dyDescent="0.2">
      <c r="DY18013" s="185" t="s">
        <v>215</v>
      </c>
    </row>
    <row r="18014" spans="129:129" x14ac:dyDescent="0.2">
      <c r="DY18014" s="185" t="s">
        <v>215</v>
      </c>
    </row>
    <row r="18015" spans="129:129" x14ac:dyDescent="0.2">
      <c r="DY18015" s="185" t="s">
        <v>215</v>
      </c>
    </row>
    <row r="18016" spans="129:129" x14ac:dyDescent="0.2">
      <c r="DY18016" s="185" t="s">
        <v>215</v>
      </c>
    </row>
    <row r="18017" spans="129:129" x14ac:dyDescent="0.2">
      <c r="DY18017" s="185" t="s">
        <v>215</v>
      </c>
    </row>
    <row r="18018" spans="129:129" x14ac:dyDescent="0.2">
      <c r="DY18018" s="185" t="s">
        <v>215</v>
      </c>
    </row>
    <row r="18019" spans="129:129" x14ac:dyDescent="0.2">
      <c r="DY18019" s="185" t="s">
        <v>215</v>
      </c>
    </row>
    <row r="18020" spans="129:129" x14ac:dyDescent="0.2">
      <c r="DY18020" s="185" t="s">
        <v>215</v>
      </c>
    </row>
    <row r="18021" spans="129:129" x14ac:dyDescent="0.2">
      <c r="DY18021" s="185" t="s">
        <v>215</v>
      </c>
    </row>
    <row r="18022" spans="129:129" x14ac:dyDescent="0.2">
      <c r="DY18022" s="185" t="s">
        <v>215</v>
      </c>
    </row>
    <row r="18023" spans="129:129" x14ac:dyDescent="0.2">
      <c r="DY18023" s="185" t="s">
        <v>215</v>
      </c>
    </row>
    <row r="18024" spans="129:129" x14ac:dyDescent="0.2">
      <c r="DY18024" s="185" t="s">
        <v>215</v>
      </c>
    </row>
    <row r="18025" spans="129:129" x14ac:dyDescent="0.2">
      <c r="DY18025" s="185" t="s">
        <v>215</v>
      </c>
    </row>
    <row r="18026" spans="129:129" x14ac:dyDescent="0.2">
      <c r="DY18026" s="185" t="s">
        <v>215</v>
      </c>
    </row>
    <row r="18027" spans="129:129" x14ac:dyDescent="0.2">
      <c r="DY18027" s="185" t="s">
        <v>215</v>
      </c>
    </row>
    <row r="18028" spans="129:129" x14ac:dyDescent="0.2">
      <c r="DY18028" s="185" t="s">
        <v>215</v>
      </c>
    </row>
    <row r="18029" spans="129:129" x14ac:dyDescent="0.2">
      <c r="DY18029" s="185" t="s">
        <v>215</v>
      </c>
    </row>
    <row r="18030" spans="129:129" x14ac:dyDescent="0.2">
      <c r="DY18030" s="185" t="s">
        <v>215</v>
      </c>
    </row>
    <row r="18031" spans="129:129" x14ac:dyDescent="0.2">
      <c r="DY18031" s="185" t="s">
        <v>215</v>
      </c>
    </row>
    <row r="18032" spans="129:129" x14ac:dyDescent="0.2">
      <c r="DY18032" s="185" t="s">
        <v>215</v>
      </c>
    </row>
    <row r="18033" spans="129:129" x14ac:dyDescent="0.2">
      <c r="DY18033" s="185" t="s">
        <v>215</v>
      </c>
    </row>
    <row r="18034" spans="129:129" x14ac:dyDescent="0.2">
      <c r="DY18034" s="185" t="s">
        <v>215</v>
      </c>
    </row>
    <row r="18035" spans="129:129" x14ac:dyDescent="0.2">
      <c r="DY18035" s="185" t="s">
        <v>215</v>
      </c>
    </row>
    <row r="18036" spans="129:129" x14ac:dyDescent="0.2">
      <c r="DY18036" s="185" t="s">
        <v>215</v>
      </c>
    </row>
    <row r="18037" spans="129:129" x14ac:dyDescent="0.2">
      <c r="DY18037" s="185" t="s">
        <v>215</v>
      </c>
    </row>
    <row r="18038" spans="129:129" x14ac:dyDescent="0.2">
      <c r="DY18038" s="185" t="s">
        <v>215</v>
      </c>
    </row>
    <row r="18039" spans="129:129" x14ac:dyDescent="0.2">
      <c r="DY18039" s="185" t="s">
        <v>215</v>
      </c>
    </row>
    <row r="18040" spans="129:129" x14ac:dyDescent="0.2">
      <c r="DY18040" s="185" t="s">
        <v>215</v>
      </c>
    </row>
    <row r="18041" spans="129:129" x14ac:dyDescent="0.2">
      <c r="DY18041" s="185" t="s">
        <v>215</v>
      </c>
    </row>
    <row r="18042" spans="129:129" x14ac:dyDescent="0.2">
      <c r="DY18042" s="185" t="s">
        <v>215</v>
      </c>
    </row>
    <row r="18043" spans="129:129" x14ac:dyDescent="0.2">
      <c r="DY18043" s="185" t="s">
        <v>215</v>
      </c>
    </row>
    <row r="18044" spans="129:129" x14ac:dyDescent="0.2">
      <c r="DY18044" s="185" t="s">
        <v>215</v>
      </c>
    </row>
    <row r="18045" spans="129:129" x14ac:dyDescent="0.2">
      <c r="DY18045" s="185" t="s">
        <v>215</v>
      </c>
    </row>
    <row r="18046" spans="129:129" x14ac:dyDescent="0.2">
      <c r="DY18046" s="185" t="s">
        <v>215</v>
      </c>
    </row>
    <row r="18047" spans="129:129" x14ac:dyDescent="0.2">
      <c r="DY18047" s="185" t="s">
        <v>215</v>
      </c>
    </row>
    <row r="18048" spans="129:129" x14ac:dyDescent="0.2">
      <c r="DY18048" s="185" t="s">
        <v>215</v>
      </c>
    </row>
    <row r="18049" spans="129:129" x14ac:dyDescent="0.2">
      <c r="DY18049" s="185" t="s">
        <v>215</v>
      </c>
    </row>
    <row r="18050" spans="129:129" x14ac:dyDescent="0.2">
      <c r="DY18050" s="185" t="s">
        <v>215</v>
      </c>
    </row>
    <row r="18051" spans="129:129" x14ac:dyDescent="0.2">
      <c r="DY18051" s="185" t="s">
        <v>215</v>
      </c>
    </row>
    <row r="18052" spans="129:129" x14ac:dyDescent="0.2">
      <c r="DY18052" s="185" t="s">
        <v>215</v>
      </c>
    </row>
    <row r="18053" spans="129:129" x14ac:dyDescent="0.2">
      <c r="DY18053" s="185" t="s">
        <v>215</v>
      </c>
    </row>
    <row r="18054" spans="129:129" x14ac:dyDescent="0.2">
      <c r="DY18054" s="185" t="s">
        <v>215</v>
      </c>
    </row>
    <row r="18055" spans="129:129" x14ac:dyDescent="0.2">
      <c r="DY18055" s="185" t="s">
        <v>215</v>
      </c>
    </row>
    <row r="18056" spans="129:129" x14ac:dyDescent="0.2">
      <c r="DY18056" s="185" t="s">
        <v>215</v>
      </c>
    </row>
    <row r="18057" spans="129:129" x14ac:dyDescent="0.2">
      <c r="DY18057" s="185" t="s">
        <v>215</v>
      </c>
    </row>
    <row r="18058" spans="129:129" x14ac:dyDescent="0.2">
      <c r="DY18058" s="185" t="s">
        <v>215</v>
      </c>
    </row>
    <row r="18059" spans="129:129" x14ac:dyDescent="0.2">
      <c r="DY18059" s="185" t="s">
        <v>215</v>
      </c>
    </row>
    <row r="18060" spans="129:129" x14ac:dyDescent="0.2">
      <c r="DY18060" s="185" t="s">
        <v>215</v>
      </c>
    </row>
    <row r="18061" spans="129:129" x14ac:dyDescent="0.2">
      <c r="DY18061" s="185" t="s">
        <v>215</v>
      </c>
    </row>
    <row r="18062" spans="129:129" x14ac:dyDescent="0.2">
      <c r="DY18062" s="185" t="s">
        <v>215</v>
      </c>
    </row>
    <row r="18063" spans="129:129" x14ac:dyDescent="0.2">
      <c r="DY18063" s="185" t="s">
        <v>215</v>
      </c>
    </row>
    <row r="18064" spans="129:129" x14ac:dyDescent="0.2">
      <c r="DY18064" s="185" t="s">
        <v>215</v>
      </c>
    </row>
    <row r="18065" spans="129:129" x14ac:dyDescent="0.2">
      <c r="DY18065" s="185" t="s">
        <v>215</v>
      </c>
    </row>
    <row r="18066" spans="129:129" x14ac:dyDescent="0.2">
      <c r="DY18066" s="185" t="s">
        <v>215</v>
      </c>
    </row>
    <row r="18067" spans="129:129" x14ac:dyDescent="0.2">
      <c r="DY18067" s="185" t="s">
        <v>215</v>
      </c>
    </row>
    <row r="18068" spans="129:129" x14ac:dyDescent="0.2">
      <c r="DY18068" s="185" t="s">
        <v>215</v>
      </c>
    </row>
    <row r="18069" spans="129:129" x14ac:dyDescent="0.2">
      <c r="DY18069" s="185" t="s">
        <v>215</v>
      </c>
    </row>
    <row r="18070" spans="129:129" x14ac:dyDescent="0.2">
      <c r="DY18070" s="185" t="s">
        <v>215</v>
      </c>
    </row>
    <row r="18071" spans="129:129" x14ac:dyDescent="0.2">
      <c r="DY18071" s="185" t="s">
        <v>215</v>
      </c>
    </row>
    <row r="18072" spans="129:129" x14ac:dyDescent="0.2">
      <c r="DY18072" s="185" t="s">
        <v>215</v>
      </c>
    </row>
    <row r="18073" spans="129:129" x14ac:dyDescent="0.2">
      <c r="DY18073" s="185" t="s">
        <v>215</v>
      </c>
    </row>
    <row r="18074" spans="129:129" x14ac:dyDescent="0.2">
      <c r="DY18074" s="185" t="s">
        <v>215</v>
      </c>
    </row>
    <row r="18075" spans="129:129" x14ac:dyDescent="0.2">
      <c r="DY18075" s="185" t="s">
        <v>215</v>
      </c>
    </row>
    <row r="18076" spans="129:129" x14ac:dyDescent="0.2">
      <c r="DY18076" s="185" t="s">
        <v>215</v>
      </c>
    </row>
    <row r="18077" spans="129:129" x14ac:dyDescent="0.2">
      <c r="DY18077" s="185" t="s">
        <v>215</v>
      </c>
    </row>
    <row r="18078" spans="129:129" x14ac:dyDescent="0.2">
      <c r="DY18078" s="185" t="s">
        <v>215</v>
      </c>
    </row>
    <row r="18079" spans="129:129" x14ac:dyDescent="0.2">
      <c r="DY18079" s="185" t="s">
        <v>215</v>
      </c>
    </row>
    <row r="18080" spans="129:129" x14ac:dyDescent="0.2">
      <c r="DY18080" s="185" t="s">
        <v>215</v>
      </c>
    </row>
    <row r="18081" spans="129:129" x14ac:dyDescent="0.2">
      <c r="DY18081" s="185" t="s">
        <v>215</v>
      </c>
    </row>
    <row r="18082" spans="129:129" x14ac:dyDescent="0.2">
      <c r="DY18082" s="185" t="s">
        <v>215</v>
      </c>
    </row>
    <row r="18083" spans="129:129" x14ac:dyDescent="0.2">
      <c r="DY18083" s="185" t="s">
        <v>215</v>
      </c>
    </row>
    <row r="18084" spans="129:129" x14ac:dyDescent="0.2">
      <c r="DY18084" s="185" t="s">
        <v>215</v>
      </c>
    </row>
    <row r="18085" spans="129:129" x14ac:dyDescent="0.2">
      <c r="DY18085" s="185" t="s">
        <v>215</v>
      </c>
    </row>
    <row r="18086" spans="129:129" x14ac:dyDescent="0.2">
      <c r="DY18086" s="185" t="s">
        <v>215</v>
      </c>
    </row>
    <row r="18087" spans="129:129" x14ac:dyDescent="0.2">
      <c r="DY18087" s="185" t="s">
        <v>215</v>
      </c>
    </row>
    <row r="18088" spans="129:129" x14ac:dyDescent="0.2">
      <c r="DY18088" s="185" t="s">
        <v>215</v>
      </c>
    </row>
    <row r="18089" spans="129:129" x14ac:dyDescent="0.2">
      <c r="DY18089" s="185" t="s">
        <v>215</v>
      </c>
    </row>
    <row r="18090" spans="129:129" x14ac:dyDescent="0.2">
      <c r="DY18090" s="185" t="s">
        <v>215</v>
      </c>
    </row>
    <row r="18091" spans="129:129" x14ac:dyDescent="0.2">
      <c r="DY18091" s="185" t="s">
        <v>215</v>
      </c>
    </row>
    <row r="18092" spans="129:129" x14ac:dyDescent="0.2">
      <c r="DY18092" s="185" t="s">
        <v>215</v>
      </c>
    </row>
    <row r="18093" spans="129:129" x14ac:dyDescent="0.2">
      <c r="DY18093" s="185" t="s">
        <v>215</v>
      </c>
    </row>
    <row r="18094" spans="129:129" x14ac:dyDescent="0.2">
      <c r="DY18094" s="185" t="s">
        <v>215</v>
      </c>
    </row>
    <row r="18095" spans="129:129" x14ac:dyDescent="0.2">
      <c r="DY18095" s="185" t="s">
        <v>215</v>
      </c>
    </row>
    <row r="18096" spans="129:129" x14ac:dyDescent="0.2">
      <c r="DY18096" s="185" t="s">
        <v>215</v>
      </c>
    </row>
    <row r="18097" spans="129:129" x14ac:dyDescent="0.2">
      <c r="DY18097" s="185" t="s">
        <v>215</v>
      </c>
    </row>
    <row r="18098" spans="129:129" x14ac:dyDescent="0.2">
      <c r="DY18098" s="185" t="s">
        <v>215</v>
      </c>
    </row>
    <row r="18099" spans="129:129" x14ac:dyDescent="0.2">
      <c r="DY18099" s="185" t="s">
        <v>215</v>
      </c>
    </row>
    <row r="18100" spans="129:129" x14ac:dyDescent="0.2">
      <c r="DY18100" s="185" t="s">
        <v>215</v>
      </c>
    </row>
    <row r="18101" spans="129:129" x14ac:dyDescent="0.2">
      <c r="DY18101" s="185" t="s">
        <v>215</v>
      </c>
    </row>
    <row r="18102" spans="129:129" x14ac:dyDescent="0.2">
      <c r="DY18102" s="185" t="s">
        <v>215</v>
      </c>
    </row>
    <row r="18103" spans="129:129" x14ac:dyDescent="0.2">
      <c r="DY18103" s="185" t="s">
        <v>215</v>
      </c>
    </row>
    <row r="18104" spans="129:129" x14ac:dyDescent="0.2">
      <c r="DY18104" s="185" t="s">
        <v>215</v>
      </c>
    </row>
    <row r="18105" spans="129:129" x14ac:dyDescent="0.2">
      <c r="DY18105" s="185" t="s">
        <v>215</v>
      </c>
    </row>
    <row r="18106" spans="129:129" x14ac:dyDescent="0.2">
      <c r="DY18106" s="185" t="s">
        <v>215</v>
      </c>
    </row>
    <row r="18107" spans="129:129" x14ac:dyDescent="0.2">
      <c r="DY18107" s="185" t="s">
        <v>215</v>
      </c>
    </row>
    <row r="18108" spans="129:129" x14ac:dyDescent="0.2">
      <c r="DY18108" s="185" t="s">
        <v>215</v>
      </c>
    </row>
    <row r="18109" spans="129:129" x14ac:dyDescent="0.2">
      <c r="DY18109" s="185" t="s">
        <v>215</v>
      </c>
    </row>
    <row r="18110" spans="129:129" x14ac:dyDescent="0.2">
      <c r="DY18110" s="185" t="s">
        <v>215</v>
      </c>
    </row>
    <row r="18111" spans="129:129" x14ac:dyDescent="0.2">
      <c r="DY18111" s="185" t="s">
        <v>215</v>
      </c>
    </row>
    <row r="18112" spans="129:129" x14ac:dyDescent="0.2">
      <c r="DY18112" s="185" t="s">
        <v>215</v>
      </c>
    </row>
    <row r="18113" spans="129:129" x14ac:dyDescent="0.2">
      <c r="DY18113" s="185" t="s">
        <v>215</v>
      </c>
    </row>
    <row r="18114" spans="129:129" x14ac:dyDescent="0.2">
      <c r="DY18114" s="185" t="s">
        <v>215</v>
      </c>
    </row>
    <row r="18115" spans="129:129" x14ac:dyDescent="0.2">
      <c r="DY18115" s="185" t="s">
        <v>215</v>
      </c>
    </row>
    <row r="18116" spans="129:129" x14ac:dyDescent="0.2">
      <c r="DY18116" s="185" t="s">
        <v>215</v>
      </c>
    </row>
    <row r="18117" spans="129:129" x14ac:dyDescent="0.2">
      <c r="DY18117" s="185" t="s">
        <v>215</v>
      </c>
    </row>
    <row r="18118" spans="129:129" x14ac:dyDescent="0.2">
      <c r="DY18118" s="185" t="s">
        <v>215</v>
      </c>
    </row>
    <row r="18119" spans="129:129" x14ac:dyDescent="0.2">
      <c r="DY18119" s="185" t="s">
        <v>215</v>
      </c>
    </row>
    <row r="18120" spans="129:129" x14ac:dyDescent="0.2">
      <c r="DY18120" s="185" t="s">
        <v>215</v>
      </c>
    </row>
    <row r="18121" spans="129:129" x14ac:dyDescent="0.2">
      <c r="DY18121" s="185" t="s">
        <v>215</v>
      </c>
    </row>
    <row r="18122" spans="129:129" x14ac:dyDescent="0.2">
      <c r="DY18122" s="185" t="s">
        <v>215</v>
      </c>
    </row>
    <row r="18123" spans="129:129" x14ac:dyDescent="0.2">
      <c r="DY18123" s="185" t="s">
        <v>215</v>
      </c>
    </row>
    <row r="18124" spans="129:129" x14ac:dyDescent="0.2">
      <c r="DY18124" s="185" t="s">
        <v>215</v>
      </c>
    </row>
    <row r="18125" spans="129:129" x14ac:dyDescent="0.2">
      <c r="DY18125" s="185" t="s">
        <v>215</v>
      </c>
    </row>
    <row r="18126" spans="129:129" x14ac:dyDescent="0.2">
      <c r="DY18126" s="185" t="s">
        <v>215</v>
      </c>
    </row>
    <row r="18127" spans="129:129" x14ac:dyDescent="0.2">
      <c r="DY18127" s="185" t="s">
        <v>215</v>
      </c>
    </row>
    <row r="18128" spans="129:129" x14ac:dyDescent="0.2">
      <c r="DY18128" s="185" t="s">
        <v>215</v>
      </c>
    </row>
    <row r="18129" spans="129:129" x14ac:dyDescent="0.2">
      <c r="DY18129" s="185" t="s">
        <v>215</v>
      </c>
    </row>
    <row r="18130" spans="129:129" x14ac:dyDescent="0.2">
      <c r="DY18130" s="185" t="s">
        <v>215</v>
      </c>
    </row>
    <row r="18131" spans="129:129" x14ac:dyDescent="0.2">
      <c r="DY18131" s="185" t="s">
        <v>215</v>
      </c>
    </row>
    <row r="18132" spans="129:129" x14ac:dyDescent="0.2">
      <c r="DY18132" s="185" t="s">
        <v>215</v>
      </c>
    </row>
    <row r="18133" spans="129:129" x14ac:dyDescent="0.2">
      <c r="DY18133" s="185" t="s">
        <v>215</v>
      </c>
    </row>
    <row r="18134" spans="129:129" x14ac:dyDescent="0.2">
      <c r="DY18134" s="185" t="s">
        <v>215</v>
      </c>
    </row>
    <row r="18135" spans="129:129" x14ac:dyDescent="0.2">
      <c r="DY18135" s="185" t="s">
        <v>215</v>
      </c>
    </row>
    <row r="18136" spans="129:129" x14ac:dyDescent="0.2">
      <c r="DY18136" s="185" t="s">
        <v>215</v>
      </c>
    </row>
    <row r="18137" spans="129:129" x14ac:dyDescent="0.2">
      <c r="DY18137" s="185" t="s">
        <v>215</v>
      </c>
    </row>
    <row r="18138" spans="129:129" x14ac:dyDescent="0.2">
      <c r="DY18138" s="185" t="s">
        <v>215</v>
      </c>
    </row>
    <row r="18139" spans="129:129" x14ac:dyDescent="0.2">
      <c r="DY18139" s="185" t="s">
        <v>215</v>
      </c>
    </row>
    <row r="18140" spans="129:129" x14ac:dyDescent="0.2">
      <c r="DY18140" s="185" t="s">
        <v>215</v>
      </c>
    </row>
    <row r="18141" spans="129:129" x14ac:dyDescent="0.2">
      <c r="DY18141" s="185" t="s">
        <v>215</v>
      </c>
    </row>
    <row r="18142" spans="129:129" x14ac:dyDescent="0.2">
      <c r="DY18142" s="185" t="s">
        <v>215</v>
      </c>
    </row>
    <row r="18143" spans="129:129" x14ac:dyDescent="0.2">
      <c r="DY18143" s="185" t="s">
        <v>215</v>
      </c>
    </row>
    <row r="18144" spans="129:129" x14ac:dyDescent="0.2">
      <c r="DY18144" s="185" t="s">
        <v>215</v>
      </c>
    </row>
    <row r="18145" spans="129:129" x14ac:dyDescent="0.2">
      <c r="DY18145" s="185" t="s">
        <v>215</v>
      </c>
    </row>
    <row r="18146" spans="129:129" x14ac:dyDescent="0.2">
      <c r="DY18146" s="185" t="s">
        <v>215</v>
      </c>
    </row>
    <row r="18147" spans="129:129" x14ac:dyDescent="0.2">
      <c r="DY18147" s="185" t="s">
        <v>215</v>
      </c>
    </row>
    <row r="18148" spans="129:129" x14ac:dyDescent="0.2">
      <c r="DY18148" s="185" t="s">
        <v>215</v>
      </c>
    </row>
    <row r="18149" spans="129:129" x14ac:dyDescent="0.2">
      <c r="DY18149" s="185" t="s">
        <v>215</v>
      </c>
    </row>
    <row r="18150" spans="129:129" x14ac:dyDescent="0.2">
      <c r="DY18150" s="185" t="s">
        <v>215</v>
      </c>
    </row>
    <row r="18151" spans="129:129" x14ac:dyDescent="0.2">
      <c r="DY18151" s="185" t="s">
        <v>215</v>
      </c>
    </row>
    <row r="18152" spans="129:129" x14ac:dyDescent="0.2">
      <c r="DY18152" s="185" t="s">
        <v>215</v>
      </c>
    </row>
    <row r="18153" spans="129:129" x14ac:dyDescent="0.2">
      <c r="DY18153" s="185" t="s">
        <v>215</v>
      </c>
    </row>
    <row r="18154" spans="129:129" x14ac:dyDescent="0.2">
      <c r="DY18154" s="185" t="s">
        <v>215</v>
      </c>
    </row>
    <row r="18155" spans="129:129" x14ac:dyDescent="0.2">
      <c r="DY18155" s="185" t="s">
        <v>215</v>
      </c>
    </row>
    <row r="18156" spans="129:129" x14ac:dyDescent="0.2">
      <c r="DY18156" s="185" t="s">
        <v>215</v>
      </c>
    </row>
    <row r="18157" spans="129:129" x14ac:dyDescent="0.2">
      <c r="DY18157" s="185" t="s">
        <v>215</v>
      </c>
    </row>
    <row r="18158" spans="129:129" x14ac:dyDescent="0.2">
      <c r="DY18158" s="185" t="s">
        <v>215</v>
      </c>
    </row>
    <row r="18159" spans="129:129" x14ac:dyDescent="0.2">
      <c r="DY18159" s="185" t="s">
        <v>215</v>
      </c>
    </row>
    <row r="18160" spans="129:129" x14ac:dyDescent="0.2">
      <c r="DY18160" s="185" t="s">
        <v>215</v>
      </c>
    </row>
    <row r="18161" spans="129:129" x14ac:dyDescent="0.2">
      <c r="DY18161" s="185" t="s">
        <v>215</v>
      </c>
    </row>
    <row r="18162" spans="129:129" x14ac:dyDescent="0.2">
      <c r="DY18162" s="185" t="s">
        <v>215</v>
      </c>
    </row>
    <row r="18163" spans="129:129" x14ac:dyDescent="0.2">
      <c r="DY18163" s="185" t="s">
        <v>215</v>
      </c>
    </row>
    <row r="18164" spans="129:129" x14ac:dyDescent="0.2">
      <c r="DY18164" s="185" t="s">
        <v>215</v>
      </c>
    </row>
    <row r="18165" spans="129:129" x14ac:dyDescent="0.2">
      <c r="DY18165" s="185" t="s">
        <v>215</v>
      </c>
    </row>
    <row r="18166" spans="129:129" x14ac:dyDescent="0.2">
      <c r="DY18166" s="185" t="s">
        <v>215</v>
      </c>
    </row>
    <row r="18167" spans="129:129" x14ac:dyDescent="0.2">
      <c r="DY18167" s="185" t="s">
        <v>215</v>
      </c>
    </row>
    <row r="18168" spans="129:129" x14ac:dyDescent="0.2">
      <c r="DY18168" s="185" t="s">
        <v>215</v>
      </c>
    </row>
    <row r="18169" spans="129:129" x14ac:dyDescent="0.2">
      <c r="DY18169" s="185" t="s">
        <v>215</v>
      </c>
    </row>
    <row r="18170" spans="129:129" x14ac:dyDescent="0.2">
      <c r="DY18170" s="185" t="s">
        <v>215</v>
      </c>
    </row>
    <row r="18171" spans="129:129" x14ac:dyDescent="0.2">
      <c r="DY18171" s="185" t="s">
        <v>215</v>
      </c>
    </row>
    <row r="18172" spans="129:129" x14ac:dyDescent="0.2">
      <c r="DY18172" s="185" t="s">
        <v>215</v>
      </c>
    </row>
    <row r="18173" spans="129:129" x14ac:dyDescent="0.2">
      <c r="DY18173" s="185" t="s">
        <v>215</v>
      </c>
    </row>
    <row r="18174" spans="129:129" x14ac:dyDescent="0.2">
      <c r="DY18174" s="185" t="s">
        <v>215</v>
      </c>
    </row>
    <row r="18175" spans="129:129" x14ac:dyDescent="0.2">
      <c r="DY18175" s="185" t="s">
        <v>215</v>
      </c>
    </row>
    <row r="18176" spans="129:129" x14ac:dyDescent="0.2">
      <c r="DY18176" s="185" t="s">
        <v>215</v>
      </c>
    </row>
    <row r="18177" spans="129:129" x14ac:dyDescent="0.2">
      <c r="DY18177" s="185" t="s">
        <v>215</v>
      </c>
    </row>
    <row r="18178" spans="129:129" x14ac:dyDescent="0.2">
      <c r="DY18178" s="185" t="s">
        <v>215</v>
      </c>
    </row>
    <row r="18179" spans="129:129" x14ac:dyDescent="0.2">
      <c r="DY18179" s="185" t="s">
        <v>215</v>
      </c>
    </row>
    <row r="18180" spans="129:129" x14ac:dyDescent="0.2">
      <c r="DY18180" s="185" t="s">
        <v>215</v>
      </c>
    </row>
    <row r="18181" spans="129:129" x14ac:dyDescent="0.2">
      <c r="DY18181" s="185" t="s">
        <v>215</v>
      </c>
    </row>
    <row r="18182" spans="129:129" x14ac:dyDescent="0.2">
      <c r="DY18182" s="185" t="s">
        <v>215</v>
      </c>
    </row>
    <row r="18183" spans="129:129" x14ac:dyDescent="0.2">
      <c r="DY18183" s="185" t="s">
        <v>215</v>
      </c>
    </row>
    <row r="18184" spans="129:129" x14ac:dyDescent="0.2">
      <c r="DY18184" s="185" t="s">
        <v>215</v>
      </c>
    </row>
    <row r="18185" spans="129:129" x14ac:dyDescent="0.2">
      <c r="DY18185" s="185" t="s">
        <v>215</v>
      </c>
    </row>
    <row r="18186" spans="129:129" x14ac:dyDescent="0.2">
      <c r="DY18186" s="185" t="s">
        <v>215</v>
      </c>
    </row>
    <row r="18187" spans="129:129" x14ac:dyDescent="0.2">
      <c r="DY18187" s="185" t="s">
        <v>215</v>
      </c>
    </row>
    <row r="18188" spans="129:129" x14ac:dyDescent="0.2">
      <c r="DY18188" s="185" t="s">
        <v>215</v>
      </c>
    </row>
    <row r="18189" spans="129:129" x14ac:dyDescent="0.2">
      <c r="DY18189" s="185" t="s">
        <v>215</v>
      </c>
    </row>
    <row r="18190" spans="129:129" x14ac:dyDescent="0.2">
      <c r="DY18190" s="185" t="s">
        <v>215</v>
      </c>
    </row>
    <row r="18191" spans="129:129" x14ac:dyDescent="0.2">
      <c r="DY18191" s="185" t="s">
        <v>215</v>
      </c>
    </row>
    <row r="18192" spans="129:129" x14ac:dyDescent="0.2">
      <c r="DY18192" s="185" t="s">
        <v>215</v>
      </c>
    </row>
    <row r="18193" spans="129:129" x14ac:dyDescent="0.2">
      <c r="DY18193" s="185" t="s">
        <v>215</v>
      </c>
    </row>
    <row r="18194" spans="129:129" x14ac:dyDescent="0.2">
      <c r="DY18194" s="185" t="s">
        <v>215</v>
      </c>
    </row>
    <row r="18195" spans="129:129" x14ac:dyDescent="0.2">
      <c r="DY18195" s="185" t="s">
        <v>215</v>
      </c>
    </row>
    <row r="18196" spans="129:129" x14ac:dyDescent="0.2">
      <c r="DY18196" s="185" t="s">
        <v>215</v>
      </c>
    </row>
    <row r="18197" spans="129:129" x14ac:dyDescent="0.2">
      <c r="DY18197" s="185" t="s">
        <v>215</v>
      </c>
    </row>
    <row r="18198" spans="129:129" x14ac:dyDescent="0.2">
      <c r="DY18198" s="185" t="s">
        <v>215</v>
      </c>
    </row>
    <row r="18199" spans="129:129" x14ac:dyDescent="0.2">
      <c r="DY18199" s="185" t="s">
        <v>215</v>
      </c>
    </row>
    <row r="18200" spans="129:129" x14ac:dyDescent="0.2">
      <c r="DY18200" s="185" t="s">
        <v>215</v>
      </c>
    </row>
    <row r="18201" spans="129:129" x14ac:dyDescent="0.2">
      <c r="DY18201" s="185" t="s">
        <v>215</v>
      </c>
    </row>
    <row r="18202" spans="129:129" x14ac:dyDescent="0.2">
      <c r="DY18202" s="185" t="s">
        <v>215</v>
      </c>
    </row>
    <row r="18203" spans="129:129" x14ac:dyDescent="0.2">
      <c r="DY18203" s="185" t="s">
        <v>215</v>
      </c>
    </row>
    <row r="18204" spans="129:129" x14ac:dyDescent="0.2">
      <c r="DY18204" s="185" t="s">
        <v>215</v>
      </c>
    </row>
    <row r="18205" spans="129:129" x14ac:dyDescent="0.2">
      <c r="DY18205" s="185" t="s">
        <v>215</v>
      </c>
    </row>
    <row r="18206" spans="129:129" x14ac:dyDescent="0.2">
      <c r="DY18206" s="185" t="s">
        <v>215</v>
      </c>
    </row>
    <row r="18207" spans="129:129" x14ac:dyDescent="0.2">
      <c r="DY18207" s="185" t="s">
        <v>215</v>
      </c>
    </row>
    <row r="18208" spans="129:129" x14ac:dyDescent="0.2">
      <c r="DY18208" s="185" t="s">
        <v>215</v>
      </c>
    </row>
    <row r="18209" spans="129:129" x14ac:dyDescent="0.2">
      <c r="DY18209" s="185" t="s">
        <v>215</v>
      </c>
    </row>
    <row r="18210" spans="129:129" x14ac:dyDescent="0.2">
      <c r="DY18210" s="185" t="s">
        <v>215</v>
      </c>
    </row>
    <row r="18211" spans="129:129" x14ac:dyDescent="0.2">
      <c r="DY18211" s="185" t="s">
        <v>215</v>
      </c>
    </row>
    <row r="18212" spans="129:129" x14ac:dyDescent="0.2">
      <c r="DY18212" s="185" t="s">
        <v>215</v>
      </c>
    </row>
    <row r="18213" spans="129:129" x14ac:dyDescent="0.2">
      <c r="DY18213" s="185" t="s">
        <v>215</v>
      </c>
    </row>
    <row r="18214" spans="129:129" x14ac:dyDescent="0.2">
      <c r="DY18214" s="185" t="s">
        <v>215</v>
      </c>
    </row>
    <row r="18215" spans="129:129" x14ac:dyDescent="0.2">
      <c r="DY18215" s="185" t="s">
        <v>215</v>
      </c>
    </row>
    <row r="18216" spans="129:129" x14ac:dyDescent="0.2">
      <c r="DY18216" s="185" t="s">
        <v>215</v>
      </c>
    </row>
    <row r="18217" spans="129:129" x14ac:dyDescent="0.2">
      <c r="DY18217" s="185" t="s">
        <v>215</v>
      </c>
    </row>
    <row r="18218" spans="129:129" x14ac:dyDescent="0.2">
      <c r="DY18218" s="185" t="s">
        <v>215</v>
      </c>
    </row>
    <row r="18219" spans="129:129" x14ac:dyDescent="0.2">
      <c r="DY18219" s="185" t="s">
        <v>215</v>
      </c>
    </row>
    <row r="18220" spans="129:129" x14ac:dyDescent="0.2">
      <c r="DY18220" s="185" t="s">
        <v>215</v>
      </c>
    </row>
    <row r="18221" spans="129:129" x14ac:dyDescent="0.2">
      <c r="DY18221" s="185" t="s">
        <v>215</v>
      </c>
    </row>
    <row r="18222" spans="129:129" x14ac:dyDescent="0.2">
      <c r="DY18222" s="185" t="s">
        <v>215</v>
      </c>
    </row>
    <row r="18223" spans="129:129" x14ac:dyDescent="0.2">
      <c r="DY18223" s="185" t="s">
        <v>215</v>
      </c>
    </row>
    <row r="18224" spans="129:129" x14ac:dyDescent="0.2">
      <c r="DY18224" s="185" t="s">
        <v>215</v>
      </c>
    </row>
    <row r="18225" spans="129:129" x14ac:dyDescent="0.2">
      <c r="DY18225" s="185" t="s">
        <v>215</v>
      </c>
    </row>
    <row r="18226" spans="129:129" x14ac:dyDescent="0.2">
      <c r="DY18226" s="185" t="s">
        <v>215</v>
      </c>
    </row>
    <row r="18227" spans="129:129" x14ac:dyDescent="0.2">
      <c r="DY18227" s="185" t="s">
        <v>215</v>
      </c>
    </row>
    <row r="18228" spans="129:129" x14ac:dyDescent="0.2">
      <c r="DY18228" s="185" t="s">
        <v>215</v>
      </c>
    </row>
    <row r="18229" spans="129:129" x14ac:dyDescent="0.2">
      <c r="DY18229" s="185" t="s">
        <v>215</v>
      </c>
    </row>
    <row r="18230" spans="129:129" x14ac:dyDescent="0.2">
      <c r="DY18230" s="185" t="s">
        <v>215</v>
      </c>
    </row>
    <row r="18231" spans="129:129" x14ac:dyDescent="0.2">
      <c r="DY18231" s="185" t="s">
        <v>215</v>
      </c>
    </row>
    <row r="18232" spans="129:129" x14ac:dyDescent="0.2">
      <c r="DY18232" s="185" t="s">
        <v>215</v>
      </c>
    </row>
    <row r="18233" spans="129:129" x14ac:dyDescent="0.2">
      <c r="DY18233" s="185" t="s">
        <v>215</v>
      </c>
    </row>
    <row r="18234" spans="129:129" x14ac:dyDescent="0.2">
      <c r="DY18234" s="185" t="s">
        <v>215</v>
      </c>
    </row>
    <row r="18235" spans="129:129" x14ac:dyDescent="0.2">
      <c r="DY18235" s="185" t="s">
        <v>215</v>
      </c>
    </row>
    <row r="18236" spans="129:129" x14ac:dyDescent="0.2">
      <c r="DY18236" s="185" t="s">
        <v>215</v>
      </c>
    </row>
    <row r="18237" spans="129:129" x14ac:dyDescent="0.2">
      <c r="DY18237" s="185" t="s">
        <v>215</v>
      </c>
    </row>
    <row r="18238" spans="129:129" x14ac:dyDescent="0.2">
      <c r="DY18238" s="185" t="s">
        <v>215</v>
      </c>
    </row>
    <row r="18239" spans="129:129" x14ac:dyDescent="0.2">
      <c r="DY18239" s="185" t="s">
        <v>215</v>
      </c>
    </row>
    <row r="18240" spans="129:129" x14ac:dyDescent="0.2">
      <c r="DY18240" s="185" t="s">
        <v>215</v>
      </c>
    </row>
    <row r="18241" spans="129:129" x14ac:dyDescent="0.2">
      <c r="DY18241" s="185" t="s">
        <v>215</v>
      </c>
    </row>
    <row r="18242" spans="129:129" x14ac:dyDescent="0.2">
      <c r="DY18242" s="185" t="s">
        <v>215</v>
      </c>
    </row>
    <row r="18243" spans="129:129" x14ac:dyDescent="0.2">
      <c r="DY18243" s="185" t="s">
        <v>215</v>
      </c>
    </row>
    <row r="18244" spans="129:129" x14ac:dyDescent="0.2">
      <c r="DY18244" s="185" t="s">
        <v>215</v>
      </c>
    </row>
    <row r="18245" spans="129:129" x14ac:dyDescent="0.2">
      <c r="DY18245" s="185" t="s">
        <v>215</v>
      </c>
    </row>
    <row r="18246" spans="129:129" x14ac:dyDescent="0.2">
      <c r="DY18246" s="185" t="s">
        <v>215</v>
      </c>
    </row>
    <row r="18247" spans="129:129" x14ac:dyDescent="0.2">
      <c r="DY18247" s="185" t="s">
        <v>215</v>
      </c>
    </row>
    <row r="18248" spans="129:129" x14ac:dyDescent="0.2">
      <c r="DY18248" s="185" t="s">
        <v>215</v>
      </c>
    </row>
    <row r="18249" spans="129:129" x14ac:dyDescent="0.2">
      <c r="DY18249" s="185" t="s">
        <v>215</v>
      </c>
    </row>
    <row r="18250" spans="129:129" x14ac:dyDescent="0.2">
      <c r="DY18250" s="185" t="s">
        <v>215</v>
      </c>
    </row>
    <row r="18251" spans="129:129" x14ac:dyDescent="0.2">
      <c r="DY18251" s="185" t="s">
        <v>215</v>
      </c>
    </row>
    <row r="18252" spans="129:129" x14ac:dyDescent="0.2">
      <c r="DY18252" s="185" t="s">
        <v>215</v>
      </c>
    </row>
    <row r="18253" spans="129:129" x14ac:dyDescent="0.2">
      <c r="DY18253" s="185" t="s">
        <v>215</v>
      </c>
    </row>
    <row r="18254" spans="129:129" x14ac:dyDescent="0.2">
      <c r="DY18254" s="185" t="s">
        <v>215</v>
      </c>
    </row>
    <row r="18255" spans="129:129" x14ac:dyDescent="0.2">
      <c r="DY18255" s="185" t="s">
        <v>215</v>
      </c>
    </row>
    <row r="18256" spans="129:129" x14ac:dyDescent="0.2">
      <c r="DY18256" s="185" t="s">
        <v>215</v>
      </c>
    </row>
    <row r="18257" spans="129:129" x14ac:dyDescent="0.2">
      <c r="DY18257" s="185" t="s">
        <v>215</v>
      </c>
    </row>
    <row r="18258" spans="129:129" x14ac:dyDescent="0.2">
      <c r="DY18258" s="185" t="s">
        <v>215</v>
      </c>
    </row>
    <row r="18259" spans="129:129" x14ac:dyDescent="0.2">
      <c r="DY18259" s="185" t="s">
        <v>215</v>
      </c>
    </row>
    <row r="18260" spans="129:129" x14ac:dyDescent="0.2">
      <c r="DY18260" s="185" t="s">
        <v>215</v>
      </c>
    </row>
    <row r="18261" spans="129:129" x14ac:dyDescent="0.2">
      <c r="DY18261" s="185" t="s">
        <v>215</v>
      </c>
    </row>
    <row r="18262" spans="129:129" x14ac:dyDescent="0.2">
      <c r="DY18262" s="185" t="s">
        <v>215</v>
      </c>
    </row>
    <row r="18263" spans="129:129" x14ac:dyDescent="0.2">
      <c r="DY18263" s="185" t="s">
        <v>215</v>
      </c>
    </row>
    <row r="18264" spans="129:129" x14ac:dyDescent="0.2">
      <c r="DY18264" s="185" t="s">
        <v>215</v>
      </c>
    </row>
    <row r="18265" spans="129:129" x14ac:dyDescent="0.2">
      <c r="DY18265" s="185" t="s">
        <v>215</v>
      </c>
    </row>
    <row r="18266" spans="129:129" x14ac:dyDescent="0.2">
      <c r="DY18266" s="185" t="s">
        <v>215</v>
      </c>
    </row>
    <row r="18267" spans="129:129" x14ac:dyDescent="0.2">
      <c r="DY18267" s="185" t="s">
        <v>215</v>
      </c>
    </row>
    <row r="18268" spans="129:129" x14ac:dyDescent="0.2">
      <c r="DY18268" s="185" t="s">
        <v>215</v>
      </c>
    </row>
    <row r="18269" spans="129:129" x14ac:dyDescent="0.2">
      <c r="DY18269" s="185" t="s">
        <v>215</v>
      </c>
    </row>
    <row r="18270" spans="129:129" x14ac:dyDescent="0.2">
      <c r="DY18270" s="185" t="s">
        <v>215</v>
      </c>
    </row>
    <row r="18271" spans="129:129" x14ac:dyDescent="0.2">
      <c r="DY18271" s="185" t="s">
        <v>215</v>
      </c>
    </row>
    <row r="18272" spans="129:129" x14ac:dyDescent="0.2">
      <c r="DY18272" s="185" t="s">
        <v>215</v>
      </c>
    </row>
    <row r="18273" spans="129:129" x14ac:dyDescent="0.2">
      <c r="DY18273" s="185" t="s">
        <v>215</v>
      </c>
    </row>
    <row r="18274" spans="129:129" x14ac:dyDescent="0.2">
      <c r="DY18274" s="185" t="s">
        <v>215</v>
      </c>
    </row>
    <row r="18275" spans="129:129" x14ac:dyDescent="0.2">
      <c r="DY18275" s="185" t="s">
        <v>215</v>
      </c>
    </row>
    <row r="18276" spans="129:129" x14ac:dyDescent="0.2">
      <c r="DY18276" s="185" t="s">
        <v>215</v>
      </c>
    </row>
    <row r="18277" spans="129:129" x14ac:dyDescent="0.2">
      <c r="DY18277" s="185" t="s">
        <v>215</v>
      </c>
    </row>
    <row r="18278" spans="129:129" x14ac:dyDescent="0.2">
      <c r="DY18278" s="185" t="s">
        <v>215</v>
      </c>
    </row>
    <row r="18279" spans="129:129" x14ac:dyDescent="0.2">
      <c r="DY18279" s="185" t="s">
        <v>215</v>
      </c>
    </row>
    <row r="18280" spans="129:129" x14ac:dyDescent="0.2">
      <c r="DY18280" s="185" t="s">
        <v>215</v>
      </c>
    </row>
    <row r="18281" spans="129:129" x14ac:dyDescent="0.2">
      <c r="DY18281" s="185" t="s">
        <v>215</v>
      </c>
    </row>
    <row r="18282" spans="129:129" x14ac:dyDescent="0.2">
      <c r="DY18282" s="185" t="s">
        <v>215</v>
      </c>
    </row>
    <row r="18283" spans="129:129" x14ac:dyDescent="0.2">
      <c r="DY18283" s="185" t="s">
        <v>215</v>
      </c>
    </row>
    <row r="18284" spans="129:129" x14ac:dyDescent="0.2">
      <c r="DY18284" s="185" t="s">
        <v>215</v>
      </c>
    </row>
    <row r="18285" spans="129:129" x14ac:dyDescent="0.2">
      <c r="DY18285" s="185" t="s">
        <v>215</v>
      </c>
    </row>
    <row r="18286" spans="129:129" x14ac:dyDescent="0.2">
      <c r="DY18286" s="185" t="s">
        <v>215</v>
      </c>
    </row>
    <row r="18287" spans="129:129" x14ac:dyDescent="0.2">
      <c r="DY18287" s="185" t="s">
        <v>215</v>
      </c>
    </row>
    <row r="18288" spans="129:129" x14ac:dyDescent="0.2">
      <c r="DY18288" s="185" t="s">
        <v>215</v>
      </c>
    </row>
    <row r="18289" spans="129:129" x14ac:dyDescent="0.2">
      <c r="DY18289" s="185" t="s">
        <v>215</v>
      </c>
    </row>
    <row r="18290" spans="129:129" x14ac:dyDescent="0.2">
      <c r="DY18290" s="185" t="s">
        <v>215</v>
      </c>
    </row>
    <row r="18291" spans="129:129" x14ac:dyDescent="0.2">
      <c r="DY18291" s="185" t="s">
        <v>215</v>
      </c>
    </row>
    <row r="18292" spans="129:129" x14ac:dyDescent="0.2">
      <c r="DY18292" s="185" t="s">
        <v>215</v>
      </c>
    </row>
    <row r="18293" spans="129:129" x14ac:dyDescent="0.2">
      <c r="DY18293" s="185" t="s">
        <v>215</v>
      </c>
    </row>
    <row r="18294" spans="129:129" x14ac:dyDescent="0.2">
      <c r="DY18294" s="185" t="s">
        <v>215</v>
      </c>
    </row>
    <row r="18295" spans="129:129" x14ac:dyDescent="0.2">
      <c r="DY18295" s="185" t="s">
        <v>215</v>
      </c>
    </row>
    <row r="18296" spans="129:129" x14ac:dyDescent="0.2">
      <c r="DY18296" s="185" t="s">
        <v>215</v>
      </c>
    </row>
    <row r="18297" spans="129:129" x14ac:dyDescent="0.2">
      <c r="DY18297" s="185" t="s">
        <v>215</v>
      </c>
    </row>
    <row r="18298" spans="129:129" x14ac:dyDescent="0.2">
      <c r="DY18298" s="185" t="s">
        <v>215</v>
      </c>
    </row>
    <row r="18299" spans="129:129" x14ac:dyDescent="0.2">
      <c r="DY18299" s="185" t="s">
        <v>215</v>
      </c>
    </row>
    <row r="18300" spans="129:129" x14ac:dyDescent="0.2">
      <c r="DY18300" s="185" t="s">
        <v>215</v>
      </c>
    </row>
    <row r="18301" spans="129:129" x14ac:dyDescent="0.2">
      <c r="DY18301" s="185" t="s">
        <v>215</v>
      </c>
    </row>
    <row r="18302" spans="129:129" x14ac:dyDescent="0.2">
      <c r="DY18302" s="185" t="s">
        <v>215</v>
      </c>
    </row>
    <row r="18303" spans="129:129" x14ac:dyDescent="0.2">
      <c r="DY18303" s="185" t="s">
        <v>215</v>
      </c>
    </row>
    <row r="18304" spans="129:129" x14ac:dyDescent="0.2">
      <c r="DY18304" s="185" t="s">
        <v>215</v>
      </c>
    </row>
    <row r="18305" spans="129:129" x14ac:dyDescent="0.2">
      <c r="DY18305" s="185" t="s">
        <v>215</v>
      </c>
    </row>
    <row r="18306" spans="129:129" x14ac:dyDescent="0.2">
      <c r="DY18306" s="185" t="s">
        <v>215</v>
      </c>
    </row>
    <row r="18307" spans="129:129" x14ac:dyDescent="0.2">
      <c r="DY18307" s="185" t="s">
        <v>215</v>
      </c>
    </row>
    <row r="18308" spans="129:129" x14ac:dyDescent="0.2">
      <c r="DY18308" s="185" t="s">
        <v>215</v>
      </c>
    </row>
    <row r="18309" spans="129:129" x14ac:dyDescent="0.2">
      <c r="DY18309" s="185" t="s">
        <v>215</v>
      </c>
    </row>
    <row r="18310" spans="129:129" x14ac:dyDescent="0.2">
      <c r="DY18310" s="185" t="s">
        <v>215</v>
      </c>
    </row>
    <row r="18311" spans="129:129" x14ac:dyDescent="0.2">
      <c r="DY18311" s="185" t="s">
        <v>215</v>
      </c>
    </row>
    <row r="18312" spans="129:129" x14ac:dyDescent="0.2">
      <c r="DY18312" s="185" t="s">
        <v>215</v>
      </c>
    </row>
    <row r="18313" spans="129:129" x14ac:dyDescent="0.2">
      <c r="DY18313" s="185" t="s">
        <v>215</v>
      </c>
    </row>
    <row r="18314" spans="129:129" x14ac:dyDescent="0.2">
      <c r="DY18314" s="185" t="s">
        <v>215</v>
      </c>
    </row>
    <row r="18315" spans="129:129" x14ac:dyDescent="0.2">
      <c r="DY18315" s="185" t="s">
        <v>215</v>
      </c>
    </row>
    <row r="18316" spans="129:129" x14ac:dyDescent="0.2">
      <c r="DY18316" s="185" t="s">
        <v>215</v>
      </c>
    </row>
    <row r="18317" spans="129:129" x14ac:dyDescent="0.2">
      <c r="DY18317" s="185" t="s">
        <v>215</v>
      </c>
    </row>
    <row r="18318" spans="129:129" x14ac:dyDescent="0.2">
      <c r="DY18318" s="185" t="s">
        <v>215</v>
      </c>
    </row>
    <row r="18319" spans="129:129" x14ac:dyDescent="0.2">
      <c r="DY18319" s="185" t="s">
        <v>215</v>
      </c>
    </row>
    <row r="18320" spans="129:129" x14ac:dyDescent="0.2">
      <c r="DY18320" s="185" t="s">
        <v>215</v>
      </c>
    </row>
    <row r="18321" spans="129:129" x14ac:dyDescent="0.2">
      <c r="DY18321" s="185" t="s">
        <v>215</v>
      </c>
    </row>
    <row r="18322" spans="129:129" x14ac:dyDescent="0.2">
      <c r="DY18322" s="185" t="s">
        <v>215</v>
      </c>
    </row>
    <row r="18323" spans="129:129" x14ac:dyDescent="0.2">
      <c r="DY18323" s="185" t="s">
        <v>215</v>
      </c>
    </row>
    <row r="18324" spans="129:129" x14ac:dyDescent="0.2">
      <c r="DY18324" s="185" t="s">
        <v>215</v>
      </c>
    </row>
    <row r="18325" spans="129:129" x14ac:dyDescent="0.2">
      <c r="DY18325" s="185" t="s">
        <v>215</v>
      </c>
    </row>
    <row r="18326" spans="129:129" x14ac:dyDescent="0.2">
      <c r="DY18326" s="185" t="s">
        <v>215</v>
      </c>
    </row>
    <row r="18327" spans="129:129" x14ac:dyDescent="0.2">
      <c r="DY18327" s="185" t="s">
        <v>215</v>
      </c>
    </row>
    <row r="18328" spans="129:129" x14ac:dyDescent="0.2">
      <c r="DY18328" s="185" t="s">
        <v>215</v>
      </c>
    </row>
    <row r="18329" spans="129:129" x14ac:dyDescent="0.2">
      <c r="DY18329" s="185" t="s">
        <v>215</v>
      </c>
    </row>
    <row r="18330" spans="129:129" x14ac:dyDescent="0.2">
      <c r="DY18330" s="185" t="s">
        <v>215</v>
      </c>
    </row>
    <row r="18331" spans="129:129" x14ac:dyDescent="0.2">
      <c r="DY18331" s="185" t="s">
        <v>215</v>
      </c>
    </row>
    <row r="18332" spans="129:129" x14ac:dyDescent="0.2">
      <c r="DY18332" s="185" t="s">
        <v>215</v>
      </c>
    </row>
    <row r="18333" spans="129:129" x14ac:dyDescent="0.2">
      <c r="DY18333" s="185" t="s">
        <v>215</v>
      </c>
    </row>
    <row r="18334" spans="129:129" x14ac:dyDescent="0.2">
      <c r="DY18334" s="185" t="s">
        <v>215</v>
      </c>
    </row>
    <row r="18335" spans="129:129" x14ac:dyDescent="0.2">
      <c r="DY18335" s="185" t="s">
        <v>215</v>
      </c>
    </row>
    <row r="18336" spans="129:129" x14ac:dyDescent="0.2">
      <c r="DY18336" s="185" t="s">
        <v>215</v>
      </c>
    </row>
    <row r="18337" spans="129:129" x14ac:dyDescent="0.2">
      <c r="DY18337" s="185" t="s">
        <v>215</v>
      </c>
    </row>
    <row r="18338" spans="129:129" x14ac:dyDescent="0.2">
      <c r="DY18338" s="185" t="s">
        <v>215</v>
      </c>
    </row>
    <row r="18339" spans="129:129" x14ac:dyDescent="0.2">
      <c r="DY18339" s="185" t="s">
        <v>215</v>
      </c>
    </row>
    <row r="18340" spans="129:129" x14ac:dyDescent="0.2">
      <c r="DY18340" s="185" t="s">
        <v>215</v>
      </c>
    </row>
    <row r="18341" spans="129:129" x14ac:dyDescent="0.2">
      <c r="DY18341" s="185" t="s">
        <v>215</v>
      </c>
    </row>
    <row r="18342" spans="129:129" x14ac:dyDescent="0.2">
      <c r="DY18342" s="185" t="s">
        <v>215</v>
      </c>
    </row>
    <row r="18343" spans="129:129" x14ac:dyDescent="0.2">
      <c r="DY18343" s="185" t="s">
        <v>215</v>
      </c>
    </row>
    <row r="18344" spans="129:129" x14ac:dyDescent="0.2">
      <c r="DY18344" s="185" t="s">
        <v>215</v>
      </c>
    </row>
    <row r="18345" spans="129:129" x14ac:dyDescent="0.2">
      <c r="DY18345" s="185" t="s">
        <v>215</v>
      </c>
    </row>
    <row r="18346" spans="129:129" x14ac:dyDescent="0.2">
      <c r="DY18346" s="185" t="s">
        <v>215</v>
      </c>
    </row>
    <row r="18347" spans="129:129" x14ac:dyDescent="0.2">
      <c r="DY18347" s="185" t="s">
        <v>215</v>
      </c>
    </row>
    <row r="18348" spans="129:129" x14ac:dyDescent="0.2">
      <c r="DY18348" s="185" t="s">
        <v>215</v>
      </c>
    </row>
    <row r="18349" spans="129:129" x14ac:dyDescent="0.2">
      <c r="DY18349" s="185" t="s">
        <v>215</v>
      </c>
    </row>
    <row r="18350" spans="129:129" x14ac:dyDescent="0.2">
      <c r="DY18350" s="185" t="s">
        <v>215</v>
      </c>
    </row>
    <row r="18351" spans="129:129" x14ac:dyDescent="0.2">
      <c r="DY18351" s="185" t="s">
        <v>215</v>
      </c>
    </row>
    <row r="18352" spans="129:129" x14ac:dyDescent="0.2">
      <c r="DY18352" s="185" t="s">
        <v>215</v>
      </c>
    </row>
    <row r="18353" spans="129:129" x14ac:dyDescent="0.2">
      <c r="DY18353" s="185" t="s">
        <v>215</v>
      </c>
    </row>
    <row r="18354" spans="129:129" x14ac:dyDescent="0.2">
      <c r="DY18354" s="185" t="s">
        <v>215</v>
      </c>
    </row>
    <row r="18355" spans="129:129" x14ac:dyDescent="0.2">
      <c r="DY18355" s="185" t="s">
        <v>215</v>
      </c>
    </row>
    <row r="18356" spans="129:129" x14ac:dyDescent="0.2">
      <c r="DY18356" s="185" t="s">
        <v>215</v>
      </c>
    </row>
    <row r="18357" spans="129:129" x14ac:dyDescent="0.2">
      <c r="DY18357" s="185" t="s">
        <v>215</v>
      </c>
    </row>
    <row r="18358" spans="129:129" x14ac:dyDescent="0.2">
      <c r="DY18358" s="185" t="s">
        <v>215</v>
      </c>
    </row>
    <row r="18359" spans="129:129" x14ac:dyDescent="0.2">
      <c r="DY18359" s="185" t="s">
        <v>215</v>
      </c>
    </row>
    <row r="18360" spans="129:129" x14ac:dyDescent="0.2">
      <c r="DY18360" s="185" t="s">
        <v>215</v>
      </c>
    </row>
    <row r="18361" spans="129:129" x14ac:dyDescent="0.2">
      <c r="DY18361" s="185" t="s">
        <v>215</v>
      </c>
    </row>
    <row r="18362" spans="129:129" x14ac:dyDescent="0.2">
      <c r="DY18362" s="185" t="s">
        <v>215</v>
      </c>
    </row>
    <row r="18363" spans="129:129" x14ac:dyDescent="0.2">
      <c r="DY18363" s="185" t="s">
        <v>215</v>
      </c>
    </row>
    <row r="18364" spans="129:129" x14ac:dyDescent="0.2">
      <c r="DY18364" s="185" t="s">
        <v>215</v>
      </c>
    </row>
    <row r="18365" spans="129:129" x14ac:dyDescent="0.2">
      <c r="DY18365" s="185" t="s">
        <v>215</v>
      </c>
    </row>
    <row r="18366" spans="129:129" x14ac:dyDescent="0.2">
      <c r="DY18366" s="185" t="s">
        <v>215</v>
      </c>
    </row>
    <row r="18367" spans="129:129" x14ac:dyDescent="0.2">
      <c r="DY18367" s="185" t="s">
        <v>215</v>
      </c>
    </row>
    <row r="18368" spans="129:129" x14ac:dyDescent="0.2">
      <c r="DY18368" s="185" t="s">
        <v>215</v>
      </c>
    </row>
    <row r="18369" spans="129:129" x14ac:dyDescent="0.2">
      <c r="DY18369" s="185" t="s">
        <v>215</v>
      </c>
    </row>
    <row r="18370" spans="129:129" x14ac:dyDescent="0.2">
      <c r="DY18370" s="185" t="s">
        <v>215</v>
      </c>
    </row>
    <row r="18371" spans="129:129" x14ac:dyDescent="0.2">
      <c r="DY18371" s="185" t="s">
        <v>215</v>
      </c>
    </row>
    <row r="18372" spans="129:129" x14ac:dyDescent="0.2">
      <c r="DY18372" s="185" t="s">
        <v>215</v>
      </c>
    </row>
    <row r="18373" spans="129:129" x14ac:dyDescent="0.2">
      <c r="DY18373" s="185" t="s">
        <v>215</v>
      </c>
    </row>
    <row r="18374" spans="129:129" x14ac:dyDescent="0.2">
      <c r="DY18374" s="185" t="s">
        <v>215</v>
      </c>
    </row>
    <row r="18375" spans="129:129" x14ac:dyDescent="0.2">
      <c r="DY18375" s="185" t="s">
        <v>215</v>
      </c>
    </row>
    <row r="18376" spans="129:129" x14ac:dyDescent="0.2">
      <c r="DY18376" s="185" t="s">
        <v>215</v>
      </c>
    </row>
    <row r="18377" spans="129:129" x14ac:dyDescent="0.2">
      <c r="DY18377" s="185" t="s">
        <v>215</v>
      </c>
    </row>
    <row r="18378" spans="129:129" x14ac:dyDescent="0.2">
      <c r="DY18378" s="185" t="s">
        <v>215</v>
      </c>
    </row>
    <row r="18379" spans="129:129" x14ac:dyDescent="0.2">
      <c r="DY18379" s="185" t="s">
        <v>215</v>
      </c>
    </row>
    <row r="18380" spans="129:129" x14ac:dyDescent="0.2">
      <c r="DY18380" s="185" t="s">
        <v>215</v>
      </c>
    </row>
    <row r="18381" spans="129:129" x14ac:dyDescent="0.2">
      <c r="DY18381" s="185" t="s">
        <v>215</v>
      </c>
    </row>
    <row r="18382" spans="129:129" x14ac:dyDescent="0.2">
      <c r="DY18382" s="185" t="s">
        <v>215</v>
      </c>
    </row>
    <row r="18383" spans="129:129" x14ac:dyDescent="0.2">
      <c r="DY18383" s="185" t="s">
        <v>215</v>
      </c>
    </row>
    <row r="18384" spans="129:129" x14ac:dyDescent="0.2">
      <c r="DY18384" s="185" t="s">
        <v>215</v>
      </c>
    </row>
    <row r="18385" spans="129:129" x14ac:dyDescent="0.2">
      <c r="DY18385" s="185" t="s">
        <v>215</v>
      </c>
    </row>
    <row r="18386" spans="129:129" x14ac:dyDescent="0.2">
      <c r="DY18386" s="185" t="s">
        <v>215</v>
      </c>
    </row>
    <row r="18387" spans="129:129" x14ac:dyDescent="0.2">
      <c r="DY18387" s="185" t="s">
        <v>215</v>
      </c>
    </row>
    <row r="18388" spans="129:129" x14ac:dyDescent="0.2">
      <c r="DY18388" s="185" t="s">
        <v>215</v>
      </c>
    </row>
    <row r="18389" spans="129:129" x14ac:dyDescent="0.2">
      <c r="DY18389" s="185" t="s">
        <v>215</v>
      </c>
    </row>
    <row r="18390" spans="129:129" x14ac:dyDescent="0.2">
      <c r="DY18390" s="185" t="s">
        <v>215</v>
      </c>
    </row>
    <row r="18391" spans="129:129" x14ac:dyDescent="0.2">
      <c r="DY18391" s="185" t="s">
        <v>215</v>
      </c>
    </row>
    <row r="18392" spans="129:129" x14ac:dyDescent="0.2">
      <c r="DY18392" s="185" t="s">
        <v>215</v>
      </c>
    </row>
    <row r="18393" spans="129:129" x14ac:dyDescent="0.2">
      <c r="DY18393" s="185" t="s">
        <v>215</v>
      </c>
    </row>
    <row r="18394" spans="129:129" x14ac:dyDescent="0.2">
      <c r="DY18394" s="185" t="s">
        <v>215</v>
      </c>
    </row>
    <row r="18395" spans="129:129" x14ac:dyDescent="0.2">
      <c r="DY18395" s="185" t="s">
        <v>215</v>
      </c>
    </row>
    <row r="18396" spans="129:129" x14ac:dyDescent="0.2">
      <c r="DY18396" s="185" t="s">
        <v>215</v>
      </c>
    </row>
    <row r="18397" spans="129:129" x14ac:dyDescent="0.2">
      <c r="DY18397" s="185" t="s">
        <v>215</v>
      </c>
    </row>
    <row r="18398" spans="129:129" x14ac:dyDescent="0.2">
      <c r="DY18398" s="185" t="s">
        <v>215</v>
      </c>
    </row>
    <row r="18399" spans="129:129" x14ac:dyDescent="0.2">
      <c r="DY18399" s="185" t="s">
        <v>215</v>
      </c>
    </row>
    <row r="18400" spans="129:129" x14ac:dyDescent="0.2">
      <c r="DY18400" s="185" t="s">
        <v>215</v>
      </c>
    </row>
    <row r="18401" spans="129:129" x14ac:dyDescent="0.2">
      <c r="DY18401" s="185" t="s">
        <v>215</v>
      </c>
    </row>
    <row r="18402" spans="129:129" x14ac:dyDescent="0.2">
      <c r="DY18402" s="185" t="s">
        <v>215</v>
      </c>
    </row>
    <row r="18403" spans="129:129" x14ac:dyDescent="0.2">
      <c r="DY18403" s="185" t="s">
        <v>215</v>
      </c>
    </row>
    <row r="18404" spans="129:129" x14ac:dyDescent="0.2">
      <c r="DY18404" s="185" t="s">
        <v>215</v>
      </c>
    </row>
    <row r="18405" spans="129:129" x14ac:dyDescent="0.2">
      <c r="DY18405" s="185" t="s">
        <v>215</v>
      </c>
    </row>
    <row r="18406" spans="129:129" x14ac:dyDescent="0.2">
      <c r="DY18406" s="185" t="s">
        <v>215</v>
      </c>
    </row>
    <row r="18407" spans="129:129" x14ac:dyDescent="0.2">
      <c r="DY18407" s="185" t="s">
        <v>215</v>
      </c>
    </row>
    <row r="18408" spans="129:129" x14ac:dyDescent="0.2">
      <c r="DY18408" s="185" t="s">
        <v>215</v>
      </c>
    </row>
    <row r="18409" spans="129:129" x14ac:dyDescent="0.2">
      <c r="DY18409" s="185" t="s">
        <v>215</v>
      </c>
    </row>
    <row r="18410" spans="129:129" x14ac:dyDescent="0.2">
      <c r="DY18410" s="185" t="s">
        <v>215</v>
      </c>
    </row>
    <row r="18411" spans="129:129" x14ac:dyDescent="0.2">
      <c r="DY18411" s="185" t="s">
        <v>215</v>
      </c>
    </row>
    <row r="18412" spans="129:129" x14ac:dyDescent="0.2">
      <c r="DY18412" s="185" t="s">
        <v>215</v>
      </c>
    </row>
    <row r="18413" spans="129:129" x14ac:dyDescent="0.2">
      <c r="DY18413" s="185" t="s">
        <v>215</v>
      </c>
    </row>
    <row r="18414" spans="129:129" x14ac:dyDescent="0.2">
      <c r="DY18414" s="185" t="s">
        <v>215</v>
      </c>
    </row>
    <row r="18415" spans="129:129" x14ac:dyDescent="0.2">
      <c r="DY18415" s="185" t="s">
        <v>215</v>
      </c>
    </row>
    <row r="18416" spans="129:129" x14ac:dyDescent="0.2">
      <c r="DY18416" s="185" t="s">
        <v>215</v>
      </c>
    </row>
    <row r="18417" spans="129:129" x14ac:dyDescent="0.2">
      <c r="DY18417" s="185" t="s">
        <v>215</v>
      </c>
    </row>
    <row r="18418" spans="129:129" x14ac:dyDescent="0.2">
      <c r="DY18418" s="185" t="s">
        <v>215</v>
      </c>
    </row>
    <row r="18419" spans="129:129" x14ac:dyDescent="0.2">
      <c r="DY18419" s="185" t="s">
        <v>215</v>
      </c>
    </row>
    <row r="18420" spans="129:129" x14ac:dyDescent="0.2">
      <c r="DY18420" s="185" t="s">
        <v>215</v>
      </c>
    </row>
    <row r="18421" spans="129:129" x14ac:dyDescent="0.2">
      <c r="DY18421" s="185" t="s">
        <v>215</v>
      </c>
    </row>
    <row r="18422" spans="129:129" x14ac:dyDescent="0.2">
      <c r="DY18422" s="185" t="s">
        <v>215</v>
      </c>
    </row>
    <row r="18423" spans="129:129" x14ac:dyDescent="0.2">
      <c r="DY18423" s="185" t="s">
        <v>215</v>
      </c>
    </row>
    <row r="18424" spans="129:129" x14ac:dyDescent="0.2">
      <c r="DY18424" s="185" t="s">
        <v>215</v>
      </c>
    </row>
    <row r="18425" spans="129:129" x14ac:dyDescent="0.2">
      <c r="DY18425" s="185" t="s">
        <v>215</v>
      </c>
    </row>
    <row r="18426" spans="129:129" x14ac:dyDescent="0.2">
      <c r="DY18426" s="185" t="s">
        <v>215</v>
      </c>
    </row>
    <row r="18427" spans="129:129" x14ac:dyDescent="0.2">
      <c r="DY18427" s="185" t="s">
        <v>215</v>
      </c>
    </row>
    <row r="18428" spans="129:129" x14ac:dyDescent="0.2">
      <c r="DY18428" s="185" t="s">
        <v>215</v>
      </c>
    </row>
    <row r="18429" spans="129:129" x14ac:dyDescent="0.2">
      <c r="DY18429" s="185" t="s">
        <v>215</v>
      </c>
    </row>
    <row r="18430" spans="129:129" x14ac:dyDescent="0.2">
      <c r="DY18430" s="185" t="s">
        <v>215</v>
      </c>
    </row>
    <row r="18431" spans="129:129" x14ac:dyDescent="0.2">
      <c r="DY18431" s="185" t="s">
        <v>215</v>
      </c>
    </row>
    <row r="18432" spans="129:129" x14ac:dyDescent="0.2">
      <c r="DY18432" s="185" t="s">
        <v>215</v>
      </c>
    </row>
    <row r="18433" spans="129:129" x14ac:dyDescent="0.2">
      <c r="DY18433" s="185" t="s">
        <v>215</v>
      </c>
    </row>
    <row r="18434" spans="129:129" x14ac:dyDescent="0.2">
      <c r="DY18434" s="185" t="s">
        <v>215</v>
      </c>
    </row>
    <row r="18435" spans="129:129" x14ac:dyDescent="0.2">
      <c r="DY18435" s="185" t="s">
        <v>215</v>
      </c>
    </row>
    <row r="18436" spans="129:129" x14ac:dyDescent="0.2">
      <c r="DY18436" s="185" t="s">
        <v>215</v>
      </c>
    </row>
    <row r="18437" spans="129:129" x14ac:dyDescent="0.2">
      <c r="DY18437" s="185" t="s">
        <v>215</v>
      </c>
    </row>
    <row r="18438" spans="129:129" x14ac:dyDescent="0.2">
      <c r="DY18438" s="185" t="s">
        <v>215</v>
      </c>
    </row>
    <row r="18439" spans="129:129" x14ac:dyDescent="0.2">
      <c r="DY18439" s="185" t="s">
        <v>215</v>
      </c>
    </row>
    <row r="18440" spans="129:129" x14ac:dyDescent="0.2">
      <c r="DY18440" s="185" t="s">
        <v>215</v>
      </c>
    </row>
    <row r="18441" spans="129:129" x14ac:dyDescent="0.2">
      <c r="DY18441" s="185" t="s">
        <v>215</v>
      </c>
    </row>
    <row r="18442" spans="129:129" x14ac:dyDescent="0.2">
      <c r="DY18442" s="185" t="s">
        <v>215</v>
      </c>
    </row>
    <row r="18443" spans="129:129" x14ac:dyDescent="0.2">
      <c r="DY18443" s="185" t="s">
        <v>215</v>
      </c>
    </row>
    <row r="18444" spans="129:129" x14ac:dyDescent="0.2">
      <c r="DY18444" s="185" t="s">
        <v>215</v>
      </c>
    </row>
    <row r="18445" spans="129:129" x14ac:dyDescent="0.2">
      <c r="DY18445" s="185" t="s">
        <v>215</v>
      </c>
    </row>
    <row r="18446" spans="129:129" x14ac:dyDescent="0.2">
      <c r="DY18446" s="185" t="s">
        <v>215</v>
      </c>
    </row>
    <row r="18447" spans="129:129" x14ac:dyDescent="0.2">
      <c r="DY18447" s="185" t="s">
        <v>215</v>
      </c>
    </row>
    <row r="18448" spans="129:129" x14ac:dyDescent="0.2">
      <c r="DY18448" s="185" t="s">
        <v>215</v>
      </c>
    </row>
    <row r="18449" spans="129:129" x14ac:dyDescent="0.2">
      <c r="DY18449" s="185" t="s">
        <v>215</v>
      </c>
    </row>
    <row r="18450" spans="129:129" x14ac:dyDescent="0.2">
      <c r="DY18450" s="185" t="s">
        <v>215</v>
      </c>
    </row>
    <row r="18451" spans="129:129" x14ac:dyDescent="0.2">
      <c r="DY18451" s="185" t="s">
        <v>215</v>
      </c>
    </row>
    <row r="18452" spans="129:129" x14ac:dyDescent="0.2">
      <c r="DY18452" s="185" t="s">
        <v>215</v>
      </c>
    </row>
    <row r="18453" spans="129:129" x14ac:dyDescent="0.2">
      <c r="DY18453" s="185" t="s">
        <v>215</v>
      </c>
    </row>
    <row r="18454" spans="129:129" x14ac:dyDescent="0.2">
      <c r="DY18454" s="185" t="s">
        <v>215</v>
      </c>
    </row>
    <row r="18455" spans="129:129" x14ac:dyDescent="0.2">
      <c r="DY18455" s="185" t="s">
        <v>215</v>
      </c>
    </row>
    <row r="18456" spans="129:129" x14ac:dyDescent="0.2">
      <c r="DY18456" s="185" t="s">
        <v>215</v>
      </c>
    </row>
    <row r="18457" spans="129:129" x14ac:dyDescent="0.2">
      <c r="DY18457" s="185" t="s">
        <v>215</v>
      </c>
    </row>
    <row r="18458" spans="129:129" x14ac:dyDescent="0.2">
      <c r="DY18458" s="185" t="s">
        <v>215</v>
      </c>
    </row>
    <row r="18459" spans="129:129" x14ac:dyDescent="0.2">
      <c r="DY18459" s="185" t="s">
        <v>215</v>
      </c>
    </row>
    <row r="18460" spans="129:129" x14ac:dyDescent="0.2">
      <c r="DY18460" s="185" t="s">
        <v>215</v>
      </c>
    </row>
    <row r="18461" spans="129:129" x14ac:dyDescent="0.2">
      <c r="DY18461" s="185" t="s">
        <v>215</v>
      </c>
    </row>
    <row r="18462" spans="129:129" x14ac:dyDescent="0.2">
      <c r="DY18462" s="185" t="s">
        <v>215</v>
      </c>
    </row>
    <row r="18463" spans="129:129" x14ac:dyDescent="0.2">
      <c r="DY18463" s="185" t="s">
        <v>215</v>
      </c>
    </row>
    <row r="18464" spans="129:129" x14ac:dyDescent="0.2">
      <c r="DY18464" s="185" t="s">
        <v>215</v>
      </c>
    </row>
    <row r="18465" spans="129:129" x14ac:dyDescent="0.2">
      <c r="DY18465" s="185" t="s">
        <v>215</v>
      </c>
    </row>
    <row r="18466" spans="129:129" x14ac:dyDescent="0.2">
      <c r="DY18466" s="185" t="s">
        <v>215</v>
      </c>
    </row>
    <row r="18467" spans="129:129" x14ac:dyDescent="0.2">
      <c r="DY18467" s="185" t="s">
        <v>215</v>
      </c>
    </row>
    <row r="18468" spans="129:129" x14ac:dyDescent="0.2">
      <c r="DY18468" s="185" t="s">
        <v>215</v>
      </c>
    </row>
    <row r="18469" spans="129:129" x14ac:dyDescent="0.2">
      <c r="DY18469" s="185" t="s">
        <v>215</v>
      </c>
    </row>
    <row r="18470" spans="129:129" x14ac:dyDescent="0.2">
      <c r="DY18470" s="185" t="s">
        <v>215</v>
      </c>
    </row>
    <row r="18471" spans="129:129" x14ac:dyDescent="0.2">
      <c r="DY18471" s="185" t="s">
        <v>215</v>
      </c>
    </row>
    <row r="18472" spans="129:129" x14ac:dyDescent="0.2">
      <c r="DY18472" s="185" t="s">
        <v>215</v>
      </c>
    </row>
    <row r="18473" spans="129:129" x14ac:dyDescent="0.2">
      <c r="DY18473" s="185" t="s">
        <v>215</v>
      </c>
    </row>
    <row r="18474" spans="129:129" x14ac:dyDescent="0.2">
      <c r="DY18474" s="185" t="s">
        <v>215</v>
      </c>
    </row>
    <row r="18475" spans="129:129" x14ac:dyDescent="0.2">
      <c r="DY18475" s="185" t="s">
        <v>215</v>
      </c>
    </row>
    <row r="18476" spans="129:129" x14ac:dyDescent="0.2">
      <c r="DY18476" s="185" t="s">
        <v>215</v>
      </c>
    </row>
    <row r="18477" spans="129:129" x14ac:dyDescent="0.2">
      <c r="DY18477" s="185" t="s">
        <v>215</v>
      </c>
    </row>
    <row r="18478" spans="129:129" x14ac:dyDescent="0.2">
      <c r="DY18478" s="185" t="s">
        <v>215</v>
      </c>
    </row>
    <row r="18479" spans="129:129" x14ac:dyDescent="0.2">
      <c r="DY18479" s="185" t="s">
        <v>215</v>
      </c>
    </row>
    <row r="18480" spans="129:129" x14ac:dyDescent="0.2">
      <c r="DY18480" s="185" t="s">
        <v>215</v>
      </c>
    </row>
    <row r="18481" spans="129:129" x14ac:dyDescent="0.2">
      <c r="DY18481" s="185" t="s">
        <v>215</v>
      </c>
    </row>
    <row r="18482" spans="129:129" x14ac:dyDescent="0.2">
      <c r="DY18482" s="185" t="s">
        <v>215</v>
      </c>
    </row>
    <row r="18483" spans="129:129" x14ac:dyDescent="0.2">
      <c r="DY18483" s="185" t="s">
        <v>215</v>
      </c>
    </row>
    <row r="18484" spans="129:129" x14ac:dyDescent="0.2">
      <c r="DY18484" s="185" t="s">
        <v>215</v>
      </c>
    </row>
    <row r="18485" spans="129:129" x14ac:dyDescent="0.2">
      <c r="DY18485" s="185" t="s">
        <v>215</v>
      </c>
    </row>
    <row r="18486" spans="129:129" x14ac:dyDescent="0.2">
      <c r="DY18486" s="185" t="s">
        <v>215</v>
      </c>
    </row>
    <row r="18487" spans="129:129" x14ac:dyDescent="0.2">
      <c r="DY18487" s="185" t="s">
        <v>215</v>
      </c>
    </row>
    <row r="18488" spans="129:129" x14ac:dyDescent="0.2">
      <c r="DY18488" s="185" t="s">
        <v>215</v>
      </c>
    </row>
    <row r="18489" spans="129:129" x14ac:dyDescent="0.2">
      <c r="DY18489" s="185" t="s">
        <v>215</v>
      </c>
    </row>
    <row r="18490" spans="129:129" x14ac:dyDescent="0.2">
      <c r="DY18490" s="185" t="s">
        <v>215</v>
      </c>
    </row>
    <row r="18491" spans="129:129" x14ac:dyDescent="0.2">
      <c r="DY18491" s="185" t="s">
        <v>215</v>
      </c>
    </row>
    <row r="18492" spans="129:129" x14ac:dyDescent="0.2">
      <c r="DY18492" s="185" t="s">
        <v>215</v>
      </c>
    </row>
    <row r="18493" spans="129:129" x14ac:dyDescent="0.2">
      <c r="DY18493" s="185" t="s">
        <v>215</v>
      </c>
    </row>
    <row r="18494" spans="129:129" x14ac:dyDescent="0.2">
      <c r="DY18494" s="185" t="s">
        <v>215</v>
      </c>
    </row>
    <row r="18495" spans="129:129" x14ac:dyDescent="0.2">
      <c r="DY18495" s="185" t="s">
        <v>215</v>
      </c>
    </row>
    <row r="18496" spans="129:129" x14ac:dyDescent="0.2">
      <c r="DY18496" s="185" t="s">
        <v>215</v>
      </c>
    </row>
    <row r="18497" spans="129:129" x14ac:dyDescent="0.2">
      <c r="DY18497" s="185" t="s">
        <v>215</v>
      </c>
    </row>
    <row r="18498" spans="129:129" x14ac:dyDescent="0.2">
      <c r="DY18498" s="185" t="s">
        <v>215</v>
      </c>
    </row>
    <row r="18499" spans="129:129" x14ac:dyDescent="0.2">
      <c r="DY18499" s="185" t="s">
        <v>215</v>
      </c>
    </row>
    <row r="18500" spans="129:129" x14ac:dyDescent="0.2">
      <c r="DY18500" s="185" t="s">
        <v>215</v>
      </c>
    </row>
    <row r="18501" spans="129:129" x14ac:dyDescent="0.2">
      <c r="DY18501" s="185" t="s">
        <v>215</v>
      </c>
    </row>
    <row r="18502" spans="129:129" x14ac:dyDescent="0.2">
      <c r="DY18502" s="185" t="s">
        <v>215</v>
      </c>
    </row>
    <row r="18503" spans="129:129" x14ac:dyDescent="0.2">
      <c r="DY18503" s="185" t="s">
        <v>215</v>
      </c>
    </row>
    <row r="18504" spans="129:129" x14ac:dyDescent="0.2">
      <c r="DY18504" s="185" t="s">
        <v>215</v>
      </c>
    </row>
    <row r="18505" spans="129:129" x14ac:dyDescent="0.2">
      <c r="DY18505" s="185" t="s">
        <v>215</v>
      </c>
    </row>
    <row r="18506" spans="129:129" x14ac:dyDescent="0.2">
      <c r="DY18506" s="185" t="s">
        <v>215</v>
      </c>
    </row>
    <row r="18507" spans="129:129" x14ac:dyDescent="0.2">
      <c r="DY18507" s="185" t="s">
        <v>215</v>
      </c>
    </row>
    <row r="18508" spans="129:129" x14ac:dyDescent="0.2">
      <c r="DY18508" s="185" t="s">
        <v>215</v>
      </c>
    </row>
    <row r="18509" spans="129:129" x14ac:dyDescent="0.2">
      <c r="DY18509" s="185" t="s">
        <v>215</v>
      </c>
    </row>
    <row r="18510" spans="129:129" x14ac:dyDescent="0.2">
      <c r="DY18510" s="185" t="s">
        <v>215</v>
      </c>
    </row>
    <row r="18511" spans="129:129" x14ac:dyDescent="0.2">
      <c r="DY18511" s="185" t="s">
        <v>215</v>
      </c>
    </row>
    <row r="18512" spans="129:129" x14ac:dyDescent="0.2">
      <c r="DY18512" s="185" t="s">
        <v>215</v>
      </c>
    </row>
    <row r="18513" spans="129:129" x14ac:dyDescent="0.2">
      <c r="DY18513" s="185" t="s">
        <v>215</v>
      </c>
    </row>
    <row r="18514" spans="129:129" x14ac:dyDescent="0.2">
      <c r="DY18514" s="185" t="s">
        <v>215</v>
      </c>
    </row>
    <row r="18515" spans="129:129" x14ac:dyDescent="0.2">
      <c r="DY18515" s="185" t="s">
        <v>215</v>
      </c>
    </row>
    <row r="18516" spans="129:129" x14ac:dyDescent="0.2">
      <c r="DY18516" s="185" t="s">
        <v>215</v>
      </c>
    </row>
    <row r="18517" spans="129:129" x14ac:dyDescent="0.2">
      <c r="DY18517" s="185" t="s">
        <v>215</v>
      </c>
    </row>
    <row r="18518" spans="129:129" x14ac:dyDescent="0.2">
      <c r="DY18518" s="185" t="s">
        <v>215</v>
      </c>
    </row>
    <row r="18519" spans="129:129" x14ac:dyDescent="0.2">
      <c r="DY18519" s="185" t="s">
        <v>215</v>
      </c>
    </row>
    <row r="18520" spans="129:129" x14ac:dyDescent="0.2">
      <c r="DY18520" s="185" t="s">
        <v>215</v>
      </c>
    </row>
    <row r="18521" spans="129:129" x14ac:dyDescent="0.2">
      <c r="DY18521" s="185" t="s">
        <v>215</v>
      </c>
    </row>
    <row r="18522" spans="129:129" x14ac:dyDescent="0.2">
      <c r="DY18522" s="185" t="s">
        <v>215</v>
      </c>
    </row>
    <row r="18523" spans="129:129" x14ac:dyDescent="0.2">
      <c r="DY18523" s="185" t="s">
        <v>215</v>
      </c>
    </row>
    <row r="18524" spans="129:129" x14ac:dyDescent="0.2">
      <c r="DY18524" s="185" t="s">
        <v>215</v>
      </c>
    </row>
    <row r="18525" spans="129:129" x14ac:dyDescent="0.2">
      <c r="DY18525" s="185" t="s">
        <v>215</v>
      </c>
    </row>
    <row r="18526" spans="129:129" x14ac:dyDescent="0.2">
      <c r="DY18526" s="185" t="s">
        <v>215</v>
      </c>
    </row>
    <row r="18527" spans="129:129" x14ac:dyDescent="0.2">
      <c r="DY18527" s="185" t="s">
        <v>215</v>
      </c>
    </row>
    <row r="18528" spans="129:129" x14ac:dyDescent="0.2">
      <c r="DY18528" s="185" t="s">
        <v>215</v>
      </c>
    </row>
    <row r="18529" spans="129:129" x14ac:dyDescent="0.2">
      <c r="DY18529" s="185" t="s">
        <v>215</v>
      </c>
    </row>
    <row r="18530" spans="129:129" x14ac:dyDescent="0.2">
      <c r="DY18530" s="185" t="s">
        <v>215</v>
      </c>
    </row>
    <row r="18531" spans="129:129" x14ac:dyDescent="0.2">
      <c r="DY18531" s="185" t="s">
        <v>215</v>
      </c>
    </row>
    <row r="18532" spans="129:129" x14ac:dyDescent="0.2">
      <c r="DY18532" s="185" t="s">
        <v>215</v>
      </c>
    </row>
    <row r="18533" spans="129:129" x14ac:dyDescent="0.2">
      <c r="DY18533" s="185" t="s">
        <v>215</v>
      </c>
    </row>
    <row r="18534" spans="129:129" x14ac:dyDescent="0.2">
      <c r="DY18534" s="185" t="s">
        <v>215</v>
      </c>
    </row>
    <row r="18535" spans="129:129" x14ac:dyDescent="0.2">
      <c r="DY18535" s="185" t="s">
        <v>215</v>
      </c>
    </row>
    <row r="18536" spans="129:129" x14ac:dyDescent="0.2">
      <c r="DY18536" s="185" t="s">
        <v>215</v>
      </c>
    </row>
    <row r="18537" spans="129:129" x14ac:dyDescent="0.2">
      <c r="DY18537" s="185" t="s">
        <v>215</v>
      </c>
    </row>
    <row r="18538" spans="129:129" x14ac:dyDescent="0.2">
      <c r="DY18538" s="185" t="s">
        <v>215</v>
      </c>
    </row>
    <row r="18539" spans="129:129" x14ac:dyDescent="0.2">
      <c r="DY18539" s="185" t="s">
        <v>215</v>
      </c>
    </row>
    <row r="18540" spans="129:129" x14ac:dyDescent="0.2">
      <c r="DY18540" s="185" t="s">
        <v>215</v>
      </c>
    </row>
    <row r="18541" spans="129:129" x14ac:dyDescent="0.2">
      <c r="DY18541" s="185" t="s">
        <v>215</v>
      </c>
    </row>
    <row r="18542" spans="129:129" x14ac:dyDescent="0.2">
      <c r="DY18542" s="185" t="s">
        <v>215</v>
      </c>
    </row>
    <row r="18543" spans="129:129" x14ac:dyDescent="0.2">
      <c r="DY18543" s="185" t="s">
        <v>215</v>
      </c>
    </row>
    <row r="18544" spans="129:129" x14ac:dyDescent="0.2">
      <c r="DY18544" s="185" t="s">
        <v>215</v>
      </c>
    </row>
    <row r="18545" spans="129:129" x14ac:dyDescent="0.2">
      <c r="DY18545" s="185" t="s">
        <v>215</v>
      </c>
    </row>
    <row r="18546" spans="129:129" x14ac:dyDescent="0.2">
      <c r="DY18546" s="185" t="s">
        <v>215</v>
      </c>
    </row>
    <row r="18547" spans="129:129" x14ac:dyDescent="0.2">
      <c r="DY18547" s="185" t="s">
        <v>215</v>
      </c>
    </row>
    <row r="18548" spans="129:129" x14ac:dyDescent="0.2">
      <c r="DY18548" s="185" t="s">
        <v>215</v>
      </c>
    </row>
    <row r="18549" spans="129:129" x14ac:dyDescent="0.2">
      <c r="DY18549" s="185" t="s">
        <v>215</v>
      </c>
    </row>
    <row r="18550" spans="129:129" x14ac:dyDescent="0.2">
      <c r="DY18550" s="185" t="s">
        <v>215</v>
      </c>
    </row>
    <row r="18551" spans="129:129" x14ac:dyDescent="0.2">
      <c r="DY18551" s="185" t="s">
        <v>215</v>
      </c>
    </row>
    <row r="18552" spans="129:129" x14ac:dyDescent="0.2">
      <c r="DY18552" s="185" t="s">
        <v>215</v>
      </c>
    </row>
    <row r="18553" spans="129:129" x14ac:dyDescent="0.2">
      <c r="DY18553" s="185" t="s">
        <v>215</v>
      </c>
    </row>
    <row r="18554" spans="129:129" x14ac:dyDescent="0.2">
      <c r="DY18554" s="185" t="s">
        <v>215</v>
      </c>
    </row>
    <row r="18555" spans="129:129" x14ac:dyDescent="0.2">
      <c r="DY18555" s="185" t="s">
        <v>215</v>
      </c>
    </row>
    <row r="18556" spans="129:129" x14ac:dyDescent="0.2">
      <c r="DY18556" s="185" t="s">
        <v>215</v>
      </c>
    </row>
    <row r="18557" spans="129:129" x14ac:dyDescent="0.2">
      <c r="DY18557" s="185" t="s">
        <v>215</v>
      </c>
    </row>
    <row r="18558" spans="129:129" x14ac:dyDescent="0.2">
      <c r="DY18558" s="185" t="s">
        <v>215</v>
      </c>
    </row>
    <row r="18559" spans="129:129" x14ac:dyDescent="0.2">
      <c r="DY18559" s="185" t="s">
        <v>215</v>
      </c>
    </row>
    <row r="18560" spans="129:129" x14ac:dyDescent="0.2">
      <c r="DY18560" s="185" t="s">
        <v>215</v>
      </c>
    </row>
    <row r="18561" spans="129:129" x14ac:dyDescent="0.2">
      <c r="DY18561" s="185" t="s">
        <v>215</v>
      </c>
    </row>
    <row r="18562" spans="129:129" x14ac:dyDescent="0.2">
      <c r="DY18562" s="185" t="s">
        <v>215</v>
      </c>
    </row>
    <row r="18563" spans="129:129" x14ac:dyDescent="0.2">
      <c r="DY18563" s="185" t="s">
        <v>215</v>
      </c>
    </row>
    <row r="18564" spans="129:129" x14ac:dyDescent="0.2">
      <c r="DY18564" s="185" t="s">
        <v>215</v>
      </c>
    </row>
    <row r="18565" spans="129:129" x14ac:dyDescent="0.2">
      <c r="DY18565" s="185" t="s">
        <v>215</v>
      </c>
    </row>
    <row r="18566" spans="129:129" x14ac:dyDescent="0.2">
      <c r="DY18566" s="185" t="s">
        <v>215</v>
      </c>
    </row>
    <row r="18567" spans="129:129" x14ac:dyDescent="0.2">
      <c r="DY18567" s="185" t="s">
        <v>215</v>
      </c>
    </row>
    <row r="18568" spans="129:129" x14ac:dyDescent="0.2">
      <c r="DY18568" s="185" t="s">
        <v>215</v>
      </c>
    </row>
    <row r="18569" spans="129:129" x14ac:dyDescent="0.2">
      <c r="DY18569" s="185" t="s">
        <v>215</v>
      </c>
    </row>
    <row r="18570" spans="129:129" x14ac:dyDescent="0.2">
      <c r="DY18570" s="185" t="s">
        <v>215</v>
      </c>
    </row>
    <row r="18571" spans="129:129" x14ac:dyDescent="0.2">
      <c r="DY18571" s="185" t="s">
        <v>215</v>
      </c>
    </row>
    <row r="18572" spans="129:129" x14ac:dyDescent="0.2">
      <c r="DY18572" s="185" t="s">
        <v>215</v>
      </c>
    </row>
    <row r="18573" spans="129:129" x14ac:dyDescent="0.2">
      <c r="DY18573" s="185" t="s">
        <v>215</v>
      </c>
    </row>
    <row r="18574" spans="129:129" x14ac:dyDescent="0.2">
      <c r="DY18574" s="185" t="s">
        <v>215</v>
      </c>
    </row>
    <row r="18575" spans="129:129" x14ac:dyDescent="0.2">
      <c r="DY18575" s="185" t="s">
        <v>215</v>
      </c>
    </row>
    <row r="18576" spans="129:129" x14ac:dyDescent="0.2">
      <c r="DY18576" s="185" t="s">
        <v>215</v>
      </c>
    </row>
    <row r="18577" spans="129:129" x14ac:dyDescent="0.2">
      <c r="DY18577" s="185" t="s">
        <v>215</v>
      </c>
    </row>
    <row r="18578" spans="129:129" x14ac:dyDescent="0.2">
      <c r="DY18578" s="185" t="s">
        <v>215</v>
      </c>
    </row>
    <row r="18579" spans="129:129" x14ac:dyDescent="0.2">
      <c r="DY18579" s="185" t="s">
        <v>215</v>
      </c>
    </row>
    <row r="18580" spans="129:129" x14ac:dyDescent="0.2">
      <c r="DY18580" s="185" t="s">
        <v>215</v>
      </c>
    </row>
    <row r="18581" spans="129:129" x14ac:dyDescent="0.2">
      <c r="DY18581" s="185" t="s">
        <v>215</v>
      </c>
    </row>
    <row r="18582" spans="129:129" x14ac:dyDescent="0.2">
      <c r="DY18582" s="185" t="s">
        <v>215</v>
      </c>
    </row>
    <row r="18583" spans="129:129" x14ac:dyDescent="0.2">
      <c r="DY18583" s="185" t="s">
        <v>215</v>
      </c>
    </row>
    <row r="18584" spans="129:129" x14ac:dyDescent="0.2">
      <c r="DY18584" s="185" t="s">
        <v>215</v>
      </c>
    </row>
    <row r="18585" spans="129:129" x14ac:dyDescent="0.2">
      <c r="DY18585" s="185" t="s">
        <v>215</v>
      </c>
    </row>
    <row r="18586" spans="129:129" x14ac:dyDescent="0.2">
      <c r="DY18586" s="185" t="s">
        <v>215</v>
      </c>
    </row>
    <row r="18587" spans="129:129" x14ac:dyDescent="0.2">
      <c r="DY18587" s="185" t="s">
        <v>215</v>
      </c>
    </row>
    <row r="18588" spans="129:129" x14ac:dyDescent="0.2">
      <c r="DY18588" s="185" t="s">
        <v>215</v>
      </c>
    </row>
    <row r="18589" spans="129:129" x14ac:dyDescent="0.2">
      <c r="DY18589" s="185" t="s">
        <v>215</v>
      </c>
    </row>
    <row r="18590" spans="129:129" x14ac:dyDescent="0.2">
      <c r="DY18590" s="185" t="s">
        <v>215</v>
      </c>
    </row>
    <row r="18591" spans="129:129" x14ac:dyDescent="0.2">
      <c r="DY18591" s="185" t="s">
        <v>215</v>
      </c>
    </row>
    <row r="18592" spans="129:129" x14ac:dyDescent="0.2">
      <c r="DY18592" s="185" t="s">
        <v>215</v>
      </c>
    </row>
    <row r="18593" spans="129:129" x14ac:dyDescent="0.2">
      <c r="DY18593" s="185" t="s">
        <v>215</v>
      </c>
    </row>
    <row r="18594" spans="129:129" x14ac:dyDescent="0.2">
      <c r="DY18594" s="185" t="s">
        <v>215</v>
      </c>
    </row>
    <row r="18595" spans="129:129" x14ac:dyDescent="0.2">
      <c r="DY18595" s="185" t="s">
        <v>215</v>
      </c>
    </row>
    <row r="18596" spans="129:129" x14ac:dyDescent="0.2">
      <c r="DY18596" s="185" t="s">
        <v>215</v>
      </c>
    </row>
    <row r="18597" spans="129:129" x14ac:dyDescent="0.2">
      <c r="DY18597" s="185" t="s">
        <v>215</v>
      </c>
    </row>
    <row r="18598" spans="129:129" x14ac:dyDescent="0.2">
      <c r="DY18598" s="185" t="s">
        <v>215</v>
      </c>
    </row>
    <row r="18599" spans="129:129" x14ac:dyDescent="0.2">
      <c r="DY18599" s="185" t="s">
        <v>215</v>
      </c>
    </row>
    <row r="18600" spans="129:129" x14ac:dyDescent="0.2">
      <c r="DY18600" s="185" t="s">
        <v>215</v>
      </c>
    </row>
    <row r="18601" spans="129:129" x14ac:dyDescent="0.2">
      <c r="DY18601" s="185" t="s">
        <v>215</v>
      </c>
    </row>
    <row r="18602" spans="129:129" x14ac:dyDescent="0.2">
      <c r="DY18602" s="185" t="s">
        <v>215</v>
      </c>
    </row>
    <row r="18603" spans="129:129" x14ac:dyDescent="0.2">
      <c r="DY18603" s="185" t="s">
        <v>215</v>
      </c>
    </row>
    <row r="18604" spans="129:129" x14ac:dyDescent="0.2">
      <c r="DY18604" s="185" t="s">
        <v>215</v>
      </c>
    </row>
    <row r="18605" spans="129:129" x14ac:dyDescent="0.2">
      <c r="DY18605" s="185" t="s">
        <v>215</v>
      </c>
    </row>
    <row r="18606" spans="129:129" x14ac:dyDescent="0.2">
      <c r="DY18606" s="185" t="s">
        <v>215</v>
      </c>
    </row>
    <row r="18607" spans="129:129" x14ac:dyDescent="0.2">
      <c r="DY18607" s="185" t="s">
        <v>215</v>
      </c>
    </row>
    <row r="18608" spans="129:129" x14ac:dyDescent="0.2">
      <c r="DY18608" s="185" t="s">
        <v>215</v>
      </c>
    </row>
    <row r="18609" spans="129:129" x14ac:dyDescent="0.2">
      <c r="DY18609" s="185" t="s">
        <v>215</v>
      </c>
    </row>
    <row r="18610" spans="129:129" x14ac:dyDescent="0.2">
      <c r="DY18610" s="185" t="s">
        <v>215</v>
      </c>
    </row>
    <row r="18611" spans="129:129" x14ac:dyDescent="0.2">
      <c r="DY18611" s="185" t="s">
        <v>215</v>
      </c>
    </row>
    <row r="18612" spans="129:129" x14ac:dyDescent="0.2">
      <c r="DY18612" s="185" t="s">
        <v>215</v>
      </c>
    </row>
    <row r="18613" spans="129:129" x14ac:dyDescent="0.2">
      <c r="DY18613" s="185" t="s">
        <v>215</v>
      </c>
    </row>
    <row r="18614" spans="129:129" x14ac:dyDescent="0.2">
      <c r="DY18614" s="185" t="s">
        <v>215</v>
      </c>
    </row>
    <row r="18615" spans="129:129" x14ac:dyDescent="0.2">
      <c r="DY18615" s="185" t="s">
        <v>215</v>
      </c>
    </row>
    <row r="18616" spans="129:129" x14ac:dyDescent="0.2">
      <c r="DY18616" s="185" t="s">
        <v>215</v>
      </c>
    </row>
    <row r="18617" spans="129:129" x14ac:dyDescent="0.2">
      <c r="DY18617" s="185" t="s">
        <v>215</v>
      </c>
    </row>
    <row r="18618" spans="129:129" x14ac:dyDescent="0.2">
      <c r="DY18618" s="185" t="s">
        <v>215</v>
      </c>
    </row>
    <row r="18619" spans="129:129" x14ac:dyDescent="0.2">
      <c r="DY18619" s="185" t="s">
        <v>215</v>
      </c>
    </row>
    <row r="18620" spans="129:129" x14ac:dyDescent="0.2">
      <c r="DY18620" s="185" t="s">
        <v>215</v>
      </c>
    </row>
    <row r="18621" spans="129:129" x14ac:dyDescent="0.2">
      <c r="DY18621" s="185" t="s">
        <v>215</v>
      </c>
    </row>
    <row r="18622" spans="129:129" x14ac:dyDescent="0.2">
      <c r="DY18622" s="185" t="s">
        <v>215</v>
      </c>
    </row>
    <row r="18623" spans="129:129" x14ac:dyDescent="0.2">
      <c r="DY18623" s="185" t="s">
        <v>215</v>
      </c>
    </row>
    <row r="18624" spans="129:129" x14ac:dyDescent="0.2">
      <c r="DY18624" s="185" t="s">
        <v>215</v>
      </c>
    </row>
    <row r="18625" spans="129:129" x14ac:dyDescent="0.2">
      <c r="DY18625" s="185" t="s">
        <v>215</v>
      </c>
    </row>
    <row r="18626" spans="129:129" x14ac:dyDescent="0.2">
      <c r="DY18626" s="185" t="s">
        <v>215</v>
      </c>
    </row>
    <row r="18627" spans="129:129" x14ac:dyDescent="0.2">
      <c r="DY18627" s="185" t="s">
        <v>215</v>
      </c>
    </row>
    <row r="18628" spans="129:129" x14ac:dyDescent="0.2">
      <c r="DY18628" s="185" t="s">
        <v>215</v>
      </c>
    </row>
    <row r="18629" spans="129:129" x14ac:dyDescent="0.2">
      <c r="DY18629" s="185" t="s">
        <v>215</v>
      </c>
    </row>
    <row r="18630" spans="129:129" x14ac:dyDescent="0.2">
      <c r="DY18630" s="185" t="s">
        <v>215</v>
      </c>
    </row>
    <row r="18631" spans="129:129" x14ac:dyDescent="0.2">
      <c r="DY18631" s="185" t="s">
        <v>215</v>
      </c>
    </row>
    <row r="18632" spans="129:129" x14ac:dyDescent="0.2">
      <c r="DY18632" s="185" t="s">
        <v>215</v>
      </c>
    </row>
    <row r="18633" spans="129:129" x14ac:dyDescent="0.2">
      <c r="DY18633" s="185" t="s">
        <v>215</v>
      </c>
    </row>
    <row r="18634" spans="129:129" x14ac:dyDescent="0.2">
      <c r="DY18634" s="185" t="s">
        <v>215</v>
      </c>
    </row>
    <row r="18635" spans="129:129" x14ac:dyDescent="0.2">
      <c r="DY18635" s="185" t="s">
        <v>215</v>
      </c>
    </row>
    <row r="18636" spans="129:129" x14ac:dyDescent="0.2">
      <c r="DY18636" s="185" t="s">
        <v>215</v>
      </c>
    </row>
    <row r="18637" spans="129:129" x14ac:dyDescent="0.2">
      <c r="DY18637" s="185" t="s">
        <v>215</v>
      </c>
    </row>
    <row r="18638" spans="129:129" x14ac:dyDescent="0.2">
      <c r="DY18638" s="185" t="s">
        <v>215</v>
      </c>
    </row>
    <row r="18639" spans="129:129" x14ac:dyDescent="0.2">
      <c r="DY18639" s="185" t="s">
        <v>215</v>
      </c>
    </row>
    <row r="18640" spans="129:129" x14ac:dyDescent="0.2">
      <c r="DY18640" s="185" t="s">
        <v>215</v>
      </c>
    </row>
    <row r="18641" spans="129:129" x14ac:dyDescent="0.2">
      <c r="DY18641" s="185" t="s">
        <v>215</v>
      </c>
    </row>
    <row r="18642" spans="129:129" x14ac:dyDescent="0.2">
      <c r="DY18642" s="185" t="s">
        <v>215</v>
      </c>
    </row>
    <row r="18643" spans="129:129" x14ac:dyDescent="0.2">
      <c r="DY18643" s="185" t="s">
        <v>215</v>
      </c>
    </row>
    <row r="18644" spans="129:129" x14ac:dyDescent="0.2">
      <c r="DY18644" s="185" t="s">
        <v>215</v>
      </c>
    </row>
    <row r="18645" spans="129:129" x14ac:dyDescent="0.2">
      <c r="DY18645" s="185" t="s">
        <v>215</v>
      </c>
    </row>
    <row r="18646" spans="129:129" x14ac:dyDescent="0.2">
      <c r="DY18646" s="185" t="s">
        <v>215</v>
      </c>
    </row>
    <row r="18647" spans="129:129" x14ac:dyDescent="0.2">
      <c r="DY18647" s="185" t="s">
        <v>215</v>
      </c>
    </row>
    <row r="18648" spans="129:129" x14ac:dyDescent="0.2">
      <c r="DY18648" s="185" t="s">
        <v>215</v>
      </c>
    </row>
    <row r="18649" spans="129:129" x14ac:dyDescent="0.2">
      <c r="DY18649" s="185" t="s">
        <v>215</v>
      </c>
    </row>
    <row r="18650" spans="129:129" x14ac:dyDescent="0.2">
      <c r="DY18650" s="185" t="s">
        <v>215</v>
      </c>
    </row>
    <row r="18651" spans="129:129" x14ac:dyDescent="0.2">
      <c r="DY18651" s="185" t="s">
        <v>215</v>
      </c>
    </row>
    <row r="18652" spans="129:129" x14ac:dyDescent="0.2">
      <c r="DY18652" s="185" t="s">
        <v>215</v>
      </c>
    </row>
    <row r="18653" spans="129:129" x14ac:dyDescent="0.2">
      <c r="DY18653" s="185" t="s">
        <v>215</v>
      </c>
    </row>
    <row r="18654" spans="129:129" x14ac:dyDescent="0.2">
      <c r="DY18654" s="185" t="s">
        <v>215</v>
      </c>
    </row>
    <row r="18655" spans="129:129" x14ac:dyDescent="0.2">
      <c r="DY18655" s="185" t="s">
        <v>215</v>
      </c>
    </row>
    <row r="18656" spans="129:129" x14ac:dyDescent="0.2">
      <c r="DY18656" s="185" t="s">
        <v>215</v>
      </c>
    </row>
    <row r="18657" spans="129:129" x14ac:dyDescent="0.2">
      <c r="DY18657" s="185" t="s">
        <v>215</v>
      </c>
    </row>
    <row r="18658" spans="129:129" x14ac:dyDescent="0.2">
      <c r="DY18658" s="185" t="s">
        <v>215</v>
      </c>
    </row>
    <row r="18659" spans="129:129" x14ac:dyDescent="0.2">
      <c r="DY18659" s="185" t="s">
        <v>215</v>
      </c>
    </row>
    <row r="18660" spans="129:129" x14ac:dyDescent="0.2">
      <c r="DY18660" s="185" t="s">
        <v>215</v>
      </c>
    </row>
    <row r="18661" spans="129:129" x14ac:dyDescent="0.2">
      <c r="DY18661" s="185" t="s">
        <v>215</v>
      </c>
    </row>
    <row r="18662" spans="129:129" x14ac:dyDescent="0.2">
      <c r="DY18662" s="185" t="s">
        <v>215</v>
      </c>
    </row>
    <row r="18663" spans="129:129" x14ac:dyDescent="0.2">
      <c r="DY18663" s="185" t="s">
        <v>215</v>
      </c>
    </row>
    <row r="18664" spans="129:129" x14ac:dyDescent="0.2">
      <c r="DY18664" s="185" t="s">
        <v>215</v>
      </c>
    </row>
    <row r="18665" spans="129:129" x14ac:dyDescent="0.2">
      <c r="DY18665" s="185" t="s">
        <v>215</v>
      </c>
    </row>
    <row r="18666" spans="129:129" x14ac:dyDescent="0.2">
      <c r="DY18666" s="185" t="s">
        <v>215</v>
      </c>
    </row>
    <row r="18667" spans="129:129" x14ac:dyDescent="0.2">
      <c r="DY18667" s="185" t="s">
        <v>215</v>
      </c>
    </row>
    <row r="18668" spans="129:129" x14ac:dyDescent="0.2">
      <c r="DY18668" s="185" t="s">
        <v>215</v>
      </c>
    </row>
    <row r="18669" spans="129:129" x14ac:dyDescent="0.2">
      <c r="DY18669" s="185" t="s">
        <v>215</v>
      </c>
    </row>
    <row r="18670" spans="129:129" x14ac:dyDescent="0.2">
      <c r="DY18670" s="185" t="s">
        <v>215</v>
      </c>
    </row>
    <row r="18671" spans="129:129" x14ac:dyDescent="0.2">
      <c r="DY18671" s="185" t="s">
        <v>215</v>
      </c>
    </row>
    <row r="18672" spans="129:129" x14ac:dyDescent="0.2">
      <c r="DY18672" s="185" t="s">
        <v>215</v>
      </c>
    </row>
    <row r="18673" spans="129:129" x14ac:dyDescent="0.2">
      <c r="DY18673" s="185" t="s">
        <v>215</v>
      </c>
    </row>
    <row r="18674" spans="129:129" x14ac:dyDescent="0.2">
      <c r="DY18674" s="185" t="s">
        <v>215</v>
      </c>
    </row>
    <row r="18675" spans="129:129" x14ac:dyDescent="0.2">
      <c r="DY18675" s="185" t="s">
        <v>215</v>
      </c>
    </row>
    <row r="18676" spans="129:129" x14ac:dyDescent="0.2">
      <c r="DY18676" s="185" t="s">
        <v>215</v>
      </c>
    </row>
    <row r="18677" spans="129:129" x14ac:dyDescent="0.2">
      <c r="DY18677" s="185" t="s">
        <v>215</v>
      </c>
    </row>
    <row r="18678" spans="129:129" x14ac:dyDescent="0.2">
      <c r="DY18678" s="185" t="s">
        <v>215</v>
      </c>
    </row>
    <row r="18679" spans="129:129" x14ac:dyDescent="0.2">
      <c r="DY18679" s="185" t="s">
        <v>215</v>
      </c>
    </row>
    <row r="18680" spans="129:129" x14ac:dyDescent="0.2">
      <c r="DY18680" s="185" t="s">
        <v>215</v>
      </c>
    </row>
    <row r="18681" spans="129:129" x14ac:dyDescent="0.2">
      <c r="DY18681" s="185" t="s">
        <v>215</v>
      </c>
    </row>
    <row r="18682" spans="129:129" x14ac:dyDescent="0.2">
      <c r="DY18682" s="185" t="s">
        <v>215</v>
      </c>
    </row>
    <row r="18683" spans="129:129" x14ac:dyDescent="0.2">
      <c r="DY18683" s="185" t="s">
        <v>215</v>
      </c>
    </row>
    <row r="18684" spans="129:129" x14ac:dyDescent="0.2">
      <c r="DY18684" s="185" t="s">
        <v>215</v>
      </c>
    </row>
    <row r="18685" spans="129:129" x14ac:dyDescent="0.2">
      <c r="DY18685" s="185" t="s">
        <v>215</v>
      </c>
    </row>
    <row r="18686" spans="129:129" x14ac:dyDescent="0.2">
      <c r="DY18686" s="185" t="s">
        <v>215</v>
      </c>
    </row>
    <row r="18687" spans="129:129" x14ac:dyDescent="0.2">
      <c r="DY18687" s="185" t="s">
        <v>215</v>
      </c>
    </row>
    <row r="18688" spans="129:129" x14ac:dyDescent="0.2">
      <c r="DY18688" s="185" t="s">
        <v>215</v>
      </c>
    </row>
    <row r="18689" spans="129:129" x14ac:dyDescent="0.2">
      <c r="DY18689" s="185" t="s">
        <v>215</v>
      </c>
    </row>
    <row r="18690" spans="129:129" x14ac:dyDescent="0.2">
      <c r="DY18690" s="185" t="s">
        <v>215</v>
      </c>
    </row>
    <row r="18691" spans="129:129" x14ac:dyDescent="0.2">
      <c r="DY18691" s="185" t="s">
        <v>215</v>
      </c>
    </row>
    <row r="18692" spans="129:129" x14ac:dyDescent="0.2">
      <c r="DY18692" s="185" t="s">
        <v>215</v>
      </c>
    </row>
    <row r="18693" spans="129:129" x14ac:dyDescent="0.2">
      <c r="DY18693" s="185" t="s">
        <v>215</v>
      </c>
    </row>
    <row r="18694" spans="129:129" x14ac:dyDescent="0.2">
      <c r="DY18694" s="185" t="s">
        <v>215</v>
      </c>
    </row>
    <row r="18695" spans="129:129" x14ac:dyDescent="0.2">
      <c r="DY18695" s="185" t="s">
        <v>215</v>
      </c>
    </row>
    <row r="18696" spans="129:129" x14ac:dyDescent="0.2">
      <c r="DY18696" s="185" t="s">
        <v>215</v>
      </c>
    </row>
    <row r="18697" spans="129:129" x14ac:dyDescent="0.2">
      <c r="DY18697" s="185" t="s">
        <v>215</v>
      </c>
    </row>
    <row r="18698" spans="129:129" x14ac:dyDescent="0.2">
      <c r="DY18698" s="185" t="s">
        <v>215</v>
      </c>
    </row>
    <row r="18699" spans="129:129" x14ac:dyDescent="0.2">
      <c r="DY18699" s="185" t="s">
        <v>215</v>
      </c>
    </row>
    <row r="18700" spans="129:129" x14ac:dyDescent="0.2">
      <c r="DY18700" s="185" t="s">
        <v>215</v>
      </c>
    </row>
    <row r="18701" spans="129:129" x14ac:dyDescent="0.2">
      <c r="DY18701" s="185" t="s">
        <v>215</v>
      </c>
    </row>
    <row r="18702" spans="129:129" x14ac:dyDescent="0.2">
      <c r="DY18702" s="185" t="s">
        <v>215</v>
      </c>
    </row>
    <row r="18703" spans="129:129" x14ac:dyDescent="0.2">
      <c r="DY18703" s="185" t="s">
        <v>215</v>
      </c>
    </row>
    <row r="18704" spans="129:129" x14ac:dyDescent="0.2">
      <c r="DY18704" s="185" t="s">
        <v>215</v>
      </c>
    </row>
    <row r="18705" spans="129:129" x14ac:dyDescent="0.2">
      <c r="DY18705" s="185" t="s">
        <v>215</v>
      </c>
    </row>
    <row r="18706" spans="129:129" x14ac:dyDescent="0.2">
      <c r="DY18706" s="185" t="s">
        <v>215</v>
      </c>
    </row>
    <row r="18707" spans="129:129" x14ac:dyDescent="0.2">
      <c r="DY18707" s="185" t="s">
        <v>215</v>
      </c>
    </row>
    <row r="18708" spans="129:129" x14ac:dyDescent="0.2">
      <c r="DY18708" s="185" t="s">
        <v>215</v>
      </c>
    </row>
    <row r="18709" spans="129:129" x14ac:dyDescent="0.2">
      <c r="DY18709" s="185" t="s">
        <v>215</v>
      </c>
    </row>
    <row r="18710" spans="129:129" x14ac:dyDescent="0.2">
      <c r="DY18710" s="185" t="s">
        <v>215</v>
      </c>
    </row>
    <row r="18711" spans="129:129" x14ac:dyDescent="0.2">
      <c r="DY18711" s="185" t="s">
        <v>215</v>
      </c>
    </row>
    <row r="18712" spans="129:129" x14ac:dyDescent="0.2">
      <c r="DY18712" s="185" t="s">
        <v>215</v>
      </c>
    </row>
    <row r="18713" spans="129:129" x14ac:dyDescent="0.2">
      <c r="DY18713" s="185" t="s">
        <v>215</v>
      </c>
    </row>
    <row r="18714" spans="129:129" x14ac:dyDescent="0.2">
      <c r="DY18714" s="185" t="s">
        <v>215</v>
      </c>
    </row>
    <row r="18715" spans="129:129" x14ac:dyDescent="0.2">
      <c r="DY18715" s="185" t="s">
        <v>215</v>
      </c>
    </row>
    <row r="18716" spans="129:129" x14ac:dyDescent="0.2">
      <c r="DY18716" s="185" t="s">
        <v>215</v>
      </c>
    </row>
    <row r="18717" spans="129:129" x14ac:dyDescent="0.2">
      <c r="DY18717" s="185" t="s">
        <v>215</v>
      </c>
    </row>
    <row r="18718" spans="129:129" x14ac:dyDescent="0.2">
      <c r="DY18718" s="185" t="s">
        <v>215</v>
      </c>
    </row>
    <row r="18719" spans="129:129" x14ac:dyDescent="0.2">
      <c r="DY18719" s="185" t="s">
        <v>215</v>
      </c>
    </row>
    <row r="18720" spans="129:129" x14ac:dyDescent="0.2">
      <c r="DY18720" s="185" t="s">
        <v>215</v>
      </c>
    </row>
    <row r="18721" spans="129:129" x14ac:dyDescent="0.2">
      <c r="DY18721" s="185" t="s">
        <v>215</v>
      </c>
    </row>
    <row r="18722" spans="129:129" x14ac:dyDescent="0.2">
      <c r="DY18722" s="185" t="s">
        <v>215</v>
      </c>
    </row>
    <row r="18723" spans="129:129" x14ac:dyDescent="0.2">
      <c r="DY18723" s="185" t="s">
        <v>215</v>
      </c>
    </row>
    <row r="18724" spans="129:129" x14ac:dyDescent="0.2">
      <c r="DY18724" s="185" t="s">
        <v>215</v>
      </c>
    </row>
    <row r="18725" spans="129:129" x14ac:dyDescent="0.2">
      <c r="DY18725" s="185" t="s">
        <v>215</v>
      </c>
    </row>
    <row r="18726" spans="129:129" x14ac:dyDescent="0.2">
      <c r="DY18726" s="185" t="s">
        <v>215</v>
      </c>
    </row>
    <row r="18727" spans="129:129" x14ac:dyDescent="0.2">
      <c r="DY18727" s="185" t="s">
        <v>215</v>
      </c>
    </row>
    <row r="18728" spans="129:129" x14ac:dyDescent="0.2">
      <c r="DY18728" s="185" t="s">
        <v>215</v>
      </c>
    </row>
    <row r="18729" spans="129:129" x14ac:dyDescent="0.2">
      <c r="DY18729" s="185" t="s">
        <v>215</v>
      </c>
    </row>
    <row r="18730" spans="129:129" x14ac:dyDescent="0.2">
      <c r="DY18730" s="185" t="s">
        <v>215</v>
      </c>
    </row>
    <row r="18731" spans="129:129" x14ac:dyDescent="0.2">
      <c r="DY18731" s="185" t="s">
        <v>215</v>
      </c>
    </row>
    <row r="18732" spans="129:129" x14ac:dyDescent="0.2">
      <c r="DY18732" s="185" t="s">
        <v>215</v>
      </c>
    </row>
    <row r="18733" spans="129:129" x14ac:dyDescent="0.2">
      <c r="DY18733" s="185" t="s">
        <v>215</v>
      </c>
    </row>
    <row r="18734" spans="129:129" x14ac:dyDescent="0.2">
      <c r="DY18734" s="185" t="s">
        <v>215</v>
      </c>
    </row>
    <row r="18735" spans="129:129" x14ac:dyDescent="0.2">
      <c r="DY18735" s="185" t="s">
        <v>215</v>
      </c>
    </row>
    <row r="18736" spans="129:129" x14ac:dyDescent="0.2">
      <c r="DY18736" s="185" t="s">
        <v>215</v>
      </c>
    </row>
    <row r="18737" spans="129:129" x14ac:dyDescent="0.2">
      <c r="DY18737" s="185" t="s">
        <v>215</v>
      </c>
    </row>
    <row r="18738" spans="129:129" x14ac:dyDescent="0.2">
      <c r="DY18738" s="185" t="s">
        <v>215</v>
      </c>
    </row>
    <row r="18739" spans="129:129" x14ac:dyDescent="0.2">
      <c r="DY18739" s="185" t="s">
        <v>215</v>
      </c>
    </row>
    <row r="18740" spans="129:129" x14ac:dyDescent="0.2">
      <c r="DY18740" s="185" t="s">
        <v>215</v>
      </c>
    </row>
    <row r="18741" spans="129:129" x14ac:dyDescent="0.2">
      <c r="DY18741" s="185" t="s">
        <v>215</v>
      </c>
    </row>
    <row r="18742" spans="129:129" x14ac:dyDescent="0.2">
      <c r="DY18742" s="185" t="s">
        <v>215</v>
      </c>
    </row>
    <row r="18743" spans="129:129" x14ac:dyDescent="0.2">
      <c r="DY18743" s="185" t="s">
        <v>215</v>
      </c>
    </row>
    <row r="18744" spans="129:129" x14ac:dyDescent="0.2">
      <c r="DY18744" s="185" t="s">
        <v>215</v>
      </c>
    </row>
    <row r="18745" spans="129:129" x14ac:dyDescent="0.2">
      <c r="DY18745" s="185" t="s">
        <v>215</v>
      </c>
    </row>
    <row r="18746" spans="129:129" x14ac:dyDescent="0.2">
      <c r="DY18746" s="185" t="s">
        <v>215</v>
      </c>
    </row>
    <row r="18747" spans="129:129" x14ac:dyDescent="0.2">
      <c r="DY18747" s="185" t="s">
        <v>215</v>
      </c>
    </row>
    <row r="18748" spans="129:129" x14ac:dyDescent="0.2">
      <c r="DY18748" s="185" t="s">
        <v>215</v>
      </c>
    </row>
    <row r="18749" spans="129:129" x14ac:dyDescent="0.2">
      <c r="DY18749" s="185" t="s">
        <v>215</v>
      </c>
    </row>
    <row r="18750" spans="129:129" x14ac:dyDescent="0.2">
      <c r="DY18750" s="185" t="s">
        <v>215</v>
      </c>
    </row>
    <row r="18751" spans="129:129" x14ac:dyDescent="0.2">
      <c r="DY18751" s="185" t="s">
        <v>215</v>
      </c>
    </row>
    <row r="18752" spans="129:129" x14ac:dyDescent="0.2">
      <c r="DY18752" s="185" t="s">
        <v>215</v>
      </c>
    </row>
    <row r="18753" spans="129:129" x14ac:dyDescent="0.2">
      <c r="DY18753" s="185" t="s">
        <v>215</v>
      </c>
    </row>
    <row r="18754" spans="129:129" x14ac:dyDescent="0.2">
      <c r="DY18754" s="185" t="s">
        <v>215</v>
      </c>
    </row>
    <row r="18755" spans="129:129" x14ac:dyDescent="0.2">
      <c r="DY18755" s="185" t="s">
        <v>215</v>
      </c>
    </row>
    <row r="18756" spans="129:129" x14ac:dyDescent="0.2">
      <c r="DY18756" s="185" t="s">
        <v>215</v>
      </c>
    </row>
    <row r="18757" spans="129:129" x14ac:dyDescent="0.2">
      <c r="DY18757" s="185" t="s">
        <v>215</v>
      </c>
    </row>
    <row r="18758" spans="129:129" x14ac:dyDescent="0.2">
      <c r="DY18758" s="185" t="s">
        <v>215</v>
      </c>
    </row>
    <row r="18759" spans="129:129" x14ac:dyDescent="0.2">
      <c r="DY18759" s="185" t="s">
        <v>215</v>
      </c>
    </row>
    <row r="18760" spans="129:129" x14ac:dyDescent="0.2">
      <c r="DY18760" s="185" t="s">
        <v>215</v>
      </c>
    </row>
    <row r="18761" spans="129:129" x14ac:dyDescent="0.2">
      <c r="DY18761" s="185" t="s">
        <v>215</v>
      </c>
    </row>
    <row r="18762" spans="129:129" x14ac:dyDescent="0.2">
      <c r="DY18762" s="185" t="s">
        <v>215</v>
      </c>
    </row>
    <row r="18763" spans="129:129" x14ac:dyDescent="0.2">
      <c r="DY18763" s="185" t="s">
        <v>215</v>
      </c>
    </row>
    <row r="18764" spans="129:129" x14ac:dyDescent="0.2">
      <c r="DY18764" s="185" t="s">
        <v>215</v>
      </c>
    </row>
    <row r="18765" spans="129:129" x14ac:dyDescent="0.2">
      <c r="DY18765" s="185" t="s">
        <v>215</v>
      </c>
    </row>
    <row r="18766" spans="129:129" x14ac:dyDescent="0.2">
      <c r="DY18766" s="185" t="s">
        <v>215</v>
      </c>
    </row>
    <row r="18767" spans="129:129" x14ac:dyDescent="0.2">
      <c r="DY18767" s="185" t="s">
        <v>215</v>
      </c>
    </row>
    <row r="18768" spans="129:129" x14ac:dyDescent="0.2">
      <c r="DY18768" s="185" t="s">
        <v>215</v>
      </c>
    </row>
    <row r="18769" spans="129:129" x14ac:dyDescent="0.2">
      <c r="DY18769" s="185" t="s">
        <v>215</v>
      </c>
    </row>
    <row r="18770" spans="129:129" x14ac:dyDescent="0.2">
      <c r="DY18770" s="185" t="s">
        <v>215</v>
      </c>
    </row>
    <row r="18771" spans="129:129" x14ac:dyDescent="0.2">
      <c r="DY18771" s="185" t="s">
        <v>215</v>
      </c>
    </row>
    <row r="18772" spans="129:129" x14ac:dyDescent="0.2">
      <c r="DY18772" s="185" t="s">
        <v>215</v>
      </c>
    </row>
    <row r="18773" spans="129:129" x14ac:dyDescent="0.2">
      <c r="DY18773" s="185" t="s">
        <v>215</v>
      </c>
    </row>
    <row r="18774" spans="129:129" x14ac:dyDescent="0.2">
      <c r="DY18774" s="185" t="s">
        <v>215</v>
      </c>
    </row>
    <row r="18775" spans="129:129" x14ac:dyDescent="0.2">
      <c r="DY18775" s="185" t="s">
        <v>215</v>
      </c>
    </row>
    <row r="18776" spans="129:129" x14ac:dyDescent="0.2">
      <c r="DY18776" s="185" t="s">
        <v>215</v>
      </c>
    </row>
    <row r="18777" spans="129:129" x14ac:dyDescent="0.2">
      <c r="DY18777" s="185" t="s">
        <v>215</v>
      </c>
    </row>
    <row r="18778" spans="129:129" x14ac:dyDescent="0.2">
      <c r="DY18778" s="185" t="s">
        <v>215</v>
      </c>
    </row>
    <row r="18779" spans="129:129" x14ac:dyDescent="0.2">
      <c r="DY18779" s="185" t="s">
        <v>215</v>
      </c>
    </row>
    <row r="18780" spans="129:129" x14ac:dyDescent="0.2">
      <c r="DY18780" s="185" t="s">
        <v>215</v>
      </c>
    </row>
    <row r="18781" spans="129:129" x14ac:dyDescent="0.2">
      <c r="DY18781" s="185" t="s">
        <v>215</v>
      </c>
    </row>
    <row r="18782" spans="129:129" x14ac:dyDescent="0.2">
      <c r="DY18782" s="185" t="s">
        <v>215</v>
      </c>
    </row>
    <row r="18783" spans="129:129" x14ac:dyDescent="0.2">
      <c r="DY18783" s="185" t="s">
        <v>215</v>
      </c>
    </row>
    <row r="18784" spans="129:129" x14ac:dyDescent="0.2">
      <c r="DY18784" s="185" t="s">
        <v>215</v>
      </c>
    </row>
    <row r="18785" spans="129:129" x14ac:dyDescent="0.2">
      <c r="DY18785" s="185" t="s">
        <v>215</v>
      </c>
    </row>
    <row r="18786" spans="129:129" x14ac:dyDescent="0.2">
      <c r="DY18786" s="185" t="s">
        <v>215</v>
      </c>
    </row>
    <row r="18787" spans="129:129" x14ac:dyDescent="0.2">
      <c r="DY18787" s="185" t="s">
        <v>215</v>
      </c>
    </row>
    <row r="18788" spans="129:129" x14ac:dyDescent="0.2">
      <c r="DY18788" s="185" t="s">
        <v>215</v>
      </c>
    </row>
    <row r="18789" spans="129:129" x14ac:dyDescent="0.2">
      <c r="DY18789" s="185" t="s">
        <v>215</v>
      </c>
    </row>
    <row r="18790" spans="129:129" x14ac:dyDescent="0.2">
      <c r="DY18790" s="185" t="s">
        <v>215</v>
      </c>
    </row>
    <row r="18791" spans="129:129" x14ac:dyDescent="0.2">
      <c r="DY18791" s="185" t="s">
        <v>215</v>
      </c>
    </row>
    <row r="18792" spans="129:129" x14ac:dyDescent="0.2">
      <c r="DY18792" s="185" t="s">
        <v>215</v>
      </c>
    </row>
    <row r="18793" spans="129:129" x14ac:dyDescent="0.2">
      <c r="DY18793" s="185" t="s">
        <v>215</v>
      </c>
    </row>
    <row r="18794" spans="129:129" x14ac:dyDescent="0.2">
      <c r="DY18794" s="185" t="s">
        <v>215</v>
      </c>
    </row>
    <row r="18795" spans="129:129" x14ac:dyDescent="0.2">
      <c r="DY18795" s="185" t="s">
        <v>215</v>
      </c>
    </row>
    <row r="18796" spans="129:129" x14ac:dyDescent="0.2">
      <c r="DY18796" s="185" t="s">
        <v>215</v>
      </c>
    </row>
    <row r="18797" spans="129:129" x14ac:dyDescent="0.2">
      <c r="DY18797" s="185" t="s">
        <v>215</v>
      </c>
    </row>
    <row r="18798" spans="129:129" x14ac:dyDescent="0.2">
      <c r="DY18798" s="185" t="s">
        <v>215</v>
      </c>
    </row>
    <row r="18799" spans="129:129" x14ac:dyDescent="0.2">
      <c r="DY18799" s="185" t="s">
        <v>215</v>
      </c>
    </row>
    <row r="18800" spans="129:129" x14ac:dyDescent="0.2">
      <c r="DY18800" s="185" t="s">
        <v>215</v>
      </c>
    </row>
    <row r="18801" spans="129:129" x14ac:dyDescent="0.2">
      <c r="DY18801" s="185" t="s">
        <v>215</v>
      </c>
    </row>
    <row r="18802" spans="129:129" x14ac:dyDescent="0.2">
      <c r="DY18802" s="185" t="s">
        <v>215</v>
      </c>
    </row>
    <row r="18803" spans="129:129" x14ac:dyDescent="0.2">
      <c r="DY18803" s="185" t="s">
        <v>215</v>
      </c>
    </row>
    <row r="18804" spans="129:129" x14ac:dyDescent="0.2">
      <c r="DY18804" s="185" t="s">
        <v>215</v>
      </c>
    </row>
    <row r="18805" spans="129:129" x14ac:dyDescent="0.2">
      <c r="DY18805" s="185" t="s">
        <v>215</v>
      </c>
    </row>
    <row r="18806" spans="129:129" x14ac:dyDescent="0.2">
      <c r="DY18806" s="185" t="s">
        <v>215</v>
      </c>
    </row>
    <row r="18807" spans="129:129" x14ac:dyDescent="0.2">
      <c r="DY18807" s="185" t="s">
        <v>215</v>
      </c>
    </row>
    <row r="18808" spans="129:129" x14ac:dyDescent="0.2">
      <c r="DY18808" s="185" t="s">
        <v>215</v>
      </c>
    </row>
    <row r="18809" spans="129:129" x14ac:dyDescent="0.2">
      <c r="DY18809" s="185" t="s">
        <v>215</v>
      </c>
    </row>
    <row r="18810" spans="129:129" x14ac:dyDescent="0.2">
      <c r="DY18810" s="185" t="s">
        <v>215</v>
      </c>
    </row>
    <row r="18811" spans="129:129" x14ac:dyDescent="0.2">
      <c r="DY18811" s="185" t="s">
        <v>215</v>
      </c>
    </row>
    <row r="18812" spans="129:129" x14ac:dyDescent="0.2">
      <c r="DY18812" s="185" t="s">
        <v>215</v>
      </c>
    </row>
    <row r="18813" spans="129:129" x14ac:dyDescent="0.2">
      <c r="DY18813" s="185" t="s">
        <v>215</v>
      </c>
    </row>
    <row r="18814" spans="129:129" x14ac:dyDescent="0.2">
      <c r="DY18814" s="185" t="s">
        <v>215</v>
      </c>
    </row>
    <row r="18815" spans="129:129" x14ac:dyDescent="0.2">
      <c r="DY18815" s="185" t="s">
        <v>215</v>
      </c>
    </row>
    <row r="18816" spans="129:129" x14ac:dyDescent="0.2">
      <c r="DY18816" s="185" t="s">
        <v>215</v>
      </c>
    </row>
    <row r="18817" spans="129:129" x14ac:dyDescent="0.2">
      <c r="DY18817" s="185" t="s">
        <v>215</v>
      </c>
    </row>
    <row r="18818" spans="129:129" x14ac:dyDescent="0.2">
      <c r="DY18818" s="185" t="s">
        <v>215</v>
      </c>
    </row>
    <row r="18819" spans="129:129" x14ac:dyDescent="0.2">
      <c r="DY18819" s="185" t="s">
        <v>215</v>
      </c>
    </row>
    <row r="18820" spans="129:129" x14ac:dyDescent="0.2">
      <c r="DY18820" s="185" t="s">
        <v>215</v>
      </c>
    </row>
    <row r="18821" spans="129:129" x14ac:dyDescent="0.2">
      <c r="DY18821" s="185" t="s">
        <v>215</v>
      </c>
    </row>
    <row r="18822" spans="129:129" x14ac:dyDescent="0.2">
      <c r="DY18822" s="185" t="s">
        <v>215</v>
      </c>
    </row>
    <row r="18823" spans="129:129" x14ac:dyDescent="0.2">
      <c r="DY18823" s="185" t="s">
        <v>215</v>
      </c>
    </row>
    <row r="18824" spans="129:129" x14ac:dyDescent="0.2">
      <c r="DY18824" s="185" t="s">
        <v>215</v>
      </c>
    </row>
    <row r="18825" spans="129:129" x14ac:dyDescent="0.2">
      <c r="DY18825" s="185" t="s">
        <v>215</v>
      </c>
    </row>
    <row r="18826" spans="129:129" x14ac:dyDescent="0.2">
      <c r="DY18826" s="185" t="s">
        <v>215</v>
      </c>
    </row>
    <row r="18827" spans="129:129" x14ac:dyDescent="0.2">
      <c r="DY18827" s="185" t="s">
        <v>215</v>
      </c>
    </row>
    <row r="18828" spans="129:129" x14ac:dyDescent="0.2">
      <c r="DY18828" s="185" t="s">
        <v>215</v>
      </c>
    </row>
    <row r="18829" spans="129:129" x14ac:dyDescent="0.2">
      <c r="DY18829" s="185" t="s">
        <v>215</v>
      </c>
    </row>
    <row r="18830" spans="129:129" x14ac:dyDescent="0.2">
      <c r="DY18830" s="185" t="s">
        <v>215</v>
      </c>
    </row>
    <row r="18831" spans="129:129" x14ac:dyDescent="0.2">
      <c r="DY18831" s="185" t="s">
        <v>215</v>
      </c>
    </row>
    <row r="18832" spans="129:129" x14ac:dyDescent="0.2">
      <c r="DY18832" s="185" t="s">
        <v>215</v>
      </c>
    </row>
    <row r="18833" spans="129:129" x14ac:dyDescent="0.2">
      <c r="DY18833" s="185" t="s">
        <v>215</v>
      </c>
    </row>
    <row r="18834" spans="129:129" x14ac:dyDescent="0.2">
      <c r="DY18834" s="185" t="s">
        <v>215</v>
      </c>
    </row>
    <row r="18835" spans="129:129" x14ac:dyDescent="0.2">
      <c r="DY18835" s="185" t="s">
        <v>215</v>
      </c>
    </row>
    <row r="18836" spans="129:129" x14ac:dyDescent="0.2">
      <c r="DY18836" s="185" t="s">
        <v>215</v>
      </c>
    </row>
    <row r="18837" spans="129:129" x14ac:dyDescent="0.2">
      <c r="DY18837" s="185" t="s">
        <v>215</v>
      </c>
    </row>
    <row r="18838" spans="129:129" x14ac:dyDescent="0.2">
      <c r="DY18838" s="185" t="s">
        <v>215</v>
      </c>
    </row>
    <row r="18839" spans="129:129" x14ac:dyDescent="0.2">
      <c r="DY18839" s="185" t="s">
        <v>215</v>
      </c>
    </row>
    <row r="18840" spans="129:129" x14ac:dyDescent="0.2">
      <c r="DY18840" s="185" t="s">
        <v>215</v>
      </c>
    </row>
    <row r="18841" spans="129:129" x14ac:dyDescent="0.2">
      <c r="DY18841" s="185" t="s">
        <v>215</v>
      </c>
    </row>
    <row r="18842" spans="129:129" x14ac:dyDescent="0.2">
      <c r="DY18842" s="185" t="s">
        <v>215</v>
      </c>
    </row>
    <row r="18843" spans="129:129" x14ac:dyDescent="0.2">
      <c r="DY18843" s="185" t="s">
        <v>215</v>
      </c>
    </row>
    <row r="18844" spans="129:129" x14ac:dyDescent="0.2">
      <c r="DY18844" s="185" t="s">
        <v>215</v>
      </c>
    </row>
    <row r="18845" spans="129:129" x14ac:dyDescent="0.2">
      <c r="DY18845" s="185" t="s">
        <v>215</v>
      </c>
    </row>
    <row r="18846" spans="129:129" x14ac:dyDescent="0.2">
      <c r="DY18846" s="185" t="s">
        <v>215</v>
      </c>
    </row>
    <row r="18847" spans="129:129" x14ac:dyDescent="0.2">
      <c r="DY18847" s="185" t="s">
        <v>215</v>
      </c>
    </row>
    <row r="18848" spans="129:129" x14ac:dyDescent="0.2">
      <c r="DY18848" s="185" t="s">
        <v>215</v>
      </c>
    </row>
    <row r="18849" spans="129:129" x14ac:dyDescent="0.2">
      <c r="DY18849" s="185" t="s">
        <v>215</v>
      </c>
    </row>
    <row r="18850" spans="129:129" x14ac:dyDescent="0.2">
      <c r="DY18850" s="185" t="s">
        <v>215</v>
      </c>
    </row>
    <row r="18851" spans="129:129" x14ac:dyDescent="0.2">
      <c r="DY18851" s="185" t="s">
        <v>215</v>
      </c>
    </row>
    <row r="18852" spans="129:129" x14ac:dyDescent="0.2">
      <c r="DY18852" s="185" t="s">
        <v>215</v>
      </c>
    </row>
    <row r="18853" spans="129:129" x14ac:dyDescent="0.2">
      <c r="DY18853" s="185" t="s">
        <v>215</v>
      </c>
    </row>
    <row r="18854" spans="129:129" x14ac:dyDescent="0.2">
      <c r="DY18854" s="185" t="s">
        <v>215</v>
      </c>
    </row>
    <row r="18855" spans="129:129" x14ac:dyDescent="0.2">
      <c r="DY18855" s="185" t="s">
        <v>215</v>
      </c>
    </row>
    <row r="18856" spans="129:129" x14ac:dyDescent="0.2">
      <c r="DY18856" s="185" t="s">
        <v>215</v>
      </c>
    </row>
    <row r="18857" spans="129:129" x14ac:dyDescent="0.2">
      <c r="DY18857" s="185" t="s">
        <v>215</v>
      </c>
    </row>
    <row r="18858" spans="129:129" x14ac:dyDescent="0.2">
      <c r="DY18858" s="185" t="s">
        <v>215</v>
      </c>
    </row>
    <row r="18859" spans="129:129" x14ac:dyDescent="0.2">
      <c r="DY18859" s="185" t="s">
        <v>215</v>
      </c>
    </row>
    <row r="18860" spans="129:129" x14ac:dyDescent="0.2">
      <c r="DY18860" s="185" t="s">
        <v>215</v>
      </c>
    </row>
    <row r="18861" spans="129:129" x14ac:dyDescent="0.2">
      <c r="DY18861" s="185" t="s">
        <v>215</v>
      </c>
    </row>
    <row r="18862" spans="129:129" x14ac:dyDescent="0.2">
      <c r="DY18862" s="185" t="s">
        <v>215</v>
      </c>
    </row>
    <row r="18863" spans="129:129" x14ac:dyDescent="0.2">
      <c r="DY18863" s="185" t="s">
        <v>215</v>
      </c>
    </row>
    <row r="18864" spans="129:129" x14ac:dyDescent="0.2">
      <c r="DY18864" s="185" t="s">
        <v>215</v>
      </c>
    </row>
    <row r="18865" spans="129:129" x14ac:dyDescent="0.2">
      <c r="DY18865" s="185" t="s">
        <v>215</v>
      </c>
    </row>
    <row r="18866" spans="129:129" x14ac:dyDescent="0.2">
      <c r="DY18866" s="185" t="s">
        <v>215</v>
      </c>
    </row>
    <row r="18867" spans="129:129" x14ac:dyDescent="0.2">
      <c r="DY18867" s="185" t="s">
        <v>215</v>
      </c>
    </row>
    <row r="18868" spans="129:129" x14ac:dyDescent="0.2">
      <c r="DY18868" s="185" t="s">
        <v>215</v>
      </c>
    </row>
    <row r="18869" spans="129:129" x14ac:dyDescent="0.2">
      <c r="DY18869" s="185" t="s">
        <v>215</v>
      </c>
    </row>
    <row r="18870" spans="129:129" x14ac:dyDescent="0.2">
      <c r="DY18870" s="185" t="s">
        <v>215</v>
      </c>
    </row>
    <row r="18871" spans="129:129" x14ac:dyDescent="0.2">
      <c r="DY18871" s="185" t="s">
        <v>215</v>
      </c>
    </row>
    <row r="18872" spans="129:129" x14ac:dyDescent="0.2">
      <c r="DY18872" s="185" t="s">
        <v>215</v>
      </c>
    </row>
    <row r="18873" spans="129:129" x14ac:dyDescent="0.2">
      <c r="DY18873" s="185" t="s">
        <v>215</v>
      </c>
    </row>
    <row r="18874" spans="129:129" x14ac:dyDescent="0.2">
      <c r="DY18874" s="185" t="s">
        <v>215</v>
      </c>
    </row>
    <row r="18875" spans="129:129" x14ac:dyDescent="0.2">
      <c r="DY18875" s="185" t="s">
        <v>215</v>
      </c>
    </row>
    <row r="18876" spans="129:129" x14ac:dyDescent="0.2">
      <c r="DY18876" s="185" t="s">
        <v>215</v>
      </c>
    </row>
    <row r="18877" spans="129:129" x14ac:dyDescent="0.2">
      <c r="DY18877" s="185" t="s">
        <v>215</v>
      </c>
    </row>
    <row r="18878" spans="129:129" x14ac:dyDescent="0.2">
      <c r="DY18878" s="185" t="s">
        <v>215</v>
      </c>
    </row>
    <row r="18879" spans="129:129" x14ac:dyDescent="0.2">
      <c r="DY18879" s="185" t="s">
        <v>215</v>
      </c>
    </row>
    <row r="18880" spans="129:129" x14ac:dyDescent="0.2">
      <c r="DY18880" s="185" t="s">
        <v>215</v>
      </c>
    </row>
    <row r="18881" spans="129:129" x14ac:dyDescent="0.2">
      <c r="DY18881" s="185" t="s">
        <v>215</v>
      </c>
    </row>
    <row r="18882" spans="129:129" x14ac:dyDescent="0.2">
      <c r="DY18882" s="185" t="s">
        <v>215</v>
      </c>
    </row>
    <row r="18883" spans="129:129" x14ac:dyDescent="0.2">
      <c r="DY18883" s="185" t="s">
        <v>215</v>
      </c>
    </row>
    <row r="18884" spans="129:129" x14ac:dyDescent="0.2">
      <c r="DY18884" s="185" t="s">
        <v>215</v>
      </c>
    </row>
    <row r="18885" spans="129:129" x14ac:dyDescent="0.2">
      <c r="DY18885" s="185" t="s">
        <v>215</v>
      </c>
    </row>
    <row r="18886" spans="129:129" x14ac:dyDescent="0.2">
      <c r="DY18886" s="185" t="s">
        <v>215</v>
      </c>
    </row>
    <row r="18887" spans="129:129" x14ac:dyDescent="0.2">
      <c r="DY18887" s="185" t="s">
        <v>215</v>
      </c>
    </row>
    <row r="18888" spans="129:129" x14ac:dyDescent="0.2">
      <c r="DY18888" s="185" t="s">
        <v>215</v>
      </c>
    </row>
    <row r="18889" spans="129:129" x14ac:dyDescent="0.2">
      <c r="DY18889" s="185" t="s">
        <v>215</v>
      </c>
    </row>
    <row r="18890" spans="129:129" x14ac:dyDescent="0.2">
      <c r="DY18890" s="185" t="s">
        <v>215</v>
      </c>
    </row>
    <row r="18891" spans="129:129" x14ac:dyDescent="0.2">
      <c r="DY18891" s="185" t="s">
        <v>215</v>
      </c>
    </row>
    <row r="18892" spans="129:129" x14ac:dyDescent="0.2">
      <c r="DY18892" s="185" t="s">
        <v>215</v>
      </c>
    </row>
    <row r="18893" spans="129:129" x14ac:dyDescent="0.2">
      <c r="DY18893" s="185" t="s">
        <v>215</v>
      </c>
    </row>
    <row r="18894" spans="129:129" x14ac:dyDescent="0.2">
      <c r="DY18894" s="185" t="s">
        <v>215</v>
      </c>
    </row>
    <row r="18895" spans="129:129" x14ac:dyDescent="0.2">
      <c r="DY18895" s="185" t="s">
        <v>215</v>
      </c>
    </row>
    <row r="18896" spans="129:129" x14ac:dyDescent="0.2">
      <c r="DY18896" s="185" t="s">
        <v>215</v>
      </c>
    </row>
    <row r="18897" spans="129:129" x14ac:dyDescent="0.2">
      <c r="DY18897" s="185" t="s">
        <v>215</v>
      </c>
    </row>
    <row r="18898" spans="129:129" x14ac:dyDescent="0.2">
      <c r="DY18898" s="185" t="s">
        <v>215</v>
      </c>
    </row>
    <row r="18899" spans="129:129" x14ac:dyDescent="0.2">
      <c r="DY18899" s="185" t="s">
        <v>215</v>
      </c>
    </row>
    <row r="18900" spans="129:129" x14ac:dyDescent="0.2">
      <c r="DY18900" s="185" t="s">
        <v>215</v>
      </c>
    </row>
    <row r="18901" spans="129:129" x14ac:dyDescent="0.2">
      <c r="DY18901" s="185" t="s">
        <v>215</v>
      </c>
    </row>
    <row r="18902" spans="129:129" x14ac:dyDescent="0.2">
      <c r="DY18902" s="185" t="s">
        <v>215</v>
      </c>
    </row>
    <row r="18903" spans="129:129" x14ac:dyDescent="0.2">
      <c r="DY18903" s="185" t="s">
        <v>215</v>
      </c>
    </row>
    <row r="18904" spans="129:129" x14ac:dyDescent="0.2">
      <c r="DY18904" s="185" t="s">
        <v>215</v>
      </c>
    </row>
    <row r="18905" spans="129:129" x14ac:dyDescent="0.2">
      <c r="DY18905" s="185" t="s">
        <v>215</v>
      </c>
    </row>
    <row r="18906" spans="129:129" x14ac:dyDescent="0.2">
      <c r="DY18906" s="185" t="s">
        <v>215</v>
      </c>
    </row>
    <row r="18907" spans="129:129" x14ac:dyDescent="0.2">
      <c r="DY18907" s="185" t="s">
        <v>215</v>
      </c>
    </row>
    <row r="18908" spans="129:129" x14ac:dyDescent="0.2">
      <c r="DY18908" s="185" t="s">
        <v>215</v>
      </c>
    </row>
    <row r="18909" spans="129:129" x14ac:dyDescent="0.2">
      <c r="DY18909" s="185" t="s">
        <v>215</v>
      </c>
    </row>
    <row r="18910" spans="129:129" x14ac:dyDescent="0.2">
      <c r="DY18910" s="185" t="s">
        <v>215</v>
      </c>
    </row>
    <row r="18911" spans="129:129" x14ac:dyDescent="0.2">
      <c r="DY18911" s="185" t="s">
        <v>215</v>
      </c>
    </row>
    <row r="18912" spans="129:129" x14ac:dyDescent="0.2">
      <c r="DY18912" s="185" t="s">
        <v>215</v>
      </c>
    </row>
    <row r="18913" spans="129:129" x14ac:dyDescent="0.2">
      <c r="DY18913" s="185" t="s">
        <v>215</v>
      </c>
    </row>
    <row r="18914" spans="129:129" x14ac:dyDescent="0.2">
      <c r="DY18914" s="185" t="s">
        <v>215</v>
      </c>
    </row>
    <row r="18915" spans="129:129" x14ac:dyDescent="0.2">
      <c r="DY18915" s="185" t="s">
        <v>215</v>
      </c>
    </row>
    <row r="18916" spans="129:129" x14ac:dyDescent="0.2">
      <c r="DY18916" s="185" t="s">
        <v>215</v>
      </c>
    </row>
    <row r="18917" spans="129:129" x14ac:dyDescent="0.2">
      <c r="DY18917" s="185" t="s">
        <v>215</v>
      </c>
    </row>
    <row r="18918" spans="129:129" x14ac:dyDescent="0.2">
      <c r="DY18918" s="185" t="s">
        <v>215</v>
      </c>
    </row>
    <row r="18919" spans="129:129" x14ac:dyDescent="0.2">
      <c r="DY18919" s="185" t="s">
        <v>215</v>
      </c>
    </row>
    <row r="18920" spans="129:129" x14ac:dyDescent="0.2">
      <c r="DY18920" s="185" t="s">
        <v>215</v>
      </c>
    </row>
    <row r="18921" spans="129:129" x14ac:dyDescent="0.2">
      <c r="DY18921" s="185" t="s">
        <v>215</v>
      </c>
    </row>
    <row r="18922" spans="129:129" x14ac:dyDescent="0.2">
      <c r="DY18922" s="185" t="s">
        <v>215</v>
      </c>
    </row>
    <row r="18923" spans="129:129" x14ac:dyDescent="0.2">
      <c r="DY18923" s="185" t="s">
        <v>215</v>
      </c>
    </row>
    <row r="18924" spans="129:129" x14ac:dyDescent="0.2">
      <c r="DY18924" s="185" t="s">
        <v>215</v>
      </c>
    </row>
    <row r="18925" spans="129:129" x14ac:dyDescent="0.2">
      <c r="DY18925" s="185" t="s">
        <v>215</v>
      </c>
    </row>
    <row r="18926" spans="129:129" x14ac:dyDescent="0.2">
      <c r="DY18926" s="185" t="s">
        <v>215</v>
      </c>
    </row>
    <row r="18927" spans="129:129" x14ac:dyDescent="0.2">
      <c r="DY18927" s="185" t="s">
        <v>215</v>
      </c>
    </row>
    <row r="18928" spans="129:129" x14ac:dyDescent="0.2">
      <c r="DY18928" s="185" t="s">
        <v>215</v>
      </c>
    </row>
    <row r="18929" spans="129:129" x14ac:dyDescent="0.2">
      <c r="DY18929" s="185" t="s">
        <v>215</v>
      </c>
    </row>
    <row r="18930" spans="129:129" x14ac:dyDescent="0.2">
      <c r="DY18930" s="185" t="s">
        <v>215</v>
      </c>
    </row>
    <row r="18931" spans="129:129" x14ac:dyDescent="0.2">
      <c r="DY18931" s="185" t="s">
        <v>215</v>
      </c>
    </row>
    <row r="18932" spans="129:129" x14ac:dyDescent="0.2">
      <c r="DY18932" s="185" t="s">
        <v>215</v>
      </c>
    </row>
    <row r="18933" spans="129:129" x14ac:dyDescent="0.2">
      <c r="DY18933" s="185" t="s">
        <v>215</v>
      </c>
    </row>
    <row r="18934" spans="129:129" x14ac:dyDescent="0.2">
      <c r="DY18934" s="185" t="s">
        <v>215</v>
      </c>
    </row>
    <row r="18935" spans="129:129" x14ac:dyDescent="0.2">
      <c r="DY18935" s="185" t="s">
        <v>215</v>
      </c>
    </row>
    <row r="18936" spans="129:129" x14ac:dyDescent="0.2">
      <c r="DY18936" s="185" t="s">
        <v>215</v>
      </c>
    </row>
    <row r="18937" spans="129:129" x14ac:dyDescent="0.2">
      <c r="DY18937" s="185" t="s">
        <v>215</v>
      </c>
    </row>
    <row r="18938" spans="129:129" x14ac:dyDescent="0.2">
      <c r="DY18938" s="185" t="s">
        <v>215</v>
      </c>
    </row>
    <row r="18939" spans="129:129" x14ac:dyDescent="0.2">
      <c r="DY18939" s="185" t="s">
        <v>215</v>
      </c>
    </row>
    <row r="18940" spans="129:129" x14ac:dyDescent="0.2">
      <c r="DY18940" s="185" t="s">
        <v>215</v>
      </c>
    </row>
    <row r="18941" spans="129:129" x14ac:dyDescent="0.2">
      <c r="DY18941" s="185" t="s">
        <v>215</v>
      </c>
    </row>
    <row r="18942" spans="129:129" x14ac:dyDescent="0.2">
      <c r="DY18942" s="185" t="s">
        <v>215</v>
      </c>
    </row>
    <row r="18943" spans="129:129" x14ac:dyDescent="0.2">
      <c r="DY18943" s="185" t="s">
        <v>215</v>
      </c>
    </row>
    <row r="18944" spans="129:129" x14ac:dyDescent="0.2">
      <c r="DY18944" s="185" t="s">
        <v>215</v>
      </c>
    </row>
    <row r="18945" spans="129:129" x14ac:dyDescent="0.2">
      <c r="DY18945" s="185" t="s">
        <v>215</v>
      </c>
    </row>
    <row r="18946" spans="129:129" x14ac:dyDescent="0.2">
      <c r="DY18946" s="185" t="s">
        <v>215</v>
      </c>
    </row>
    <row r="18947" spans="129:129" x14ac:dyDescent="0.2">
      <c r="DY18947" s="185" t="s">
        <v>215</v>
      </c>
    </row>
    <row r="18948" spans="129:129" x14ac:dyDescent="0.2">
      <c r="DY18948" s="185" t="s">
        <v>215</v>
      </c>
    </row>
    <row r="18949" spans="129:129" x14ac:dyDescent="0.2">
      <c r="DY18949" s="185" t="s">
        <v>215</v>
      </c>
    </row>
    <row r="18950" spans="129:129" x14ac:dyDescent="0.2">
      <c r="DY18950" s="185" t="s">
        <v>215</v>
      </c>
    </row>
    <row r="18951" spans="129:129" x14ac:dyDescent="0.2">
      <c r="DY18951" s="185" t="s">
        <v>215</v>
      </c>
    </row>
    <row r="18952" spans="129:129" x14ac:dyDescent="0.2">
      <c r="DY18952" s="185" t="s">
        <v>215</v>
      </c>
    </row>
    <row r="18953" spans="129:129" x14ac:dyDescent="0.2">
      <c r="DY18953" s="185" t="s">
        <v>215</v>
      </c>
    </row>
    <row r="18954" spans="129:129" x14ac:dyDescent="0.2">
      <c r="DY18954" s="185" t="s">
        <v>215</v>
      </c>
    </row>
    <row r="18955" spans="129:129" x14ac:dyDescent="0.2">
      <c r="DY18955" s="185" t="s">
        <v>215</v>
      </c>
    </row>
    <row r="18956" spans="129:129" x14ac:dyDescent="0.2">
      <c r="DY18956" s="185" t="s">
        <v>215</v>
      </c>
    </row>
    <row r="18957" spans="129:129" x14ac:dyDescent="0.2">
      <c r="DY18957" s="185" t="s">
        <v>215</v>
      </c>
    </row>
    <row r="18958" spans="129:129" x14ac:dyDescent="0.2">
      <c r="DY18958" s="185" t="s">
        <v>215</v>
      </c>
    </row>
    <row r="18959" spans="129:129" x14ac:dyDescent="0.2">
      <c r="DY18959" s="185" t="s">
        <v>215</v>
      </c>
    </row>
    <row r="18960" spans="129:129" x14ac:dyDescent="0.2">
      <c r="DY18960" s="185" t="s">
        <v>215</v>
      </c>
    </row>
    <row r="18961" spans="129:129" x14ac:dyDescent="0.2">
      <c r="DY18961" s="185" t="s">
        <v>215</v>
      </c>
    </row>
    <row r="18962" spans="129:129" x14ac:dyDescent="0.2">
      <c r="DY18962" s="185" t="s">
        <v>215</v>
      </c>
    </row>
    <row r="18963" spans="129:129" x14ac:dyDescent="0.2">
      <c r="DY18963" s="185" t="s">
        <v>215</v>
      </c>
    </row>
    <row r="18964" spans="129:129" x14ac:dyDescent="0.2">
      <c r="DY18964" s="185" t="s">
        <v>215</v>
      </c>
    </row>
    <row r="18965" spans="129:129" x14ac:dyDescent="0.2">
      <c r="DY18965" s="185" t="s">
        <v>215</v>
      </c>
    </row>
    <row r="18966" spans="129:129" x14ac:dyDescent="0.2">
      <c r="DY18966" s="185" t="s">
        <v>215</v>
      </c>
    </row>
    <row r="18967" spans="129:129" x14ac:dyDescent="0.2">
      <c r="DY18967" s="185" t="s">
        <v>215</v>
      </c>
    </row>
    <row r="18968" spans="129:129" x14ac:dyDescent="0.2">
      <c r="DY18968" s="185" t="s">
        <v>215</v>
      </c>
    </row>
    <row r="18969" spans="129:129" x14ac:dyDescent="0.2">
      <c r="DY18969" s="185" t="s">
        <v>215</v>
      </c>
    </row>
    <row r="18970" spans="129:129" x14ac:dyDescent="0.2">
      <c r="DY18970" s="185" t="s">
        <v>215</v>
      </c>
    </row>
    <row r="18971" spans="129:129" x14ac:dyDescent="0.2">
      <c r="DY18971" s="185" t="s">
        <v>215</v>
      </c>
    </row>
    <row r="18972" spans="129:129" x14ac:dyDescent="0.2">
      <c r="DY18972" s="185" t="s">
        <v>215</v>
      </c>
    </row>
    <row r="18973" spans="129:129" x14ac:dyDescent="0.2">
      <c r="DY18973" s="185" t="s">
        <v>215</v>
      </c>
    </row>
    <row r="18974" spans="129:129" x14ac:dyDescent="0.2">
      <c r="DY18974" s="185" t="s">
        <v>215</v>
      </c>
    </row>
    <row r="18975" spans="129:129" x14ac:dyDescent="0.2">
      <c r="DY18975" s="185" t="s">
        <v>215</v>
      </c>
    </row>
    <row r="18976" spans="129:129" x14ac:dyDescent="0.2">
      <c r="DY18976" s="185" t="s">
        <v>215</v>
      </c>
    </row>
    <row r="18977" spans="129:129" x14ac:dyDescent="0.2">
      <c r="DY18977" s="185" t="s">
        <v>215</v>
      </c>
    </row>
    <row r="18978" spans="129:129" x14ac:dyDescent="0.2">
      <c r="DY18978" s="185" t="s">
        <v>215</v>
      </c>
    </row>
    <row r="18979" spans="129:129" x14ac:dyDescent="0.2">
      <c r="DY18979" s="185" t="s">
        <v>215</v>
      </c>
    </row>
    <row r="18980" spans="129:129" x14ac:dyDescent="0.2">
      <c r="DY18980" s="185" t="s">
        <v>215</v>
      </c>
    </row>
    <row r="18981" spans="129:129" x14ac:dyDescent="0.2">
      <c r="DY18981" s="185" t="s">
        <v>215</v>
      </c>
    </row>
    <row r="18982" spans="129:129" x14ac:dyDescent="0.2">
      <c r="DY18982" s="185" t="s">
        <v>215</v>
      </c>
    </row>
    <row r="18983" spans="129:129" x14ac:dyDescent="0.2">
      <c r="DY18983" s="185" t="s">
        <v>215</v>
      </c>
    </row>
    <row r="18984" spans="129:129" x14ac:dyDescent="0.2">
      <c r="DY18984" s="185" t="s">
        <v>215</v>
      </c>
    </row>
    <row r="18985" spans="129:129" x14ac:dyDescent="0.2">
      <c r="DY18985" s="185" t="s">
        <v>215</v>
      </c>
    </row>
    <row r="18986" spans="129:129" x14ac:dyDescent="0.2">
      <c r="DY18986" s="185" t="s">
        <v>215</v>
      </c>
    </row>
    <row r="18987" spans="129:129" x14ac:dyDescent="0.2">
      <c r="DY18987" s="185" t="s">
        <v>215</v>
      </c>
    </row>
    <row r="18988" spans="129:129" x14ac:dyDescent="0.2">
      <c r="DY18988" s="185" t="s">
        <v>215</v>
      </c>
    </row>
    <row r="18989" spans="129:129" x14ac:dyDescent="0.2">
      <c r="DY18989" s="185" t="s">
        <v>215</v>
      </c>
    </row>
    <row r="18990" spans="129:129" x14ac:dyDescent="0.2">
      <c r="DY18990" s="185" t="s">
        <v>215</v>
      </c>
    </row>
    <row r="18991" spans="129:129" x14ac:dyDescent="0.2">
      <c r="DY18991" s="185" t="s">
        <v>215</v>
      </c>
    </row>
    <row r="18992" spans="129:129" x14ac:dyDescent="0.2">
      <c r="DY18992" s="185" t="s">
        <v>215</v>
      </c>
    </row>
    <row r="18993" spans="129:129" x14ac:dyDescent="0.2">
      <c r="DY18993" s="185" t="s">
        <v>215</v>
      </c>
    </row>
    <row r="18994" spans="129:129" x14ac:dyDescent="0.2">
      <c r="DY18994" s="185" t="s">
        <v>215</v>
      </c>
    </row>
    <row r="18995" spans="129:129" x14ac:dyDescent="0.2">
      <c r="DY18995" s="185" t="s">
        <v>215</v>
      </c>
    </row>
    <row r="18996" spans="129:129" x14ac:dyDescent="0.2">
      <c r="DY18996" s="185" t="s">
        <v>215</v>
      </c>
    </row>
    <row r="18997" spans="129:129" x14ac:dyDescent="0.2">
      <c r="DY18997" s="185" t="s">
        <v>215</v>
      </c>
    </row>
    <row r="18998" spans="129:129" x14ac:dyDescent="0.2">
      <c r="DY18998" s="185" t="s">
        <v>215</v>
      </c>
    </row>
    <row r="18999" spans="129:129" x14ac:dyDescent="0.2">
      <c r="DY18999" s="185" t="s">
        <v>215</v>
      </c>
    </row>
    <row r="19000" spans="129:129" x14ac:dyDescent="0.2">
      <c r="DY19000" s="185" t="s">
        <v>215</v>
      </c>
    </row>
    <row r="19001" spans="129:129" x14ac:dyDescent="0.2">
      <c r="DY19001" s="185" t="s">
        <v>215</v>
      </c>
    </row>
    <row r="19002" spans="129:129" x14ac:dyDescent="0.2">
      <c r="DY19002" s="185" t="s">
        <v>215</v>
      </c>
    </row>
    <row r="19003" spans="129:129" x14ac:dyDescent="0.2">
      <c r="DY19003" s="185" t="s">
        <v>215</v>
      </c>
    </row>
    <row r="19004" spans="129:129" x14ac:dyDescent="0.2">
      <c r="DY19004" s="185" t="s">
        <v>215</v>
      </c>
    </row>
    <row r="19005" spans="129:129" x14ac:dyDescent="0.2">
      <c r="DY19005" s="185" t="s">
        <v>215</v>
      </c>
    </row>
    <row r="19006" spans="129:129" x14ac:dyDescent="0.2">
      <c r="DY19006" s="185" t="s">
        <v>215</v>
      </c>
    </row>
    <row r="19007" spans="129:129" x14ac:dyDescent="0.2">
      <c r="DY19007" s="185" t="s">
        <v>215</v>
      </c>
    </row>
    <row r="19008" spans="129:129" x14ac:dyDescent="0.2">
      <c r="DY19008" s="185" t="s">
        <v>215</v>
      </c>
    </row>
    <row r="19009" spans="129:129" x14ac:dyDescent="0.2">
      <c r="DY19009" s="185" t="s">
        <v>215</v>
      </c>
    </row>
    <row r="19010" spans="129:129" x14ac:dyDescent="0.2">
      <c r="DY19010" s="185" t="s">
        <v>215</v>
      </c>
    </row>
    <row r="19011" spans="129:129" x14ac:dyDescent="0.2">
      <c r="DY19011" s="185" t="s">
        <v>215</v>
      </c>
    </row>
    <row r="19012" spans="129:129" x14ac:dyDescent="0.2">
      <c r="DY19012" s="185" t="s">
        <v>215</v>
      </c>
    </row>
    <row r="19013" spans="129:129" x14ac:dyDescent="0.2">
      <c r="DY19013" s="185" t="s">
        <v>215</v>
      </c>
    </row>
    <row r="19014" spans="129:129" x14ac:dyDescent="0.2">
      <c r="DY19014" s="185" t="s">
        <v>215</v>
      </c>
    </row>
    <row r="19015" spans="129:129" x14ac:dyDescent="0.2">
      <c r="DY19015" s="185" t="s">
        <v>215</v>
      </c>
    </row>
    <row r="19016" spans="129:129" x14ac:dyDescent="0.2">
      <c r="DY19016" s="185" t="s">
        <v>215</v>
      </c>
    </row>
    <row r="19017" spans="129:129" x14ac:dyDescent="0.2">
      <c r="DY19017" s="185" t="s">
        <v>215</v>
      </c>
    </row>
    <row r="19018" spans="129:129" x14ac:dyDescent="0.2">
      <c r="DY19018" s="185" t="s">
        <v>215</v>
      </c>
    </row>
    <row r="19019" spans="129:129" x14ac:dyDescent="0.2">
      <c r="DY19019" s="185" t="s">
        <v>215</v>
      </c>
    </row>
    <row r="19020" spans="129:129" x14ac:dyDescent="0.2">
      <c r="DY19020" s="185" t="s">
        <v>215</v>
      </c>
    </row>
    <row r="19021" spans="129:129" x14ac:dyDescent="0.2">
      <c r="DY19021" s="185" t="s">
        <v>215</v>
      </c>
    </row>
    <row r="19022" spans="129:129" x14ac:dyDescent="0.2">
      <c r="DY19022" s="185" t="s">
        <v>215</v>
      </c>
    </row>
    <row r="19023" spans="129:129" x14ac:dyDescent="0.2">
      <c r="DY19023" s="185" t="s">
        <v>215</v>
      </c>
    </row>
    <row r="19024" spans="129:129" x14ac:dyDescent="0.2">
      <c r="DY19024" s="185" t="s">
        <v>215</v>
      </c>
    </row>
    <row r="19025" spans="129:129" x14ac:dyDescent="0.2">
      <c r="DY19025" s="185" t="s">
        <v>215</v>
      </c>
    </row>
    <row r="19026" spans="129:129" x14ac:dyDescent="0.2">
      <c r="DY19026" s="185" t="s">
        <v>215</v>
      </c>
    </row>
    <row r="19027" spans="129:129" x14ac:dyDescent="0.2">
      <c r="DY19027" s="185" t="s">
        <v>215</v>
      </c>
    </row>
    <row r="19028" spans="129:129" x14ac:dyDescent="0.2">
      <c r="DY19028" s="185" t="s">
        <v>215</v>
      </c>
    </row>
    <row r="19029" spans="129:129" x14ac:dyDescent="0.2">
      <c r="DY19029" s="185" t="s">
        <v>215</v>
      </c>
    </row>
    <row r="19030" spans="129:129" x14ac:dyDescent="0.2">
      <c r="DY19030" s="185" t="s">
        <v>215</v>
      </c>
    </row>
    <row r="19031" spans="129:129" x14ac:dyDescent="0.2">
      <c r="DY19031" s="185" t="s">
        <v>215</v>
      </c>
    </row>
    <row r="19032" spans="129:129" x14ac:dyDescent="0.2">
      <c r="DY19032" s="185" t="s">
        <v>215</v>
      </c>
    </row>
    <row r="19033" spans="129:129" x14ac:dyDescent="0.2">
      <c r="DY19033" s="185" t="s">
        <v>215</v>
      </c>
    </row>
    <row r="19034" spans="129:129" x14ac:dyDescent="0.2">
      <c r="DY19034" s="185" t="s">
        <v>215</v>
      </c>
    </row>
    <row r="19035" spans="129:129" x14ac:dyDescent="0.2">
      <c r="DY19035" s="185" t="s">
        <v>215</v>
      </c>
    </row>
    <row r="19036" spans="129:129" x14ac:dyDescent="0.2">
      <c r="DY19036" s="185" t="s">
        <v>215</v>
      </c>
    </row>
    <row r="19037" spans="129:129" x14ac:dyDescent="0.2">
      <c r="DY19037" s="185" t="s">
        <v>215</v>
      </c>
    </row>
    <row r="19038" spans="129:129" x14ac:dyDescent="0.2">
      <c r="DY19038" s="185" t="s">
        <v>215</v>
      </c>
    </row>
    <row r="19039" spans="129:129" x14ac:dyDescent="0.2">
      <c r="DY19039" s="185" t="s">
        <v>215</v>
      </c>
    </row>
    <row r="19040" spans="129:129" x14ac:dyDescent="0.2">
      <c r="DY19040" s="185" t="s">
        <v>215</v>
      </c>
    </row>
    <row r="19041" spans="129:129" x14ac:dyDescent="0.2">
      <c r="DY19041" s="185" t="s">
        <v>215</v>
      </c>
    </row>
    <row r="19042" spans="129:129" x14ac:dyDescent="0.2">
      <c r="DY19042" s="185" t="s">
        <v>215</v>
      </c>
    </row>
    <row r="19043" spans="129:129" x14ac:dyDescent="0.2">
      <c r="DY19043" s="185" t="s">
        <v>215</v>
      </c>
    </row>
    <row r="19044" spans="129:129" x14ac:dyDescent="0.2">
      <c r="DY19044" s="185" t="s">
        <v>215</v>
      </c>
    </row>
    <row r="19045" spans="129:129" x14ac:dyDescent="0.2">
      <c r="DY19045" s="185" t="s">
        <v>215</v>
      </c>
    </row>
    <row r="19046" spans="129:129" x14ac:dyDescent="0.2">
      <c r="DY19046" s="185" t="s">
        <v>215</v>
      </c>
    </row>
    <row r="19047" spans="129:129" x14ac:dyDescent="0.2">
      <c r="DY19047" s="185" t="s">
        <v>215</v>
      </c>
    </row>
    <row r="19048" spans="129:129" x14ac:dyDescent="0.2">
      <c r="DY19048" s="185" t="s">
        <v>215</v>
      </c>
    </row>
    <row r="19049" spans="129:129" x14ac:dyDescent="0.2">
      <c r="DY19049" s="185" t="s">
        <v>215</v>
      </c>
    </row>
    <row r="19050" spans="129:129" x14ac:dyDescent="0.2">
      <c r="DY19050" s="185" t="s">
        <v>215</v>
      </c>
    </row>
    <row r="19051" spans="129:129" x14ac:dyDescent="0.2">
      <c r="DY19051" s="185" t="s">
        <v>215</v>
      </c>
    </row>
    <row r="19052" spans="129:129" x14ac:dyDescent="0.2">
      <c r="DY19052" s="185" t="s">
        <v>215</v>
      </c>
    </row>
    <row r="19053" spans="129:129" x14ac:dyDescent="0.2">
      <c r="DY19053" s="185" t="s">
        <v>215</v>
      </c>
    </row>
    <row r="19054" spans="129:129" x14ac:dyDescent="0.2">
      <c r="DY19054" s="185" t="s">
        <v>215</v>
      </c>
    </row>
    <row r="19055" spans="129:129" x14ac:dyDescent="0.2">
      <c r="DY19055" s="185" t="s">
        <v>215</v>
      </c>
    </row>
    <row r="19056" spans="129:129" x14ac:dyDescent="0.2">
      <c r="DY19056" s="185" t="s">
        <v>215</v>
      </c>
    </row>
    <row r="19057" spans="129:129" x14ac:dyDescent="0.2">
      <c r="DY19057" s="185" t="s">
        <v>215</v>
      </c>
    </row>
    <row r="19058" spans="129:129" x14ac:dyDescent="0.2">
      <c r="DY19058" s="185" t="s">
        <v>215</v>
      </c>
    </row>
    <row r="19059" spans="129:129" x14ac:dyDescent="0.2">
      <c r="DY19059" s="185" t="s">
        <v>215</v>
      </c>
    </row>
    <row r="19060" spans="129:129" x14ac:dyDescent="0.2">
      <c r="DY19060" s="185" t="s">
        <v>215</v>
      </c>
    </row>
    <row r="19061" spans="129:129" x14ac:dyDescent="0.2">
      <c r="DY19061" s="185" t="s">
        <v>215</v>
      </c>
    </row>
    <row r="19062" spans="129:129" x14ac:dyDescent="0.2">
      <c r="DY19062" s="185" t="s">
        <v>215</v>
      </c>
    </row>
    <row r="19063" spans="129:129" x14ac:dyDescent="0.2">
      <c r="DY19063" s="185" t="s">
        <v>215</v>
      </c>
    </row>
    <row r="19064" spans="129:129" x14ac:dyDescent="0.2">
      <c r="DY19064" s="185" t="s">
        <v>215</v>
      </c>
    </row>
    <row r="19065" spans="129:129" x14ac:dyDescent="0.2">
      <c r="DY19065" s="185" t="s">
        <v>215</v>
      </c>
    </row>
    <row r="19066" spans="129:129" x14ac:dyDescent="0.2">
      <c r="DY19066" s="185" t="s">
        <v>215</v>
      </c>
    </row>
    <row r="19067" spans="129:129" x14ac:dyDescent="0.2">
      <c r="DY19067" s="185" t="s">
        <v>215</v>
      </c>
    </row>
    <row r="19068" spans="129:129" x14ac:dyDescent="0.2">
      <c r="DY19068" s="185" t="s">
        <v>215</v>
      </c>
    </row>
    <row r="19069" spans="129:129" x14ac:dyDescent="0.2">
      <c r="DY19069" s="185" t="s">
        <v>215</v>
      </c>
    </row>
    <row r="19070" spans="129:129" x14ac:dyDescent="0.2">
      <c r="DY19070" s="185" t="s">
        <v>215</v>
      </c>
    </row>
    <row r="19071" spans="129:129" x14ac:dyDescent="0.2">
      <c r="DY19071" s="185" t="s">
        <v>215</v>
      </c>
    </row>
    <row r="19072" spans="129:129" x14ac:dyDescent="0.2">
      <c r="DY19072" s="185" t="s">
        <v>215</v>
      </c>
    </row>
    <row r="19073" spans="129:129" x14ac:dyDescent="0.2">
      <c r="DY19073" s="185" t="s">
        <v>215</v>
      </c>
    </row>
    <row r="19074" spans="129:129" x14ac:dyDescent="0.2">
      <c r="DY19074" s="185" t="s">
        <v>215</v>
      </c>
    </row>
    <row r="19075" spans="129:129" x14ac:dyDescent="0.2">
      <c r="DY19075" s="185" t="s">
        <v>215</v>
      </c>
    </row>
    <row r="19076" spans="129:129" x14ac:dyDescent="0.2">
      <c r="DY19076" s="185" t="s">
        <v>215</v>
      </c>
    </row>
    <row r="19077" spans="129:129" x14ac:dyDescent="0.2">
      <c r="DY19077" s="185" t="s">
        <v>215</v>
      </c>
    </row>
    <row r="19078" spans="129:129" x14ac:dyDescent="0.2">
      <c r="DY19078" s="185" t="s">
        <v>215</v>
      </c>
    </row>
    <row r="19079" spans="129:129" x14ac:dyDescent="0.2">
      <c r="DY19079" s="185" t="s">
        <v>215</v>
      </c>
    </row>
    <row r="19080" spans="129:129" x14ac:dyDescent="0.2">
      <c r="DY19080" s="185" t="s">
        <v>215</v>
      </c>
    </row>
    <row r="19081" spans="129:129" x14ac:dyDescent="0.2">
      <c r="DY19081" s="185" t="s">
        <v>215</v>
      </c>
    </row>
    <row r="19082" spans="129:129" x14ac:dyDescent="0.2">
      <c r="DY19082" s="185" t="s">
        <v>215</v>
      </c>
    </row>
    <row r="19083" spans="129:129" x14ac:dyDescent="0.2">
      <c r="DY19083" s="185" t="s">
        <v>215</v>
      </c>
    </row>
    <row r="19084" spans="129:129" x14ac:dyDescent="0.2">
      <c r="DY19084" s="185" t="s">
        <v>215</v>
      </c>
    </row>
    <row r="19085" spans="129:129" x14ac:dyDescent="0.2">
      <c r="DY19085" s="185" t="s">
        <v>215</v>
      </c>
    </row>
    <row r="19086" spans="129:129" x14ac:dyDescent="0.2">
      <c r="DY19086" s="185" t="s">
        <v>215</v>
      </c>
    </row>
    <row r="19087" spans="129:129" x14ac:dyDescent="0.2">
      <c r="DY19087" s="185" t="s">
        <v>215</v>
      </c>
    </row>
    <row r="19088" spans="129:129" x14ac:dyDescent="0.2">
      <c r="DY19088" s="185" t="s">
        <v>215</v>
      </c>
    </row>
    <row r="19089" spans="129:129" x14ac:dyDescent="0.2">
      <c r="DY19089" s="185" t="s">
        <v>215</v>
      </c>
    </row>
    <row r="19090" spans="129:129" x14ac:dyDescent="0.2">
      <c r="DY19090" s="185" t="s">
        <v>215</v>
      </c>
    </row>
    <row r="19091" spans="129:129" x14ac:dyDescent="0.2">
      <c r="DY19091" s="185" t="s">
        <v>215</v>
      </c>
    </row>
    <row r="19092" spans="129:129" x14ac:dyDescent="0.2">
      <c r="DY19092" s="185" t="s">
        <v>215</v>
      </c>
    </row>
    <row r="19093" spans="129:129" x14ac:dyDescent="0.2">
      <c r="DY19093" s="185" t="s">
        <v>215</v>
      </c>
    </row>
    <row r="19094" spans="129:129" x14ac:dyDescent="0.2">
      <c r="DY19094" s="185" t="s">
        <v>215</v>
      </c>
    </row>
    <row r="19095" spans="129:129" x14ac:dyDescent="0.2">
      <c r="DY19095" s="185" t="s">
        <v>215</v>
      </c>
    </row>
    <row r="19096" spans="129:129" x14ac:dyDescent="0.2">
      <c r="DY19096" s="185" t="s">
        <v>215</v>
      </c>
    </row>
    <row r="19097" spans="129:129" x14ac:dyDescent="0.2">
      <c r="DY19097" s="185" t="s">
        <v>215</v>
      </c>
    </row>
    <row r="19098" spans="129:129" x14ac:dyDescent="0.2">
      <c r="DY19098" s="185" t="s">
        <v>215</v>
      </c>
    </row>
    <row r="19099" spans="129:129" x14ac:dyDescent="0.2">
      <c r="DY19099" s="185" t="s">
        <v>215</v>
      </c>
    </row>
    <row r="19100" spans="129:129" x14ac:dyDescent="0.2">
      <c r="DY19100" s="185" t="s">
        <v>215</v>
      </c>
    </row>
    <row r="19101" spans="129:129" x14ac:dyDescent="0.2">
      <c r="DY19101" s="185" t="s">
        <v>215</v>
      </c>
    </row>
    <row r="19102" spans="129:129" x14ac:dyDescent="0.2">
      <c r="DY19102" s="185" t="s">
        <v>215</v>
      </c>
    </row>
    <row r="19103" spans="129:129" x14ac:dyDescent="0.2">
      <c r="DY19103" s="185" t="s">
        <v>215</v>
      </c>
    </row>
    <row r="19104" spans="129:129" x14ac:dyDescent="0.2">
      <c r="DY19104" s="185" t="s">
        <v>215</v>
      </c>
    </row>
    <row r="19105" spans="129:129" x14ac:dyDescent="0.2">
      <c r="DY19105" s="185" t="s">
        <v>215</v>
      </c>
    </row>
    <row r="19106" spans="129:129" x14ac:dyDescent="0.2">
      <c r="DY19106" s="185" t="s">
        <v>215</v>
      </c>
    </row>
    <row r="19107" spans="129:129" x14ac:dyDescent="0.2">
      <c r="DY19107" s="185" t="s">
        <v>215</v>
      </c>
    </row>
    <row r="19108" spans="129:129" x14ac:dyDescent="0.2">
      <c r="DY19108" s="185" t="s">
        <v>215</v>
      </c>
    </row>
    <row r="19109" spans="129:129" x14ac:dyDescent="0.2">
      <c r="DY19109" s="185" t="s">
        <v>215</v>
      </c>
    </row>
    <row r="19110" spans="129:129" x14ac:dyDescent="0.2">
      <c r="DY19110" s="185" t="s">
        <v>215</v>
      </c>
    </row>
    <row r="19111" spans="129:129" x14ac:dyDescent="0.2">
      <c r="DY19111" s="185" t="s">
        <v>215</v>
      </c>
    </row>
    <row r="19112" spans="129:129" x14ac:dyDescent="0.2">
      <c r="DY19112" s="185" t="s">
        <v>215</v>
      </c>
    </row>
    <row r="19113" spans="129:129" x14ac:dyDescent="0.2">
      <c r="DY19113" s="185" t="s">
        <v>215</v>
      </c>
    </row>
    <row r="19114" spans="129:129" x14ac:dyDescent="0.2">
      <c r="DY19114" s="185" t="s">
        <v>215</v>
      </c>
    </row>
    <row r="19115" spans="129:129" x14ac:dyDescent="0.2">
      <c r="DY19115" s="185" t="s">
        <v>215</v>
      </c>
    </row>
    <row r="19116" spans="129:129" x14ac:dyDescent="0.2">
      <c r="DY19116" s="185" t="s">
        <v>215</v>
      </c>
    </row>
    <row r="19117" spans="129:129" x14ac:dyDescent="0.2">
      <c r="DY19117" s="185" t="s">
        <v>215</v>
      </c>
    </row>
    <row r="19118" spans="129:129" x14ac:dyDescent="0.2">
      <c r="DY19118" s="185" t="s">
        <v>215</v>
      </c>
    </row>
    <row r="19119" spans="129:129" x14ac:dyDescent="0.2">
      <c r="DY19119" s="185" t="s">
        <v>215</v>
      </c>
    </row>
    <row r="19120" spans="129:129" x14ac:dyDescent="0.2">
      <c r="DY19120" s="185" t="s">
        <v>215</v>
      </c>
    </row>
    <row r="19121" spans="129:129" x14ac:dyDescent="0.2">
      <c r="DY19121" s="185" t="s">
        <v>215</v>
      </c>
    </row>
    <row r="19122" spans="129:129" x14ac:dyDescent="0.2">
      <c r="DY19122" s="185" t="s">
        <v>215</v>
      </c>
    </row>
    <row r="19123" spans="129:129" x14ac:dyDescent="0.2">
      <c r="DY19123" s="185" t="s">
        <v>215</v>
      </c>
    </row>
    <row r="19124" spans="129:129" x14ac:dyDescent="0.2">
      <c r="DY19124" s="185" t="s">
        <v>215</v>
      </c>
    </row>
    <row r="19125" spans="129:129" x14ac:dyDescent="0.2">
      <c r="DY19125" s="185" t="s">
        <v>215</v>
      </c>
    </row>
    <row r="19126" spans="129:129" x14ac:dyDescent="0.2">
      <c r="DY19126" s="185" t="s">
        <v>215</v>
      </c>
    </row>
    <row r="19127" spans="129:129" x14ac:dyDescent="0.2">
      <c r="DY19127" s="185" t="s">
        <v>215</v>
      </c>
    </row>
    <row r="19128" spans="129:129" x14ac:dyDescent="0.2">
      <c r="DY19128" s="185" t="s">
        <v>215</v>
      </c>
    </row>
    <row r="19129" spans="129:129" x14ac:dyDescent="0.2">
      <c r="DY19129" s="185" t="s">
        <v>215</v>
      </c>
    </row>
    <row r="19130" spans="129:129" x14ac:dyDescent="0.2">
      <c r="DY19130" s="185" t="s">
        <v>215</v>
      </c>
    </row>
    <row r="19131" spans="129:129" x14ac:dyDescent="0.2">
      <c r="DY19131" s="185" t="s">
        <v>215</v>
      </c>
    </row>
    <row r="19132" spans="129:129" x14ac:dyDescent="0.2">
      <c r="DY19132" s="185" t="s">
        <v>215</v>
      </c>
    </row>
    <row r="19133" spans="129:129" x14ac:dyDescent="0.2">
      <c r="DY19133" s="185" t="s">
        <v>215</v>
      </c>
    </row>
    <row r="19134" spans="129:129" x14ac:dyDescent="0.2">
      <c r="DY19134" s="185" t="s">
        <v>215</v>
      </c>
    </row>
    <row r="19135" spans="129:129" x14ac:dyDescent="0.2">
      <c r="DY19135" s="185" t="s">
        <v>215</v>
      </c>
    </row>
    <row r="19136" spans="129:129" x14ac:dyDescent="0.2">
      <c r="DY19136" s="185" t="s">
        <v>215</v>
      </c>
    </row>
    <row r="19137" spans="129:129" x14ac:dyDescent="0.2">
      <c r="DY19137" s="185" t="s">
        <v>215</v>
      </c>
    </row>
    <row r="19138" spans="129:129" x14ac:dyDescent="0.2">
      <c r="DY19138" s="185" t="s">
        <v>215</v>
      </c>
    </row>
    <row r="19139" spans="129:129" x14ac:dyDescent="0.2">
      <c r="DY19139" s="185" t="s">
        <v>215</v>
      </c>
    </row>
    <row r="19140" spans="129:129" x14ac:dyDescent="0.2">
      <c r="DY19140" s="185" t="s">
        <v>215</v>
      </c>
    </row>
    <row r="19141" spans="129:129" x14ac:dyDescent="0.2">
      <c r="DY19141" s="185" t="s">
        <v>215</v>
      </c>
    </row>
    <row r="19142" spans="129:129" x14ac:dyDescent="0.2">
      <c r="DY19142" s="185" t="s">
        <v>215</v>
      </c>
    </row>
    <row r="19143" spans="129:129" x14ac:dyDescent="0.2">
      <c r="DY19143" s="185" t="s">
        <v>215</v>
      </c>
    </row>
    <row r="19144" spans="129:129" x14ac:dyDescent="0.2">
      <c r="DY19144" s="185" t="s">
        <v>215</v>
      </c>
    </row>
    <row r="19145" spans="129:129" x14ac:dyDescent="0.2">
      <c r="DY19145" s="185" t="s">
        <v>215</v>
      </c>
    </row>
    <row r="19146" spans="129:129" x14ac:dyDescent="0.2">
      <c r="DY19146" s="185" t="s">
        <v>215</v>
      </c>
    </row>
    <row r="19147" spans="129:129" x14ac:dyDescent="0.2">
      <c r="DY19147" s="185" t="s">
        <v>215</v>
      </c>
    </row>
    <row r="19148" spans="129:129" x14ac:dyDescent="0.2">
      <c r="DY19148" s="185" t="s">
        <v>215</v>
      </c>
    </row>
    <row r="19149" spans="129:129" x14ac:dyDescent="0.2">
      <c r="DY19149" s="185" t="s">
        <v>215</v>
      </c>
    </row>
    <row r="19150" spans="129:129" x14ac:dyDescent="0.2">
      <c r="DY19150" s="185" t="s">
        <v>215</v>
      </c>
    </row>
    <row r="19151" spans="129:129" x14ac:dyDescent="0.2">
      <c r="DY19151" s="185" t="s">
        <v>215</v>
      </c>
    </row>
    <row r="19152" spans="129:129" x14ac:dyDescent="0.2">
      <c r="DY19152" s="185" t="s">
        <v>215</v>
      </c>
    </row>
    <row r="19153" spans="129:129" x14ac:dyDescent="0.2">
      <c r="DY19153" s="185" t="s">
        <v>215</v>
      </c>
    </row>
    <row r="19154" spans="129:129" x14ac:dyDescent="0.2">
      <c r="DY19154" s="185" t="s">
        <v>215</v>
      </c>
    </row>
    <row r="19155" spans="129:129" x14ac:dyDescent="0.2">
      <c r="DY19155" s="185" t="s">
        <v>215</v>
      </c>
    </row>
    <row r="19156" spans="129:129" x14ac:dyDescent="0.2">
      <c r="DY19156" s="185" t="s">
        <v>215</v>
      </c>
    </row>
    <row r="19157" spans="129:129" x14ac:dyDescent="0.2">
      <c r="DY19157" s="185" t="s">
        <v>215</v>
      </c>
    </row>
    <row r="19158" spans="129:129" x14ac:dyDescent="0.2">
      <c r="DY19158" s="185" t="s">
        <v>215</v>
      </c>
    </row>
    <row r="19159" spans="129:129" x14ac:dyDescent="0.2">
      <c r="DY19159" s="185" t="s">
        <v>215</v>
      </c>
    </row>
    <row r="19160" spans="129:129" x14ac:dyDescent="0.2">
      <c r="DY19160" s="185" t="s">
        <v>215</v>
      </c>
    </row>
    <row r="19161" spans="129:129" x14ac:dyDescent="0.2">
      <c r="DY19161" s="185" t="s">
        <v>215</v>
      </c>
    </row>
    <row r="19162" spans="129:129" x14ac:dyDescent="0.2">
      <c r="DY19162" s="185" t="s">
        <v>215</v>
      </c>
    </row>
    <row r="19163" spans="129:129" x14ac:dyDescent="0.2">
      <c r="DY19163" s="185" t="s">
        <v>215</v>
      </c>
    </row>
    <row r="19164" spans="129:129" x14ac:dyDescent="0.2">
      <c r="DY19164" s="185" t="s">
        <v>215</v>
      </c>
    </row>
    <row r="19165" spans="129:129" x14ac:dyDescent="0.2">
      <c r="DY19165" s="185" t="s">
        <v>215</v>
      </c>
    </row>
    <row r="19166" spans="129:129" x14ac:dyDescent="0.2">
      <c r="DY19166" s="185" t="s">
        <v>215</v>
      </c>
    </row>
    <row r="19167" spans="129:129" x14ac:dyDescent="0.2">
      <c r="DY19167" s="185" t="s">
        <v>215</v>
      </c>
    </row>
    <row r="19168" spans="129:129" x14ac:dyDescent="0.2">
      <c r="DY19168" s="185" t="s">
        <v>215</v>
      </c>
    </row>
    <row r="19169" spans="129:129" x14ac:dyDescent="0.2">
      <c r="DY19169" s="185" t="s">
        <v>215</v>
      </c>
    </row>
    <row r="19170" spans="129:129" x14ac:dyDescent="0.2">
      <c r="DY19170" s="185" t="s">
        <v>215</v>
      </c>
    </row>
    <row r="19171" spans="129:129" x14ac:dyDescent="0.2">
      <c r="DY19171" s="185" t="s">
        <v>215</v>
      </c>
    </row>
    <row r="19172" spans="129:129" x14ac:dyDescent="0.2">
      <c r="DY19172" s="185" t="s">
        <v>215</v>
      </c>
    </row>
    <row r="19173" spans="129:129" x14ac:dyDescent="0.2">
      <c r="DY19173" s="185" t="s">
        <v>215</v>
      </c>
    </row>
    <row r="19174" spans="129:129" x14ac:dyDescent="0.2">
      <c r="DY19174" s="185" t="s">
        <v>215</v>
      </c>
    </row>
    <row r="19175" spans="129:129" x14ac:dyDescent="0.2">
      <c r="DY19175" s="185" t="s">
        <v>215</v>
      </c>
    </row>
    <row r="19176" spans="129:129" x14ac:dyDescent="0.2">
      <c r="DY19176" s="185" t="s">
        <v>215</v>
      </c>
    </row>
    <row r="19177" spans="129:129" x14ac:dyDescent="0.2">
      <c r="DY19177" s="185" t="s">
        <v>215</v>
      </c>
    </row>
    <row r="19178" spans="129:129" x14ac:dyDescent="0.2">
      <c r="DY19178" s="185" t="s">
        <v>215</v>
      </c>
    </row>
    <row r="19179" spans="129:129" x14ac:dyDescent="0.2">
      <c r="DY19179" s="185" t="s">
        <v>215</v>
      </c>
    </row>
    <row r="19180" spans="129:129" x14ac:dyDescent="0.2">
      <c r="DY19180" s="185" t="s">
        <v>215</v>
      </c>
    </row>
    <row r="19181" spans="129:129" x14ac:dyDescent="0.2">
      <c r="DY19181" s="185" t="s">
        <v>215</v>
      </c>
    </row>
    <row r="19182" spans="129:129" x14ac:dyDescent="0.2">
      <c r="DY19182" s="185" t="s">
        <v>215</v>
      </c>
    </row>
    <row r="19183" spans="129:129" x14ac:dyDescent="0.2">
      <c r="DY19183" s="185" t="s">
        <v>215</v>
      </c>
    </row>
    <row r="19184" spans="129:129" x14ac:dyDescent="0.2">
      <c r="DY19184" s="185" t="s">
        <v>215</v>
      </c>
    </row>
    <row r="19185" spans="129:129" x14ac:dyDescent="0.2">
      <c r="DY19185" s="185" t="s">
        <v>215</v>
      </c>
    </row>
    <row r="19186" spans="129:129" x14ac:dyDescent="0.2">
      <c r="DY19186" s="185" t="s">
        <v>215</v>
      </c>
    </row>
    <row r="19187" spans="129:129" x14ac:dyDescent="0.2">
      <c r="DY19187" s="185" t="s">
        <v>215</v>
      </c>
    </row>
    <row r="19188" spans="129:129" x14ac:dyDescent="0.2">
      <c r="DY19188" s="185" t="s">
        <v>215</v>
      </c>
    </row>
    <row r="19189" spans="129:129" x14ac:dyDescent="0.2">
      <c r="DY19189" s="185" t="s">
        <v>215</v>
      </c>
    </row>
    <row r="19190" spans="129:129" x14ac:dyDescent="0.2">
      <c r="DY19190" s="185" t="s">
        <v>215</v>
      </c>
    </row>
    <row r="19191" spans="129:129" x14ac:dyDescent="0.2">
      <c r="DY19191" s="185" t="s">
        <v>215</v>
      </c>
    </row>
    <row r="19192" spans="129:129" x14ac:dyDescent="0.2">
      <c r="DY19192" s="185" t="s">
        <v>215</v>
      </c>
    </row>
    <row r="19193" spans="129:129" x14ac:dyDescent="0.2">
      <c r="DY19193" s="185" t="s">
        <v>215</v>
      </c>
    </row>
    <row r="19194" spans="129:129" x14ac:dyDescent="0.2">
      <c r="DY19194" s="185" t="s">
        <v>215</v>
      </c>
    </row>
    <row r="19195" spans="129:129" x14ac:dyDescent="0.2">
      <c r="DY19195" s="185" t="s">
        <v>215</v>
      </c>
    </row>
    <row r="19196" spans="129:129" x14ac:dyDescent="0.2">
      <c r="DY19196" s="185" t="s">
        <v>215</v>
      </c>
    </row>
    <row r="19197" spans="129:129" x14ac:dyDescent="0.2">
      <c r="DY19197" s="185" t="s">
        <v>215</v>
      </c>
    </row>
    <row r="19198" spans="129:129" x14ac:dyDescent="0.2">
      <c r="DY19198" s="185" t="s">
        <v>215</v>
      </c>
    </row>
    <row r="19199" spans="129:129" x14ac:dyDescent="0.2">
      <c r="DY19199" s="185" t="s">
        <v>215</v>
      </c>
    </row>
    <row r="19200" spans="129:129" x14ac:dyDescent="0.2">
      <c r="DY19200" s="185" t="s">
        <v>215</v>
      </c>
    </row>
    <row r="19201" spans="129:129" x14ac:dyDescent="0.2">
      <c r="DY19201" s="185" t="s">
        <v>215</v>
      </c>
    </row>
    <row r="19202" spans="129:129" x14ac:dyDescent="0.2">
      <c r="DY19202" s="185" t="s">
        <v>215</v>
      </c>
    </row>
    <row r="19203" spans="129:129" x14ac:dyDescent="0.2">
      <c r="DY19203" s="185" t="s">
        <v>215</v>
      </c>
    </row>
    <row r="19204" spans="129:129" x14ac:dyDescent="0.2">
      <c r="DY19204" s="185" t="s">
        <v>215</v>
      </c>
    </row>
    <row r="19205" spans="129:129" x14ac:dyDescent="0.2">
      <c r="DY19205" s="185" t="s">
        <v>215</v>
      </c>
    </row>
    <row r="19206" spans="129:129" x14ac:dyDescent="0.2">
      <c r="DY19206" s="185" t="s">
        <v>215</v>
      </c>
    </row>
    <row r="19207" spans="129:129" x14ac:dyDescent="0.2">
      <c r="DY19207" s="185" t="s">
        <v>215</v>
      </c>
    </row>
    <row r="19208" spans="129:129" x14ac:dyDescent="0.2">
      <c r="DY19208" s="185" t="s">
        <v>215</v>
      </c>
    </row>
    <row r="19209" spans="129:129" x14ac:dyDescent="0.2">
      <c r="DY19209" s="185" t="s">
        <v>215</v>
      </c>
    </row>
    <row r="19210" spans="129:129" x14ac:dyDescent="0.2">
      <c r="DY19210" s="185" t="s">
        <v>215</v>
      </c>
    </row>
    <row r="19211" spans="129:129" x14ac:dyDescent="0.2">
      <c r="DY19211" s="185" t="s">
        <v>215</v>
      </c>
    </row>
    <row r="19212" spans="129:129" x14ac:dyDescent="0.2">
      <c r="DY19212" s="185" t="s">
        <v>215</v>
      </c>
    </row>
    <row r="19213" spans="129:129" x14ac:dyDescent="0.2">
      <c r="DY19213" s="185" t="s">
        <v>215</v>
      </c>
    </row>
    <row r="19214" spans="129:129" x14ac:dyDescent="0.2">
      <c r="DY19214" s="185" t="s">
        <v>215</v>
      </c>
    </row>
    <row r="19215" spans="129:129" x14ac:dyDescent="0.2">
      <c r="DY19215" s="185" t="s">
        <v>215</v>
      </c>
    </row>
    <row r="19216" spans="129:129" x14ac:dyDescent="0.2">
      <c r="DY19216" s="185" t="s">
        <v>215</v>
      </c>
    </row>
    <row r="19217" spans="129:129" x14ac:dyDescent="0.2">
      <c r="DY19217" s="185" t="s">
        <v>215</v>
      </c>
    </row>
    <row r="19218" spans="129:129" x14ac:dyDescent="0.2">
      <c r="DY19218" s="185" t="s">
        <v>215</v>
      </c>
    </row>
    <row r="19219" spans="129:129" x14ac:dyDescent="0.2">
      <c r="DY19219" s="185" t="s">
        <v>215</v>
      </c>
    </row>
    <row r="19220" spans="129:129" x14ac:dyDescent="0.2">
      <c r="DY19220" s="185" t="s">
        <v>215</v>
      </c>
    </row>
    <row r="19221" spans="129:129" x14ac:dyDescent="0.2">
      <c r="DY19221" s="185" t="s">
        <v>215</v>
      </c>
    </row>
    <row r="19222" spans="129:129" x14ac:dyDescent="0.2">
      <c r="DY19222" s="185" t="s">
        <v>215</v>
      </c>
    </row>
    <row r="19223" spans="129:129" x14ac:dyDescent="0.2">
      <c r="DY19223" s="185" t="s">
        <v>215</v>
      </c>
    </row>
    <row r="19224" spans="129:129" x14ac:dyDescent="0.2">
      <c r="DY19224" s="185" t="s">
        <v>215</v>
      </c>
    </row>
    <row r="19225" spans="129:129" x14ac:dyDescent="0.2">
      <c r="DY19225" s="185" t="s">
        <v>215</v>
      </c>
    </row>
    <row r="19226" spans="129:129" x14ac:dyDescent="0.2">
      <c r="DY19226" s="185" t="s">
        <v>215</v>
      </c>
    </row>
    <row r="19227" spans="129:129" x14ac:dyDescent="0.2">
      <c r="DY19227" s="185" t="s">
        <v>215</v>
      </c>
    </row>
    <row r="19228" spans="129:129" x14ac:dyDescent="0.2">
      <c r="DY19228" s="185" t="s">
        <v>215</v>
      </c>
    </row>
    <row r="19229" spans="129:129" x14ac:dyDescent="0.2">
      <c r="DY19229" s="185" t="s">
        <v>215</v>
      </c>
    </row>
    <row r="19230" spans="129:129" x14ac:dyDescent="0.2">
      <c r="DY19230" s="185" t="s">
        <v>215</v>
      </c>
    </row>
    <row r="19231" spans="129:129" x14ac:dyDescent="0.2">
      <c r="DY19231" s="185" t="s">
        <v>215</v>
      </c>
    </row>
    <row r="19232" spans="129:129" x14ac:dyDescent="0.2">
      <c r="DY19232" s="185" t="s">
        <v>215</v>
      </c>
    </row>
    <row r="19233" spans="129:129" x14ac:dyDescent="0.2">
      <c r="DY19233" s="185" t="s">
        <v>215</v>
      </c>
    </row>
    <row r="19234" spans="129:129" x14ac:dyDescent="0.2">
      <c r="DY19234" s="185" t="s">
        <v>215</v>
      </c>
    </row>
    <row r="19235" spans="129:129" x14ac:dyDescent="0.2">
      <c r="DY19235" s="185" t="s">
        <v>215</v>
      </c>
    </row>
    <row r="19236" spans="129:129" x14ac:dyDescent="0.2">
      <c r="DY19236" s="185" t="s">
        <v>215</v>
      </c>
    </row>
    <row r="19237" spans="129:129" x14ac:dyDescent="0.2">
      <c r="DY19237" s="185" t="s">
        <v>215</v>
      </c>
    </row>
    <row r="19238" spans="129:129" x14ac:dyDescent="0.2">
      <c r="DY19238" s="185" t="s">
        <v>215</v>
      </c>
    </row>
    <row r="19239" spans="129:129" x14ac:dyDescent="0.2">
      <c r="DY19239" s="185" t="s">
        <v>215</v>
      </c>
    </row>
    <row r="19240" spans="129:129" x14ac:dyDescent="0.2">
      <c r="DY19240" s="185" t="s">
        <v>215</v>
      </c>
    </row>
    <row r="19241" spans="129:129" x14ac:dyDescent="0.2">
      <c r="DY19241" s="185" t="s">
        <v>215</v>
      </c>
    </row>
    <row r="19242" spans="129:129" x14ac:dyDescent="0.2">
      <c r="DY19242" s="185" t="s">
        <v>215</v>
      </c>
    </row>
    <row r="19243" spans="129:129" x14ac:dyDescent="0.2">
      <c r="DY19243" s="185" t="s">
        <v>215</v>
      </c>
    </row>
    <row r="19244" spans="129:129" x14ac:dyDescent="0.2">
      <c r="DY19244" s="185" t="s">
        <v>215</v>
      </c>
    </row>
    <row r="19245" spans="129:129" x14ac:dyDescent="0.2">
      <c r="DY19245" s="185" t="s">
        <v>215</v>
      </c>
    </row>
    <row r="19246" spans="129:129" x14ac:dyDescent="0.2">
      <c r="DY19246" s="185" t="s">
        <v>215</v>
      </c>
    </row>
    <row r="19247" spans="129:129" x14ac:dyDescent="0.2">
      <c r="DY19247" s="185" t="s">
        <v>215</v>
      </c>
    </row>
    <row r="19248" spans="129:129" x14ac:dyDescent="0.2">
      <c r="DY19248" s="185" t="s">
        <v>215</v>
      </c>
    </row>
    <row r="19249" spans="129:129" x14ac:dyDescent="0.2">
      <c r="DY19249" s="185" t="s">
        <v>215</v>
      </c>
    </row>
    <row r="19250" spans="129:129" x14ac:dyDescent="0.2">
      <c r="DY19250" s="185" t="s">
        <v>215</v>
      </c>
    </row>
    <row r="19251" spans="129:129" x14ac:dyDescent="0.2">
      <c r="DY19251" s="185" t="s">
        <v>215</v>
      </c>
    </row>
    <row r="19252" spans="129:129" x14ac:dyDescent="0.2">
      <c r="DY19252" s="185" t="s">
        <v>215</v>
      </c>
    </row>
    <row r="19253" spans="129:129" x14ac:dyDescent="0.2">
      <c r="DY19253" s="185" t="s">
        <v>215</v>
      </c>
    </row>
    <row r="19254" spans="129:129" x14ac:dyDescent="0.2">
      <c r="DY19254" s="185" t="s">
        <v>215</v>
      </c>
    </row>
    <row r="19255" spans="129:129" x14ac:dyDescent="0.2">
      <c r="DY19255" s="185" t="s">
        <v>215</v>
      </c>
    </row>
    <row r="19256" spans="129:129" x14ac:dyDescent="0.2">
      <c r="DY19256" s="185" t="s">
        <v>215</v>
      </c>
    </row>
    <row r="19257" spans="129:129" x14ac:dyDescent="0.2">
      <c r="DY19257" s="185" t="s">
        <v>215</v>
      </c>
    </row>
    <row r="19258" spans="129:129" x14ac:dyDescent="0.2">
      <c r="DY19258" s="185" t="s">
        <v>215</v>
      </c>
    </row>
    <row r="19259" spans="129:129" x14ac:dyDescent="0.2">
      <c r="DY19259" s="185" t="s">
        <v>215</v>
      </c>
    </row>
    <row r="19260" spans="129:129" x14ac:dyDescent="0.2">
      <c r="DY19260" s="185" t="s">
        <v>215</v>
      </c>
    </row>
    <row r="19261" spans="129:129" x14ac:dyDescent="0.2">
      <c r="DY19261" s="185" t="s">
        <v>215</v>
      </c>
    </row>
    <row r="19262" spans="129:129" x14ac:dyDescent="0.2">
      <c r="DY19262" s="185" t="s">
        <v>215</v>
      </c>
    </row>
    <row r="19263" spans="129:129" x14ac:dyDescent="0.2">
      <c r="DY19263" s="185" t="s">
        <v>215</v>
      </c>
    </row>
    <row r="19264" spans="129:129" x14ac:dyDescent="0.2">
      <c r="DY19264" s="185" t="s">
        <v>215</v>
      </c>
    </row>
    <row r="19265" spans="129:129" x14ac:dyDescent="0.2">
      <c r="DY19265" s="185" t="s">
        <v>215</v>
      </c>
    </row>
    <row r="19266" spans="129:129" x14ac:dyDescent="0.2">
      <c r="DY19266" s="185" t="s">
        <v>215</v>
      </c>
    </row>
    <row r="19267" spans="129:129" x14ac:dyDescent="0.2">
      <c r="DY19267" s="185" t="s">
        <v>215</v>
      </c>
    </row>
    <row r="19268" spans="129:129" x14ac:dyDescent="0.2">
      <c r="DY19268" s="185" t="s">
        <v>215</v>
      </c>
    </row>
    <row r="19269" spans="129:129" x14ac:dyDescent="0.2">
      <c r="DY19269" s="185" t="s">
        <v>215</v>
      </c>
    </row>
    <row r="19270" spans="129:129" x14ac:dyDescent="0.2">
      <c r="DY19270" s="185" t="s">
        <v>215</v>
      </c>
    </row>
    <row r="19271" spans="129:129" x14ac:dyDescent="0.2">
      <c r="DY19271" s="185" t="s">
        <v>215</v>
      </c>
    </row>
    <row r="19272" spans="129:129" x14ac:dyDescent="0.2">
      <c r="DY19272" s="185" t="s">
        <v>215</v>
      </c>
    </row>
    <row r="19273" spans="129:129" x14ac:dyDescent="0.2">
      <c r="DY19273" s="185" t="s">
        <v>215</v>
      </c>
    </row>
    <row r="19274" spans="129:129" x14ac:dyDescent="0.2">
      <c r="DY19274" s="185" t="s">
        <v>215</v>
      </c>
    </row>
    <row r="19275" spans="129:129" x14ac:dyDescent="0.2">
      <c r="DY19275" s="185" t="s">
        <v>215</v>
      </c>
    </row>
    <row r="19276" spans="129:129" x14ac:dyDescent="0.2">
      <c r="DY19276" s="185" t="s">
        <v>215</v>
      </c>
    </row>
    <row r="19277" spans="129:129" x14ac:dyDescent="0.2">
      <c r="DY19277" s="185" t="s">
        <v>215</v>
      </c>
    </row>
    <row r="19278" spans="129:129" x14ac:dyDescent="0.2">
      <c r="DY19278" s="185" t="s">
        <v>215</v>
      </c>
    </row>
    <row r="19279" spans="129:129" x14ac:dyDescent="0.2">
      <c r="DY19279" s="185" t="s">
        <v>215</v>
      </c>
    </row>
    <row r="19280" spans="129:129" x14ac:dyDescent="0.2">
      <c r="DY19280" s="185" t="s">
        <v>215</v>
      </c>
    </row>
    <row r="19281" spans="129:129" x14ac:dyDescent="0.2">
      <c r="DY19281" s="185" t="s">
        <v>215</v>
      </c>
    </row>
    <row r="19282" spans="129:129" x14ac:dyDescent="0.2">
      <c r="DY19282" s="185" t="s">
        <v>215</v>
      </c>
    </row>
    <row r="19283" spans="129:129" x14ac:dyDescent="0.2">
      <c r="DY19283" s="185" t="s">
        <v>215</v>
      </c>
    </row>
    <row r="19284" spans="129:129" x14ac:dyDescent="0.2">
      <c r="DY19284" s="185" t="s">
        <v>215</v>
      </c>
    </row>
    <row r="19285" spans="129:129" x14ac:dyDescent="0.2">
      <c r="DY19285" s="185" t="s">
        <v>215</v>
      </c>
    </row>
    <row r="19286" spans="129:129" x14ac:dyDescent="0.2">
      <c r="DY19286" s="185" t="s">
        <v>215</v>
      </c>
    </row>
    <row r="19287" spans="129:129" x14ac:dyDescent="0.2">
      <c r="DY19287" s="185" t="s">
        <v>215</v>
      </c>
    </row>
    <row r="19288" spans="129:129" x14ac:dyDescent="0.2">
      <c r="DY19288" s="185" t="s">
        <v>215</v>
      </c>
    </row>
    <row r="19289" spans="129:129" x14ac:dyDescent="0.2">
      <c r="DY19289" s="185" t="s">
        <v>215</v>
      </c>
    </row>
    <row r="19290" spans="129:129" x14ac:dyDescent="0.2">
      <c r="DY19290" s="185" t="s">
        <v>215</v>
      </c>
    </row>
    <row r="19291" spans="129:129" x14ac:dyDescent="0.2">
      <c r="DY19291" s="185" t="s">
        <v>215</v>
      </c>
    </row>
    <row r="19292" spans="129:129" x14ac:dyDescent="0.2">
      <c r="DY19292" s="185" t="s">
        <v>215</v>
      </c>
    </row>
    <row r="19293" spans="129:129" x14ac:dyDescent="0.2">
      <c r="DY19293" s="185" t="s">
        <v>215</v>
      </c>
    </row>
    <row r="19294" spans="129:129" x14ac:dyDescent="0.2">
      <c r="DY19294" s="185" t="s">
        <v>215</v>
      </c>
    </row>
    <row r="19295" spans="129:129" x14ac:dyDescent="0.2">
      <c r="DY19295" s="185" t="s">
        <v>215</v>
      </c>
    </row>
    <row r="19296" spans="129:129" x14ac:dyDescent="0.2">
      <c r="DY19296" s="185" t="s">
        <v>215</v>
      </c>
    </row>
    <row r="19297" spans="129:129" x14ac:dyDescent="0.2">
      <c r="DY19297" s="185" t="s">
        <v>215</v>
      </c>
    </row>
    <row r="19298" spans="129:129" x14ac:dyDescent="0.2">
      <c r="DY19298" s="185" t="s">
        <v>215</v>
      </c>
    </row>
    <row r="19299" spans="129:129" x14ac:dyDescent="0.2">
      <c r="DY19299" s="185" t="s">
        <v>215</v>
      </c>
    </row>
    <row r="19300" spans="129:129" x14ac:dyDescent="0.2">
      <c r="DY19300" s="185" t="s">
        <v>215</v>
      </c>
    </row>
    <row r="19301" spans="129:129" x14ac:dyDescent="0.2">
      <c r="DY19301" s="185" t="s">
        <v>215</v>
      </c>
    </row>
    <row r="19302" spans="129:129" x14ac:dyDescent="0.2">
      <c r="DY19302" s="185" t="s">
        <v>215</v>
      </c>
    </row>
    <row r="19303" spans="129:129" x14ac:dyDescent="0.2">
      <c r="DY19303" s="185" t="s">
        <v>215</v>
      </c>
    </row>
    <row r="19304" spans="129:129" x14ac:dyDescent="0.2">
      <c r="DY19304" s="185" t="s">
        <v>215</v>
      </c>
    </row>
    <row r="19305" spans="129:129" x14ac:dyDescent="0.2">
      <c r="DY19305" s="185" t="s">
        <v>215</v>
      </c>
    </row>
    <row r="19306" spans="129:129" x14ac:dyDescent="0.2">
      <c r="DY19306" s="185" t="s">
        <v>215</v>
      </c>
    </row>
    <row r="19307" spans="129:129" x14ac:dyDescent="0.2">
      <c r="DY19307" s="185" t="s">
        <v>215</v>
      </c>
    </row>
    <row r="19308" spans="129:129" x14ac:dyDescent="0.2">
      <c r="DY19308" s="185" t="s">
        <v>215</v>
      </c>
    </row>
    <row r="19309" spans="129:129" x14ac:dyDescent="0.2">
      <c r="DY19309" s="185" t="s">
        <v>215</v>
      </c>
    </row>
    <row r="19310" spans="129:129" x14ac:dyDescent="0.2">
      <c r="DY19310" s="185" t="s">
        <v>215</v>
      </c>
    </row>
    <row r="19311" spans="129:129" x14ac:dyDescent="0.2">
      <c r="DY19311" s="185" t="s">
        <v>215</v>
      </c>
    </row>
    <row r="19312" spans="129:129" x14ac:dyDescent="0.2">
      <c r="DY19312" s="185" t="s">
        <v>215</v>
      </c>
    </row>
    <row r="19313" spans="129:129" x14ac:dyDescent="0.2">
      <c r="DY19313" s="185" t="s">
        <v>215</v>
      </c>
    </row>
    <row r="19314" spans="129:129" x14ac:dyDescent="0.2">
      <c r="DY19314" s="185" t="s">
        <v>215</v>
      </c>
    </row>
    <row r="19315" spans="129:129" x14ac:dyDescent="0.2">
      <c r="DY19315" s="185" t="s">
        <v>215</v>
      </c>
    </row>
    <row r="19316" spans="129:129" x14ac:dyDescent="0.2">
      <c r="DY19316" s="185" t="s">
        <v>215</v>
      </c>
    </row>
    <row r="19317" spans="129:129" x14ac:dyDescent="0.2">
      <c r="DY19317" s="185" t="s">
        <v>215</v>
      </c>
    </row>
    <row r="19318" spans="129:129" x14ac:dyDescent="0.2">
      <c r="DY19318" s="185" t="s">
        <v>215</v>
      </c>
    </row>
    <row r="19319" spans="129:129" x14ac:dyDescent="0.2">
      <c r="DY19319" s="185" t="s">
        <v>215</v>
      </c>
    </row>
    <row r="19320" spans="129:129" x14ac:dyDescent="0.2">
      <c r="DY19320" s="185" t="s">
        <v>215</v>
      </c>
    </row>
    <row r="19321" spans="129:129" x14ac:dyDescent="0.2">
      <c r="DY19321" s="185" t="s">
        <v>215</v>
      </c>
    </row>
    <row r="19322" spans="129:129" x14ac:dyDescent="0.2">
      <c r="DY19322" s="185" t="s">
        <v>215</v>
      </c>
    </row>
    <row r="19323" spans="129:129" x14ac:dyDescent="0.2">
      <c r="DY19323" s="185" t="s">
        <v>215</v>
      </c>
    </row>
    <row r="19324" spans="129:129" x14ac:dyDescent="0.2">
      <c r="DY19324" s="185" t="s">
        <v>215</v>
      </c>
    </row>
    <row r="19325" spans="129:129" x14ac:dyDescent="0.2">
      <c r="DY19325" s="185" t="s">
        <v>215</v>
      </c>
    </row>
    <row r="19326" spans="129:129" x14ac:dyDescent="0.2">
      <c r="DY19326" s="185" t="s">
        <v>215</v>
      </c>
    </row>
    <row r="19327" spans="129:129" x14ac:dyDescent="0.2">
      <c r="DY19327" s="185" t="s">
        <v>215</v>
      </c>
    </row>
    <row r="19328" spans="129:129" x14ac:dyDescent="0.2">
      <c r="DY19328" s="185" t="s">
        <v>215</v>
      </c>
    </row>
    <row r="19329" spans="129:129" x14ac:dyDescent="0.2">
      <c r="DY19329" s="185" t="s">
        <v>215</v>
      </c>
    </row>
    <row r="19330" spans="129:129" x14ac:dyDescent="0.2">
      <c r="DY19330" s="185" t="s">
        <v>215</v>
      </c>
    </row>
    <row r="19331" spans="129:129" x14ac:dyDescent="0.2">
      <c r="DY19331" s="185" t="s">
        <v>215</v>
      </c>
    </row>
    <row r="19332" spans="129:129" x14ac:dyDescent="0.2">
      <c r="DY19332" s="185" t="s">
        <v>215</v>
      </c>
    </row>
    <row r="19333" spans="129:129" x14ac:dyDescent="0.2">
      <c r="DY19333" s="185" t="s">
        <v>215</v>
      </c>
    </row>
    <row r="19334" spans="129:129" x14ac:dyDescent="0.2">
      <c r="DY19334" s="185" t="s">
        <v>215</v>
      </c>
    </row>
    <row r="19335" spans="129:129" x14ac:dyDescent="0.2">
      <c r="DY19335" s="185" t="s">
        <v>215</v>
      </c>
    </row>
    <row r="19336" spans="129:129" x14ac:dyDescent="0.2">
      <c r="DY19336" s="185" t="s">
        <v>215</v>
      </c>
    </row>
    <row r="19337" spans="129:129" x14ac:dyDescent="0.2">
      <c r="DY19337" s="185" t="s">
        <v>215</v>
      </c>
    </row>
    <row r="19338" spans="129:129" x14ac:dyDescent="0.2">
      <c r="DY19338" s="185" t="s">
        <v>215</v>
      </c>
    </row>
    <row r="19339" spans="129:129" x14ac:dyDescent="0.2">
      <c r="DY19339" s="185" t="s">
        <v>215</v>
      </c>
    </row>
    <row r="19340" spans="129:129" x14ac:dyDescent="0.2">
      <c r="DY19340" s="185" t="s">
        <v>215</v>
      </c>
    </row>
    <row r="19341" spans="129:129" x14ac:dyDescent="0.2">
      <c r="DY19341" s="185" t="s">
        <v>215</v>
      </c>
    </row>
    <row r="19342" spans="129:129" x14ac:dyDescent="0.2">
      <c r="DY19342" s="185" t="s">
        <v>215</v>
      </c>
    </row>
    <row r="19343" spans="129:129" x14ac:dyDescent="0.2">
      <c r="DY19343" s="185" t="s">
        <v>215</v>
      </c>
    </row>
    <row r="19344" spans="129:129" x14ac:dyDescent="0.2">
      <c r="DY19344" s="185" t="s">
        <v>215</v>
      </c>
    </row>
    <row r="19345" spans="129:129" x14ac:dyDescent="0.2">
      <c r="DY19345" s="185" t="s">
        <v>215</v>
      </c>
    </row>
    <row r="19346" spans="129:129" x14ac:dyDescent="0.2">
      <c r="DY19346" s="185" t="s">
        <v>215</v>
      </c>
    </row>
    <row r="19347" spans="129:129" x14ac:dyDescent="0.2">
      <c r="DY19347" s="185" t="s">
        <v>215</v>
      </c>
    </row>
    <row r="19348" spans="129:129" x14ac:dyDescent="0.2">
      <c r="DY19348" s="185" t="s">
        <v>215</v>
      </c>
    </row>
    <row r="19349" spans="129:129" x14ac:dyDescent="0.2">
      <c r="DY19349" s="185" t="s">
        <v>215</v>
      </c>
    </row>
    <row r="19350" spans="129:129" x14ac:dyDescent="0.2">
      <c r="DY19350" s="185" t="s">
        <v>215</v>
      </c>
    </row>
    <row r="19351" spans="129:129" x14ac:dyDescent="0.2">
      <c r="DY19351" s="185" t="s">
        <v>215</v>
      </c>
    </row>
    <row r="19352" spans="129:129" x14ac:dyDescent="0.2">
      <c r="DY19352" s="185" t="s">
        <v>215</v>
      </c>
    </row>
    <row r="19353" spans="129:129" x14ac:dyDescent="0.2">
      <c r="DY19353" s="185" t="s">
        <v>215</v>
      </c>
    </row>
    <row r="19354" spans="129:129" x14ac:dyDescent="0.2">
      <c r="DY19354" s="185" t="s">
        <v>215</v>
      </c>
    </row>
    <row r="19355" spans="129:129" x14ac:dyDescent="0.2">
      <c r="DY19355" s="185" t="s">
        <v>215</v>
      </c>
    </row>
    <row r="19356" spans="129:129" x14ac:dyDescent="0.2">
      <c r="DY19356" s="185" t="s">
        <v>215</v>
      </c>
    </row>
    <row r="19357" spans="129:129" x14ac:dyDescent="0.2">
      <c r="DY19357" s="185" t="s">
        <v>215</v>
      </c>
    </row>
    <row r="19358" spans="129:129" x14ac:dyDescent="0.2">
      <c r="DY19358" s="185" t="s">
        <v>215</v>
      </c>
    </row>
    <row r="19359" spans="129:129" x14ac:dyDescent="0.2">
      <c r="DY19359" s="185" t="s">
        <v>215</v>
      </c>
    </row>
    <row r="19360" spans="129:129" x14ac:dyDescent="0.2">
      <c r="DY19360" s="185" t="s">
        <v>215</v>
      </c>
    </row>
    <row r="19361" spans="129:129" x14ac:dyDescent="0.2">
      <c r="DY19361" s="185" t="s">
        <v>215</v>
      </c>
    </row>
    <row r="19362" spans="129:129" x14ac:dyDescent="0.2">
      <c r="DY19362" s="185" t="s">
        <v>215</v>
      </c>
    </row>
    <row r="19363" spans="129:129" x14ac:dyDescent="0.2">
      <c r="DY19363" s="185" t="s">
        <v>215</v>
      </c>
    </row>
    <row r="19364" spans="129:129" x14ac:dyDescent="0.2">
      <c r="DY19364" s="185" t="s">
        <v>215</v>
      </c>
    </row>
    <row r="19365" spans="129:129" x14ac:dyDescent="0.2">
      <c r="DY19365" s="185" t="s">
        <v>215</v>
      </c>
    </row>
    <row r="19366" spans="129:129" x14ac:dyDescent="0.2">
      <c r="DY19366" s="185" t="s">
        <v>215</v>
      </c>
    </row>
    <row r="19367" spans="129:129" x14ac:dyDescent="0.2">
      <c r="DY19367" s="185" t="s">
        <v>215</v>
      </c>
    </row>
    <row r="19368" spans="129:129" x14ac:dyDescent="0.2">
      <c r="DY19368" s="185" t="s">
        <v>215</v>
      </c>
    </row>
    <row r="19369" spans="129:129" x14ac:dyDescent="0.2">
      <c r="DY19369" s="185" t="s">
        <v>215</v>
      </c>
    </row>
    <row r="19370" spans="129:129" x14ac:dyDescent="0.2">
      <c r="DY19370" s="185" t="s">
        <v>215</v>
      </c>
    </row>
    <row r="19371" spans="129:129" x14ac:dyDescent="0.2">
      <c r="DY19371" s="185" t="s">
        <v>215</v>
      </c>
    </row>
    <row r="19372" spans="129:129" x14ac:dyDescent="0.2">
      <c r="DY19372" s="185" t="s">
        <v>215</v>
      </c>
    </row>
    <row r="19373" spans="129:129" x14ac:dyDescent="0.2">
      <c r="DY19373" s="185" t="s">
        <v>215</v>
      </c>
    </row>
    <row r="19374" spans="129:129" x14ac:dyDescent="0.2">
      <c r="DY19374" s="185" t="s">
        <v>215</v>
      </c>
    </row>
    <row r="19375" spans="129:129" x14ac:dyDescent="0.2">
      <c r="DY19375" s="185" t="s">
        <v>215</v>
      </c>
    </row>
    <row r="19376" spans="129:129" x14ac:dyDescent="0.2">
      <c r="DY19376" s="185" t="s">
        <v>215</v>
      </c>
    </row>
    <row r="19377" spans="129:129" x14ac:dyDescent="0.2">
      <c r="DY19377" s="185" t="s">
        <v>215</v>
      </c>
    </row>
    <row r="19378" spans="129:129" x14ac:dyDescent="0.2">
      <c r="DY19378" s="185" t="s">
        <v>215</v>
      </c>
    </row>
    <row r="19379" spans="129:129" x14ac:dyDescent="0.2">
      <c r="DY19379" s="185" t="s">
        <v>215</v>
      </c>
    </row>
    <row r="19380" spans="129:129" x14ac:dyDescent="0.2">
      <c r="DY19380" s="185" t="s">
        <v>215</v>
      </c>
    </row>
    <row r="19381" spans="129:129" x14ac:dyDescent="0.2">
      <c r="DY19381" s="185" t="s">
        <v>215</v>
      </c>
    </row>
    <row r="19382" spans="129:129" x14ac:dyDescent="0.2">
      <c r="DY19382" s="185" t="s">
        <v>215</v>
      </c>
    </row>
    <row r="19383" spans="129:129" x14ac:dyDescent="0.2">
      <c r="DY19383" s="185" t="s">
        <v>215</v>
      </c>
    </row>
    <row r="19384" spans="129:129" x14ac:dyDescent="0.2">
      <c r="DY19384" s="185" t="s">
        <v>215</v>
      </c>
    </row>
    <row r="19385" spans="129:129" x14ac:dyDescent="0.2">
      <c r="DY19385" s="185" t="s">
        <v>215</v>
      </c>
    </row>
    <row r="19386" spans="129:129" x14ac:dyDescent="0.2">
      <c r="DY19386" s="185" t="s">
        <v>215</v>
      </c>
    </row>
    <row r="19387" spans="129:129" x14ac:dyDescent="0.2">
      <c r="DY19387" s="185" t="s">
        <v>215</v>
      </c>
    </row>
    <row r="19388" spans="129:129" x14ac:dyDescent="0.2">
      <c r="DY19388" s="185" t="s">
        <v>215</v>
      </c>
    </row>
    <row r="19389" spans="129:129" x14ac:dyDescent="0.2">
      <c r="DY19389" s="185" t="s">
        <v>215</v>
      </c>
    </row>
    <row r="19390" spans="129:129" x14ac:dyDescent="0.2">
      <c r="DY19390" s="185" t="s">
        <v>215</v>
      </c>
    </row>
    <row r="19391" spans="129:129" x14ac:dyDescent="0.2">
      <c r="DY19391" s="185" t="s">
        <v>215</v>
      </c>
    </row>
    <row r="19392" spans="129:129" x14ac:dyDescent="0.2">
      <c r="DY19392" s="185" t="s">
        <v>215</v>
      </c>
    </row>
    <row r="19393" spans="129:129" x14ac:dyDescent="0.2">
      <c r="DY19393" s="185" t="s">
        <v>215</v>
      </c>
    </row>
    <row r="19394" spans="129:129" x14ac:dyDescent="0.2">
      <c r="DY19394" s="185" t="s">
        <v>215</v>
      </c>
    </row>
    <row r="19395" spans="129:129" x14ac:dyDescent="0.2">
      <c r="DY19395" s="185" t="s">
        <v>215</v>
      </c>
    </row>
    <row r="19396" spans="129:129" x14ac:dyDescent="0.2">
      <c r="DY19396" s="185" t="s">
        <v>215</v>
      </c>
    </row>
    <row r="19397" spans="129:129" x14ac:dyDescent="0.2">
      <c r="DY19397" s="185" t="s">
        <v>215</v>
      </c>
    </row>
    <row r="19398" spans="129:129" x14ac:dyDescent="0.2">
      <c r="DY19398" s="185" t="s">
        <v>215</v>
      </c>
    </row>
    <row r="19399" spans="129:129" x14ac:dyDescent="0.2">
      <c r="DY19399" s="185" t="s">
        <v>215</v>
      </c>
    </row>
    <row r="19400" spans="129:129" x14ac:dyDescent="0.2">
      <c r="DY19400" s="185" t="s">
        <v>215</v>
      </c>
    </row>
    <row r="19401" spans="129:129" x14ac:dyDescent="0.2">
      <c r="DY19401" s="185" t="s">
        <v>215</v>
      </c>
    </row>
    <row r="19402" spans="129:129" x14ac:dyDescent="0.2">
      <c r="DY19402" s="185" t="s">
        <v>215</v>
      </c>
    </row>
    <row r="19403" spans="129:129" x14ac:dyDescent="0.2">
      <c r="DY19403" s="185" t="s">
        <v>215</v>
      </c>
    </row>
    <row r="19404" spans="129:129" x14ac:dyDescent="0.2">
      <c r="DY19404" s="185" t="s">
        <v>215</v>
      </c>
    </row>
    <row r="19405" spans="129:129" x14ac:dyDescent="0.2">
      <c r="DY19405" s="185" t="s">
        <v>215</v>
      </c>
    </row>
    <row r="19406" spans="129:129" x14ac:dyDescent="0.2">
      <c r="DY19406" s="185" t="s">
        <v>215</v>
      </c>
    </row>
    <row r="19407" spans="129:129" x14ac:dyDescent="0.2">
      <c r="DY19407" s="185" t="s">
        <v>215</v>
      </c>
    </row>
    <row r="19408" spans="129:129" x14ac:dyDescent="0.2">
      <c r="DY19408" s="185" t="s">
        <v>215</v>
      </c>
    </row>
    <row r="19409" spans="129:129" x14ac:dyDescent="0.2">
      <c r="DY19409" s="185" t="s">
        <v>215</v>
      </c>
    </row>
    <row r="19410" spans="129:129" x14ac:dyDescent="0.2">
      <c r="DY19410" s="185" t="s">
        <v>215</v>
      </c>
    </row>
    <row r="19411" spans="129:129" x14ac:dyDescent="0.2">
      <c r="DY19411" s="185" t="s">
        <v>215</v>
      </c>
    </row>
    <row r="19412" spans="129:129" x14ac:dyDescent="0.2">
      <c r="DY19412" s="185" t="s">
        <v>215</v>
      </c>
    </row>
    <row r="19413" spans="129:129" x14ac:dyDescent="0.2">
      <c r="DY19413" s="185" t="s">
        <v>215</v>
      </c>
    </row>
    <row r="19414" spans="129:129" x14ac:dyDescent="0.2">
      <c r="DY19414" s="185" t="s">
        <v>215</v>
      </c>
    </row>
    <row r="19415" spans="129:129" x14ac:dyDescent="0.2">
      <c r="DY19415" s="185" t="s">
        <v>215</v>
      </c>
    </row>
    <row r="19416" spans="129:129" x14ac:dyDescent="0.2">
      <c r="DY19416" s="185" t="s">
        <v>215</v>
      </c>
    </row>
    <row r="19417" spans="129:129" x14ac:dyDescent="0.2">
      <c r="DY19417" s="185" t="s">
        <v>215</v>
      </c>
    </row>
    <row r="19418" spans="129:129" x14ac:dyDescent="0.2">
      <c r="DY19418" s="185" t="s">
        <v>215</v>
      </c>
    </row>
    <row r="19419" spans="129:129" x14ac:dyDescent="0.2">
      <c r="DY19419" s="185" t="s">
        <v>215</v>
      </c>
    </row>
    <row r="19420" spans="129:129" x14ac:dyDescent="0.2">
      <c r="DY19420" s="185" t="s">
        <v>215</v>
      </c>
    </row>
    <row r="19421" spans="129:129" x14ac:dyDescent="0.2">
      <c r="DY19421" s="185" t="s">
        <v>215</v>
      </c>
    </row>
    <row r="19422" spans="129:129" x14ac:dyDescent="0.2">
      <c r="DY19422" s="185" t="s">
        <v>215</v>
      </c>
    </row>
    <row r="19423" spans="129:129" x14ac:dyDescent="0.2">
      <c r="DY19423" s="185" t="s">
        <v>215</v>
      </c>
    </row>
    <row r="19424" spans="129:129" x14ac:dyDescent="0.2">
      <c r="DY19424" s="185" t="s">
        <v>215</v>
      </c>
    </row>
    <row r="19425" spans="129:129" x14ac:dyDescent="0.2">
      <c r="DY19425" s="185" t="s">
        <v>215</v>
      </c>
    </row>
    <row r="19426" spans="129:129" x14ac:dyDescent="0.2">
      <c r="DY19426" s="185" t="s">
        <v>215</v>
      </c>
    </row>
    <row r="19427" spans="129:129" x14ac:dyDescent="0.2">
      <c r="DY19427" s="185" t="s">
        <v>215</v>
      </c>
    </row>
    <row r="19428" spans="129:129" x14ac:dyDescent="0.2">
      <c r="DY19428" s="185" t="s">
        <v>215</v>
      </c>
    </row>
    <row r="19429" spans="129:129" x14ac:dyDescent="0.2">
      <c r="DY19429" s="185" t="s">
        <v>215</v>
      </c>
    </row>
    <row r="19430" spans="129:129" x14ac:dyDescent="0.2">
      <c r="DY19430" s="185" t="s">
        <v>215</v>
      </c>
    </row>
    <row r="19431" spans="129:129" x14ac:dyDescent="0.2">
      <c r="DY19431" s="185" t="s">
        <v>215</v>
      </c>
    </row>
    <row r="19432" spans="129:129" x14ac:dyDescent="0.2">
      <c r="DY19432" s="185" t="s">
        <v>215</v>
      </c>
    </row>
    <row r="19433" spans="129:129" x14ac:dyDescent="0.2">
      <c r="DY19433" s="185" t="s">
        <v>215</v>
      </c>
    </row>
    <row r="19434" spans="129:129" x14ac:dyDescent="0.2">
      <c r="DY19434" s="185" t="s">
        <v>215</v>
      </c>
    </row>
    <row r="19435" spans="129:129" x14ac:dyDescent="0.2">
      <c r="DY19435" s="185" t="s">
        <v>215</v>
      </c>
    </row>
    <row r="19436" spans="129:129" x14ac:dyDescent="0.2">
      <c r="DY19436" s="185" t="s">
        <v>215</v>
      </c>
    </row>
    <row r="19437" spans="129:129" x14ac:dyDescent="0.2">
      <c r="DY19437" s="185" t="s">
        <v>215</v>
      </c>
    </row>
    <row r="19438" spans="129:129" x14ac:dyDescent="0.2">
      <c r="DY19438" s="185" t="s">
        <v>215</v>
      </c>
    </row>
    <row r="19439" spans="129:129" x14ac:dyDescent="0.2">
      <c r="DY19439" s="185" t="s">
        <v>215</v>
      </c>
    </row>
    <row r="19440" spans="129:129" x14ac:dyDescent="0.2">
      <c r="DY19440" s="185" t="s">
        <v>215</v>
      </c>
    </row>
    <row r="19441" spans="129:129" x14ac:dyDescent="0.2">
      <c r="DY19441" s="185" t="s">
        <v>215</v>
      </c>
    </row>
    <row r="19442" spans="129:129" x14ac:dyDescent="0.2">
      <c r="DY19442" s="185" t="s">
        <v>215</v>
      </c>
    </row>
    <row r="19443" spans="129:129" x14ac:dyDescent="0.2">
      <c r="DY19443" s="185" t="s">
        <v>215</v>
      </c>
    </row>
    <row r="19444" spans="129:129" x14ac:dyDescent="0.2">
      <c r="DY19444" s="185" t="s">
        <v>215</v>
      </c>
    </row>
    <row r="19445" spans="129:129" x14ac:dyDescent="0.2">
      <c r="DY19445" s="185" t="s">
        <v>215</v>
      </c>
    </row>
    <row r="19446" spans="129:129" x14ac:dyDescent="0.2">
      <c r="DY19446" s="185" t="s">
        <v>215</v>
      </c>
    </row>
    <row r="19447" spans="129:129" x14ac:dyDescent="0.2">
      <c r="DY19447" s="185" t="s">
        <v>215</v>
      </c>
    </row>
    <row r="19448" spans="129:129" x14ac:dyDescent="0.2">
      <c r="DY19448" s="185" t="s">
        <v>215</v>
      </c>
    </row>
    <row r="19449" spans="129:129" x14ac:dyDescent="0.2">
      <c r="DY19449" s="185" t="s">
        <v>215</v>
      </c>
    </row>
    <row r="19450" spans="129:129" x14ac:dyDescent="0.2">
      <c r="DY19450" s="185" t="s">
        <v>215</v>
      </c>
    </row>
    <row r="19451" spans="129:129" x14ac:dyDescent="0.2">
      <c r="DY19451" s="185" t="s">
        <v>215</v>
      </c>
    </row>
    <row r="19452" spans="129:129" x14ac:dyDescent="0.2">
      <c r="DY19452" s="185" t="s">
        <v>215</v>
      </c>
    </row>
    <row r="19453" spans="129:129" x14ac:dyDescent="0.2">
      <c r="DY19453" s="185" t="s">
        <v>215</v>
      </c>
    </row>
    <row r="19454" spans="129:129" x14ac:dyDescent="0.2">
      <c r="DY19454" s="185" t="s">
        <v>215</v>
      </c>
    </row>
    <row r="19455" spans="129:129" x14ac:dyDescent="0.2">
      <c r="DY19455" s="185" t="s">
        <v>215</v>
      </c>
    </row>
    <row r="19456" spans="129:129" x14ac:dyDescent="0.2">
      <c r="DY19456" s="185" t="s">
        <v>215</v>
      </c>
    </row>
    <row r="19457" spans="129:129" x14ac:dyDescent="0.2">
      <c r="DY19457" s="185" t="s">
        <v>215</v>
      </c>
    </row>
    <row r="19458" spans="129:129" x14ac:dyDescent="0.2">
      <c r="DY19458" s="185" t="s">
        <v>215</v>
      </c>
    </row>
    <row r="19459" spans="129:129" x14ac:dyDescent="0.2">
      <c r="DY19459" s="185" t="s">
        <v>215</v>
      </c>
    </row>
    <row r="19460" spans="129:129" x14ac:dyDescent="0.2">
      <c r="DY19460" s="185" t="s">
        <v>215</v>
      </c>
    </row>
    <row r="19461" spans="129:129" x14ac:dyDescent="0.2">
      <c r="DY19461" s="185" t="s">
        <v>215</v>
      </c>
    </row>
    <row r="19462" spans="129:129" x14ac:dyDescent="0.2">
      <c r="DY19462" s="185" t="s">
        <v>215</v>
      </c>
    </row>
    <row r="19463" spans="129:129" x14ac:dyDescent="0.2">
      <c r="DY19463" s="185" t="s">
        <v>215</v>
      </c>
    </row>
    <row r="19464" spans="129:129" x14ac:dyDescent="0.2">
      <c r="DY19464" s="185" t="s">
        <v>215</v>
      </c>
    </row>
    <row r="19465" spans="129:129" x14ac:dyDescent="0.2">
      <c r="DY19465" s="185" t="s">
        <v>215</v>
      </c>
    </row>
    <row r="19466" spans="129:129" x14ac:dyDescent="0.2">
      <c r="DY19466" s="185" t="s">
        <v>215</v>
      </c>
    </row>
    <row r="19467" spans="129:129" x14ac:dyDescent="0.2">
      <c r="DY19467" s="185" t="s">
        <v>215</v>
      </c>
    </row>
    <row r="19468" spans="129:129" x14ac:dyDescent="0.2">
      <c r="DY19468" s="185" t="s">
        <v>215</v>
      </c>
    </row>
    <row r="19469" spans="129:129" x14ac:dyDescent="0.2">
      <c r="DY19469" s="185" t="s">
        <v>215</v>
      </c>
    </row>
    <row r="19470" spans="129:129" x14ac:dyDescent="0.2">
      <c r="DY19470" s="185" t="s">
        <v>215</v>
      </c>
    </row>
    <row r="19471" spans="129:129" x14ac:dyDescent="0.2">
      <c r="DY19471" s="185" t="s">
        <v>215</v>
      </c>
    </row>
    <row r="19472" spans="129:129" x14ac:dyDescent="0.2">
      <c r="DY19472" s="185" t="s">
        <v>215</v>
      </c>
    </row>
    <row r="19473" spans="129:129" x14ac:dyDescent="0.2">
      <c r="DY19473" s="185" t="s">
        <v>215</v>
      </c>
    </row>
    <row r="19474" spans="129:129" x14ac:dyDescent="0.2">
      <c r="DY19474" s="185" t="s">
        <v>215</v>
      </c>
    </row>
    <row r="19475" spans="129:129" x14ac:dyDescent="0.2">
      <c r="DY19475" s="185" t="s">
        <v>215</v>
      </c>
    </row>
    <row r="19476" spans="129:129" x14ac:dyDescent="0.2">
      <c r="DY19476" s="185" t="s">
        <v>215</v>
      </c>
    </row>
    <row r="19477" spans="129:129" x14ac:dyDescent="0.2">
      <c r="DY19477" s="185" t="s">
        <v>215</v>
      </c>
    </row>
    <row r="19478" spans="129:129" x14ac:dyDescent="0.2">
      <c r="DY19478" s="185" t="s">
        <v>215</v>
      </c>
    </row>
    <row r="19479" spans="129:129" x14ac:dyDescent="0.2">
      <c r="DY19479" s="185" t="s">
        <v>215</v>
      </c>
    </row>
    <row r="19480" spans="129:129" x14ac:dyDescent="0.2">
      <c r="DY19480" s="185" t="s">
        <v>215</v>
      </c>
    </row>
    <row r="19481" spans="129:129" x14ac:dyDescent="0.2">
      <c r="DY19481" s="185" t="s">
        <v>215</v>
      </c>
    </row>
    <row r="19482" spans="129:129" x14ac:dyDescent="0.2">
      <c r="DY19482" s="185" t="s">
        <v>215</v>
      </c>
    </row>
    <row r="19483" spans="129:129" x14ac:dyDescent="0.2">
      <c r="DY19483" s="185" t="s">
        <v>215</v>
      </c>
    </row>
    <row r="19484" spans="129:129" x14ac:dyDescent="0.2">
      <c r="DY19484" s="185" t="s">
        <v>215</v>
      </c>
    </row>
    <row r="19485" spans="129:129" x14ac:dyDescent="0.2">
      <c r="DY19485" s="185" t="s">
        <v>215</v>
      </c>
    </row>
    <row r="19486" spans="129:129" x14ac:dyDescent="0.2">
      <c r="DY19486" s="185" t="s">
        <v>215</v>
      </c>
    </row>
    <row r="19487" spans="129:129" x14ac:dyDescent="0.2">
      <c r="DY19487" s="185" t="s">
        <v>215</v>
      </c>
    </row>
    <row r="19488" spans="129:129" x14ac:dyDescent="0.2">
      <c r="DY19488" s="185" t="s">
        <v>215</v>
      </c>
    </row>
    <row r="19489" spans="129:129" x14ac:dyDescent="0.2">
      <c r="DY19489" s="185" t="s">
        <v>215</v>
      </c>
    </row>
    <row r="19490" spans="129:129" x14ac:dyDescent="0.2">
      <c r="DY19490" s="185" t="s">
        <v>215</v>
      </c>
    </row>
    <row r="19491" spans="129:129" x14ac:dyDescent="0.2">
      <c r="DY19491" s="185" t="s">
        <v>215</v>
      </c>
    </row>
    <row r="19492" spans="129:129" x14ac:dyDescent="0.2">
      <c r="DY19492" s="185" t="s">
        <v>215</v>
      </c>
    </row>
    <row r="19493" spans="129:129" x14ac:dyDescent="0.2">
      <c r="DY19493" s="185" t="s">
        <v>215</v>
      </c>
    </row>
    <row r="19494" spans="129:129" x14ac:dyDescent="0.2">
      <c r="DY19494" s="185" t="s">
        <v>215</v>
      </c>
    </row>
    <row r="19495" spans="129:129" x14ac:dyDescent="0.2">
      <c r="DY19495" s="185" t="s">
        <v>215</v>
      </c>
    </row>
    <row r="19496" spans="129:129" x14ac:dyDescent="0.2">
      <c r="DY19496" s="185" t="s">
        <v>215</v>
      </c>
    </row>
    <row r="19497" spans="129:129" x14ac:dyDescent="0.2">
      <c r="DY19497" s="185" t="s">
        <v>215</v>
      </c>
    </row>
    <row r="19498" spans="129:129" x14ac:dyDescent="0.2">
      <c r="DY19498" s="185" t="s">
        <v>215</v>
      </c>
    </row>
    <row r="19499" spans="129:129" x14ac:dyDescent="0.2">
      <c r="DY19499" s="185" t="s">
        <v>215</v>
      </c>
    </row>
    <row r="19500" spans="129:129" x14ac:dyDescent="0.2">
      <c r="DY19500" s="185" t="s">
        <v>215</v>
      </c>
    </row>
    <row r="19501" spans="129:129" x14ac:dyDescent="0.2">
      <c r="DY19501" s="185" t="s">
        <v>215</v>
      </c>
    </row>
    <row r="19502" spans="129:129" x14ac:dyDescent="0.2">
      <c r="DY19502" s="185" t="s">
        <v>215</v>
      </c>
    </row>
    <row r="19503" spans="129:129" x14ac:dyDescent="0.2">
      <c r="DY19503" s="185" t="s">
        <v>215</v>
      </c>
    </row>
    <row r="19504" spans="129:129" x14ac:dyDescent="0.2">
      <c r="DY19504" s="185" t="s">
        <v>215</v>
      </c>
    </row>
    <row r="19505" spans="129:129" x14ac:dyDescent="0.2">
      <c r="DY19505" s="185" t="s">
        <v>215</v>
      </c>
    </row>
    <row r="19506" spans="129:129" x14ac:dyDescent="0.2">
      <c r="DY19506" s="185" t="s">
        <v>215</v>
      </c>
    </row>
    <row r="19507" spans="129:129" x14ac:dyDescent="0.2">
      <c r="DY19507" s="185" t="s">
        <v>215</v>
      </c>
    </row>
    <row r="19508" spans="129:129" x14ac:dyDescent="0.2">
      <c r="DY19508" s="185" t="s">
        <v>215</v>
      </c>
    </row>
    <row r="19509" spans="129:129" x14ac:dyDescent="0.2">
      <c r="DY19509" s="185" t="s">
        <v>215</v>
      </c>
    </row>
    <row r="19510" spans="129:129" x14ac:dyDescent="0.2">
      <c r="DY19510" s="185" t="s">
        <v>215</v>
      </c>
    </row>
    <row r="19511" spans="129:129" x14ac:dyDescent="0.2">
      <c r="DY19511" s="185" t="s">
        <v>215</v>
      </c>
    </row>
    <row r="19512" spans="129:129" x14ac:dyDescent="0.2">
      <c r="DY19512" s="185" t="s">
        <v>215</v>
      </c>
    </row>
    <row r="19513" spans="129:129" x14ac:dyDescent="0.2">
      <c r="DY19513" s="185" t="s">
        <v>215</v>
      </c>
    </row>
    <row r="19514" spans="129:129" x14ac:dyDescent="0.2">
      <c r="DY19514" s="185" t="s">
        <v>215</v>
      </c>
    </row>
    <row r="19515" spans="129:129" x14ac:dyDescent="0.2">
      <c r="DY19515" s="185" t="s">
        <v>215</v>
      </c>
    </row>
    <row r="19516" spans="129:129" x14ac:dyDescent="0.2">
      <c r="DY19516" s="185" t="s">
        <v>215</v>
      </c>
    </row>
    <row r="19517" spans="129:129" x14ac:dyDescent="0.2">
      <c r="DY19517" s="185" t="s">
        <v>215</v>
      </c>
    </row>
    <row r="19518" spans="129:129" x14ac:dyDescent="0.2">
      <c r="DY19518" s="185" t="s">
        <v>215</v>
      </c>
    </row>
    <row r="19519" spans="129:129" x14ac:dyDescent="0.2">
      <c r="DY19519" s="185" t="s">
        <v>215</v>
      </c>
    </row>
    <row r="19520" spans="129:129" x14ac:dyDescent="0.2">
      <c r="DY19520" s="185" t="s">
        <v>215</v>
      </c>
    </row>
    <row r="19521" spans="129:129" x14ac:dyDescent="0.2">
      <c r="DY19521" s="185" t="s">
        <v>215</v>
      </c>
    </row>
    <row r="19522" spans="129:129" x14ac:dyDescent="0.2">
      <c r="DY19522" s="185" t="s">
        <v>215</v>
      </c>
    </row>
    <row r="19523" spans="129:129" x14ac:dyDescent="0.2">
      <c r="DY19523" s="185" t="s">
        <v>215</v>
      </c>
    </row>
    <row r="19524" spans="129:129" x14ac:dyDescent="0.2">
      <c r="DY19524" s="185" t="s">
        <v>215</v>
      </c>
    </row>
    <row r="19525" spans="129:129" x14ac:dyDescent="0.2">
      <c r="DY19525" s="185" t="s">
        <v>215</v>
      </c>
    </row>
    <row r="19526" spans="129:129" x14ac:dyDescent="0.2">
      <c r="DY19526" s="185" t="s">
        <v>215</v>
      </c>
    </row>
    <row r="19527" spans="129:129" x14ac:dyDescent="0.2">
      <c r="DY19527" s="185" t="s">
        <v>215</v>
      </c>
    </row>
    <row r="19528" spans="129:129" x14ac:dyDescent="0.2">
      <c r="DY19528" s="185" t="s">
        <v>215</v>
      </c>
    </row>
    <row r="19529" spans="129:129" x14ac:dyDescent="0.2">
      <c r="DY19529" s="185" t="s">
        <v>215</v>
      </c>
    </row>
    <row r="19530" spans="129:129" x14ac:dyDescent="0.2">
      <c r="DY19530" s="185" t="s">
        <v>215</v>
      </c>
    </row>
    <row r="19531" spans="129:129" x14ac:dyDescent="0.2">
      <c r="DY19531" s="185" t="s">
        <v>215</v>
      </c>
    </row>
    <row r="19532" spans="129:129" x14ac:dyDescent="0.2">
      <c r="DY19532" s="185" t="s">
        <v>215</v>
      </c>
    </row>
    <row r="19533" spans="129:129" x14ac:dyDescent="0.2">
      <c r="DY19533" s="185" t="s">
        <v>215</v>
      </c>
    </row>
    <row r="19534" spans="129:129" x14ac:dyDescent="0.2">
      <c r="DY19534" s="185" t="s">
        <v>215</v>
      </c>
    </row>
    <row r="19535" spans="129:129" x14ac:dyDescent="0.2">
      <c r="DY19535" s="185" t="s">
        <v>215</v>
      </c>
    </row>
    <row r="19536" spans="129:129" x14ac:dyDescent="0.2">
      <c r="DY19536" s="185" t="s">
        <v>215</v>
      </c>
    </row>
    <row r="19537" spans="129:129" x14ac:dyDescent="0.2">
      <c r="DY19537" s="185" t="s">
        <v>215</v>
      </c>
    </row>
    <row r="19538" spans="129:129" x14ac:dyDescent="0.2">
      <c r="DY19538" s="185" t="s">
        <v>215</v>
      </c>
    </row>
    <row r="19539" spans="129:129" x14ac:dyDescent="0.2">
      <c r="DY19539" s="185" t="s">
        <v>215</v>
      </c>
    </row>
    <row r="19540" spans="129:129" x14ac:dyDescent="0.2">
      <c r="DY19540" s="185" t="s">
        <v>215</v>
      </c>
    </row>
    <row r="19541" spans="129:129" x14ac:dyDescent="0.2">
      <c r="DY19541" s="185" t="s">
        <v>215</v>
      </c>
    </row>
    <row r="19542" spans="129:129" x14ac:dyDescent="0.2">
      <c r="DY19542" s="185" t="s">
        <v>215</v>
      </c>
    </row>
    <row r="19543" spans="129:129" x14ac:dyDescent="0.2">
      <c r="DY19543" s="185" t="s">
        <v>215</v>
      </c>
    </row>
    <row r="19544" spans="129:129" x14ac:dyDescent="0.2">
      <c r="DY19544" s="185" t="s">
        <v>215</v>
      </c>
    </row>
    <row r="19545" spans="129:129" x14ac:dyDescent="0.2">
      <c r="DY19545" s="185" t="s">
        <v>215</v>
      </c>
    </row>
    <row r="19546" spans="129:129" x14ac:dyDescent="0.2">
      <c r="DY19546" s="185" t="s">
        <v>215</v>
      </c>
    </row>
    <row r="19547" spans="129:129" x14ac:dyDescent="0.2">
      <c r="DY19547" s="185" t="s">
        <v>215</v>
      </c>
    </row>
    <row r="19548" spans="129:129" x14ac:dyDescent="0.2">
      <c r="DY19548" s="185" t="s">
        <v>215</v>
      </c>
    </row>
    <row r="19549" spans="129:129" x14ac:dyDescent="0.2">
      <c r="DY19549" s="185" t="s">
        <v>215</v>
      </c>
    </row>
    <row r="19550" spans="129:129" x14ac:dyDescent="0.2">
      <c r="DY19550" s="185" t="s">
        <v>215</v>
      </c>
    </row>
    <row r="19551" spans="129:129" x14ac:dyDescent="0.2">
      <c r="DY19551" s="185" t="s">
        <v>215</v>
      </c>
    </row>
    <row r="19552" spans="129:129" x14ac:dyDescent="0.2">
      <c r="DY19552" s="185" t="s">
        <v>215</v>
      </c>
    </row>
    <row r="19553" spans="129:129" x14ac:dyDescent="0.2">
      <c r="DY19553" s="185" t="s">
        <v>215</v>
      </c>
    </row>
    <row r="19554" spans="129:129" x14ac:dyDescent="0.2">
      <c r="DY19554" s="185" t="s">
        <v>215</v>
      </c>
    </row>
    <row r="19555" spans="129:129" x14ac:dyDescent="0.2">
      <c r="DY19555" s="185" t="s">
        <v>215</v>
      </c>
    </row>
    <row r="19556" spans="129:129" x14ac:dyDescent="0.2">
      <c r="DY19556" s="185" t="s">
        <v>215</v>
      </c>
    </row>
    <row r="19557" spans="129:129" x14ac:dyDescent="0.2">
      <c r="DY19557" s="185" t="s">
        <v>215</v>
      </c>
    </row>
    <row r="19558" spans="129:129" x14ac:dyDescent="0.2">
      <c r="DY19558" s="185" t="s">
        <v>215</v>
      </c>
    </row>
    <row r="19559" spans="129:129" x14ac:dyDescent="0.2">
      <c r="DY19559" s="185" t="s">
        <v>215</v>
      </c>
    </row>
    <row r="19560" spans="129:129" x14ac:dyDescent="0.2">
      <c r="DY19560" s="185" t="s">
        <v>215</v>
      </c>
    </row>
    <row r="19561" spans="129:129" x14ac:dyDescent="0.2">
      <c r="DY19561" s="185" t="s">
        <v>215</v>
      </c>
    </row>
    <row r="19562" spans="129:129" x14ac:dyDescent="0.2">
      <c r="DY19562" s="185" t="s">
        <v>215</v>
      </c>
    </row>
    <row r="19563" spans="129:129" x14ac:dyDescent="0.2">
      <c r="DY19563" s="185" t="s">
        <v>215</v>
      </c>
    </row>
    <row r="19564" spans="129:129" x14ac:dyDescent="0.2">
      <c r="DY19564" s="185" t="s">
        <v>215</v>
      </c>
    </row>
    <row r="19565" spans="129:129" x14ac:dyDescent="0.2">
      <c r="DY19565" s="185" t="s">
        <v>215</v>
      </c>
    </row>
    <row r="19566" spans="129:129" x14ac:dyDescent="0.2">
      <c r="DY19566" s="185" t="s">
        <v>215</v>
      </c>
    </row>
    <row r="19567" spans="129:129" x14ac:dyDescent="0.2">
      <c r="DY19567" s="185" t="s">
        <v>215</v>
      </c>
    </row>
    <row r="19568" spans="129:129" x14ac:dyDescent="0.2">
      <c r="DY19568" s="185" t="s">
        <v>215</v>
      </c>
    </row>
    <row r="19569" spans="129:129" x14ac:dyDescent="0.2">
      <c r="DY19569" s="185" t="s">
        <v>215</v>
      </c>
    </row>
    <row r="19570" spans="129:129" x14ac:dyDescent="0.2">
      <c r="DY19570" s="185" t="s">
        <v>215</v>
      </c>
    </row>
    <row r="19571" spans="129:129" x14ac:dyDescent="0.2">
      <c r="DY19571" s="185" t="s">
        <v>215</v>
      </c>
    </row>
    <row r="19572" spans="129:129" x14ac:dyDescent="0.2">
      <c r="DY19572" s="185" t="s">
        <v>215</v>
      </c>
    </row>
    <row r="19573" spans="129:129" x14ac:dyDescent="0.2">
      <c r="DY19573" s="185" t="s">
        <v>215</v>
      </c>
    </row>
    <row r="19574" spans="129:129" x14ac:dyDescent="0.2">
      <c r="DY19574" s="185" t="s">
        <v>215</v>
      </c>
    </row>
    <row r="19575" spans="129:129" x14ac:dyDescent="0.2">
      <c r="DY19575" s="185" t="s">
        <v>215</v>
      </c>
    </row>
    <row r="19576" spans="129:129" x14ac:dyDescent="0.2">
      <c r="DY19576" s="185" t="s">
        <v>215</v>
      </c>
    </row>
    <row r="19577" spans="129:129" x14ac:dyDescent="0.2">
      <c r="DY19577" s="185" t="s">
        <v>215</v>
      </c>
    </row>
    <row r="19578" spans="129:129" x14ac:dyDescent="0.2">
      <c r="DY19578" s="185" t="s">
        <v>215</v>
      </c>
    </row>
    <row r="19579" spans="129:129" x14ac:dyDescent="0.2">
      <c r="DY19579" s="185" t="s">
        <v>215</v>
      </c>
    </row>
    <row r="19580" spans="129:129" x14ac:dyDescent="0.2">
      <c r="DY19580" s="185" t="s">
        <v>215</v>
      </c>
    </row>
    <row r="19581" spans="129:129" x14ac:dyDescent="0.2">
      <c r="DY19581" s="185" t="s">
        <v>215</v>
      </c>
    </row>
    <row r="19582" spans="129:129" x14ac:dyDescent="0.2">
      <c r="DY19582" s="185" t="s">
        <v>215</v>
      </c>
    </row>
    <row r="19583" spans="129:129" x14ac:dyDescent="0.2">
      <c r="DY19583" s="185" t="s">
        <v>215</v>
      </c>
    </row>
    <row r="19584" spans="129:129" x14ac:dyDescent="0.2">
      <c r="DY19584" s="185" t="s">
        <v>215</v>
      </c>
    </row>
    <row r="19585" spans="129:129" x14ac:dyDescent="0.2">
      <c r="DY19585" s="185" t="s">
        <v>215</v>
      </c>
    </row>
    <row r="19586" spans="129:129" x14ac:dyDescent="0.2">
      <c r="DY19586" s="185" t="s">
        <v>215</v>
      </c>
    </row>
    <row r="19587" spans="129:129" x14ac:dyDescent="0.2">
      <c r="DY19587" s="185" t="s">
        <v>215</v>
      </c>
    </row>
    <row r="19588" spans="129:129" x14ac:dyDescent="0.2">
      <c r="DY19588" s="185" t="s">
        <v>215</v>
      </c>
    </row>
    <row r="19589" spans="129:129" x14ac:dyDescent="0.2">
      <c r="DY19589" s="185" t="s">
        <v>215</v>
      </c>
    </row>
    <row r="19590" spans="129:129" x14ac:dyDescent="0.2">
      <c r="DY19590" s="185" t="s">
        <v>215</v>
      </c>
    </row>
    <row r="19591" spans="129:129" x14ac:dyDescent="0.2">
      <c r="DY19591" s="185" t="s">
        <v>215</v>
      </c>
    </row>
    <row r="19592" spans="129:129" x14ac:dyDescent="0.2">
      <c r="DY19592" s="185" t="s">
        <v>215</v>
      </c>
    </row>
    <row r="19593" spans="129:129" x14ac:dyDescent="0.2">
      <c r="DY19593" s="185" t="s">
        <v>215</v>
      </c>
    </row>
    <row r="19594" spans="129:129" x14ac:dyDescent="0.2">
      <c r="DY19594" s="185" t="s">
        <v>215</v>
      </c>
    </row>
    <row r="19595" spans="129:129" x14ac:dyDescent="0.2">
      <c r="DY19595" s="185" t="s">
        <v>215</v>
      </c>
    </row>
    <row r="19596" spans="129:129" x14ac:dyDescent="0.2">
      <c r="DY19596" s="185" t="s">
        <v>215</v>
      </c>
    </row>
    <row r="19597" spans="129:129" x14ac:dyDescent="0.2">
      <c r="DY19597" s="185" t="s">
        <v>215</v>
      </c>
    </row>
    <row r="19598" spans="129:129" x14ac:dyDescent="0.2">
      <c r="DY19598" s="185" t="s">
        <v>215</v>
      </c>
    </row>
    <row r="19599" spans="129:129" x14ac:dyDescent="0.2">
      <c r="DY19599" s="185" t="s">
        <v>215</v>
      </c>
    </row>
    <row r="19600" spans="129:129" x14ac:dyDescent="0.2">
      <c r="DY19600" s="185" t="s">
        <v>215</v>
      </c>
    </row>
    <row r="19601" spans="129:129" x14ac:dyDescent="0.2">
      <c r="DY19601" s="185" t="s">
        <v>215</v>
      </c>
    </row>
    <row r="19602" spans="129:129" x14ac:dyDescent="0.2">
      <c r="DY19602" s="185" t="s">
        <v>215</v>
      </c>
    </row>
    <row r="19603" spans="129:129" x14ac:dyDescent="0.2">
      <c r="DY19603" s="185" t="s">
        <v>215</v>
      </c>
    </row>
    <row r="19604" spans="129:129" x14ac:dyDescent="0.2">
      <c r="DY19604" s="185" t="s">
        <v>215</v>
      </c>
    </row>
    <row r="19605" spans="129:129" x14ac:dyDescent="0.2">
      <c r="DY19605" s="185" t="s">
        <v>215</v>
      </c>
    </row>
    <row r="19606" spans="129:129" x14ac:dyDescent="0.2">
      <c r="DY19606" s="185" t="s">
        <v>215</v>
      </c>
    </row>
    <row r="19607" spans="129:129" x14ac:dyDescent="0.2">
      <c r="DY19607" s="185" t="s">
        <v>215</v>
      </c>
    </row>
    <row r="19608" spans="129:129" x14ac:dyDescent="0.2">
      <c r="DY19608" s="185" t="s">
        <v>215</v>
      </c>
    </row>
    <row r="19609" spans="129:129" x14ac:dyDescent="0.2">
      <c r="DY19609" s="185" t="s">
        <v>215</v>
      </c>
    </row>
    <row r="19610" spans="129:129" x14ac:dyDescent="0.2">
      <c r="DY19610" s="185" t="s">
        <v>215</v>
      </c>
    </row>
    <row r="19611" spans="129:129" x14ac:dyDescent="0.2">
      <c r="DY19611" s="185" t="s">
        <v>215</v>
      </c>
    </row>
    <row r="19612" spans="129:129" x14ac:dyDescent="0.2">
      <c r="DY19612" s="185" t="s">
        <v>215</v>
      </c>
    </row>
    <row r="19613" spans="129:129" x14ac:dyDescent="0.2">
      <c r="DY19613" s="185" t="s">
        <v>215</v>
      </c>
    </row>
    <row r="19614" spans="129:129" x14ac:dyDescent="0.2">
      <c r="DY19614" s="185" t="s">
        <v>215</v>
      </c>
    </row>
    <row r="19615" spans="129:129" x14ac:dyDescent="0.2">
      <c r="DY19615" s="185" t="s">
        <v>215</v>
      </c>
    </row>
    <row r="19616" spans="129:129" x14ac:dyDescent="0.2">
      <c r="DY19616" s="185" t="s">
        <v>215</v>
      </c>
    </row>
    <row r="19617" spans="129:129" x14ac:dyDescent="0.2">
      <c r="DY19617" s="185" t="s">
        <v>215</v>
      </c>
    </row>
    <row r="19618" spans="129:129" x14ac:dyDescent="0.2">
      <c r="DY19618" s="185" t="s">
        <v>215</v>
      </c>
    </row>
    <row r="19619" spans="129:129" x14ac:dyDescent="0.2">
      <c r="DY19619" s="185" t="s">
        <v>215</v>
      </c>
    </row>
    <row r="19620" spans="129:129" x14ac:dyDescent="0.2">
      <c r="DY19620" s="185" t="s">
        <v>215</v>
      </c>
    </row>
    <row r="19621" spans="129:129" x14ac:dyDescent="0.2">
      <c r="DY19621" s="185" t="s">
        <v>215</v>
      </c>
    </row>
    <row r="19622" spans="129:129" x14ac:dyDescent="0.2">
      <c r="DY19622" s="185" t="s">
        <v>215</v>
      </c>
    </row>
    <row r="19623" spans="129:129" x14ac:dyDescent="0.2">
      <c r="DY19623" s="185" t="s">
        <v>215</v>
      </c>
    </row>
    <row r="19624" spans="129:129" x14ac:dyDescent="0.2">
      <c r="DY19624" s="185" t="s">
        <v>215</v>
      </c>
    </row>
    <row r="19625" spans="129:129" x14ac:dyDescent="0.2">
      <c r="DY19625" s="185" t="s">
        <v>215</v>
      </c>
    </row>
    <row r="19626" spans="129:129" x14ac:dyDescent="0.2">
      <c r="DY19626" s="185" t="s">
        <v>215</v>
      </c>
    </row>
    <row r="19627" spans="129:129" x14ac:dyDescent="0.2">
      <c r="DY19627" s="185" t="s">
        <v>215</v>
      </c>
    </row>
    <row r="19628" spans="129:129" x14ac:dyDescent="0.2">
      <c r="DY19628" s="185" t="s">
        <v>215</v>
      </c>
    </row>
    <row r="19629" spans="129:129" x14ac:dyDescent="0.2">
      <c r="DY19629" s="185" t="s">
        <v>215</v>
      </c>
    </row>
    <row r="19630" spans="129:129" x14ac:dyDescent="0.2">
      <c r="DY19630" s="185" t="s">
        <v>215</v>
      </c>
    </row>
    <row r="19631" spans="129:129" x14ac:dyDescent="0.2">
      <c r="DY19631" s="185" t="s">
        <v>215</v>
      </c>
    </row>
    <row r="19632" spans="129:129" x14ac:dyDescent="0.2">
      <c r="DY19632" s="185" t="s">
        <v>215</v>
      </c>
    </row>
    <row r="19633" spans="129:129" x14ac:dyDescent="0.2">
      <c r="DY19633" s="185" t="s">
        <v>215</v>
      </c>
    </row>
    <row r="19634" spans="129:129" x14ac:dyDescent="0.2">
      <c r="DY19634" s="185" t="s">
        <v>215</v>
      </c>
    </row>
    <row r="19635" spans="129:129" x14ac:dyDescent="0.2">
      <c r="DY19635" s="185" t="s">
        <v>215</v>
      </c>
    </row>
    <row r="19636" spans="129:129" x14ac:dyDescent="0.2">
      <c r="DY19636" s="185" t="s">
        <v>215</v>
      </c>
    </row>
    <row r="19637" spans="129:129" x14ac:dyDescent="0.2">
      <c r="DY19637" s="185" t="s">
        <v>215</v>
      </c>
    </row>
    <row r="19638" spans="129:129" x14ac:dyDescent="0.2">
      <c r="DY19638" s="185" t="s">
        <v>215</v>
      </c>
    </row>
    <row r="19639" spans="129:129" x14ac:dyDescent="0.2">
      <c r="DY19639" s="185" t="s">
        <v>215</v>
      </c>
    </row>
    <row r="19640" spans="129:129" x14ac:dyDescent="0.2">
      <c r="DY19640" s="185" t="s">
        <v>215</v>
      </c>
    </row>
    <row r="19641" spans="129:129" x14ac:dyDescent="0.2">
      <c r="DY19641" s="185" t="s">
        <v>215</v>
      </c>
    </row>
    <row r="19642" spans="129:129" x14ac:dyDescent="0.2">
      <c r="DY19642" s="185" t="s">
        <v>215</v>
      </c>
    </row>
    <row r="19643" spans="129:129" x14ac:dyDescent="0.2">
      <c r="DY19643" s="185" t="s">
        <v>215</v>
      </c>
    </row>
    <row r="19644" spans="129:129" x14ac:dyDescent="0.2">
      <c r="DY19644" s="185" t="s">
        <v>215</v>
      </c>
    </row>
    <row r="19645" spans="129:129" x14ac:dyDescent="0.2">
      <c r="DY19645" s="185" t="s">
        <v>215</v>
      </c>
    </row>
    <row r="19646" spans="129:129" x14ac:dyDescent="0.2">
      <c r="DY19646" s="185" t="s">
        <v>215</v>
      </c>
    </row>
    <row r="19647" spans="129:129" x14ac:dyDescent="0.2">
      <c r="DY19647" s="185" t="s">
        <v>215</v>
      </c>
    </row>
    <row r="19648" spans="129:129" x14ac:dyDescent="0.2">
      <c r="DY19648" s="185" t="s">
        <v>215</v>
      </c>
    </row>
    <row r="19649" spans="129:129" x14ac:dyDescent="0.2">
      <c r="DY19649" s="185" t="s">
        <v>215</v>
      </c>
    </row>
    <row r="19650" spans="129:129" x14ac:dyDescent="0.2">
      <c r="DY19650" s="185" t="s">
        <v>215</v>
      </c>
    </row>
    <row r="19651" spans="129:129" x14ac:dyDescent="0.2">
      <c r="DY19651" s="185" t="s">
        <v>215</v>
      </c>
    </row>
    <row r="19652" spans="129:129" x14ac:dyDescent="0.2">
      <c r="DY19652" s="185" t="s">
        <v>215</v>
      </c>
    </row>
    <row r="19653" spans="129:129" x14ac:dyDescent="0.2">
      <c r="DY19653" s="185" t="s">
        <v>215</v>
      </c>
    </row>
    <row r="19654" spans="129:129" x14ac:dyDescent="0.2">
      <c r="DY19654" s="185" t="s">
        <v>215</v>
      </c>
    </row>
    <row r="19655" spans="129:129" x14ac:dyDescent="0.2">
      <c r="DY19655" s="185" t="s">
        <v>215</v>
      </c>
    </row>
    <row r="19656" spans="129:129" x14ac:dyDescent="0.2">
      <c r="DY19656" s="185" t="s">
        <v>215</v>
      </c>
    </row>
    <row r="19657" spans="129:129" x14ac:dyDescent="0.2">
      <c r="DY19657" s="185" t="s">
        <v>215</v>
      </c>
    </row>
    <row r="19658" spans="129:129" x14ac:dyDescent="0.2">
      <c r="DY19658" s="185" t="s">
        <v>215</v>
      </c>
    </row>
    <row r="19659" spans="129:129" x14ac:dyDescent="0.2">
      <c r="DY19659" s="185" t="s">
        <v>215</v>
      </c>
    </row>
    <row r="19660" spans="129:129" x14ac:dyDescent="0.2">
      <c r="DY19660" s="185" t="s">
        <v>215</v>
      </c>
    </row>
    <row r="19661" spans="129:129" x14ac:dyDescent="0.2">
      <c r="DY19661" s="185" t="s">
        <v>215</v>
      </c>
    </row>
    <row r="19662" spans="129:129" x14ac:dyDescent="0.2">
      <c r="DY19662" s="185" t="s">
        <v>215</v>
      </c>
    </row>
    <row r="19663" spans="129:129" x14ac:dyDescent="0.2">
      <c r="DY19663" s="185" t="s">
        <v>215</v>
      </c>
    </row>
    <row r="19664" spans="129:129" x14ac:dyDescent="0.2">
      <c r="DY19664" s="185" t="s">
        <v>215</v>
      </c>
    </row>
    <row r="19665" spans="129:129" x14ac:dyDescent="0.2">
      <c r="DY19665" s="185" t="s">
        <v>215</v>
      </c>
    </row>
    <row r="19666" spans="129:129" x14ac:dyDescent="0.2">
      <c r="DY19666" s="185" t="s">
        <v>215</v>
      </c>
    </row>
    <row r="19667" spans="129:129" x14ac:dyDescent="0.2">
      <c r="DY19667" s="185" t="s">
        <v>215</v>
      </c>
    </row>
    <row r="19668" spans="129:129" x14ac:dyDescent="0.2">
      <c r="DY19668" s="185" t="s">
        <v>215</v>
      </c>
    </row>
    <row r="19669" spans="129:129" x14ac:dyDescent="0.2">
      <c r="DY19669" s="185" t="s">
        <v>215</v>
      </c>
    </row>
    <row r="19670" spans="129:129" x14ac:dyDescent="0.2">
      <c r="DY19670" s="185" t="s">
        <v>215</v>
      </c>
    </row>
    <row r="19671" spans="129:129" x14ac:dyDescent="0.2">
      <c r="DY19671" s="185" t="s">
        <v>215</v>
      </c>
    </row>
    <row r="19672" spans="129:129" x14ac:dyDescent="0.2">
      <c r="DY19672" s="185" t="s">
        <v>215</v>
      </c>
    </row>
    <row r="19673" spans="129:129" x14ac:dyDescent="0.2">
      <c r="DY19673" s="185" t="s">
        <v>215</v>
      </c>
    </row>
    <row r="19674" spans="129:129" x14ac:dyDescent="0.2">
      <c r="DY19674" s="185" t="s">
        <v>215</v>
      </c>
    </row>
    <row r="19675" spans="129:129" x14ac:dyDescent="0.2">
      <c r="DY19675" s="185" t="s">
        <v>215</v>
      </c>
    </row>
    <row r="19676" spans="129:129" x14ac:dyDescent="0.2">
      <c r="DY19676" s="185" t="s">
        <v>215</v>
      </c>
    </row>
    <row r="19677" spans="129:129" x14ac:dyDescent="0.2">
      <c r="DY19677" s="185" t="s">
        <v>215</v>
      </c>
    </row>
    <row r="19678" spans="129:129" x14ac:dyDescent="0.2">
      <c r="DY19678" s="185" t="s">
        <v>215</v>
      </c>
    </row>
    <row r="19679" spans="129:129" x14ac:dyDescent="0.2">
      <c r="DY19679" s="185" t="s">
        <v>215</v>
      </c>
    </row>
    <row r="19680" spans="129:129" x14ac:dyDescent="0.2">
      <c r="DY19680" s="185" t="s">
        <v>215</v>
      </c>
    </row>
    <row r="19681" spans="129:129" x14ac:dyDescent="0.2">
      <c r="DY19681" s="185" t="s">
        <v>215</v>
      </c>
    </row>
    <row r="19682" spans="129:129" x14ac:dyDescent="0.2">
      <c r="DY19682" s="185" t="s">
        <v>215</v>
      </c>
    </row>
    <row r="19683" spans="129:129" x14ac:dyDescent="0.2">
      <c r="DY19683" s="185" t="s">
        <v>215</v>
      </c>
    </row>
    <row r="19684" spans="129:129" x14ac:dyDescent="0.2">
      <c r="DY19684" s="185" t="s">
        <v>215</v>
      </c>
    </row>
    <row r="19685" spans="129:129" x14ac:dyDescent="0.2">
      <c r="DY19685" s="185" t="s">
        <v>215</v>
      </c>
    </row>
    <row r="19686" spans="129:129" x14ac:dyDescent="0.2">
      <c r="DY19686" s="185" t="s">
        <v>215</v>
      </c>
    </row>
    <row r="19687" spans="129:129" x14ac:dyDescent="0.2">
      <c r="DY19687" s="185" t="s">
        <v>215</v>
      </c>
    </row>
    <row r="19688" spans="129:129" x14ac:dyDescent="0.2">
      <c r="DY19688" s="185" t="s">
        <v>215</v>
      </c>
    </row>
    <row r="19689" spans="129:129" x14ac:dyDescent="0.2">
      <c r="DY19689" s="185" t="s">
        <v>215</v>
      </c>
    </row>
    <row r="19690" spans="129:129" x14ac:dyDescent="0.2">
      <c r="DY19690" s="185" t="s">
        <v>215</v>
      </c>
    </row>
    <row r="19691" spans="129:129" x14ac:dyDescent="0.2">
      <c r="DY19691" s="185" t="s">
        <v>215</v>
      </c>
    </row>
    <row r="19692" spans="129:129" x14ac:dyDescent="0.2">
      <c r="DY19692" s="185" t="s">
        <v>215</v>
      </c>
    </row>
    <row r="19693" spans="129:129" x14ac:dyDescent="0.2">
      <c r="DY19693" s="185" t="s">
        <v>215</v>
      </c>
    </row>
    <row r="19694" spans="129:129" x14ac:dyDescent="0.2">
      <c r="DY19694" s="185" t="s">
        <v>215</v>
      </c>
    </row>
    <row r="19695" spans="129:129" x14ac:dyDescent="0.2">
      <c r="DY19695" s="185" t="s">
        <v>215</v>
      </c>
    </row>
    <row r="19696" spans="129:129" x14ac:dyDescent="0.2">
      <c r="DY19696" s="185" t="s">
        <v>215</v>
      </c>
    </row>
    <row r="19697" spans="129:129" x14ac:dyDescent="0.2">
      <c r="DY19697" s="185" t="s">
        <v>215</v>
      </c>
    </row>
    <row r="19698" spans="129:129" x14ac:dyDescent="0.2">
      <c r="DY19698" s="185" t="s">
        <v>215</v>
      </c>
    </row>
    <row r="19699" spans="129:129" x14ac:dyDescent="0.2">
      <c r="DY19699" s="185" t="s">
        <v>215</v>
      </c>
    </row>
    <row r="19700" spans="129:129" x14ac:dyDescent="0.2">
      <c r="DY19700" s="185" t="s">
        <v>215</v>
      </c>
    </row>
    <row r="19701" spans="129:129" x14ac:dyDescent="0.2">
      <c r="DY19701" s="185" t="s">
        <v>215</v>
      </c>
    </row>
    <row r="19702" spans="129:129" x14ac:dyDescent="0.2">
      <c r="DY19702" s="185" t="s">
        <v>215</v>
      </c>
    </row>
    <row r="19703" spans="129:129" x14ac:dyDescent="0.2">
      <c r="DY19703" s="185" t="s">
        <v>215</v>
      </c>
    </row>
    <row r="19704" spans="129:129" x14ac:dyDescent="0.2">
      <c r="DY19704" s="185" t="s">
        <v>215</v>
      </c>
    </row>
    <row r="19705" spans="129:129" x14ac:dyDescent="0.2">
      <c r="DY19705" s="185" t="s">
        <v>215</v>
      </c>
    </row>
    <row r="19706" spans="129:129" x14ac:dyDescent="0.2">
      <c r="DY19706" s="185" t="s">
        <v>215</v>
      </c>
    </row>
    <row r="19707" spans="129:129" x14ac:dyDescent="0.2">
      <c r="DY19707" s="185" t="s">
        <v>215</v>
      </c>
    </row>
    <row r="19708" spans="129:129" x14ac:dyDescent="0.2">
      <c r="DY19708" s="185" t="s">
        <v>215</v>
      </c>
    </row>
    <row r="19709" spans="129:129" x14ac:dyDescent="0.2">
      <c r="DY19709" s="185" t="s">
        <v>215</v>
      </c>
    </row>
    <row r="19710" spans="129:129" x14ac:dyDescent="0.2">
      <c r="DY19710" s="185" t="s">
        <v>215</v>
      </c>
    </row>
    <row r="19711" spans="129:129" x14ac:dyDescent="0.2">
      <c r="DY19711" s="185" t="s">
        <v>215</v>
      </c>
    </row>
    <row r="19712" spans="129:129" x14ac:dyDescent="0.2">
      <c r="DY19712" s="185" t="s">
        <v>215</v>
      </c>
    </row>
    <row r="19713" spans="129:129" x14ac:dyDescent="0.2">
      <c r="DY19713" s="185" t="s">
        <v>215</v>
      </c>
    </row>
    <row r="19714" spans="129:129" x14ac:dyDescent="0.2">
      <c r="DY19714" s="185" t="s">
        <v>215</v>
      </c>
    </row>
    <row r="19715" spans="129:129" x14ac:dyDescent="0.2">
      <c r="DY19715" s="185" t="s">
        <v>215</v>
      </c>
    </row>
    <row r="19716" spans="129:129" x14ac:dyDescent="0.2">
      <c r="DY19716" s="185" t="s">
        <v>215</v>
      </c>
    </row>
    <row r="19717" spans="129:129" x14ac:dyDescent="0.2">
      <c r="DY19717" s="185" t="s">
        <v>215</v>
      </c>
    </row>
    <row r="19718" spans="129:129" x14ac:dyDescent="0.2">
      <c r="DY19718" s="185" t="s">
        <v>215</v>
      </c>
    </row>
    <row r="19719" spans="129:129" x14ac:dyDescent="0.2">
      <c r="DY19719" s="185" t="s">
        <v>215</v>
      </c>
    </row>
    <row r="19720" spans="129:129" x14ac:dyDescent="0.2">
      <c r="DY19720" s="185" t="s">
        <v>215</v>
      </c>
    </row>
    <row r="19721" spans="129:129" x14ac:dyDescent="0.2">
      <c r="DY19721" s="185" t="s">
        <v>215</v>
      </c>
    </row>
    <row r="19722" spans="129:129" x14ac:dyDescent="0.2">
      <c r="DY19722" s="185" t="s">
        <v>215</v>
      </c>
    </row>
    <row r="19723" spans="129:129" x14ac:dyDescent="0.2">
      <c r="DY19723" s="185" t="s">
        <v>215</v>
      </c>
    </row>
    <row r="19724" spans="129:129" x14ac:dyDescent="0.2">
      <c r="DY19724" s="185" t="s">
        <v>215</v>
      </c>
    </row>
    <row r="19725" spans="129:129" x14ac:dyDescent="0.2">
      <c r="DY19725" s="185" t="s">
        <v>215</v>
      </c>
    </row>
    <row r="19726" spans="129:129" x14ac:dyDescent="0.2">
      <c r="DY19726" s="185" t="s">
        <v>215</v>
      </c>
    </row>
    <row r="19727" spans="129:129" x14ac:dyDescent="0.2">
      <c r="DY19727" s="185" t="s">
        <v>215</v>
      </c>
    </row>
    <row r="19728" spans="129:129" x14ac:dyDescent="0.2">
      <c r="DY19728" s="185" t="s">
        <v>215</v>
      </c>
    </row>
    <row r="19729" spans="129:129" x14ac:dyDescent="0.2">
      <c r="DY19729" s="185" t="s">
        <v>215</v>
      </c>
    </row>
    <row r="19730" spans="129:129" x14ac:dyDescent="0.2">
      <c r="DY19730" s="185" t="s">
        <v>215</v>
      </c>
    </row>
    <row r="19731" spans="129:129" x14ac:dyDescent="0.2">
      <c r="DY19731" s="185" t="s">
        <v>215</v>
      </c>
    </row>
    <row r="19732" spans="129:129" x14ac:dyDescent="0.2">
      <c r="DY19732" s="185" t="s">
        <v>215</v>
      </c>
    </row>
    <row r="19733" spans="129:129" x14ac:dyDescent="0.2">
      <c r="DY19733" s="185" t="s">
        <v>215</v>
      </c>
    </row>
    <row r="19734" spans="129:129" x14ac:dyDescent="0.2">
      <c r="DY19734" s="185" t="s">
        <v>215</v>
      </c>
    </row>
    <row r="19735" spans="129:129" x14ac:dyDescent="0.2">
      <c r="DY19735" s="185" t="s">
        <v>215</v>
      </c>
    </row>
    <row r="19736" spans="129:129" x14ac:dyDescent="0.2">
      <c r="DY19736" s="185" t="s">
        <v>215</v>
      </c>
    </row>
    <row r="19737" spans="129:129" x14ac:dyDescent="0.2">
      <c r="DY19737" s="185" t="s">
        <v>215</v>
      </c>
    </row>
    <row r="19738" spans="129:129" x14ac:dyDescent="0.2">
      <c r="DY19738" s="185" t="s">
        <v>215</v>
      </c>
    </row>
    <row r="19739" spans="129:129" x14ac:dyDescent="0.2">
      <c r="DY19739" s="185" t="s">
        <v>215</v>
      </c>
    </row>
    <row r="19740" spans="129:129" x14ac:dyDescent="0.2">
      <c r="DY19740" s="185" t="s">
        <v>215</v>
      </c>
    </row>
    <row r="19741" spans="129:129" x14ac:dyDescent="0.2">
      <c r="DY19741" s="185" t="s">
        <v>215</v>
      </c>
    </row>
    <row r="19742" spans="129:129" x14ac:dyDescent="0.2">
      <c r="DY19742" s="185" t="s">
        <v>215</v>
      </c>
    </row>
    <row r="19743" spans="129:129" x14ac:dyDescent="0.2">
      <c r="DY19743" s="185" t="s">
        <v>215</v>
      </c>
    </row>
    <row r="19744" spans="129:129" x14ac:dyDescent="0.2">
      <c r="DY19744" s="185" t="s">
        <v>215</v>
      </c>
    </row>
    <row r="19745" spans="129:129" x14ac:dyDescent="0.2">
      <c r="DY19745" s="185" t="s">
        <v>215</v>
      </c>
    </row>
    <row r="19746" spans="129:129" x14ac:dyDescent="0.2">
      <c r="DY19746" s="185" t="s">
        <v>215</v>
      </c>
    </row>
    <row r="19747" spans="129:129" x14ac:dyDescent="0.2">
      <c r="DY19747" s="185" t="s">
        <v>215</v>
      </c>
    </row>
    <row r="19748" spans="129:129" x14ac:dyDescent="0.2">
      <c r="DY19748" s="185" t="s">
        <v>215</v>
      </c>
    </row>
    <row r="19749" spans="129:129" x14ac:dyDescent="0.2">
      <c r="DY19749" s="185" t="s">
        <v>215</v>
      </c>
    </row>
    <row r="19750" spans="129:129" x14ac:dyDescent="0.2">
      <c r="DY19750" s="185" t="s">
        <v>215</v>
      </c>
    </row>
    <row r="19751" spans="129:129" x14ac:dyDescent="0.2">
      <c r="DY19751" s="185" t="s">
        <v>215</v>
      </c>
    </row>
    <row r="19752" spans="129:129" x14ac:dyDescent="0.2">
      <c r="DY19752" s="185" t="s">
        <v>215</v>
      </c>
    </row>
    <row r="19753" spans="129:129" x14ac:dyDescent="0.2">
      <c r="DY19753" s="185" t="s">
        <v>215</v>
      </c>
    </row>
    <row r="19754" spans="129:129" x14ac:dyDescent="0.2">
      <c r="DY19754" s="185" t="s">
        <v>215</v>
      </c>
    </row>
    <row r="19755" spans="129:129" x14ac:dyDescent="0.2">
      <c r="DY19755" s="185" t="s">
        <v>215</v>
      </c>
    </row>
    <row r="19756" spans="129:129" x14ac:dyDescent="0.2">
      <c r="DY19756" s="185" t="s">
        <v>215</v>
      </c>
    </row>
    <row r="19757" spans="129:129" x14ac:dyDescent="0.2">
      <c r="DY19757" s="185" t="s">
        <v>215</v>
      </c>
    </row>
    <row r="19758" spans="129:129" x14ac:dyDescent="0.2">
      <c r="DY19758" s="185" t="s">
        <v>215</v>
      </c>
    </row>
    <row r="19759" spans="129:129" x14ac:dyDescent="0.2">
      <c r="DY19759" s="185" t="s">
        <v>215</v>
      </c>
    </row>
    <row r="19760" spans="129:129" x14ac:dyDescent="0.2">
      <c r="DY19760" s="185" t="s">
        <v>215</v>
      </c>
    </row>
    <row r="19761" spans="129:129" x14ac:dyDescent="0.2">
      <c r="DY19761" s="185" t="s">
        <v>215</v>
      </c>
    </row>
    <row r="19762" spans="129:129" x14ac:dyDescent="0.2">
      <c r="DY19762" s="185" t="s">
        <v>215</v>
      </c>
    </row>
    <row r="19763" spans="129:129" x14ac:dyDescent="0.2">
      <c r="DY19763" s="185" t="s">
        <v>215</v>
      </c>
    </row>
    <row r="19764" spans="129:129" x14ac:dyDescent="0.2">
      <c r="DY19764" s="185" t="s">
        <v>215</v>
      </c>
    </row>
    <row r="19765" spans="129:129" x14ac:dyDescent="0.2">
      <c r="DY19765" s="185" t="s">
        <v>215</v>
      </c>
    </row>
    <row r="19766" spans="129:129" x14ac:dyDescent="0.2">
      <c r="DY19766" s="185" t="s">
        <v>215</v>
      </c>
    </row>
    <row r="19767" spans="129:129" x14ac:dyDescent="0.2">
      <c r="DY19767" s="185" t="s">
        <v>215</v>
      </c>
    </row>
    <row r="19768" spans="129:129" x14ac:dyDescent="0.2">
      <c r="DY19768" s="185" t="s">
        <v>215</v>
      </c>
    </row>
    <row r="19769" spans="129:129" x14ac:dyDescent="0.2">
      <c r="DY19769" s="185" t="s">
        <v>215</v>
      </c>
    </row>
    <row r="19770" spans="129:129" x14ac:dyDescent="0.2">
      <c r="DY19770" s="185" t="s">
        <v>215</v>
      </c>
    </row>
    <row r="19771" spans="129:129" x14ac:dyDescent="0.2">
      <c r="DY19771" s="185" t="s">
        <v>215</v>
      </c>
    </row>
    <row r="19772" spans="129:129" x14ac:dyDescent="0.2">
      <c r="DY19772" s="185" t="s">
        <v>215</v>
      </c>
    </row>
    <row r="19773" spans="129:129" x14ac:dyDescent="0.2">
      <c r="DY19773" s="185" t="s">
        <v>215</v>
      </c>
    </row>
    <row r="19774" spans="129:129" x14ac:dyDescent="0.2">
      <c r="DY19774" s="185" t="s">
        <v>215</v>
      </c>
    </row>
    <row r="19775" spans="129:129" x14ac:dyDescent="0.2">
      <c r="DY19775" s="185" t="s">
        <v>215</v>
      </c>
    </row>
    <row r="19776" spans="129:129" x14ac:dyDescent="0.2">
      <c r="DY19776" s="185" t="s">
        <v>215</v>
      </c>
    </row>
    <row r="19777" spans="129:129" x14ac:dyDescent="0.2">
      <c r="DY19777" s="185" t="s">
        <v>215</v>
      </c>
    </row>
    <row r="19778" spans="129:129" x14ac:dyDescent="0.2">
      <c r="DY19778" s="185" t="s">
        <v>215</v>
      </c>
    </row>
    <row r="19779" spans="129:129" x14ac:dyDescent="0.2">
      <c r="DY19779" s="185" t="s">
        <v>215</v>
      </c>
    </row>
    <row r="19780" spans="129:129" x14ac:dyDescent="0.2">
      <c r="DY19780" s="185" t="s">
        <v>215</v>
      </c>
    </row>
    <row r="19781" spans="129:129" x14ac:dyDescent="0.2">
      <c r="DY19781" s="185" t="s">
        <v>215</v>
      </c>
    </row>
    <row r="19782" spans="129:129" x14ac:dyDescent="0.2">
      <c r="DY19782" s="185" t="s">
        <v>215</v>
      </c>
    </row>
    <row r="19783" spans="129:129" x14ac:dyDescent="0.2">
      <c r="DY19783" s="185" t="s">
        <v>215</v>
      </c>
    </row>
    <row r="19784" spans="129:129" x14ac:dyDescent="0.2">
      <c r="DY19784" s="185" t="s">
        <v>215</v>
      </c>
    </row>
    <row r="19785" spans="129:129" x14ac:dyDescent="0.2">
      <c r="DY19785" s="185" t="s">
        <v>215</v>
      </c>
    </row>
    <row r="19786" spans="129:129" x14ac:dyDescent="0.2">
      <c r="DY19786" s="185" t="s">
        <v>215</v>
      </c>
    </row>
    <row r="19787" spans="129:129" x14ac:dyDescent="0.2">
      <c r="DY19787" s="185" t="s">
        <v>215</v>
      </c>
    </row>
    <row r="19788" spans="129:129" x14ac:dyDescent="0.2">
      <c r="DY19788" s="185" t="s">
        <v>215</v>
      </c>
    </row>
    <row r="19789" spans="129:129" x14ac:dyDescent="0.2">
      <c r="DY19789" s="185" t="s">
        <v>215</v>
      </c>
    </row>
    <row r="19790" spans="129:129" x14ac:dyDescent="0.2">
      <c r="DY19790" s="185" t="s">
        <v>215</v>
      </c>
    </row>
    <row r="19791" spans="129:129" x14ac:dyDescent="0.2">
      <c r="DY19791" s="185" t="s">
        <v>215</v>
      </c>
    </row>
    <row r="19792" spans="129:129" x14ac:dyDescent="0.2">
      <c r="DY19792" s="185" t="s">
        <v>215</v>
      </c>
    </row>
    <row r="19793" spans="129:129" x14ac:dyDescent="0.2">
      <c r="DY19793" s="185" t="s">
        <v>215</v>
      </c>
    </row>
    <row r="19794" spans="129:129" x14ac:dyDescent="0.2">
      <c r="DY19794" s="185" t="s">
        <v>215</v>
      </c>
    </row>
    <row r="19795" spans="129:129" x14ac:dyDescent="0.2">
      <c r="DY19795" s="185" t="s">
        <v>215</v>
      </c>
    </row>
    <row r="19796" spans="129:129" x14ac:dyDescent="0.2">
      <c r="DY19796" s="185" t="s">
        <v>215</v>
      </c>
    </row>
    <row r="19797" spans="129:129" x14ac:dyDescent="0.2">
      <c r="DY19797" s="185" t="s">
        <v>215</v>
      </c>
    </row>
    <row r="19798" spans="129:129" x14ac:dyDescent="0.2">
      <c r="DY19798" s="185" t="s">
        <v>215</v>
      </c>
    </row>
    <row r="19799" spans="129:129" x14ac:dyDescent="0.2">
      <c r="DY19799" s="185" t="s">
        <v>215</v>
      </c>
    </row>
    <row r="19800" spans="129:129" x14ac:dyDescent="0.2">
      <c r="DY19800" s="185" t="s">
        <v>215</v>
      </c>
    </row>
    <row r="19801" spans="129:129" x14ac:dyDescent="0.2">
      <c r="DY19801" s="185" t="s">
        <v>215</v>
      </c>
    </row>
    <row r="19802" spans="129:129" x14ac:dyDescent="0.2">
      <c r="DY19802" s="185" t="s">
        <v>215</v>
      </c>
    </row>
    <row r="19803" spans="129:129" x14ac:dyDescent="0.2">
      <c r="DY19803" s="185" t="s">
        <v>215</v>
      </c>
    </row>
    <row r="19804" spans="129:129" x14ac:dyDescent="0.2">
      <c r="DY19804" s="185" t="s">
        <v>215</v>
      </c>
    </row>
    <row r="19805" spans="129:129" x14ac:dyDescent="0.2">
      <c r="DY19805" s="185" t="s">
        <v>215</v>
      </c>
    </row>
    <row r="19806" spans="129:129" x14ac:dyDescent="0.2">
      <c r="DY19806" s="185" t="s">
        <v>215</v>
      </c>
    </row>
    <row r="19807" spans="129:129" x14ac:dyDescent="0.2">
      <c r="DY19807" s="185" t="s">
        <v>215</v>
      </c>
    </row>
    <row r="19808" spans="129:129" x14ac:dyDescent="0.2">
      <c r="DY19808" s="185" t="s">
        <v>215</v>
      </c>
    </row>
    <row r="19809" spans="129:129" x14ac:dyDescent="0.2">
      <c r="DY19809" s="185" t="s">
        <v>215</v>
      </c>
    </row>
    <row r="19810" spans="129:129" x14ac:dyDescent="0.2">
      <c r="DY19810" s="185" t="s">
        <v>215</v>
      </c>
    </row>
    <row r="19811" spans="129:129" x14ac:dyDescent="0.2">
      <c r="DY19811" s="185" t="s">
        <v>215</v>
      </c>
    </row>
    <row r="19812" spans="129:129" x14ac:dyDescent="0.2">
      <c r="DY19812" s="185" t="s">
        <v>215</v>
      </c>
    </row>
    <row r="19813" spans="129:129" x14ac:dyDescent="0.2">
      <c r="DY19813" s="185" t="s">
        <v>215</v>
      </c>
    </row>
    <row r="19814" spans="129:129" x14ac:dyDescent="0.2">
      <c r="DY19814" s="185" t="s">
        <v>215</v>
      </c>
    </row>
    <row r="19815" spans="129:129" x14ac:dyDescent="0.2">
      <c r="DY19815" s="185" t="s">
        <v>215</v>
      </c>
    </row>
    <row r="19816" spans="129:129" x14ac:dyDescent="0.2">
      <c r="DY19816" s="185" t="s">
        <v>215</v>
      </c>
    </row>
    <row r="19817" spans="129:129" x14ac:dyDescent="0.2">
      <c r="DY19817" s="185" t="s">
        <v>215</v>
      </c>
    </row>
    <row r="19818" spans="129:129" x14ac:dyDescent="0.2">
      <c r="DY19818" s="185" t="s">
        <v>215</v>
      </c>
    </row>
    <row r="19819" spans="129:129" x14ac:dyDescent="0.2">
      <c r="DY19819" s="185" t="s">
        <v>215</v>
      </c>
    </row>
    <row r="19820" spans="129:129" x14ac:dyDescent="0.2">
      <c r="DY19820" s="185" t="s">
        <v>215</v>
      </c>
    </row>
    <row r="19821" spans="129:129" x14ac:dyDescent="0.2">
      <c r="DY19821" s="185" t="s">
        <v>215</v>
      </c>
    </row>
    <row r="19822" spans="129:129" x14ac:dyDescent="0.2">
      <c r="DY19822" s="185" t="s">
        <v>215</v>
      </c>
    </row>
    <row r="19823" spans="129:129" x14ac:dyDescent="0.2">
      <c r="DY19823" s="185" t="s">
        <v>215</v>
      </c>
    </row>
    <row r="19824" spans="129:129" x14ac:dyDescent="0.2">
      <c r="DY19824" s="185" t="s">
        <v>215</v>
      </c>
    </row>
    <row r="19825" spans="129:129" x14ac:dyDescent="0.2">
      <c r="DY19825" s="185" t="s">
        <v>215</v>
      </c>
    </row>
    <row r="19826" spans="129:129" x14ac:dyDescent="0.2">
      <c r="DY19826" s="185" t="s">
        <v>215</v>
      </c>
    </row>
    <row r="19827" spans="129:129" x14ac:dyDescent="0.2">
      <c r="DY19827" s="185" t="s">
        <v>215</v>
      </c>
    </row>
    <row r="19828" spans="129:129" x14ac:dyDescent="0.2">
      <c r="DY19828" s="185" t="s">
        <v>215</v>
      </c>
    </row>
    <row r="19829" spans="129:129" x14ac:dyDescent="0.2">
      <c r="DY19829" s="185" t="s">
        <v>215</v>
      </c>
    </row>
    <row r="19830" spans="129:129" x14ac:dyDescent="0.2">
      <c r="DY19830" s="185" t="s">
        <v>215</v>
      </c>
    </row>
    <row r="19831" spans="129:129" x14ac:dyDescent="0.2">
      <c r="DY19831" s="185" t="s">
        <v>215</v>
      </c>
    </row>
    <row r="19832" spans="129:129" x14ac:dyDescent="0.2">
      <c r="DY19832" s="185" t="s">
        <v>215</v>
      </c>
    </row>
    <row r="19833" spans="129:129" x14ac:dyDescent="0.2">
      <c r="DY19833" s="185" t="s">
        <v>215</v>
      </c>
    </row>
    <row r="19834" spans="129:129" x14ac:dyDescent="0.2">
      <c r="DY19834" s="185" t="s">
        <v>215</v>
      </c>
    </row>
    <row r="19835" spans="129:129" x14ac:dyDescent="0.2">
      <c r="DY19835" s="185" t="s">
        <v>215</v>
      </c>
    </row>
    <row r="19836" spans="129:129" x14ac:dyDescent="0.2">
      <c r="DY19836" s="185" t="s">
        <v>215</v>
      </c>
    </row>
    <row r="19837" spans="129:129" x14ac:dyDescent="0.2">
      <c r="DY19837" s="185" t="s">
        <v>215</v>
      </c>
    </row>
    <row r="19838" spans="129:129" x14ac:dyDescent="0.2">
      <c r="DY19838" s="185" t="s">
        <v>215</v>
      </c>
    </row>
    <row r="19839" spans="129:129" x14ac:dyDescent="0.2">
      <c r="DY19839" s="185" t="s">
        <v>215</v>
      </c>
    </row>
    <row r="19840" spans="129:129" x14ac:dyDescent="0.2">
      <c r="DY19840" s="185" t="s">
        <v>215</v>
      </c>
    </row>
    <row r="19841" spans="129:129" x14ac:dyDescent="0.2">
      <c r="DY19841" s="185" t="s">
        <v>215</v>
      </c>
    </row>
    <row r="19842" spans="129:129" x14ac:dyDescent="0.2">
      <c r="DY19842" s="185" t="s">
        <v>215</v>
      </c>
    </row>
    <row r="19843" spans="129:129" x14ac:dyDescent="0.2">
      <c r="DY19843" s="185" t="s">
        <v>215</v>
      </c>
    </row>
    <row r="19844" spans="129:129" x14ac:dyDescent="0.2">
      <c r="DY19844" s="185" t="s">
        <v>215</v>
      </c>
    </row>
    <row r="19845" spans="129:129" x14ac:dyDescent="0.2">
      <c r="DY19845" s="185" t="s">
        <v>215</v>
      </c>
    </row>
    <row r="19846" spans="129:129" x14ac:dyDescent="0.2">
      <c r="DY19846" s="185" t="s">
        <v>215</v>
      </c>
    </row>
    <row r="19847" spans="129:129" x14ac:dyDescent="0.2">
      <c r="DY19847" s="185" t="s">
        <v>215</v>
      </c>
    </row>
    <row r="19848" spans="129:129" x14ac:dyDescent="0.2">
      <c r="DY19848" s="185" t="s">
        <v>215</v>
      </c>
    </row>
    <row r="19849" spans="129:129" x14ac:dyDescent="0.2">
      <c r="DY19849" s="185" t="s">
        <v>215</v>
      </c>
    </row>
    <row r="19850" spans="129:129" x14ac:dyDescent="0.2">
      <c r="DY19850" s="185" t="s">
        <v>215</v>
      </c>
    </row>
    <row r="19851" spans="129:129" x14ac:dyDescent="0.2">
      <c r="DY19851" s="185" t="s">
        <v>215</v>
      </c>
    </row>
    <row r="19852" spans="129:129" x14ac:dyDescent="0.2">
      <c r="DY19852" s="185" t="s">
        <v>215</v>
      </c>
    </row>
    <row r="19853" spans="129:129" x14ac:dyDescent="0.2">
      <c r="DY19853" s="185" t="s">
        <v>215</v>
      </c>
    </row>
    <row r="19854" spans="129:129" x14ac:dyDescent="0.2">
      <c r="DY19854" s="185" t="s">
        <v>215</v>
      </c>
    </row>
    <row r="19855" spans="129:129" x14ac:dyDescent="0.2">
      <c r="DY19855" s="185" t="s">
        <v>215</v>
      </c>
    </row>
    <row r="19856" spans="129:129" x14ac:dyDescent="0.2">
      <c r="DY19856" s="185" t="s">
        <v>215</v>
      </c>
    </row>
    <row r="19857" spans="129:129" x14ac:dyDescent="0.2">
      <c r="DY19857" s="185" t="s">
        <v>215</v>
      </c>
    </row>
    <row r="19858" spans="129:129" x14ac:dyDescent="0.2">
      <c r="DY19858" s="185" t="s">
        <v>215</v>
      </c>
    </row>
    <row r="19859" spans="129:129" x14ac:dyDescent="0.2">
      <c r="DY19859" s="185" t="s">
        <v>215</v>
      </c>
    </row>
    <row r="19860" spans="129:129" x14ac:dyDescent="0.2">
      <c r="DY19860" s="185" t="s">
        <v>215</v>
      </c>
    </row>
    <row r="19861" spans="129:129" x14ac:dyDescent="0.2">
      <c r="DY19861" s="185" t="s">
        <v>215</v>
      </c>
    </row>
    <row r="19862" spans="129:129" x14ac:dyDescent="0.2">
      <c r="DY19862" s="185" t="s">
        <v>215</v>
      </c>
    </row>
    <row r="19863" spans="129:129" x14ac:dyDescent="0.2">
      <c r="DY19863" s="185" t="s">
        <v>215</v>
      </c>
    </row>
    <row r="19864" spans="129:129" x14ac:dyDescent="0.2">
      <c r="DY19864" s="185" t="s">
        <v>215</v>
      </c>
    </row>
    <row r="19865" spans="129:129" x14ac:dyDescent="0.2">
      <c r="DY19865" s="185" t="s">
        <v>215</v>
      </c>
    </row>
    <row r="19866" spans="129:129" x14ac:dyDescent="0.2">
      <c r="DY19866" s="185" t="s">
        <v>215</v>
      </c>
    </row>
    <row r="19867" spans="129:129" x14ac:dyDescent="0.2">
      <c r="DY19867" s="185" t="s">
        <v>215</v>
      </c>
    </row>
    <row r="19868" spans="129:129" x14ac:dyDescent="0.2">
      <c r="DY19868" s="185" t="s">
        <v>215</v>
      </c>
    </row>
    <row r="19869" spans="129:129" x14ac:dyDescent="0.2">
      <c r="DY19869" s="185" t="s">
        <v>215</v>
      </c>
    </row>
    <row r="19870" spans="129:129" x14ac:dyDescent="0.2">
      <c r="DY19870" s="185" t="s">
        <v>215</v>
      </c>
    </row>
    <row r="19871" spans="129:129" x14ac:dyDescent="0.2">
      <c r="DY19871" s="185" t="s">
        <v>215</v>
      </c>
    </row>
    <row r="19872" spans="129:129" x14ac:dyDescent="0.2">
      <c r="DY19872" s="185" t="s">
        <v>215</v>
      </c>
    </row>
    <row r="19873" spans="129:129" x14ac:dyDescent="0.2">
      <c r="DY19873" s="185" t="s">
        <v>215</v>
      </c>
    </row>
    <row r="19874" spans="129:129" x14ac:dyDescent="0.2">
      <c r="DY19874" s="185" t="s">
        <v>215</v>
      </c>
    </row>
    <row r="19875" spans="129:129" x14ac:dyDescent="0.2">
      <c r="DY19875" s="185" t="s">
        <v>215</v>
      </c>
    </row>
    <row r="19876" spans="129:129" x14ac:dyDescent="0.2">
      <c r="DY19876" s="185" t="s">
        <v>215</v>
      </c>
    </row>
    <row r="19877" spans="129:129" x14ac:dyDescent="0.2">
      <c r="DY19877" s="185" t="s">
        <v>215</v>
      </c>
    </row>
    <row r="19878" spans="129:129" x14ac:dyDescent="0.2">
      <c r="DY19878" s="185" t="s">
        <v>215</v>
      </c>
    </row>
    <row r="19879" spans="129:129" x14ac:dyDescent="0.2">
      <c r="DY19879" s="185" t="s">
        <v>215</v>
      </c>
    </row>
    <row r="19880" spans="129:129" x14ac:dyDescent="0.2">
      <c r="DY19880" s="185" t="s">
        <v>215</v>
      </c>
    </row>
    <row r="19881" spans="129:129" x14ac:dyDescent="0.2">
      <c r="DY19881" s="185" t="s">
        <v>215</v>
      </c>
    </row>
    <row r="19882" spans="129:129" x14ac:dyDescent="0.2">
      <c r="DY19882" s="185" t="s">
        <v>215</v>
      </c>
    </row>
    <row r="19883" spans="129:129" x14ac:dyDescent="0.2">
      <c r="DY19883" s="185" t="s">
        <v>215</v>
      </c>
    </row>
    <row r="19884" spans="129:129" x14ac:dyDescent="0.2">
      <c r="DY19884" s="185" t="s">
        <v>215</v>
      </c>
    </row>
    <row r="19885" spans="129:129" x14ac:dyDescent="0.2">
      <c r="DY19885" s="185" t="s">
        <v>215</v>
      </c>
    </row>
    <row r="19886" spans="129:129" x14ac:dyDescent="0.2">
      <c r="DY19886" s="185" t="s">
        <v>215</v>
      </c>
    </row>
    <row r="19887" spans="129:129" x14ac:dyDescent="0.2">
      <c r="DY19887" s="185" t="s">
        <v>215</v>
      </c>
    </row>
    <row r="19888" spans="129:129" x14ac:dyDescent="0.2">
      <c r="DY19888" s="185" t="s">
        <v>215</v>
      </c>
    </row>
    <row r="19889" spans="129:129" x14ac:dyDescent="0.2">
      <c r="DY19889" s="185" t="s">
        <v>215</v>
      </c>
    </row>
    <row r="19890" spans="129:129" x14ac:dyDescent="0.2">
      <c r="DY19890" s="185" t="s">
        <v>215</v>
      </c>
    </row>
    <row r="19891" spans="129:129" x14ac:dyDescent="0.2">
      <c r="DY19891" s="185" t="s">
        <v>215</v>
      </c>
    </row>
    <row r="19892" spans="129:129" x14ac:dyDescent="0.2">
      <c r="DY19892" s="185" t="s">
        <v>215</v>
      </c>
    </row>
    <row r="19893" spans="129:129" x14ac:dyDescent="0.2">
      <c r="DY19893" s="185" t="s">
        <v>215</v>
      </c>
    </row>
    <row r="19894" spans="129:129" x14ac:dyDescent="0.2">
      <c r="DY19894" s="185" t="s">
        <v>215</v>
      </c>
    </row>
    <row r="19895" spans="129:129" x14ac:dyDescent="0.2">
      <c r="DY19895" s="185" t="s">
        <v>215</v>
      </c>
    </row>
    <row r="19896" spans="129:129" x14ac:dyDescent="0.2">
      <c r="DY19896" s="185" t="s">
        <v>215</v>
      </c>
    </row>
    <row r="19897" spans="129:129" x14ac:dyDescent="0.2">
      <c r="DY19897" s="185" t="s">
        <v>215</v>
      </c>
    </row>
    <row r="19898" spans="129:129" x14ac:dyDescent="0.2">
      <c r="DY19898" s="185" t="s">
        <v>215</v>
      </c>
    </row>
    <row r="19899" spans="129:129" x14ac:dyDescent="0.2">
      <c r="DY19899" s="185" t="s">
        <v>215</v>
      </c>
    </row>
    <row r="19900" spans="129:129" x14ac:dyDescent="0.2">
      <c r="DY19900" s="185" t="s">
        <v>215</v>
      </c>
    </row>
    <row r="19901" spans="129:129" x14ac:dyDescent="0.2">
      <c r="DY19901" s="185" t="s">
        <v>215</v>
      </c>
    </row>
    <row r="19902" spans="129:129" x14ac:dyDescent="0.2">
      <c r="DY19902" s="185" t="s">
        <v>215</v>
      </c>
    </row>
    <row r="19903" spans="129:129" x14ac:dyDescent="0.2">
      <c r="DY19903" s="185" t="s">
        <v>215</v>
      </c>
    </row>
    <row r="19904" spans="129:129" x14ac:dyDescent="0.2">
      <c r="DY19904" s="185" t="s">
        <v>215</v>
      </c>
    </row>
    <row r="19905" spans="129:129" x14ac:dyDescent="0.2">
      <c r="DY19905" s="185" t="s">
        <v>215</v>
      </c>
    </row>
    <row r="19906" spans="129:129" x14ac:dyDescent="0.2">
      <c r="DY19906" s="185" t="s">
        <v>215</v>
      </c>
    </row>
    <row r="19907" spans="129:129" x14ac:dyDescent="0.2">
      <c r="DY19907" s="185" t="s">
        <v>215</v>
      </c>
    </row>
    <row r="19908" spans="129:129" x14ac:dyDescent="0.2">
      <c r="DY19908" s="185" t="s">
        <v>215</v>
      </c>
    </row>
    <row r="19909" spans="129:129" x14ac:dyDescent="0.2">
      <c r="DY19909" s="185" t="s">
        <v>215</v>
      </c>
    </row>
    <row r="19910" spans="129:129" x14ac:dyDescent="0.2">
      <c r="DY19910" s="185" t="s">
        <v>215</v>
      </c>
    </row>
    <row r="19911" spans="129:129" x14ac:dyDescent="0.2">
      <c r="DY19911" s="185" t="s">
        <v>215</v>
      </c>
    </row>
    <row r="19912" spans="129:129" x14ac:dyDescent="0.2">
      <c r="DY19912" s="185" t="s">
        <v>215</v>
      </c>
    </row>
    <row r="19913" spans="129:129" x14ac:dyDescent="0.2">
      <c r="DY19913" s="185" t="s">
        <v>215</v>
      </c>
    </row>
    <row r="19914" spans="129:129" x14ac:dyDescent="0.2">
      <c r="DY19914" s="185" t="s">
        <v>215</v>
      </c>
    </row>
    <row r="19915" spans="129:129" x14ac:dyDescent="0.2">
      <c r="DY19915" s="185" t="s">
        <v>215</v>
      </c>
    </row>
    <row r="19916" spans="129:129" x14ac:dyDescent="0.2">
      <c r="DY19916" s="185" t="s">
        <v>215</v>
      </c>
    </row>
    <row r="19917" spans="129:129" x14ac:dyDescent="0.2">
      <c r="DY19917" s="185" t="s">
        <v>215</v>
      </c>
    </row>
    <row r="19918" spans="129:129" x14ac:dyDescent="0.2">
      <c r="DY19918" s="185" t="s">
        <v>215</v>
      </c>
    </row>
    <row r="19919" spans="129:129" x14ac:dyDescent="0.2">
      <c r="DY19919" s="185" t="s">
        <v>215</v>
      </c>
    </row>
    <row r="19920" spans="129:129" x14ac:dyDescent="0.2">
      <c r="DY19920" s="185" t="s">
        <v>215</v>
      </c>
    </row>
    <row r="19921" spans="129:129" x14ac:dyDescent="0.2">
      <c r="DY19921" s="185" t="s">
        <v>215</v>
      </c>
    </row>
    <row r="19922" spans="129:129" x14ac:dyDescent="0.2">
      <c r="DY19922" s="185" t="s">
        <v>215</v>
      </c>
    </row>
    <row r="19923" spans="129:129" x14ac:dyDescent="0.2">
      <c r="DY19923" s="185" t="s">
        <v>215</v>
      </c>
    </row>
    <row r="19924" spans="129:129" x14ac:dyDescent="0.2">
      <c r="DY19924" s="185" t="s">
        <v>215</v>
      </c>
    </row>
    <row r="19925" spans="129:129" x14ac:dyDescent="0.2">
      <c r="DY19925" s="185" t="s">
        <v>215</v>
      </c>
    </row>
    <row r="19926" spans="129:129" x14ac:dyDescent="0.2">
      <c r="DY19926" s="185" t="s">
        <v>215</v>
      </c>
    </row>
    <row r="19927" spans="129:129" x14ac:dyDescent="0.2">
      <c r="DY19927" s="185" t="s">
        <v>215</v>
      </c>
    </row>
    <row r="19928" spans="129:129" x14ac:dyDescent="0.2">
      <c r="DY19928" s="185" t="s">
        <v>215</v>
      </c>
    </row>
    <row r="19929" spans="129:129" x14ac:dyDescent="0.2">
      <c r="DY19929" s="185" t="s">
        <v>215</v>
      </c>
    </row>
    <row r="19930" spans="129:129" x14ac:dyDescent="0.2">
      <c r="DY19930" s="185" t="s">
        <v>215</v>
      </c>
    </row>
    <row r="19931" spans="129:129" x14ac:dyDescent="0.2">
      <c r="DY19931" s="185" t="s">
        <v>215</v>
      </c>
    </row>
    <row r="19932" spans="129:129" x14ac:dyDescent="0.2">
      <c r="DY19932" s="185" t="s">
        <v>215</v>
      </c>
    </row>
    <row r="19933" spans="129:129" x14ac:dyDescent="0.2">
      <c r="DY19933" s="185" t="s">
        <v>215</v>
      </c>
    </row>
    <row r="19934" spans="129:129" x14ac:dyDescent="0.2">
      <c r="DY19934" s="185" t="s">
        <v>215</v>
      </c>
    </row>
    <row r="19935" spans="129:129" x14ac:dyDescent="0.2">
      <c r="DY19935" s="185" t="s">
        <v>215</v>
      </c>
    </row>
    <row r="19936" spans="129:129" x14ac:dyDescent="0.2">
      <c r="DY19936" s="185" t="s">
        <v>215</v>
      </c>
    </row>
    <row r="19937" spans="129:129" x14ac:dyDescent="0.2">
      <c r="DY19937" s="185" t="s">
        <v>215</v>
      </c>
    </row>
    <row r="19938" spans="129:129" x14ac:dyDescent="0.2">
      <c r="DY19938" s="185" t="s">
        <v>215</v>
      </c>
    </row>
    <row r="19939" spans="129:129" x14ac:dyDescent="0.2">
      <c r="DY19939" s="185" t="s">
        <v>215</v>
      </c>
    </row>
    <row r="19940" spans="129:129" x14ac:dyDescent="0.2">
      <c r="DY19940" s="185" t="s">
        <v>215</v>
      </c>
    </row>
    <row r="19941" spans="129:129" x14ac:dyDescent="0.2">
      <c r="DY19941" s="185" t="s">
        <v>215</v>
      </c>
    </row>
    <row r="19942" spans="129:129" x14ac:dyDescent="0.2">
      <c r="DY19942" s="185" t="s">
        <v>215</v>
      </c>
    </row>
    <row r="19943" spans="129:129" x14ac:dyDescent="0.2">
      <c r="DY19943" s="185" t="s">
        <v>215</v>
      </c>
    </row>
    <row r="19944" spans="129:129" x14ac:dyDescent="0.2">
      <c r="DY19944" s="185" t="s">
        <v>215</v>
      </c>
    </row>
    <row r="19945" spans="129:129" x14ac:dyDescent="0.2">
      <c r="DY19945" s="185" t="s">
        <v>215</v>
      </c>
    </row>
    <row r="19946" spans="129:129" x14ac:dyDescent="0.2">
      <c r="DY19946" s="185" t="s">
        <v>215</v>
      </c>
    </row>
    <row r="19947" spans="129:129" x14ac:dyDescent="0.2">
      <c r="DY19947" s="185" t="s">
        <v>215</v>
      </c>
    </row>
    <row r="19948" spans="129:129" x14ac:dyDescent="0.2">
      <c r="DY19948" s="185" t="s">
        <v>215</v>
      </c>
    </row>
    <row r="19949" spans="129:129" x14ac:dyDescent="0.2">
      <c r="DY19949" s="185" t="s">
        <v>215</v>
      </c>
    </row>
    <row r="19950" spans="129:129" x14ac:dyDescent="0.2">
      <c r="DY19950" s="185" t="s">
        <v>215</v>
      </c>
    </row>
    <row r="19951" spans="129:129" x14ac:dyDescent="0.2">
      <c r="DY19951" s="185" t="s">
        <v>215</v>
      </c>
    </row>
    <row r="19952" spans="129:129" x14ac:dyDescent="0.2">
      <c r="DY19952" s="185" t="s">
        <v>215</v>
      </c>
    </row>
    <row r="19953" spans="129:129" x14ac:dyDescent="0.2">
      <c r="DY19953" s="185" t="s">
        <v>215</v>
      </c>
    </row>
    <row r="19954" spans="129:129" x14ac:dyDescent="0.2">
      <c r="DY19954" s="185" t="s">
        <v>215</v>
      </c>
    </row>
    <row r="19955" spans="129:129" x14ac:dyDescent="0.2">
      <c r="DY19955" s="185" t="s">
        <v>215</v>
      </c>
    </row>
    <row r="19956" spans="129:129" x14ac:dyDescent="0.2">
      <c r="DY19956" s="185" t="s">
        <v>215</v>
      </c>
    </row>
    <row r="19957" spans="129:129" x14ac:dyDescent="0.2">
      <c r="DY19957" s="185" t="s">
        <v>215</v>
      </c>
    </row>
    <row r="19958" spans="129:129" x14ac:dyDescent="0.2">
      <c r="DY19958" s="185" t="s">
        <v>215</v>
      </c>
    </row>
    <row r="19959" spans="129:129" x14ac:dyDescent="0.2">
      <c r="DY19959" s="185" t="s">
        <v>215</v>
      </c>
    </row>
    <row r="19960" spans="129:129" x14ac:dyDescent="0.2">
      <c r="DY19960" s="185" t="s">
        <v>215</v>
      </c>
    </row>
    <row r="19961" spans="129:129" x14ac:dyDescent="0.2">
      <c r="DY19961" s="185" t="s">
        <v>215</v>
      </c>
    </row>
    <row r="19962" spans="129:129" x14ac:dyDescent="0.2">
      <c r="DY19962" s="185" t="s">
        <v>215</v>
      </c>
    </row>
    <row r="19963" spans="129:129" x14ac:dyDescent="0.2">
      <c r="DY19963" s="185" t="s">
        <v>215</v>
      </c>
    </row>
    <row r="19964" spans="129:129" x14ac:dyDescent="0.2">
      <c r="DY19964" s="185" t="s">
        <v>215</v>
      </c>
    </row>
    <row r="19965" spans="129:129" x14ac:dyDescent="0.2">
      <c r="DY19965" s="185" t="s">
        <v>215</v>
      </c>
    </row>
    <row r="19966" spans="129:129" x14ac:dyDescent="0.2">
      <c r="DY19966" s="185" t="s">
        <v>215</v>
      </c>
    </row>
    <row r="19967" spans="129:129" x14ac:dyDescent="0.2">
      <c r="DY19967" s="185" t="s">
        <v>215</v>
      </c>
    </row>
    <row r="19968" spans="129:129" x14ac:dyDescent="0.2">
      <c r="DY19968" s="185" t="s">
        <v>215</v>
      </c>
    </row>
    <row r="19969" spans="129:129" x14ac:dyDescent="0.2">
      <c r="DY19969" s="185" t="s">
        <v>215</v>
      </c>
    </row>
    <row r="19970" spans="129:129" x14ac:dyDescent="0.2">
      <c r="DY19970" s="185" t="s">
        <v>215</v>
      </c>
    </row>
    <row r="19971" spans="129:129" x14ac:dyDescent="0.2">
      <c r="DY19971" s="185" t="s">
        <v>215</v>
      </c>
    </row>
    <row r="19972" spans="129:129" x14ac:dyDescent="0.2">
      <c r="DY19972" s="185" t="s">
        <v>215</v>
      </c>
    </row>
    <row r="19973" spans="129:129" x14ac:dyDescent="0.2">
      <c r="DY19973" s="185" t="s">
        <v>215</v>
      </c>
    </row>
    <row r="19974" spans="129:129" x14ac:dyDescent="0.2">
      <c r="DY19974" s="185" t="s">
        <v>215</v>
      </c>
    </row>
    <row r="19975" spans="129:129" x14ac:dyDescent="0.2">
      <c r="DY19975" s="185" t="s">
        <v>215</v>
      </c>
    </row>
    <row r="19976" spans="129:129" x14ac:dyDescent="0.2">
      <c r="DY19976" s="185" t="s">
        <v>215</v>
      </c>
    </row>
    <row r="19977" spans="129:129" x14ac:dyDescent="0.2">
      <c r="DY19977" s="185" t="s">
        <v>215</v>
      </c>
    </row>
    <row r="19978" spans="129:129" x14ac:dyDescent="0.2">
      <c r="DY19978" s="185" t="s">
        <v>215</v>
      </c>
    </row>
    <row r="19979" spans="129:129" x14ac:dyDescent="0.2">
      <c r="DY19979" s="185" t="s">
        <v>215</v>
      </c>
    </row>
    <row r="19980" spans="129:129" x14ac:dyDescent="0.2">
      <c r="DY19980" s="185" t="s">
        <v>215</v>
      </c>
    </row>
    <row r="19981" spans="129:129" x14ac:dyDescent="0.2">
      <c r="DY19981" s="185" t="s">
        <v>215</v>
      </c>
    </row>
    <row r="19982" spans="129:129" x14ac:dyDescent="0.2">
      <c r="DY19982" s="185" t="s">
        <v>215</v>
      </c>
    </row>
    <row r="19983" spans="129:129" x14ac:dyDescent="0.2">
      <c r="DY19983" s="185" t="s">
        <v>215</v>
      </c>
    </row>
    <row r="19984" spans="129:129" x14ac:dyDescent="0.2">
      <c r="DY19984" s="185" t="s">
        <v>215</v>
      </c>
    </row>
    <row r="19985" spans="129:129" x14ac:dyDescent="0.2">
      <c r="DY19985" s="185" t="s">
        <v>215</v>
      </c>
    </row>
    <row r="19986" spans="129:129" x14ac:dyDescent="0.2">
      <c r="DY19986" s="185" t="s">
        <v>215</v>
      </c>
    </row>
    <row r="19987" spans="129:129" x14ac:dyDescent="0.2">
      <c r="DY19987" s="185" t="s">
        <v>215</v>
      </c>
    </row>
    <row r="19988" spans="129:129" x14ac:dyDescent="0.2">
      <c r="DY19988" s="185" t="s">
        <v>215</v>
      </c>
    </row>
    <row r="19989" spans="129:129" x14ac:dyDescent="0.2">
      <c r="DY19989" s="185" t="s">
        <v>215</v>
      </c>
    </row>
    <row r="19990" spans="129:129" x14ac:dyDescent="0.2">
      <c r="DY19990" s="185" t="s">
        <v>215</v>
      </c>
    </row>
    <row r="19991" spans="129:129" x14ac:dyDescent="0.2">
      <c r="DY19991" s="185" t="s">
        <v>215</v>
      </c>
    </row>
    <row r="19992" spans="129:129" x14ac:dyDescent="0.2">
      <c r="DY19992" s="185" t="s">
        <v>215</v>
      </c>
    </row>
    <row r="19993" spans="129:129" x14ac:dyDescent="0.2">
      <c r="DY19993" s="185" t="s">
        <v>215</v>
      </c>
    </row>
    <row r="19994" spans="129:129" x14ac:dyDescent="0.2">
      <c r="DY19994" s="185" t="s">
        <v>215</v>
      </c>
    </row>
    <row r="19995" spans="129:129" x14ac:dyDescent="0.2">
      <c r="DY19995" s="185" t="s">
        <v>215</v>
      </c>
    </row>
    <row r="19996" spans="129:129" x14ac:dyDescent="0.2">
      <c r="DY19996" s="185" t="s">
        <v>215</v>
      </c>
    </row>
    <row r="19997" spans="129:129" x14ac:dyDescent="0.2">
      <c r="DY19997" s="185" t="s">
        <v>215</v>
      </c>
    </row>
    <row r="19998" spans="129:129" x14ac:dyDescent="0.2">
      <c r="DY19998" s="185" t="s">
        <v>215</v>
      </c>
    </row>
    <row r="19999" spans="129:129" x14ac:dyDescent="0.2">
      <c r="DY19999" s="185" t="s">
        <v>215</v>
      </c>
    </row>
    <row r="20000" spans="129:129" x14ac:dyDescent="0.2">
      <c r="DY20000" s="185" t="s">
        <v>215</v>
      </c>
    </row>
    <row r="20001" spans="129:129" x14ac:dyDescent="0.2">
      <c r="DY20001" s="185" t="s">
        <v>215</v>
      </c>
    </row>
    <row r="20002" spans="129:129" x14ac:dyDescent="0.2">
      <c r="DY20002" s="185" t="s">
        <v>215</v>
      </c>
    </row>
    <row r="20003" spans="129:129" x14ac:dyDescent="0.2">
      <c r="DY20003" s="185" t="s">
        <v>215</v>
      </c>
    </row>
    <row r="20004" spans="129:129" x14ac:dyDescent="0.2">
      <c r="DY20004" s="185" t="s">
        <v>215</v>
      </c>
    </row>
    <row r="20005" spans="129:129" x14ac:dyDescent="0.2">
      <c r="DY20005" s="185" t="s">
        <v>215</v>
      </c>
    </row>
    <row r="20006" spans="129:129" x14ac:dyDescent="0.2">
      <c r="DY20006" s="185" t="s">
        <v>215</v>
      </c>
    </row>
    <row r="20007" spans="129:129" x14ac:dyDescent="0.2">
      <c r="DY20007" s="185" t="s">
        <v>215</v>
      </c>
    </row>
    <row r="20008" spans="129:129" x14ac:dyDescent="0.2">
      <c r="DY20008" s="185" t="s">
        <v>215</v>
      </c>
    </row>
    <row r="20009" spans="129:129" x14ac:dyDescent="0.2">
      <c r="DY20009" s="185" t="s">
        <v>215</v>
      </c>
    </row>
    <row r="20010" spans="129:129" x14ac:dyDescent="0.2">
      <c r="DY20010" s="185" t="s">
        <v>215</v>
      </c>
    </row>
    <row r="20011" spans="129:129" x14ac:dyDescent="0.2">
      <c r="DY20011" s="185" t="s">
        <v>215</v>
      </c>
    </row>
    <row r="20012" spans="129:129" x14ac:dyDescent="0.2">
      <c r="DY20012" s="185" t="s">
        <v>215</v>
      </c>
    </row>
    <row r="20013" spans="129:129" x14ac:dyDescent="0.2">
      <c r="DY20013" s="185" t="s">
        <v>215</v>
      </c>
    </row>
    <row r="20014" spans="129:129" x14ac:dyDescent="0.2">
      <c r="DY20014" s="185" t="s">
        <v>215</v>
      </c>
    </row>
    <row r="20015" spans="129:129" x14ac:dyDescent="0.2">
      <c r="DY20015" s="185" t="s">
        <v>215</v>
      </c>
    </row>
    <row r="20016" spans="129:129" x14ac:dyDescent="0.2">
      <c r="DY20016" s="185" t="s">
        <v>215</v>
      </c>
    </row>
    <row r="20017" spans="129:129" x14ac:dyDescent="0.2">
      <c r="DY20017" s="185" t="s">
        <v>215</v>
      </c>
    </row>
    <row r="20018" spans="129:129" x14ac:dyDescent="0.2">
      <c r="DY20018" s="185" t="s">
        <v>215</v>
      </c>
    </row>
    <row r="20019" spans="129:129" x14ac:dyDescent="0.2">
      <c r="DY20019" s="185" t="s">
        <v>215</v>
      </c>
    </row>
    <row r="20020" spans="129:129" x14ac:dyDescent="0.2">
      <c r="DY20020" s="185" t="s">
        <v>215</v>
      </c>
    </row>
    <row r="20021" spans="129:129" x14ac:dyDescent="0.2">
      <c r="DY20021" s="185" t="s">
        <v>215</v>
      </c>
    </row>
    <row r="20022" spans="129:129" x14ac:dyDescent="0.2">
      <c r="DY20022" s="185" t="s">
        <v>215</v>
      </c>
    </row>
    <row r="20023" spans="129:129" x14ac:dyDescent="0.2">
      <c r="DY20023" s="185" t="s">
        <v>215</v>
      </c>
    </row>
    <row r="20024" spans="129:129" x14ac:dyDescent="0.2">
      <c r="DY20024" s="185" t="s">
        <v>215</v>
      </c>
    </row>
    <row r="20025" spans="129:129" x14ac:dyDescent="0.2">
      <c r="DY20025" s="185" t="s">
        <v>215</v>
      </c>
    </row>
    <row r="20026" spans="129:129" x14ac:dyDescent="0.2">
      <c r="DY20026" s="185" t="s">
        <v>215</v>
      </c>
    </row>
    <row r="20027" spans="129:129" x14ac:dyDescent="0.2">
      <c r="DY20027" s="185" t="s">
        <v>215</v>
      </c>
    </row>
    <row r="20028" spans="129:129" x14ac:dyDescent="0.2">
      <c r="DY20028" s="185" t="s">
        <v>215</v>
      </c>
    </row>
    <row r="20029" spans="129:129" x14ac:dyDescent="0.2">
      <c r="DY20029" s="185" t="s">
        <v>215</v>
      </c>
    </row>
    <row r="20030" spans="129:129" x14ac:dyDescent="0.2">
      <c r="DY20030" s="185" t="s">
        <v>215</v>
      </c>
    </row>
    <row r="20031" spans="129:129" x14ac:dyDescent="0.2">
      <c r="DY20031" s="185" t="s">
        <v>215</v>
      </c>
    </row>
    <row r="20032" spans="129:129" x14ac:dyDescent="0.2">
      <c r="DY20032" s="185" t="s">
        <v>215</v>
      </c>
    </row>
    <row r="20033" spans="129:129" x14ac:dyDescent="0.2">
      <c r="DY20033" s="185" t="s">
        <v>215</v>
      </c>
    </row>
    <row r="20034" spans="129:129" x14ac:dyDescent="0.2">
      <c r="DY20034" s="185" t="s">
        <v>215</v>
      </c>
    </row>
    <row r="20035" spans="129:129" x14ac:dyDescent="0.2">
      <c r="DY20035" s="185" t="s">
        <v>215</v>
      </c>
    </row>
    <row r="20036" spans="129:129" x14ac:dyDescent="0.2">
      <c r="DY20036" s="185" t="s">
        <v>215</v>
      </c>
    </row>
    <row r="20037" spans="129:129" x14ac:dyDescent="0.2">
      <c r="DY20037" s="185" t="s">
        <v>215</v>
      </c>
    </row>
    <row r="20038" spans="129:129" x14ac:dyDescent="0.2">
      <c r="DY20038" s="185" t="s">
        <v>215</v>
      </c>
    </row>
    <row r="20039" spans="129:129" x14ac:dyDescent="0.2">
      <c r="DY20039" s="185" t="s">
        <v>215</v>
      </c>
    </row>
    <row r="20040" spans="129:129" x14ac:dyDescent="0.2">
      <c r="DY20040" s="185" t="s">
        <v>215</v>
      </c>
    </row>
    <row r="20041" spans="129:129" x14ac:dyDescent="0.2">
      <c r="DY20041" s="185" t="s">
        <v>215</v>
      </c>
    </row>
    <row r="20042" spans="129:129" x14ac:dyDescent="0.2">
      <c r="DY20042" s="185" t="s">
        <v>215</v>
      </c>
    </row>
    <row r="20043" spans="129:129" x14ac:dyDescent="0.2">
      <c r="DY20043" s="185" t="s">
        <v>215</v>
      </c>
    </row>
    <row r="20044" spans="129:129" x14ac:dyDescent="0.2">
      <c r="DY20044" s="185" t="s">
        <v>215</v>
      </c>
    </row>
    <row r="20045" spans="129:129" x14ac:dyDescent="0.2">
      <c r="DY20045" s="185" t="s">
        <v>215</v>
      </c>
    </row>
    <row r="20046" spans="129:129" x14ac:dyDescent="0.2">
      <c r="DY20046" s="185" t="s">
        <v>215</v>
      </c>
    </row>
    <row r="20047" spans="129:129" x14ac:dyDescent="0.2">
      <c r="DY20047" s="185" t="s">
        <v>215</v>
      </c>
    </row>
    <row r="20048" spans="129:129" x14ac:dyDescent="0.2">
      <c r="DY20048" s="185" t="s">
        <v>215</v>
      </c>
    </row>
    <row r="20049" spans="129:129" x14ac:dyDescent="0.2">
      <c r="DY20049" s="185" t="s">
        <v>215</v>
      </c>
    </row>
    <row r="20050" spans="129:129" x14ac:dyDescent="0.2">
      <c r="DY20050" s="185" t="s">
        <v>215</v>
      </c>
    </row>
    <row r="20051" spans="129:129" x14ac:dyDescent="0.2">
      <c r="DY20051" s="185" t="s">
        <v>215</v>
      </c>
    </row>
    <row r="20052" spans="129:129" x14ac:dyDescent="0.2">
      <c r="DY20052" s="185" t="s">
        <v>215</v>
      </c>
    </row>
    <row r="20053" spans="129:129" x14ac:dyDescent="0.2">
      <c r="DY20053" s="185" t="s">
        <v>215</v>
      </c>
    </row>
    <row r="20054" spans="129:129" x14ac:dyDescent="0.2">
      <c r="DY20054" s="185" t="s">
        <v>215</v>
      </c>
    </row>
    <row r="20055" spans="129:129" x14ac:dyDescent="0.2">
      <c r="DY20055" s="185" t="s">
        <v>215</v>
      </c>
    </row>
    <row r="20056" spans="129:129" x14ac:dyDescent="0.2">
      <c r="DY20056" s="185" t="s">
        <v>215</v>
      </c>
    </row>
    <row r="20057" spans="129:129" x14ac:dyDescent="0.2">
      <c r="DY20057" s="185" t="s">
        <v>215</v>
      </c>
    </row>
    <row r="20058" spans="129:129" x14ac:dyDescent="0.2">
      <c r="DY20058" s="185" t="s">
        <v>215</v>
      </c>
    </row>
    <row r="20059" spans="129:129" x14ac:dyDescent="0.2">
      <c r="DY20059" s="185" t="s">
        <v>215</v>
      </c>
    </row>
    <row r="20060" spans="129:129" x14ac:dyDescent="0.2">
      <c r="DY20060" s="185" t="s">
        <v>215</v>
      </c>
    </row>
    <row r="20061" spans="129:129" x14ac:dyDescent="0.2">
      <c r="DY20061" s="185" t="s">
        <v>215</v>
      </c>
    </row>
    <row r="20062" spans="129:129" x14ac:dyDescent="0.2">
      <c r="DY20062" s="185" t="s">
        <v>215</v>
      </c>
    </row>
    <row r="20063" spans="129:129" x14ac:dyDescent="0.2">
      <c r="DY20063" s="185" t="s">
        <v>215</v>
      </c>
    </row>
    <row r="20064" spans="129:129" x14ac:dyDescent="0.2">
      <c r="DY20064" s="185" t="s">
        <v>215</v>
      </c>
    </row>
    <row r="20065" spans="129:129" x14ac:dyDescent="0.2">
      <c r="DY20065" s="185" t="s">
        <v>215</v>
      </c>
    </row>
    <row r="20066" spans="129:129" x14ac:dyDescent="0.2">
      <c r="DY20066" s="185" t="s">
        <v>215</v>
      </c>
    </row>
    <row r="20067" spans="129:129" x14ac:dyDescent="0.2">
      <c r="DY20067" s="185" t="s">
        <v>215</v>
      </c>
    </row>
    <row r="20068" spans="129:129" x14ac:dyDescent="0.2">
      <c r="DY20068" s="185" t="s">
        <v>215</v>
      </c>
    </row>
    <row r="20069" spans="129:129" x14ac:dyDescent="0.2">
      <c r="DY20069" s="185" t="s">
        <v>215</v>
      </c>
    </row>
    <row r="20070" spans="129:129" x14ac:dyDescent="0.2">
      <c r="DY20070" s="185" t="s">
        <v>215</v>
      </c>
    </row>
    <row r="20071" spans="129:129" x14ac:dyDescent="0.2">
      <c r="DY20071" s="185" t="s">
        <v>215</v>
      </c>
    </row>
    <row r="20072" spans="129:129" x14ac:dyDescent="0.2">
      <c r="DY20072" s="185" t="s">
        <v>215</v>
      </c>
    </row>
    <row r="20073" spans="129:129" x14ac:dyDescent="0.2">
      <c r="DY20073" s="185" t="s">
        <v>215</v>
      </c>
    </row>
    <row r="20074" spans="129:129" x14ac:dyDescent="0.2">
      <c r="DY20074" s="185" t="s">
        <v>215</v>
      </c>
    </row>
    <row r="20075" spans="129:129" x14ac:dyDescent="0.2">
      <c r="DY20075" s="185" t="s">
        <v>215</v>
      </c>
    </row>
    <row r="20076" spans="129:129" x14ac:dyDescent="0.2">
      <c r="DY20076" s="185" t="s">
        <v>215</v>
      </c>
    </row>
    <row r="20077" spans="129:129" x14ac:dyDescent="0.2">
      <c r="DY20077" s="185" t="s">
        <v>215</v>
      </c>
    </row>
    <row r="20078" spans="129:129" x14ac:dyDescent="0.2">
      <c r="DY20078" s="185" t="s">
        <v>215</v>
      </c>
    </row>
    <row r="20079" spans="129:129" x14ac:dyDescent="0.2">
      <c r="DY20079" s="185" t="s">
        <v>215</v>
      </c>
    </row>
    <row r="20080" spans="129:129" x14ac:dyDescent="0.2">
      <c r="DY20080" s="185" t="s">
        <v>215</v>
      </c>
    </row>
    <row r="20081" spans="129:129" x14ac:dyDescent="0.2">
      <c r="DY20081" s="185" t="s">
        <v>215</v>
      </c>
    </row>
    <row r="20082" spans="129:129" x14ac:dyDescent="0.2">
      <c r="DY20082" s="185" t="s">
        <v>215</v>
      </c>
    </row>
    <row r="20083" spans="129:129" x14ac:dyDescent="0.2">
      <c r="DY20083" s="185" t="s">
        <v>215</v>
      </c>
    </row>
    <row r="20084" spans="129:129" x14ac:dyDescent="0.2">
      <c r="DY20084" s="185" t="s">
        <v>215</v>
      </c>
    </row>
    <row r="20085" spans="129:129" x14ac:dyDescent="0.2">
      <c r="DY20085" s="185" t="s">
        <v>215</v>
      </c>
    </row>
    <row r="20086" spans="129:129" x14ac:dyDescent="0.2">
      <c r="DY20086" s="185" t="s">
        <v>215</v>
      </c>
    </row>
    <row r="20087" spans="129:129" x14ac:dyDescent="0.2">
      <c r="DY20087" s="185" t="s">
        <v>215</v>
      </c>
    </row>
    <row r="20088" spans="129:129" x14ac:dyDescent="0.2">
      <c r="DY20088" s="185" t="s">
        <v>215</v>
      </c>
    </row>
    <row r="20089" spans="129:129" x14ac:dyDescent="0.2">
      <c r="DY20089" s="185" t="s">
        <v>215</v>
      </c>
    </row>
    <row r="20090" spans="129:129" x14ac:dyDescent="0.2">
      <c r="DY20090" s="185" t="s">
        <v>215</v>
      </c>
    </row>
    <row r="20091" spans="129:129" x14ac:dyDescent="0.2">
      <c r="DY20091" s="185" t="s">
        <v>215</v>
      </c>
    </row>
    <row r="20092" spans="129:129" x14ac:dyDescent="0.2">
      <c r="DY20092" s="185" t="s">
        <v>215</v>
      </c>
    </row>
    <row r="20093" spans="129:129" x14ac:dyDescent="0.2">
      <c r="DY20093" s="185" t="s">
        <v>215</v>
      </c>
    </row>
    <row r="20094" spans="129:129" x14ac:dyDescent="0.2">
      <c r="DY20094" s="185" t="s">
        <v>215</v>
      </c>
    </row>
    <row r="20095" spans="129:129" x14ac:dyDescent="0.2">
      <c r="DY20095" s="185" t="s">
        <v>215</v>
      </c>
    </row>
    <row r="20096" spans="129:129" x14ac:dyDescent="0.2">
      <c r="DY20096" s="185" t="s">
        <v>215</v>
      </c>
    </row>
    <row r="20097" spans="129:129" x14ac:dyDescent="0.2">
      <c r="DY20097" s="185" t="s">
        <v>215</v>
      </c>
    </row>
    <row r="20098" spans="129:129" x14ac:dyDescent="0.2">
      <c r="DY20098" s="185" t="s">
        <v>215</v>
      </c>
    </row>
    <row r="20099" spans="129:129" x14ac:dyDescent="0.2">
      <c r="DY20099" s="185" t="s">
        <v>215</v>
      </c>
    </row>
    <row r="20100" spans="129:129" x14ac:dyDescent="0.2">
      <c r="DY20100" s="185" t="s">
        <v>215</v>
      </c>
    </row>
    <row r="20101" spans="129:129" x14ac:dyDescent="0.2">
      <c r="DY20101" s="185" t="s">
        <v>215</v>
      </c>
    </row>
    <row r="20102" spans="129:129" x14ac:dyDescent="0.2">
      <c r="DY20102" s="185" t="s">
        <v>215</v>
      </c>
    </row>
    <row r="20103" spans="129:129" x14ac:dyDescent="0.2">
      <c r="DY20103" s="185" t="s">
        <v>215</v>
      </c>
    </row>
    <row r="20104" spans="129:129" x14ac:dyDescent="0.2">
      <c r="DY20104" s="185" t="s">
        <v>215</v>
      </c>
    </row>
    <row r="20105" spans="129:129" x14ac:dyDescent="0.2">
      <c r="DY20105" s="185" t="s">
        <v>215</v>
      </c>
    </row>
    <row r="20106" spans="129:129" x14ac:dyDescent="0.2">
      <c r="DY20106" s="185" t="s">
        <v>215</v>
      </c>
    </row>
    <row r="20107" spans="129:129" x14ac:dyDescent="0.2">
      <c r="DY20107" s="185" t="s">
        <v>215</v>
      </c>
    </row>
    <row r="20108" spans="129:129" x14ac:dyDescent="0.2">
      <c r="DY20108" s="185" t="s">
        <v>215</v>
      </c>
    </row>
    <row r="20109" spans="129:129" x14ac:dyDescent="0.2">
      <c r="DY20109" s="185" t="s">
        <v>215</v>
      </c>
    </row>
    <row r="20110" spans="129:129" x14ac:dyDescent="0.2">
      <c r="DY20110" s="185" t="s">
        <v>215</v>
      </c>
    </row>
    <row r="20111" spans="129:129" x14ac:dyDescent="0.2">
      <c r="DY20111" s="185" t="s">
        <v>215</v>
      </c>
    </row>
    <row r="20112" spans="129:129" x14ac:dyDescent="0.2">
      <c r="DY20112" s="185" t="s">
        <v>215</v>
      </c>
    </row>
    <row r="20113" spans="129:129" x14ac:dyDescent="0.2">
      <c r="DY20113" s="185" t="s">
        <v>215</v>
      </c>
    </row>
    <row r="20114" spans="129:129" x14ac:dyDescent="0.2">
      <c r="DY20114" s="185" t="s">
        <v>215</v>
      </c>
    </row>
    <row r="20115" spans="129:129" x14ac:dyDescent="0.2">
      <c r="DY20115" s="185" t="s">
        <v>215</v>
      </c>
    </row>
    <row r="20116" spans="129:129" x14ac:dyDescent="0.2">
      <c r="DY20116" s="185" t="s">
        <v>215</v>
      </c>
    </row>
    <row r="20117" spans="129:129" x14ac:dyDescent="0.2">
      <c r="DY20117" s="185" t="s">
        <v>215</v>
      </c>
    </row>
    <row r="20118" spans="129:129" x14ac:dyDescent="0.2">
      <c r="DY20118" s="185" t="s">
        <v>215</v>
      </c>
    </row>
    <row r="20119" spans="129:129" x14ac:dyDescent="0.2">
      <c r="DY20119" s="185" t="s">
        <v>215</v>
      </c>
    </row>
    <row r="20120" spans="129:129" x14ac:dyDescent="0.2">
      <c r="DY20120" s="185" t="s">
        <v>215</v>
      </c>
    </row>
    <row r="20121" spans="129:129" x14ac:dyDescent="0.2">
      <c r="DY20121" s="185" t="s">
        <v>215</v>
      </c>
    </row>
    <row r="20122" spans="129:129" x14ac:dyDescent="0.2">
      <c r="DY20122" s="185" t="s">
        <v>215</v>
      </c>
    </row>
    <row r="20123" spans="129:129" x14ac:dyDescent="0.2">
      <c r="DY20123" s="185" t="s">
        <v>215</v>
      </c>
    </row>
    <row r="20124" spans="129:129" x14ac:dyDescent="0.2">
      <c r="DY20124" s="185" t="s">
        <v>215</v>
      </c>
    </row>
    <row r="20125" spans="129:129" x14ac:dyDescent="0.2">
      <c r="DY20125" s="185" t="s">
        <v>215</v>
      </c>
    </row>
    <row r="20126" spans="129:129" x14ac:dyDescent="0.2">
      <c r="DY20126" s="185" t="s">
        <v>215</v>
      </c>
    </row>
    <row r="20127" spans="129:129" x14ac:dyDescent="0.2">
      <c r="DY20127" s="185" t="s">
        <v>215</v>
      </c>
    </row>
    <row r="20128" spans="129:129" x14ac:dyDescent="0.2">
      <c r="DY20128" s="185" t="s">
        <v>215</v>
      </c>
    </row>
    <row r="20129" spans="129:129" x14ac:dyDescent="0.2">
      <c r="DY20129" s="185" t="s">
        <v>215</v>
      </c>
    </row>
    <row r="20130" spans="129:129" x14ac:dyDescent="0.2">
      <c r="DY20130" s="185" t="s">
        <v>215</v>
      </c>
    </row>
    <row r="20131" spans="129:129" x14ac:dyDescent="0.2">
      <c r="DY20131" s="185" t="s">
        <v>215</v>
      </c>
    </row>
    <row r="20132" spans="129:129" x14ac:dyDescent="0.2">
      <c r="DY20132" s="185" t="s">
        <v>215</v>
      </c>
    </row>
    <row r="20133" spans="129:129" x14ac:dyDescent="0.2">
      <c r="DY20133" s="185" t="s">
        <v>215</v>
      </c>
    </row>
    <row r="20134" spans="129:129" x14ac:dyDescent="0.2">
      <c r="DY20134" s="185" t="s">
        <v>215</v>
      </c>
    </row>
    <row r="20135" spans="129:129" x14ac:dyDescent="0.2">
      <c r="DY20135" s="185" t="s">
        <v>215</v>
      </c>
    </row>
    <row r="20136" spans="129:129" x14ac:dyDescent="0.2">
      <c r="DY20136" s="185" t="s">
        <v>215</v>
      </c>
    </row>
    <row r="20137" spans="129:129" x14ac:dyDescent="0.2">
      <c r="DY20137" s="185" t="s">
        <v>215</v>
      </c>
    </row>
    <row r="20138" spans="129:129" x14ac:dyDescent="0.2">
      <c r="DY20138" s="185" t="s">
        <v>215</v>
      </c>
    </row>
    <row r="20139" spans="129:129" x14ac:dyDescent="0.2">
      <c r="DY20139" s="185" t="s">
        <v>215</v>
      </c>
    </row>
    <row r="20140" spans="129:129" x14ac:dyDescent="0.2">
      <c r="DY20140" s="185" t="s">
        <v>215</v>
      </c>
    </row>
    <row r="20141" spans="129:129" x14ac:dyDescent="0.2">
      <c r="DY20141" s="185" t="s">
        <v>215</v>
      </c>
    </row>
    <row r="20142" spans="129:129" x14ac:dyDescent="0.2">
      <c r="DY20142" s="185" t="s">
        <v>215</v>
      </c>
    </row>
    <row r="20143" spans="129:129" x14ac:dyDescent="0.2">
      <c r="DY20143" s="185" t="s">
        <v>215</v>
      </c>
    </row>
    <row r="20144" spans="129:129" x14ac:dyDescent="0.2">
      <c r="DY20144" s="185" t="s">
        <v>215</v>
      </c>
    </row>
    <row r="20145" spans="129:129" x14ac:dyDescent="0.2">
      <c r="DY20145" s="185" t="s">
        <v>215</v>
      </c>
    </row>
    <row r="20146" spans="129:129" x14ac:dyDescent="0.2">
      <c r="DY20146" s="185" t="s">
        <v>215</v>
      </c>
    </row>
    <row r="20147" spans="129:129" x14ac:dyDescent="0.2">
      <c r="DY20147" s="185" t="s">
        <v>215</v>
      </c>
    </row>
    <row r="20148" spans="129:129" x14ac:dyDescent="0.2">
      <c r="DY20148" s="185" t="s">
        <v>215</v>
      </c>
    </row>
    <row r="20149" spans="129:129" x14ac:dyDescent="0.2">
      <c r="DY20149" s="185" t="s">
        <v>215</v>
      </c>
    </row>
    <row r="20150" spans="129:129" x14ac:dyDescent="0.2">
      <c r="DY20150" s="185" t="s">
        <v>215</v>
      </c>
    </row>
    <row r="20151" spans="129:129" x14ac:dyDescent="0.2">
      <c r="DY20151" s="185" t="s">
        <v>215</v>
      </c>
    </row>
    <row r="20152" spans="129:129" x14ac:dyDescent="0.2">
      <c r="DY20152" s="185" t="s">
        <v>215</v>
      </c>
    </row>
    <row r="20153" spans="129:129" x14ac:dyDescent="0.2">
      <c r="DY20153" s="185" t="s">
        <v>215</v>
      </c>
    </row>
    <row r="20154" spans="129:129" x14ac:dyDescent="0.2">
      <c r="DY20154" s="185" t="s">
        <v>215</v>
      </c>
    </row>
    <row r="20155" spans="129:129" x14ac:dyDescent="0.2">
      <c r="DY20155" s="185" t="s">
        <v>215</v>
      </c>
    </row>
    <row r="20156" spans="129:129" x14ac:dyDescent="0.2">
      <c r="DY20156" s="185" t="s">
        <v>215</v>
      </c>
    </row>
    <row r="20157" spans="129:129" x14ac:dyDescent="0.2">
      <c r="DY20157" s="185" t="s">
        <v>215</v>
      </c>
    </row>
    <row r="20158" spans="129:129" x14ac:dyDescent="0.2">
      <c r="DY20158" s="185" t="s">
        <v>215</v>
      </c>
    </row>
    <row r="20159" spans="129:129" x14ac:dyDescent="0.2">
      <c r="DY20159" s="185" t="s">
        <v>215</v>
      </c>
    </row>
    <row r="20160" spans="129:129" x14ac:dyDescent="0.2">
      <c r="DY20160" s="185" t="s">
        <v>215</v>
      </c>
    </row>
    <row r="20161" spans="129:129" x14ac:dyDescent="0.2">
      <c r="DY20161" s="185" t="s">
        <v>215</v>
      </c>
    </row>
    <row r="20162" spans="129:129" x14ac:dyDescent="0.2">
      <c r="DY20162" s="185" t="s">
        <v>215</v>
      </c>
    </row>
    <row r="20163" spans="129:129" x14ac:dyDescent="0.2">
      <c r="DY20163" s="185" t="s">
        <v>215</v>
      </c>
    </row>
    <row r="20164" spans="129:129" x14ac:dyDescent="0.2">
      <c r="DY20164" s="185" t="s">
        <v>215</v>
      </c>
    </row>
    <row r="20165" spans="129:129" x14ac:dyDescent="0.2">
      <c r="DY20165" s="185" t="s">
        <v>215</v>
      </c>
    </row>
    <row r="20166" spans="129:129" x14ac:dyDescent="0.2">
      <c r="DY20166" s="185" t="s">
        <v>215</v>
      </c>
    </row>
    <row r="20167" spans="129:129" x14ac:dyDescent="0.2">
      <c r="DY20167" s="185" t="s">
        <v>215</v>
      </c>
    </row>
    <row r="20168" spans="129:129" x14ac:dyDescent="0.2">
      <c r="DY20168" s="185" t="s">
        <v>215</v>
      </c>
    </row>
    <row r="20169" spans="129:129" x14ac:dyDescent="0.2">
      <c r="DY20169" s="185" t="s">
        <v>215</v>
      </c>
    </row>
    <row r="20170" spans="129:129" x14ac:dyDescent="0.2">
      <c r="DY20170" s="185" t="s">
        <v>215</v>
      </c>
    </row>
    <row r="20171" spans="129:129" x14ac:dyDescent="0.2">
      <c r="DY20171" s="185" t="s">
        <v>215</v>
      </c>
    </row>
    <row r="20172" spans="129:129" x14ac:dyDescent="0.2">
      <c r="DY20172" s="185" t="s">
        <v>215</v>
      </c>
    </row>
    <row r="20173" spans="129:129" x14ac:dyDescent="0.2">
      <c r="DY20173" s="185" t="s">
        <v>215</v>
      </c>
    </row>
    <row r="20174" spans="129:129" x14ac:dyDescent="0.2">
      <c r="DY20174" s="185" t="s">
        <v>215</v>
      </c>
    </row>
    <row r="20175" spans="129:129" x14ac:dyDescent="0.2">
      <c r="DY20175" s="185" t="s">
        <v>215</v>
      </c>
    </row>
    <row r="20176" spans="129:129" x14ac:dyDescent="0.2">
      <c r="DY20176" s="185" t="s">
        <v>215</v>
      </c>
    </row>
    <row r="20177" spans="129:129" x14ac:dyDescent="0.2">
      <c r="DY20177" s="185" t="s">
        <v>215</v>
      </c>
    </row>
    <row r="20178" spans="129:129" x14ac:dyDescent="0.2">
      <c r="DY20178" s="185" t="s">
        <v>215</v>
      </c>
    </row>
    <row r="20179" spans="129:129" x14ac:dyDescent="0.2">
      <c r="DY20179" s="185" t="s">
        <v>215</v>
      </c>
    </row>
    <row r="20180" spans="129:129" x14ac:dyDescent="0.2">
      <c r="DY20180" s="185" t="s">
        <v>215</v>
      </c>
    </row>
    <row r="20181" spans="129:129" x14ac:dyDescent="0.2">
      <c r="DY20181" s="185" t="s">
        <v>215</v>
      </c>
    </row>
    <row r="20182" spans="129:129" x14ac:dyDescent="0.2">
      <c r="DY20182" s="185" t="s">
        <v>215</v>
      </c>
    </row>
    <row r="20183" spans="129:129" x14ac:dyDescent="0.2">
      <c r="DY20183" s="185" t="s">
        <v>215</v>
      </c>
    </row>
    <row r="20184" spans="129:129" x14ac:dyDescent="0.2">
      <c r="DY20184" s="185" t="s">
        <v>215</v>
      </c>
    </row>
    <row r="20185" spans="129:129" x14ac:dyDescent="0.2">
      <c r="DY20185" s="185" t="s">
        <v>215</v>
      </c>
    </row>
    <row r="20186" spans="129:129" x14ac:dyDescent="0.2">
      <c r="DY20186" s="185" t="s">
        <v>215</v>
      </c>
    </row>
    <row r="20187" spans="129:129" x14ac:dyDescent="0.2">
      <c r="DY20187" s="185" t="s">
        <v>215</v>
      </c>
    </row>
    <row r="20188" spans="129:129" x14ac:dyDescent="0.2">
      <c r="DY20188" s="185" t="s">
        <v>215</v>
      </c>
    </row>
    <row r="20189" spans="129:129" x14ac:dyDescent="0.2">
      <c r="DY20189" s="185" t="s">
        <v>215</v>
      </c>
    </row>
    <row r="20190" spans="129:129" x14ac:dyDescent="0.2">
      <c r="DY20190" s="185" t="s">
        <v>215</v>
      </c>
    </row>
    <row r="20191" spans="129:129" x14ac:dyDescent="0.2">
      <c r="DY20191" s="185" t="s">
        <v>215</v>
      </c>
    </row>
    <row r="20192" spans="129:129" x14ac:dyDescent="0.2">
      <c r="DY20192" s="185" t="s">
        <v>215</v>
      </c>
    </row>
    <row r="20193" spans="129:129" x14ac:dyDescent="0.2">
      <c r="DY20193" s="185" t="s">
        <v>215</v>
      </c>
    </row>
    <row r="20194" spans="129:129" x14ac:dyDescent="0.2">
      <c r="DY20194" s="185" t="s">
        <v>215</v>
      </c>
    </row>
    <row r="20195" spans="129:129" x14ac:dyDescent="0.2">
      <c r="DY20195" s="185" t="s">
        <v>215</v>
      </c>
    </row>
    <row r="20196" spans="129:129" x14ac:dyDescent="0.2">
      <c r="DY20196" s="185" t="s">
        <v>215</v>
      </c>
    </row>
    <row r="20197" spans="129:129" x14ac:dyDescent="0.2">
      <c r="DY20197" s="185" t="s">
        <v>215</v>
      </c>
    </row>
    <row r="20198" spans="129:129" x14ac:dyDescent="0.2">
      <c r="DY20198" s="185" t="s">
        <v>215</v>
      </c>
    </row>
    <row r="20199" spans="129:129" x14ac:dyDescent="0.2">
      <c r="DY20199" s="185" t="s">
        <v>215</v>
      </c>
    </row>
    <row r="20200" spans="129:129" x14ac:dyDescent="0.2">
      <c r="DY20200" s="185" t="s">
        <v>215</v>
      </c>
    </row>
    <row r="20201" spans="129:129" x14ac:dyDescent="0.2">
      <c r="DY20201" s="185" t="s">
        <v>215</v>
      </c>
    </row>
    <row r="20202" spans="129:129" x14ac:dyDescent="0.2">
      <c r="DY20202" s="185" t="s">
        <v>215</v>
      </c>
    </row>
    <row r="20203" spans="129:129" x14ac:dyDescent="0.2">
      <c r="DY20203" s="185" t="s">
        <v>215</v>
      </c>
    </row>
    <row r="20204" spans="129:129" x14ac:dyDescent="0.2">
      <c r="DY20204" s="185" t="s">
        <v>215</v>
      </c>
    </row>
    <row r="20205" spans="129:129" x14ac:dyDescent="0.2">
      <c r="DY20205" s="185" t="s">
        <v>215</v>
      </c>
    </row>
    <row r="20206" spans="129:129" x14ac:dyDescent="0.2">
      <c r="DY20206" s="185" t="s">
        <v>215</v>
      </c>
    </row>
    <row r="20207" spans="129:129" x14ac:dyDescent="0.2">
      <c r="DY20207" s="185" t="s">
        <v>215</v>
      </c>
    </row>
    <row r="20208" spans="129:129" x14ac:dyDescent="0.2">
      <c r="DY20208" s="185" t="s">
        <v>215</v>
      </c>
    </row>
    <row r="20209" spans="129:129" x14ac:dyDescent="0.2">
      <c r="DY20209" s="185" t="s">
        <v>215</v>
      </c>
    </row>
    <row r="20210" spans="129:129" x14ac:dyDescent="0.2">
      <c r="DY20210" s="185" t="s">
        <v>215</v>
      </c>
    </row>
    <row r="20211" spans="129:129" x14ac:dyDescent="0.2">
      <c r="DY20211" s="185" t="s">
        <v>215</v>
      </c>
    </row>
    <row r="20212" spans="129:129" x14ac:dyDescent="0.2">
      <c r="DY20212" s="185" t="s">
        <v>215</v>
      </c>
    </row>
    <row r="20213" spans="129:129" x14ac:dyDescent="0.2">
      <c r="DY20213" s="185" t="s">
        <v>215</v>
      </c>
    </row>
    <row r="20214" spans="129:129" x14ac:dyDescent="0.2">
      <c r="DY20214" s="185" t="s">
        <v>215</v>
      </c>
    </row>
    <row r="20215" spans="129:129" x14ac:dyDescent="0.2">
      <c r="DY20215" s="185" t="s">
        <v>215</v>
      </c>
    </row>
    <row r="20216" spans="129:129" x14ac:dyDescent="0.2">
      <c r="DY20216" s="185" t="s">
        <v>215</v>
      </c>
    </row>
    <row r="20217" spans="129:129" x14ac:dyDescent="0.2">
      <c r="DY20217" s="185" t="s">
        <v>215</v>
      </c>
    </row>
    <row r="20218" spans="129:129" x14ac:dyDescent="0.2">
      <c r="DY20218" s="185" t="s">
        <v>215</v>
      </c>
    </row>
    <row r="20219" spans="129:129" x14ac:dyDescent="0.2">
      <c r="DY20219" s="185" t="s">
        <v>215</v>
      </c>
    </row>
    <row r="20220" spans="129:129" x14ac:dyDescent="0.2">
      <c r="DY20220" s="185" t="s">
        <v>215</v>
      </c>
    </row>
    <row r="20221" spans="129:129" x14ac:dyDescent="0.2">
      <c r="DY20221" s="185" t="s">
        <v>215</v>
      </c>
    </row>
    <row r="20222" spans="129:129" x14ac:dyDescent="0.2">
      <c r="DY20222" s="185" t="s">
        <v>215</v>
      </c>
    </row>
    <row r="20223" spans="129:129" x14ac:dyDescent="0.2">
      <c r="DY20223" s="185" t="s">
        <v>215</v>
      </c>
    </row>
    <row r="20224" spans="129:129" x14ac:dyDescent="0.2">
      <c r="DY20224" s="185" t="s">
        <v>215</v>
      </c>
    </row>
    <row r="20225" spans="129:129" x14ac:dyDescent="0.2">
      <c r="DY20225" s="185" t="s">
        <v>215</v>
      </c>
    </row>
    <row r="20226" spans="129:129" x14ac:dyDescent="0.2">
      <c r="DY20226" s="185" t="s">
        <v>215</v>
      </c>
    </row>
    <row r="20227" spans="129:129" x14ac:dyDescent="0.2">
      <c r="DY20227" s="185" t="s">
        <v>215</v>
      </c>
    </row>
    <row r="20228" spans="129:129" x14ac:dyDescent="0.2">
      <c r="DY20228" s="185" t="s">
        <v>215</v>
      </c>
    </row>
    <row r="20229" spans="129:129" x14ac:dyDescent="0.2">
      <c r="DY20229" s="185" t="s">
        <v>215</v>
      </c>
    </row>
    <row r="20230" spans="129:129" x14ac:dyDescent="0.2">
      <c r="DY20230" s="185" t="s">
        <v>215</v>
      </c>
    </row>
    <row r="20231" spans="129:129" x14ac:dyDescent="0.2">
      <c r="DY20231" s="185" t="s">
        <v>215</v>
      </c>
    </row>
    <row r="20232" spans="129:129" x14ac:dyDescent="0.2">
      <c r="DY20232" s="185" t="s">
        <v>215</v>
      </c>
    </row>
    <row r="20233" spans="129:129" x14ac:dyDescent="0.2">
      <c r="DY20233" s="185" t="s">
        <v>215</v>
      </c>
    </row>
    <row r="20234" spans="129:129" x14ac:dyDescent="0.2">
      <c r="DY20234" s="185" t="s">
        <v>215</v>
      </c>
    </row>
    <row r="20235" spans="129:129" x14ac:dyDescent="0.2">
      <c r="DY20235" s="185" t="s">
        <v>215</v>
      </c>
    </row>
    <row r="20236" spans="129:129" x14ac:dyDescent="0.2">
      <c r="DY20236" s="185" t="s">
        <v>215</v>
      </c>
    </row>
    <row r="20237" spans="129:129" x14ac:dyDescent="0.2">
      <c r="DY20237" s="185" t="s">
        <v>215</v>
      </c>
    </row>
    <row r="20238" spans="129:129" x14ac:dyDescent="0.2">
      <c r="DY20238" s="185" t="s">
        <v>215</v>
      </c>
    </row>
    <row r="20239" spans="129:129" x14ac:dyDescent="0.2">
      <c r="DY20239" s="185" t="s">
        <v>215</v>
      </c>
    </row>
    <row r="20240" spans="129:129" x14ac:dyDescent="0.2">
      <c r="DY20240" s="185" t="s">
        <v>215</v>
      </c>
    </row>
    <row r="20241" spans="129:129" x14ac:dyDescent="0.2">
      <c r="DY20241" s="185" t="s">
        <v>215</v>
      </c>
    </row>
    <row r="20242" spans="129:129" x14ac:dyDescent="0.2">
      <c r="DY20242" s="185" t="s">
        <v>215</v>
      </c>
    </row>
    <row r="20243" spans="129:129" x14ac:dyDescent="0.2">
      <c r="DY20243" s="185" t="s">
        <v>215</v>
      </c>
    </row>
    <row r="20244" spans="129:129" x14ac:dyDescent="0.2">
      <c r="DY20244" s="185" t="s">
        <v>215</v>
      </c>
    </row>
    <row r="20245" spans="129:129" x14ac:dyDescent="0.2">
      <c r="DY20245" s="185" t="s">
        <v>215</v>
      </c>
    </row>
    <row r="20246" spans="129:129" x14ac:dyDescent="0.2">
      <c r="DY20246" s="185" t="s">
        <v>215</v>
      </c>
    </row>
    <row r="20247" spans="129:129" x14ac:dyDescent="0.2">
      <c r="DY20247" s="185" t="s">
        <v>215</v>
      </c>
    </row>
    <row r="20248" spans="129:129" x14ac:dyDescent="0.2">
      <c r="DY20248" s="185" t="s">
        <v>215</v>
      </c>
    </row>
    <row r="20249" spans="129:129" x14ac:dyDescent="0.2">
      <c r="DY20249" s="185" t="s">
        <v>215</v>
      </c>
    </row>
    <row r="20250" spans="129:129" x14ac:dyDescent="0.2">
      <c r="DY20250" s="185" t="s">
        <v>215</v>
      </c>
    </row>
    <row r="20251" spans="129:129" x14ac:dyDescent="0.2">
      <c r="DY20251" s="185" t="s">
        <v>215</v>
      </c>
    </row>
    <row r="20252" spans="129:129" x14ac:dyDescent="0.2">
      <c r="DY20252" s="185" t="s">
        <v>215</v>
      </c>
    </row>
    <row r="20253" spans="129:129" x14ac:dyDescent="0.2">
      <c r="DY20253" s="185" t="s">
        <v>215</v>
      </c>
    </row>
    <row r="20254" spans="129:129" x14ac:dyDescent="0.2">
      <c r="DY20254" s="185" t="s">
        <v>215</v>
      </c>
    </row>
    <row r="20255" spans="129:129" x14ac:dyDescent="0.2">
      <c r="DY20255" s="185" t="s">
        <v>215</v>
      </c>
    </row>
    <row r="20256" spans="129:129" x14ac:dyDescent="0.2">
      <c r="DY20256" s="185" t="s">
        <v>215</v>
      </c>
    </row>
    <row r="20257" spans="129:129" x14ac:dyDescent="0.2">
      <c r="DY20257" s="185" t="s">
        <v>215</v>
      </c>
    </row>
    <row r="20258" spans="129:129" x14ac:dyDescent="0.2">
      <c r="DY20258" s="185" t="s">
        <v>215</v>
      </c>
    </row>
    <row r="20259" spans="129:129" x14ac:dyDescent="0.2">
      <c r="DY20259" s="185" t="s">
        <v>215</v>
      </c>
    </row>
    <row r="20260" spans="129:129" x14ac:dyDescent="0.2">
      <c r="DY20260" s="185" t="s">
        <v>215</v>
      </c>
    </row>
    <row r="20261" spans="129:129" x14ac:dyDescent="0.2">
      <c r="DY20261" s="185" t="s">
        <v>215</v>
      </c>
    </row>
    <row r="20262" spans="129:129" x14ac:dyDescent="0.2">
      <c r="DY20262" s="185" t="s">
        <v>215</v>
      </c>
    </row>
    <row r="20263" spans="129:129" x14ac:dyDescent="0.2">
      <c r="DY20263" s="185" t="s">
        <v>215</v>
      </c>
    </row>
    <row r="20264" spans="129:129" x14ac:dyDescent="0.2">
      <c r="DY20264" s="185" t="s">
        <v>215</v>
      </c>
    </row>
    <row r="20265" spans="129:129" x14ac:dyDescent="0.2">
      <c r="DY20265" s="185" t="s">
        <v>215</v>
      </c>
    </row>
    <row r="20266" spans="129:129" x14ac:dyDescent="0.2">
      <c r="DY20266" s="185" t="s">
        <v>215</v>
      </c>
    </row>
    <row r="20267" spans="129:129" x14ac:dyDescent="0.2">
      <c r="DY20267" s="185" t="s">
        <v>215</v>
      </c>
    </row>
    <row r="20268" spans="129:129" x14ac:dyDescent="0.2">
      <c r="DY20268" s="185" t="s">
        <v>215</v>
      </c>
    </row>
    <row r="20269" spans="129:129" x14ac:dyDescent="0.2">
      <c r="DY20269" s="185" t="s">
        <v>215</v>
      </c>
    </row>
    <row r="20270" spans="129:129" x14ac:dyDescent="0.2">
      <c r="DY20270" s="185" t="s">
        <v>215</v>
      </c>
    </row>
    <row r="20271" spans="129:129" x14ac:dyDescent="0.2">
      <c r="DY20271" s="185" t="s">
        <v>215</v>
      </c>
    </row>
    <row r="20272" spans="129:129" x14ac:dyDescent="0.2">
      <c r="DY20272" s="185" t="s">
        <v>215</v>
      </c>
    </row>
    <row r="20273" spans="129:129" x14ac:dyDescent="0.2">
      <c r="DY20273" s="185" t="s">
        <v>215</v>
      </c>
    </row>
    <row r="20274" spans="129:129" x14ac:dyDescent="0.2">
      <c r="DY20274" s="185" t="s">
        <v>215</v>
      </c>
    </row>
    <row r="20275" spans="129:129" x14ac:dyDescent="0.2">
      <c r="DY20275" s="185" t="s">
        <v>215</v>
      </c>
    </row>
    <row r="20276" spans="129:129" x14ac:dyDescent="0.2">
      <c r="DY20276" s="185" t="s">
        <v>215</v>
      </c>
    </row>
    <row r="20277" spans="129:129" x14ac:dyDescent="0.2">
      <c r="DY20277" s="185" t="s">
        <v>215</v>
      </c>
    </row>
    <row r="20278" spans="129:129" x14ac:dyDescent="0.2">
      <c r="DY20278" s="185" t="s">
        <v>215</v>
      </c>
    </row>
    <row r="20279" spans="129:129" x14ac:dyDescent="0.2">
      <c r="DY20279" s="185" t="s">
        <v>215</v>
      </c>
    </row>
    <row r="20280" spans="129:129" x14ac:dyDescent="0.2">
      <c r="DY20280" s="185" t="s">
        <v>215</v>
      </c>
    </row>
    <row r="20281" spans="129:129" x14ac:dyDescent="0.2">
      <c r="DY20281" s="185" t="s">
        <v>215</v>
      </c>
    </row>
    <row r="20282" spans="129:129" x14ac:dyDescent="0.2">
      <c r="DY20282" s="185" t="s">
        <v>215</v>
      </c>
    </row>
    <row r="20283" spans="129:129" x14ac:dyDescent="0.2">
      <c r="DY20283" s="185" t="s">
        <v>215</v>
      </c>
    </row>
    <row r="20284" spans="129:129" x14ac:dyDescent="0.2">
      <c r="DY20284" s="185" t="s">
        <v>215</v>
      </c>
    </row>
    <row r="20285" spans="129:129" x14ac:dyDescent="0.2">
      <c r="DY20285" s="185" t="s">
        <v>215</v>
      </c>
    </row>
    <row r="20286" spans="129:129" x14ac:dyDescent="0.2">
      <c r="DY20286" s="185" t="s">
        <v>215</v>
      </c>
    </row>
    <row r="20287" spans="129:129" x14ac:dyDescent="0.2">
      <c r="DY20287" s="185" t="s">
        <v>215</v>
      </c>
    </row>
    <row r="20288" spans="129:129" x14ac:dyDescent="0.2">
      <c r="DY20288" s="185" t="s">
        <v>215</v>
      </c>
    </row>
    <row r="20289" spans="129:129" x14ac:dyDescent="0.2">
      <c r="DY20289" s="185" t="s">
        <v>215</v>
      </c>
    </row>
    <row r="20290" spans="129:129" x14ac:dyDescent="0.2">
      <c r="DY20290" s="185" t="s">
        <v>215</v>
      </c>
    </row>
    <row r="20291" spans="129:129" x14ac:dyDescent="0.2">
      <c r="DY20291" s="185" t="s">
        <v>215</v>
      </c>
    </row>
    <row r="20292" spans="129:129" x14ac:dyDescent="0.2">
      <c r="DY20292" s="185" t="s">
        <v>215</v>
      </c>
    </row>
    <row r="20293" spans="129:129" x14ac:dyDescent="0.2">
      <c r="DY20293" s="185" t="s">
        <v>215</v>
      </c>
    </row>
    <row r="20294" spans="129:129" x14ac:dyDescent="0.2">
      <c r="DY20294" s="185" t="s">
        <v>215</v>
      </c>
    </row>
    <row r="20295" spans="129:129" x14ac:dyDescent="0.2">
      <c r="DY20295" s="185" t="s">
        <v>215</v>
      </c>
    </row>
    <row r="20296" spans="129:129" x14ac:dyDescent="0.2">
      <c r="DY20296" s="185" t="s">
        <v>215</v>
      </c>
    </row>
    <row r="20297" spans="129:129" x14ac:dyDescent="0.2">
      <c r="DY20297" s="185" t="s">
        <v>215</v>
      </c>
    </row>
    <row r="20298" spans="129:129" x14ac:dyDescent="0.2">
      <c r="DY20298" s="185" t="s">
        <v>215</v>
      </c>
    </row>
    <row r="20299" spans="129:129" x14ac:dyDescent="0.2">
      <c r="DY20299" s="185" t="s">
        <v>215</v>
      </c>
    </row>
    <row r="20300" spans="129:129" x14ac:dyDescent="0.2">
      <c r="DY20300" s="185" t="s">
        <v>215</v>
      </c>
    </row>
    <row r="20301" spans="129:129" x14ac:dyDescent="0.2">
      <c r="DY20301" s="185" t="s">
        <v>215</v>
      </c>
    </row>
    <row r="20302" spans="129:129" x14ac:dyDescent="0.2">
      <c r="DY20302" s="185" t="s">
        <v>215</v>
      </c>
    </row>
    <row r="20303" spans="129:129" x14ac:dyDescent="0.2">
      <c r="DY20303" s="185" t="s">
        <v>215</v>
      </c>
    </row>
    <row r="20304" spans="129:129" x14ac:dyDescent="0.2">
      <c r="DY20304" s="185" t="s">
        <v>215</v>
      </c>
    </row>
    <row r="20305" spans="129:129" x14ac:dyDescent="0.2">
      <c r="DY20305" s="185" t="s">
        <v>215</v>
      </c>
    </row>
    <row r="20306" spans="129:129" x14ac:dyDescent="0.2">
      <c r="DY20306" s="185" t="s">
        <v>215</v>
      </c>
    </row>
    <row r="20307" spans="129:129" x14ac:dyDescent="0.2">
      <c r="DY20307" s="185" t="s">
        <v>215</v>
      </c>
    </row>
    <row r="20308" spans="129:129" x14ac:dyDescent="0.2">
      <c r="DY20308" s="185" t="s">
        <v>215</v>
      </c>
    </row>
    <row r="20309" spans="129:129" x14ac:dyDescent="0.2">
      <c r="DY20309" s="185" t="s">
        <v>215</v>
      </c>
    </row>
    <row r="20310" spans="129:129" x14ac:dyDescent="0.2">
      <c r="DY20310" s="185" t="s">
        <v>215</v>
      </c>
    </row>
    <row r="20311" spans="129:129" x14ac:dyDescent="0.2">
      <c r="DY20311" s="185" t="s">
        <v>215</v>
      </c>
    </row>
    <row r="20312" spans="129:129" x14ac:dyDescent="0.2">
      <c r="DY20312" s="185" t="s">
        <v>215</v>
      </c>
    </row>
    <row r="20313" spans="129:129" x14ac:dyDescent="0.2">
      <c r="DY20313" s="185" t="s">
        <v>215</v>
      </c>
    </row>
    <row r="20314" spans="129:129" x14ac:dyDescent="0.2">
      <c r="DY20314" s="185" t="s">
        <v>215</v>
      </c>
    </row>
    <row r="20315" spans="129:129" x14ac:dyDescent="0.2">
      <c r="DY20315" s="185" t="s">
        <v>215</v>
      </c>
    </row>
    <row r="20316" spans="129:129" x14ac:dyDescent="0.2">
      <c r="DY20316" s="185" t="s">
        <v>215</v>
      </c>
    </row>
    <row r="20317" spans="129:129" x14ac:dyDescent="0.2">
      <c r="DY20317" s="185" t="s">
        <v>215</v>
      </c>
    </row>
    <row r="20318" spans="129:129" x14ac:dyDescent="0.2">
      <c r="DY20318" s="185" t="s">
        <v>215</v>
      </c>
    </row>
    <row r="20319" spans="129:129" x14ac:dyDescent="0.2">
      <c r="DY20319" s="185" t="s">
        <v>215</v>
      </c>
    </row>
    <row r="20320" spans="129:129" x14ac:dyDescent="0.2">
      <c r="DY20320" s="185" t="s">
        <v>215</v>
      </c>
    </row>
    <row r="20321" spans="129:129" x14ac:dyDescent="0.2">
      <c r="DY20321" s="185" t="s">
        <v>215</v>
      </c>
    </row>
    <row r="20322" spans="129:129" x14ac:dyDescent="0.2">
      <c r="DY20322" s="185" t="s">
        <v>215</v>
      </c>
    </row>
    <row r="20323" spans="129:129" x14ac:dyDescent="0.2">
      <c r="DY20323" s="185" t="s">
        <v>215</v>
      </c>
    </row>
    <row r="20324" spans="129:129" x14ac:dyDescent="0.2">
      <c r="DY20324" s="185" t="s">
        <v>215</v>
      </c>
    </row>
    <row r="20325" spans="129:129" x14ac:dyDescent="0.2">
      <c r="DY20325" s="185" t="s">
        <v>215</v>
      </c>
    </row>
    <row r="20326" spans="129:129" x14ac:dyDescent="0.2">
      <c r="DY20326" s="185" t="s">
        <v>215</v>
      </c>
    </row>
    <row r="20327" spans="129:129" x14ac:dyDescent="0.2">
      <c r="DY20327" s="185" t="s">
        <v>215</v>
      </c>
    </row>
    <row r="20328" spans="129:129" x14ac:dyDescent="0.2">
      <c r="DY20328" s="185" t="s">
        <v>215</v>
      </c>
    </row>
    <row r="20329" spans="129:129" x14ac:dyDescent="0.2">
      <c r="DY20329" s="185" t="s">
        <v>215</v>
      </c>
    </row>
    <row r="20330" spans="129:129" x14ac:dyDescent="0.2">
      <c r="DY20330" s="185" t="s">
        <v>215</v>
      </c>
    </row>
    <row r="20331" spans="129:129" x14ac:dyDescent="0.2">
      <c r="DY20331" s="185" t="s">
        <v>215</v>
      </c>
    </row>
    <row r="20332" spans="129:129" x14ac:dyDescent="0.2">
      <c r="DY20332" s="185" t="s">
        <v>215</v>
      </c>
    </row>
    <row r="20333" spans="129:129" x14ac:dyDescent="0.2">
      <c r="DY20333" s="185" t="s">
        <v>215</v>
      </c>
    </row>
    <row r="20334" spans="129:129" x14ac:dyDescent="0.2">
      <c r="DY20334" s="185" t="s">
        <v>215</v>
      </c>
    </row>
    <row r="20335" spans="129:129" x14ac:dyDescent="0.2">
      <c r="DY20335" s="185" t="s">
        <v>215</v>
      </c>
    </row>
    <row r="20336" spans="129:129" x14ac:dyDescent="0.2">
      <c r="DY20336" s="185" t="s">
        <v>215</v>
      </c>
    </row>
    <row r="20337" spans="129:129" x14ac:dyDescent="0.2">
      <c r="DY20337" s="185" t="s">
        <v>215</v>
      </c>
    </row>
    <row r="20338" spans="129:129" x14ac:dyDescent="0.2">
      <c r="DY20338" s="185" t="s">
        <v>215</v>
      </c>
    </row>
    <row r="20339" spans="129:129" x14ac:dyDescent="0.2">
      <c r="DY20339" s="185" t="s">
        <v>215</v>
      </c>
    </row>
    <row r="20340" spans="129:129" x14ac:dyDescent="0.2">
      <c r="DY20340" s="185" t="s">
        <v>215</v>
      </c>
    </row>
    <row r="20341" spans="129:129" x14ac:dyDescent="0.2">
      <c r="DY20341" s="185" t="s">
        <v>215</v>
      </c>
    </row>
    <row r="20342" spans="129:129" x14ac:dyDescent="0.2">
      <c r="DY20342" s="185" t="s">
        <v>215</v>
      </c>
    </row>
    <row r="20343" spans="129:129" x14ac:dyDescent="0.2">
      <c r="DY20343" s="185" t="s">
        <v>215</v>
      </c>
    </row>
    <row r="20344" spans="129:129" x14ac:dyDescent="0.2">
      <c r="DY20344" s="185" t="s">
        <v>215</v>
      </c>
    </row>
    <row r="20345" spans="129:129" x14ac:dyDescent="0.2">
      <c r="DY20345" s="185" t="s">
        <v>215</v>
      </c>
    </row>
    <row r="20346" spans="129:129" x14ac:dyDescent="0.2">
      <c r="DY20346" s="185" t="s">
        <v>215</v>
      </c>
    </row>
    <row r="20347" spans="129:129" x14ac:dyDescent="0.2">
      <c r="DY20347" s="185" t="s">
        <v>215</v>
      </c>
    </row>
    <row r="20348" spans="129:129" x14ac:dyDescent="0.2">
      <c r="DY20348" s="185" t="s">
        <v>215</v>
      </c>
    </row>
    <row r="20349" spans="129:129" x14ac:dyDescent="0.2">
      <c r="DY20349" s="185" t="s">
        <v>215</v>
      </c>
    </row>
    <row r="20350" spans="129:129" x14ac:dyDescent="0.2">
      <c r="DY20350" s="185" t="s">
        <v>215</v>
      </c>
    </row>
    <row r="20351" spans="129:129" x14ac:dyDescent="0.2">
      <c r="DY20351" s="185" t="s">
        <v>215</v>
      </c>
    </row>
    <row r="20352" spans="129:129" x14ac:dyDescent="0.2">
      <c r="DY20352" s="185" t="s">
        <v>215</v>
      </c>
    </row>
    <row r="20353" spans="129:129" x14ac:dyDescent="0.2">
      <c r="DY20353" s="185" t="s">
        <v>215</v>
      </c>
    </row>
    <row r="20354" spans="129:129" x14ac:dyDescent="0.2">
      <c r="DY20354" s="185" t="s">
        <v>215</v>
      </c>
    </row>
    <row r="20355" spans="129:129" x14ac:dyDescent="0.2">
      <c r="DY20355" s="185" t="s">
        <v>215</v>
      </c>
    </row>
    <row r="20356" spans="129:129" x14ac:dyDescent="0.2">
      <c r="DY20356" s="185" t="s">
        <v>215</v>
      </c>
    </row>
    <row r="20357" spans="129:129" x14ac:dyDescent="0.2">
      <c r="DY20357" s="185" t="s">
        <v>215</v>
      </c>
    </row>
    <row r="20358" spans="129:129" x14ac:dyDescent="0.2">
      <c r="DY20358" s="185" t="s">
        <v>215</v>
      </c>
    </row>
    <row r="20359" spans="129:129" x14ac:dyDescent="0.2">
      <c r="DY20359" s="185" t="s">
        <v>215</v>
      </c>
    </row>
    <row r="20360" spans="129:129" x14ac:dyDescent="0.2">
      <c r="DY20360" s="185" t="s">
        <v>215</v>
      </c>
    </row>
    <row r="20361" spans="129:129" x14ac:dyDescent="0.2">
      <c r="DY20361" s="185" t="s">
        <v>215</v>
      </c>
    </row>
    <row r="20362" spans="129:129" x14ac:dyDescent="0.2">
      <c r="DY20362" s="185" t="s">
        <v>215</v>
      </c>
    </row>
    <row r="20363" spans="129:129" x14ac:dyDescent="0.2">
      <c r="DY20363" s="185" t="s">
        <v>215</v>
      </c>
    </row>
    <row r="20364" spans="129:129" x14ac:dyDescent="0.2">
      <c r="DY20364" s="185" t="s">
        <v>215</v>
      </c>
    </row>
    <row r="20365" spans="129:129" x14ac:dyDescent="0.2">
      <c r="DY20365" s="185" t="s">
        <v>215</v>
      </c>
    </row>
    <row r="20366" spans="129:129" x14ac:dyDescent="0.2">
      <c r="DY20366" s="185" t="s">
        <v>215</v>
      </c>
    </row>
    <row r="20367" spans="129:129" x14ac:dyDescent="0.2">
      <c r="DY20367" s="185" t="s">
        <v>215</v>
      </c>
    </row>
    <row r="20368" spans="129:129" x14ac:dyDescent="0.2">
      <c r="DY20368" s="185" t="s">
        <v>215</v>
      </c>
    </row>
    <row r="20369" spans="129:129" x14ac:dyDescent="0.2">
      <c r="DY20369" s="185" t="s">
        <v>215</v>
      </c>
    </row>
    <row r="20370" spans="129:129" x14ac:dyDescent="0.2">
      <c r="DY20370" s="185" t="s">
        <v>215</v>
      </c>
    </row>
    <row r="20371" spans="129:129" x14ac:dyDescent="0.2">
      <c r="DY20371" s="185" t="s">
        <v>215</v>
      </c>
    </row>
    <row r="20372" spans="129:129" x14ac:dyDescent="0.2">
      <c r="DY20372" s="185" t="s">
        <v>215</v>
      </c>
    </row>
    <row r="20373" spans="129:129" x14ac:dyDescent="0.2">
      <c r="DY20373" s="185" t="s">
        <v>215</v>
      </c>
    </row>
    <row r="20374" spans="129:129" x14ac:dyDescent="0.2">
      <c r="DY20374" s="185" t="s">
        <v>215</v>
      </c>
    </row>
    <row r="20375" spans="129:129" x14ac:dyDescent="0.2">
      <c r="DY20375" s="185" t="s">
        <v>215</v>
      </c>
    </row>
    <row r="20376" spans="129:129" x14ac:dyDescent="0.2">
      <c r="DY20376" s="185" t="s">
        <v>215</v>
      </c>
    </row>
    <row r="20377" spans="129:129" x14ac:dyDescent="0.2">
      <c r="DY20377" s="185" t="s">
        <v>215</v>
      </c>
    </row>
    <row r="20378" spans="129:129" x14ac:dyDescent="0.2">
      <c r="DY20378" s="185" t="s">
        <v>215</v>
      </c>
    </row>
    <row r="20379" spans="129:129" x14ac:dyDescent="0.2">
      <c r="DY20379" s="185" t="s">
        <v>215</v>
      </c>
    </row>
    <row r="20380" spans="129:129" x14ac:dyDescent="0.2">
      <c r="DY20380" s="185" t="s">
        <v>215</v>
      </c>
    </row>
    <row r="20381" spans="129:129" x14ac:dyDescent="0.2">
      <c r="DY20381" s="185" t="s">
        <v>215</v>
      </c>
    </row>
    <row r="20382" spans="129:129" x14ac:dyDescent="0.2">
      <c r="DY20382" s="185" t="s">
        <v>215</v>
      </c>
    </row>
    <row r="20383" spans="129:129" x14ac:dyDescent="0.2">
      <c r="DY20383" s="185" t="s">
        <v>215</v>
      </c>
    </row>
    <row r="20384" spans="129:129" x14ac:dyDescent="0.2">
      <c r="DY20384" s="185" t="s">
        <v>215</v>
      </c>
    </row>
    <row r="20385" spans="129:129" x14ac:dyDescent="0.2">
      <c r="DY20385" s="185" t="s">
        <v>215</v>
      </c>
    </row>
    <row r="20386" spans="129:129" x14ac:dyDescent="0.2">
      <c r="DY20386" s="185" t="s">
        <v>215</v>
      </c>
    </row>
    <row r="20387" spans="129:129" x14ac:dyDescent="0.2">
      <c r="DY20387" s="185" t="s">
        <v>215</v>
      </c>
    </row>
    <row r="20388" spans="129:129" x14ac:dyDescent="0.2">
      <c r="DY20388" s="185" t="s">
        <v>215</v>
      </c>
    </row>
    <row r="20389" spans="129:129" x14ac:dyDescent="0.2">
      <c r="DY20389" s="185" t="s">
        <v>215</v>
      </c>
    </row>
    <row r="20390" spans="129:129" x14ac:dyDescent="0.2">
      <c r="DY20390" s="185" t="s">
        <v>215</v>
      </c>
    </row>
    <row r="20391" spans="129:129" x14ac:dyDescent="0.2">
      <c r="DY20391" s="185" t="s">
        <v>215</v>
      </c>
    </row>
    <row r="20392" spans="129:129" x14ac:dyDescent="0.2">
      <c r="DY20392" s="185" t="s">
        <v>215</v>
      </c>
    </row>
    <row r="20393" spans="129:129" x14ac:dyDescent="0.2">
      <c r="DY20393" s="185" t="s">
        <v>215</v>
      </c>
    </row>
    <row r="20394" spans="129:129" x14ac:dyDescent="0.2">
      <c r="DY20394" s="185" t="s">
        <v>215</v>
      </c>
    </row>
    <row r="20395" spans="129:129" x14ac:dyDescent="0.2">
      <c r="DY20395" s="185" t="s">
        <v>215</v>
      </c>
    </row>
    <row r="20396" spans="129:129" x14ac:dyDescent="0.2">
      <c r="DY20396" s="185" t="s">
        <v>215</v>
      </c>
    </row>
    <row r="20397" spans="129:129" x14ac:dyDescent="0.2">
      <c r="DY20397" s="185" t="s">
        <v>215</v>
      </c>
    </row>
    <row r="20398" spans="129:129" x14ac:dyDescent="0.2">
      <c r="DY20398" s="185" t="s">
        <v>215</v>
      </c>
    </row>
    <row r="20399" spans="129:129" x14ac:dyDescent="0.2">
      <c r="DY20399" s="185" t="s">
        <v>215</v>
      </c>
    </row>
    <row r="20400" spans="129:129" x14ac:dyDescent="0.2">
      <c r="DY20400" s="185" t="s">
        <v>215</v>
      </c>
    </row>
    <row r="20401" spans="129:129" x14ac:dyDescent="0.2">
      <c r="DY20401" s="185" t="s">
        <v>215</v>
      </c>
    </row>
    <row r="20402" spans="129:129" x14ac:dyDescent="0.2">
      <c r="DY20402" s="185" t="s">
        <v>215</v>
      </c>
    </row>
    <row r="20403" spans="129:129" x14ac:dyDescent="0.2">
      <c r="DY20403" s="185" t="s">
        <v>215</v>
      </c>
    </row>
    <row r="20404" spans="129:129" x14ac:dyDescent="0.2">
      <c r="DY20404" s="185" t="s">
        <v>215</v>
      </c>
    </row>
    <row r="20405" spans="129:129" x14ac:dyDescent="0.2">
      <c r="DY20405" s="185" t="s">
        <v>215</v>
      </c>
    </row>
    <row r="20406" spans="129:129" x14ac:dyDescent="0.2">
      <c r="DY20406" s="185" t="s">
        <v>215</v>
      </c>
    </row>
    <row r="20407" spans="129:129" x14ac:dyDescent="0.2">
      <c r="DY20407" s="185" t="s">
        <v>215</v>
      </c>
    </row>
    <row r="20408" spans="129:129" x14ac:dyDescent="0.2">
      <c r="DY20408" s="185" t="s">
        <v>215</v>
      </c>
    </row>
    <row r="20409" spans="129:129" x14ac:dyDescent="0.2">
      <c r="DY20409" s="185" t="s">
        <v>215</v>
      </c>
    </row>
    <row r="20410" spans="129:129" x14ac:dyDescent="0.2">
      <c r="DY20410" s="185" t="s">
        <v>215</v>
      </c>
    </row>
    <row r="20411" spans="129:129" x14ac:dyDescent="0.2">
      <c r="DY20411" s="185" t="s">
        <v>215</v>
      </c>
    </row>
    <row r="20412" spans="129:129" x14ac:dyDescent="0.2">
      <c r="DY20412" s="185" t="s">
        <v>215</v>
      </c>
    </row>
    <row r="20413" spans="129:129" x14ac:dyDescent="0.2">
      <c r="DY20413" s="185" t="s">
        <v>215</v>
      </c>
    </row>
    <row r="20414" spans="129:129" x14ac:dyDescent="0.2">
      <c r="DY20414" s="185" t="s">
        <v>215</v>
      </c>
    </row>
    <row r="20415" spans="129:129" x14ac:dyDescent="0.2">
      <c r="DY20415" s="185" t="s">
        <v>215</v>
      </c>
    </row>
    <row r="20416" spans="129:129" x14ac:dyDescent="0.2">
      <c r="DY20416" s="185" t="s">
        <v>215</v>
      </c>
    </row>
    <row r="20417" spans="129:129" x14ac:dyDescent="0.2">
      <c r="DY20417" s="185" t="s">
        <v>215</v>
      </c>
    </row>
    <row r="20418" spans="129:129" x14ac:dyDescent="0.2">
      <c r="DY20418" s="185" t="s">
        <v>215</v>
      </c>
    </row>
    <row r="20419" spans="129:129" x14ac:dyDescent="0.2">
      <c r="DY20419" s="185" t="s">
        <v>215</v>
      </c>
    </row>
    <row r="20420" spans="129:129" x14ac:dyDescent="0.2">
      <c r="DY20420" s="185" t="s">
        <v>215</v>
      </c>
    </row>
    <row r="20421" spans="129:129" x14ac:dyDescent="0.2">
      <c r="DY20421" s="185" t="s">
        <v>215</v>
      </c>
    </row>
    <row r="20422" spans="129:129" x14ac:dyDescent="0.2">
      <c r="DY20422" s="185" t="s">
        <v>215</v>
      </c>
    </row>
    <row r="20423" spans="129:129" x14ac:dyDescent="0.2">
      <c r="DY20423" s="185" t="s">
        <v>215</v>
      </c>
    </row>
    <row r="20424" spans="129:129" x14ac:dyDescent="0.2">
      <c r="DY20424" s="185" t="s">
        <v>215</v>
      </c>
    </row>
    <row r="20425" spans="129:129" x14ac:dyDescent="0.2">
      <c r="DY20425" s="185" t="s">
        <v>215</v>
      </c>
    </row>
    <row r="20426" spans="129:129" x14ac:dyDescent="0.2">
      <c r="DY20426" s="185" t="s">
        <v>215</v>
      </c>
    </row>
    <row r="20427" spans="129:129" x14ac:dyDescent="0.2">
      <c r="DY20427" s="185" t="s">
        <v>215</v>
      </c>
    </row>
    <row r="20428" spans="129:129" x14ac:dyDescent="0.2">
      <c r="DY20428" s="185" t="s">
        <v>215</v>
      </c>
    </row>
    <row r="20429" spans="129:129" x14ac:dyDescent="0.2">
      <c r="DY20429" s="185" t="s">
        <v>215</v>
      </c>
    </row>
    <row r="20430" spans="129:129" x14ac:dyDescent="0.2">
      <c r="DY20430" s="185" t="s">
        <v>215</v>
      </c>
    </row>
    <row r="20431" spans="129:129" x14ac:dyDescent="0.2">
      <c r="DY20431" s="185" t="s">
        <v>215</v>
      </c>
    </row>
    <row r="20432" spans="129:129" x14ac:dyDescent="0.2">
      <c r="DY20432" s="185" t="s">
        <v>215</v>
      </c>
    </row>
    <row r="20433" spans="129:129" x14ac:dyDescent="0.2">
      <c r="DY20433" s="185" t="s">
        <v>215</v>
      </c>
    </row>
    <row r="20434" spans="129:129" x14ac:dyDescent="0.2">
      <c r="DY20434" s="185" t="s">
        <v>215</v>
      </c>
    </row>
    <row r="20435" spans="129:129" x14ac:dyDescent="0.2">
      <c r="DY20435" s="185" t="s">
        <v>215</v>
      </c>
    </row>
    <row r="20436" spans="129:129" x14ac:dyDescent="0.2">
      <c r="DY20436" s="185" t="s">
        <v>215</v>
      </c>
    </row>
    <row r="20437" spans="129:129" x14ac:dyDescent="0.2">
      <c r="DY20437" s="185" t="s">
        <v>215</v>
      </c>
    </row>
    <row r="20438" spans="129:129" x14ac:dyDescent="0.2">
      <c r="DY20438" s="185" t="s">
        <v>215</v>
      </c>
    </row>
    <row r="20439" spans="129:129" x14ac:dyDescent="0.2">
      <c r="DY20439" s="185" t="s">
        <v>215</v>
      </c>
    </row>
    <row r="20440" spans="129:129" x14ac:dyDescent="0.2">
      <c r="DY20440" s="185" t="s">
        <v>215</v>
      </c>
    </row>
    <row r="20441" spans="129:129" x14ac:dyDescent="0.2">
      <c r="DY20441" s="185" t="s">
        <v>215</v>
      </c>
    </row>
    <row r="20442" spans="129:129" x14ac:dyDescent="0.2">
      <c r="DY20442" s="185" t="s">
        <v>215</v>
      </c>
    </row>
    <row r="20443" spans="129:129" x14ac:dyDescent="0.2">
      <c r="DY20443" s="185" t="s">
        <v>215</v>
      </c>
    </row>
    <row r="20444" spans="129:129" x14ac:dyDescent="0.2">
      <c r="DY20444" s="185" t="s">
        <v>215</v>
      </c>
    </row>
    <row r="20445" spans="129:129" x14ac:dyDescent="0.2">
      <c r="DY20445" s="185" t="s">
        <v>215</v>
      </c>
    </row>
    <row r="20446" spans="129:129" x14ac:dyDescent="0.2">
      <c r="DY20446" s="185" t="s">
        <v>215</v>
      </c>
    </row>
    <row r="20447" spans="129:129" x14ac:dyDescent="0.2">
      <c r="DY20447" s="185" t="s">
        <v>215</v>
      </c>
    </row>
    <row r="20448" spans="129:129" x14ac:dyDescent="0.2">
      <c r="DY20448" s="185" t="s">
        <v>215</v>
      </c>
    </row>
    <row r="20449" spans="129:129" x14ac:dyDescent="0.2">
      <c r="DY20449" s="185" t="s">
        <v>215</v>
      </c>
    </row>
    <row r="20450" spans="129:129" x14ac:dyDescent="0.2">
      <c r="DY20450" s="185" t="s">
        <v>215</v>
      </c>
    </row>
    <row r="20451" spans="129:129" x14ac:dyDescent="0.2">
      <c r="DY20451" s="185" t="s">
        <v>215</v>
      </c>
    </row>
    <row r="20452" spans="129:129" x14ac:dyDescent="0.2">
      <c r="DY20452" s="185" t="s">
        <v>215</v>
      </c>
    </row>
    <row r="20453" spans="129:129" x14ac:dyDescent="0.2">
      <c r="DY20453" s="185" t="s">
        <v>215</v>
      </c>
    </row>
    <row r="20454" spans="129:129" x14ac:dyDescent="0.2">
      <c r="DY20454" s="185" t="s">
        <v>215</v>
      </c>
    </row>
    <row r="20455" spans="129:129" x14ac:dyDescent="0.2">
      <c r="DY20455" s="185" t="s">
        <v>215</v>
      </c>
    </row>
    <row r="20456" spans="129:129" x14ac:dyDescent="0.2">
      <c r="DY20456" s="185" t="s">
        <v>215</v>
      </c>
    </row>
    <row r="20457" spans="129:129" x14ac:dyDescent="0.2">
      <c r="DY20457" s="185" t="s">
        <v>215</v>
      </c>
    </row>
    <row r="20458" spans="129:129" x14ac:dyDescent="0.2">
      <c r="DY20458" s="185" t="s">
        <v>215</v>
      </c>
    </row>
    <row r="20459" spans="129:129" x14ac:dyDescent="0.2">
      <c r="DY20459" s="185" t="s">
        <v>215</v>
      </c>
    </row>
    <row r="20460" spans="129:129" x14ac:dyDescent="0.2">
      <c r="DY20460" s="185" t="s">
        <v>215</v>
      </c>
    </row>
    <row r="20461" spans="129:129" x14ac:dyDescent="0.2">
      <c r="DY20461" s="185" t="s">
        <v>215</v>
      </c>
    </row>
    <row r="20462" spans="129:129" x14ac:dyDescent="0.2">
      <c r="DY20462" s="185" t="s">
        <v>215</v>
      </c>
    </row>
    <row r="20463" spans="129:129" x14ac:dyDescent="0.2">
      <c r="DY20463" s="185" t="s">
        <v>215</v>
      </c>
    </row>
    <row r="20464" spans="129:129" x14ac:dyDescent="0.2">
      <c r="DY20464" s="185" t="s">
        <v>215</v>
      </c>
    </row>
    <row r="20465" spans="129:129" x14ac:dyDescent="0.2">
      <c r="DY20465" s="185" t="s">
        <v>215</v>
      </c>
    </row>
    <row r="20466" spans="129:129" x14ac:dyDescent="0.2">
      <c r="DY20466" s="185" t="s">
        <v>215</v>
      </c>
    </row>
    <row r="20467" spans="129:129" x14ac:dyDescent="0.2">
      <c r="DY20467" s="185" t="s">
        <v>215</v>
      </c>
    </row>
    <row r="20468" spans="129:129" x14ac:dyDescent="0.2">
      <c r="DY20468" s="185" t="s">
        <v>215</v>
      </c>
    </row>
    <row r="20469" spans="129:129" x14ac:dyDescent="0.2">
      <c r="DY20469" s="185" t="s">
        <v>215</v>
      </c>
    </row>
    <row r="20470" spans="129:129" x14ac:dyDescent="0.2">
      <c r="DY20470" s="185" t="s">
        <v>215</v>
      </c>
    </row>
    <row r="20471" spans="129:129" x14ac:dyDescent="0.2">
      <c r="DY20471" s="185" t="s">
        <v>215</v>
      </c>
    </row>
    <row r="20472" spans="129:129" x14ac:dyDescent="0.2">
      <c r="DY20472" s="185" t="s">
        <v>215</v>
      </c>
    </row>
    <row r="20473" spans="129:129" x14ac:dyDescent="0.2">
      <c r="DY20473" s="185" t="s">
        <v>215</v>
      </c>
    </row>
    <row r="20474" spans="129:129" x14ac:dyDescent="0.2">
      <c r="DY20474" s="185" t="s">
        <v>215</v>
      </c>
    </row>
    <row r="20475" spans="129:129" x14ac:dyDescent="0.2">
      <c r="DY20475" s="185" t="s">
        <v>215</v>
      </c>
    </row>
    <row r="20476" spans="129:129" x14ac:dyDescent="0.2">
      <c r="DY20476" s="185" t="s">
        <v>215</v>
      </c>
    </row>
    <row r="20477" spans="129:129" x14ac:dyDescent="0.2">
      <c r="DY20477" s="185" t="s">
        <v>215</v>
      </c>
    </row>
    <row r="20478" spans="129:129" x14ac:dyDescent="0.2">
      <c r="DY20478" s="185" t="s">
        <v>215</v>
      </c>
    </row>
    <row r="20479" spans="129:129" x14ac:dyDescent="0.2">
      <c r="DY20479" s="185" t="s">
        <v>215</v>
      </c>
    </row>
    <row r="20480" spans="129:129" x14ac:dyDescent="0.2">
      <c r="DY20480" s="185" t="s">
        <v>215</v>
      </c>
    </row>
    <row r="20481" spans="129:129" x14ac:dyDescent="0.2">
      <c r="DY20481" s="185" t="s">
        <v>215</v>
      </c>
    </row>
    <row r="20482" spans="129:129" x14ac:dyDescent="0.2">
      <c r="DY20482" s="185" t="s">
        <v>215</v>
      </c>
    </row>
    <row r="20483" spans="129:129" x14ac:dyDescent="0.2">
      <c r="DY20483" s="185" t="s">
        <v>215</v>
      </c>
    </row>
    <row r="20484" spans="129:129" x14ac:dyDescent="0.2">
      <c r="DY20484" s="185" t="s">
        <v>215</v>
      </c>
    </row>
    <row r="20485" spans="129:129" x14ac:dyDescent="0.2">
      <c r="DY20485" s="185" t="s">
        <v>215</v>
      </c>
    </row>
    <row r="20486" spans="129:129" x14ac:dyDescent="0.2">
      <c r="DY20486" s="185" t="s">
        <v>215</v>
      </c>
    </row>
    <row r="20487" spans="129:129" x14ac:dyDescent="0.2">
      <c r="DY20487" s="185" t="s">
        <v>215</v>
      </c>
    </row>
    <row r="20488" spans="129:129" x14ac:dyDescent="0.2">
      <c r="DY20488" s="185" t="s">
        <v>215</v>
      </c>
    </row>
    <row r="20489" spans="129:129" x14ac:dyDescent="0.2">
      <c r="DY20489" s="185" t="s">
        <v>215</v>
      </c>
    </row>
    <row r="20490" spans="129:129" x14ac:dyDescent="0.2">
      <c r="DY20490" s="185" t="s">
        <v>215</v>
      </c>
    </row>
    <row r="20491" spans="129:129" x14ac:dyDescent="0.2">
      <c r="DY20491" s="185" t="s">
        <v>215</v>
      </c>
    </row>
    <row r="20492" spans="129:129" x14ac:dyDescent="0.2">
      <c r="DY20492" s="185" t="s">
        <v>215</v>
      </c>
    </row>
    <row r="20493" spans="129:129" x14ac:dyDescent="0.2">
      <c r="DY20493" s="185" t="s">
        <v>215</v>
      </c>
    </row>
    <row r="20494" spans="129:129" x14ac:dyDescent="0.2">
      <c r="DY20494" s="185" t="s">
        <v>215</v>
      </c>
    </row>
    <row r="20495" spans="129:129" x14ac:dyDescent="0.2">
      <c r="DY20495" s="185" t="s">
        <v>215</v>
      </c>
    </row>
    <row r="20496" spans="129:129" x14ac:dyDescent="0.2">
      <c r="DY20496" s="185" t="s">
        <v>215</v>
      </c>
    </row>
    <row r="20497" spans="129:129" x14ac:dyDescent="0.2">
      <c r="DY20497" s="185" t="s">
        <v>215</v>
      </c>
    </row>
    <row r="20498" spans="129:129" x14ac:dyDescent="0.2">
      <c r="DY20498" s="185" t="s">
        <v>215</v>
      </c>
    </row>
    <row r="20499" spans="129:129" x14ac:dyDescent="0.2">
      <c r="DY20499" s="185" t="s">
        <v>215</v>
      </c>
    </row>
    <row r="20500" spans="129:129" x14ac:dyDescent="0.2">
      <c r="DY20500" s="185" t="s">
        <v>215</v>
      </c>
    </row>
    <row r="20501" spans="129:129" x14ac:dyDescent="0.2">
      <c r="DY20501" s="185" t="s">
        <v>215</v>
      </c>
    </row>
    <row r="20502" spans="129:129" x14ac:dyDescent="0.2">
      <c r="DY20502" s="185" t="s">
        <v>215</v>
      </c>
    </row>
    <row r="20503" spans="129:129" x14ac:dyDescent="0.2">
      <c r="DY20503" s="185" t="s">
        <v>215</v>
      </c>
    </row>
    <row r="20504" spans="129:129" x14ac:dyDescent="0.2">
      <c r="DY20504" s="185" t="s">
        <v>215</v>
      </c>
    </row>
    <row r="20505" spans="129:129" x14ac:dyDescent="0.2">
      <c r="DY20505" s="185" t="s">
        <v>215</v>
      </c>
    </row>
    <row r="20506" spans="129:129" x14ac:dyDescent="0.2">
      <c r="DY20506" s="185" t="s">
        <v>215</v>
      </c>
    </row>
    <row r="20507" spans="129:129" x14ac:dyDescent="0.2">
      <c r="DY20507" s="185" t="s">
        <v>215</v>
      </c>
    </row>
    <row r="20508" spans="129:129" x14ac:dyDescent="0.2">
      <c r="DY20508" s="185" t="s">
        <v>215</v>
      </c>
    </row>
    <row r="20509" spans="129:129" x14ac:dyDescent="0.2">
      <c r="DY20509" s="185" t="s">
        <v>215</v>
      </c>
    </row>
    <row r="20510" spans="129:129" x14ac:dyDescent="0.2">
      <c r="DY20510" s="185" t="s">
        <v>215</v>
      </c>
    </row>
    <row r="20511" spans="129:129" x14ac:dyDescent="0.2">
      <c r="DY20511" s="185" t="s">
        <v>215</v>
      </c>
    </row>
    <row r="20512" spans="129:129" x14ac:dyDescent="0.2">
      <c r="DY20512" s="185" t="s">
        <v>215</v>
      </c>
    </row>
    <row r="20513" spans="129:129" x14ac:dyDescent="0.2">
      <c r="DY20513" s="185" t="s">
        <v>215</v>
      </c>
    </row>
    <row r="20514" spans="129:129" x14ac:dyDescent="0.2">
      <c r="DY20514" s="185" t="s">
        <v>215</v>
      </c>
    </row>
    <row r="20515" spans="129:129" x14ac:dyDescent="0.2">
      <c r="DY20515" s="185" t="s">
        <v>215</v>
      </c>
    </row>
    <row r="20516" spans="129:129" x14ac:dyDescent="0.2">
      <c r="DY20516" s="185" t="s">
        <v>215</v>
      </c>
    </row>
    <row r="20517" spans="129:129" x14ac:dyDescent="0.2">
      <c r="DY20517" s="185" t="s">
        <v>215</v>
      </c>
    </row>
    <row r="20518" spans="129:129" x14ac:dyDescent="0.2">
      <c r="DY20518" s="185" t="s">
        <v>215</v>
      </c>
    </row>
    <row r="20519" spans="129:129" x14ac:dyDescent="0.2">
      <c r="DY20519" s="185" t="s">
        <v>215</v>
      </c>
    </row>
    <row r="20520" spans="129:129" x14ac:dyDescent="0.2">
      <c r="DY20520" s="185" t="s">
        <v>215</v>
      </c>
    </row>
    <row r="20521" spans="129:129" x14ac:dyDescent="0.2">
      <c r="DY20521" s="185" t="s">
        <v>215</v>
      </c>
    </row>
    <row r="20522" spans="129:129" x14ac:dyDescent="0.2">
      <c r="DY20522" s="185" t="s">
        <v>215</v>
      </c>
    </row>
    <row r="20523" spans="129:129" x14ac:dyDescent="0.2">
      <c r="DY20523" s="185" t="s">
        <v>215</v>
      </c>
    </row>
    <row r="20524" spans="129:129" x14ac:dyDescent="0.2">
      <c r="DY20524" s="185" t="s">
        <v>215</v>
      </c>
    </row>
    <row r="20525" spans="129:129" x14ac:dyDescent="0.2">
      <c r="DY20525" s="185" t="s">
        <v>215</v>
      </c>
    </row>
    <row r="20526" spans="129:129" x14ac:dyDescent="0.2">
      <c r="DY20526" s="185" t="s">
        <v>215</v>
      </c>
    </row>
    <row r="20527" spans="129:129" x14ac:dyDescent="0.2">
      <c r="DY20527" s="185" t="s">
        <v>215</v>
      </c>
    </row>
    <row r="20528" spans="129:129" x14ac:dyDescent="0.2">
      <c r="DY20528" s="185" t="s">
        <v>215</v>
      </c>
    </row>
    <row r="20529" spans="129:129" x14ac:dyDescent="0.2">
      <c r="DY20529" s="185" t="s">
        <v>215</v>
      </c>
    </row>
    <row r="20530" spans="129:129" x14ac:dyDescent="0.2">
      <c r="DY20530" s="185" t="s">
        <v>215</v>
      </c>
    </row>
    <row r="20531" spans="129:129" x14ac:dyDescent="0.2">
      <c r="DY20531" s="185" t="s">
        <v>215</v>
      </c>
    </row>
    <row r="20532" spans="129:129" x14ac:dyDescent="0.2">
      <c r="DY20532" s="185" t="s">
        <v>215</v>
      </c>
    </row>
    <row r="20533" spans="129:129" x14ac:dyDescent="0.2">
      <c r="DY20533" s="185" t="s">
        <v>215</v>
      </c>
    </row>
    <row r="20534" spans="129:129" x14ac:dyDescent="0.2">
      <c r="DY20534" s="185" t="s">
        <v>215</v>
      </c>
    </row>
    <row r="20535" spans="129:129" x14ac:dyDescent="0.2">
      <c r="DY20535" s="185" t="s">
        <v>215</v>
      </c>
    </row>
    <row r="20536" spans="129:129" x14ac:dyDescent="0.2">
      <c r="DY20536" s="185" t="s">
        <v>215</v>
      </c>
    </row>
    <row r="20537" spans="129:129" x14ac:dyDescent="0.2">
      <c r="DY20537" s="185" t="s">
        <v>215</v>
      </c>
    </row>
    <row r="20538" spans="129:129" x14ac:dyDescent="0.2">
      <c r="DY20538" s="185" t="s">
        <v>215</v>
      </c>
    </row>
    <row r="20539" spans="129:129" x14ac:dyDescent="0.2">
      <c r="DY20539" s="185" t="s">
        <v>215</v>
      </c>
    </row>
    <row r="20540" spans="129:129" x14ac:dyDescent="0.2">
      <c r="DY20540" s="185" t="s">
        <v>215</v>
      </c>
    </row>
    <row r="20541" spans="129:129" x14ac:dyDescent="0.2">
      <c r="DY20541" s="185" t="s">
        <v>215</v>
      </c>
    </row>
    <row r="20542" spans="129:129" x14ac:dyDescent="0.2">
      <c r="DY20542" s="185" t="s">
        <v>215</v>
      </c>
    </row>
    <row r="20543" spans="129:129" x14ac:dyDescent="0.2">
      <c r="DY20543" s="185" t="s">
        <v>215</v>
      </c>
    </row>
    <row r="20544" spans="129:129" x14ac:dyDescent="0.2">
      <c r="DY20544" s="185" t="s">
        <v>215</v>
      </c>
    </row>
    <row r="20545" spans="129:129" x14ac:dyDescent="0.2">
      <c r="DY20545" s="185" t="s">
        <v>215</v>
      </c>
    </row>
    <row r="20546" spans="129:129" x14ac:dyDescent="0.2">
      <c r="DY20546" s="185" t="s">
        <v>215</v>
      </c>
    </row>
    <row r="20547" spans="129:129" x14ac:dyDescent="0.2">
      <c r="DY20547" s="185" t="s">
        <v>215</v>
      </c>
    </row>
    <row r="20548" spans="129:129" x14ac:dyDescent="0.2">
      <c r="DY20548" s="185" t="s">
        <v>215</v>
      </c>
    </row>
    <row r="20549" spans="129:129" x14ac:dyDescent="0.2">
      <c r="DY20549" s="185" t="s">
        <v>215</v>
      </c>
    </row>
    <row r="20550" spans="129:129" x14ac:dyDescent="0.2">
      <c r="DY20550" s="185" t="s">
        <v>215</v>
      </c>
    </row>
    <row r="20551" spans="129:129" x14ac:dyDescent="0.2">
      <c r="DY20551" s="185" t="s">
        <v>215</v>
      </c>
    </row>
    <row r="20552" spans="129:129" x14ac:dyDescent="0.2">
      <c r="DY20552" s="185" t="s">
        <v>215</v>
      </c>
    </row>
    <row r="20553" spans="129:129" x14ac:dyDescent="0.2">
      <c r="DY20553" s="185" t="s">
        <v>215</v>
      </c>
    </row>
    <row r="20554" spans="129:129" x14ac:dyDescent="0.2">
      <c r="DY20554" s="185" t="s">
        <v>215</v>
      </c>
    </row>
    <row r="20555" spans="129:129" x14ac:dyDescent="0.2">
      <c r="DY20555" s="185" t="s">
        <v>215</v>
      </c>
    </row>
    <row r="20556" spans="129:129" x14ac:dyDescent="0.2">
      <c r="DY20556" s="185" t="s">
        <v>215</v>
      </c>
    </row>
    <row r="20557" spans="129:129" x14ac:dyDescent="0.2">
      <c r="DY20557" s="185" t="s">
        <v>215</v>
      </c>
    </row>
    <row r="20558" spans="129:129" x14ac:dyDescent="0.2">
      <c r="DY20558" s="185" t="s">
        <v>215</v>
      </c>
    </row>
    <row r="20559" spans="129:129" x14ac:dyDescent="0.2">
      <c r="DY20559" s="185" t="s">
        <v>215</v>
      </c>
    </row>
    <row r="20560" spans="129:129" x14ac:dyDescent="0.2">
      <c r="DY20560" s="185" t="s">
        <v>215</v>
      </c>
    </row>
    <row r="20561" spans="129:129" x14ac:dyDescent="0.2">
      <c r="DY20561" s="185" t="s">
        <v>215</v>
      </c>
    </row>
    <row r="20562" spans="129:129" x14ac:dyDescent="0.2">
      <c r="DY20562" s="185" t="s">
        <v>215</v>
      </c>
    </row>
    <row r="20563" spans="129:129" x14ac:dyDescent="0.2">
      <c r="DY20563" s="185" t="s">
        <v>215</v>
      </c>
    </row>
    <row r="20564" spans="129:129" x14ac:dyDescent="0.2">
      <c r="DY20564" s="185" t="s">
        <v>215</v>
      </c>
    </row>
    <row r="20565" spans="129:129" x14ac:dyDescent="0.2">
      <c r="DY20565" s="185" t="s">
        <v>215</v>
      </c>
    </row>
    <row r="20566" spans="129:129" x14ac:dyDescent="0.2">
      <c r="DY20566" s="185" t="s">
        <v>215</v>
      </c>
    </row>
    <row r="20567" spans="129:129" x14ac:dyDescent="0.2">
      <c r="DY20567" s="185" t="s">
        <v>215</v>
      </c>
    </row>
    <row r="20568" spans="129:129" x14ac:dyDescent="0.2">
      <c r="DY20568" s="185" t="s">
        <v>215</v>
      </c>
    </row>
    <row r="20569" spans="129:129" x14ac:dyDescent="0.2">
      <c r="DY20569" s="185" t="s">
        <v>215</v>
      </c>
    </row>
    <row r="20570" spans="129:129" x14ac:dyDescent="0.2">
      <c r="DY20570" s="185" t="s">
        <v>215</v>
      </c>
    </row>
    <row r="20571" spans="129:129" x14ac:dyDescent="0.2">
      <c r="DY20571" s="185" t="s">
        <v>215</v>
      </c>
    </row>
    <row r="20572" spans="129:129" x14ac:dyDescent="0.2">
      <c r="DY20572" s="185" t="s">
        <v>215</v>
      </c>
    </row>
    <row r="20573" spans="129:129" x14ac:dyDescent="0.2">
      <c r="DY20573" s="185" t="s">
        <v>215</v>
      </c>
    </row>
    <row r="20574" spans="129:129" x14ac:dyDescent="0.2">
      <c r="DY20574" s="185" t="s">
        <v>215</v>
      </c>
    </row>
    <row r="20575" spans="129:129" x14ac:dyDescent="0.2">
      <c r="DY20575" s="185" t="s">
        <v>215</v>
      </c>
    </row>
    <row r="20576" spans="129:129" x14ac:dyDescent="0.2">
      <c r="DY20576" s="185" t="s">
        <v>215</v>
      </c>
    </row>
    <row r="20577" spans="129:129" x14ac:dyDescent="0.2">
      <c r="DY20577" s="185" t="s">
        <v>215</v>
      </c>
    </row>
    <row r="20578" spans="129:129" x14ac:dyDescent="0.2">
      <c r="DY20578" s="185" t="s">
        <v>215</v>
      </c>
    </row>
    <row r="20579" spans="129:129" x14ac:dyDescent="0.2">
      <c r="DY20579" s="185" t="s">
        <v>215</v>
      </c>
    </row>
    <row r="20580" spans="129:129" x14ac:dyDescent="0.2">
      <c r="DY20580" s="185" t="s">
        <v>215</v>
      </c>
    </row>
    <row r="20581" spans="129:129" x14ac:dyDescent="0.2">
      <c r="DY20581" s="185" t="s">
        <v>215</v>
      </c>
    </row>
    <row r="20582" spans="129:129" x14ac:dyDescent="0.2">
      <c r="DY20582" s="185" t="s">
        <v>215</v>
      </c>
    </row>
    <row r="20583" spans="129:129" x14ac:dyDescent="0.2">
      <c r="DY20583" s="185" t="s">
        <v>215</v>
      </c>
    </row>
    <row r="20584" spans="129:129" x14ac:dyDescent="0.2">
      <c r="DY20584" s="185" t="s">
        <v>215</v>
      </c>
    </row>
    <row r="20585" spans="129:129" x14ac:dyDescent="0.2">
      <c r="DY20585" s="185" t="s">
        <v>215</v>
      </c>
    </row>
    <row r="20586" spans="129:129" x14ac:dyDescent="0.2">
      <c r="DY20586" s="185" t="s">
        <v>215</v>
      </c>
    </row>
    <row r="20587" spans="129:129" x14ac:dyDescent="0.2">
      <c r="DY20587" s="185" t="s">
        <v>215</v>
      </c>
    </row>
    <row r="20588" spans="129:129" x14ac:dyDescent="0.2">
      <c r="DY20588" s="185" t="s">
        <v>215</v>
      </c>
    </row>
    <row r="20589" spans="129:129" x14ac:dyDescent="0.2">
      <c r="DY20589" s="185" t="s">
        <v>215</v>
      </c>
    </row>
    <row r="20590" spans="129:129" x14ac:dyDescent="0.2">
      <c r="DY20590" s="185" t="s">
        <v>215</v>
      </c>
    </row>
    <row r="20591" spans="129:129" x14ac:dyDescent="0.2">
      <c r="DY20591" s="185" t="s">
        <v>215</v>
      </c>
    </row>
    <row r="20592" spans="129:129" x14ac:dyDescent="0.2">
      <c r="DY20592" s="185" t="s">
        <v>215</v>
      </c>
    </row>
    <row r="20593" spans="129:129" x14ac:dyDescent="0.2">
      <c r="DY20593" s="185" t="s">
        <v>215</v>
      </c>
    </row>
    <row r="20594" spans="129:129" x14ac:dyDescent="0.2">
      <c r="DY20594" s="185" t="s">
        <v>215</v>
      </c>
    </row>
    <row r="20595" spans="129:129" x14ac:dyDescent="0.2">
      <c r="DY20595" s="185" t="s">
        <v>215</v>
      </c>
    </row>
    <row r="20596" spans="129:129" x14ac:dyDescent="0.2">
      <c r="DY20596" s="185" t="s">
        <v>215</v>
      </c>
    </row>
    <row r="20597" spans="129:129" x14ac:dyDescent="0.2">
      <c r="DY20597" s="185" t="s">
        <v>215</v>
      </c>
    </row>
    <row r="20598" spans="129:129" x14ac:dyDescent="0.2">
      <c r="DY20598" s="185" t="s">
        <v>215</v>
      </c>
    </row>
    <row r="20599" spans="129:129" x14ac:dyDescent="0.2">
      <c r="DY20599" s="185" t="s">
        <v>215</v>
      </c>
    </row>
    <row r="20600" spans="129:129" x14ac:dyDescent="0.2">
      <c r="DY20600" s="185" t="s">
        <v>215</v>
      </c>
    </row>
    <row r="20601" spans="129:129" x14ac:dyDescent="0.2">
      <c r="DY20601" s="185" t="s">
        <v>215</v>
      </c>
    </row>
    <row r="20602" spans="129:129" x14ac:dyDescent="0.2">
      <c r="DY20602" s="185" t="s">
        <v>215</v>
      </c>
    </row>
    <row r="20603" spans="129:129" x14ac:dyDescent="0.2">
      <c r="DY20603" s="185" t="s">
        <v>215</v>
      </c>
    </row>
    <row r="20604" spans="129:129" x14ac:dyDescent="0.2">
      <c r="DY20604" s="185" t="s">
        <v>215</v>
      </c>
    </row>
    <row r="20605" spans="129:129" x14ac:dyDescent="0.2">
      <c r="DY20605" s="185" t="s">
        <v>215</v>
      </c>
    </row>
    <row r="20606" spans="129:129" x14ac:dyDescent="0.2">
      <c r="DY20606" s="185" t="s">
        <v>215</v>
      </c>
    </row>
    <row r="20607" spans="129:129" x14ac:dyDescent="0.2">
      <c r="DY20607" s="185" t="s">
        <v>215</v>
      </c>
    </row>
    <row r="20608" spans="129:129" x14ac:dyDescent="0.2">
      <c r="DY20608" s="185" t="s">
        <v>215</v>
      </c>
    </row>
    <row r="20609" spans="129:129" x14ac:dyDescent="0.2">
      <c r="DY20609" s="185" t="s">
        <v>215</v>
      </c>
    </row>
    <row r="20610" spans="129:129" x14ac:dyDescent="0.2">
      <c r="DY20610" s="185" t="s">
        <v>215</v>
      </c>
    </row>
    <row r="20611" spans="129:129" x14ac:dyDescent="0.2">
      <c r="DY20611" s="185" t="s">
        <v>215</v>
      </c>
    </row>
    <row r="20612" spans="129:129" x14ac:dyDescent="0.2">
      <c r="DY20612" s="185" t="s">
        <v>215</v>
      </c>
    </row>
    <row r="20613" spans="129:129" x14ac:dyDescent="0.2">
      <c r="DY20613" s="185" t="s">
        <v>215</v>
      </c>
    </row>
    <row r="20614" spans="129:129" x14ac:dyDescent="0.2">
      <c r="DY20614" s="185" t="s">
        <v>215</v>
      </c>
    </row>
    <row r="20615" spans="129:129" x14ac:dyDescent="0.2">
      <c r="DY20615" s="185" t="s">
        <v>215</v>
      </c>
    </row>
    <row r="20616" spans="129:129" x14ac:dyDescent="0.2">
      <c r="DY20616" s="185" t="s">
        <v>215</v>
      </c>
    </row>
    <row r="20617" spans="129:129" x14ac:dyDescent="0.2">
      <c r="DY20617" s="185" t="s">
        <v>215</v>
      </c>
    </row>
    <row r="20618" spans="129:129" x14ac:dyDescent="0.2">
      <c r="DY20618" s="185" t="s">
        <v>215</v>
      </c>
    </row>
    <row r="20619" spans="129:129" x14ac:dyDescent="0.2">
      <c r="DY20619" s="185" t="s">
        <v>215</v>
      </c>
    </row>
    <row r="20620" spans="129:129" x14ac:dyDescent="0.2">
      <c r="DY20620" s="185" t="s">
        <v>215</v>
      </c>
    </row>
    <row r="20621" spans="129:129" x14ac:dyDescent="0.2">
      <c r="DY20621" s="185" t="s">
        <v>215</v>
      </c>
    </row>
    <row r="20622" spans="129:129" x14ac:dyDescent="0.2">
      <c r="DY20622" s="185" t="s">
        <v>215</v>
      </c>
    </row>
    <row r="20623" spans="129:129" x14ac:dyDescent="0.2">
      <c r="DY20623" s="185" t="s">
        <v>215</v>
      </c>
    </row>
    <row r="20624" spans="129:129" x14ac:dyDescent="0.2">
      <c r="DY20624" s="185" t="s">
        <v>215</v>
      </c>
    </row>
    <row r="20625" spans="129:129" x14ac:dyDescent="0.2">
      <c r="DY20625" s="185" t="s">
        <v>215</v>
      </c>
    </row>
    <row r="20626" spans="129:129" x14ac:dyDescent="0.2">
      <c r="DY20626" s="185" t="s">
        <v>215</v>
      </c>
    </row>
    <row r="20627" spans="129:129" x14ac:dyDescent="0.2">
      <c r="DY20627" s="185" t="s">
        <v>215</v>
      </c>
    </row>
    <row r="20628" spans="129:129" x14ac:dyDescent="0.2">
      <c r="DY20628" s="185" t="s">
        <v>215</v>
      </c>
    </row>
    <row r="20629" spans="129:129" x14ac:dyDescent="0.2">
      <c r="DY20629" s="185" t="s">
        <v>215</v>
      </c>
    </row>
    <row r="20630" spans="129:129" x14ac:dyDescent="0.2">
      <c r="DY20630" s="185" t="s">
        <v>215</v>
      </c>
    </row>
    <row r="20631" spans="129:129" x14ac:dyDescent="0.2">
      <c r="DY20631" s="185" t="s">
        <v>215</v>
      </c>
    </row>
    <row r="20632" spans="129:129" x14ac:dyDescent="0.2">
      <c r="DY20632" s="185" t="s">
        <v>215</v>
      </c>
    </row>
    <row r="20633" spans="129:129" x14ac:dyDescent="0.2">
      <c r="DY20633" s="185" t="s">
        <v>215</v>
      </c>
    </row>
    <row r="20634" spans="129:129" x14ac:dyDescent="0.2">
      <c r="DY20634" s="185" t="s">
        <v>215</v>
      </c>
    </row>
    <row r="20635" spans="129:129" x14ac:dyDescent="0.2">
      <c r="DY20635" s="185" t="s">
        <v>215</v>
      </c>
    </row>
    <row r="20636" spans="129:129" x14ac:dyDescent="0.2">
      <c r="DY20636" s="185" t="s">
        <v>215</v>
      </c>
    </row>
    <row r="20637" spans="129:129" x14ac:dyDescent="0.2">
      <c r="DY20637" s="185" t="s">
        <v>215</v>
      </c>
    </row>
    <row r="20638" spans="129:129" x14ac:dyDescent="0.2">
      <c r="DY20638" s="185" t="s">
        <v>215</v>
      </c>
    </row>
    <row r="20639" spans="129:129" x14ac:dyDescent="0.2">
      <c r="DY20639" s="185" t="s">
        <v>215</v>
      </c>
    </row>
    <row r="20640" spans="129:129" x14ac:dyDescent="0.2">
      <c r="DY20640" s="185" t="s">
        <v>215</v>
      </c>
    </row>
    <row r="20641" spans="129:129" x14ac:dyDescent="0.2">
      <c r="DY20641" s="185" t="s">
        <v>215</v>
      </c>
    </row>
    <row r="20642" spans="129:129" x14ac:dyDescent="0.2">
      <c r="DY20642" s="185" t="s">
        <v>215</v>
      </c>
    </row>
    <row r="20643" spans="129:129" x14ac:dyDescent="0.2">
      <c r="DY20643" s="185" t="s">
        <v>215</v>
      </c>
    </row>
    <row r="20644" spans="129:129" x14ac:dyDescent="0.2">
      <c r="DY20644" s="185" t="s">
        <v>215</v>
      </c>
    </row>
    <row r="20645" spans="129:129" x14ac:dyDescent="0.2">
      <c r="DY20645" s="185" t="s">
        <v>215</v>
      </c>
    </row>
    <row r="20646" spans="129:129" x14ac:dyDescent="0.2">
      <c r="DY20646" s="185" t="s">
        <v>215</v>
      </c>
    </row>
    <row r="20647" spans="129:129" x14ac:dyDescent="0.2">
      <c r="DY20647" s="185" t="s">
        <v>215</v>
      </c>
    </row>
    <row r="20648" spans="129:129" x14ac:dyDescent="0.2">
      <c r="DY20648" s="185" t="s">
        <v>215</v>
      </c>
    </row>
    <row r="20649" spans="129:129" x14ac:dyDescent="0.2">
      <c r="DY20649" s="185" t="s">
        <v>215</v>
      </c>
    </row>
    <row r="20650" spans="129:129" x14ac:dyDescent="0.2">
      <c r="DY20650" s="185" t="s">
        <v>215</v>
      </c>
    </row>
    <row r="20651" spans="129:129" x14ac:dyDescent="0.2">
      <c r="DY20651" s="185" t="s">
        <v>215</v>
      </c>
    </row>
    <row r="20652" spans="129:129" x14ac:dyDescent="0.2">
      <c r="DY20652" s="185" t="s">
        <v>215</v>
      </c>
    </row>
    <row r="20653" spans="129:129" x14ac:dyDescent="0.2">
      <c r="DY20653" s="185" t="s">
        <v>215</v>
      </c>
    </row>
    <row r="20654" spans="129:129" x14ac:dyDescent="0.2">
      <c r="DY20654" s="185" t="s">
        <v>215</v>
      </c>
    </row>
    <row r="20655" spans="129:129" x14ac:dyDescent="0.2">
      <c r="DY20655" s="185" t="s">
        <v>215</v>
      </c>
    </row>
    <row r="20656" spans="129:129" x14ac:dyDescent="0.2">
      <c r="DY20656" s="185" t="s">
        <v>215</v>
      </c>
    </row>
    <row r="20657" spans="129:129" x14ac:dyDescent="0.2">
      <c r="DY20657" s="185" t="s">
        <v>215</v>
      </c>
    </row>
    <row r="20658" spans="129:129" x14ac:dyDescent="0.2">
      <c r="DY20658" s="185" t="s">
        <v>215</v>
      </c>
    </row>
    <row r="20659" spans="129:129" x14ac:dyDescent="0.2">
      <c r="DY20659" s="185" t="s">
        <v>215</v>
      </c>
    </row>
    <row r="20660" spans="129:129" x14ac:dyDescent="0.2">
      <c r="DY20660" s="185" t="s">
        <v>215</v>
      </c>
    </row>
    <row r="20661" spans="129:129" x14ac:dyDescent="0.2">
      <c r="DY20661" s="185" t="s">
        <v>215</v>
      </c>
    </row>
    <row r="20662" spans="129:129" x14ac:dyDescent="0.2">
      <c r="DY20662" s="185" t="s">
        <v>215</v>
      </c>
    </row>
    <row r="20663" spans="129:129" x14ac:dyDescent="0.2">
      <c r="DY20663" s="185" t="s">
        <v>215</v>
      </c>
    </row>
    <row r="20664" spans="129:129" x14ac:dyDescent="0.2">
      <c r="DY20664" s="185" t="s">
        <v>215</v>
      </c>
    </row>
    <row r="20665" spans="129:129" x14ac:dyDescent="0.2">
      <c r="DY20665" s="185" t="s">
        <v>215</v>
      </c>
    </row>
    <row r="20666" spans="129:129" x14ac:dyDescent="0.2">
      <c r="DY20666" s="185" t="s">
        <v>215</v>
      </c>
    </row>
    <row r="20667" spans="129:129" x14ac:dyDescent="0.2">
      <c r="DY20667" s="185" t="s">
        <v>215</v>
      </c>
    </row>
    <row r="20668" spans="129:129" x14ac:dyDescent="0.2">
      <c r="DY20668" s="185" t="s">
        <v>215</v>
      </c>
    </row>
    <row r="20669" spans="129:129" x14ac:dyDescent="0.2">
      <c r="DY20669" s="185" t="s">
        <v>215</v>
      </c>
    </row>
    <row r="20670" spans="129:129" x14ac:dyDescent="0.2">
      <c r="DY20670" s="185" t="s">
        <v>215</v>
      </c>
    </row>
    <row r="20671" spans="129:129" x14ac:dyDescent="0.2">
      <c r="DY20671" s="185" t="s">
        <v>215</v>
      </c>
    </row>
    <row r="20672" spans="129:129" x14ac:dyDescent="0.2">
      <c r="DY20672" s="185" t="s">
        <v>215</v>
      </c>
    </row>
    <row r="20673" spans="129:129" x14ac:dyDescent="0.2">
      <c r="DY20673" s="185" t="s">
        <v>215</v>
      </c>
    </row>
    <row r="20674" spans="129:129" x14ac:dyDescent="0.2">
      <c r="DY20674" s="185" t="s">
        <v>215</v>
      </c>
    </row>
    <row r="20675" spans="129:129" x14ac:dyDescent="0.2">
      <c r="DY20675" s="185" t="s">
        <v>215</v>
      </c>
    </row>
    <row r="20676" spans="129:129" x14ac:dyDescent="0.2">
      <c r="DY20676" s="185" t="s">
        <v>215</v>
      </c>
    </row>
    <row r="20677" spans="129:129" x14ac:dyDescent="0.2">
      <c r="DY20677" s="185" t="s">
        <v>215</v>
      </c>
    </row>
    <row r="20678" spans="129:129" x14ac:dyDescent="0.2">
      <c r="DY20678" s="185" t="s">
        <v>215</v>
      </c>
    </row>
    <row r="20679" spans="129:129" x14ac:dyDescent="0.2">
      <c r="DY20679" s="185" t="s">
        <v>215</v>
      </c>
    </row>
    <row r="20680" spans="129:129" x14ac:dyDescent="0.2">
      <c r="DY20680" s="185" t="s">
        <v>215</v>
      </c>
    </row>
    <row r="20681" spans="129:129" x14ac:dyDescent="0.2">
      <c r="DY20681" s="185" t="s">
        <v>215</v>
      </c>
    </row>
    <row r="20682" spans="129:129" x14ac:dyDescent="0.2">
      <c r="DY20682" s="185" t="s">
        <v>215</v>
      </c>
    </row>
    <row r="20683" spans="129:129" x14ac:dyDescent="0.2">
      <c r="DY20683" s="185" t="s">
        <v>215</v>
      </c>
    </row>
    <row r="20684" spans="129:129" x14ac:dyDescent="0.2">
      <c r="DY20684" s="185" t="s">
        <v>215</v>
      </c>
    </row>
    <row r="20685" spans="129:129" x14ac:dyDescent="0.2">
      <c r="DY20685" s="185" t="s">
        <v>215</v>
      </c>
    </row>
    <row r="20686" spans="129:129" x14ac:dyDescent="0.2">
      <c r="DY20686" s="185" t="s">
        <v>215</v>
      </c>
    </row>
    <row r="20687" spans="129:129" x14ac:dyDescent="0.2">
      <c r="DY20687" s="185" t="s">
        <v>215</v>
      </c>
    </row>
    <row r="20688" spans="129:129" x14ac:dyDescent="0.2">
      <c r="DY20688" s="185" t="s">
        <v>215</v>
      </c>
    </row>
    <row r="20689" spans="129:129" x14ac:dyDescent="0.2">
      <c r="DY20689" s="185" t="s">
        <v>215</v>
      </c>
    </row>
    <row r="20690" spans="129:129" x14ac:dyDescent="0.2">
      <c r="DY20690" s="185" t="s">
        <v>215</v>
      </c>
    </row>
    <row r="20691" spans="129:129" x14ac:dyDescent="0.2">
      <c r="DY20691" s="185" t="s">
        <v>215</v>
      </c>
    </row>
    <row r="20692" spans="129:129" x14ac:dyDescent="0.2">
      <c r="DY20692" s="185" t="s">
        <v>215</v>
      </c>
    </row>
    <row r="20693" spans="129:129" x14ac:dyDescent="0.2">
      <c r="DY20693" s="185" t="s">
        <v>215</v>
      </c>
    </row>
    <row r="20694" spans="129:129" x14ac:dyDescent="0.2">
      <c r="DY20694" s="185" t="s">
        <v>215</v>
      </c>
    </row>
    <row r="20695" spans="129:129" x14ac:dyDescent="0.2">
      <c r="DY20695" s="185" t="s">
        <v>215</v>
      </c>
    </row>
    <row r="20696" spans="129:129" x14ac:dyDescent="0.2">
      <c r="DY20696" s="185" t="s">
        <v>215</v>
      </c>
    </row>
    <row r="20697" spans="129:129" x14ac:dyDescent="0.2">
      <c r="DY20697" s="185" t="s">
        <v>215</v>
      </c>
    </row>
    <row r="20698" spans="129:129" x14ac:dyDescent="0.2">
      <c r="DY20698" s="185" t="s">
        <v>215</v>
      </c>
    </row>
    <row r="20699" spans="129:129" x14ac:dyDescent="0.2">
      <c r="DY20699" s="185" t="s">
        <v>215</v>
      </c>
    </row>
    <row r="20700" spans="129:129" x14ac:dyDescent="0.2">
      <c r="DY20700" s="185" t="s">
        <v>215</v>
      </c>
    </row>
    <row r="20701" spans="129:129" x14ac:dyDescent="0.2">
      <c r="DY20701" s="185" t="s">
        <v>215</v>
      </c>
    </row>
    <row r="20702" spans="129:129" x14ac:dyDescent="0.2">
      <c r="DY20702" s="185" t="s">
        <v>215</v>
      </c>
    </row>
    <row r="20703" spans="129:129" x14ac:dyDescent="0.2">
      <c r="DY20703" s="185" t="s">
        <v>215</v>
      </c>
    </row>
    <row r="20704" spans="129:129" x14ac:dyDescent="0.2">
      <c r="DY20704" s="185" t="s">
        <v>215</v>
      </c>
    </row>
    <row r="20705" spans="129:129" x14ac:dyDescent="0.2">
      <c r="DY20705" s="185" t="s">
        <v>215</v>
      </c>
    </row>
    <row r="20706" spans="129:129" x14ac:dyDescent="0.2">
      <c r="DY20706" s="185" t="s">
        <v>215</v>
      </c>
    </row>
    <row r="20707" spans="129:129" x14ac:dyDescent="0.2">
      <c r="DY20707" s="185" t="s">
        <v>215</v>
      </c>
    </row>
    <row r="20708" spans="129:129" x14ac:dyDescent="0.2">
      <c r="DY20708" s="185" t="s">
        <v>215</v>
      </c>
    </row>
    <row r="20709" spans="129:129" x14ac:dyDescent="0.2">
      <c r="DY20709" s="185" t="s">
        <v>215</v>
      </c>
    </row>
    <row r="20710" spans="129:129" x14ac:dyDescent="0.2">
      <c r="DY20710" s="185" t="s">
        <v>215</v>
      </c>
    </row>
    <row r="20711" spans="129:129" x14ac:dyDescent="0.2">
      <c r="DY20711" s="185" t="s">
        <v>215</v>
      </c>
    </row>
    <row r="20712" spans="129:129" x14ac:dyDescent="0.2">
      <c r="DY20712" s="185" t="s">
        <v>215</v>
      </c>
    </row>
    <row r="20713" spans="129:129" x14ac:dyDescent="0.2">
      <c r="DY20713" s="185" t="s">
        <v>215</v>
      </c>
    </row>
    <row r="20714" spans="129:129" x14ac:dyDescent="0.2">
      <c r="DY20714" s="185" t="s">
        <v>215</v>
      </c>
    </row>
    <row r="20715" spans="129:129" x14ac:dyDescent="0.2">
      <c r="DY20715" s="185" t="s">
        <v>215</v>
      </c>
    </row>
    <row r="20716" spans="129:129" x14ac:dyDescent="0.2">
      <c r="DY20716" s="185" t="s">
        <v>215</v>
      </c>
    </row>
    <row r="20717" spans="129:129" x14ac:dyDescent="0.2">
      <c r="DY20717" s="185" t="s">
        <v>215</v>
      </c>
    </row>
    <row r="20718" spans="129:129" x14ac:dyDescent="0.2">
      <c r="DY20718" s="185" t="s">
        <v>215</v>
      </c>
    </row>
    <row r="20719" spans="129:129" x14ac:dyDescent="0.2">
      <c r="DY20719" s="185" t="s">
        <v>215</v>
      </c>
    </row>
    <row r="20720" spans="129:129" x14ac:dyDescent="0.2">
      <c r="DY20720" s="185" t="s">
        <v>215</v>
      </c>
    </row>
    <row r="20721" spans="129:129" x14ac:dyDescent="0.2">
      <c r="DY20721" s="185" t="s">
        <v>215</v>
      </c>
    </row>
    <row r="20722" spans="129:129" x14ac:dyDescent="0.2">
      <c r="DY20722" s="185" t="s">
        <v>215</v>
      </c>
    </row>
    <row r="20723" spans="129:129" x14ac:dyDescent="0.2">
      <c r="DY20723" s="185" t="s">
        <v>215</v>
      </c>
    </row>
    <row r="20724" spans="129:129" x14ac:dyDescent="0.2">
      <c r="DY20724" s="185" t="s">
        <v>215</v>
      </c>
    </row>
    <row r="20725" spans="129:129" x14ac:dyDescent="0.2">
      <c r="DY20725" s="185" t="s">
        <v>215</v>
      </c>
    </row>
    <row r="20726" spans="129:129" x14ac:dyDescent="0.2">
      <c r="DY20726" s="185" t="s">
        <v>215</v>
      </c>
    </row>
    <row r="20727" spans="129:129" x14ac:dyDescent="0.2">
      <c r="DY20727" s="185" t="s">
        <v>215</v>
      </c>
    </row>
    <row r="20728" spans="129:129" x14ac:dyDescent="0.2">
      <c r="DY20728" s="185" t="s">
        <v>215</v>
      </c>
    </row>
    <row r="20729" spans="129:129" x14ac:dyDescent="0.2">
      <c r="DY20729" s="185" t="s">
        <v>215</v>
      </c>
    </row>
    <row r="20730" spans="129:129" x14ac:dyDescent="0.2">
      <c r="DY20730" s="185" t="s">
        <v>215</v>
      </c>
    </row>
    <row r="20731" spans="129:129" x14ac:dyDescent="0.2">
      <c r="DY20731" s="185" t="s">
        <v>215</v>
      </c>
    </row>
    <row r="20732" spans="129:129" x14ac:dyDescent="0.2">
      <c r="DY20732" s="185" t="s">
        <v>215</v>
      </c>
    </row>
    <row r="20733" spans="129:129" x14ac:dyDescent="0.2">
      <c r="DY20733" s="185" t="s">
        <v>215</v>
      </c>
    </row>
    <row r="20734" spans="129:129" x14ac:dyDescent="0.2">
      <c r="DY20734" s="185" t="s">
        <v>215</v>
      </c>
    </row>
    <row r="20735" spans="129:129" x14ac:dyDescent="0.2">
      <c r="DY20735" s="185" t="s">
        <v>215</v>
      </c>
    </row>
    <row r="20736" spans="129:129" x14ac:dyDescent="0.2">
      <c r="DY20736" s="185" t="s">
        <v>215</v>
      </c>
    </row>
    <row r="20737" spans="129:129" x14ac:dyDescent="0.2">
      <c r="DY20737" s="185" t="s">
        <v>215</v>
      </c>
    </row>
    <row r="20738" spans="129:129" x14ac:dyDescent="0.2">
      <c r="DY20738" s="185" t="s">
        <v>215</v>
      </c>
    </row>
    <row r="20739" spans="129:129" x14ac:dyDescent="0.2">
      <c r="DY20739" s="185" t="s">
        <v>215</v>
      </c>
    </row>
    <row r="20740" spans="129:129" x14ac:dyDescent="0.2">
      <c r="DY20740" s="185" t="s">
        <v>215</v>
      </c>
    </row>
    <row r="20741" spans="129:129" x14ac:dyDescent="0.2">
      <c r="DY20741" s="185" t="s">
        <v>215</v>
      </c>
    </row>
    <row r="20742" spans="129:129" x14ac:dyDescent="0.2">
      <c r="DY20742" s="185" t="s">
        <v>215</v>
      </c>
    </row>
    <row r="20743" spans="129:129" x14ac:dyDescent="0.2">
      <c r="DY20743" s="185" t="s">
        <v>215</v>
      </c>
    </row>
    <row r="20744" spans="129:129" x14ac:dyDescent="0.2">
      <c r="DY20744" s="185" t="s">
        <v>215</v>
      </c>
    </row>
    <row r="20745" spans="129:129" x14ac:dyDescent="0.2">
      <c r="DY20745" s="185" t="s">
        <v>215</v>
      </c>
    </row>
    <row r="20746" spans="129:129" x14ac:dyDescent="0.2">
      <c r="DY20746" s="185" t="s">
        <v>215</v>
      </c>
    </row>
    <row r="20747" spans="129:129" x14ac:dyDescent="0.2">
      <c r="DY20747" s="185" t="s">
        <v>215</v>
      </c>
    </row>
    <row r="20748" spans="129:129" x14ac:dyDescent="0.2">
      <c r="DY20748" s="185" t="s">
        <v>215</v>
      </c>
    </row>
    <row r="20749" spans="129:129" x14ac:dyDescent="0.2">
      <c r="DY20749" s="185" t="s">
        <v>215</v>
      </c>
    </row>
    <row r="20750" spans="129:129" x14ac:dyDescent="0.2">
      <c r="DY20750" s="185" t="s">
        <v>215</v>
      </c>
    </row>
    <row r="20751" spans="129:129" x14ac:dyDescent="0.2">
      <c r="DY20751" s="185" t="s">
        <v>215</v>
      </c>
    </row>
    <row r="20752" spans="129:129" x14ac:dyDescent="0.2">
      <c r="DY20752" s="185" t="s">
        <v>215</v>
      </c>
    </row>
    <row r="20753" spans="129:129" x14ac:dyDescent="0.2">
      <c r="DY20753" s="185" t="s">
        <v>215</v>
      </c>
    </row>
    <row r="20754" spans="129:129" x14ac:dyDescent="0.2">
      <c r="DY20754" s="185" t="s">
        <v>215</v>
      </c>
    </row>
    <row r="20755" spans="129:129" x14ac:dyDescent="0.2">
      <c r="DY20755" s="185" t="s">
        <v>215</v>
      </c>
    </row>
    <row r="20756" spans="129:129" x14ac:dyDescent="0.2">
      <c r="DY20756" s="185" t="s">
        <v>215</v>
      </c>
    </row>
    <row r="20757" spans="129:129" x14ac:dyDescent="0.2">
      <c r="DY20757" s="185" t="s">
        <v>215</v>
      </c>
    </row>
    <row r="20758" spans="129:129" x14ac:dyDescent="0.2">
      <c r="DY20758" s="185" t="s">
        <v>215</v>
      </c>
    </row>
    <row r="20759" spans="129:129" x14ac:dyDescent="0.2">
      <c r="DY20759" s="185" t="s">
        <v>215</v>
      </c>
    </row>
    <row r="20760" spans="129:129" x14ac:dyDescent="0.2">
      <c r="DY20760" s="185" t="s">
        <v>215</v>
      </c>
    </row>
    <row r="20761" spans="129:129" x14ac:dyDescent="0.2">
      <c r="DY20761" s="185" t="s">
        <v>215</v>
      </c>
    </row>
    <row r="20762" spans="129:129" x14ac:dyDescent="0.2">
      <c r="DY20762" s="185" t="s">
        <v>215</v>
      </c>
    </row>
    <row r="20763" spans="129:129" x14ac:dyDescent="0.2">
      <c r="DY20763" s="185" t="s">
        <v>215</v>
      </c>
    </row>
    <row r="20764" spans="129:129" x14ac:dyDescent="0.2">
      <c r="DY20764" s="185" t="s">
        <v>215</v>
      </c>
    </row>
    <row r="20765" spans="129:129" x14ac:dyDescent="0.2">
      <c r="DY20765" s="185" t="s">
        <v>215</v>
      </c>
    </row>
    <row r="20766" spans="129:129" x14ac:dyDescent="0.2">
      <c r="DY20766" s="185" t="s">
        <v>215</v>
      </c>
    </row>
    <row r="20767" spans="129:129" x14ac:dyDescent="0.2">
      <c r="DY20767" s="185" t="s">
        <v>215</v>
      </c>
    </row>
    <row r="20768" spans="129:129" x14ac:dyDescent="0.2">
      <c r="DY20768" s="185" t="s">
        <v>215</v>
      </c>
    </row>
    <row r="20769" spans="129:129" x14ac:dyDescent="0.2">
      <c r="DY20769" s="185" t="s">
        <v>215</v>
      </c>
    </row>
    <row r="20770" spans="129:129" x14ac:dyDescent="0.2">
      <c r="DY20770" s="185" t="s">
        <v>215</v>
      </c>
    </row>
    <row r="20771" spans="129:129" x14ac:dyDescent="0.2">
      <c r="DY20771" s="185" t="s">
        <v>215</v>
      </c>
    </row>
    <row r="20772" spans="129:129" x14ac:dyDescent="0.2">
      <c r="DY20772" s="185" t="s">
        <v>215</v>
      </c>
    </row>
    <row r="20773" spans="129:129" x14ac:dyDescent="0.2">
      <c r="DY20773" s="185" t="s">
        <v>215</v>
      </c>
    </row>
    <row r="20774" spans="129:129" x14ac:dyDescent="0.2">
      <c r="DY20774" s="185" t="s">
        <v>215</v>
      </c>
    </row>
    <row r="20775" spans="129:129" x14ac:dyDescent="0.2">
      <c r="DY20775" s="185" t="s">
        <v>215</v>
      </c>
    </row>
    <row r="20776" spans="129:129" x14ac:dyDescent="0.2">
      <c r="DY20776" s="185" t="s">
        <v>215</v>
      </c>
    </row>
    <row r="20777" spans="129:129" x14ac:dyDescent="0.2">
      <c r="DY20777" s="185" t="s">
        <v>215</v>
      </c>
    </row>
    <row r="20778" spans="129:129" x14ac:dyDescent="0.2">
      <c r="DY20778" s="185" t="s">
        <v>215</v>
      </c>
    </row>
    <row r="20779" spans="129:129" x14ac:dyDescent="0.2">
      <c r="DY20779" s="185" t="s">
        <v>215</v>
      </c>
    </row>
    <row r="20780" spans="129:129" x14ac:dyDescent="0.2">
      <c r="DY20780" s="185" t="s">
        <v>215</v>
      </c>
    </row>
    <row r="20781" spans="129:129" x14ac:dyDescent="0.2">
      <c r="DY20781" s="185" t="s">
        <v>215</v>
      </c>
    </row>
    <row r="20782" spans="129:129" x14ac:dyDescent="0.2">
      <c r="DY20782" s="185" t="s">
        <v>215</v>
      </c>
    </row>
    <row r="20783" spans="129:129" x14ac:dyDescent="0.2">
      <c r="DY20783" s="185" t="s">
        <v>215</v>
      </c>
    </row>
    <row r="20784" spans="129:129" x14ac:dyDescent="0.2">
      <c r="DY20784" s="185" t="s">
        <v>215</v>
      </c>
    </row>
    <row r="20785" spans="129:129" x14ac:dyDescent="0.2">
      <c r="DY20785" s="185" t="s">
        <v>215</v>
      </c>
    </row>
    <row r="20786" spans="129:129" x14ac:dyDescent="0.2">
      <c r="DY20786" s="185" t="s">
        <v>215</v>
      </c>
    </row>
    <row r="20787" spans="129:129" x14ac:dyDescent="0.2">
      <c r="DY20787" s="185" t="s">
        <v>215</v>
      </c>
    </row>
    <row r="20788" spans="129:129" x14ac:dyDescent="0.2">
      <c r="DY20788" s="185" t="s">
        <v>215</v>
      </c>
    </row>
    <row r="20789" spans="129:129" x14ac:dyDescent="0.2">
      <c r="DY20789" s="185" t="s">
        <v>215</v>
      </c>
    </row>
    <row r="20790" spans="129:129" x14ac:dyDescent="0.2">
      <c r="DY20790" s="185" t="s">
        <v>215</v>
      </c>
    </row>
    <row r="20791" spans="129:129" x14ac:dyDescent="0.2">
      <c r="DY20791" s="185" t="s">
        <v>215</v>
      </c>
    </row>
    <row r="20792" spans="129:129" x14ac:dyDescent="0.2">
      <c r="DY20792" s="185" t="s">
        <v>215</v>
      </c>
    </row>
    <row r="20793" spans="129:129" x14ac:dyDescent="0.2">
      <c r="DY20793" s="185" t="s">
        <v>215</v>
      </c>
    </row>
    <row r="20794" spans="129:129" x14ac:dyDescent="0.2">
      <c r="DY20794" s="185" t="s">
        <v>215</v>
      </c>
    </row>
    <row r="20795" spans="129:129" x14ac:dyDescent="0.2">
      <c r="DY20795" s="185" t="s">
        <v>215</v>
      </c>
    </row>
    <row r="20796" spans="129:129" x14ac:dyDescent="0.2">
      <c r="DY20796" s="185" t="s">
        <v>215</v>
      </c>
    </row>
    <row r="20797" spans="129:129" x14ac:dyDescent="0.2">
      <c r="DY20797" s="185" t="s">
        <v>215</v>
      </c>
    </row>
    <row r="20798" spans="129:129" x14ac:dyDescent="0.2">
      <c r="DY20798" s="185" t="s">
        <v>215</v>
      </c>
    </row>
    <row r="20799" spans="129:129" x14ac:dyDescent="0.2">
      <c r="DY20799" s="185" t="s">
        <v>215</v>
      </c>
    </row>
    <row r="20800" spans="129:129" x14ac:dyDescent="0.2">
      <c r="DY20800" s="185" t="s">
        <v>215</v>
      </c>
    </row>
    <row r="20801" spans="129:129" x14ac:dyDescent="0.2">
      <c r="DY20801" s="185" t="s">
        <v>215</v>
      </c>
    </row>
    <row r="20802" spans="129:129" x14ac:dyDescent="0.2">
      <c r="DY20802" s="185" t="s">
        <v>215</v>
      </c>
    </row>
    <row r="20803" spans="129:129" x14ac:dyDescent="0.2">
      <c r="DY20803" s="185" t="s">
        <v>215</v>
      </c>
    </row>
    <row r="20804" spans="129:129" x14ac:dyDescent="0.2">
      <c r="DY20804" s="185" t="s">
        <v>215</v>
      </c>
    </row>
    <row r="20805" spans="129:129" x14ac:dyDescent="0.2">
      <c r="DY20805" s="185" t="s">
        <v>215</v>
      </c>
    </row>
    <row r="20806" spans="129:129" x14ac:dyDescent="0.2">
      <c r="DY20806" s="185" t="s">
        <v>215</v>
      </c>
    </row>
    <row r="20807" spans="129:129" x14ac:dyDescent="0.2">
      <c r="DY20807" s="185" t="s">
        <v>215</v>
      </c>
    </row>
    <row r="20808" spans="129:129" x14ac:dyDescent="0.2">
      <c r="DY20808" s="185" t="s">
        <v>215</v>
      </c>
    </row>
    <row r="20809" spans="129:129" x14ac:dyDescent="0.2">
      <c r="DY20809" s="185" t="s">
        <v>215</v>
      </c>
    </row>
    <row r="20810" spans="129:129" x14ac:dyDescent="0.2">
      <c r="DY20810" s="185" t="s">
        <v>215</v>
      </c>
    </row>
    <row r="20811" spans="129:129" x14ac:dyDescent="0.2">
      <c r="DY20811" s="185" t="s">
        <v>215</v>
      </c>
    </row>
    <row r="20812" spans="129:129" x14ac:dyDescent="0.2">
      <c r="DY20812" s="185" t="s">
        <v>215</v>
      </c>
    </row>
    <row r="20813" spans="129:129" x14ac:dyDescent="0.2">
      <c r="DY20813" s="185" t="s">
        <v>215</v>
      </c>
    </row>
    <row r="20814" spans="129:129" x14ac:dyDescent="0.2">
      <c r="DY20814" s="185" t="s">
        <v>215</v>
      </c>
    </row>
    <row r="20815" spans="129:129" x14ac:dyDescent="0.2">
      <c r="DY20815" s="185" t="s">
        <v>215</v>
      </c>
    </row>
    <row r="20816" spans="129:129" x14ac:dyDescent="0.2">
      <c r="DY20816" s="185" t="s">
        <v>215</v>
      </c>
    </row>
    <row r="20817" spans="129:129" x14ac:dyDescent="0.2">
      <c r="DY20817" s="185" t="s">
        <v>215</v>
      </c>
    </row>
    <row r="20818" spans="129:129" x14ac:dyDescent="0.2">
      <c r="DY20818" s="185" t="s">
        <v>215</v>
      </c>
    </row>
    <row r="20819" spans="129:129" x14ac:dyDescent="0.2">
      <c r="DY20819" s="185" t="s">
        <v>215</v>
      </c>
    </row>
    <row r="20820" spans="129:129" x14ac:dyDescent="0.2">
      <c r="DY20820" s="185" t="s">
        <v>215</v>
      </c>
    </row>
    <row r="20821" spans="129:129" x14ac:dyDescent="0.2">
      <c r="DY20821" s="185" t="s">
        <v>215</v>
      </c>
    </row>
    <row r="20822" spans="129:129" x14ac:dyDescent="0.2">
      <c r="DY20822" s="185" t="s">
        <v>215</v>
      </c>
    </row>
    <row r="20823" spans="129:129" x14ac:dyDescent="0.2">
      <c r="DY20823" s="185" t="s">
        <v>215</v>
      </c>
    </row>
    <row r="20824" spans="129:129" x14ac:dyDescent="0.2">
      <c r="DY20824" s="185" t="s">
        <v>215</v>
      </c>
    </row>
    <row r="20825" spans="129:129" x14ac:dyDescent="0.2">
      <c r="DY20825" s="185" t="s">
        <v>215</v>
      </c>
    </row>
    <row r="20826" spans="129:129" x14ac:dyDescent="0.2">
      <c r="DY20826" s="185" t="s">
        <v>215</v>
      </c>
    </row>
    <row r="20827" spans="129:129" x14ac:dyDescent="0.2">
      <c r="DY20827" s="185" t="s">
        <v>215</v>
      </c>
    </row>
    <row r="20828" spans="129:129" x14ac:dyDescent="0.2">
      <c r="DY20828" s="185" t="s">
        <v>215</v>
      </c>
    </row>
    <row r="20829" spans="129:129" x14ac:dyDescent="0.2">
      <c r="DY20829" s="185" t="s">
        <v>215</v>
      </c>
    </row>
    <row r="20830" spans="129:129" x14ac:dyDescent="0.2">
      <c r="DY20830" s="185" t="s">
        <v>215</v>
      </c>
    </row>
    <row r="20831" spans="129:129" x14ac:dyDescent="0.2">
      <c r="DY20831" s="185" t="s">
        <v>215</v>
      </c>
    </row>
    <row r="20832" spans="129:129" x14ac:dyDescent="0.2">
      <c r="DY20832" s="185" t="s">
        <v>215</v>
      </c>
    </row>
    <row r="20833" spans="129:129" x14ac:dyDescent="0.2">
      <c r="DY20833" s="185" t="s">
        <v>215</v>
      </c>
    </row>
    <row r="20834" spans="129:129" x14ac:dyDescent="0.2">
      <c r="DY20834" s="185" t="s">
        <v>215</v>
      </c>
    </row>
    <row r="20835" spans="129:129" x14ac:dyDescent="0.2">
      <c r="DY20835" s="185" t="s">
        <v>215</v>
      </c>
    </row>
    <row r="20836" spans="129:129" x14ac:dyDescent="0.2">
      <c r="DY20836" s="185" t="s">
        <v>215</v>
      </c>
    </row>
    <row r="20837" spans="129:129" x14ac:dyDescent="0.2">
      <c r="DY20837" s="185" t="s">
        <v>215</v>
      </c>
    </row>
    <row r="20838" spans="129:129" x14ac:dyDescent="0.2">
      <c r="DY20838" s="185" t="s">
        <v>215</v>
      </c>
    </row>
    <row r="20839" spans="129:129" x14ac:dyDescent="0.2">
      <c r="DY20839" s="185" t="s">
        <v>215</v>
      </c>
    </row>
    <row r="20840" spans="129:129" x14ac:dyDescent="0.2">
      <c r="DY20840" s="185" t="s">
        <v>215</v>
      </c>
    </row>
    <row r="20841" spans="129:129" x14ac:dyDescent="0.2">
      <c r="DY20841" s="185" t="s">
        <v>215</v>
      </c>
    </row>
    <row r="20842" spans="129:129" x14ac:dyDescent="0.2">
      <c r="DY20842" s="185" t="s">
        <v>215</v>
      </c>
    </row>
    <row r="20843" spans="129:129" x14ac:dyDescent="0.2">
      <c r="DY20843" s="185" t="s">
        <v>215</v>
      </c>
    </row>
    <row r="20844" spans="129:129" x14ac:dyDescent="0.2">
      <c r="DY20844" s="185" t="s">
        <v>215</v>
      </c>
    </row>
    <row r="20845" spans="129:129" x14ac:dyDescent="0.2">
      <c r="DY20845" s="185" t="s">
        <v>215</v>
      </c>
    </row>
    <row r="20846" spans="129:129" x14ac:dyDescent="0.2">
      <c r="DY20846" s="185" t="s">
        <v>215</v>
      </c>
    </row>
    <row r="20847" spans="129:129" x14ac:dyDescent="0.2">
      <c r="DY20847" s="185" t="s">
        <v>215</v>
      </c>
    </row>
    <row r="20848" spans="129:129" x14ac:dyDescent="0.2">
      <c r="DY20848" s="185" t="s">
        <v>215</v>
      </c>
    </row>
    <row r="20849" spans="129:129" x14ac:dyDescent="0.2">
      <c r="DY20849" s="185" t="s">
        <v>215</v>
      </c>
    </row>
    <row r="20850" spans="129:129" x14ac:dyDescent="0.2">
      <c r="DY20850" s="185" t="s">
        <v>215</v>
      </c>
    </row>
    <row r="20851" spans="129:129" x14ac:dyDescent="0.2">
      <c r="DY20851" s="185" t="s">
        <v>215</v>
      </c>
    </row>
    <row r="20852" spans="129:129" x14ac:dyDescent="0.2">
      <c r="DY20852" s="185" t="s">
        <v>215</v>
      </c>
    </row>
    <row r="20853" spans="129:129" x14ac:dyDescent="0.2">
      <c r="DY20853" s="185" t="s">
        <v>215</v>
      </c>
    </row>
    <row r="20854" spans="129:129" x14ac:dyDescent="0.2">
      <c r="DY20854" s="185" t="s">
        <v>215</v>
      </c>
    </row>
    <row r="20855" spans="129:129" x14ac:dyDescent="0.2">
      <c r="DY20855" s="185" t="s">
        <v>215</v>
      </c>
    </row>
    <row r="20856" spans="129:129" x14ac:dyDescent="0.2">
      <c r="DY20856" s="185" t="s">
        <v>215</v>
      </c>
    </row>
    <row r="20857" spans="129:129" x14ac:dyDescent="0.2">
      <c r="DY20857" s="185" t="s">
        <v>215</v>
      </c>
    </row>
    <row r="20858" spans="129:129" x14ac:dyDescent="0.2">
      <c r="DY20858" s="185" t="s">
        <v>215</v>
      </c>
    </row>
    <row r="20859" spans="129:129" x14ac:dyDescent="0.2">
      <c r="DY20859" s="185" t="s">
        <v>215</v>
      </c>
    </row>
    <row r="20860" spans="129:129" x14ac:dyDescent="0.2">
      <c r="DY20860" s="185" t="s">
        <v>215</v>
      </c>
    </row>
    <row r="20861" spans="129:129" x14ac:dyDescent="0.2">
      <c r="DY20861" s="185" t="s">
        <v>215</v>
      </c>
    </row>
    <row r="20862" spans="129:129" x14ac:dyDescent="0.2">
      <c r="DY20862" s="185" t="s">
        <v>215</v>
      </c>
    </row>
    <row r="20863" spans="129:129" x14ac:dyDescent="0.2">
      <c r="DY20863" s="185" t="s">
        <v>215</v>
      </c>
    </row>
    <row r="20864" spans="129:129" x14ac:dyDescent="0.2">
      <c r="DY20864" s="185" t="s">
        <v>215</v>
      </c>
    </row>
    <row r="20865" spans="129:129" x14ac:dyDescent="0.2">
      <c r="DY20865" s="185" t="s">
        <v>215</v>
      </c>
    </row>
    <row r="20866" spans="129:129" x14ac:dyDescent="0.2">
      <c r="DY20866" s="185" t="s">
        <v>215</v>
      </c>
    </row>
    <row r="20867" spans="129:129" x14ac:dyDescent="0.2">
      <c r="DY20867" s="185" t="s">
        <v>215</v>
      </c>
    </row>
    <row r="20868" spans="129:129" x14ac:dyDescent="0.2">
      <c r="DY20868" s="185" t="s">
        <v>215</v>
      </c>
    </row>
    <row r="20869" spans="129:129" x14ac:dyDescent="0.2">
      <c r="DY20869" s="185" t="s">
        <v>215</v>
      </c>
    </row>
    <row r="20870" spans="129:129" x14ac:dyDescent="0.2">
      <c r="DY20870" s="185" t="s">
        <v>215</v>
      </c>
    </row>
    <row r="20871" spans="129:129" x14ac:dyDescent="0.2">
      <c r="DY20871" s="185" t="s">
        <v>215</v>
      </c>
    </row>
    <row r="20872" spans="129:129" x14ac:dyDescent="0.2">
      <c r="DY20872" s="185" t="s">
        <v>215</v>
      </c>
    </row>
    <row r="20873" spans="129:129" x14ac:dyDescent="0.2">
      <c r="DY20873" s="185" t="s">
        <v>215</v>
      </c>
    </row>
    <row r="20874" spans="129:129" x14ac:dyDescent="0.2">
      <c r="DY20874" s="185" t="s">
        <v>215</v>
      </c>
    </row>
    <row r="20875" spans="129:129" x14ac:dyDescent="0.2">
      <c r="DY20875" s="185" t="s">
        <v>215</v>
      </c>
    </row>
    <row r="20876" spans="129:129" x14ac:dyDescent="0.2">
      <c r="DY20876" s="185" t="s">
        <v>215</v>
      </c>
    </row>
    <row r="20877" spans="129:129" x14ac:dyDescent="0.2">
      <c r="DY20877" s="185" t="s">
        <v>215</v>
      </c>
    </row>
    <row r="20878" spans="129:129" x14ac:dyDescent="0.2">
      <c r="DY20878" s="185" t="s">
        <v>215</v>
      </c>
    </row>
    <row r="20879" spans="129:129" x14ac:dyDescent="0.2">
      <c r="DY20879" s="185" t="s">
        <v>215</v>
      </c>
    </row>
    <row r="20880" spans="129:129" x14ac:dyDescent="0.2">
      <c r="DY20880" s="185" t="s">
        <v>215</v>
      </c>
    </row>
    <row r="20881" spans="129:129" x14ac:dyDescent="0.2">
      <c r="DY20881" s="185" t="s">
        <v>215</v>
      </c>
    </row>
    <row r="20882" spans="129:129" x14ac:dyDescent="0.2">
      <c r="DY20882" s="185" t="s">
        <v>215</v>
      </c>
    </row>
    <row r="20883" spans="129:129" x14ac:dyDescent="0.2">
      <c r="DY20883" s="185" t="s">
        <v>215</v>
      </c>
    </row>
    <row r="20884" spans="129:129" x14ac:dyDescent="0.2">
      <c r="DY20884" s="185" t="s">
        <v>215</v>
      </c>
    </row>
    <row r="20885" spans="129:129" x14ac:dyDescent="0.2">
      <c r="DY20885" s="185" t="s">
        <v>215</v>
      </c>
    </row>
    <row r="20886" spans="129:129" x14ac:dyDescent="0.2">
      <c r="DY20886" s="185" t="s">
        <v>215</v>
      </c>
    </row>
    <row r="20887" spans="129:129" x14ac:dyDescent="0.2">
      <c r="DY20887" s="185" t="s">
        <v>215</v>
      </c>
    </row>
    <row r="20888" spans="129:129" x14ac:dyDescent="0.2">
      <c r="DY20888" s="185" t="s">
        <v>215</v>
      </c>
    </row>
    <row r="20889" spans="129:129" x14ac:dyDescent="0.2">
      <c r="DY20889" s="185" t="s">
        <v>215</v>
      </c>
    </row>
    <row r="20890" spans="129:129" x14ac:dyDescent="0.2">
      <c r="DY20890" s="185" t="s">
        <v>215</v>
      </c>
    </row>
    <row r="20891" spans="129:129" x14ac:dyDescent="0.2">
      <c r="DY20891" s="185" t="s">
        <v>215</v>
      </c>
    </row>
    <row r="20892" spans="129:129" x14ac:dyDescent="0.2">
      <c r="DY20892" s="185" t="s">
        <v>215</v>
      </c>
    </row>
    <row r="20893" spans="129:129" x14ac:dyDescent="0.2">
      <c r="DY20893" s="185" t="s">
        <v>215</v>
      </c>
    </row>
    <row r="20894" spans="129:129" x14ac:dyDescent="0.2">
      <c r="DY20894" s="185" t="s">
        <v>215</v>
      </c>
    </row>
    <row r="20895" spans="129:129" x14ac:dyDescent="0.2">
      <c r="DY20895" s="185" t="s">
        <v>215</v>
      </c>
    </row>
    <row r="20896" spans="129:129" x14ac:dyDescent="0.2">
      <c r="DY20896" s="185" t="s">
        <v>215</v>
      </c>
    </row>
    <row r="20897" spans="129:129" x14ac:dyDescent="0.2">
      <c r="DY20897" s="185" t="s">
        <v>215</v>
      </c>
    </row>
    <row r="20898" spans="129:129" x14ac:dyDescent="0.2">
      <c r="DY20898" s="185" t="s">
        <v>215</v>
      </c>
    </row>
    <row r="20899" spans="129:129" x14ac:dyDescent="0.2">
      <c r="DY20899" s="185" t="s">
        <v>215</v>
      </c>
    </row>
    <row r="20900" spans="129:129" x14ac:dyDescent="0.2">
      <c r="DY20900" s="185" t="s">
        <v>215</v>
      </c>
    </row>
    <row r="20901" spans="129:129" x14ac:dyDescent="0.2">
      <c r="DY20901" s="185" t="s">
        <v>215</v>
      </c>
    </row>
    <row r="20902" spans="129:129" x14ac:dyDescent="0.2">
      <c r="DY20902" s="185" t="s">
        <v>215</v>
      </c>
    </row>
    <row r="20903" spans="129:129" x14ac:dyDescent="0.2">
      <c r="DY20903" s="185" t="s">
        <v>215</v>
      </c>
    </row>
    <row r="20904" spans="129:129" x14ac:dyDescent="0.2">
      <c r="DY20904" s="185" t="s">
        <v>215</v>
      </c>
    </row>
    <row r="20905" spans="129:129" x14ac:dyDescent="0.2">
      <c r="DY20905" s="185" t="s">
        <v>215</v>
      </c>
    </row>
    <row r="20906" spans="129:129" x14ac:dyDescent="0.2">
      <c r="DY20906" s="185" t="s">
        <v>215</v>
      </c>
    </row>
    <row r="20907" spans="129:129" x14ac:dyDescent="0.2">
      <c r="DY20907" s="185" t="s">
        <v>215</v>
      </c>
    </row>
    <row r="20908" spans="129:129" x14ac:dyDescent="0.2">
      <c r="DY20908" s="185" t="s">
        <v>215</v>
      </c>
    </row>
    <row r="20909" spans="129:129" x14ac:dyDescent="0.2">
      <c r="DY20909" s="185" t="s">
        <v>215</v>
      </c>
    </row>
    <row r="20910" spans="129:129" x14ac:dyDescent="0.2">
      <c r="DY20910" s="185" t="s">
        <v>215</v>
      </c>
    </row>
    <row r="20911" spans="129:129" x14ac:dyDescent="0.2">
      <c r="DY20911" s="185" t="s">
        <v>215</v>
      </c>
    </row>
    <row r="20912" spans="129:129" x14ac:dyDescent="0.2">
      <c r="DY20912" s="185" t="s">
        <v>215</v>
      </c>
    </row>
    <row r="20913" spans="129:129" x14ac:dyDescent="0.2">
      <c r="DY20913" s="185" t="s">
        <v>215</v>
      </c>
    </row>
    <row r="20914" spans="129:129" x14ac:dyDescent="0.2">
      <c r="DY20914" s="185" t="s">
        <v>215</v>
      </c>
    </row>
    <row r="20915" spans="129:129" x14ac:dyDescent="0.2">
      <c r="DY20915" s="185" t="s">
        <v>215</v>
      </c>
    </row>
    <row r="20916" spans="129:129" x14ac:dyDescent="0.2">
      <c r="DY20916" s="185" t="s">
        <v>215</v>
      </c>
    </row>
    <row r="20917" spans="129:129" x14ac:dyDescent="0.2">
      <c r="DY20917" s="185" t="s">
        <v>215</v>
      </c>
    </row>
    <row r="20918" spans="129:129" x14ac:dyDescent="0.2">
      <c r="DY20918" s="185" t="s">
        <v>215</v>
      </c>
    </row>
    <row r="20919" spans="129:129" x14ac:dyDescent="0.2">
      <c r="DY20919" s="185" t="s">
        <v>215</v>
      </c>
    </row>
    <row r="20920" spans="129:129" x14ac:dyDescent="0.2">
      <c r="DY20920" s="185" t="s">
        <v>215</v>
      </c>
    </row>
    <row r="20921" spans="129:129" x14ac:dyDescent="0.2">
      <c r="DY20921" s="185" t="s">
        <v>215</v>
      </c>
    </row>
    <row r="20922" spans="129:129" x14ac:dyDescent="0.2">
      <c r="DY20922" s="185" t="s">
        <v>215</v>
      </c>
    </row>
    <row r="20923" spans="129:129" x14ac:dyDescent="0.2">
      <c r="DY20923" s="185" t="s">
        <v>215</v>
      </c>
    </row>
    <row r="20924" spans="129:129" x14ac:dyDescent="0.2">
      <c r="DY20924" s="185" t="s">
        <v>215</v>
      </c>
    </row>
    <row r="20925" spans="129:129" x14ac:dyDescent="0.2">
      <c r="DY20925" s="185" t="s">
        <v>215</v>
      </c>
    </row>
    <row r="20926" spans="129:129" x14ac:dyDescent="0.2">
      <c r="DY20926" s="185" t="s">
        <v>215</v>
      </c>
    </row>
    <row r="20927" spans="129:129" x14ac:dyDescent="0.2">
      <c r="DY20927" s="185" t="s">
        <v>215</v>
      </c>
    </row>
    <row r="20928" spans="129:129" x14ac:dyDescent="0.2">
      <c r="DY20928" s="185" t="s">
        <v>215</v>
      </c>
    </row>
    <row r="20929" spans="129:129" x14ac:dyDescent="0.2">
      <c r="DY20929" s="185" t="s">
        <v>215</v>
      </c>
    </row>
    <row r="20930" spans="129:129" x14ac:dyDescent="0.2">
      <c r="DY20930" s="185" t="s">
        <v>215</v>
      </c>
    </row>
    <row r="20931" spans="129:129" x14ac:dyDescent="0.2">
      <c r="DY20931" s="185" t="s">
        <v>215</v>
      </c>
    </row>
    <row r="20932" spans="129:129" x14ac:dyDescent="0.2">
      <c r="DY20932" s="185" t="s">
        <v>215</v>
      </c>
    </row>
    <row r="20933" spans="129:129" x14ac:dyDescent="0.2">
      <c r="DY20933" s="185" t="s">
        <v>215</v>
      </c>
    </row>
    <row r="20934" spans="129:129" x14ac:dyDescent="0.2">
      <c r="DY20934" s="185" t="s">
        <v>215</v>
      </c>
    </row>
    <row r="20935" spans="129:129" x14ac:dyDescent="0.2">
      <c r="DY20935" s="185" t="s">
        <v>215</v>
      </c>
    </row>
    <row r="20936" spans="129:129" x14ac:dyDescent="0.2">
      <c r="DY20936" s="185" t="s">
        <v>215</v>
      </c>
    </row>
    <row r="20937" spans="129:129" x14ac:dyDescent="0.2">
      <c r="DY20937" s="185" t="s">
        <v>215</v>
      </c>
    </row>
    <row r="20938" spans="129:129" x14ac:dyDescent="0.2">
      <c r="DY20938" s="185" t="s">
        <v>215</v>
      </c>
    </row>
    <row r="20939" spans="129:129" x14ac:dyDescent="0.2">
      <c r="DY20939" s="185" t="s">
        <v>215</v>
      </c>
    </row>
    <row r="20940" spans="129:129" x14ac:dyDescent="0.2">
      <c r="DY20940" s="185" t="s">
        <v>215</v>
      </c>
    </row>
    <row r="20941" spans="129:129" x14ac:dyDescent="0.2">
      <c r="DY20941" s="185" t="s">
        <v>215</v>
      </c>
    </row>
    <row r="20942" spans="129:129" x14ac:dyDescent="0.2">
      <c r="DY20942" s="185" t="s">
        <v>215</v>
      </c>
    </row>
    <row r="20943" spans="129:129" x14ac:dyDescent="0.2">
      <c r="DY20943" s="185" t="s">
        <v>215</v>
      </c>
    </row>
    <row r="20944" spans="129:129" x14ac:dyDescent="0.2">
      <c r="DY20944" s="185" t="s">
        <v>215</v>
      </c>
    </row>
    <row r="20945" spans="129:129" x14ac:dyDescent="0.2">
      <c r="DY20945" s="185" t="s">
        <v>215</v>
      </c>
    </row>
    <row r="20946" spans="129:129" x14ac:dyDescent="0.2">
      <c r="DY20946" s="185" t="s">
        <v>215</v>
      </c>
    </row>
    <row r="20947" spans="129:129" x14ac:dyDescent="0.2">
      <c r="DY20947" s="185" t="s">
        <v>215</v>
      </c>
    </row>
    <row r="20948" spans="129:129" x14ac:dyDescent="0.2">
      <c r="DY20948" s="185" t="s">
        <v>215</v>
      </c>
    </row>
    <row r="20949" spans="129:129" x14ac:dyDescent="0.2">
      <c r="DY20949" s="185" t="s">
        <v>215</v>
      </c>
    </row>
    <row r="20950" spans="129:129" x14ac:dyDescent="0.2">
      <c r="DY20950" s="185" t="s">
        <v>215</v>
      </c>
    </row>
    <row r="20951" spans="129:129" x14ac:dyDescent="0.2">
      <c r="DY20951" s="185" t="s">
        <v>215</v>
      </c>
    </row>
    <row r="20952" spans="129:129" x14ac:dyDescent="0.2">
      <c r="DY20952" s="185" t="s">
        <v>215</v>
      </c>
    </row>
    <row r="20953" spans="129:129" x14ac:dyDescent="0.2">
      <c r="DY20953" s="185" t="s">
        <v>215</v>
      </c>
    </row>
    <row r="20954" spans="129:129" x14ac:dyDescent="0.2">
      <c r="DY20954" s="185" t="s">
        <v>215</v>
      </c>
    </row>
    <row r="20955" spans="129:129" x14ac:dyDescent="0.2">
      <c r="DY20955" s="185" t="s">
        <v>215</v>
      </c>
    </row>
    <row r="20956" spans="129:129" x14ac:dyDescent="0.2">
      <c r="DY20956" s="185" t="s">
        <v>215</v>
      </c>
    </row>
    <row r="20957" spans="129:129" x14ac:dyDescent="0.2">
      <c r="DY20957" s="185" t="s">
        <v>215</v>
      </c>
    </row>
    <row r="20958" spans="129:129" x14ac:dyDescent="0.2">
      <c r="DY20958" s="185" t="s">
        <v>215</v>
      </c>
    </row>
    <row r="20959" spans="129:129" x14ac:dyDescent="0.2">
      <c r="DY20959" s="185" t="s">
        <v>215</v>
      </c>
    </row>
    <row r="20960" spans="129:129" x14ac:dyDescent="0.2">
      <c r="DY20960" s="185" t="s">
        <v>215</v>
      </c>
    </row>
    <row r="20961" spans="129:129" x14ac:dyDescent="0.2">
      <c r="DY20961" s="185" t="s">
        <v>215</v>
      </c>
    </row>
    <row r="20962" spans="129:129" x14ac:dyDescent="0.2">
      <c r="DY20962" s="185" t="s">
        <v>215</v>
      </c>
    </row>
    <row r="20963" spans="129:129" x14ac:dyDescent="0.2">
      <c r="DY20963" s="185" t="s">
        <v>215</v>
      </c>
    </row>
    <row r="20964" spans="129:129" x14ac:dyDescent="0.2">
      <c r="DY20964" s="185" t="s">
        <v>215</v>
      </c>
    </row>
    <row r="20965" spans="129:129" x14ac:dyDescent="0.2">
      <c r="DY20965" s="185" t="s">
        <v>215</v>
      </c>
    </row>
    <row r="20966" spans="129:129" x14ac:dyDescent="0.2">
      <c r="DY20966" s="185" t="s">
        <v>215</v>
      </c>
    </row>
    <row r="20967" spans="129:129" x14ac:dyDescent="0.2">
      <c r="DY20967" s="185" t="s">
        <v>215</v>
      </c>
    </row>
    <row r="20968" spans="129:129" x14ac:dyDescent="0.2">
      <c r="DY20968" s="185" t="s">
        <v>215</v>
      </c>
    </row>
    <row r="20969" spans="129:129" x14ac:dyDescent="0.2">
      <c r="DY20969" s="185" t="s">
        <v>215</v>
      </c>
    </row>
    <row r="20970" spans="129:129" x14ac:dyDescent="0.2">
      <c r="DY20970" s="185" t="s">
        <v>215</v>
      </c>
    </row>
    <row r="20971" spans="129:129" x14ac:dyDescent="0.2">
      <c r="DY20971" s="185" t="s">
        <v>215</v>
      </c>
    </row>
    <row r="20972" spans="129:129" x14ac:dyDescent="0.2">
      <c r="DY20972" s="185" t="s">
        <v>215</v>
      </c>
    </row>
    <row r="20973" spans="129:129" x14ac:dyDescent="0.2">
      <c r="DY20973" s="185" t="s">
        <v>215</v>
      </c>
    </row>
    <row r="20974" spans="129:129" x14ac:dyDescent="0.2">
      <c r="DY20974" s="185" t="s">
        <v>215</v>
      </c>
    </row>
    <row r="20975" spans="129:129" x14ac:dyDescent="0.2">
      <c r="DY20975" s="185" t="s">
        <v>215</v>
      </c>
    </row>
    <row r="20976" spans="129:129" x14ac:dyDescent="0.2">
      <c r="DY20976" s="185" t="s">
        <v>215</v>
      </c>
    </row>
    <row r="20977" spans="129:129" x14ac:dyDescent="0.2">
      <c r="DY20977" s="185" t="s">
        <v>215</v>
      </c>
    </row>
    <row r="20978" spans="129:129" x14ac:dyDescent="0.2">
      <c r="DY20978" s="185" t="s">
        <v>215</v>
      </c>
    </row>
    <row r="20979" spans="129:129" x14ac:dyDescent="0.2">
      <c r="DY20979" s="185" t="s">
        <v>215</v>
      </c>
    </row>
    <row r="20980" spans="129:129" x14ac:dyDescent="0.2">
      <c r="DY20980" s="185" t="s">
        <v>215</v>
      </c>
    </row>
    <row r="20981" spans="129:129" x14ac:dyDescent="0.2">
      <c r="DY20981" s="185" t="s">
        <v>215</v>
      </c>
    </row>
    <row r="20982" spans="129:129" x14ac:dyDescent="0.2">
      <c r="DY20982" s="185" t="s">
        <v>215</v>
      </c>
    </row>
    <row r="20983" spans="129:129" x14ac:dyDescent="0.2">
      <c r="DY20983" s="185" t="s">
        <v>215</v>
      </c>
    </row>
    <row r="20984" spans="129:129" x14ac:dyDescent="0.2">
      <c r="DY20984" s="185" t="s">
        <v>215</v>
      </c>
    </row>
    <row r="20985" spans="129:129" x14ac:dyDescent="0.2">
      <c r="DY20985" s="185" t="s">
        <v>215</v>
      </c>
    </row>
    <row r="20986" spans="129:129" x14ac:dyDescent="0.2">
      <c r="DY20986" s="185" t="s">
        <v>215</v>
      </c>
    </row>
    <row r="20987" spans="129:129" x14ac:dyDescent="0.2">
      <c r="DY20987" s="185" t="s">
        <v>215</v>
      </c>
    </row>
    <row r="20988" spans="129:129" x14ac:dyDescent="0.2">
      <c r="DY20988" s="185" t="s">
        <v>215</v>
      </c>
    </row>
    <row r="20989" spans="129:129" x14ac:dyDescent="0.2">
      <c r="DY20989" s="185" t="s">
        <v>215</v>
      </c>
    </row>
    <row r="20990" spans="129:129" x14ac:dyDescent="0.2">
      <c r="DY20990" s="185" t="s">
        <v>215</v>
      </c>
    </row>
    <row r="20991" spans="129:129" x14ac:dyDescent="0.2">
      <c r="DY20991" s="185" t="s">
        <v>215</v>
      </c>
    </row>
    <row r="20992" spans="129:129" x14ac:dyDescent="0.2">
      <c r="DY20992" s="185" t="s">
        <v>215</v>
      </c>
    </row>
    <row r="20993" spans="129:129" x14ac:dyDescent="0.2">
      <c r="DY20993" s="185" t="s">
        <v>215</v>
      </c>
    </row>
    <row r="20994" spans="129:129" x14ac:dyDescent="0.2">
      <c r="DY20994" s="185" t="s">
        <v>215</v>
      </c>
    </row>
    <row r="20995" spans="129:129" x14ac:dyDescent="0.2">
      <c r="DY20995" s="185" t="s">
        <v>215</v>
      </c>
    </row>
    <row r="20996" spans="129:129" x14ac:dyDescent="0.2">
      <c r="DY20996" s="185" t="s">
        <v>215</v>
      </c>
    </row>
    <row r="20997" spans="129:129" x14ac:dyDescent="0.2">
      <c r="DY20997" s="185" t="s">
        <v>215</v>
      </c>
    </row>
    <row r="20998" spans="129:129" x14ac:dyDescent="0.2">
      <c r="DY20998" s="185" t="s">
        <v>215</v>
      </c>
    </row>
    <row r="20999" spans="129:129" x14ac:dyDescent="0.2">
      <c r="DY20999" s="185" t="s">
        <v>215</v>
      </c>
    </row>
    <row r="21000" spans="129:129" x14ac:dyDescent="0.2">
      <c r="DY21000" s="185" t="s">
        <v>215</v>
      </c>
    </row>
    <row r="21001" spans="129:129" x14ac:dyDescent="0.2">
      <c r="DY21001" s="185" t="s">
        <v>215</v>
      </c>
    </row>
    <row r="21002" spans="129:129" x14ac:dyDescent="0.2">
      <c r="DY21002" s="185" t="s">
        <v>215</v>
      </c>
    </row>
    <row r="21003" spans="129:129" x14ac:dyDescent="0.2">
      <c r="DY21003" s="185" t="s">
        <v>215</v>
      </c>
    </row>
    <row r="21004" spans="129:129" x14ac:dyDescent="0.2">
      <c r="DY21004" s="185" t="s">
        <v>215</v>
      </c>
    </row>
    <row r="21005" spans="129:129" x14ac:dyDescent="0.2">
      <c r="DY21005" s="185" t="s">
        <v>215</v>
      </c>
    </row>
    <row r="21006" spans="129:129" x14ac:dyDescent="0.2">
      <c r="DY21006" s="185" t="s">
        <v>215</v>
      </c>
    </row>
    <row r="21007" spans="129:129" x14ac:dyDescent="0.2">
      <c r="DY21007" s="185" t="s">
        <v>215</v>
      </c>
    </row>
    <row r="21008" spans="129:129" x14ac:dyDescent="0.2">
      <c r="DY21008" s="185" t="s">
        <v>215</v>
      </c>
    </row>
    <row r="21009" spans="129:129" x14ac:dyDescent="0.2">
      <c r="DY21009" s="185" t="s">
        <v>215</v>
      </c>
    </row>
    <row r="21010" spans="129:129" x14ac:dyDescent="0.2">
      <c r="DY21010" s="185" t="s">
        <v>215</v>
      </c>
    </row>
    <row r="21011" spans="129:129" x14ac:dyDescent="0.2">
      <c r="DY21011" s="185" t="s">
        <v>215</v>
      </c>
    </row>
    <row r="21012" spans="129:129" x14ac:dyDescent="0.2">
      <c r="DY21012" s="185" t="s">
        <v>215</v>
      </c>
    </row>
    <row r="21013" spans="129:129" x14ac:dyDescent="0.2">
      <c r="DY21013" s="185" t="s">
        <v>215</v>
      </c>
    </row>
    <row r="21014" spans="129:129" x14ac:dyDescent="0.2">
      <c r="DY21014" s="185" t="s">
        <v>215</v>
      </c>
    </row>
    <row r="21015" spans="129:129" x14ac:dyDescent="0.2">
      <c r="DY21015" s="185" t="s">
        <v>215</v>
      </c>
    </row>
    <row r="21016" spans="129:129" x14ac:dyDescent="0.2">
      <c r="DY21016" s="185" t="s">
        <v>215</v>
      </c>
    </row>
    <row r="21017" spans="129:129" x14ac:dyDescent="0.2">
      <c r="DY21017" s="185" t="s">
        <v>215</v>
      </c>
    </row>
    <row r="21018" spans="129:129" x14ac:dyDescent="0.2">
      <c r="DY21018" s="185" t="s">
        <v>215</v>
      </c>
    </row>
    <row r="21019" spans="129:129" x14ac:dyDescent="0.2">
      <c r="DY21019" s="185" t="s">
        <v>215</v>
      </c>
    </row>
    <row r="21020" spans="129:129" x14ac:dyDescent="0.2">
      <c r="DY21020" s="185" t="s">
        <v>215</v>
      </c>
    </row>
    <row r="21021" spans="129:129" x14ac:dyDescent="0.2">
      <c r="DY21021" s="185" t="s">
        <v>215</v>
      </c>
    </row>
    <row r="21022" spans="129:129" x14ac:dyDescent="0.2">
      <c r="DY21022" s="185" t="s">
        <v>215</v>
      </c>
    </row>
    <row r="21023" spans="129:129" x14ac:dyDescent="0.2">
      <c r="DY21023" s="185" t="s">
        <v>215</v>
      </c>
    </row>
    <row r="21024" spans="129:129" x14ac:dyDescent="0.2">
      <c r="DY21024" s="185" t="s">
        <v>215</v>
      </c>
    </row>
    <row r="21025" spans="129:129" x14ac:dyDescent="0.2">
      <c r="DY21025" s="185" t="s">
        <v>215</v>
      </c>
    </row>
    <row r="21026" spans="129:129" x14ac:dyDescent="0.2">
      <c r="DY21026" s="185" t="s">
        <v>215</v>
      </c>
    </row>
    <row r="21027" spans="129:129" x14ac:dyDescent="0.2">
      <c r="DY21027" s="185" t="s">
        <v>215</v>
      </c>
    </row>
    <row r="21028" spans="129:129" x14ac:dyDescent="0.2">
      <c r="DY21028" s="185" t="s">
        <v>215</v>
      </c>
    </row>
    <row r="21029" spans="129:129" x14ac:dyDescent="0.2">
      <c r="DY21029" s="185" t="s">
        <v>215</v>
      </c>
    </row>
    <row r="21030" spans="129:129" x14ac:dyDescent="0.2">
      <c r="DY21030" s="185" t="s">
        <v>215</v>
      </c>
    </row>
    <row r="21031" spans="129:129" x14ac:dyDescent="0.2">
      <c r="DY21031" s="185" t="s">
        <v>215</v>
      </c>
    </row>
    <row r="21032" spans="129:129" x14ac:dyDescent="0.2">
      <c r="DY21032" s="185" t="s">
        <v>215</v>
      </c>
    </row>
    <row r="21033" spans="129:129" x14ac:dyDescent="0.2">
      <c r="DY21033" s="185" t="s">
        <v>215</v>
      </c>
    </row>
    <row r="21034" spans="129:129" x14ac:dyDescent="0.2">
      <c r="DY21034" s="185" t="s">
        <v>215</v>
      </c>
    </row>
    <row r="21035" spans="129:129" x14ac:dyDescent="0.2">
      <c r="DY21035" s="185" t="s">
        <v>215</v>
      </c>
    </row>
    <row r="21036" spans="129:129" x14ac:dyDescent="0.2">
      <c r="DY21036" s="185" t="s">
        <v>215</v>
      </c>
    </row>
    <row r="21037" spans="129:129" x14ac:dyDescent="0.2">
      <c r="DY21037" s="185" t="s">
        <v>215</v>
      </c>
    </row>
    <row r="21038" spans="129:129" x14ac:dyDescent="0.2">
      <c r="DY21038" s="185" t="s">
        <v>215</v>
      </c>
    </row>
    <row r="21039" spans="129:129" x14ac:dyDescent="0.2">
      <c r="DY21039" s="185" t="s">
        <v>215</v>
      </c>
    </row>
    <row r="21040" spans="129:129" x14ac:dyDescent="0.2">
      <c r="DY21040" s="185" t="s">
        <v>215</v>
      </c>
    </row>
    <row r="21041" spans="129:129" x14ac:dyDescent="0.2">
      <c r="DY21041" s="185" t="s">
        <v>215</v>
      </c>
    </row>
    <row r="21042" spans="129:129" x14ac:dyDescent="0.2">
      <c r="DY21042" s="185" t="s">
        <v>215</v>
      </c>
    </row>
    <row r="21043" spans="129:129" x14ac:dyDescent="0.2">
      <c r="DY21043" s="185" t="s">
        <v>215</v>
      </c>
    </row>
    <row r="21044" spans="129:129" x14ac:dyDescent="0.2">
      <c r="DY21044" s="185" t="s">
        <v>215</v>
      </c>
    </row>
    <row r="21045" spans="129:129" x14ac:dyDescent="0.2">
      <c r="DY21045" s="185" t="s">
        <v>215</v>
      </c>
    </row>
    <row r="21046" spans="129:129" x14ac:dyDescent="0.2">
      <c r="DY21046" s="185" t="s">
        <v>215</v>
      </c>
    </row>
    <row r="21047" spans="129:129" x14ac:dyDescent="0.2">
      <c r="DY21047" s="185" t="s">
        <v>215</v>
      </c>
    </row>
    <row r="21048" spans="129:129" x14ac:dyDescent="0.2">
      <c r="DY21048" s="185" t="s">
        <v>215</v>
      </c>
    </row>
    <row r="21049" spans="129:129" x14ac:dyDescent="0.2">
      <c r="DY21049" s="185" t="s">
        <v>215</v>
      </c>
    </row>
    <row r="21050" spans="129:129" x14ac:dyDescent="0.2">
      <c r="DY21050" s="185" t="s">
        <v>215</v>
      </c>
    </row>
    <row r="21051" spans="129:129" x14ac:dyDescent="0.2">
      <c r="DY21051" s="185" t="s">
        <v>215</v>
      </c>
    </row>
    <row r="21052" spans="129:129" x14ac:dyDescent="0.2">
      <c r="DY21052" s="185" t="s">
        <v>215</v>
      </c>
    </row>
    <row r="21053" spans="129:129" x14ac:dyDescent="0.2">
      <c r="DY21053" s="185" t="s">
        <v>215</v>
      </c>
    </row>
    <row r="21054" spans="129:129" x14ac:dyDescent="0.2">
      <c r="DY21054" s="185" t="s">
        <v>215</v>
      </c>
    </row>
    <row r="21055" spans="129:129" x14ac:dyDescent="0.2">
      <c r="DY21055" s="185" t="s">
        <v>215</v>
      </c>
    </row>
    <row r="21056" spans="129:129" x14ac:dyDescent="0.2">
      <c r="DY21056" s="185" t="s">
        <v>215</v>
      </c>
    </row>
    <row r="21057" spans="129:129" x14ac:dyDescent="0.2">
      <c r="DY21057" s="185" t="s">
        <v>215</v>
      </c>
    </row>
    <row r="21058" spans="129:129" x14ac:dyDescent="0.2">
      <c r="DY21058" s="185" t="s">
        <v>215</v>
      </c>
    </row>
    <row r="21059" spans="129:129" x14ac:dyDescent="0.2">
      <c r="DY21059" s="185" t="s">
        <v>215</v>
      </c>
    </row>
    <row r="21060" spans="129:129" x14ac:dyDescent="0.2">
      <c r="DY21060" s="185" t="s">
        <v>215</v>
      </c>
    </row>
    <row r="21061" spans="129:129" x14ac:dyDescent="0.2">
      <c r="DY21061" s="185" t="s">
        <v>215</v>
      </c>
    </row>
    <row r="21062" spans="129:129" x14ac:dyDescent="0.2">
      <c r="DY21062" s="185" t="s">
        <v>215</v>
      </c>
    </row>
    <row r="21063" spans="129:129" x14ac:dyDescent="0.2">
      <c r="DY21063" s="185" t="s">
        <v>215</v>
      </c>
    </row>
    <row r="21064" spans="129:129" x14ac:dyDescent="0.2">
      <c r="DY21064" s="185" t="s">
        <v>215</v>
      </c>
    </row>
    <row r="21065" spans="129:129" x14ac:dyDescent="0.2">
      <c r="DY21065" s="185" t="s">
        <v>215</v>
      </c>
    </row>
    <row r="21066" spans="129:129" x14ac:dyDescent="0.2">
      <c r="DY21066" s="185" t="s">
        <v>215</v>
      </c>
    </row>
    <row r="21067" spans="129:129" x14ac:dyDescent="0.2">
      <c r="DY21067" s="185" t="s">
        <v>215</v>
      </c>
    </row>
    <row r="21068" spans="129:129" x14ac:dyDescent="0.2">
      <c r="DY21068" s="185" t="s">
        <v>215</v>
      </c>
    </row>
    <row r="21069" spans="129:129" x14ac:dyDescent="0.2">
      <c r="DY21069" s="185" t="s">
        <v>215</v>
      </c>
    </row>
    <row r="21070" spans="129:129" x14ac:dyDescent="0.2">
      <c r="DY21070" s="185" t="s">
        <v>215</v>
      </c>
    </row>
    <row r="21071" spans="129:129" x14ac:dyDescent="0.2">
      <c r="DY21071" s="185" t="s">
        <v>215</v>
      </c>
    </row>
    <row r="21072" spans="129:129" x14ac:dyDescent="0.2">
      <c r="DY21072" s="185" t="s">
        <v>215</v>
      </c>
    </row>
    <row r="21073" spans="129:129" x14ac:dyDescent="0.2">
      <c r="DY21073" s="185" t="s">
        <v>215</v>
      </c>
    </row>
    <row r="21074" spans="129:129" x14ac:dyDescent="0.2">
      <c r="DY21074" s="185" t="s">
        <v>215</v>
      </c>
    </row>
    <row r="21075" spans="129:129" x14ac:dyDescent="0.2">
      <c r="DY21075" s="185" t="s">
        <v>215</v>
      </c>
    </row>
    <row r="21076" spans="129:129" x14ac:dyDescent="0.2">
      <c r="DY21076" s="185" t="s">
        <v>215</v>
      </c>
    </row>
    <row r="21077" spans="129:129" x14ac:dyDescent="0.2">
      <c r="DY21077" s="185" t="s">
        <v>215</v>
      </c>
    </row>
    <row r="21078" spans="129:129" x14ac:dyDescent="0.2">
      <c r="DY21078" s="185" t="s">
        <v>215</v>
      </c>
    </row>
    <row r="21079" spans="129:129" x14ac:dyDescent="0.2">
      <c r="DY21079" s="185" t="s">
        <v>215</v>
      </c>
    </row>
    <row r="21080" spans="129:129" x14ac:dyDescent="0.2">
      <c r="DY21080" s="185" t="s">
        <v>215</v>
      </c>
    </row>
    <row r="21081" spans="129:129" x14ac:dyDescent="0.2">
      <c r="DY21081" s="185" t="s">
        <v>215</v>
      </c>
    </row>
    <row r="21082" spans="129:129" x14ac:dyDescent="0.2">
      <c r="DY21082" s="185" t="s">
        <v>215</v>
      </c>
    </row>
    <row r="21083" spans="129:129" x14ac:dyDescent="0.2">
      <c r="DY21083" s="185" t="s">
        <v>215</v>
      </c>
    </row>
    <row r="21084" spans="129:129" x14ac:dyDescent="0.2">
      <c r="DY21084" s="185" t="s">
        <v>215</v>
      </c>
    </row>
    <row r="21085" spans="129:129" x14ac:dyDescent="0.2">
      <c r="DY21085" s="185" t="s">
        <v>215</v>
      </c>
    </row>
    <row r="21086" spans="129:129" x14ac:dyDescent="0.2">
      <c r="DY21086" s="185" t="s">
        <v>215</v>
      </c>
    </row>
    <row r="21087" spans="129:129" x14ac:dyDescent="0.2">
      <c r="DY21087" s="185" t="s">
        <v>215</v>
      </c>
    </row>
    <row r="21088" spans="129:129" x14ac:dyDescent="0.2">
      <c r="DY21088" s="185" t="s">
        <v>215</v>
      </c>
    </row>
    <row r="21089" spans="129:129" x14ac:dyDescent="0.2">
      <c r="DY21089" s="185" t="s">
        <v>215</v>
      </c>
    </row>
    <row r="21090" spans="129:129" x14ac:dyDescent="0.2">
      <c r="DY21090" s="185" t="s">
        <v>215</v>
      </c>
    </row>
    <row r="21091" spans="129:129" x14ac:dyDescent="0.2">
      <c r="DY21091" s="185" t="s">
        <v>215</v>
      </c>
    </row>
    <row r="21092" spans="129:129" x14ac:dyDescent="0.2">
      <c r="DY21092" s="185" t="s">
        <v>215</v>
      </c>
    </row>
    <row r="21093" spans="129:129" x14ac:dyDescent="0.2">
      <c r="DY21093" s="185" t="s">
        <v>215</v>
      </c>
    </row>
    <row r="21094" spans="129:129" x14ac:dyDescent="0.2">
      <c r="DY21094" s="185" t="s">
        <v>215</v>
      </c>
    </row>
    <row r="21095" spans="129:129" x14ac:dyDescent="0.2">
      <c r="DY21095" s="185" t="s">
        <v>215</v>
      </c>
    </row>
    <row r="21096" spans="129:129" x14ac:dyDescent="0.2">
      <c r="DY21096" s="185" t="s">
        <v>215</v>
      </c>
    </row>
    <row r="21097" spans="129:129" x14ac:dyDescent="0.2">
      <c r="DY21097" s="185" t="s">
        <v>215</v>
      </c>
    </row>
    <row r="21098" spans="129:129" x14ac:dyDescent="0.2">
      <c r="DY21098" s="185" t="s">
        <v>215</v>
      </c>
    </row>
    <row r="21099" spans="129:129" x14ac:dyDescent="0.2">
      <c r="DY21099" s="185" t="s">
        <v>215</v>
      </c>
    </row>
    <row r="21100" spans="129:129" x14ac:dyDescent="0.2">
      <c r="DY21100" s="185" t="s">
        <v>215</v>
      </c>
    </row>
    <row r="21101" spans="129:129" x14ac:dyDescent="0.2">
      <c r="DY21101" s="185" t="s">
        <v>215</v>
      </c>
    </row>
    <row r="21102" spans="129:129" x14ac:dyDescent="0.2">
      <c r="DY21102" s="185" t="s">
        <v>215</v>
      </c>
    </row>
    <row r="21103" spans="129:129" x14ac:dyDescent="0.2">
      <c r="DY21103" s="185" t="s">
        <v>215</v>
      </c>
    </row>
    <row r="21104" spans="129:129" x14ac:dyDescent="0.2">
      <c r="DY21104" s="185" t="s">
        <v>215</v>
      </c>
    </row>
    <row r="21105" spans="129:129" x14ac:dyDescent="0.2">
      <c r="DY21105" s="185" t="s">
        <v>215</v>
      </c>
    </row>
    <row r="21106" spans="129:129" x14ac:dyDescent="0.2">
      <c r="DY21106" s="185" t="s">
        <v>215</v>
      </c>
    </row>
    <row r="21107" spans="129:129" x14ac:dyDescent="0.2">
      <c r="DY21107" s="185" t="s">
        <v>215</v>
      </c>
    </row>
    <row r="21108" spans="129:129" x14ac:dyDescent="0.2">
      <c r="DY21108" s="185" t="s">
        <v>215</v>
      </c>
    </row>
    <row r="21109" spans="129:129" x14ac:dyDescent="0.2">
      <c r="DY21109" s="185" t="s">
        <v>215</v>
      </c>
    </row>
    <row r="21110" spans="129:129" x14ac:dyDescent="0.2">
      <c r="DY21110" s="185" t="s">
        <v>215</v>
      </c>
    </row>
    <row r="21111" spans="129:129" x14ac:dyDescent="0.2">
      <c r="DY21111" s="185" t="s">
        <v>215</v>
      </c>
    </row>
    <row r="21112" spans="129:129" x14ac:dyDescent="0.2">
      <c r="DY21112" s="185" t="s">
        <v>215</v>
      </c>
    </row>
    <row r="21113" spans="129:129" x14ac:dyDescent="0.2">
      <c r="DY21113" s="185" t="s">
        <v>215</v>
      </c>
    </row>
    <row r="21114" spans="129:129" x14ac:dyDescent="0.2">
      <c r="DY21114" s="185" t="s">
        <v>215</v>
      </c>
    </row>
    <row r="21115" spans="129:129" x14ac:dyDescent="0.2">
      <c r="DY21115" s="185" t="s">
        <v>215</v>
      </c>
    </row>
    <row r="21116" spans="129:129" x14ac:dyDescent="0.2">
      <c r="DY21116" s="185" t="s">
        <v>215</v>
      </c>
    </row>
    <row r="21117" spans="129:129" x14ac:dyDescent="0.2">
      <c r="DY21117" s="185" t="s">
        <v>215</v>
      </c>
    </row>
    <row r="21118" spans="129:129" x14ac:dyDescent="0.2">
      <c r="DY21118" s="185" t="s">
        <v>215</v>
      </c>
    </row>
    <row r="21119" spans="129:129" x14ac:dyDescent="0.2">
      <c r="DY21119" s="185" t="s">
        <v>215</v>
      </c>
    </row>
    <row r="21120" spans="129:129" x14ac:dyDescent="0.2">
      <c r="DY21120" s="185" t="s">
        <v>215</v>
      </c>
    </row>
    <row r="21121" spans="129:129" x14ac:dyDescent="0.2">
      <c r="DY21121" s="185" t="s">
        <v>215</v>
      </c>
    </row>
    <row r="21122" spans="129:129" x14ac:dyDescent="0.2">
      <c r="DY21122" s="185" t="s">
        <v>215</v>
      </c>
    </row>
    <row r="21123" spans="129:129" x14ac:dyDescent="0.2">
      <c r="DY21123" s="185" t="s">
        <v>215</v>
      </c>
    </row>
    <row r="21124" spans="129:129" x14ac:dyDescent="0.2">
      <c r="DY21124" s="185" t="s">
        <v>215</v>
      </c>
    </row>
    <row r="21125" spans="129:129" x14ac:dyDescent="0.2">
      <c r="DY21125" s="185" t="s">
        <v>215</v>
      </c>
    </row>
    <row r="21126" spans="129:129" x14ac:dyDescent="0.2">
      <c r="DY21126" s="185" t="s">
        <v>215</v>
      </c>
    </row>
    <row r="21127" spans="129:129" x14ac:dyDescent="0.2">
      <c r="DY21127" s="185" t="s">
        <v>215</v>
      </c>
    </row>
    <row r="21128" spans="129:129" x14ac:dyDescent="0.2">
      <c r="DY21128" s="185" t="s">
        <v>215</v>
      </c>
    </row>
    <row r="21129" spans="129:129" x14ac:dyDescent="0.2">
      <c r="DY21129" s="185" t="s">
        <v>215</v>
      </c>
    </row>
    <row r="21130" spans="129:129" x14ac:dyDescent="0.2">
      <c r="DY21130" s="185" t="s">
        <v>215</v>
      </c>
    </row>
    <row r="21131" spans="129:129" x14ac:dyDescent="0.2">
      <c r="DY21131" s="185" t="s">
        <v>215</v>
      </c>
    </row>
    <row r="21132" spans="129:129" x14ac:dyDescent="0.2">
      <c r="DY21132" s="185" t="s">
        <v>215</v>
      </c>
    </row>
    <row r="21133" spans="129:129" x14ac:dyDescent="0.2">
      <c r="DY21133" s="185" t="s">
        <v>215</v>
      </c>
    </row>
    <row r="21134" spans="129:129" x14ac:dyDescent="0.2">
      <c r="DY21134" s="185" t="s">
        <v>215</v>
      </c>
    </row>
    <row r="21135" spans="129:129" x14ac:dyDescent="0.2">
      <c r="DY21135" s="185" t="s">
        <v>215</v>
      </c>
    </row>
    <row r="21136" spans="129:129" x14ac:dyDescent="0.2">
      <c r="DY21136" s="185" t="s">
        <v>215</v>
      </c>
    </row>
    <row r="21137" spans="129:129" x14ac:dyDescent="0.2">
      <c r="DY21137" s="185" t="s">
        <v>215</v>
      </c>
    </row>
    <row r="21138" spans="129:129" x14ac:dyDescent="0.2">
      <c r="DY21138" s="185" t="s">
        <v>215</v>
      </c>
    </row>
    <row r="21139" spans="129:129" x14ac:dyDescent="0.2">
      <c r="DY21139" s="185" t="s">
        <v>215</v>
      </c>
    </row>
    <row r="21140" spans="129:129" x14ac:dyDescent="0.2">
      <c r="DY21140" s="185" t="s">
        <v>215</v>
      </c>
    </row>
    <row r="21141" spans="129:129" x14ac:dyDescent="0.2">
      <c r="DY21141" s="185" t="s">
        <v>215</v>
      </c>
    </row>
    <row r="21142" spans="129:129" x14ac:dyDescent="0.2">
      <c r="DY21142" s="185" t="s">
        <v>215</v>
      </c>
    </row>
    <row r="21143" spans="129:129" x14ac:dyDescent="0.2">
      <c r="DY21143" s="185" t="s">
        <v>215</v>
      </c>
    </row>
    <row r="21144" spans="129:129" x14ac:dyDescent="0.2">
      <c r="DY21144" s="185" t="s">
        <v>215</v>
      </c>
    </row>
    <row r="21145" spans="129:129" x14ac:dyDescent="0.2">
      <c r="DY21145" s="185" t="s">
        <v>215</v>
      </c>
    </row>
    <row r="21146" spans="129:129" x14ac:dyDescent="0.2">
      <c r="DY21146" s="185" t="s">
        <v>215</v>
      </c>
    </row>
    <row r="21147" spans="129:129" x14ac:dyDescent="0.2">
      <c r="DY21147" s="185" t="s">
        <v>215</v>
      </c>
    </row>
    <row r="21148" spans="129:129" x14ac:dyDescent="0.2">
      <c r="DY21148" s="185" t="s">
        <v>215</v>
      </c>
    </row>
    <row r="21149" spans="129:129" x14ac:dyDescent="0.2">
      <c r="DY21149" s="185" t="s">
        <v>215</v>
      </c>
    </row>
    <row r="21150" spans="129:129" x14ac:dyDescent="0.2">
      <c r="DY21150" s="185" t="s">
        <v>215</v>
      </c>
    </row>
    <row r="21151" spans="129:129" x14ac:dyDescent="0.2">
      <c r="DY21151" s="185" t="s">
        <v>215</v>
      </c>
    </row>
    <row r="21152" spans="129:129" x14ac:dyDescent="0.2">
      <c r="DY21152" s="185" t="s">
        <v>215</v>
      </c>
    </row>
    <row r="21153" spans="129:129" x14ac:dyDescent="0.2">
      <c r="DY21153" s="185" t="s">
        <v>215</v>
      </c>
    </row>
    <row r="21154" spans="129:129" x14ac:dyDescent="0.2">
      <c r="DY21154" s="185" t="s">
        <v>215</v>
      </c>
    </row>
    <row r="21155" spans="129:129" x14ac:dyDescent="0.2">
      <c r="DY21155" s="185" t="s">
        <v>215</v>
      </c>
    </row>
    <row r="21156" spans="129:129" x14ac:dyDescent="0.2">
      <c r="DY21156" s="185" t="s">
        <v>215</v>
      </c>
    </row>
    <row r="21157" spans="129:129" x14ac:dyDescent="0.2">
      <c r="DY21157" s="185" t="s">
        <v>215</v>
      </c>
    </row>
    <row r="21158" spans="129:129" x14ac:dyDescent="0.2">
      <c r="DY21158" s="185" t="s">
        <v>215</v>
      </c>
    </row>
    <row r="21159" spans="129:129" x14ac:dyDescent="0.2">
      <c r="DY21159" s="185" t="s">
        <v>215</v>
      </c>
    </row>
    <row r="21160" spans="129:129" x14ac:dyDescent="0.2">
      <c r="DY21160" s="185" t="s">
        <v>215</v>
      </c>
    </row>
    <row r="21161" spans="129:129" x14ac:dyDescent="0.2">
      <c r="DY21161" s="185" t="s">
        <v>215</v>
      </c>
    </row>
    <row r="21162" spans="129:129" x14ac:dyDescent="0.2">
      <c r="DY21162" s="185" t="s">
        <v>215</v>
      </c>
    </row>
    <row r="21163" spans="129:129" x14ac:dyDescent="0.2">
      <c r="DY21163" s="185" t="s">
        <v>215</v>
      </c>
    </row>
    <row r="21164" spans="129:129" x14ac:dyDescent="0.2">
      <c r="DY21164" s="185" t="s">
        <v>215</v>
      </c>
    </row>
    <row r="21165" spans="129:129" x14ac:dyDescent="0.2">
      <c r="DY21165" s="185" t="s">
        <v>215</v>
      </c>
    </row>
    <row r="21166" spans="129:129" x14ac:dyDescent="0.2">
      <c r="DY21166" s="185" t="s">
        <v>215</v>
      </c>
    </row>
    <row r="21167" spans="129:129" x14ac:dyDescent="0.2">
      <c r="DY21167" s="185" t="s">
        <v>215</v>
      </c>
    </row>
    <row r="21168" spans="129:129" x14ac:dyDescent="0.2">
      <c r="DY21168" s="185" t="s">
        <v>215</v>
      </c>
    </row>
    <row r="21169" spans="129:129" x14ac:dyDescent="0.2">
      <c r="DY21169" s="185" t="s">
        <v>215</v>
      </c>
    </row>
    <row r="21170" spans="129:129" x14ac:dyDescent="0.2">
      <c r="DY21170" s="185" t="s">
        <v>215</v>
      </c>
    </row>
    <row r="21171" spans="129:129" x14ac:dyDescent="0.2">
      <c r="DY21171" s="185" t="s">
        <v>215</v>
      </c>
    </row>
    <row r="21172" spans="129:129" x14ac:dyDescent="0.2">
      <c r="DY21172" s="185" t="s">
        <v>215</v>
      </c>
    </row>
    <row r="21173" spans="129:129" x14ac:dyDescent="0.2">
      <c r="DY21173" s="185" t="s">
        <v>215</v>
      </c>
    </row>
    <row r="21174" spans="129:129" x14ac:dyDescent="0.2">
      <c r="DY21174" s="185" t="s">
        <v>215</v>
      </c>
    </row>
    <row r="21175" spans="129:129" x14ac:dyDescent="0.2">
      <c r="DY21175" s="185" t="s">
        <v>215</v>
      </c>
    </row>
    <row r="21176" spans="129:129" x14ac:dyDescent="0.2">
      <c r="DY21176" s="185" t="s">
        <v>215</v>
      </c>
    </row>
    <row r="21177" spans="129:129" x14ac:dyDescent="0.2">
      <c r="DY21177" s="185" t="s">
        <v>215</v>
      </c>
    </row>
    <row r="21178" spans="129:129" x14ac:dyDescent="0.2">
      <c r="DY21178" s="185" t="s">
        <v>215</v>
      </c>
    </row>
    <row r="21179" spans="129:129" x14ac:dyDescent="0.2">
      <c r="DY21179" s="185" t="s">
        <v>215</v>
      </c>
    </row>
    <row r="21180" spans="129:129" x14ac:dyDescent="0.2">
      <c r="DY21180" s="185" t="s">
        <v>215</v>
      </c>
    </row>
    <row r="21181" spans="129:129" x14ac:dyDescent="0.2">
      <c r="DY21181" s="185" t="s">
        <v>215</v>
      </c>
    </row>
    <row r="21182" spans="129:129" x14ac:dyDescent="0.2">
      <c r="DY21182" s="185" t="s">
        <v>215</v>
      </c>
    </row>
    <row r="21183" spans="129:129" x14ac:dyDescent="0.2">
      <c r="DY21183" s="185" t="s">
        <v>215</v>
      </c>
    </row>
    <row r="21184" spans="129:129" x14ac:dyDescent="0.2">
      <c r="DY21184" s="185" t="s">
        <v>215</v>
      </c>
    </row>
    <row r="21185" spans="129:129" x14ac:dyDescent="0.2">
      <c r="DY21185" s="185" t="s">
        <v>215</v>
      </c>
    </row>
    <row r="21186" spans="129:129" x14ac:dyDescent="0.2">
      <c r="DY21186" s="185" t="s">
        <v>215</v>
      </c>
    </row>
    <row r="21187" spans="129:129" x14ac:dyDescent="0.2">
      <c r="DY21187" s="185" t="s">
        <v>215</v>
      </c>
    </row>
    <row r="21188" spans="129:129" x14ac:dyDescent="0.2">
      <c r="DY21188" s="185" t="s">
        <v>215</v>
      </c>
    </row>
    <row r="21189" spans="129:129" x14ac:dyDescent="0.2">
      <c r="DY21189" s="185" t="s">
        <v>215</v>
      </c>
    </row>
    <row r="21190" spans="129:129" x14ac:dyDescent="0.2">
      <c r="DY21190" s="185" t="s">
        <v>215</v>
      </c>
    </row>
    <row r="21191" spans="129:129" x14ac:dyDescent="0.2">
      <c r="DY21191" s="185" t="s">
        <v>215</v>
      </c>
    </row>
    <row r="21192" spans="129:129" x14ac:dyDescent="0.2">
      <c r="DY21192" s="185" t="s">
        <v>215</v>
      </c>
    </row>
    <row r="21193" spans="129:129" x14ac:dyDescent="0.2">
      <c r="DY21193" s="185" t="s">
        <v>215</v>
      </c>
    </row>
    <row r="21194" spans="129:129" x14ac:dyDescent="0.2">
      <c r="DY21194" s="185" t="s">
        <v>215</v>
      </c>
    </row>
    <row r="21195" spans="129:129" x14ac:dyDescent="0.2">
      <c r="DY21195" s="185" t="s">
        <v>215</v>
      </c>
    </row>
    <row r="21196" spans="129:129" x14ac:dyDescent="0.2">
      <c r="DY21196" s="185" t="s">
        <v>215</v>
      </c>
    </row>
    <row r="21197" spans="129:129" x14ac:dyDescent="0.2">
      <c r="DY21197" s="185" t="s">
        <v>215</v>
      </c>
    </row>
    <row r="21198" spans="129:129" x14ac:dyDescent="0.2">
      <c r="DY21198" s="185" t="s">
        <v>215</v>
      </c>
    </row>
    <row r="21199" spans="129:129" x14ac:dyDescent="0.2">
      <c r="DY21199" s="185" t="s">
        <v>215</v>
      </c>
    </row>
    <row r="21200" spans="129:129" x14ac:dyDescent="0.2">
      <c r="DY21200" s="185" t="s">
        <v>215</v>
      </c>
    </row>
    <row r="21201" spans="129:129" x14ac:dyDescent="0.2">
      <c r="DY21201" s="185" t="s">
        <v>215</v>
      </c>
    </row>
    <row r="21202" spans="129:129" x14ac:dyDescent="0.2">
      <c r="DY21202" s="185" t="s">
        <v>215</v>
      </c>
    </row>
    <row r="21203" spans="129:129" x14ac:dyDescent="0.2">
      <c r="DY21203" s="185" t="s">
        <v>215</v>
      </c>
    </row>
    <row r="21204" spans="129:129" x14ac:dyDescent="0.2">
      <c r="DY21204" s="185" t="s">
        <v>215</v>
      </c>
    </row>
    <row r="21205" spans="129:129" x14ac:dyDescent="0.2">
      <c r="DY21205" s="185" t="s">
        <v>215</v>
      </c>
    </row>
    <row r="21206" spans="129:129" x14ac:dyDescent="0.2">
      <c r="DY21206" s="185" t="s">
        <v>215</v>
      </c>
    </row>
    <row r="21207" spans="129:129" x14ac:dyDescent="0.2">
      <c r="DY21207" s="185" t="s">
        <v>215</v>
      </c>
    </row>
    <row r="21208" spans="129:129" x14ac:dyDescent="0.2">
      <c r="DY21208" s="185" t="s">
        <v>215</v>
      </c>
    </row>
    <row r="21209" spans="129:129" x14ac:dyDescent="0.2">
      <c r="DY21209" s="185" t="s">
        <v>215</v>
      </c>
    </row>
    <row r="21210" spans="129:129" x14ac:dyDescent="0.2">
      <c r="DY21210" s="185" t="s">
        <v>215</v>
      </c>
    </row>
    <row r="21211" spans="129:129" x14ac:dyDescent="0.2">
      <c r="DY21211" s="185" t="s">
        <v>215</v>
      </c>
    </row>
    <row r="21212" spans="129:129" x14ac:dyDescent="0.2">
      <c r="DY21212" s="185" t="s">
        <v>215</v>
      </c>
    </row>
    <row r="21213" spans="129:129" x14ac:dyDescent="0.2">
      <c r="DY21213" s="185" t="s">
        <v>215</v>
      </c>
    </row>
    <row r="21214" spans="129:129" x14ac:dyDescent="0.2">
      <c r="DY21214" s="185" t="s">
        <v>215</v>
      </c>
    </row>
    <row r="21215" spans="129:129" x14ac:dyDescent="0.2">
      <c r="DY21215" s="185" t="s">
        <v>215</v>
      </c>
    </row>
    <row r="21216" spans="129:129" x14ac:dyDescent="0.2">
      <c r="DY21216" s="185" t="s">
        <v>215</v>
      </c>
    </row>
    <row r="21217" spans="129:129" x14ac:dyDescent="0.2">
      <c r="DY21217" s="185" t="s">
        <v>215</v>
      </c>
    </row>
    <row r="21218" spans="129:129" x14ac:dyDescent="0.2">
      <c r="DY21218" s="185" t="s">
        <v>215</v>
      </c>
    </row>
    <row r="21219" spans="129:129" x14ac:dyDescent="0.2">
      <c r="DY21219" s="185" t="s">
        <v>215</v>
      </c>
    </row>
    <row r="21220" spans="129:129" x14ac:dyDescent="0.2">
      <c r="DY21220" s="185" t="s">
        <v>215</v>
      </c>
    </row>
    <row r="21221" spans="129:129" x14ac:dyDescent="0.2">
      <c r="DY21221" s="185" t="s">
        <v>215</v>
      </c>
    </row>
    <row r="21222" spans="129:129" x14ac:dyDescent="0.2">
      <c r="DY21222" s="185" t="s">
        <v>215</v>
      </c>
    </row>
    <row r="21223" spans="129:129" x14ac:dyDescent="0.2">
      <c r="DY21223" s="185" t="s">
        <v>215</v>
      </c>
    </row>
    <row r="21224" spans="129:129" x14ac:dyDescent="0.2">
      <c r="DY21224" s="185" t="s">
        <v>215</v>
      </c>
    </row>
    <row r="21225" spans="129:129" x14ac:dyDescent="0.2">
      <c r="DY21225" s="185" t="s">
        <v>215</v>
      </c>
    </row>
    <row r="21226" spans="129:129" x14ac:dyDescent="0.2">
      <c r="DY21226" s="185" t="s">
        <v>215</v>
      </c>
    </row>
    <row r="21227" spans="129:129" x14ac:dyDescent="0.2">
      <c r="DY21227" s="185" t="s">
        <v>215</v>
      </c>
    </row>
    <row r="21228" spans="129:129" x14ac:dyDescent="0.2">
      <c r="DY21228" s="185" t="s">
        <v>215</v>
      </c>
    </row>
    <row r="21229" spans="129:129" x14ac:dyDescent="0.2">
      <c r="DY21229" s="185" t="s">
        <v>215</v>
      </c>
    </row>
    <row r="21230" spans="129:129" x14ac:dyDescent="0.2">
      <c r="DY21230" s="185" t="s">
        <v>215</v>
      </c>
    </row>
    <row r="21231" spans="129:129" x14ac:dyDescent="0.2">
      <c r="DY21231" s="185" t="s">
        <v>215</v>
      </c>
    </row>
    <row r="21232" spans="129:129" x14ac:dyDescent="0.2">
      <c r="DY21232" s="185" t="s">
        <v>215</v>
      </c>
    </row>
    <row r="21233" spans="129:129" x14ac:dyDescent="0.2">
      <c r="DY21233" s="185" t="s">
        <v>215</v>
      </c>
    </row>
    <row r="21234" spans="129:129" x14ac:dyDescent="0.2">
      <c r="DY21234" s="185" t="s">
        <v>215</v>
      </c>
    </row>
    <row r="21235" spans="129:129" x14ac:dyDescent="0.2">
      <c r="DY21235" s="185" t="s">
        <v>215</v>
      </c>
    </row>
    <row r="21236" spans="129:129" x14ac:dyDescent="0.2">
      <c r="DY21236" s="185" t="s">
        <v>215</v>
      </c>
    </row>
    <row r="21237" spans="129:129" x14ac:dyDescent="0.2">
      <c r="DY21237" s="185" t="s">
        <v>215</v>
      </c>
    </row>
    <row r="21238" spans="129:129" x14ac:dyDescent="0.2">
      <c r="DY21238" s="185" t="s">
        <v>215</v>
      </c>
    </row>
    <row r="21239" spans="129:129" x14ac:dyDescent="0.2">
      <c r="DY21239" s="185" t="s">
        <v>215</v>
      </c>
    </row>
    <row r="21240" spans="129:129" x14ac:dyDescent="0.2">
      <c r="DY21240" s="185" t="s">
        <v>215</v>
      </c>
    </row>
    <row r="21241" spans="129:129" x14ac:dyDescent="0.2">
      <c r="DY21241" s="185" t="s">
        <v>215</v>
      </c>
    </row>
    <row r="21242" spans="129:129" x14ac:dyDescent="0.2">
      <c r="DY21242" s="185" t="s">
        <v>215</v>
      </c>
    </row>
    <row r="21243" spans="129:129" x14ac:dyDescent="0.2">
      <c r="DY21243" s="185" t="s">
        <v>215</v>
      </c>
    </row>
    <row r="21244" spans="129:129" x14ac:dyDescent="0.2">
      <c r="DY21244" s="185" t="s">
        <v>215</v>
      </c>
    </row>
    <row r="21245" spans="129:129" x14ac:dyDescent="0.2">
      <c r="DY21245" s="185" t="s">
        <v>215</v>
      </c>
    </row>
    <row r="21246" spans="129:129" x14ac:dyDescent="0.2">
      <c r="DY21246" s="185" t="s">
        <v>215</v>
      </c>
    </row>
    <row r="21247" spans="129:129" x14ac:dyDescent="0.2">
      <c r="DY21247" s="185" t="s">
        <v>215</v>
      </c>
    </row>
    <row r="21248" spans="129:129" x14ac:dyDescent="0.2">
      <c r="DY21248" s="185" t="s">
        <v>215</v>
      </c>
    </row>
    <row r="21249" spans="129:129" x14ac:dyDescent="0.2">
      <c r="DY21249" s="185" t="s">
        <v>215</v>
      </c>
    </row>
    <row r="21250" spans="129:129" x14ac:dyDescent="0.2">
      <c r="DY21250" s="185" t="s">
        <v>215</v>
      </c>
    </row>
    <row r="21251" spans="129:129" x14ac:dyDescent="0.2">
      <c r="DY21251" s="185" t="s">
        <v>215</v>
      </c>
    </row>
    <row r="21252" spans="129:129" x14ac:dyDescent="0.2">
      <c r="DY21252" s="185" t="s">
        <v>215</v>
      </c>
    </row>
    <row r="21253" spans="129:129" x14ac:dyDescent="0.2">
      <c r="DY21253" s="185" t="s">
        <v>215</v>
      </c>
    </row>
    <row r="21254" spans="129:129" x14ac:dyDescent="0.2">
      <c r="DY21254" s="185" t="s">
        <v>215</v>
      </c>
    </row>
    <row r="21255" spans="129:129" x14ac:dyDescent="0.2">
      <c r="DY21255" s="185" t="s">
        <v>215</v>
      </c>
    </row>
    <row r="21256" spans="129:129" x14ac:dyDescent="0.2">
      <c r="DY21256" s="185" t="s">
        <v>215</v>
      </c>
    </row>
    <row r="21257" spans="129:129" x14ac:dyDescent="0.2">
      <c r="DY21257" s="185" t="s">
        <v>215</v>
      </c>
    </row>
    <row r="21258" spans="129:129" x14ac:dyDescent="0.2">
      <c r="DY21258" s="185" t="s">
        <v>215</v>
      </c>
    </row>
    <row r="21259" spans="129:129" x14ac:dyDescent="0.2">
      <c r="DY21259" s="185" t="s">
        <v>215</v>
      </c>
    </row>
    <row r="21260" spans="129:129" x14ac:dyDescent="0.2">
      <c r="DY21260" s="185" t="s">
        <v>215</v>
      </c>
    </row>
    <row r="21261" spans="129:129" x14ac:dyDescent="0.2">
      <c r="DY21261" s="185" t="s">
        <v>215</v>
      </c>
    </row>
    <row r="21262" spans="129:129" x14ac:dyDescent="0.2">
      <c r="DY21262" s="185" t="s">
        <v>215</v>
      </c>
    </row>
    <row r="21263" spans="129:129" x14ac:dyDescent="0.2">
      <c r="DY21263" s="185" t="s">
        <v>215</v>
      </c>
    </row>
    <row r="21264" spans="129:129" x14ac:dyDescent="0.2">
      <c r="DY21264" s="185" t="s">
        <v>215</v>
      </c>
    </row>
    <row r="21265" spans="129:129" x14ac:dyDescent="0.2">
      <c r="DY21265" s="185" t="s">
        <v>215</v>
      </c>
    </row>
    <row r="21266" spans="129:129" x14ac:dyDescent="0.2">
      <c r="DY21266" s="185" t="s">
        <v>215</v>
      </c>
    </row>
    <row r="21267" spans="129:129" x14ac:dyDescent="0.2">
      <c r="DY21267" s="185" t="s">
        <v>215</v>
      </c>
    </row>
    <row r="21268" spans="129:129" x14ac:dyDescent="0.2">
      <c r="DY21268" s="185" t="s">
        <v>215</v>
      </c>
    </row>
    <row r="21269" spans="129:129" x14ac:dyDescent="0.2">
      <c r="DY21269" s="185" t="s">
        <v>215</v>
      </c>
    </row>
    <row r="21270" spans="129:129" x14ac:dyDescent="0.2">
      <c r="DY21270" s="185" t="s">
        <v>215</v>
      </c>
    </row>
    <row r="21271" spans="129:129" x14ac:dyDescent="0.2">
      <c r="DY21271" s="185" t="s">
        <v>215</v>
      </c>
    </row>
    <row r="21272" spans="129:129" x14ac:dyDescent="0.2">
      <c r="DY21272" s="185" t="s">
        <v>215</v>
      </c>
    </row>
    <row r="21273" spans="129:129" x14ac:dyDescent="0.2">
      <c r="DY21273" s="185" t="s">
        <v>215</v>
      </c>
    </row>
    <row r="21274" spans="129:129" x14ac:dyDescent="0.2">
      <c r="DY21274" s="185" t="s">
        <v>215</v>
      </c>
    </row>
    <row r="21275" spans="129:129" x14ac:dyDescent="0.2">
      <c r="DY21275" s="185" t="s">
        <v>215</v>
      </c>
    </row>
    <row r="21276" spans="129:129" x14ac:dyDescent="0.2">
      <c r="DY21276" s="185" t="s">
        <v>215</v>
      </c>
    </row>
    <row r="21277" spans="129:129" x14ac:dyDescent="0.2">
      <c r="DY21277" s="185" t="s">
        <v>215</v>
      </c>
    </row>
    <row r="21278" spans="129:129" x14ac:dyDescent="0.2">
      <c r="DY21278" s="185" t="s">
        <v>215</v>
      </c>
    </row>
    <row r="21279" spans="129:129" x14ac:dyDescent="0.2">
      <c r="DY21279" s="185" t="s">
        <v>215</v>
      </c>
    </row>
    <row r="21280" spans="129:129" x14ac:dyDescent="0.2">
      <c r="DY21280" s="185" t="s">
        <v>215</v>
      </c>
    </row>
    <row r="21281" spans="129:129" x14ac:dyDescent="0.2">
      <c r="DY21281" s="185" t="s">
        <v>215</v>
      </c>
    </row>
    <row r="21282" spans="129:129" x14ac:dyDescent="0.2">
      <c r="DY21282" s="185" t="s">
        <v>215</v>
      </c>
    </row>
    <row r="21283" spans="129:129" x14ac:dyDescent="0.2">
      <c r="DY21283" s="185" t="s">
        <v>215</v>
      </c>
    </row>
    <row r="21284" spans="129:129" x14ac:dyDescent="0.2">
      <c r="DY21284" s="185" t="s">
        <v>215</v>
      </c>
    </row>
    <row r="21285" spans="129:129" x14ac:dyDescent="0.2">
      <c r="DY21285" s="185" t="s">
        <v>215</v>
      </c>
    </row>
    <row r="21286" spans="129:129" x14ac:dyDescent="0.2">
      <c r="DY21286" s="185" t="s">
        <v>215</v>
      </c>
    </row>
    <row r="21287" spans="129:129" x14ac:dyDescent="0.2">
      <c r="DY21287" s="185" t="s">
        <v>215</v>
      </c>
    </row>
    <row r="21288" spans="129:129" x14ac:dyDescent="0.2">
      <c r="DY21288" s="185" t="s">
        <v>215</v>
      </c>
    </row>
    <row r="21289" spans="129:129" x14ac:dyDescent="0.2">
      <c r="DY21289" s="185" t="s">
        <v>215</v>
      </c>
    </row>
    <row r="21290" spans="129:129" x14ac:dyDescent="0.2">
      <c r="DY21290" s="185" t="s">
        <v>215</v>
      </c>
    </row>
    <row r="21291" spans="129:129" x14ac:dyDescent="0.2">
      <c r="DY21291" s="185" t="s">
        <v>215</v>
      </c>
    </row>
    <row r="21292" spans="129:129" x14ac:dyDescent="0.2">
      <c r="DY21292" s="185" t="s">
        <v>215</v>
      </c>
    </row>
    <row r="21293" spans="129:129" x14ac:dyDescent="0.2">
      <c r="DY21293" s="185" t="s">
        <v>215</v>
      </c>
    </row>
    <row r="21294" spans="129:129" x14ac:dyDescent="0.2">
      <c r="DY21294" s="185" t="s">
        <v>215</v>
      </c>
    </row>
    <row r="21295" spans="129:129" x14ac:dyDescent="0.2">
      <c r="DY21295" s="185" t="s">
        <v>215</v>
      </c>
    </row>
    <row r="21296" spans="129:129" x14ac:dyDescent="0.2">
      <c r="DY21296" s="185" t="s">
        <v>215</v>
      </c>
    </row>
    <row r="21297" spans="129:129" x14ac:dyDescent="0.2">
      <c r="DY21297" s="185" t="s">
        <v>215</v>
      </c>
    </row>
    <row r="21298" spans="129:129" x14ac:dyDescent="0.2">
      <c r="DY21298" s="185" t="s">
        <v>215</v>
      </c>
    </row>
    <row r="21299" spans="129:129" x14ac:dyDescent="0.2">
      <c r="DY21299" s="185" t="s">
        <v>215</v>
      </c>
    </row>
    <row r="21300" spans="129:129" x14ac:dyDescent="0.2">
      <c r="DY21300" s="185" t="s">
        <v>215</v>
      </c>
    </row>
    <row r="21301" spans="129:129" x14ac:dyDescent="0.2">
      <c r="DY21301" s="185" t="s">
        <v>215</v>
      </c>
    </row>
    <row r="21302" spans="129:129" x14ac:dyDescent="0.2">
      <c r="DY21302" s="185" t="s">
        <v>215</v>
      </c>
    </row>
    <row r="21303" spans="129:129" x14ac:dyDescent="0.2">
      <c r="DY21303" s="185" t="s">
        <v>215</v>
      </c>
    </row>
    <row r="21304" spans="129:129" x14ac:dyDescent="0.2">
      <c r="DY21304" s="185" t="s">
        <v>215</v>
      </c>
    </row>
    <row r="21305" spans="129:129" x14ac:dyDescent="0.2">
      <c r="DY21305" s="185" t="s">
        <v>215</v>
      </c>
    </row>
    <row r="21306" spans="129:129" x14ac:dyDescent="0.2">
      <c r="DY21306" s="185" t="s">
        <v>215</v>
      </c>
    </row>
    <row r="21307" spans="129:129" x14ac:dyDescent="0.2">
      <c r="DY21307" s="185" t="s">
        <v>215</v>
      </c>
    </row>
    <row r="21308" spans="129:129" x14ac:dyDescent="0.2">
      <c r="DY21308" s="185" t="s">
        <v>215</v>
      </c>
    </row>
    <row r="21309" spans="129:129" x14ac:dyDescent="0.2">
      <c r="DY21309" s="185" t="s">
        <v>215</v>
      </c>
    </row>
    <row r="21310" spans="129:129" x14ac:dyDescent="0.2">
      <c r="DY21310" s="185" t="s">
        <v>215</v>
      </c>
    </row>
    <row r="21311" spans="129:129" x14ac:dyDescent="0.2">
      <c r="DY21311" s="185" t="s">
        <v>215</v>
      </c>
    </row>
    <row r="21312" spans="129:129" x14ac:dyDescent="0.2">
      <c r="DY21312" s="185" t="s">
        <v>215</v>
      </c>
    </row>
    <row r="21313" spans="129:129" x14ac:dyDescent="0.2">
      <c r="DY21313" s="185" t="s">
        <v>215</v>
      </c>
    </row>
    <row r="21314" spans="129:129" x14ac:dyDescent="0.2">
      <c r="DY21314" s="185" t="s">
        <v>215</v>
      </c>
    </row>
    <row r="21315" spans="129:129" x14ac:dyDescent="0.2">
      <c r="DY21315" s="185" t="s">
        <v>215</v>
      </c>
    </row>
    <row r="21316" spans="129:129" x14ac:dyDescent="0.2">
      <c r="DY21316" s="185" t="s">
        <v>215</v>
      </c>
    </row>
    <row r="21317" spans="129:129" x14ac:dyDescent="0.2">
      <c r="DY21317" s="185" t="s">
        <v>215</v>
      </c>
    </row>
    <row r="21318" spans="129:129" x14ac:dyDescent="0.2">
      <c r="DY21318" s="185" t="s">
        <v>215</v>
      </c>
    </row>
    <row r="21319" spans="129:129" x14ac:dyDescent="0.2">
      <c r="DY21319" s="185" t="s">
        <v>215</v>
      </c>
    </row>
    <row r="21320" spans="129:129" x14ac:dyDescent="0.2">
      <c r="DY21320" s="185" t="s">
        <v>215</v>
      </c>
    </row>
    <row r="21321" spans="129:129" x14ac:dyDescent="0.2">
      <c r="DY21321" s="185" t="s">
        <v>215</v>
      </c>
    </row>
    <row r="21322" spans="129:129" x14ac:dyDescent="0.2">
      <c r="DY21322" s="185" t="s">
        <v>215</v>
      </c>
    </row>
    <row r="21323" spans="129:129" x14ac:dyDescent="0.2">
      <c r="DY21323" s="185" t="s">
        <v>215</v>
      </c>
    </row>
    <row r="21324" spans="129:129" x14ac:dyDescent="0.2">
      <c r="DY21324" s="185" t="s">
        <v>215</v>
      </c>
    </row>
    <row r="21325" spans="129:129" x14ac:dyDescent="0.2">
      <c r="DY21325" s="185" t="s">
        <v>215</v>
      </c>
    </row>
    <row r="21326" spans="129:129" x14ac:dyDescent="0.2">
      <c r="DY21326" s="185" t="s">
        <v>215</v>
      </c>
    </row>
    <row r="21327" spans="129:129" x14ac:dyDescent="0.2">
      <c r="DY21327" s="185" t="s">
        <v>215</v>
      </c>
    </row>
    <row r="21328" spans="129:129" x14ac:dyDescent="0.2">
      <c r="DY21328" s="185" t="s">
        <v>215</v>
      </c>
    </row>
    <row r="21329" spans="129:129" x14ac:dyDescent="0.2">
      <c r="DY21329" s="185" t="s">
        <v>215</v>
      </c>
    </row>
    <row r="21330" spans="129:129" x14ac:dyDescent="0.2">
      <c r="DY21330" s="185" t="s">
        <v>215</v>
      </c>
    </row>
    <row r="21331" spans="129:129" x14ac:dyDescent="0.2">
      <c r="DY21331" s="185" t="s">
        <v>215</v>
      </c>
    </row>
    <row r="21332" spans="129:129" x14ac:dyDescent="0.2">
      <c r="DY21332" s="185" t="s">
        <v>215</v>
      </c>
    </row>
    <row r="21333" spans="129:129" x14ac:dyDescent="0.2">
      <c r="DY21333" s="185" t="s">
        <v>215</v>
      </c>
    </row>
    <row r="21334" spans="129:129" x14ac:dyDescent="0.2">
      <c r="DY21334" s="185" t="s">
        <v>215</v>
      </c>
    </row>
    <row r="21335" spans="129:129" x14ac:dyDescent="0.2">
      <c r="DY21335" s="185" t="s">
        <v>215</v>
      </c>
    </row>
    <row r="21336" spans="129:129" x14ac:dyDescent="0.2">
      <c r="DY21336" s="185" t="s">
        <v>215</v>
      </c>
    </row>
    <row r="21337" spans="129:129" x14ac:dyDescent="0.2">
      <c r="DY21337" s="185" t="s">
        <v>215</v>
      </c>
    </row>
    <row r="21338" spans="129:129" x14ac:dyDescent="0.2">
      <c r="DY21338" s="185" t="s">
        <v>215</v>
      </c>
    </row>
    <row r="21339" spans="129:129" x14ac:dyDescent="0.2">
      <c r="DY21339" s="185" t="s">
        <v>215</v>
      </c>
    </row>
    <row r="21340" spans="129:129" x14ac:dyDescent="0.2">
      <c r="DY21340" s="185" t="s">
        <v>215</v>
      </c>
    </row>
    <row r="21341" spans="129:129" x14ac:dyDescent="0.2">
      <c r="DY21341" s="185" t="s">
        <v>215</v>
      </c>
    </row>
    <row r="21342" spans="129:129" x14ac:dyDescent="0.2">
      <c r="DY21342" s="185" t="s">
        <v>215</v>
      </c>
    </row>
    <row r="21343" spans="129:129" x14ac:dyDescent="0.2">
      <c r="DY21343" s="185" t="s">
        <v>215</v>
      </c>
    </row>
    <row r="21344" spans="129:129" x14ac:dyDescent="0.2">
      <c r="DY21344" s="185" t="s">
        <v>215</v>
      </c>
    </row>
    <row r="21345" spans="129:129" x14ac:dyDescent="0.2">
      <c r="DY21345" s="185" t="s">
        <v>215</v>
      </c>
    </row>
    <row r="21346" spans="129:129" x14ac:dyDescent="0.2">
      <c r="DY21346" s="185" t="s">
        <v>215</v>
      </c>
    </row>
    <row r="21347" spans="129:129" x14ac:dyDescent="0.2">
      <c r="DY21347" s="185" t="s">
        <v>215</v>
      </c>
    </row>
    <row r="21348" spans="129:129" x14ac:dyDescent="0.2">
      <c r="DY21348" s="185" t="s">
        <v>215</v>
      </c>
    </row>
    <row r="21349" spans="129:129" x14ac:dyDescent="0.2">
      <c r="DY21349" s="185" t="s">
        <v>215</v>
      </c>
    </row>
    <row r="21350" spans="129:129" x14ac:dyDescent="0.2">
      <c r="DY21350" s="185" t="s">
        <v>215</v>
      </c>
    </row>
    <row r="21351" spans="129:129" x14ac:dyDescent="0.2">
      <c r="DY21351" s="185" t="s">
        <v>215</v>
      </c>
    </row>
    <row r="21352" spans="129:129" x14ac:dyDescent="0.2">
      <c r="DY21352" s="185" t="s">
        <v>215</v>
      </c>
    </row>
    <row r="21353" spans="129:129" x14ac:dyDescent="0.2">
      <c r="DY21353" s="185" t="s">
        <v>215</v>
      </c>
    </row>
    <row r="21354" spans="129:129" x14ac:dyDescent="0.2">
      <c r="DY21354" s="185" t="s">
        <v>215</v>
      </c>
    </row>
    <row r="21355" spans="129:129" x14ac:dyDescent="0.2">
      <c r="DY21355" s="185" t="s">
        <v>215</v>
      </c>
    </row>
    <row r="21356" spans="129:129" x14ac:dyDescent="0.2">
      <c r="DY21356" s="185" t="s">
        <v>215</v>
      </c>
    </row>
    <row r="21357" spans="129:129" x14ac:dyDescent="0.2">
      <c r="DY21357" s="185" t="s">
        <v>215</v>
      </c>
    </row>
    <row r="21358" spans="129:129" x14ac:dyDescent="0.2">
      <c r="DY21358" s="185" t="s">
        <v>215</v>
      </c>
    </row>
    <row r="21359" spans="129:129" x14ac:dyDescent="0.2">
      <c r="DY21359" s="185" t="s">
        <v>215</v>
      </c>
    </row>
    <row r="21360" spans="129:129" x14ac:dyDescent="0.2">
      <c r="DY21360" s="185" t="s">
        <v>215</v>
      </c>
    </row>
    <row r="21361" spans="129:129" x14ac:dyDescent="0.2">
      <c r="DY21361" s="185" t="s">
        <v>215</v>
      </c>
    </row>
    <row r="21362" spans="129:129" x14ac:dyDescent="0.2">
      <c r="DY21362" s="185" t="s">
        <v>215</v>
      </c>
    </row>
    <row r="21363" spans="129:129" x14ac:dyDescent="0.2">
      <c r="DY21363" s="185" t="s">
        <v>215</v>
      </c>
    </row>
    <row r="21364" spans="129:129" x14ac:dyDescent="0.2">
      <c r="DY21364" s="185" t="s">
        <v>215</v>
      </c>
    </row>
    <row r="21365" spans="129:129" x14ac:dyDescent="0.2">
      <c r="DY21365" s="185" t="s">
        <v>215</v>
      </c>
    </row>
    <row r="21366" spans="129:129" x14ac:dyDescent="0.2">
      <c r="DY21366" s="185" t="s">
        <v>215</v>
      </c>
    </row>
    <row r="21367" spans="129:129" x14ac:dyDescent="0.2">
      <c r="DY21367" s="185" t="s">
        <v>215</v>
      </c>
    </row>
    <row r="21368" spans="129:129" x14ac:dyDescent="0.2">
      <c r="DY21368" s="185" t="s">
        <v>215</v>
      </c>
    </row>
    <row r="21369" spans="129:129" x14ac:dyDescent="0.2">
      <c r="DY21369" s="185" t="s">
        <v>215</v>
      </c>
    </row>
    <row r="21370" spans="129:129" x14ac:dyDescent="0.2">
      <c r="DY21370" s="185" t="s">
        <v>215</v>
      </c>
    </row>
    <row r="21371" spans="129:129" x14ac:dyDescent="0.2">
      <c r="DY21371" s="185" t="s">
        <v>215</v>
      </c>
    </row>
    <row r="21372" spans="129:129" x14ac:dyDescent="0.2">
      <c r="DY21372" s="185" t="s">
        <v>215</v>
      </c>
    </row>
    <row r="21373" spans="129:129" x14ac:dyDescent="0.2">
      <c r="DY21373" s="185" t="s">
        <v>215</v>
      </c>
    </row>
    <row r="21374" spans="129:129" x14ac:dyDescent="0.2">
      <c r="DY21374" s="185" t="s">
        <v>215</v>
      </c>
    </row>
    <row r="21375" spans="129:129" x14ac:dyDescent="0.2">
      <c r="DY21375" s="185" t="s">
        <v>215</v>
      </c>
    </row>
    <row r="21376" spans="129:129" x14ac:dyDescent="0.2">
      <c r="DY21376" s="185" t="s">
        <v>215</v>
      </c>
    </row>
    <row r="21377" spans="129:129" x14ac:dyDescent="0.2">
      <c r="DY21377" s="185" t="s">
        <v>215</v>
      </c>
    </row>
    <row r="21378" spans="129:129" x14ac:dyDescent="0.2">
      <c r="DY21378" s="185" t="s">
        <v>215</v>
      </c>
    </row>
    <row r="21379" spans="129:129" x14ac:dyDescent="0.2">
      <c r="DY21379" s="185" t="s">
        <v>215</v>
      </c>
    </row>
    <row r="21380" spans="129:129" x14ac:dyDescent="0.2">
      <c r="DY21380" s="185" t="s">
        <v>215</v>
      </c>
    </row>
    <row r="21381" spans="129:129" x14ac:dyDescent="0.2">
      <c r="DY21381" s="185" t="s">
        <v>215</v>
      </c>
    </row>
    <row r="21382" spans="129:129" x14ac:dyDescent="0.2">
      <c r="DY21382" s="185" t="s">
        <v>215</v>
      </c>
    </row>
    <row r="21383" spans="129:129" x14ac:dyDescent="0.2">
      <c r="DY21383" s="185" t="s">
        <v>215</v>
      </c>
    </row>
    <row r="21384" spans="129:129" x14ac:dyDescent="0.2">
      <c r="DY21384" s="185" t="s">
        <v>215</v>
      </c>
    </row>
    <row r="21385" spans="129:129" x14ac:dyDescent="0.2">
      <c r="DY21385" s="185" t="s">
        <v>215</v>
      </c>
    </row>
    <row r="21386" spans="129:129" x14ac:dyDescent="0.2">
      <c r="DY21386" s="185" t="s">
        <v>215</v>
      </c>
    </row>
    <row r="21387" spans="129:129" x14ac:dyDescent="0.2">
      <c r="DY21387" s="185" t="s">
        <v>215</v>
      </c>
    </row>
    <row r="21388" spans="129:129" x14ac:dyDescent="0.2">
      <c r="DY21388" s="185" t="s">
        <v>215</v>
      </c>
    </row>
    <row r="21389" spans="129:129" x14ac:dyDescent="0.2">
      <c r="DY21389" s="185" t="s">
        <v>215</v>
      </c>
    </row>
    <row r="21390" spans="129:129" x14ac:dyDescent="0.2">
      <c r="DY21390" s="185" t="s">
        <v>215</v>
      </c>
    </row>
    <row r="21391" spans="129:129" x14ac:dyDescent="0.2">
      <c r="DY21391" s="185" t="s">
        <v>215</v>
      </c>
    </row>
    <row r="21392" spans="129:129" x14ac:dyDescent="0.2">
      <c r="DY21392" s="185" t="s">
        <v>215</v>
      </c>
    </row>
    <row r="21393" spans="129:129" x14ac:dyDescent="0.2">
      <c r="DY21393" s="185" t="s">
        <v>215</v>
      </c>
    </row>
    <row r="21394" spans="129:129" x14ac:dyDescent="0.2">
      <c r="DY21394" s="185" t="s">
        <v>215</v>
      </c>
    </row>
    <row r="21395" spans="129:129" x14ac:dyDescent="0.2">
      <c r="DY21395" s="185" t="s">
        <v>215</v>
      </c>
    </row>
    <row r="21396" spans="129:129" x14ac:dyDescent="0.2">
      <c r="DY21396" s="185" t="s">
        <v>215</v>
      </c>
    </row>
    <row r="21397" spans="129:129" x14ac:dyDescent="0.2">
      <c r="DY21397" s="185" t="s">
        <v>215</v>
      </c>
    </row>
    <row r="21398" spans="129:129" x14ac:dyDescent="0.2">
      <c r="DY21398" s="185" t="s">
        <v>215</v>
      </c>
    </row>
    <row r="21399" spans="129:129" x14ac:dyDescent="0.2">
      <c r="DY21399" s="185" t="s">
        <v>215</v>
      </c>
    </row>
    <row r="21400" spans="129:129" x14ac:dyDescent="0.2">
      <c r="DY21400" s="185" t="s">
        <v>215</v>
      </c>
    </row>
    <row r="21401" spans="129:129" x14ac:dyDescent="0.2">
      <c r="DY21401" s="185" t="s">
        <v>215</v>
      </c>
    </row>
    <row r="21402" spans="129:129" x14ac:dyDescent="0.2">
      <c r="DY21402" s="185" t="s">
        <v>215</v>
      </c>
    </row>
    <row r="21403" spans="129:129" x14ac:dyDescent="0.2">
      <c r="DY21403" s="185" t="s">
        <v>215</v>
      </c>
    </row>
    <row r="21404" spans="129:129" x14ac:dyDescent="0.2">
      <c r="DY21404" s="185" t="s">
        <v>215</v>
      </c>
    </row>
    <row r="21405" spans="129:129" x14ac:dyDescent="0.2">
      <c r="DY21405" s="185" t="s">
        <v>215</v>
      </c>
    </row>
    <row r="21406" spans="129:129" x14ac:dyDescent="0.2">
      <c r="DY21406" s="185" t="s">
        <v>215</v>
      </c>
    </row>
    <row r="21407" spans="129:129" x14ac:dyDescent="0.2">
      <c r="DY21407" s="185" t="s">
        <v>215</v>
      </c>
    </row>
    <row r="21408" spans="129:129" x14ac:dyDescent="0.2">
      <c r="DY21408" s="185" t="s">
        <v>215</v>
      </c>
    </row>
    <row r="21409" spans="129:129" x14ac:dyDescent="0.2">
      <c r="DY21409" s="185" t="s">
        <v>215</v>
      </c>
    </row>
    <row r="21410" spans="129:129" x14ac:dyDescent="0.2">
      <c r="DY21410" s="185" t="s">
        <v>215</v>
      </c>
    </row>
    <row r="21411" spans="129:129" x14ac:dyDescent="0.2">
      <c r="DY21411" s="185" t="s">
        <v>215</v>
      </c>
    </row>
    <row r="21412" spans="129:129" x14ac:dyDescent="0.2">
      <c r="DY21412" s="185" t="s">
        <v>215</v>
      </c>
    </row>
    <row r="21413" spans="129:129" x14ac:dyDescent="0.2">
      <c r="DY21413" s="185" t="s">
        <v>215</v>
      </c>
    </row>
    <row r="21414" spans="129:129" x14ac:dyDescent="0.2">
      <c r="DY21414" s="185" t="s">
        <v>215</v>
      </c>
    </row>
    <row r="21415" spans="129:129" x14ac:dyDescent="0.2">
      <c r="DY21415" s="185" t="s">
        <v>215</v>
      </c>
    </row>
    <row r="21416" spans="129:129" x14ac:dyDescent="0.2">
      <c r="DY21416" s="185" t="s">
        <v>215</v>
      </c>
    </row>
    <row r="21417" spans="129:129" x14ac:dyDescent="0.2">
      <c r="DY21417" s="185" t="s">
        <v>215</v>
      </c>
    </row>
    <row r="21418" spans="129:129" x14ac:dyDescent="0.2">
      <c r="DY21418" s="185" t="s">
        <v>215</v>
      </c>
    </row>
    <row r="21419" spans="129:129" x14ac:dyDescent="0.2">
      <c r="DY21419" s="185" t="s">
        <v>215</v>
      </c>
    </row>
    <row r="21420" spans="129:129" x14ac:dyDescent="0.2">
      <c r="DY21420" s="185" t="s">
        <v>215</v>
      </c>
    </row>
    <row r="21421" spans="129:129" x14ac:dyDescent="0.2">
      <c r="DY21421" s="185" t="s">
        <v>215</v>
      </c>
    </row>
    <row r="21422" spans="129:129" x14ac:dyDescent="0.2">
      <c r="DY21422" s="185" t="s">
        <v>215</v>
      </c>
    </row>
    <row r="21423" spans="129:129" x14ac:dyDescent="0.2">
      <c r="DY21423" s="185" t="s">
        <v>215</v>
      </c>
    </row>
    <row r="21424" spans="129:129" x14ac:dyDescent="0.2">
      <c r="DY21424" s="185" t="s">
        <v>215</v>
      </c>
    </row>
    <row r="21425" spans="129:129" x14ac:dyDescent="0.2">
      <c r="DY21425" s="185" t="s">
        <v>215</v>
      </c>
    </row>
    <row r="21426" spans="129:129" x14ac:dyDescent="0.2">
      <c r="DY21426" s="185" t="s">
        <v>215</v>
      </c>
    </row>
    <row r="21427" spans="129:129" x14ac:dyDescent="0.2">
      <c r="DY21427" s="185" t="s">
        <v>215</v>
      </c>
    </row>
    <row r="21428" spans="129:129" x14ac:dyDescent="0.2">
      <c r="DY21428" s="185" t="s">
        <v>215</v>
      </c>
    </row>
    <row r="21429" spans="129:129" x14ac:dyDescent="0.2">
      <c r="DY21429" s="185" t="s">
        <v>215</v>
      </c>
    </row>
    <row r="21430" spans="129:129" x14ac:dyDescent="0.2">
      <c r="DY21430" s="185" t="s">
        <v>215</v>
      </c>
    </row>
    <row r="21431" spans="129:129" x14ac:dyDescent="0.2">
      <c r="DY21431" s="185" t="s">
        <v>215</v>
      </c>
    </row>
    <row r="21432" spans="129:129" x14ac:dyDescent="0.2">
      <c r="DY21432" s="185" t="s">
        <v>215</v>
      </c>
    </row>
    <row r="21433" spans="129:129" x14ac:dyDescent="0.2">
      <c r="DY21433" s="185" t="s">
        <v>215</v>
      </c>
    </row>
    <row r="21434" spans="129:129" x14ac:dyDescent="0.2">
      <c r="DY21434" s="185" t="s">
        <v>215</v>
      </c>
    </row>
    <row r="21435" spans="129:129" x14ac:dyDescent="0.2">
      <c r="DY21435" s="185" t="s">
        <v>215</v>
      </c>
    </row>
    <row r="21436" spans="129:129" x14ac:dyDescent="0.2">
      <c r="DY21436" s="185" t="s">
        <v>215</v>
      </c>
    </row>
    <row r="21437" spans="129:129" x14ac:dyDescent="0.2">
      <c r="DY21437" s="185" t="s">
        <v>215</v>
      </c>
    </row>
    <row r="21438" spans="129:129" x14ac:dyDescent="0.2">
      <c r="DY21438" s="185" t="s">
        <v>215</v>
      </c>
    </row>
    <row r="21439" spans="129:129" x14ac:dyDescent="0.2">
      <c r="DY21439" s="185" t="s">
        <v>215</v>
      </c>
    </row>
    <row r="21440" spans="129:129" x14ac:dyDescent="0.2">
      <c r="DY21440" s="185" t="s">
        <v>215</v>
      </c>
    </row>
    <row r="21441" spans="129:129" x14ac:dyDescent="0.2">
      <c r="DY21441" s="185" t="s">
        <v>215</v>
      </c>
    </row>
    <row r="21442" spans="129:129" x14ac:dyDescent="0.2">
      <c r="DY21442" s="185" t="s">
        <v>215</v>
      </c>
    </row>
    <row r="21443" spans="129:129" x14ac:dyDescent="0.2">
      <c r="DY21443" s="185" t="s">
        <v>215</v>
      </c>
    </row>
    <row r="21444" spans="129:129" x14ac:dyDescent="0.2">
      <c r="DY21444" s="185" t="s">
        <v>215</v>
      </c>
    </row>
    <row r="21445" spans="129:129" x14ac:dyDescent="0.2">
      <c r="DY21445" s="185" t="s">
        <v>215</v>
      </c>
    </row>
    <row r="21446" spans="129:129" x14ac:dyDescent="0.2">
      <c r="DY21446" s="185" t="s">
        <v>215</v>
      </c>
    </row>
    <row r="21447" spans="129:129" x14ac:dyDescent="0.2">
      <c r="DY21447" s="185" t="s">
        <v>215</v>
      </c>
    </row>
    <row r="21448" spans="129:129" x14ac:dyDescent="0.2">
      <c r="DY21448" s="185" t="s">
        <v>215</v>
      </c>
    </row>
    <row r="21449" spans="129:129" x14ac:dyDescent="0.2">
      <c r="DY21449" s="185" t="s">
        <v>215</v>
      </c>
    </row>
    <row r="21450" spans="129:129" x14ac:dyDescent="0.2">
      <c r="DY21450" s="185" t="s">
        <v>215</v>
      </c>
    </row>
    <row r="21451" spans="129:129" x14ac:dyDescent="0.2">
      <c r="DY21451" s="185" t="s">
        <v>215</v>
      </c>
    </row>
    <row r="21452" spans="129:129" x14ac:dyDescent="0.2">
      <c r="DY21452" s="185" t="s">
        <v>215</v>
      </c>
    </row>
    <row r="21453" spans="129:129" x14ac:dyDescent="0.2">
      <c r="DY21453" s="185" t="s">
        <v>215</v>
      </c>
    </row>
    <row r="21454" spans="129:129" x14ac:dyDescent="0.2">
      <c r="DY21454" s="185" t="s">
        <v>215</v>
      </c>
    </row>
    <row r="21455" spans="129:129" x14ac:dyDescent="0.2">
      <c r="DY21455" s="185" t="s">
        <v>215</v>
      </c>
    </row>
    <row r="21456" spans="129:129" x14ac:dyDescent="0.2">
      <c r="DY21456" s="185" t="s">
        <v>215</v>
      </c>
    </row>
    <row r="21457" spans="129:129" x14ac:dyDescent="0.2">
      <c r="DY21457" s="185" t="s">
        <v>215</v>
      </c>
    </row>
    <row r="21458" spans="129:129" x14ac:dyDescent="0.2">
      <c r="DY21458" s="185" t="s">
        <v>215</v>
      </c>
    </row>
    <row r="21459" spans="129:129" x14ac:dyDescent="0.2">
      <c r="DY21459" s="185" t="s">
        <v>215</v>
      </c>
    </row>
    <row r="21460" spans="129:129" x14ac:dyDescent="0.2">
      <c r="DY21460" s="185" t="s">
        <v>215</v>
      </c>
    </row>
    <row r="21461" spans="129:129" x14ac:dyDescent="0.2">
      <c r="DY21461" s="185" t="s">
        <v>215</v>
      </c>
    </row>
    <row r="21462" spans="129:129" x14ac:dyDescent="0.2">
      <c r="DY21462" s="185" t="s">
        <v>215</v>
      </c>
    </row>
    <row r="21463" spans="129:129" x14ac:dyDescent="0.2">
      <c r="DY21463" s="185" t="s">
        <v>215</v>
      </c>
    </row>
    <row r="21464" spans="129:129" x14ac:dyDescent="0.2">
      <c r="DY21464" s="185" t="s">
        <v>215</v>
      </c>
    </row>
    <row r="21465" spans="129:129" x14ac:dyDescent="0.2">
      <c r="DY21465" s="185" t="s">
        <v>215</v>
      </c>
    </row>
    <row r="21466" spans="129:129" x14ac:dyDescent="0.2">
      <c r="DY21466" s="185" t="s">
        <v>215</v>
      </c>
    </row>
    <row r="21467" spans="129:129" x14ac:dyDescent="0.2">
      <c r="DY21467" s="185" t="s">
        <v>215</v>
      </c>
    </row>
    <row r="21468" spans="129:129" x14ac:dyDescent="0.2">
      <c r="DY21468" s="185" t="s">
        <v>215</v>
      </c>
    </row>
    <row r="21469" spans="129:129" x14ac:dyDescent="0.2">
      <c r="DY21469" s="185" t="s">
        <v>215</v>
      </c>
    </row>
    <row r="21470" spans="129:129" x14ac:dyDescent="0.2">
      <c r="DY21470" s="185" t="s">
        <v>215</v>
      </c>
    </row>
    <row r="21471" spans="129:129" x14ac:dyDescent="0.2">
      <c r="DY21471" s="185" t="s">
        <v>215</v>
      </c>
    </row>
    <row r="21472" spans="129:129" x14ac:dyDescent="0.2">
      <c r="DY21472" s="185" t="s">
        <v>215</v>
      </c>
    </row>
    <row r="21473" spans="129:129" x14ac:dyDescent="0.2">
      <c r="DY21473" s="185" t="s">
        <v>215</v>
      </c>
    </row>
    <row r="21474" spans="129:129" x14ac:dyDescent="0.2">
      <c r="DY21474" s="185" t="s">
        <v>215</v>
      </c>
    </row>
    <row r="21475" spans="129:129" x14ac:dyDescent="0.2">
      <c r="DY21475" s="185" t="s">
        <v>215</v>
      </c>
    </row>
    <row r="21476" spans="129:129" x14ac:dyDescent="0.2">
      <c r="DY21476" s="185" t="s">
        <v>215</v>
      </c>
    </row>
    <row r="21477" spans="129:129" x14ac:dyDescent="0.2">
      <c r="DY21477" s="185" t="s">
        <v>215</v>
      </c>
    </row>
    <row r="21478" spans="129:129" x14ac:dyDescent="0.2">
      <c r="DY21478" s="185" t="s">
        <v>215</v>
      </c>
    </row>
    <row r="21479" spans="129:129" x14ac:dyDescent="0.2">
      <c r="DY21479" s="185" t="s">
        <v>215</v>
      </c>
    </row>
    <row r="21480" spans="129:129" x14ac:dyDescent="0.2">
      <c r="DY21480" s="185" t="s">
        <v>215</v>
      </c>
    </row>
    <row r="21481" spans="129:129" x14ac:dyDescent="0.2">
      <c r="DY21481" s="185" t="s">
        <v>215</v>
      </c>
    </row>
    <row r="21482" spans="129:129" x14ac:dyDescent="0.2">
      <c r="DY21482" s="185" t="s">
        <v>215</v>
      </c>
    </row>
    <row r="21483" spans="129:129" x14ac:dyDescent="0.2">
      <c r="DY21483" s="185" t="s">
        <v>215</v>
      </c>
    </row>
    <row r="21484" spans="129:129" x14ac:dyDescent="0.2">
      <c r="DY21484" s="185" t="s">
        <v>215</v>
      </c>
    </row>
    <row r="21485" spans="129:129" x14ac:dyDescent="0.2">
      <c r="DY21485" s="185" t="s">
        <v>215</v>
      </c>
    </row>
    <row r="21486" spans="129:129" x14ac:dyDescent="0.2">
      <c r="DY21486" s="185" t="s">
        <v>215</v>
      </c>
    </row>
    <row r="21487" spans="129:129" x14ac:dyDescent="0.2">
      <c r="DY21487" s="185" t="s">
        <v>215</v>
      </c>
    </row>
    <row r="21488" spans="129:129" x14ac:dyDescent="0.2">
      <c r="DY21488" s="185" t="s">
        <v>215</v>
      </c>
    </row>
    <row r="21489" spans="129:129" x14ac:dyDescent="0.2">
      <c r="DY21489" s="185" t="s">
        <v>215</v>
      </c>
    </row>
    <row r="21490" spans="129:129" x14ac:dyDescent="0.2">
      <c r="DY21490" s="185" t="s">
        <v>215</v>
      </c>
    </row>
    <row r="21491" spans="129:129" x14ac:dyDescent="0.2">
      <c r="DY21491" s="185" t="s">
        <v>215</v>
      </c>
    </row>
    <row r="21492" spans="129:129" x14ac:dyDescent="0.2">
      <c r="DY21492" s="185" t="s">
        <v>215</v>
      </c>
    </row>
    <row r="21493" spans="129:129" x14ac:dyDescent="0.2">
      <c r="DY21493" s="185" t="s">
        <v>215</v>
      </c>
    </row>
    <row r="21494" spans="129:129" x14ac:dyDescent="0.2">
      <c r="DY21494" s="185" t="s">
        <v>215</v>
      </c>
    </row>
    <row r="21495" spans="129:129" x14ac:dyDescent="0.2">
      <c r="DY21495" s="185" t="s">
        <v>215</v>
      </c>
    </row>
    <row r="21496" spans="129:129" x14ac:dyDescent="0.2">
      <c r="DY21496" s="185" t="s">
        <v>215</v>
      </c>
    </row>
    <row r="21497" spans="129:129" x14ac:dyDescent="0.2">
      <c r="DY21497" s="185" t="s">
        <v>215</v>
      </c>
    </row>
    <row r="21498" spans="129:129" x14ac:dyDescent="0.2">
      <c r="DY21498" s="185" t="s">
        <v>215</v>
      </c>
    </row>
    <row r="21499" spans="129:129" x14ac:dyDescent="0.2">
      <c r="DY21499" s="185" t="s">
        <v>215</v>
      </c>
    </row>
    <row r="21500" spans="129:129" x14ac:dyDescent="0.2">
      <c r="DY21500" s="185" t="s">
        <v>215</v>
      </c>
    </row>
    <row r="21501" spans="129:129" x14ac:dyDescent="0.2">
      <c r="DY21501" s="185" t="s">
        <v>215</v>
      </c>
    </row>
    <row r="21502" spans="129:129" x14ac:dyDescent="0.2">
      <c r="DY21502" s="185" t="s">
        <v>215</v>
      </c>
    </row>
    <row r="21503" spans="129:129" x14ac:dyDescent="0.2">
      <c r="DY21503" s="185" t="s">
        <v>215</v>
      </c>
    </row>
    <row r="21504" spans="129:129" x14ac:dyDescent="0.2">
      <c r="DY21504" s="185" t="s">
        <v>215</v>
      </c>
    </row>
    <row r="21505" spans="129:129" x14ac:dyDescent="0.2">
      <c r="DY21505" s="185" t="s">
        <v>215</v>
      </c>
    </row>
    <row r="21506" spans="129:129" x14ac:dyDescent="0.2">
      <c r="DY21506" s="185" t="s">
        <v>215</v>
      </c>
    </row>
    <row r="21507" spans="129:129" x14ac:dyDescent="0.2">
      <c r="DY21507" s="185" t="s">
        <v>215</v>
      </c>
    </row>
    <row r="21508" spans="129:129" x14ac:dyDescent="0.2">
      <c r="DY21508" s="185" t="s">
        <v>215</v>
      </c>
    </row>
    <row r="21509" spans="129:129" x14ac:dyDescent="0.2">
      <c r="DY21509" s="185" t="s">
        <v>215</v>
      </c>
    </row>
    <row r="21510" spans="129:129" x14ac:dyDescent="0.2">
      <c r="DY21510" s="185" t="s">
        <v>215</v>
      </c>
    </row>
    <row r="21511" spans="129:129" x14ac:dyDescent="0.2">
      <c r="DY21511" s="185" t="s">
        <v>215</v>
      </c>
    </row>
    <row r="21512" spans="129:129" x14ac:dyDescent="0.2">
      <c r="DY21512" s="185" t="s">
        <v>215</v>
      </c>
    </row>
    <row r="21513" spans="129:129" x14ac:dyDescent="0.2">
      <c r="DY21513" s="185" t="s">
        <v>215</v>
      </c>
    </row>
    <row r="21514" spans="129:129" x14ac:dyDescent="0.2">
      <c r="DY21514" s="185" t="s">
        <v>215</v>
      </c>
    </row>
    <row r="21515" spans="129:129" x14ac:dyDescent="0.2">
      <c r="DY21515" s="185" t="s">
        <v>215</v>
      </c>
    </row>
    <row r="21516" spans="129:129" x14ac:dyDescent="0.2">
      <c r="DY21516" s="185" t="s">
        <v>215</v>
      </c>
    </row>
    <row r="21517" spans="129:129" x14ac:dyDescent="0.2">
      <c r="DY21517" s="185" t="s">
        <v>215</v>
      </c>
    </row>
    <row r="21518" spans="129:129" x14ac:dyDescent="0.2">
      <c r="DY21518" s="185" t="s">
        <v>215</v>
      </c>
    </row>
    <row r="21519" spans="129:129" x14ac:dyDescent="0.2">
      <c r="DY21519" s="185" t="s">
        <v>215</v>
      </c>
    </row>
    <row r="21520" spans="129:129" x14ac:dyDescent="0.2">
      <c r="DY21520" s="185" t="s">
        <v>215</v>
      </c>
    </row>
    <row r="21521" spans="129:129" x14ac:dyDescent="0.2">
      <c r="DY21521" s="185" t="s">
        <v>215</v>
      </c>
    </row>
    <row r="21522" spans="129:129" x14ac:dyDescent="0.2">
      <c r="DY21522" s="185" t="s">
        <v>215</v>
      </c>
    </row>
    <row r="21523" spans="129:129" x14ac:dyDescent="0.2">
      <c r="DY21523" s="185" t="s">
        <v>215</v>
      </c>
    </row>
    <row r="21524" spans="129:129" x14ac:dyDescent="0.2">
      <c r="DY21524" s="185" t="s">
        <v>215</v>
      </c>
    </row>
    <row r="21525" spans="129:129" x14ac:dyDescent="0.2">
      <c r="DY21525" s="185" t="s">
        <v>215</v>
      </c>
    </row>
    <row r="21526" spans="129:129" x14ac:dyDescent="0.2">
      <c r="DY21526" s="185" t="s">
        <v>215</v>
      </c>
    </row>
    <row r="21527" spans="129:129" x14ac:dyDescent="0.2">
      <c r="DY21527" s="185" t="s">
        <v>215</v>
      </c>
    </row>
    <row r="21528" spans="129:129" x14ac:dyDescent="0.2">
      <c r="DY21528" s="185" t="s">
        <v>215</v>
      </c>
    </row>
    <row r="21529" spans="129:129" x14ac:dyDescent="0.2">
      <c r="DY21529" s="185" t="s">
        <v>215</v>
      </c>
    </row>
    <row r="21530" spans="129:129" x14ac:dyDescent="0.2">
      <c r="DY21530" s="185" t="s">
        <v>215</v>
      </c>
    </row>
    <row r="21531" spans="129:129" x14ac:dyDescent="0.2">
      <c r="DY21531" s="185" t="s">
        <v>215</v>
      </c>
    </row>
    <row r="21532" spans="129:129" x14ac:dyDescent="0.2">
      <c r="DY21532" s="185" t="s">
        <v>215</v>
      </c>
    </row>
    <row r="21533" spans="129:129" x14ac:dyDescent="0.2">
      <c r="DY21533" s="185" t="s">
        <v>215</v>
      </c>
    </row>
    <row r="21534" spans="129:129" x14ac:dyDescent="0.2">
      <c r="DY21534" s="185" t="s">
        <v>215</v>
      </c>
    </row>
    <row r="21535" spans="129:129" x14ac:dyDescent="0.2">
      <c r="DY21535" s="185" t="s">
        <v>215</v>
      </c>
    </row>
    <row r="21536" spans="129:129" x14ac:dyDescent="0.2">
      <c r="DY21536" s="185" t="s">
        <v>215</v>
      </c>
    </row>
    <row r="21537" spans="129:129" x14ac:dyDescent="0.2">
      <c r="DY21537" s="185" t="s">
        <v>215</v>
      </c>
    </row>
    <row r="21538" spans="129:129" x14ac:dyDescent="0.2">
      <c r="DY21538" s="185" t="s">
        <v>215</v>
      </c>
    </row>
    <row r="21539" spans="129:129" x14ac:dyDescent="0.2">
      <c r="DY21539" s="185" t="s">
        <v>215</v>
      </c>
    </row>
    <row r="21540" spans="129:129" x14ac:dyDescent="0.2">
      <c r="DY21540" s="185" t="s">
        <v>215</v>
      </c>
    </row>
    <row r="21541" spans="129:129" x14ac:dyDescent="0.2">
      <c r="DY21541" s="185" t="s">
        <v>215</v>
      </c>
    </row>
    <row r="21542" spans="129:129" x14ac:dyDescent="0.2">
      <c r="DY21542" s="185" t="s">
        <v>215</v>
      </c>
    </row>
    <row r="21543" spans="129:129" x14ac:dyDescent="0.2">
      <c r="DY21543" s="185" t="s">
        <v>215</v>
      </c>
    </row>
    <row r="21544" spans="129:129" x14ac:dyDescent="0.2">
      <c r="DY21544" s="185" t="s">
        <v>215</v>
      </c>
    </row>
    <row r="21545" spans="129:129" x14ac:dyDescent="0.2">
      <c r="DY21545" s="185" t="s">
        <v>215</v>
      </c>
    </row>
    <row r="21546" spans="129:129" x14ac:dyDescent="0.2">
      <c r="DY21546" s="185" t="s">
        <v>215</v>
      </c>
    </row>
    <row r="21547" spans="129:129" x14ac:dyDescent="0.2">
      <c r="DY21547" s="185" t="s">
        <v>215</v>
      </c>
    </row>
    <row r="21548" spans="129:129" x14ac:dyDescent="0.2">
      <c r="DY21548" s="185" t="s">
        <v>215</v>
      </c>
    </row>
    <row r="21549" spans="129:129" x14ac:dyDescent="0.2">
      <c r="DY21549" s="185" t="s">
        <v>215</v>
      </c>
    </row>
    <row r="21550" spans="129:129" x14ac:dyDescent="0.2">
      <c r="DY21550" s="185" t="s">
        <v>215</v>
      </c>
    </row>
    <row r="21551" spans="129:129" x14ac:dyDescent="0.2">
      <c r="DY21551" s="185" t="s">
        <v>215</v>
      </c>
    </row>
    <row r="21552" spans="129:129" x14ac:dyDescent="0.2">
      <c r="DY21552" s="185" t="s">
        <v>215</v>
      </c>
    </row>
    <row r="21553" spans="129:129" x14ac:dyDescent="0.2">
      <c r="DY21553" s="185" t="s">
        <v>215</v>
      </c>
    </row>
    <row r="21554" spans="129:129" x14ac:dyDescent="0.2">
      <c r="DY21554" s="185" t="s">
        <v>215</v>
      </c>
    </row>
    <row r="21555" spans="129:129" x14ac:dyDescent="0.2">
      <c r="DY21555" s="185" t="s">
        <v>215</v>
      </c>
    </row>
    <row r="21556" spans="129:129" x14ac:dyDescent="0.2">
      <c r="DY21556" s="185" t="s">
        <v>215</v>
      </c>
    </row>
    <row r="21557" spans="129:129" x14ac:dyDescent="0.2">
      <c r="DY21557" s="185" t="s">
        <v>215</v>
      </c>
    </row>
    <row r="21558" spans="129:129" x14ac:dyDescent="0.2">
      <c r="DY21558" s="185" t="s">
        <v>215</v>
      </c>
    </row>
    <row r="21559" spans="129:129" x14ac:dyDescent="0.2">
      <c r="DY21559" s="185" t="s">
        <v>215</v>
      </c>
    </row>
    <row r="21560" spans="129:129" x14ac:dyDescent="0.2">
      <c r="DY21560" s="185" t="s">
        <v>215</v>
      </c>
    </row>
    <row r="21561" spans="129:129" x14ac:dyDescent="0.2">
      <c r="DY21561" s="185" t="s">
        <v>215</v>
      </c>
    </row>
    <row r="21562" spans="129:129" x14ac:dyDescent="0.2">
      <c r="DY21562" s="185" t="s">
        <v>215</v>
      </c>
    </row>
    <row r="21563" spans="129:129" x14ac:dyDescent="0.2">
      <c r="DY21563" s="185" t="s">
        <v>215</v>
      </c>
    </row>
    <row r="21564" spans="129:129" x14ac:dyDescent="0.2">
      <c r="DY21564" s="185" t="s">
        <v>215</v>
      </c>
    </row>
    <row r="21565" spans="129:129" x14ac:dyDescent="0.2">
      <c r="DY21565" s="185" t="s">
        <v>215</v>
      </c>
    </row>
    <row r="21566" spans="129:129" x14ac:dyDescent="0.2">
      <c r="DY21566" s="185" t="s">
        <v>215</v>
      </c>
    </row>
    <row r="21567" spans="129:129" x14ac:dyDescent="0.2">
      <c r="DY21567" s="185" t="s">
        <v>215</v>
      </c>
    </row>
    <row r="21568" spans="129:129" x14ac:dyDescent="0.2">
      <c r="DY21568" s="185" t="s">
        <v>215</v>
      </c>
    </row>
    <row r="21569" spans="129:129" x14ac:dyDescent="0.2">
      <c r="DY21569" s="185" t="s">
        <v>215</v>
      </c>
    </row>
    <row r="21570" spans="129:129" x14ac:dyDescent="0.2">
      <c r="DY21570" s="185" t="s">
        <v>215</v>
      </c>
    </row>
    <row r="21571" spans="129:129" x14ac:dyDescent="0.2">
      <c r="DY21571" s="185" t="s">
        <v>215</v>
      </c>
    </row>
    <row r="21572" spans="129:129" x14ac:dyDescent="0.2">
      <c r="DY21572" s="185" t="s">
        <v>215</v>
      </c>
    </row>
    <row r="21573" spans="129:129" x14ac:dyDescent="0.2">
      <c r="DY21573" s="185" t="s">
        <v>215</v>
      </c>
    </row>
    <row r="21574" spans="129:129" x14ac:dyDescent="0.2">
      <c r="DY21574" s="185" t="s">
        <v>215</v>
      </c>
    </row>
    <row r="21575" spans="129:129" x14ac:dyDescent="0.2">
      <c r="DY21575" s="185" t="s">
        <v>215</v>
      </c>
    </row>
    <row r="21576" spans="129:129" x14ac:dyDescent="0.2">
      <c r="DY21576" s="185" t="s">
        <v>215</v>
      </c>
    </row>
    <row r="21577" spans="129:129" x14ac:dyDescent="0.2">
      <c r="DY21577" s="185" t="s">
        <v>215</v>
      </c>
    </row>
    <row r="21578" spans="129:129" x14ac:dyDescent="0.2">
      <c r="DY21578" s="185" t="s">
        <v>215</v>
      </c>
    </row>
    <row r="21579" spans="129:129" x14ac:dyDescent="0.2">
      <c r="DY21579" s="185" t="s">
        <v>215</v>
      </c>
    </row>
    <row r="21580" spans="129:129" x14ac:dyDescent="0.2">
      <c r="DY21580" s="185" t="s">
        <v>215</v>
      </c>
    </row>
    <row r="21581" spans="129:129" x14ac:dyDescent="0.2">
      <c r="DY21581" s="185" t="s">
        <v>215</v>
      </c>
    </row>
    <row r="21582" spans="129:129" x14ac:dyDescent="0.2">
      <c r="DY21582" s="185" t="s">
        <v>215</v>
      </c>
    </row>
    <row r="21583" spans="129:129" x14ac:dyDescent="0.2">
      <c r="DY21583" s="185" t="s">
        <v>215</v>
      </c>
    </row>
    <row r="21584" spans="129:129" x14ac:dyDescent="0.2">
      <c r="DY21584" s="185" t="s">
        <v>215</v>
      </c>
    </row>
    <row r="21585" spans="129:129" x14ac:dyDescent="0.2">
      <c r="DY21585" s="185" t="s">
        <v>215</v>
      </c>
    </row>
    <row r="21586" spans="129:129" x14ac:dyDescent="0.2">
      <c r="DY21586" s="185" t="s">
        <v>215</v>
      </c>
    </row>
    <row r="21587" spans="129:129" x14ac:dyDescent="0.2">
      <c r="DY21587" s="185" t="s">
        <v>215</v>
      </c>
    </row>
    <row r="21588" spans="129:129" x14ac:dyDescent="0.2">
      <c r="DY21588" s="185" t="s">
        <v>215</v>
      </c>
    </row>
    <row r="21589" spans="129:129" x14ac:dyDescent="0.2">
      <c r="DY21589" s="185" t="s">
        <v>215</v>
      </c>
    </row>
    <row r="21590" spans="129:129" x14ac:dyDescent="0.2">
      <c r="DY21590" s="185" t="s">
        <v>215</v>
      </c>
    </row>
    <row r="21591" spans="129:129" x14ac:dyDescent="0.2">
      <c r="DY21591" s="185" t="s">
        <v>215</v>
      </c>
    </row>
    <row r="21592" spans="129:129" x14ac:dyDescent="0.2">
      <c r="DY21592" s="185" t="s">
        <v>215</v>
      </c>
    </row>
    <row r="21593" spans="129:129" x14ac:dyDescent="0.2">
      <c r="DY21593" s="185" t="s">
        <v>215</v>
      </c>
    </row>
    <row r="21594" spans="129:129" x14ac:dyDescent="0.2">
      <c r="DY21594" s="185" t="s">
        <v>215</v>
      </c>
    </row>
    <row r="21595" spans="129:129" x14ac:dyDescent="0.2">
      <c r="DY21595" s="185" t="s">
        <v>215</v>
      </c>
    </row>
    <row r="21596" spans="129:129" x14ac:dyDescent="0.2">
      <c r="DY21596" s="185" t="s">
        <v>215</v>
      </c>
    </row>
    <row r="21597" spans="129:129" x14ac:dyDescent="0.2">
      <c r="DY21597" s="185" t="s">
        <v>215</v>
      </c>
    </row>
    <row r="21598" spans="129:129" x14ac:dyDescent="0.2">
      <c r="DY21598" s="185" t="s">
        <v>215</v>
      </c>
    </row>
    <row r="21599" spans="129:129" x14ac:dyDescent="0.2">
      <c r="DY21599" s="185" t="s">
        <v>215</v>
      </c>
    </row>
    <row r="21600" spans="129:129" x14ac:dyDescent="0.2">
      <c r="DY21600" s="185" t="s">
        <v>215</v>
      </c>
    </row>
    <row r="21601" spans="129:129" x14ac:dyDescent="0.2">
      <c r="DY21601" s="185" t="s">
        <v>215</v>
      </c>
    </row>
    <row r="21602" spans="129:129" x14ac:dyDescent="0.2">
      <c r="DY21602" s="185" t="s">
        <v>215</v>
      </c>
    </row>
    <row r="21603" spans="129:129" x14ac:dyDescent="0.2">
      <c r="DY21603" s="185" t="s">
        <v>215</v>
      </c>
    </row>
    <row r="21604" spans="129:129" x14ac:dyDescent="0.2">
      <c r="DY21604" s="185" t="s">
        <v>215</v>
      </c>
    </row>
    <row r="21605" spans="129:129" x14ac:dyDescent="0.2">
      <c r="DY21605" s="185" t="s">
        <v>215</v>
      </c>
    </row>
    <row r="21606" spans="129:129" x14ac:dyDescent="0.2">
      <c r="DY21606" s="185" t="s">
        <v>215</v>
      </c>
    </row>
    <row r="21607" spans="129:129" x14ac:dyDescent="0.2">
      <c r="DY21607" s="185" t="s">
        <v>215</v>
      </c>
    </row>
    <row r="21608" spans="129:129" x14ac:dyDescent="0.2">
      <c r="DY21608" s="185" t="s">
        <v>215</v>
      </c>
    </row>
    <row r="21609" spans="129:129" x14ac:dyDescent="0.2">
      <c r="DY21609" s="185" t="s">
        <v>215</v>
      </c>
    </row>
    <row r="21610" spans="129:129" x14ac:dyDescent="0.2">
      <c r="DY21610" s="185" t="s">
        <v>215</v>
      </c>
    </row>
    <row r="21611" spans="129:129" x14ac:dyDescent="0.2">
      <c r="DY21611" s="185" t="s">
        <v>215</v>
      </c>
    </row>
    <row r="21612" spans="129:129" x14ac:dyDescent="0.2">
      <c r="DY21612" s="185" t="s">
        <v>215</v>
      </c>
    </row>
    <row r="21613" spans="129:129" x14ac:dyDescent="0.2">
      <c r="DY21613" s="185" t="s">
        <v>215</v>
      </c>
    </row>
    <row r="21614" spans="129:129" x14ac:dyDescent="0.2">
      <c r="DY21614" s="185" t="s">
        <v>215</v>
      </c>
    </row>
    <row r="21615" spans="129:129" x14ac:dyDescent="0.2">
      <c r="DY21615" s="185" t="s">
        <v>215</v>
      </c>
    </row>
    <row r="21616" spans="129:129" x14ac:dyDescent="0.2">
      <c r="DY21616" s="185" t="s">
        <v>215</v>
      </c>
    </row>
    <row r="21617" spans="129:129" x14ac:dyDescent="0.2">
      <c r="DY21617" s="185" t="s">
        <v>215</v>
      </c>
    </row>
    <row r="21618" spans="129:129" x14ac:dyDescent="0.2">
      <c r="DY21618" s="185" t="s">
        <v>215</v>
      </c>
    </row>
    <row r="21619" spans="129:129" x14ac:dyDescent="0.2">
      <c r="DY21619" s="185" t="s">
        <v>215</v>
      </c>
    </row>
    <row r="21620" spans="129:129" x14ac:dyDescent="0.2">
      <c r="DY21620" s="185" t="s">
        <v>215</v>
      </c>
    </row>
    <row r="21621" spans="129:129" x14ac:dyDescent="0.2">
      <c r="DY21621" s="185" t="s">
        <v>215</v>
      </c>
    </row>
    <row r="21622" spans="129:129" x14ac:dyDescent="0.2">
      <c r="DY21622" s="185" t="s">
        <v>215</v>
      </c>
    </row>
    <row r="21623" spans="129:129" x14ac:dyDescent="0.2">
      <c r="DY21623" s="185" t="s">
        <v>215</v>
      </c>
    </row>
    <row r="21624" spans="129:129" x14ac:dyDescent="0.2">
      <c r="DY21624" s="185" t="s">
        <v>215</v>
      </c>
    </row>
    <row r="21625" spans="129:129" x14ac:dyDescent="0.2">
      <c r="DY21625" s="185" t="s">
        <v>215</v>
      </c>
    </row>
    <row r="21626" spans="129:129" x14ac:dyDescent="0.2">
      <c r="DY21626" s="185" t="s">
        <v>215</v>
      </c>
    </row>
    <row r="21627" spans="129:129" x14ac:dyDescent="0.2">
      <c r="DY21627" s="185" t="s">
        <v>215</v>
      </c>
    </row>
    <row r="21628" spans="129:129" x14ac:dyDescent="0.2">
      <c r="DY21628" s="185" t="s">
        <v>215</v>
      </c>
    </row>
    <row r="21629" spans="129:129" x14ac:dyDescent="0.2">
      <c r="DY21629" s="185" t="s">
        <v>215</v>
      </c>
    </row>
    <row r="21630" spans="129:129" x14ac:dyDescent="0.2">
      <c r="DY21630" s="185" t="s">
        <v>215</v>
      </c>
    </row>
    <row r="21631" spans="129:129" x14ac:dyDescent="0.2">
      <c r="DY21631" s="185" t="s">
        <v>215</v>
      </c>
    </row>
    <row r="21632" spans="129:129" x14ac:dyDescent="0.2">
      <c r="DY21632" s="185" t="s">
        <v>215</v>
      </c>
    </row>
    <row r="21633" spans="129:129" x14ac:dyDescent="0.2">
      <c r="DY21633" s="185" t="s">
        <v>215</v>
      </c>
    </row>
    <row r="21634" spans="129:129" x14ac:dyDescent="0.2">
      <c r="DY21634" s="185" t="s">
        <v>215</v>
      </c>
    </row>
    <row r="21635" spans="129:129" x14ac:dyDescent="0.2">
      <c r="DY21635" s="185" t="s">
        <v>215</v>
      </c>
    </row>
    <row r="21636" spans="129:129" x14ac:dyDescent="0.2">
      <c r="DY21636" s="185" t="s">
        <v>215</v>
      </c>
    </row>
    <row r="21637" spans="129:129" x14ac:dyDescent="0.2">
      <c r="DY21637" s="185" t="s">
        <v>215</v>
      </c>
    </row>
    <row r="21638" spans="129:129" x14ac:dyDescent="0.2">
      <c r="DY21638" s="185" t="s">
        <v>215</v>
      </c>
    </row>
    <row r="21639" spans="129:129" x14ac:dyDescent="0.2">
      <c r="DY21639" s="185" t="s">
        <v>215</v>
      </c>
    </row>
    <row r="21640" spans="129:129" x14ac:dyDescent="0.2">
      <c r="DY21640" s="185" t="s">
        <v>215</v>
      </c>
    </row>
    <row r="21641" spans="129:129" x14ac:dyDescent="0.2">
      <c r="DY21641" s="185" t="s">
        <v>215</v>
      </c>
    </row>
    <row r="21642" spans="129:129" x14ac:dyDescent="0.2">
      <c r="DY21642" s="185" t="s">
        <v>215</v>
      </c>
    </row>
    <row r="21643" spans="129:129" x14ac:dyDescent="0.2">
      <c r="DY21643" s="185" t="s">
        <v>215</v>
      </c>
    </row>
    <row r="21644" spans="129:129" x14ac:dyDescent="0.2">
      <c r="DY21644" s="185" t="s">
        <v>215</v>
      </c>
    </row>
    <row r="21645" spans="129:129" x14ac:dyDescent="0.2">
      <c r="DY21645" s="185" t="s">
        <v>215</v>
      </c>
    </row>
    <row r="21646" spans="129:129" x14ac:dyDescent="0.2">
      <c r="DY21646" s="185" t="s">
        <v>215</v>
      </c>
    </row>
    <row r="21647" spans="129:129" x14ac:dyDescent="0.2">
      <c r="DY21647" s="185" t="s">
        <v>215</v>
      </c>
    </row>
    <row r="21648" spans="129:129" x14ac:dyDescent="0.2">
      <c r="DY21648" s="185" t="s">
        <v>215</v>
      </c>
    </row>
    <row r="21649" spans="129:129" x14ac:dyDescent="0.2">
      <c r="DY21649" s="185" t="s">
        <v>215</v>
      </c>
    </row>
    <row r="21650" spans="129:129" x14ac:dyDescent="0.2">
      <c r="DY21650" s="185" t="s">
        <v>215</v>
      </c>
    </row>
    <row r="21651" spans="129:129" x14ac:dyDescent="0.2">
      <c r="DY21651" s="185" t="s">
        <v>215</v>
      </c>
    </row>
    <row r="21652" spans="129:129" x14ac:dyDescent="0.2">
      <c r="DY21652" s="185" t="s">
        <v>215</v>
      </c>
    </row>
    <row r="21653" spans="129:129" x14ac:dyDescent="0.2">
      <c r="DY21653" s="185" t="s">
        <v>215</v>
      </c>
    </row>
    <row r="21654" spans="129:129" x14ac:dyDescent="0.2">
      <c r="DY21654" s="185" t="s">
        <v>215</v>
      </c>
    </row>
    <row r="21655" spans="129:129" x14ac:dyDescent="0.2">
      <c r="DY21655" s="185" t="s">
        <v>215</v>
      </c>
    </row>
    <row r="21656" spans="129:129" x14ac:dyDescent="0.2">
      <c r="DY21656" s="185" t="s">
        <v>215</v>
      </c>
    </row>
    <row r="21657" spans="129:129" x14ac:dyDescent="0.2">
      <c r="DY21657" s="185" t="s">
        <v>215</v>
      </c>
    </row>
    <row r="21658" spans="129:129" x14ac:dyDescent="0.2">
      <c r="DY21658" s="185" t="s">
        <v>215</v>
      </c>
    </row>
    <row r="21659" spans="129:129" x14ac:dyDescent="0.2">
      <c r="DY21659" s="185" t="s">
        <v>215</v>
      </c>
    </row>
    <row r="21660" spans="129:129" x14ac:dyDescent="0.2">
      <c r="DY21660" s="185" t="s">
        <v>215</v>
      </c>
    </row>
    <row r="21661" spans="129:129" x14ac:dyDescent="0.2">
      <c r="DY21661" s="185" t="s">
        <v>215</v>
      </c>
    </row>
    <row r="21662" spans="129:129" x14ac:dyDescent="0.2">
      <c r="DY21662" s="185" t="s">
        <v>215</v>
      </c>
    </row>
    <row r="21663" spans="129:129" x14ac:dyDescent="0.2">
      <c r="DY21663" s="185" t="s">
        <v>215</v>
      </c>
    </row>
    <row r="21664" spans="129:129" x14ac:dyDescent="0.2">
      <c r="DY21664" s="185" t="s">
        <v>215</v>
      </c>
    </row>
    <row r="21665" spans="129:129" x14ac:dyDescent="0.2">
      <c r="DY21665" s="185" t="s">
        <v>215</v>
      </c>
    </row>
    <row r="21666" spans="129:129" x14ac:dyDescent="0.2">
      <c r="DY21666" s="185" t="s">
        <v>215</v>
      </c>
    </row>
    <row r="21667" spans="129:129" x14ac:dyDescent="0.2">
      <c r="DY21667" s="185" t="s">
        <v>215</v>
      </c>
    </row>
    <row r="21668" spans="129:129" x14ac:dyDescent="0.2">
      <c r="DY21668" s="185" t="s">
        <v>215</v>
      </c>
    </row>
    <row r="21669" spans="129:129" x14ac:dyDescent="0.2">
      <c r="DY21669" s="185" t="s">
        <v>215</v>
      </c>
    </row>
    <row r="21670" spans="129:129" x14ac:dyDescent="0.2">
      <c r="DY21670" s="185" t="s">
        <v>215</v>
      </c>
    </row>
    <row r="21671" spans="129:129" x14ac:dyDescent="0.2">
      <c r="DY21671" s="185" t="s">
        <v>215</v>
      </c>
    </row>
    <row r="21672" spans="129:129" x14ac:dyDescent="0.2">
      <c r="DY21672" s="185" t="s">
        <v>215</v>
      </c>
    </row>
    <row r="21673" spans="129:129" x14ac:dyDescent="0.2">
      <c r="DY21673" s="185" t="s">
        <v>215</v>
      </c>
    </row>
    <row r="21674" spans="129:129" x14ac:dyDescent="0.2">
      <c r="DY21674" s="185" t="s">
        <v>215</v>
      </c>
    </row>
    <row r="21675" spans="129:129" x14ac:dyDescent="0.2">
      <c r="DY21675" s="185" t="s">
        <v>215</v>
      </c>
    </row>
    <row r="21676" spans="129:129" x14ac:dyDescent="0.2">
      <c r="DY21676" s="185" t="s">
        <v>215</v>
      </c>
    </row>
    <row r="21677" spans="129:129" x14ac:dyDescent="0.2">
      <c r="DY21677" s="185" t="s">
        <v>215</v>
      </c>
    </row>
    <row r="21678" spans="129:129" x14ac:dyDescent="0.2">
      <c r="DY21678" s="185" t="s">
        <v>215</v>
      </c>
    </row>
    <row r="21679" spans="129:129" x14ac:dyDescent="0.2">
      <c r="DY21679" s="185" t="s">
        <v>215</v>
      </c>
    </row>
    <row r="21680" spans="129:129" x14ac:dyDescent="0.2">
      <c r="DY21680" s="185" t="s">
        <v>215</v>
      </c>
    </row>
    <row r="21681" spans="129:129" x14ac:dyDescent="0.2">
      <c r="DY21681" s="185" t="s">
        <v>215</v>
      </c>
    </row>
    <row r="21682" spans="129:129" x14ac:dyDescent="0.2">
      <c r="DY21682" s="185" t="s">
        <v>215</v>
      </c>
    </row>
    <row r="21683" spans="129:129" x14ac:dyDescent="0.2">
      <c r="DY21683" s="185" t="s">
        <v>215</v>
      </c>
    </row>
    <row r="21684" spans="129:129" x14ac:dyDescent="0.2">
      <c r="DY21684" s="185" t="s">
        <v>215</v>
      </c>
    </row>
    <row r="21685" spans="129:129" x14ac:dyDescent="0.2">
      <c r="DY21685" s="185" t="s">
        <v>215</v>
      </c>
    </row>
    <row r="21686" spans="129:129" x14ac:dyDescent="0.2">
      <c r="DY21686" s="185" t="s">
        <v>215</v>
      </c>
    </row>
    <row r="21687" spans="129:129" x14ac:dyDescent="0.2">
      <c r="DY21687" s="185" t="s">
        <v>215</v>
      </c>
    </row>
    <row r="21688" spans="129:129" x14ac:dyDescent="0.2">
      <c r="DY21688" s="185" t="s">
        <v>215</v>
      </c>
    </row>
    <row r="21689" spans="129:129" x14ac:dyDescent="0.2">
      <c r="DY21689" s="185" t="s">
        <v>215</v>
      </c>
    </row>
    <row r="21690" spans="129:129" x14ac:dyDescent="0.2">
      <c r="DY21690" s="185" t="s">
        <v>215</v>
      </c>
    </row>
    <row r="21691" spans="129:129" x14ac:dyDescent="0.2">
      <c r="DY21691" s="185" t="s">
        <v>215</v>
      </c>
    </row>
    <row r="21692" spans="129:129" x14ac:dyDescent="0.2">
      <c r="DY21692" s="185" t="s">
        <v>215</v>
      </c>
    </row>
    <row r="21693" spans="129:129" x14ac:dyDescent="0.2">
      <c r="DY21693" s="185" t="s">
        <v>215</v>
      </c>
    </row>
    <row r="21694" spans="129:129" x14ac:dyDescent="0.2">
      <c r="DY21694" s="185" t="s">
        <v>215</v>
      </c>
    </row>
    <row r="21695" spans="129:129" x14ac:dyDescent="0.2">
      <c r="DY21695" s="185" t="s">
        <v>215</v>
      </c>
    </row>
    <row r="21696" spans="129:129" x14ac:dyDescent="0.2">
      <c r="DY21696" s="185" t="s">
        <v>215</v>
      </c>
    </row>
    <row r="21697" spans="129:129" x14ac:dyDescent="0.2">
      <c r="DY21697" s="185" t="s">
        <v>215</v>
      </c>
    </row>
    <row r="21698" spans="129:129" x14ac:dyDescent="0.2">
      <c r="DY21698" s="185" t="s">
        <v>215</v>
      </c>
    </row>
    <row r="21699" spans="129:129" x14ac:dyDescent="0.2">
      <c r="DY21699" s="185" t="s">
        <v>215</v>
      </c>
    </row>
    <row r="21700" spans="129:129" x14ac:dyDescent="0.2">
      <c r="DY21700" s="185" t="s">
        <v>215</v>
      </c>
    </row>
    <row r="21701" spans="129:129" x14ac:dyDescent="0.2">
      <c r="DY21701" s="185" t="s">
        <v>215</v>
      </c>
    </row>
    <row r="21702" spans="129:129" x14ac:dyDescent="0.2">
      <c r="DY21702" s="185" t="s">
        <v>215</v>
      </c>
    </row>
    <row r="21703" spans="129:129" x14ac:dyDescent="0.2">
      <c r="DY21703" s="185" t="s">
        <v>215</v>
      </c>
    </row>
    <row r="21704" spans="129:129" x14ac:dyDescent="0.2">
      <c r="DY21704" s="185" t="s">
        <v>215</v>
      </c>
    </row>
    <row r="21705" spans="129:129" x14ac:dyDescent="0.2">
      <c r="DY21705" s="185" t="s">
        <v>215</v>
      </c>
    </row>
    <row r="21706" spans="129:129" x14ac:dyDescent="0.2">
      <c r="DY21706" s="185" t="s">
        <v>215</v>
      </c>
    </row>
    <row r="21707" spans="129:129" x14ac:dyDescent="0.2">
      <c r="DY21707" s="185" t="s">
        <v>215</v>
      </c>
    </row>
    <row r="21708" spans="129:129" x14ac:dyDescent="0.2">
      <c r="DY21708" s="185" t="s">
        <v>215</v>
      </c>
    </row>
    <row r="21709" spans="129:129" x14ac:dyDescent="0.2">
      <c r="DY21709" s="185" t="s">
        <v>215</v>
      </c>
    </row>
    <row r="21710" spans="129:129" x14ac:dyDescent="0.2">
      <c r="DY21710" s="185" t="s">
        <v>215</v>
      </c>
    </row>
    <row r="21711" spans="129:129" x14ac:dyDescent="0.2">
      <c r="DY21711" s="185" t="s">
        <v>215</v>
      </c>
    </row>
    <row r="21712" spans="129:129" x14ac:dyDescent="0.2">
      <c r="DY21712" s="185" t="s">
        <v>215</v>
      </c>
    </row>
    <row r="21713" spans="129:129" x14ac:dyDescent="0.2">
      <c r="DY21713" s="185" t="s">
        <v>215</v>
      </c>
    </row>
    <row r="21714" spans="129:129" x14ac:dyDescent="0.2">
      <c r="DY21714" s="185" t="s">
        <v>215</v>
      </c>
    </row>
    <row r="21715" spans="129:129" x14ac:dyDescent="0.2">
      <c r="DY21715" s="185" t="s">
        <v>215</v>
      </c>
    </row>
    <row r="21716" spans="129:129" x14ac:dyDescent="0.2">
      <c r="DY21716" s="185" t="s">
        <v>215</v>
      </c>
    </row>
    <row r="21717" spans="129:129" x14ac:dyDescent="0.2">
      <c r="DY21717" s="185" t="s">
        <v>215</v>
      </c>
    </row>
    <row r="21718" spans="129:129" x14ac:dyDescent="0.2">
      <c r="DY21718" s="185" t="s">
        <v>215</v>
      </c>
    </row>
    <row r="21719" spans="129:129" x14ac:dyDescent="0.2">
      <c r="DY21719" s="185" t="s">
        <v>215</v>
      </c>
    </row>
    <row r="21720" spans="129:129" x14ac:dyDescent="0.2">
      <c r="DY21720" s="185" t="s">
        <v>215</v>
      </c>
    </row>
    <row r="21721" spans="129:129" x14ac:dyDescent="0.2">
      <c r="DY21721" s="185" t="s">
        <v>215</v>
      </c>
    </row>
    <row r="21722" spans="129:129" x14ac:dyDescent="0.2">
      <c r="DY21722" s="185" t="s">
        <v>215</v>
      </c>
    </row>
    <row r="21723" spans="129:129" x14ac:dyDescent="0.2">
      <c r="DY21723" s="185" t="s">
        <v>215</v>
      </c>
    </row>
    <row r="21724" spans="129:129" x14ac:dyDescent="0.2">
      <c r="DY21724" s="185" t="s">
        <v>215</v>
      </c>
    </row>
    <row r="21725" spans="129:129" x14ac:dyDescent="0.2">
      <c r="DY21725" s="185" t="s">
        <v>215</v>
      </c>
    </row>
    <row r="21726" spans="129:129" x14ac:dyDescent="0.2">
      <c r="DY21726" s="185" t="s">
        <v>215</v>
      </c>
    </row>
    <row r="21727" spans="129:129" x14ac:dyDescent="0.2">
      <c r="DY21727" s="185" t="s">
        <v>215</v>
      </c>
    </row>
    <row r="21728" spans="129:129" x14ac:dyDescent="0.2">
      <c r="DY21728" s="185" t="s">
        <v>215</v>
      </c>
    </row>
    <row r="21729" spans="129:129" x14ac:dyDescent="0.2">
      <c r="DY21729" s="185" t="s">
        <v>215</v>
      </c>
    </row>
    <row r="21730" spans="129:129" x14ac:dyDescent="0.2">
      <c r="DY21730" s="185" t="s">
        <v>215</v>
      </c>
    </row>
    <row r="21731" spans="129:129" x14ac:dyDescent="0.2">
      <c r="DY21731" s="185" t="s">
        <v>215</v>
      </c>
    </row>
    <row r="21732" spans="129:129" x14ac:dyDescent="0.2">
      <c r="DY21732" s="185" t="s">
        <v>215</v>
      </c>
    </row>
    <row r="21733" spans="129:129" x14ac:dyDescent="0.2">
      <c r="DY21733" s="185" t="s">
        <v>215</v>
      </c>
    </row>
    <row r="21734" spans="129:129" x14ac:dyDescent="0.2">
      <c r="DY21734" s="185" t="s">
        <v>215</v>
      </c>
    </row>
    <row r="21735" spans="129:129" x14ac:dyDescent="0.2">
      <c r="DY21735" s="185" t="s">
        <v>215</v>
      </c>
    </row>
    <row r="21736" spans="129:129" x14ac:dyDescent="0.2">
      <c r="DY21736" s="185" t="s">
        <v>215</v>
      </c>
    </row>
    <row r="21737" spans="129:129" x14ac:dyDescent="0.2">
      <c r="DY21737" s="185" t="s">
        <v>215</v>
      </c>
    </row>
    <row r="21738" spans="129:129" x14ac:dyDescent="0.2">
      <c r="DY21738" s="185" t="s">
        <v>215</v>
      </c>
    </row>
    <row r="21739" spans="129:129" x14ac:dyDescent="0.2">
      <c r="DY21739" s="185" t="s">
        <v>215</v>
      </c>
    </row>
    <row r="21740" spans="129:129" x14ac:dyDescent="0.2">
      <c r="DY21740" s="185" t="s">
        <v>215</v>
      </c>
    </row>
    <row r="21741" spans="129:129" x14ac:dyDescent="0.2">
      <c r="DY21741" s="185" t="s">
        <v>215</v>
      </c>
    </row>
    <row r="21742" spans="129:129" x14ac:dyDescent="0.2">
      <c r="DY21742" s="185" t="s">
        <v>215</v>
      </c>
    </row>
    <row r="21743" spans="129:129" x14ac:dyDescent="0.2">
      <c r="DY21743" s="185" t="s">
        <v>215</v>
      </c>
    </row>
    <row r="21744" spans="129:129" x14ac:dyDescent="0.2">
      <c r="DY21744" s="185" t="s">
        <v>215</v>
      </c>
    </row>
    <row r="21745" spans="129:129" x14ac:dyDescent="0.2">
      <c r="DY21745" s="185" t="s">
        <v>215</v>
      </c>
    </row>
    <row r="21746" spans="129:129" x14ac:dyDescent="0.2">
      <c r="DY21746" s="185" t="s">
        <v>215</v>
      </c>
    </row>
    <row r="21747" spans="129:129" x14ac:dyDescent="0.2">
      <c r="DY21747" s="185" t="s">
        <v>215</v>
      </c>
    </row>
    <row r="21748" spans="129:129" x14ac:dyDescent="0.2">
      <c r="DY21748" s="185" t="s">
        <v>215</v>
      </c>
    </row>
    <row r="21749" spans="129:129" x14ac:dyDescent="0.2">
      <c r="DY21749" s="185" t="s">
        <v>215</v>
      </c>
    </row>
    <row r="21750" spans="129:129" x14ac:dyDescent="0.2">
      <c r="DY21750" s="185" t="s">
        <v>215</v>
      </c>
    </row>
    <row r="21751" spans="129:129" x14ac:dyDescent="0.2">
      <c r="DY21751" s="185" t="s">
        <v>215</v>
      </c>
    </row>
    <row r="21752" spans="129:129" x14ac:dyDescent="0.2">
      <c r="DY21752" s="185" t="s">
        <v>215</v>
      </c>
    </row>
    <row r="21753" spans="129:129" x14ac:dyDescent="0.2">
      <c r="DY21753" s="185" t="s">
        <v>215</v>
      </c>
    </row>
    <row r="21754" spans="129:129" x14ac:dyDescent="0.2">
      <c r="DY21754" s="185" t="s">
        <v>215</v>
      </c>
    </row>
    <row r="21755" spans="129:129" x14ac:dyDescent="0.2">
      <c r="DY21755" s="185" t="s">
        <v>215</v>
      </c>
    </row>
    <row r="21756" spans="129:129" x14ac:dyDescent="0.2">
      <c r="DY21756" s="185" t="s">
        <v>215</v>
      </c>
    </row>
    <row r="21757" spans="129:129" x14ac:dyDescent="0.2">
      <c r="DY21757" s="185" t="s">
        <v>215</v>
      </c>
    </row>
    <row r="21758" spans="129:129" x14ac:dyDescent="0.2">
      <c r="DY21758" s="185" t="s">
        <v>215</v>
      </c>
    </row>
    <row r="21759" spans="129:129" x14ac:dyDescent="0.2">
      <c r="DY21759" s="185" t="s">
        <v>215</v>
      </c>
    </row>
    <row r="21760" spans="129:129" x14ac:dyDescent="0.2">
      <c r="DY21760" s="185" t="s">
        <v>215</v>
      </c>
    </row>
    <row r="21761" spans="129:129" x14ac:dyDescent="0.2">
      <c r="DY21761" s="185" t="s">
        <v>215</v>
      </c>
    </row>
    <row r="21762" spans="129:129" x14ac:dyDescent="0.2">
      <c r="DY21762" s="185" t="s">
        <v>215</v>
      </c>
    </row>
    <row r="21763" spans="129:129" x14ac:dyDescent="0.2">
      <c r="DY21763" s="185" t="s">
        <v>215</v>
      </c>
    </row>
    <row r="21764" spans="129:129" x14ac:dyDescent="0.2">
      <c r="DY21764" s="185" t="s">
        <v>215</v>
      </c>
    </row>
    <row r="21765" spans="129:129" x14ac:dyDescent="0.2">
      <c r="DY21765" s="185" t="s">
        <v>215</v>
      </c>
    </row>
    <row r="21766" spans="129:129" x14ac:dyDescent="0.2">
      <c r="DY21766" s="185" t="s">
        <v>215</v>
      </c>
    </row>
    <row r="21767" spans="129:129" x14ac:dyDescent="0.2">
      <c r="DY21767" s="185" t="s">
        <v>215</v>
      </c>
    </row>
    <row r="21768" spans="129:129" x14ac:dyDescent="0.2">
      <c r="DY21768" s="185" t="s">
        <v>215</v>
      </c>
    </row>
    <row r="21769" spans="129:129" x14ac:dyDescent="0.2">
      <c r="DY21769" s="185" t="s">
        <v>215</v>
      </c>
    </row>
    <row r="21770" spans="129:129" x14ac:dyDescent="0.2">
      <c r="DY21770" s="185" t="s">
        <v>215</v>
      </c>
    </row>
    <row r="21771" spans="129:129" x14ac:dyDescent="0.2">
      <c r="DY21771" s="185" t="s">
        <v>215</v>
      </c>
    </row>
    <row r="21772" spans="129:129" x14ac:dyDescent="0.2">
      <c r="DY21772" s="185" t="s">
        <v>215</v>
      </c>
    </row>
    <row r="21773" spans="129:129" x14ac:dyDescent="0.2">
      <c r="DY21773" s="185" t="s">
        <v>215</v>
      </c>
    </row>
    <row r="21774" spans="129:129" x14ac:dyDescent="0.2">
      <c r="DY21774" s="185" t="s">
        <v>215</v>
      </c>
    </row>
    <row r="21775" spans="129:129" x14ac:dyDescent="0.2">
      <c r="DY21775" s="185" t="s">
        <v>215</v>
      </c>
    </row>
    <row r="21776" spans="129:129" x14ac:dyDescent="0.2">
      <c r="DY21776" s="185" t="s">
        <v>215</v>
      </c>
    </row>
    <row r="21777" spans="129:129" x14ac:dyDescent="0.2">
      <c r="DY21777" s="185" t="s">
        <v>215</v>
      </c>
    </row>
    <row r="21778" spans="129:129" x14ac:dyDescent="0.2">
      <c r="DY21778" s="185" t="s">
        <v>215</v>
      </c>
    </row>
    <row r="21779" spans="129:129" x14ac:dyDescent="0.2">
      <c r="DY21779" s="185" t="s">
        <v>215</v>
      </c>
    </row>
    <row r="21780" spans="129:129" x14ac:dyDescent="0.2">
      <c r="DY21780" s="185" t="s">
        <v>215</v>
      </c>
    </row>
    <row r="21781" spans="129:129" x14ac:dyDescent="0.2">
      <c r="DY21781" s="185" t="s">
        <v>215</v>
      </c>
    </row>
    <row r="21782" spans="129:129" x14ac:dyDescent="0.2">
      <c r="DY21782" s="185" t="s">
        <v>215</v>
      </c>
    </row>
    <row r="21783" spans="129:129" x14ac:dyDescent="0.2">
      <c r="DY21783" s="185" t="s">
        <v>215</v>
      </c>
    </row>
    <row r="21784" spans="129:129" x14ac:dyDescent="0.2">
      <c r="DY21784" s="185" t="s">
        <v>215</v>
      </c>
    </row>
    <row r="21785" spans="129:129" x14ac:dyDescent="0.2">
      <c r="DY21785" s="185" t="s">
        <v>215</v>
      </c>
    </row>
    <row r="21786" spans="129:129" x14ac:dyDescent="0.2">
      <c r="DY21786" s="185" t="s">
        <v>215</v>
      </c>
    </row>
    <row r="21787" spans="129:129" x14ac:dyDescent="0.2">
      <c r="DY21787" s="185" t="s">
        <v>215</v>
      </c>
    </row>
    <row r="21788" spans="129:129" x14ac:dyDescent="0.2">
      <c r="DY21788" s="185" t="s">
        <v>215</v>
      </c>
    </row>
    <row r="21789" spans="129:129" x14ac:dyDescent="0.2">
      <c r="DY21789" s="185" t="s">
        <v>215</v>
      </c>
    </row>
    <row r="21790" spans="129:129" x14ac:dyDescent="0.2">
      <c r="DY21790" s="185" t="s">
        <v>215</v>
      </c>
    </row>
    <row r="21791" spans="129:129" x14ac:dyDescent="0.2">
      <c r="DY21791" s="185" t="s">
        <v>215</v>
      </c>
    </row>
    <row r="21792" spans="129:129" x14ac:dyDescent="0.2">
      <c r="DY21792" s="185" t="s">
        <v>215</v>
      </c>
    </row>
    <row r="21793" spans="129:129" x14ac:dyDescent="0.2">
      <c r="DY21793" s="185" t="s">
        <v>215</v>
      </c>
    </row>
    <row r="21794" spans="129:129" x14ac:dyDescent="0.2">
      <c r="DY21794" s="185" t="s">
        <v>215</v>
      </c>
    </row>
    <row r="21795" spans="129:129" x14ac:dyDescent="0.2">
      <c r="DY21795" s="185" t="s">
        <v>215</v>
      </c>
    </row>
    <row r="21796" spans="129:129" x14ac:dyDescent="0.2">
      <c r="DY21796" s="185" t="s">
        <v>215</v>
      </c>
    </row>
    <row r="21797" spans="129:129" x14ac:dyDescent="0.2">
      <c r="DY21797" s="185" t="s">
        <v>215</v>
      </c>
    </row>
    <row r="21798" spans="129:129" x14ac:dyDescent="0.2">
      <c r="DY21798" s="185" t="s">
        <v>215</v>
      </c>
    </row>
    <row r="21799" spans="129:129" x14ac:dyDescent="0.2">
      <c r="DY21799" s="185" t="s">
        <v>215</v>
      </c>
    </row>
    <row r="21800" spans="129:129" x14ac:dyDescent="0.2">
      <c r="DY21800" s="185" t="s">
        <v>215</v>
      </c>
    </row>
    <row r="21801" spans="129:129" x14ac:dyDescent="0.2">
      <c r="DY21801" s="185" t="s">
        <v>215</v>
      </c>
    </row>
    <row r="21802" spans="129:129" x14ac:dyDescent="0.2">
      <c r="DY21802" s="185" t="s">
        <v>215</v>
      </c>
    </row>
    <row r="21803" spans="129:129" x14ac:dyDescent="0.2">
      <c r="DY21803" s="185" t="s">
        <v>215</v>
      </c>
    </row>
    <row r="21804" spans="129:129" x14ac:dyDescent="0.2">
      <c r="DY21804" s="185" t="s">
        <v>215</v>
      </c>
    </row>
    <row r="21805" spans="129:129" x14ac:dyDescent="0.2">
      <c r="DY21805" s="185" t="s">
        <v>215</v>
      </c>
    </row>
    <row r="21806" spans="129:129" x14ac:dyDescent="0.2">
      <c r="DY21806" s="185" t="s">
        <v>215</v>
      </c>
    </row>
    <row r="21807" spans="129:129" x14ac:dyDescent="0.2">
      <c r="DY21807" s="185" t="s">
        <v>215</v>
      </c>
    </row>
    <row r="21808" spans="129:129" x14ac:dyDescent="0.2">
      <c r="DY21808" s="185" t="s">
        <v>215</v>
      </c>
    </row>
    <row r="21809" spans="129:129" x14ac:dyDescent="0.2">
      <c r="DY21809" s="185" t="s">
        <v>215</v>
      </c>
    </row>
    <row r="21810" spans="129:129" x14ac:dyDescent="0.2">
      <c r="DY21810" s="185" t="s">
        <v>215</v>
      </c>
    </row>
    <row r="21811" spans="129:129" x14ac:dyDescent="0.2">
      <c r="DY21811" s="185" t="s">
        <v>215</v>
      </c>
    </row>
    <row r="21812" spans="129:129" x14ac:dyDescent="0.2">
      <c r="DY21812" s="185" t="s">
        <v>215</v>
      </c>
    </row>
    <row r="21813" spans="129:129" x14ac:dyDescent="0.2">
      <c r="DY21813" s="185" t="s">
        <v>215</v>
      </c>
    </row>
    <row r="21814" spans="129:129" x14ac:dyDescent="0.2">
      <c r="DY21814" s="185" t="s">
        <v>215</v>
      </c>
    </row>
    <row r="21815" spans="129:129" x14ac:dyDescent="0.2">
      <c r="DY21815" s="185" t="s">
        <v>215</v>
      </c>
    </row>
    <row r="21816" spans="129:129" x14ac:dyDescent="0.2">
      <c r="DY21816" s="185" t="s">
        <v>215</v>
      </c>
    </row>
    <row r="21817" spans="129:129" x14ac:dyDescent="0.2">
      <c r="DY21817" s="185" t="s">
        <v>215</v>
      </c>
    </row>
    <row r="21818" spans="129:129" x14ac:dyDescent="0.2">
      <c r="DY21818" s="185" t="s">
        <v>215</v>
      </c>
    </row>
    <row r="21819" spans="129:129" x14ac:dyDescent="0.2">
      <c r="DY21819" s="185" t="s">
        <v>215</v>
      </c>
    </row>
    <row r="21820" spans="129:129" x14ac:dyDescent="0.2">
      <c r="DY21820" s="185" t="s">
        <v>215</v>
      </c>
    </row>
    <row r="21821" spans="129:129" x14ac:dyDescent="0.2">
      <c r="DY21821" s="185" t="s">
        <v>215</v>
      </c>
    </row>
    <row r="21822" spans="129:129" x14ac:dyDescent="0.2">
      <c r="DY21822" s="185" t="s">
        <v>215</v>
      </c>
    </row>
    <row r="21823" spans="129:129" x14ac:dyDescent="0.2">
      <c r="DY21823" s="185" t="s">
        <v>215</v>
      </c>
    </row>
    <row r="21824" spans="129:129" x14ac:dyDescent="0.2">
      <c r="DY21824" s="185" t="s">
        <v>215</v>
      </c>
    </row>
    <row r="21825" spans="129:129" x14ac:dyDescent="0.2">
      <c r="DY21825" s="185" t="s">
        <v>215</v>
      </c>
    </row>
    <row r="21826" spans="129:129" x14ac:dyDescent="0.2">
      <c r="DY21826" s="185" t="s">
        <v>215</v>
      </c>
    </row>
    <row r="21827" spans="129:129" x14ac:dyDescent="0.2">
      <c r="DY21827" s="185" t="s">
        <v>215</v>
      </c>
    </row>
    <row r="21828" spans="129:129" x14ac:dyDescent="0.2">
      <c r="DY21828" s="185" t="s">
        <v>215</v>
      </c>
    </row>
    <row r="21829" spans="129:129" x14ac:dyDescent="0.2">
      <c r="DY21829" s="185" t="s">
        <v>215</v>
      </c>
    </row>
    <row r="21830" spans="129:129" x14ac:dyDescent="0.2">
      <c r="DY21830" s="185" t="s">
        <v>215</v>
      </c>
    </row>
    <row r="21831" spans="129:129" x14ac:dyDescent="0.2">
      <c r="DY21831" s="185" t="s">
        <v>215</v>
      </c>
    </row>
    <row r="21832" spans="129:129" x14ac:dyDescent="0.2">
      <c r="DY21832" s="185" t="s">
        <v>215</v>
      </c>
    </row>
    <row r="21833" spans="129:129" x14ac:dyDescent="0.2">
      <c r="DY21833" s="185" t="s">
        <v>215</v>
      </c>
    </row>
    <row r="21834" spans="129:129" x14ac:dyDescent="0.2">
      <c r="DY21834" s="185" t="s">
        <v>215</v>
      </c>
    </row>
    <row r="21835" spans="129:129" x14ac:dyDescent="0.2">
      <c r="DY21835" s="185" t="s">
        <v>215</v>
      </c>
    </row>
    <row r="21836" spans="129:129" x14ac:dyDescent="0.2">
      <c r="DY21836" s="185" t="s">
        <v>215</v>
      </c>
    </row>
    <row r="21837" spans="129:129" x14ac:dyDescent="0.2">
      <c r="DY21837" s="185" t="s">
        <v>215</v>
      </c>
    </row>
    <row r="21838" spans="129:129" x14ac:dyDescent="0.2">
      <c r="DY21838" s="185" t="s">
        <v>215</v>
      </c>
    </row>
    <row r="21839" spans="129:129" x14ac:dyDescent="0.2">
      <c r="DY21839" s="185" t="s">
        <v>215</v>
      </c>
    </row>
    <row r="21840" spans="129:129" x14ac:dyDescent="0.2">
      <c r="DY21840" s="185" t="s">
        <v>215</v>
      </c>
    </row>
    <row r="21841" spans="129:129" x14ac:dyDescent="0.2">
      <c r="DY21841" s="185" t="s">
        <v>215</v>
      </c>
    </row>
    <row r="21842" spans="129:129" x14ac:dyDescent="0.2">
      <c r="DY21842" s="185" t="s">
        <v>215</v>
      </c>
    </row>
    <row r="21843" spans="129:129" x14ac:dyDescent="0.2">
      <c r="DY21843" s="185" t="s">
        <v>215</v>
      </c>
    </row>
    <row r="21844" spans="129:129" x14ac:dyDescent="0.2">
      <c r="DY21844" s="185" t="s">
        <v>215</v>
      </c>
    </row>
    <row r="21845" spans="129:129" x14ac:dyDescent="0.2">
      <c r="DY21845" s="185" t="s">
        <v>215</v>
      </c>
    </row>
    <row r="21846" spans="129:129" x14ac:dyDescent="0.2">
      <c r="DY21846" s="185" t="s">
        <v>215</v>
      </c>
    </row>
    <row r="21847" spans="129:129" x14ac:dyDescent="0.2">
      <c r="DY21847" s="185" t="s">
        <v>215</v>
      </c>
    </row>
    <row r="21848" spans="129:129" x14ac:dyDescent="0.2">
      <c r="DY21848" s="185" t="s">
        <v>215</v>
      </c>
    </row>
    <row r="21849" spans="129:129" x14ac:dyDescent="0.2">
      <c r="DY21849" s="185" t="s">
        <v>215</v>
      </c>
    </row>
    <row r="21850" spans="129:129" x14ac:dyDescent="0.2">
      <c r="DY21850" s="185" t="s">
        <v>215</v>
      </c>
    </row>
    <row r="21851" spans="129:129" x14ac:dyDescent="0.2">
      <c r="DY21851" s="185" t="s">
        <v>215</v>
      </c>
    </row>
    <row r="21852" spans="129:129" x14ac:dyDescent="0.2">
      <c r="DY21852" s="185" t="s">
        <v>215</v>
      </c>
    </row>
    <row r="21853" spans="129:129" x14ac:dyDescent="0.2">
      <c r="DY21853" s="185" t="s">
        <v>215</v>
      </c>
    </row>
    <row r="21854" spans="129:129" x14ac:dyDescent="0.2">
      <c r="DY21854" s="185" t="s">
        <v>215</v>
      </c>
    </row>
    <row r="21855" spans="129:129" x14ac:dyDescent="0.2">
      <c r="DY21855" s="185" t="s">
        <v>215</v>
      </c>
    </row>
    <row r="21856" spans="129:129" x14ac:dyDescent="0.2">
      <c r="DY21856" s="185" t="s">
        <v>215</v>
      </c>
    </row>
    <row r="21857" spans="129:129" x14ac:dyDescent="0.2">
      <c r="DY21857" s="185" t="s">
        <v>215</v>
      </c>
    </row>
    <row r="21858" spans="129:129" x14ac:dyDescent="0.2">
      <c r="DY21858" s="185" t="s">
        <v>215</v>
      </c>
    </row>
    <row r="21859" spans="129:129" x14ac:dyDescent="0.2">
      <c r="DY21859" s="185" t="s">
        <v>215</v>
      </c>
    </row>
    <row r="21860" spans="129:129" x14ac:dyDescent="0.2">
      <c r="DY21860" s="185" t="s">
        <v>215</v>
      </c>
    </row>
    <row r="21861" spans="129:129" x14ac:dyDescent="0.2">
      <c r="DY21861" s="185" t="s">
        <v>215</v>
      </c>
    </row>
    <row r="21862" spans="129:129" x14ac:dyDescent="0.2">
      <c r="DY21862" s="185" t="s">
        <v>215</v>
      </c>
    </row>
    <row r="21863" spans="129:129" x14ac:dyDescent="0.2">
      <c r="DY21863" s="185" t="s">
        <v>215</v>
      </c>
    </row>
    <row r="21864" spans="129:129" x14ac:dyDescent="0.2">
      <c r="DY21864" s="185" t="s">
        <v>215</v>
      </c>
    </row>
    <row r="21865" spans="129:129" x14ac:dyDescent="0.2">
      <c r="DY21865" s="185" t="s">
        <v>215</v>
      </c>
    </row>
    <row r="21866" spans="129:129" x14ac:dyDescent="0.2">
      <c r="DY21866" s="185" t="s">
        <v>215</v>
      </c>
    </row>
    <row r="21867" spans="129:129" x14ac:dyDescent="0.2">
      <c r="DY21867" s="185" t="s">
        <v>215</v>
      </c>
    </row>
    <row r="21868" spans="129:129" x14ac:dyDescent="0.2">
      <c r="DY21868" s="185" t="s">
        <v>215</v>
      </c>
    </row>
    <row r="21869" spans="129:129" x14ac:dyDescent="0.2">
      <c r="DY21869" s="185" t="s">
        <v>215</v>
      </c>
    </row>
    <row r="21870" spans="129:129" x14ac:dyDescent="0.2">
      <c r="DY21870" s="185" t="s">
        <v>215</v>
      </c>
    </row>
    <row r="21871" spans="129:129" x14ac:dyDescent="0.2">
      <c r="DY21871" s="185" t="s">
        <v>215</v>
      </c>
    </row>
    <row r="21872" spans="129:129" x14ac:dyDescent="0.2">
      <c r="DY21872" s="185" t="s">
        <v>215</v>
      </c>
    </row>
    <row r="21873" spans="129:129" x14ac:dyDescent="0.2">
      <c r="DY21873" s="185" t="s">
        <v>215</v>
      </c>
    </row>
    <row r="21874" spans="129:129" x14ac:dyDescent="0.2">
      <c r="DY21874" s="185" t="s">
        <v>215</v>
      </c>
    </row>
    <row r="21875" spans="129:129" x14ac:dyDescent="0.2">
      <c r="DY21875" s="185" t="s">
        <v>215</v>
      </c>
    </row>
    <row r="21876" spans="129:129" x14ac:dyDescent="0.2">
      <c r="DY21876" s="185" t="s">
        <v>215</v>
      </c>
    </row>
    <row r="21877" spans="129:129" x14ac:dyDescent="0.2">
      <c r="DY21877" s="185" t="s">
        <v>215</v>
      </c>
    </row>
    <row r="21878" spans="129:129" x14ac:dyDescent="0.2">
      <c r="DY21878" s="185" t="s">
        <v>215</v>
      </c>
    </row>
    <row r="21879" spans="129:129" x14ac:dyDescent="0.2">
      <c r="DY21879" s="185" t="s">
        <v>215</v>
      </c>
    </row>
    <row r="21880" spans="129:129" x14ac:dyDescent="0.2">
      <c r="DY21880" s="185" t="s">
        <v>215</v>
      </c>
    </row>
    <row r="21881" spans="129:129" x14ac:dyDescent="0.2">
      <c r="DY21881" s="185" t="s">
        <v>215</v>
      </c>
    </row>
    <row r="21882" spans="129:129" x14ac:dyDescent="0.2">
      <c r="DY21882" s="185" t="s">
        <v>215</v>
      </c>
    </row>
    <row r="21883" spans="129:129" x14ac:dyDescent="0.2">
      <c r="DY21883" s="185" t="s">
        <v>215</v>
      </c>
    </row>
    <row r="21884" spans="129:129" x14ac:dyDescent="0.2">
      <c r="DY21884" s="185" t="s">
        <v>215</v>
      </c>
    </row>
    <row r="21885" spans="129:129" x14ac:dyDescent="0.2">
      <c r="DY21885" s="185" t="s">
        <v>215</v>
      </c>
    </row>
    <row r="21886" spans="129:129" x14ac:dyDescent="0.2">
      <c r="DY21886" s="185" t="s">
        <v>215</v>
      </c>
    </row>
    <row r="21887" spans="129:129" x14ac:dyDescent="0.2">
      <c r="DY21887" s="185" t="s">
        <v>215</v>
      </c>
    </row>
    <row r="21888" spans="129:129" x14ac:dyDescent="0.2">
      <c r="DY21888" s="185" t="s">
        <v>215</v>
      </c>
    </row>
    <row r="21889" spans="129:129" x14ac:dyDescent="0.2">
      <c r="DY21889" s="185" t="s">
        <v>215</v>
      </c>
    </row>
    <row r="21890" spans="129:129" x14ac:dyDescent="0.2">
      <c r="DY21890" s="185" t="s">
        <v>215</v>
      </c>
    </row>
    <row r="21891" spans="129:129" x14ac:dyDescent="0.2">
      <c r="DY21891" s="185" t="s">
        <v>215</v>
      </c>
    </row>
    <row r="21892" spans="129:129" x14ac:dyDescent="0.2">
      <c r="DY21892" s="185" t="s">
        <v>215</v>
      </c>
    </row>
    <row r="21893" spans="129:129" x14ac:dyDescent="0.2">
      <c r="DY21893" s="185" t="s">
        <v>215</v>
      </c>
    </row>
    <row r="21894" spans="129:129" x14ac:dyDescent="0.2">
      <c r="DY21894" s="185" t="s">
        <v>215</v>
      </c>
    </row>
    <row r="21895" spans="129:129" x14ac:dyDescent="0.2">
      <c r="DY21895" s="185" t="s">
        <v>215</v>
      </c>
    </row>
    <row r="21896" spans="129:129" x14ac:dyDescent="0.2">
      <c r="DY21896" s="185" t="s">
        <v>215</v>
      </c>
    </row>
    <row r="21897" spans="129:129" x14ac:dyDescent="0.2">
      <c r="DY21897" s="185" t="s">
        <v>215</v>
      </c>
    </row>
    <row r="21898" spans="129:129" x14ac:dyDescent="0.2">
      <c r="DY21898" s="185" t="s">
        <v>215</v>
      </c>
    </row>
    <row r="21899" spans="129:129" x14ac:dyDescent="0.2">
      <c r="DY21899" s="185" t="s">
        <v>215</v>
      </c>
    </row>
    <row r="21900" spans="129:129" x14ac:dyDescent="0.2">
      <c r="DY21900" s="185" t="s">
        <v>215</v>
      </c>
    </row>
    <row r="21901" spans="129:129" x14ac:dyDescent="0.2">
      <c r="DY21901" s="185" t="s">
        <v>215</v>
      </c>
    </row>
    <row r="21902" spans="129:129" x14ac:dyDescent="0.2">
      <c r="DY21902" s="185" t="s">
        <v>215</v>
      </c>
    </row>
    <row r="21903" spans="129:129" x14ac:dyDescent="0.2">
      <c r="DY21903" s="185" t="s">
        <v>215</v>
      </c>
    </row>
    <row r="21904" spans="129:129" x14ac:dyDescent="0.2">
      <c r="DY21904" s="185" t="s">
        <v>215</v>
      </c>
    </row>
    <row r="21905" spans="129:129" x14ac:dyDescent="0.2">
      <c r="DY21905" s="185" t="s">
        <v>215</v>
      </c>
    </row>
    <row r="21906" spans="129:129" x14ac:dyDescent="0.2">
      <c r="DY21906" s="185" t="s">
        <v>215</v>
      </c>
    </row>
    <row r="21907" spans="129:129" x14ac:dyDescent="0.2">
      <c r="DY21907" s="185" t="s">
        <v>215</v>
      </c>
    </row>
    <row r="21908" spans="129:129" x14ac:dyDescent="0.2">
      <c r="DY21908" s="185" t="s">
        <v>215</v>
      </c>
    </row>
    <row r="21909" spans="129:129" x14ac:dyDescent="0.2">
      <c r="DY21909" s="185" t="s">
        <v>215</v>
      </c>
    </row>
    <row r="21910" spans="129:129" x14ac:dyDescent="0.2">
      <c r="DY21910" s="185" t="s">
        <v>215</v>
      </c>
    </row>
    <row r="21911" spans="129:129" x14ac:dyDescent="0.2">
      <c r="DY21911" s="185" t="s">
        <v>215</v>
      </c>
    </row>
    <row r="21912" spans="129:129" x14ac:dyDescent="0.2">
      <c r="DY21912" s="185" t="s">
        <v>215</v>
      </c>
    </row>
    <row r="21913" spans="129:129" x14ac:dyDescent="0.2">
      <c r="DY21913" s="185" t="s">
        <v>215</v>
      </c>
    </row>
    <row r="21914" spans="129:129" x14ac:dyDescent="0.2">
      <c r="DY21914" s="185" t="s">
        <v>215</v>
      </c>
    </row>
    <row r="21915" spans="129:129" x14ac:dyDescent="0.2">
      <c r="DY21915" s="185" t="s">
        <v>215</v>
      </c>
    </row>
    <row r="21916" spans="129:129" x14ac:dyDescent="0.2">
      <c r="DY21916" s="185" t="s">
        <v>215</v>
      </c>
    </row>
    <row r="21917" spans="129:129" x14ac:dyDescent="0.2">
      <c r="DY21917" s="185" t="s">
        <v>215</v>
      </c>
    </row>
    <row r="21918" spans="129:129" x14ac:dyDescent="0.2">
      <c r="DY21918" s="185" t="s">
        <v>215</v>
      </c>
    </row>
    <row r="21919" spans="129:129" x14ac:dyDescent="0.2">
      <c r="DY21919" s="185" t="s">
        <v>215</v>
      </c>
    </row>
    <row r="21920" spans="129:129" x14ac:dyDescent="0.2">
      <c r="DY21920" s="185" t="s">
        <v>215</v>
      </c>
    </row>
    <row r="21921" spans="129:129" x14ac:dyDescent="0.2">
      <c r="DY21921" s="185" t="s">
        <v>215</v>
      </c>
    </row>
    <row r="21922" spans="129:129" x14ac:dyDescent="0.2">
      <c r="DY21922" s="185" t="s">
        <v>215</v>
      </c>
    </row>
    <row r="21923" spans="129:129" x14ac:dyDescent="0.2">
      <c r="DY21923" s="185" t="s">
        <v>215</v>
      </c>
    </row>
    <row r="21924" spans="129:129" x14ac:dyDescent="0.2">
      <c r="DY21924" s="185" t="s">
        <v>215</v>
      </c>
    </row>
    <row r="21925" spans="129:129" x14ac:dyDescent="0.2">
      <c r="DY21925" s="185" t="s">
        <v>215</v>
      </c>
    </row>
    <row r="21926" spans="129:129" x14ac:dyDescent="0.2">
      <c r="DY21926" s="185" t="s">
        <v>215</v>
      </c>
    </row>
    <row r="21927" spans="129:129" x14ac:dyDescent="0.2">
      <c r="DY21927" s="185" t="s">
        <v>215</v>
      </c>
    </row>
    <row r="21928" spans="129:129" x14ac:dyDescent="0.2">
      <c r="DY21928" s="185" t="s">
        <v>215</v>
      </c>
    </row>
    <row r="21929" spans="129:129" x14ac:dyDescent="0.2">
      <c r="DY21929" s="185" t="s">
        <v>215</v>
      </c>
    </row>
    <row r="21930" spans="129:129" x14ac:dyDescent="0.2">
      <c r="DY21930" s="185" t="s">
        <v>215</v>
      </c>
    </row>
    <row r="21931" spans="129:129" x14ac:dyDescent="0.2">
      <c r="DY21931" s="185" t="s">
        <v>215</v>
      </c>
    </row>
    <row r="21932" spans="129:129" x14ac:dyDescent="0.2">
      <c r="DY21932" s="185" t="s">
        <v>215</v>
      </c>
    </row>
    <row r="21933" spans="129:129" x14ac:dyDescent="0.2">
      <c r="DY21933" s="185" t="s">
        <v>215</v>
      </c>
    </row>
    <row r="21934" spans="129:129" x14ac:dyDescent="0.2">
      <c r="DY21934" s="185" t="s">
        <v>215</v>
      </c>
    </row>
    <row r="21935" spans="129:129" x14ac:dyDescent="0.2">
      <c r="DY21935" s="185" t="s">
        <v>215</v>
      </c>
    </row>
    <row r="21936" spans="129:129" x14ac:dyDescent="0.2">
      <c r="DY21936" s="185" t="s">
        <v>215</v>
      </c>
    </row>
    <row r="21937" spans="129:129" x14ac:dyDescent="0.2">
      <c r="DY21937" s="185" t="s">
        <v>215</v>
      </c>
    </row>
    <row r="21938" spans="129:129" x14ac:dyDescent="0.2">
      <c r="DY21938" s="185" t="s">
        <v>215</v>
      </c>
    </row>
    <row r="21939" spans="129:129" x14ac:dyDescent="0.2">
      <c r="DY21939" s="185" t="s">
        <v>215</v>
      </c>
    </row>
    <row r="21940" spans="129:129" x14ac:dyDescent="0.2">
      <c r="DY21940" s="185" t="s">
        <v>215</v>
      </c>
    </row>
    <row r="21941" spans="129:129" x14ac:dyDescent="0.2">
      <c r="DY21941" s="185" t="s">
        <v>215</v>
      </c>
    </row>
    <row r="21942" spans="129:129" x14ac:dyDescent="0.2">
      <c r="DY21942" s="185" t="s">
        <v>215</v>
      </c>
    </row>
    <row r="21943" spans="129:129" x14ac:dyDescent="0.2">
      <c r="DY21943" s="185" t="s">
        <v>215</v>
      </c>
    </row>
    <row r="21944" spans="129:129" x14ac:dyDescent="0.2">
      <c r="DY21944" s="185" t="s">
        <v>215</v>
      </c>
    </row>
    <row r="21945" spans="129:129" x14ac:dyDescent="0.2">
      <c r="DY21945" s="185" t="s">
        <v>215</v>
      </c>
    </row>
    <row r="21946" spans="129:129" x14ac:dyDescent="0.2">
      <c r="DY21946" s="185" t="s">
        <v>215</v>
      </c>
    </row>
    <row r="21947" spans="129:129" x14ac:dyDescent="0.2">
      <c r="DY21947" s="185" t="s">
        <v>215</v>
      </c>
    </row>
    <row r="21948" spans="129:129" x14ac:dyDescent="0.2">
      <c r="DY21948" s="185" t="s">
        <v>215</v>
      </c>
    </row>
    <row r="21949" spans="129:129" x14ac:dyDescent="0.2">
      <c r="DY21949" s="185" t="s">
        <v>215</v>
      </c>
    </row>
    <row r="21950" spans="129:129" x14ac:dyDescent="0.2">
      <c r="DY21950" s="185" t="s">
        <v>215</v>
      </c>
    </row>
    <row r="21951" spans="129:129" x14ac:dyDescent="0.2">
      <c r="DY21951" s="185" t="s">
        <v>215</v>
      </c>
    </row>
    <row r="21952" spans="129:129" x14ac:dyDescent="0.2">
      <c r="DY21952" s="185" t="s">
        <v>215</v>
      </c>
    </row>
    <row r="21953" spans="129:129" x14ac:dyDescent="0.2">
      <c r="DY21953" s="185" t="s">
        <v>215</v>
      </c>
    </row>
    <row r="21954" spans="129:129" x14ac:dyDescent="0.2">
      <c r="DY21954" s="185" t="s">
        <v>215</v>
      </c>
    </row>
    <row r="21955" spans="129:129" x14ac:dyDescent="0.2">
      <c r="DY21955" s="185" t="s">
        <v>215</v>
      </c>
    </row>
    <row r="21956" spans="129:129" x14ac:dyDescent="0.2">
      <c r="DY21956" s="185" t="s">
        <v>215</v>
      </c>
    </row>
    <row r="21957" spans="129:129" x14ac:dyDescent="0.2">
      <c r="DY21957" s="185" t="s">
        <v>215</v>
      </c>
    </row>
    <row r="21958" spans="129:129" x14ac:dyDescent="0.2">
      <c r="DY21958" s="185" t="s">
        <v>215</v>
      </c>
    </row>
    <row r="21959" spans="129:129" x14ac:dyDescent="0.2">
      <c r="DY21959" s="185" t="s">
        <v>215</v>
      </c>
    </row>
    <row r="21960" spans="129:129" x14ac:dyDescent="0.2">
      <c r="DY21960" s="185" t="s">
        <v>215</v>
      </c>
    </row>
    <row r="21961" spans="129:129" x14ac:dyDescent="0.2">
      <c r="DY21961" s="185" t="s">
        <v>215</v>
      </c>
    </row>
    <row r="21962" spans="129:129" x14ac:dyDescent="0.2">
      <c r="DY21962" s="185" t="s">
        <v>215</v>
      </c>
    </row>
    <row r="21963" spans="129:129" x14ac:dyDescent="0.2">
      <c r="DY21963" s="185" t="s">
        <v>215</v>
      </c>
    </row>
    <row r="21964" spans="129:129" x14ac:dyDescent="0.2">
      <c r="DY21964" s="185" t="s">
        <v>215</v>
      </c>
    </row>
    <row r="21965" spans="129:129" x14ac:dyDescent="0.2">
      <c r="DY21965" s="185" t="s">
        <v>215</v>
      </c>
    </row>
    <row r="21966" spans="129:129" x14ac:dyDescent="0.2">
      <c r="DY21966" s="185" t="s">
        <v>215</v>
      </c>
    </row>
    <row r="21967" spans="129:129" x14ac:dyDescent="0.2">
      <c r="DY21967" s="185" t="s">
        <v>215</v>
      </c>
    </row>
    <row r="21968" spans="129:129" x14ac:dyDescent="0.2">
      <c r="DY21968" s="185" t="s">
        <v>215</v>
      </c>
    </row>
    <row r="21969" spans="129:129" x14ac:dyDescent="0.2">
      <c r="DY21969" s="185" t="s">
        <v>215</v>
      </c>
    </row>
    <row r="21970" spans="129:129" x14ac:dyDescent="0.2">
      <c r="DY21970" s="185" t="s">
        <v>215</v>
      </c>
    </row>
    <row r="21971" spans="129:129" x14ac:dyDescent="0.2">
      <c r="DY21971" s="185" t="s">
        <v>215</v>
      </c>
    </row>
    <row r="21972" spans="129:129" x14ac:dyDescent="0.2">
      <c r="DY21972" s="185" t="s">
        <v>215</v>
      </c>
    </row>
    <row r="21973" spans="129:129" x14ac:dyDescent="0.2">
      <c r="DY21973" s="185" t="s">
        <v>215</v>
      </c>
    </row>
    <row r="21974" spans="129:129" x14ac:dyDescent="0.2">
      <c r="DY21974" s="185" t="s">
        <v>215</v>
      </c>
    </row>
    <row r="21975" spans="129:129" x14ac:dyDescent="0.2">
      <c r="DY21975" s="185" t="s">
        <v>215</v>
      </c>
    </row>
    <row r="21976" spans="129:129" x14ac:dyDescent="0.2">
      <c r="DY21976" s="185" t="s">
        <v>215</v>
      </c>
    </row>
    <row r="21977" spans="129:129" x14ac:dyDescent="0.2">
      <c r="DY21977" s="185" t="s">
        <v>215</v>
      </c>
    </row>
    <row r="21978" spans="129:129" x14ac:dyDescent="0.2">
      <c r="DY21978" s="185" t="s">
        <v>215</v>
      </c>
    </row>
    <row r="21979" spans="129:129" x14ac:dyDescent="0.2">
      <c r="DY21979" s="185" t="s">
        <v>215</v>
      </c>
    </row>
    <row r="21980" spans="129:129" x14ac:dyDescent="0.2">
      <c r="DY21980" s="185" t="s">
        <v>215</v>
      </c>
    </row>
    <row r="21981" spans="129:129" x14ac:dyDescent="0.2">
      <c r="DY21981" s="185" t="s">
        <v>215</v>
      </c>
    </row>
    <row r="21982" spans="129:129" x14ac:dyDescent="0.2">
      <c r="DY21982" s="185" t="s">
        <v>215</v>
      </c>
    </row>
    <row r="21983" spans="129:129" x14ac:dyDescent="0.2">
      <c r="DY21983" s="185" t="s">
        <v>215</v>
      </c>
    </row>
    <row r="21984" spans="129:129" x14ac:dyDescent="0.2">
      <c r="DY21984" s="185" t="s">
        <v>215</v>
      </c>
    </row>
    <row r="21985" spans="129:129" x14ac:dyDescent="0.2">
      <c r="DY21985" s="185" t="s">
        <v>215</v>
      </c>
    </row>
    <row r="21986" spans="129:129" x14ac:dyDescent="0.2">
      <c r="DY21986" s="185" t="s">
        <v>215</v>
      </c>
    </row>
    <row r="21987" spans="129:129" x14ac:dyDescent="0.2">
      <c r="DY21987" s="185" t="s">
        <v>215</v>
      </c>
    </row>
    <row r="21988" spans="129:129" x14ac:dyDescent="0.2">
      <c r="DY21988" s="185" t="s">
        <v>215</v>
      </c>
    </row>
    <row r="21989" spans="129:129" x14ac:dyDescent="0.2">
      <c r="DY21989" s="185" t="s">
        <v>215</v>
      </c>
    </row>
    <row r="21990" spans="129:129" x14ac:dyDescent="0.2">
      <c r="DY21990" s="185" t="s">
        <v>215</v>
      </c>
    </row>
    <row r="21991" spans="129:129" x14ac:dyDescent="0.2">
      <c r="DY21991" s="185" t="s">
        <v>215</v>
      </c>
    </row>
    <row r="21992" spans="129:129" x14ac:dyDescent="0.2">
      <c r="DY21992" s="185" t="s">
        <v>215</v>
      </c>
    </row>
    <row r="21993" spans="129:129" x14ac:dyDescent="0.2">
      <c r="DY21993" s="185" t="s">
        <v>215</v>
      </c>
    </row>
    <row r="21994" spans="129:129" x14ac:dyDescent="0.2">
      <c r="DY21994" s="185" t="s">
        <v>215</v>
      </c>
    </row>
    <row r="21995" spans="129:129" x14ac:dyDescent="0.2">
      <c r="DY21995" s="185" t="s">
        <v>215</v>
      </c>
    </row>
    <row r="21996" spans="129:129" x14ac:dyDescent="0.2">
      <c r="DY21996" s="185" t="s">
        <v>215</v>
      </c>
    </row>
    <row r="21997" spans="129:129" x14ac:dyDescent="0.2">
      <c r="DY21997" s="185" t="s">
        <v>215</v>
      </c>
    </row>
    <row r="21998" spans="129:129" x14ac:dyDescent="0.2">
      <c r="DY21998" s="185" t="s">
        <v>215</v>
      </c>
    </row>
    <row r="21999" spans="129:129" x14ac:dyDescent="0.2">
      <c r="DY21999" s="185" t="s">
        <v>215</v>
      </c>
    </row>
    <row r="22000" spans="129:129" x14ac:dyDescent="0.2">
      <c r="DY22000" s="185" t="s">
        <v>215</v>
      </c>
    </row>
    <row r="22001" spans="129:129" x14ac:dyDescent="0.2">
      <c r="DY22001" s="185" t="s">
        <v>215</v>
      </c>
    </row>
    <row r="22002" spans="129:129" x14ac:dyDescent="0.2">
      <c r="DY22002" s="185" t="s">
        <v>215</v>
      </c>
    </row>
    <row r="22003" spans="129:129" x14ac:dyDescent="0.2">
      <c r="DY22003" s="185" t="s">
        <v>215</v>
      </c>
    </row>
    <row r="22004" spans="129:129" x14ac:dyDescent="0.2">
      <c r="DY22004" s="185" t="s">
        <v>215</v>
      </c>
    </row>
    <row r="22005" spans="129:129" x14ac:dyDescent="0.2">
      <c r="DY22005" s="185" t="s">
        <v>215</v>
      </c>
    </row>
    <row r="22006" spans="129:129" x14ac:dyDescent="0.2">
      <c r="DY22006" s="185" t="s">
        <v>215</v>
      </c>
    </row>
    <row r="22007" spans="129:129" x14ac:dyDescent="0.2">
      <c r="DY22007" s="185" t="s">
        <v>215</v>
      </c>
    </row>
    <row r="22008" spans="129:129" x14ac:dyDescent="0.2">
      <c r="DY22008" s="185" t="s">
        <v>215</v>
      </c>
    </row>
    <row r="22009" spans="129:129" x14ac:dyDescent="0.2">
      <c r="DY22009" s="185" t="s">
        <v>215</v>
      </c>
    </row>
    <row r="22010" spans="129:129" x14ac:dyDescent="0.2">
      <c r="DY22010" s="185" t="s">
        <v>215</v>
      </c>
    </row>
    <row r="22011" spans="129:129" x14ac:dyDescent="0.2">
      <c r="DY22011" s="185" t="s">
        <v>215</v>
      </c>
    </row>
    <row r="22012" spans="129:129" x14ac:dyDescent="0.2">
      <c r="DY22012" s="185" t="s">
        <v>215</v>
      </c>
    </row>
    <row r="22013" spans="129:129" x14ac:dyDescent="0.2">
      <c r="DY22013" s="185" t="s">
        <v>215</v>
      </c>
    </row>
    <row r="22014" spans="129:129" x14ac:dyDescent="0.2">
      <c r="DY22014" s="185" t="s">
        <v>215</v>
      </c>
    </row>
    <row r="22015" spans="129:129" x14ac:dyDescent="0.2">
      <c r="DY22015" s="185" t="s">
        <v>215</v>
      </c>
    </row>
    <row r="22016" spans="129:129" x14ac:dyDescent="0.2">
      <c r="DY22016" s="185" t="s">
        <v>215</v>
      </c>
    </row>
    <row r="22017" spans="129:129" x14ac:dyDescent="0.2">
      <c r="DY22017" s="185" t="s">
        <v>215</v>
      </c>
    </row>
    <row r="22018" spans="129:129" x14ac:dyDescent="0.2">
      <c r="DY22018" s="185" t="s">
        <v>215</v>
      </c>
    </row>
    <row r="22019" spans="129:129" x14ac:dyDescent="0.2">
      <c r="DY22019" s="185" t="s">
        <v>215</v>
      </c>
    </row>
    <row r="22020" spans="129:129" x14ac:dyDescent="0.2">
      <c r="DY22020" s="185" t="s">
        <v>215</v>
      </c>
    </row>
    <row r="22021" spans="129:129" x14ac:dyDescent="0.2">
      <c r="DY22021" s="185" t="s">
        <v>215</v>
      </c>
    </row>
    <row r="22022" spans="129:129" x14ac:dyDescent="0.2">
      <c r="DY22022" s="185" t="s">
        <v>215</v>
      </c>
    </row>
    <row r="22023" spans="129:129" x14ac:dyDescent="0.2">
      <c r="DY22023" s="185" t="s">
        <v>215</v>
      </c>
    </row>
    <row r="22024" spans="129:129" x14ac:dyDescent="0.2">
      <c r="DY22024" s="185" t="s">
        <v>215</v>
      </c>
    </row>
    <row r="22025" spans="129:129" x14ac:dyDescent="0.2">
      <c r="DY22025" s="185" t="s">
        <v>215</v>
      </c>
    </row>
    <row r="22026" spans="129:129" x14ac:dyDescent="0.2">
      <c r="DY22026" s="185" t="s">
        <v>215</v>
      </c>
    </row>
    <row r="22027" spans="129:129" x14ac:dyDescent="0.2">
      <c r="DY22027" s="185" t="s">
        <v>215</v>
      </c>
    </row>
    <row r="22028" spans="129:129" x14ac:dyDescent="0.2">
      <c r="DY22028" s="185" t="s">
        <v>215</v>
      </c>
    </row>
    <row r="22029" spans="129:129" x14ac:dyDescent="0.2">
      <c r="DY22029" s="185" t="s">
        <v>215</v>
      </c>
    </row>
    <row r="22030" spans="129:129" x14ac:dyDescent="0.2">
      <c r="DY22030" s="185" t="s">
        <v>215</v>
      </c>
    </row>
    <row r="22031" spans="129:129" x14ac:dyDescent="0.2">
      <c r="DY22031" s="185" t="s">
        <v>215</v>
      </c>
    </row>
    <row r="22032" spans="129:129" x14ac:dyDescent="0.2">
      <c r="DY22032" s="185" t="s">
        <v>215</v>
      </c>
    </row>
    <row r="22033" spans="129:129" x14ac:dyDescent="0.2">
      <c r="DY22033" s="185" t="s">
        <v>215</v>
      </c>
    </row>
    <row r="22034" spans="129:129" x14ac:dyDescent="0.2">
      <c r="DY22034" s="185" t="s">
        <v>215</v>
      </c>
    </row>
    <row r="22035" spans="129:129" x14ac:dyDescent="0.2">
      <c r="DY22035" s="185" t="s">
        <v>215</v>
      </c>
    </row>
    <row r="22036" spans="129:129" x14ac:dyDescent="0.2">
      <c r="DY22036" s="185" t="s">
        <v>215</v>
      </c>
    </row>
    <row r="22037" spans="129:129" x14ac:dyDescent="0.2">
      <c r="DY22037" s="185" t="s">
        <v>215</v>
      </c>
    </row>
    <row r="22038" spans="129:129" x14ac:dyDescent="0.2">
      <c r="DY22038" s="185" t="s">
        <v>215</v>
      </c>
    </row>
    <row r="22039" spans="129:129" x14ac:dyDescent="0.2">
      <c r="DY22039" s="185" t="s">
        <v>215</v>
      </c>
    </row>
    <row r="22040" spans="129:129" x14ac:dyDescent="0.2">
      <c r="DY22040" s="185" t="s">
        <v>215</v>
      </c>
    </row>
    <row r="22041" spans="129:129" x14ac:dyDescent="0.2">
      <c r="DY22041" s="185" t="s">
        <v>215</v>
      </c>
    </row>
    <row r="22042" spans="129:129" x14ac:dyDescent="0.2">
      <c r="DY22042" s="185" t="s">
        <v>215</v>
      </c>
    </row>
    <row r="22043" spans="129:129" x14ac:dyDescent="0.2">
      <c r="DY22043" s="185" t="s">
        <v>215</v>
      </c>
    </row>
    <row r="22044" spans="129:129" x14ac:dyDescent="0.2">
      <c r="DY22044" s="185" t="s">
        <v>215</v>
      </c>
    </row>
    <row r="22045" spans="129:129" x14ac:dyDescent="0.2">
      <c r="DY22045" s="185" t="s">
        <v>215</v>
      </c>
    </row>
    <row r="22046" spans="129:129" x14ac:dyDescent="0.2">
      <c r="DY22046" s="185" t="s">
        <v>215</v>
      </c>
    </row>
    <row r="22047" spans="129:129" x14ac:dyDescent="0.2">
      <c r="DY22047" s="185" t="s">
        <v>215</v>
      </c>
    </row>
    <row r="22048" spans="129:129" x14ac:dyDescent="0.2">
      <c r="DY22048" s="185" t="s">
        <v>215</v>
      </c>
    </row>
    <row r="22049" spans="129:129" x14ac:dyDescent="0.2">
      <c r="DY22049" s="185" t="s">
        <v>215</v>
      </c>
    </row>
    <row r="22050" spans="129:129" x14ac:dyDescent="0.2">
      <c r="DY22050" s="185" t="s">
        <v>215</v>
      </c>
    </row>
    <row r="22051" spans="129:129" x14ac:dyDescent="0.2">
      <c r="DY22051" s="185" t="s">
        <v>215</v>
      </c>
    </row>
    <row r="22052" spans="129:129" x14ac:dyDescent="0.2">
      <c r="DY22052" s="185" t="s">
        <v>215</v>
      </c>
    </row>
    <row r="22053" spans="129:129" x14ac:dyDescent="0.2">
      <c r="DY22053" s="185" t="s">
        <v>215</v>
      </c>
    </row>
    <row r="22054" spans="129:129" x14ac:dyDescent="0.2">
      <c r="DY22054" s="185" t="s">
        <v>215</v>
      </c>
    </row>
    <row r="22055" spans="129:129" x14ac:dyDescent="0.2">
      <c r="DY22055" s="185" t="s">
        <v>215</v>
      </c>
    </row>
    <row r="22056" spans="129:129" x14ac:dyDescent="0.2">
      <c r="DY22056" s="185" t="s">
        <v>215</v>
      </c>
    </row>
    <row r="22057" spans="129:129" x14ac:dyDescent="0.2">
      <c r="DY22057" s="185" t="s">
        <v>215</v>
      </c>
    </row>
    <row r="22058" spans="129:129" x14ac:dyDescent="0.2">
      <c r="DY22058" s="185" t="s">
        <v>215</v>
      </c>
    </row>
    <row r="22059" spans="129:129" x14ac:dyDescent="0.2">
      <c r="DY22059" s="185" t="s">
        <v>215</v>
      </c>
    </row>
    <row r="22060" spans="129:129" x14ac:dyDescent="0.2">
      <c r="DY22060" s="185" t="s">
        <v>215</v>
      </c>
    </row>
    <row r="22061" spans="129:129" x14ac:dyDescent="0.2">
      <c r="DY22061" s="185" t="s">
        <v>215</v>
      </c>
    </row>
    <row r="22062" spans="129:129" x14ac:dyDescent="0.2">
      <c r="DY22062" s="185" t="s">
        <v>215</v>
      </c>
    </row>
    <row r="22063" spans="129:129" x14ac:dyDescent="0.2">
      <c r="DY22063" s="185" t="s">
        <v>215</v>
      </c>
    </row>
    <row r="22064" spans="129:129" x14ac:dyDescent="0.2">
      <c r="DY22064" s="185" t="s">
        <v>215</v>
      </c>
    </row>
    <row r="22065" spans="129:129" x14ac:dyDescent="0.2">
      <c r="DY22065" s="185" t="s">
        <v>215</v>
      </c>
    </row>
    <row r="22066" spans="129:129" x14ac:dyDescent="0.2">
      <c r="DY22066" s="185" t="s">
        <v>215</v>
      </c>
    </row>
    <row r="22067" spans="129:129" x14ac:dyDescent="0.2">
      <c r="DY22067" s="185" t="s">
        <v>215</v>
      </c>
    </row>
    <row r="22068" spans="129:129" x14ac:dyDescent="0.2">
      <c r="DY22068" s="185" t="s">
        <v>215</v>
      </c>
    </row>
    <row r="22069" spans="129:129" x14ac:dyDescent="0.2">
      <c r="DY22069" s="185" t="s">
        <v>215</v>
      </c>
    </row>
    <row r="22070" spans="129:129" x14ac:dyDescent="0.2">
      <c r="DY22070" s="185" t="s">
        <v>215</v>
      </c>
    </row>
    <row r="22071" spans="129:129" x14ac:dyDescent="0.2">
      <c r="DY22071" s="185" t="s">
        <v>215</v>
      </c>
    </row>
    <row r="22072" spans="129:129" x14ac:dyDescent="0.2">
      <c r="DY22072" s="185" t="s">
        <v>215</v>
      </c>
    </row>
    <row r="22073" spans="129:129" x14ac:dyDescent="0.2">
      <c r="DY22073" s="185" t="s">
        <v>215</v>
      </c>
    </row>
    <row r="22074" spans="129:129" x14ac:dyDescent="0.2">
      <c r="DY22074" s="185" t="s">
        <v>215</v>
      </c>
    </row>
    <row r="22075" spans="129:129" x14ac:dyDescent="0.2">
      <c r="DY22075" s="185" t="s">
        <v>215</v>
      </c>
    </row>
    <row r="22076" spans="129:129" x14ac:dyDescent="0.2">
      <c r="DY22076" s="185" t="s">
        <v>215</v>
      </c>
    </row>
    <row r="22077" spans="129:129" x14ac:dyDescent="0.2">
      <c r="DY22077" s="185" t="s">
        <v>215</v>
      </c>
    </row>
    <row r="22078" spans="129:129" x14ac:dyDescent="0.2">
      <c r="DY22078" s="185" t="s">
        <v>215</v>
      </c>
    </row>
    <row r="22079" spans="129:129" x14ac:dyDescent="0.2">
      <c r="DY22079" s="185" t="s">
        <v>215</v>
      </c>
    </row>
    <row r="22080" spans="129:129" x14ac:dyDescent="0.2">
      <c r="DY22080" s="185" t="s">
        <v>215</v>
      </c>
    </row>
    <row r="22081" spans="129:129" x14ac:dyDescent="0.2">
      <c r="DY22081" s="185" t="s">
        <v>215</v>
      </c>
    </row>
    <row r="22082" spans="129:129" x14ac:dyDescent="0.2">
      <c r="DY22082" s="185" t="s">
        <v>215</v>
      </c>
    </row>
    <row r="22083" spans="129:129" x14ac:dyDescent="0.2">
      <c r="DY22083" s="185" t="s">
        <v>215</v>
      </c>
    </row>
    <row r="22084" spans="129:129" x14ac:dyDescent="0.2">
      <c r="DY22084" s="185" t="s">
        <v>215</v>
      </c>
    </row>
    <row r="22085" spans="129:129" x14ac:dyDescent="0.2">
      <c r="DY22085" s="185" t="s">
        <v>215</v>
      </c>
    </row>
    <row r="22086" spans="129:129" x14ac:dyDescent="0.2">
      <c r="DY22086" s="185" t="s">
        <v>215</v>
      </c>
    </row>
    <row r="22087" spans="129:129" x14ac:dyDescent="0.2">
      <c r="DY22087" s="185" t="s">
        <v>215</v>
      </c>
    </row>
    <row r="22088" spans="129:129" x14ac:dyDescent="0.2">
      <c r="DY22088" s="185" t="s">
        <v>215</v>
      </c>
    </row>
    <row r="22089" spans="129:129" x14ac:dyDescent="0.2">
      <c r="DY22089" s="185" t="s">
        <v>215</v>
      </c>
    </row>
    <row r="22090" spans="129:129" x14ac:dyDescent="0.2">
      <c r="DY22090" s="185" t="s">
        <v>215</v>
      </c>
    </row>
    <row r="22091" spans="129:129" x14ac:dyDescent="0.2">
      <c r="DY22091" s="185" t="s">
        <v>215</v>
      </c>
    </row>
    <row r="22092" spans="129:129" x14ac:dyDescent="0.2">
      <c r="DY22092" s="185" t="s">
        <v>215</v>
      </c>
    </row>
    <row r="22093" spans="129:129" x14ac:dyDescent="0.2">
      <c r="DY22093" s="185" t="s">
        <v>215</v>
      </c>
    </row>
    <row r="22094" spans="129:129" x14ac:dyDescent="0.2">
      <c r="DY22094" s="185" t="s">
        <v>215</v>
      </c>
    </row>
    <row r="22095" spans="129:129" x14ac:dyDescent="0.2">
      <c r="DY22095" s="185" t="s">
        <v>215</v>
      </c>
    </row>
    <row r="22096" spans="129:129" x14ac:dyDescent="0.2">
      <c r="DY22096" s="185" t="s">
        <v>215</v>
      </c>
    </row>
    <row r="22097" spans="129:129" x14ac:dyDescent="0.2">
      <c r="DY22097" s="185" t="s">
        <v>215</v>
      </c>
    </row>
    <row r="22098" spans="129:129" x14ac:dyDescent="0.2">
      <c r="DY22098" s="185" t="s">
        <v>215</v>
      </c>
    </row>
    <row r="22099" spans="129:129" x14ac:dyDescent="0.2">
      <c r="DY22099" s="185" t="s">
        <v>215</v>
      </c>
    </row>
    <row r="22100" spans="129:129" x14ac:dyDescent="0.2">
      <c r="DY22100" s="185" t="s">
        <v>215</v>
      </c>
    </row>
    <row r="22101" spans="129:129" x14ac:dyDescent="0.2">
      <c r="DY22101" s="185" t="s">
        <v>215</v>
      </c>
    </row>
    <row r="22102" spans="129:129" x14ac:dyDescent="0.2">
      <c r="DY22102" s="185" t="s">
        <v>215</v>
      </c>
    </row>
    <row r="22103" spans="129:129" x14ac:dyDescent="0.2">
      <c r="DY22103" s="185" t="s">
        <v>215</v>
      </c>
    </row>
    <row r="22104" spans="129:129" x14ac:dyDescent="0.2">
      <c r="DY22104" s="185" t="s">
        <v>215</v>
      </c>
    </row>
    <row r="22105" spans="129:129" x14ac:dyDescent="0.2">
      <c r="DY22105" s="185" t="s">
        <v>215</v>
      </c>
    </row>
    <row r="22106" spans="129:129" x14ac:dyDescent="0.2">
      <c r="DY22106" s="185" t="s">
        <v>215</v>
      </c>
    </row>
    <row r="22107" spans="129:129" x14ac:dyDescent="0.2">
      <c r="DY22107" s="185" t="s">
        <v>215</v>
      </c>
    </row>
    <row r="22108" spans="129:129" x14ac:dyDescent="0.2">
      <c r="DY22108" s="185" t="s">
        <v>215</v>
      </c>
    </row>
    <row r="22109" spans="129:129" x14ac:dyDescent="0.2">
      <c r="DY22109" s="185" t="s">
        <v>215</v>
      </c>
    </row>
    <row r="22110" spans="129:129" x14ac:dyDescent="0.2">
      <c r="DY22110" s="185" t="s">
        <v>215</v>
      </c>
    </row>
    <row r="22111" spans="129:129" x14ac:dyDescent="0.2">
      <c r="DY22111" s="185" t="s">
        <v>215</v>
      </c>
    </row>
    <row r="22112" spans="129:129" x14ac:dyDescent="0.2">
      <c r="DY22112" s="185" t="s">
        <v>215</v>
      </c>
    </row>
    <row r="22113" spans="129:129" x14ac:dyDescent="0.2">
      <c r="DY22113" s="185" t="s">
        <v>215</v>
      </c>
    </row>
    <row r="22114" spans="129:129" x14ac:dyDescent="0.2">
      <c r="DY22114" s="185" t="s">
        <v>215</v>
      </c>
    </row>
    <row r="22115" spans="129:129" x14ac:dyDescent="0.2">
      <c r="DY22115" s="185" t="s">
        <v>215</v>
      </c>
    </row>
    <row r="22116" spans="129:129" x14ac:dyDescent="0.2">
      <c r="DY22116" s="185" t="s">
        <v>215</v>
      </c>
    </row>
    <row r="22117" spans="129:129" x14ac:dyDescent="0.2">
      <c r="DY22117" s="185" t="s">
        <v>215</v>
      </c>
    </row>
    <row r="22118" spans="129:129" x14ac:dyDescent="0.2">
      <c r="DY22118" s="185" t="s">
        <v>215</v>
      </c>
    </row>
    <row r="22119" spans="129:129" x14ac:dyDescent="0.2">
      <c r="DY22119" s="185" t="s">
        <v>215</v>
      </c>
    </row>
    <row r="22120" spans="129:129" x14ac:dyDescent="0.2">
      <c r="DY22120" s="185" t="s">
        <v>215</v>
      </c>
    </row>
    <row r="22121" spans="129:129" x14ac:dyDescent="0.2">
      <c r="DY22121" s="185" t="s">
        <v>215</v>
      </c>
    </row>
    <row r="22122" spans="129:129" x14ac:dyDescent="0.2">
      <c r="DY22122" s="185" t="s">
        <v>215</v>
      </c>
    </row>
    <row r="22123" spans="129:129" x14ac:dyDescent="0.2">
      <c r="DY22123" s="185" t="s">
        <v>215</v>
      </c>
    </row>
    <row r="22124" spans="129:129" x14ac:dyDescent="0.2">
      <c r="DY22124" s="185" t="s">
        <v>215</v>
      </c>
    </row>
    <row r="22125" spans="129:129" x14ac:dyDescent="0.2">
      <c r="DY22125" s="185" t="s">
        <v>215</v>
      </c>
    </row>
    <row r="22126" spans="129:129" x14ac:dyDescent="0.2">
      <c r="DY22126" s="185" t="s">
        <v>215</v>
      </c>
    </row>
    <row r="22127" spans="129:129" x14ac:dyDescent="0.2">
      <c r="DY22127" s="185" t="s">
        <v>215</v>
      </c>
    </row>
    <row r="22128" spans="129:129" x14ac:dyDescent="0.2">
      <c r="DY22128" s="185" t="s">
        <v>215</v>
      </c>
    </row>
    <row r="22129" spans="129:129" x14ac:dyDescent="0.2">
      <c r="DY22129" s="185" t="s">
        <v>215</v>
      </c>
    </row>
    <row r="22130" spans="129:129" x14ac:dyDescent="0.2">
      <c r="DY22130" s="185" t="s">
        <v>215</v>
      </c>
    </row>
    <row r="22131" spans="129:129" x14ac:dyDescent="0.2">
      <c r="DY22131" s="185" t="s">
        <v>215</v>
      </c>
    </row>
    <row r="22132" spans="129:129" x14ac:dyDescent="0.2">
      <c r="DY22132" s="185" t="s">
        <v>215</v>
      </c>
    </row>
    <row r="22133" spans="129:129" x14ac:dyDescent="0.2">
      <c r="DY22133" s="185" t="s">
        <v>215</v>
      </c>
    </row>
    <row r="22134" spans="129:129" x14ac:dyDescent="0.2">
      <c r="DY22134" s="185" t="s">
        <v>215</v>
      </c>
    </row>
    <row r="22135" spans="129:129" x14ac:dyDescent="0.2">
      <c r="DY22135" s="185" t="s">
        <v>215</v>
      </c>
    </row>
    <row r="22136" spans="129:129" x14ac:dyDescent="0.2">
      <c r="DY22136" s="185" t="s">
        <v>215</v>
      </c>
    </row>
    <row r="22137" spans="129:129" x14ac:dyDescent="0.2">
      <c r="DY22137" s="185" t="s">
        <v>215</v>
      </c>
    </row>
    <row r="22138" spans="129:129" x14ac:dyDescent="0.2">
      <c r="DY22138" s="185" t="s">
        <v>215</v>
      </c>
    </row>
    <row r="22139" spans="129:129" x14ac:dyDescent="0.2">
      <c r="DY22139" s="185" t="s">
        <v>215</v>
      </c>
    </row>
    <row r="22140" spans="129:129" x14ac:dyDescent="0.2">
      <c r="DY22140" s="185" t="s">
        <v>215</v>
      </c>
    </row>
    <row r="22141" spans="129:129" x14ac:dyDescent="0.2">
      <c r="DY22141" s="185" t="s">
        <v>215</v>
      </c>
    </row>
    <row r="22142" spans="129:129" x14ac:dyDescent="0.2">
      <c r="DY22142" s="185" t="s">
        <v>215</v>
      </c>
    </row>
    <row r="22143" spans="129:129" x14ac:dyDescent="0.2">
      <c r="DY22143" s="185" t="s">
        <v>215</v>
      </c>
    </row>
    <row r="22144" spans="129:129" x14ac:dyDescent="0.2">
      <c r="DY22144" s="185" t="s">
        <v>215</v>
      </c>
    </row>
    <row r="22145" spans="129:129" x14ac:dyDescent="0.2">
      <c r="DY22145" s="185" t="s">
        <v>215</v>
      </c>
    </row>
    <row r="22146" spans="129:129" x14ac:dyDescent="0.2">
      <c r="DY22146" s="185" t="s">
        <v>215</v>
      </c>
    </row>
    <row r="22147" spans="129:129" x14ac:dyDescent="0.2">
      <c r="DY22147" s="185" t="s">
        <v>215</v>
      </c>
    </row>
    <row r="22148" spans="129:129" x14ac:dyDescent="0.2">
      <c r="DY22148" s="185" t="s">
        <v>215</v>
      </c>
    </row>
    <row r="22149" spans="129:129" x14ac:dyDescent="0.2">
      <c r="DY22149" s="185" t="s">
        <v>215</v>
      </c>
    </row>
    <row r="22150" spans="129:129" x14ac:dyDescent="0.2">
      <c r="DY22150" s="185" t="s">
        <v>215</v>
      </c>
    </row>
    <row r="22151" spans="129:129" x14ac:dyDescent="0.2">
      <c r="DY22151" s="185" t="s">
        <v>215</v>
      </c>
    </row>
    <row r="22152" spans="129:129" x14ac:dyDescent="0.2">
      <c r="DY22152" s="185" t="s">
        <v>215</v>
      </c>
    </row>
    <row r="22153" spans="129:129" x14ac:dyDescent="0.2">
      <c r="DY22153" s="185" t="s">
        <v>215</v>
      </c>
    </row>
    <row r="22154" spans="129:129" x14ac:dyDescent="0.2">
      <c r="DY22154" s="185" t="s">
        <v>215</v>
      </c>
    </row>
    <row r="22155" spans="129:129" x14ac:dyDescent="0.2">
      <c r="DY22155" s="185" t="s">
        <v>215</v>
      </c>
    </row>
    <row r="22156" spans="129:129" x14ac:dyDescent="0.2">
      <c r="DY22156" s="185" t="s">
        <v>215</v>
      </c>
    </row>
    <row r="22157" spans="129:129" x14ac:dyDescent="0.2">
      <c r="DY22157" s="185" t="s">
        <v>215</v>
      </c>
    </row>
    <row r="22158" spans="129:129" x14ac:dyDescent="0.2">
      <c r="DY22158" s="185" t="s">
        <v>215</v>
      </c>
    </row>
    <row r="22159" spans="129:129" x14ac:dyDescent="0.2">
      <c r="DY22159" s="185" t="s">
        <v>215</v>
      </c>
    </row>
    <row r="22160" spans="129:129" x14ac:dyDescent="0.2">
      <c r="DY22160" s="185" t="s">
        <v>215</v>
      </c>
    </row>
    <row r="22161" spans="129:129" x14ac:dyDescent="0.2">
      <c r="DY22161" s="185" t="s">
        <v>215</v>
      </c>
    </row>
    <row r="22162" spans="129:129" x14ac:dyDescent="0.2">
      <c r="DY22162" s="185" t="s">
        <v>215</v>
      </c>
    </row>
    <row r="22163" spans="129:129" x14ac:dyDescent="0.2">
      <c r="DY22163" s="185" t="s">
        <v>215</v>
      </c>
    </row>
    <row r="22164" spans="129:129" x14ac:dyDescent="0.2">
      <c r="DY22164" s="185" t="s">
        <v>215</v>
      </c>
    </row>
    <row r="22165" spans="129:129" x14ac:dyDescent="0.2">
      <c r="DY22165" s="185" t="s">
        <v>215</v>
      </c>
    </row>
    <row r="22166" spans="129:129" x14ac:dyDescent="0.2">
      <c r="DY22166" s="185" t="s">
        <v>215</v>
      </c>
    </row>
    <row r="22167" spans="129:129" x14ac:dyDescent="0.2">
      <c r="DY22167" s="185" t="s">
        <v>215</v>
      </c>
    </row>
    <row r="22168" spans="129:129" x14ac:dyDescent="0.2">
      <c r="DY22168" s="185" t="s">
        <v>215</v>
      </c>
    </row>
    <row r="22169" spans="129:129" x14ac:dyDescent="0.2">
      <c r="DY22169" s="185" t="s">
        <v>215</v>
      </c>
    </row>
    <row r="22170" spans="129:129" x14ac:dyDescent="0.2">
      <c r="DY22170" s="185" t="s">
        <v>215</v>
      </c>
    </row>
    <row r="22171" spans="129:129" x14ac:dyDescent="0.2">
      <c r="DY22171" s="185" t="s">
        <v>215</v>
      </c>
    </row>
    <row r="22172" spans="129:129" x14ac:dyDescent="0.2">
      <c r="DY22172" s="185" t="s">
        <v>215</v>
      </c>
    </row>
    <row r="22173" spans="129:129" x14ac:dyDescent="0.2">
      <c r="DY22173" s="185" t="s">
        <v>215</v>
      </c>
    </row>
    <row r="22174" spans="129:129" x14ac:dyDescent="0.2">
      <c r="DY22174" s="185" t="s">
        <v>215</v>
      </c>
    </row>
    <row r="22175" spans="129:129" x14ac:dyDescent="0.2">
      <c r="DY22175" s="185" t="s">
        <v>215</v>
      </c>
    </row>
    <row r="22176" spans="129:129" x14ac:dyDescent="0.2">
      <c r="DY22176" s="185" t="s">
        <v>215</v>
      </c>
    </row>
    <row r="22177" spans="129:129" x14ac:dyDescent="0.2">
      <c r="DY22177" s="185" t="s">
        <v>215</v>
      </c>
    </row>
    <row r="22178" spans="129:129" x14ac:dyDescent="0.2">
      <c r="DY22178" s="185" t="s">
        <v>215</v>
      </c>
    </row>
    <row r="22179" spans="129:129" x14ac:dyDescent="0.2">
      <c r="DY22179" s="185" t="s">
        <v>215</v>
      </c>
    </row>
    <row r="22180" spans="129:129" x14ac:dyDescent="0.2">
      <c r="DY22180" s="185" t="s">
        <v>215</v>
      </c>
    </row>
    <row r="22181" spans="129:129" x14ac:dyDescent="0.2">
      <c r="DY22181" s="185" t="s">
        <v>215</v>
      </c>
    </row>
    <row r="22182" spans="129:129" x14ac:dyDescent="0.2">
      <c r="DY22182" s="185" t="s">
        <v>215</v>
      </c>
    </row>
    <row r="22183" spans="129:129" x14ac:dyDescent="0.2">
      <c r="DY22183" s="185" t="s">
        <v>215</v>
      </c>
    </row>
    <row r="22184" spans="129:129" x14ac:dyDescent="0.2">
      <c r="DY22184" s="185" t="s">
        <v>215</v>
      </c>
    </row>
    <row r="22185" spans="129:129" x14ac:dyDescent="0.2">
      <c r="DY22185" s="185" t="s">
        <v>215</v>
      </c>
    </row>
    <row r="22186" spans="129:129" x14ac:dyDescent="0.2">
      <c r="DY22186" s="185" t="s">
        <v>215</v>
      </c>
    </row>
    <row r="22187" spans="129:129" x14ac:dyDescent="0.2">
      <c r="DY22187" s="185" t="s">
        <v>215</v>
      </c>
    </row>
    <row r="22188" spans="129:129" x14ac:dyDescent="0.2">
      <c r="DY22188" s="185" t="s">
        <v>215</v>
      </c>
    </row>
    <row r="22189" spans="129:129" x14ac:dyDescent="0.2">
      <c r="DY22189" s="185" t="s">
        <v>215</v>
      </c>
    </row>
    <row r="22190" spans="129:129" x14ac:dyDescent="0.2">
      <c r="DY22190" s="185" t="s">
        <v>215</v>
      </c>
    </row>
    <row r="22191" spans="129:129" x14ac:dyDescent="0.2">
      <c r="DY22191" s="185" t="s">
        <v>215</v>
      </c>
    </row>
    <row r="22192" spans="129:129" x14ac:dyDescent="0.2">
      <c r="DY22192" s="185" t="s">
        <v>215</v>
      </c>
    </row>
    <row r="22193" spans="129:129" x14ac:dyDescent="0.2">
      <c r="DY22193" s="185" t="s">
        <v>215</v>
      </c>
    </row>
    <row r="22194" spans="129:129" x14ac:dyDescent="0.2">
      <c r="DY22194" s="185" t="s">
        <v>215</v>
      </c>
    </row>
    <row r="22195" spans="129:129" x14ac:dyDescent="0.2">
      <c r="DY22195" s="185" t="s">
        <v>215</v>
      </c>
    </row>
    <row r="22196" spans="129:129" x14ac:dyDescent="0.2">
      <c r="DY22196" s="185" t="s">
        <v>215</v>
      </c>
    </row>
    <row r="22197" spans="129:129" x14ac:dyDescent="0.2">
      <c r="DY22197" s="185" t="s">
        <v>215</v>
      </c>
    </row>
    <row r="22198" spans="129:129" x14ac:dyDescent="0.2">
      <c r="DY22198" s="185" t="s">
        <v>215</v>
      </c>
    </row>
    <row r="22199" spans="129:129" x14ac:dyDescent="0.2">
      <c r="DY22199" s="185" t="s">
        <v>215</v>
      </c>
    </row>
    <row r="22200" spans="129:129" x14ac:dyDescent="0.2">
      <c r="DY22200" s="185" t="s">
        <v>215</v>
      </c>
    </row>
    <row r="22201" spans="129:129" x14ac:dyDescent="0.2">
      <c r="DY22201" s="185" t="s">
        <v>215</v>
      </c>
    </row>
    <row r="22202" spans="129:129" x14ac:dyDescent="0.2">
      <c r="DY22202" s="185" t="s">
        <v>215</v>
      </c>
    </row>
    <row r="22203" spans="129:129" x14ac:dyDescent="0.2">
      <c r="DY22203" s="185" t="s">
        <v>215</v>
      </c>
    </row>
    <row r="22204" spans="129:129" x14ac:dyDescent="0.2">
      <c r="DY22204" s="185" t="s">
        <v>215</v>
      </c>
    </row>
    <row r="22205" spans="129:129" x14ac:dyDescent="0.2">
      <c r="DY22205" s="185" t="s">
        <v>215</v>
      </c>
    </row>
    <row r="22206" spans="129:129" x14ac:dyDescent="0.2">
      <c r="DY22206" s="185" t="s">
        <v>215</v>
      </c>
    </row>
    <row r="22207" spans="129:129" x14ac:dyDescent="0.2">
      <c r="DY22207" s="185" t="s">
        <v>215</v>
      </c>
    </row>
    <row r="22208" spans="129:129" x14ac:dyDescent="0.2">
      <c r="DY22208" s="185" t="s">
        <v>215</v>
      </c>
    </row>
    <row r="22209" spans="129:129" x14ac:dyDescent="0.2">
      <c r="DY22209" s="185" t="s">
        <v>215</v>
      </c>
    </row>
    <row r="22210" spans="129:129" x14ac:dyDescent="0.2">
      <c r="DY22210" s="185" t="s">
        <v>215</v>
      </c>
    </row>
    <row r="22211" spans="129:129" x14ac:dyDescent="0.2">
      <c r="DY22211" s="185" t="s">
        <v>215</v>
      </c>
    </row>
    <row r="22212" spans="129:129" x14ac:dyDescent="0.2">
      <c r="DY22212" s="185" t="s">
        <v>215</v>
      </c>
    </row>
    <row r="22213" spans="129:129" x14ac:dyDescent="0.2">
      <c r="DY22213" s="185" t="s">
        <v>215</v>
      </c>
    </row>
    <row r="22214" spans="129:129" x14ac:dyDescent="0.2">
      <c r="DY22214" s="185" t="s">
        <v>215</v>
      </c>
    </row>
    <row r="22215" spans="129:129" x14ac:dyDescent="0.2">
      <c r="DY22215" s="185" t="s">
        <v>215</v>
      </c>
    </row>
    <row r="22216" spans="129:129" x14ac:dyDescent="0.2">
      <c r="DY22216" s="185" t="s">
        <v>215</v>
      </c>
    </row>
    <row r="22217" spans="129:129" x14ac:dyDescent="0.2">
      <c r="DY22217" s="185" t="s">
        <v>215</v>
      </c>
    </row>
    <row r="22218" spans="129:129" x14ac:dyDescent="0.2">
      <c r="DY22218" s="185" t="s">
        <v>215</v>
      </c>
    </row>
    <row r="22219" spans="129:129" x14ac:dyDescent="0.2">
      <c r="DY22219" s="185" t="s">
        <v>215</v>
      </c>
    </row>
    <row r="22220" spans="129:129" x14ac:dyDescent="0.2">
      <c r="DY22220" s="185" t="s">
        <v>215</v>
      </c>
    </row>
    <row r="22221" spans="129:129" x14ac:dyDescent="0.2">
      <c r="DY22221" s="185" t="s">
        <v>215</v>
      </c>
    </row>
    <row r="22222" spans="129:129" x14ac:dyDescent="0.2">
      <c r="DY22222" s="185" t="s">
        <v>215</v>
      </c>
    </row>
    <row r="22223" spans="129:129" x14ac:dyDescent="0.2">
      <c r="DY22223" s="185" t="s">
        <v>215</v>
      </c>
    </row>
    <row r="22224" spans="129:129" x14ac:dyDescent="0.2">
      <c r="DY22224" s="185" t="s">
        <v>215</v>
      </c>
    </row>
    <row r="22225" spans="129:129" x14ac:dyDescent="0.2">
      <c r="DY22225" s="185" t="s">
        <v>215</v>
      </c>
    </row>
    <row r="22226" spans="129:129" x14ac:dyDescent="0.2">
      <c r="DY22226" s="185" t="s">
        <v>215</v>
      </c>
    </row>
    <row r="22227" spans="129:129" x14ac:dyDescent="0.2">
      <c r="DY22227" s="185" t="s">
        <v>215</v>
      </c>
    </row>
    <row r="22228" spans="129:129" x14ac:dyDescent="0.2">
      <c r="DY22228" s="185" t="s">
        <v>215</v>
      </c>
    </row>
    <row r="22229" spans="129:129" x14ac:dyDescent="0.2">
      <c r="DY22229" s="185" t="s">
        <v>215</v>
      </c>
    </row>
    <row r="22230" spans="129:129" x14ac:dyDescent="0.2">
      <c r="DY22230" s="185" t="s">
        <v>215</v>
      </c>
    </row>
    <row r="22231" spans="129:129" x14ac:dyDescent="0.2">
      <c r="DY22231" s="185" t="s">
        <v>215</v>
      </c>
    </row>
    <row r="22232" spans="129:129" x14ac:dyDescent="0.2">
      <c r="DY22232" s="185" t="s">
        <v>215</v>
      </c>
    </row>
    <row r="22233" spans="129:129" x14ac:dyDescent="0.2">
      <c r="DY22233" s="185" t="s">
        <v>215</v>
      </c>
    </row>
    <row r="22234" spans="129:129" x14ac:dyDescent="0.2">
      <c r="DY22234" s="185" t="s">
        <v>215</v>
      </c>
    </row>
    <row r="22235" spans="129:129" x14ac:dyDescent="0.2">
      <c r="DY22235" s="185" t="s">
        <v>215</v>
      </c>
    </row>
    <row r="22236" spans="129:129" x14ac:dyDescent="0.2">
      <c r="DY22236" s="185" t="s">
        <v>215</v>
      </c>
    </row>
    <row r="22237" spans="129:129" x14ac:dyDescent="0.2">
      <c r="DY22237" s="185" t="s">
        <v>215</v>
      </c>
    </row>
    <row r="22238" spans="129:129" x14ac:dyDescent="0.2">
      <c r="DY22238" s="185" t="s">
        <v>215</v>
      </c>
    </row>
    <row r="22239" spans="129:129" x14ac:dyDescent="0.2">
      <c r="DY22239" s="185" t="s">
        <v>215</v>
      </c>
    </row>
    <row r="22240" spans="129:129" x14ac:dyDescent="0.2">
      <c r="DY22240" s="185" t="s">
        <v>215</v>
      </c>
    </row>
    <row r="22241" spans="129:129" x14ac:dyDescent="0.2">
      <c r="DY22241" s="185" t="s">
        <v>215</v>
      </c>
    </row>
    <row r="22242" spans="129:129" x14ac:dyDescent="0.2">
      <c r="DY22242" s="185" t="s">
        <v>215</v>
      </c>
    </row>
    <row r="22243" spans="129:129" x14ac:dyDescent="0.2">
      <c r="DY22243" s="185" t="s">
        <v>215</v>
      </c>
    </row>
    <row r="22244" spans="129:129" x14ac:dyDescent="0.2">
      <c r="DY22244" s="185" t="s">
        <v>215</v>
      </c>
    </row>
    <row r="22245" spans="129:129" x14ac:dyDescent="0.2">
      <c r="DY22245" s="185" t="s">
        <v>215</v>
      </c>
    </row>
    <row r="22246" spans="129:129" x14ac:dyDescent="0.2">
      <c r="DY22246" s="185" t="s">
        <v>215</v>
      </c>
    </row>
    <row r="22247" spans="129:129" x14ac:dyDescent="0.2">
      <c r="DY22247" s="185" t="s">
        <v>215</v>
      </c>
    </row>
    <row r="22248" spans="129:129" x14ac:dyDescent="0.2">
      <c r="DY22248" s="185" t="s">
        <v>215</v>
      </c>
    </row>
    <row r="22249" spans="129:129" x14ac:dyDescent="0.2">
      <c r="DY22249" s="185" t="s">
        <v>215</v>
      </c>
    </row>
    <row r="22250" spans="129:129" x14ac:dyDescent="0.2">
      <c r="DY22250" s="185" t="s">
        <v>215</v>
      </c>
    </row>
    <row r="22251" spans="129:129" x14ac:dyDescent="0.2">
      <c r="DY22251" s="185" t="s">
        <v>215</v>
      </c>
    </row>
    <row r="22252" spans="129:129" x14ac:dyDescent="0.2">
      <c r="DY22252" s="185" t="s">
        <v>215</v>
      </c>
    </row>
    <row r="22253" spans="129:129" x14ac:dyDescent="0.2">
      <c r="DY22253" s="185" t="s">
        <v>215</v>
      </c>
    </row>
    <row r="22254" spans="129:129" x14ac:dyDescent="0.2">
      <c r="DY22254" s="185" t="s">
        <v>215</v>
      </c>
    </row>
    <row r="22255" spans="129:129" x14ac:dyDescent="0.2">
      <c r="DY22255" s="185" t="s">
        <v>215</v>
      </c>
    </row>
    <row r="22256" spans="129:129" x14ac:dyDescent="0.2">
      <c r="DY22256" s="185" t="s">
        <v>215</v>
      </c>
    </row>
    <row r="22257" spans="129:129" x14ac:dyDescent="0.2">
      <c r="DY22257" s="185" t="s">
        <v>215</v>
      </c>
    </row>
    <row r="22258" spans="129:129" x14ac:dyDescent="0.2">
      <c r="DY22258" s="185" t="s">
        <v>215</v>
      </c>
    </row>
    <row r="22259" spans="129:129" x14ac:dyDescent="0.2">
      <c r="DY22259" s="185" t="s">
        <v>215</v>
      </c>
    </row>
    <row r="22260" spans="129:129" x14ac:dyDescent="0.2">
      <c r="DY22260" s="185" t="s">
        <v>215</v>
      </c>
    </row>
    <row r="22261" spans="129:129" x14ac:dyDescent="0.2">
      <c r="DY22261" s="185" t="s">
        <v>215</v>
      </c>
    </row>
    <row r="22262" spans="129:129" x14ac:dyDescent="0.2">
      <c r="DY22262" s="185" t="s">
        <v>215</v>
      </c>
    </row>
    <row r="22263" spans="129:129" x14ac:dyDescent="0.2">
      <c r="DY22263" s="185" t="s">
        <v>215</v>
      </c>
    </row>
    <row r="22264" spans="129:129" x14ac:dyDescent="0.2">
      <c r="DY22264" s="185" t="s">
        <v>215</v>
      </c>
    </row>
    <row r="22265" spans="129:129" x14ac:dyDescent="0.2">
      <c r="DY22265" s="185" t="s">
        <v>215</v>
      </c>
    </row>
    <row r="22266" spans="129:129" x14ac:dyDescent="0.2">
      <c r="DY22266" s="185" t="s">
        <v>215</v>
      </c>
    </row>
    <row r="22267" spans="129:129" x14ac:dyDescent="0.2">
      <c r="DY22267" s="185" t="s">
        <v>215</v>
      </c>
    </row>
    <row r="22268" spans="129:129" x14ac:dyDescent="0.2">
      <c r="DY22268" s="185" t="s">
        <v>215</v>
      </c>
    </row>
    <row r="22269" spans="129:129" x14ac:dyDescent="0.2">
      <c r="DY22269" s="185" t="s">
        <v>215</v>
      </c>
    </row>
    <row r="22270" spans="129:129" x14ac:dyDescent="0.2">
      <c r="DY22270" s="185" t="s">
        <v>215</v>
      </c>
    </row>
    <row r="22271" spans="129:129" x14ac:dyDescent="0.2">
      <c r="DY22271" s="185" t="s">
        <v>215</v>
      </c>
    </row>
    <row r="22272" spans="129:129" x14ac:dyDescent="0.2">
      <c r="DY22272" s="185" t="s">
        <v>215</v>
      </c>
    </row>
    <row r="22273" spans="129:129" x14ac:dyDescent="0.2">
      <c r="DY22273" s="185" t="s">
        <v>215</v>
      </c>
    </row>
    <row r="22274" spans="129:129" x14ac:dyDescent="0.2">
      <c r="DY22274" s="185" t="s">
        <v>215</v>
      </c>
    </row>
    <row r="22275" spans="129:129" x14ac:dyDescent="0.2">
      <c r="DY22275" s="185" t="s">
        <v>215</v>
      </c>
    </row>
    <row r="22276" spans="129:129" x14ac:dyDescent="0.2">
      <c r="DY22276" s="185" t="s">
        <v>215</v>
      </c>
    </row>
    <row r="22277" spans="129:129" x14ac:dyDescent="0.2">
      <c r="DY22277" s="185" t="s">
        <v>215</v>
      </c>
    </row>
    <row r="22278" spans="129:129" x14ac:dyDescent="0.2">
      <c r="DY22278" s="185" t="s">
        <v>215</v>
      </c>
    </row>
    <row r="22279" spans="129:129" x14ac:dyDescent="0.2">
      <c r="DY22279" s="185" t="s">
        <v>215</v>
      </c>
    </row>
    <row r="22280" spans="129:129" x14ac:dyDescent="0.2">
      <c r="DY22280" s="185" t="s">
        <v>215</v>
      </c>
    </row>
    <row r="22281" spans="129:129" x14ac:dyDescent="0.2">
      <c r="DY22281" s="185" t="s">
        <v>215</v>
      </c>
    </row>
    <row r="22282" spans="129:129" x14ac:dyDescent="0.2">
      <c r="DY22282" s="185" t="s">
        <v>215</v>
      </c>
    </row>
    <row r="22283" spans="129:129" x14ac:dyDescent="0.2">
      <c r="DY22283" s="185" t="s">
        <v>215</v>
      </c>
    </row>
    <row r="22284" spans="129:129" x14ac:dyDescent="0.2">
      <c r="DY22284" s="185" t="s">
        <v>215</v>
      </c>
    </row>
    <row r="22285" spans="129:129" x14ac:dyDescent="0.2">
      <c r="DY22285" s="185" t="s">
        <v>215</v>
      </c>
    </row>
    <row r="22286" spans="129:129" x14ac:dyDescent="0.2">
      <c r="DY22286" s="185" t="s">
        <v>215</v>
      </c>
    </row>
    <row r="22287" spans="129:129" x14ac:dyDescent="0.2">
      <c r="DY22287" s="185" t="s">
        <v>215</v>
      </c>
    </row>
    <row r="22288" spans="129:129" x14ac:dyDescent="0.2">
      <c r="DY22288" s="185" t="s">
        <v>215</v>
      </c>
    </row>
    <row r="22289" spans="129:129" x14ac:dyDescent="0.2">
      <c r="DY22289" s="185" t="s">
        <v>215</v>
      </c>
    </row>
    <row r="22290" spans="129:129" x14ac:dyDescent="0.2">
      <c r="DY22290" s="185" t="s">
        <v>215</v>
      </c>
    </row>
    <row r="22291" spans="129:129" x14ac:dyDescent="0.2">
      <c r="DY22291" s="185" t="s">
        <v>215</v>
      </c>
    </row>
    <row r="22292" spans="129:129" x14ac:dyDescent="0.2">
      <c r="DY22292" s="185" t="s">
        <v>215</v>
      </c>
    </row>
    <row r="22293" spans="129:129" x14ac:dyDescent="0.2">
      <c r="DY22293" s="185" t="s">
        <v>215</v>
      </c>
    </row>
    <row r="22294" spans="129:129" x14ac:dyDescent="0.2">
      <c r="DY22294" s="185" t="s">
        <v>215</v>
      </c>
    </row>
    <row r="22295" spans="129:129" x14ac:dyDescent="0.2">
      <c r="DY22295" s="185" t="s">
        <v>215</v>
      </c>
    </row>
    <row r="22296" spans="129:129" x14ac:dyDescent="0.2">
      <c r="DY22296" s="185" t="s">
        <v>215</v>
      </c>
    </row>
    <row r="22297" spans="129:129" x14ac:dyDescent="0.2">
      <c r="DY22297" s="185" t="s">
        <v>215</v>
      </c>
    </row>
    <row r="22298" spans="129:129" x14ac:dyDescent="0.2">
      <c r="DY22298" s="185" t="s">
        <v>215</v>
      </c>
    </row>
    <row r="22299" spans="129:129" x14ac:dyDescent="0.2">
      <c r="DY22299" s="185" t="s">
        <v>215</v>
      </c>
    </row>
    <row r="22300" spans="129:129" x14ac:dyDescent="0.2">
      <c r="DY22300" s="185" t="s">
        <v>215</v>
      </c>
    </row>
    <row r="22301" spans="129:129" x14ac:dyDescent="0.2">
      <c r="DY22301" s="185" t="s">
        <v>215</v>
      </c>
    </row>
    <row r="22302" spans="129:129" x14ac:dyDescent="0.2">
      <c r="DY22302" s="185" t="s">
        <v>215</v>
      </c>
    </row>
    <row r="22303" spans="129:129" x14ac:dyDescent="0.2">
      <c r="DY22303" s="185" t="s">
        <v>215</v>
      </c>
    </row>
    <row r="22304" spans="129:129" x14ac:dyDescent="0.2">
      <c r="DY22304" s="185" t="s">
        <v>215</v>
      </c>
    </row>
    <row r="22305" spans="129:129" x14ac:dyDescent="0.2">
      <c r="DY22305" s="185" t="s">
        <v>215</v>
      </c>
    </row>
    <row r="22306" spans="129:129" x14ac:dyDescent="0.2">
      <c r="DY22306" s="185" t="s">
        <v>215</v>
      </c>
    </row>
    <row r="22307" spans="129:129" x14ac:dyDescent="0.2">
      <c r="DY22307" s="185" t="s">
        <v>215</v>
      </c>
    </row>
    <row r="22308" spans="129:129" x14ac:dyDescent="0.2">
      <c r="DY22308" s="185" t="s">
        <v>215</v>
      </c>
    </row>
    <row r="22309" spans="129:129" x14ac:dyDescent="0.2">
      <c r="DY22309" s="185" t="s">
        <v>215</v>
      </c>
    </row>
    <row r="22310" spans="129:129" x14ac:dyDescent="0.2">
      <c r="DY22310" s="185" t="s">
        <v>215</v>
      </c>
    </row>
    <row r="22311" spans="129:129" x14ac:dyDescent="0.2">
      <c r="DY22311" s="185" t="s">
        <v>215</v>
      </c>
    </row>
    <row r="22312" spans="129:129" x14ac:dyDescent="0.2">
      <c r="DY22312" s="185" t="s">
        <v>215</v>
      </c>
    </row>
    <row r="22313" spans="129:129" x14ac:dyDescent="0.2">
      <c r="DY22313" s="185" t="s">
        <v>215</v>
      </c>
    </row>
    <row r="22314" spans="129:129" x14ac:dyDescent="0.2">
      <c r="DY22314" s="185" t="s">
        <v>215</v>
      </c>
    </row>
    <row r="22315" spans="129:129" x14ac:dyDescent="0.2">
      <c r="DY22315" s="185" t="s">
        <v>215</v>
      </c>
    </row>
    <row r="22316" spans="129:129" x14ac:dyDescent="0.2">
      <c r="DY22316" s="185" t="s">
        <v>215</v>
      </c>
    </row>
    <row r="22317" spans="129:129" x14ac:dyDescent="0.2">
      <c r="DY22317" s="185" t="s">
        <v>215</v>
      </c>
    </row>
    <row r="22318" spans="129:129" x14ac:dyDescent="0.2">
      <c r="DY22318" s="185" t="s">
        <v>215</v>
      </c>
    </row>
    <row r="22319" spans="129:129" x14ac:dyDescent="0.2">
      <c r="DY22319" s="185" t="s">
        <v>215</v>
      </c>
    </row>
    <row r="22320" spans="129:129" x14ac:dyDescent="0.2">
      <c r="DY22320" s="185" t="s">
        <v>215</v>
      </c>
    </row>
    <row r="22321" spans="129:129" x14ac:dyDescent="0.2">
      <c r="DY22321" s="185" t="s">
        <v>215</v>
      </c>
    </row>
    <row r="22322" spans="129:129" x14ac:dyDescent="0.2">
      <c r="DY22322" s="185" t="s">
        <v>215</v>
      </c>
    </row>
    <row r="22323" spans="129:129" x14ac:dyDescent="0.2">
      <c r="DY22323" s="185" t="s">
        <v>215</v>
      </c>
    </row>
    <row r="22324" spans="129:129" x14ac:dyDescent="0.2">
      <c r="DY22324" s="185" t="s">
        <v>215</v>
      </c>
    </row>
    <row r="22325" spans="129:129" x14ac:dyDescent="0.2">
      <c r="DY22325" s="185" t="s">
        <v>215</v>
      </c>
    </row>
    <row r="22326" spans="129:129" x14ac:dyDescent="0.2">
      <c r="DY22326" s="185" t="s">
        <v>215</v>
      </c>
    </row>
    <row r="22327" spans="129:129" x14ac:dyDescent="0.2">
      <c r="DY22327" s="185" t="s">
        <v>215</v>
      </c>
    </row>
    <row r="22328" spans="129:129" x14ac:dyDescent="0.2">
      <c r="DY22328" s="185" t="s">
        <v>215</v>
      </c>
    </row>
    <row r="22329" spans="129:129" x14ac:dyDescent="0.2">
      <c r="DY22329" s="185" t="s">
        <v>215</v>
      </c>
    </row>
    <row r="22330" spans="129:129" x14ac:dyDescent="0.2">
      <c r="DY22330" s="185" t="s">
        <v>215</v>
      </c>
    </row>
    <row r="22331" spans="129:129" x14ac:dyDescent="0.2">
      <c r="DY22331" s="185" t="s">
        <v>215</v>
      </c>
    </row>
    <row r="22332" spans="129:129" x14ac:dyDescent="0.2">
      <c r="DY22332" s="185" t="s">
        <v>215</v>
      </c>
    </row>
    <row r="22333" spans="129:129" x14ac:dyDescent="0.2">
      <c r="DY22333" s="185" t="s">
        <v>215</v>
      </c>
    </row>
    <row r="22334" spans="129:129" x14ac:dyDescent="0.2">
      <c r="DY22334" s="185" t="s">
        <v>215</v>
      </c>
    </row>
    <row r="22335" spans="129:129" x14ac:dyDescent="0.2">
      <c r="DY22335" s="185" t="s">
        <v>215</v>
      </c>
    </row>
    <row r="22336" spans="129:129" x14ac:dyDescent="0.2">
      <c r="DY22336" s="185" t="s">
        <v>215</v>
      </c>
    </row>
    <row r="22337" spans="129:129" x14ac:dyDescent="0.2">
      <c r="DY22337" s="185" t="s">
        <v>215</v>
      </c>
    </row>
    <row r="22338" spans="129:129" x14ac:dyDescent="0.2">
      <c r="DY22338" s="185" t="s">
        <v>215</v>
      </c>
    </row>
    <row r="22339" spans="129:129" x14ac:dyDescent="0.2">
      <c r="DY22339" s="185" t="s">
        <v>215</v>
      </c>
    </row>
    <row r="22340" spans="129:129" x14ac:dyDescent="0.2">
      <c r="DY22340" s="185" t="s">
        <v>215</v>
      </c>
    </row>
    <row r="22341" spans="129:129" x14ac:dyDescent="0.2">
      <c r="DY22341" s="185" t="s">
        <v>215</v>
      </c>
    </row>
    <row r="22342" spans="129:129" x14ac:dyDescent="0.2">
      <c r="DY22342" s="185" t="s">
        <v>215</v>
      </c>
    </row>
    <row r="22343" spans="129:129" x14ac:dyDescent="0.2">
      <c r="DY22343" s="185" t="s">
        <v>215</v>
      </c>
    </row>
    <row r="22344" spans="129:129" x14ac:dyDescent="0.2">
      <c r="DY22344" s="185" t="s">
        <v>215</v>
      </c>
    </row>
    <row r="22345" spans="129:129" x14ac:dyDescent="0.2">
      <c r="DY22345" s="185" t="s">
        <v>215</v>
      </c>
    </row>
    <row r="22346" spans="129:129" x14ac:dyDescent="0.2">
      <c r="DY22346" s="185" t="s">
        <v>215</v>
      </c>
    </row>
    <row r="22347" spans="129:129" x14ac:dyDescent="0.2">
      <c r="DY22347" s="185" t="s">
        <v>215</v>
      </c>
    </row>
    <row r="22348" spans="129:129" x14ac:dyDescent="0.2">
      <c r="DY22348" s="185" t="s">
        <v>215</v>
      </c>
    </row>
    <row r="22349" spans="129:129" x14ac:dyDescent="0.2">
      <c r="DY22349" s="185" t="s">
        <v>215</v>
      </c>
    </row>
    <row r="22350" spans="129:129" x14ac:dyDescent="0.2">
      <c r="DY22350" s="185" t="s">
        <v>215</v>
      </c>
    </row>
    <row r="22351" spans="129:129" x14ac:dyDescent="0.2">
      <c r="DY22351" s="185" t="s">
        <v>215</v>
      </c>
    </row>
    <row r="22352" spans="129:129" x14ac:dyDescent="0.2">
      <c r="DY22352" s="185" t="s">
        <v>215</v>
      </c>
    </row>
    <row r="22353" spans="129:129" x14ac:dyDescent="0.2">
      <c r="DY22353" s="185" t="s">
        <v>215</v>
      </c>
    </row>
    <row r="22354" spans="129:129" x14ac:dyDescent="0.2">
      <c r="DY22354" s="185" t="s">
        <v>215</v>
      </c>
    </row>
    <row r="22355" spans="129:129" x14ac:dyDescent="0.2">
      <c r="DY22355" s="185" t="s">
        <v>215</v>
      </c>
    </row>
    <row r="22356" spans="129:129" x14ac:dyDescent="0.2">
      <c r="DY22356" s="185" t="s">
        <v>215</v>
      </c>
    </row>
    <row r="22357" spans="129:129" x14ac:dyDescent="0.2">
      <c r="DY22357" s="185" t="s">
        <v>215</v>
      </c>
    </row>
    <row r="22358" spans="129:129" x14ac:dyDescent="0.2">
      <c r="DY22358" s="185" t="s">
        <v>215</v>
      </c>
    </row>
    <row r="22359" spans="129:129" x14ac:dyDescent="0.2">
      <c r="DY22359" s="185" t="s">
        <v>215</v>
      </c>
    </row>
    <row r="22360" spans="129:129" x14ac:dyDescent="0.2">
      <c r="DY22360" s="185" t="s">
        <v>215</v>
      </c>
    </row>
    <row r="22361" spans="129:129" x14ac:dyDescent="0.2">
      <c r="DY22361" s="185" t="s">
        <v>215</v>
      </c>
    </row>
    <row r="22362" spans="129:129" x14ac:dyDescent="0.2">
      <c r="DY22362" s="185" t="s">
        <v>215</v>
      </c>
    </row>
    <row r="22363" spans="129:129" x14ac:dyDescent="0.2">
      <c r="DY22363" s="185" t="s">
        <v>215</v>
      </c>
    </row>
    <row r="22364" spans="129:129" x14ac:dyDescent="0.2">
      <c r="DY22364" s="185" t="s">
        <v>215</v>
      </c>
    </row>
    <row r="22365" spans="129:129" x14ac:dyDescent="0.2">
      <c r="DY22365" s="185" t="s">
        <v>215</v>
      </c>
    </row>
    <row r="22366" spans="129:129" x14ac:dyDescent="0.2">
      <c r="DY22366" s="185" t="s">
        <v>215</v>
      </c>
    </row>
    <row r="22367" spans="129:129" x14ac:dyDescent="0.2">
      <c r="DY22367" s="185" t="s">
        <v>215</v>
      </c>
    </row>
    <row r="22368" spans="129:129" x14ac:dyDescent="0.2">
      <c r="DY22368" s="185" t="s">
        <v>215</v>
      </c>
    </row>
    <row r="22369" spans="129:129" x14ac:dyDescent="0.2">
      <c r="DY22369" s="185" t="s">
        <v>215</v>
      </c>
    </row>
    <row r="22370" spans="129:129" x14ac:dyDescent="0.2">
      <c r="DY22370" s="185" t="s">
        <v>215</v>
      </c>
    </row>
    <row r="22371" spans="129:129" x14ac:dyDescent="0.2">
      <c r="DY22371" s="185" t="s">
        <v>215</v>
      </c>
    </row>
    <row r="22372" spans="129:129" x14ac:dyDescent="0.2">
      <c r="DY22372" s="185" t="s">
        <v>215</v>
      </c>
    </row>
    <row r="22373" spans="129:129" x14ac:dyDescent="0.2">
      <c r="DY22373" s="185" t="s">
        <v>215</v>
      </c>
    </row>
    <row r="22374" spans="129:129" x14ac:dyDescent="0.2">
      <c r="DY22374" s="185" t="s">
        <v>215</v>
      </c>
    </row>
    <row r="22375" spans="129:129" x14ac:dyDescent="0.2">
      <c r="DY22375" s="185" t="s">
        <v>215</v>
      </c>
    </row>
    <row r="22376" spans="129:129" x14ac:dyDescent="0.2">
      <c r="DY22376" s="185" t="s">
        <v>215</v>
      </c>
    </row>
    <row r="22377" spans="129:129" x14ac:dyDescent="0.2">
      <c r="DY22377" s="185" t="s">
        <v>215</v>
      </c>
    </row>
    <row r="22378" spans="129:129" x14ac:dyDescent="0.2">
      <c r="DY22378" s="185" t="s">
        <v>215</v>
      </c>
    </row>
    <row r="22379" spans="129:129" x14ac:dyDescent="0.2">
      <c r="DY22379" s="185" t="s">
        <v>215</v>
      </c>
    </row>
    <row r="22380" spans="129:129" x14ac:dyDescent="0.2">
      <c r="DY22380" s="185" t="s">
        <v>215</v>
      </c>
    </row>
    <row r="22381" spans="129:129" x14ac:dyDescent="0.2">
      <c r="DY22381" s="185" t="s">
        <v>215</v>
      </c>
    </row>
    <row r="22382" spans="129:129" x14ac:dyDescent="0.2">
      <c r="DY22382" s="185" t="s">
        <v>215</v>
      </c>
    </row>
    <row r="22383" spans="129:129" x14ac:dyDescent="0.2">
      <c r="DY22383" s="185" t="s">
        <v>215</v>
      </c>
    </row>
    <row r="22384" spans="129:129" x14ac:dyDescent="0.2">
      <c r="DY22384" s="185" t="s">
        <v>215</v>
      </c>
    </row>
    <row r="22385" spans="129:129" x14ac:dyDescent="0.2">
      <c r="DY22385" s="185" t="s">
        <v>215</v>
      </c>
    </row>
    <row r="22386" spans="129:129" x14ac:dyDescent="0.2">
      <c r="DY22386" s="185" t="s">
        <v>215</v>
      </c>
    </row>
    <row r="22387" spans="129:129" x14ac:dyDescent="0.2">
      <c r="DY22387" s="185" t="s">
        <v>215</v>
      </c>
    </row>
    <row r="22388" spans="129:129" x14ac:dyDescent="0.2">
      <c r="DY22388" s="185" t="s">
        <v>215</v>
      </c>
    </row>
    <row r="22389" spans="129:129" x14ac:dyDescent="0.2">
      <c r="DY22389" s="185" t="s">
        <v>215</v>
      </c>
    </row>
    <row r="22390" spans="129:129" x14ac:dyDescent="0.2">
      <c r="DY22390" s="185" t="s">
        <v>215</v>
      </c>
    </row>
    <row r="22391" spans="129:129" x14ac:dyDescent="0.2">
      <c r="DY22391" s="185" t="s">
        <v>215</v>
      </c>
    </row>
    <row r="22392" spans="129:129" x14ac:dyDescent="0.2">
      <c r="DY22392" s="185" t="s">
        <v>215</v>
      </c>
    </row>
    <row r="22393" spans="129:129" x14ac:dyDescent="0.2">
      <c r="DY22393" s="185" t="s">
        <v>215</v>
      </c>
    </row>
    <row r="22394" spans="129:129" x14ac:dyDescent="0.2">
      <c r="DY22394" s="185" t="s">
        <v>215</v>
      </c>
    </row>
    <row r="22395" spans="129:129" x14ac:dyDescent="0.2">
      <c r="DY22395" s="185" t="s">
        <v>215</v>
      </c>
    </row>
    <row r="22396" spans="129:129" x14ac:dyDescent="0.2">
      <c r="DY22396" s="185" t="s">
        <v>215</v>
      </c>
    </row>
    <row r="22397" spans="129:129" x14ac:dyDescent="0.2">
      <c r="DY22397" s="185" t="s">
        <v>215</v>
      </c>
    </row>
    <row r="22398" spans="129:129" x14ac:dyDescent="0.2">
      <c r="DY22398" s="185" t="s">
        <v>215</v>
      </c>
    </row>
    <row r="22399" spans="129:129" x14ac:dyDescent="0.2">
      <c r="DY22399" s="185" t="s">
        <v>215</v>
      </c>
    </row>
    <row r="22400" spans="129:129" x14ac:dyDescent="0.2">
      <c r="DY22400" s="185" t="s">
        <v>215</v>
      </c>
    </row>
    <row r="22401" spans="129:129" x14ac:dyDescent="0.2">
      <c r="DY22401" s="185" t="s">
        <v>215</v>
      </c>
    </row>
    <row r="22402" spans="129:129" x14ac:dyDescent="0.2">
      <c r="DY22402" s="185" t="s">
        <v>215</v>
      </c>
    </row>
    <row r="22403" spans="129:129" x14ac:dyDescent="0.2">
      <c r="DY22403" s="185" t="s">
        <v>215</v>
      </c>
    </row>
    <row r="22404" spans="129:129" x14ac:dyDescent="0.2">
      <c r="DY22404" s="185" t="s">
        <v>215</v>
      </c>
    </row>
    <row r="22405" spans="129:129" x14ac:dyDescent="0.2">
      <c r="DY22405" s="185" t="s">
        <v>215</v>
      </c>
    </row>
    <row r="22406" spans="129:129" x14ac:dyDescent="0.2">
      <c r="DY22406" s="185" t="s">
        <v>215</v>
      </c>
    </row>
    <row r="22407" spans="129:129" x14ac:dyDescent="0.2">
      <c r="DY22407" s="185" t="s">
        <v>215</v>
      </c>
    </row>
    <row r="22408" spans="129:129" x14ac:dyDescent="0.2">
      <c r="DY22408" s="185" t="s">
        <v>215</v>
      </c>
    </row>
    <row r="22409" spans="129:129" x14ac:dyDescent="0.2">
      <c r="DY22409" s="185" t="s">
        <v>215</v>
      </c>
    </row>
    <row r="22410" spans="129:129" x14ac:dyDescent="0.2">
      <c r="DY22410" s="185" t="s">
        <v>215</v>
      </c>
    </row>
    <row r="22411" spans="129:129" x14ac:dyDescent="0.2">
      <c r="DY22411" s="185" t="s">
        <v>215</v>
      </c>
    </row>
    <row r="22412" spans="129:129" x14ac:dyDescent="0.2">
      <c r="DY22412" s="185" t="s">
        <v>215</v>
      </c>
    </row>
    <row r="22413" spans="129:129" x14ac:dyDescent="0.2">
      <c r="DY22413" s="185" t="s">
        <v>215</v>
      </c>
    </row>
    <row r="22414" spans="129:129" x14ac:dyDescent="0.2">
      <c r="DY22414" s="185" t="s">
        <v>215</v>
      </c>
    </row>
    <row r="22415" spans="129:129" x14ac:dyDescent="0.2">
      <c r="DY22415" s="185" t="s">
        <v>215</v>
      </c>
    </row>
    <row r="22416" spans="129:129" x14ac:dyDescent="0.2">
      <c r="DY22416" s="185" t="s">
        <v>215</v>
      </c>
    </row>
    <row r="22417" spans="129:129" x14ac:dyDescent="0.2">
      <c r="DY22417" s="185" t="s">
        <v>215</v>
      </c>
    </row>
    <row r="22418" spans="129:129" x14ac:dyDescent="0.2">
      <c r="DY22418" s="185" t="s">
        <v>215</v>
      </c>
    </row>
    <row r="22419" spans="129:129" x14ac:dyDescent="0.2">
      <c r="DY22419" s="185" t="s">
        <v>215</v>
      </c>
    </row>
    <row r="22420" spans="129:129" x14ac:dyDescent="0.2">
      <c r="DY22420" s="185" t="s">
        <v>215</v>
      </c>
    </row>
    <row r="22421" spans="129:129" x14ac:dyDescent="0.2">
      <c r="DY22421" s="185" t="s">
        <v>215</v>
      </c>
    </row>
    <row r="22422" spans="129:129" x14ac:dyDescent="0.2">
      <c r="DY22422" s="185" t="s">
        <v>215</v>
      </c>
    </row>
    <row r="22423" spans="129:129" x14ac:dyDescent="0.2">
      <c r="DY22423" s="185" t="s">
        <v>215</v>
      </c>
    </row>
    <row r="22424" spans="129:129" x14ac:dyDescent="0.2">
      <c r="DY22424" s="185" t="s">
        <v>215</v>
      </c>
    </row>
    <row r="22425" spans="129:129" x14ac:dyDescent="0.2">
      <c r="DY22425" s="185" t="s">
        <v>215</v>
      </c>
    </row>
    <row r="22426" spans="129:129" x14ac:dyDescent="0.2">
      <c r="DY22426" s="185" t="s">
        <v>215</v>
      </c>
    </row>
    <row r="22427" spans="129:129" x14ac:dyDescent="0.2">
      <c r="DY22427" s="185" t="s">
        <v>215</v>
      </c>
    </row>
    <row r="22428" spans="129:129" x14ac:dyDescent="0.2">
      <c r="DY22428" s="185" t="s">
        <v>215</v>
      </c>
    </row>
    <row r="22429" spans="129:129" x14ac:dyDescent="0.2">
      <c r="DY22429" s="185" t="s">
        <v>215</v>
      </c>
    </row>
    <row r="22430" spans="129:129" x14ac:dyDescent="0.2">
      <c r="DY22430" s="185" t="s">
        <v>215</v>
      </c>
    </row>
    <row r="22431" spans="129:129" x14ac:dyDescent="0.2">
      <c r="DY22431" s="185" t="s">
        <v>215</v>
      </c>
    </row>
    <row r="22432" spans="129:129" x14ac:dyDescent="0.2">
      <c r="DY22432" s="185" t="s">
        <v>215</v>
      </c>
    </row>
    <row r="22433" spans="129:129" x14ac:dyDescent="0.2">
      <c r="DY22433" s="185" t="s">
        <v>215</v>
      </c>
    </row>
    <row r="22434" spans="129:129" x14ac:dyDescent="0.2">
      <c r="DY22434" s="185" t="s">
        <v>215</v>
      </c>
    </row>
    <row r="22435" spans="129:129" x14ac:dyDescent="0.2">
      <c r="DY22435" s="185" t="s">
        <v>215</v>
      </c>
    </row>
    <row r="22436" spans="129:129" x14ac:dyDescent="0.2">
      <c r="DY22436" s="185" t="s">
        <v>215</v>
      </c>
    </row>
    <row r="22437" spans="129:129" x14ac:dyDescent="0.2">
      <c r="DY22437" s="185" t="s">
        <v>215</v>
      </c>
    </row>
    <row r="22438" spans="129:129" x14ac:dyDescent="0.2">
      <c r="DY22438" s="185" t="s">
        <v>215</v>
      </c>
    </row>
    <row r="22439" spans="129:129" x14ac:dyDescent="0.2">
      <c r="DY22439" s="185" t="s">
        <v>215</v>
      </c>
    </row>
    <row r="22440" spans="129:129" x14ac:dyDescent="0.2">
      <c r="DY22440" s="185" t="s">
        <v>215</v>
      </c>
    </row>
    <row r="22441" spans="129:129" x14ac:dyDescent="0.2">
      <c r="DY22441" s="185" t="s">
        <v>215</v>
      </c>
    </row>
    <row r="22442" spans="129:129" x14ac:dyDescent="0.2">
      <c r="DY22442" s="185" t="s">
        <v>215</v>
      </c>
    </row>
    <row r="22443" spans="129:129" x14ac:dyDescent="0.2">
      <c r="DY22443" s="185" t="s">
        <v>215</v>
      </c>
    </row>
    <row r="22444" spans="129:129" x14ac:dyDescent="0.2">
      <c r="DY22444" s="185" t="s">
        <v>215</v>
      </c>
    </row>
    <row r="22445" spans="129:129" x14ac:dyDescent="0.2">
      <c r="DY22445" s="185" t="s">
        <v>215</v>
      </c>
    </row>
    <row r="22446" spans="129:129" x14ac:dyDescent="0.2">
      <c r="DY22446" s="185" t="s">
        <v>215</v>
      </c>
    </row>
    <row r="22447" spans="129:129" x14ac:dyDescent="0.2">
      <c r="DY22447" s="185" t="s">
        <v>215</v>
      </c>
    </row>
    <row r="22448" spans="129:129" x14ac:dyDescent="0.2">
      <c r="DY22448" s="185" t="s">
        <v>215</v>
      </c>
    </row>
    <row r="22449" spans="129:129" x14ac:dyDescent="0.2">
      <c r="DY22449" s="185" t="s">
        <v>215</v>
      </c>
    </row>
    <row r="22450" spans="129:129" x14ac:dyDescent="0.2">
      <c r="DY22450" s="185" t="s">
        <v>215</v>
      </c>
    </row>
    <row r="22451" spans="129:129" x14ac:dyDescent="0.2">
      <c r="DY22451" s="185" t="s">
        <v>215</v>
      </c>
    </row>
    <row r="22452" spans="129:129" x14ac:dyDescent="0.2">
      <c r="DY22452" s="185" t="s">
        <v>215</v>
      </c>
    </row>
    <row r="22453" spans="129:129" x14ac:dyDescent="0.2">
      <c r="DY22453" s="185" t="s">
        <v>215</v>
      </c>
    </row>
    <row r="22454" spans="129:129" x14ac:dyDescent="0.2">
      <c r="DY22454" s="185" t="s">
        <v>215</v>
      </c>
    </row>
    <row r="22455" spans="129:129" x14ac:dyDescent="0.2">
      <c r="DY22455" s="185" t="s">
        <v>215</v>
      </c>
    </row>
    <row r="22456" spans="129:129" x14ac:dyDescent="0.2">
      <c r="DY22456" s="185" t="s">
        <v>215</v>
      </c>
    </row>
    <row r="22457" spans="129:129" x14ac:dyDescent="0.2">
      <c r="DY22457" s="185" t="s">
        <v>215</v>
      </c>
    </row>
    <row r="22458" spans="129:129" x14ac:dyDescent="0.2">
      <c r="DY22458" s="185" t="s">
        <v>215</v>
      </c>
    </row>
    <row r="22459" spans="129:129" x14ac:dyDescent="0.2">
      <c r="DY22459" s="185" t="s">
        <v>215</v>
      </c>
    </row>
    <row r="22460" spans="129:129" x14ac:dyDescent="0.2">
      <c r="DY22460" s="185" t="s">
        <v>215</v>
      </c>
    </row>
    <row r="22461" spans="129:129" x14ac:dyDescent="0.2">
      <c r="DY22461" s="185" t="s">
        <v>215</v>
      </c>
    </row>
    <row r="22462" spans="129:129" x14ac:dyDescent="0.2">
      <c r="DY22462" s="185" t="s">
        <v>215</v>
      </c>
    </row>
    <row r="22463" spans="129:129" x14ac:dyDescent="0.2">
      <c r="DY22463" s="185" t="s">
        <v>215</v>
      </c>
    </row>
    <row r="22464" spans="129:129" x14ac:dyDescent="0.2">
      <c r="DY22464" s="185" t="s">
        <v>215</v>
      </c>
    </row>
    <row r="22465" spans="129:129" x14ac:dyDescent="0.2">
      <c r="DY22465" s="185" t="s">
        <v>215</v>
      </c>
    </row>
    <row r="22466" spans="129:129" x14ac:dyDescent="0.2">
      <c r="DY22466" s="185" t="s">
        <v>215</v>
      </c>
    </row>
    <row r="22467" spans="129:129" x14ac:dyDescent="0.2">
      <c r="DY22467" s="185" t="s">
        <v>215</v>
      </c>
    </row>
    <row r="22468" spans="129:129" x14ac:dyDescent="0.2">
      <c r="DY22468" s="185" t="s">
        <v>215</v>
      </c>
    </row>
    <row r="22469" spans="129:129" x14ac:dyDescent="0.2">
      <c r="DY22469" s="185" t="s">
        <v>215</v>
      </c>
    </row>
    <row r="22470" spans="129:129" x14ac:dyDescent="0.2">
      <c r="DY22470" s="185" t="s">
        <v>215</v>
      </c>
    </row>
    <row r="22471" spans="129:129" x14ac:dyDescent="0.2">
      <c r="DY22471" s="185" t="s">
        <v>215</v>
      </c>
    </row>
    <row r="22472" spans="129:129" x14ac:dyDescent="0.2">
      <c r="DY22472" s="185" t="s">
        <v>215</v>
      </c>
    </row>
    <row r="22473" spans="129:129" x14ac:dyDescent="0.2">
      <c r="DY22473" s="185" t="s">
        <v>215</v>
      </c>
    </row>
    <row r="22474" spans="129:129" x14ac:dyDescent="0.2">
      <c r="DY22474" s="185" t="s">
        <v>215</v>
      </c>
    </row>
    <row r="22475" spans="129:129" x14ac:dyDescent="0.2">
      <c r="DY22475" s="185" t="s">
        <v>215</v>
      </c>
    </row>
    <row r="22476" spans="129:129" x14ac:dyDescent="0.2">
      <c r="DY22476" s="185" t="s">
        <v>215</v>
      </c>
    </row>
    <row r="22477" spans="129:129" x14ac:dyDescent="0.2">
      <c r="DY22477" s="185" t="s">
        <v>215</v>
      </c>
    </row>
    <row r="22478" spans="129:129" x14ac:dyDescent="0.2">
      <c r="DY22478" s="185" t="s">
        <v>215</v>
      </c>
    </row>
    <row r="22479" spans="129:129" x14ac:dyDescent="0.2">
      <c r="DY22479" s="185" t="s">
        <v>215</v>
      </c>
    </row>
    <row r="22480" spans="129:129" x14ac:dyDescent="0.2">
      <c r="DY22480" s="185" t="s">
        <v>215</v>
      </c>
    </row>
    <row r="22481" spans="129:129" x14ac:dyDescent="0.2">
      <c r="DY22481" s="185" t="s">
        <v>215</v>
      </c>
    </row>
    <row r="22482" spans="129:129" x14ac:dyDescent="0.2">
      <c r="DY22482" s="185" t="s">
        <v>215</v>
      </c>
    </row>
    <row r="22483" spans="129:129" x14ac:dyDescent="0.2">
      <c r="DY22483" s="185" t="s">
        <v>215</v>
      </c>
    </row>
    <row r="22484" spans="129:129" x14ac:dyDescent="0.2">
      <c r="DY22484" s="185" t="s">
        <v>215</v>
      </c>
    </row>
    <row r="22485" spans="129:129" x14ac:dyDescent="0.2">
      <c r="DY22485" s="185" t="s">
        <v>215</v>
      </c>
    </row>
    <row r="22486" spans="129:129" x14ac:dyDescent="0.2">
      <c r="DY22486" s="185" t="s">
        <v>215</v>
      </c>
    </row>
    <row r="22487" spans="129:129" x14ac:dyDescent="0.2">
      <c r="DY22487" s="185" t="s">
        <v>215</v>
      </c>
    </row>
    <row r="22488" spans="129:129" x14ac:dyDescent="0.2">
      <c r="DY22488" s="185" t="s">
        <v>215</v>
      </c>
    </row>
    <row r="22489" spans="129:129" x14ac:dyDescent="0.2">
      <c r="DY22489" s="185" t="s">
        <v>215</v>
      </c>
    </row>
    <row r="22490" spans="129:129" x14ac:dyDescent="0.2">
      <c r="DY22490" s="185" t="s">
        <v>215</v>
      </c>
    </row>
    <row r="22491" spans="129:129" x14ac:dyDescent="0.2">
      <c r="DY22491" s="185" t="s">
        <v>215</v>
      </c>
    </row>
    <row r="22492" spans="129:129" x14ac:dyDescent="0.2">
      <c r="DY22492" s="185" t="s">
        <v>215</v>
      </c>
    </row>
    <row r="22493" spans="129:129" x14ac:dyDescent="0.2">
      <c r="DY22493" s="185" t="s">
        <v>215</v>
      </c>
    </row>
    <row r="22494" spans="129:129" x14ac:dyDescent="0.2">
      <c r="DY22494" s="185" t="s">
        <v>215</v>
      </c>
    </row>
    <row r="22495" spans="129:129" x14ac:dyDescent="0.2">
      <c r="DY22495" s="185" t="s">
        <v>215</v>
      </c>
    </row>
    <row r="22496" spans="129:129" x14ac:dyDescent="0.2">
      <c r="DY22496" s="185" t="s">
        <v>215</v>
      </c>
    </row>
    <row r="22497" spans="129:129" x14ac:dyDescent="0.2">
      <c r="DY22497" s="185" t="s">
        <v>215</v>
      </c>
    </row>
    <row r="22498" spans="129:129" x14ac:dyDescent="0.2">
      <c r="DY22498" s="185" t="s">
        <v>215</v>
      </c>
    </row>
    <row r="22499" spans="129:129" x14ac:dyDescent="0.2">
      <c r="DY22499" s="185" t="s">
        <v>215</v>
      </c>
    </row>
    <row r="22500" spans="129:129" x14ac:dyDescent="0.2">
      <c r="DY22500" s="185" t="s">
        <v>215</v>
      </c>
    </row>
    <row r="22501" spans="129:129" x14ac:dyDescent="0.2">
      <c r="DY22501" s="185" t="s">
        <v>215</v>
      </c>
    </row>
    <row r="22502" spans="129:129" x14ac:dyDescent="0.2">
      <c r="DY22502" s="185" t="s">
        <v>215</v>
      </c>
    </row>
    <row r="22503" spans="129:129" x14ac:dyDescent="0.2">
      <c r="DY22503" s="185" t="s">
        <v>215</v>
      </c>
    </row>
    <row r="22504" spans="129:129" x14ac:dyDescent="0.2">
      <c r="DY22504" s="185" t="s">
        <v>215</v>
      </c>
    </row>
    <row r="22505" spans="129:129" x14ac:dyDescent="0.2">
      <c r="DY22505" s="185" t="s">
        <v>215</v>
      </c>
    </row>
    <row r="22506" spans="129:129" x14ac:dyDescent="0.2">
      <c r="DY22506" s="185" t="s">
        <v>215</v>
      </c>
    </row>
    <row r="22507" spans="129:129" x14ac:dyDescent="0.2">
      <c r="DY22507" s="185" t="s">
        <v>215</v>
      </c>
    </row>
    <row r="22508" spans="129:129" x14ac:dyDescent="0.2">
      <c r="DY22508" s="185" t="s">
        <v>215</v>
      </c>
    </row>
    <row r="22509" spans="129:129" x14ac:dyDescent="0.2">
      <c r="DY22509" s="185" t="s">
        <v>215</v>
      </c>
    </row>
    <row r="22510" spans="129:129" x14ac:dyDescent="0.2">
      <c r="DY22510" s="185" t="s">
        <v>215</v>
      </c>
    </row>
    <row r="22511" spans="129:129" x14ac:dyDescent="0.2">
      <c r="DY22511" s="185" t="s">
        <v>215</v>
      </c>
    </row>
    <row r="22512" spans="129:129" x14ac:dyDescent="0.2">
      <c r="DY22512" s="185" t="s">
        <v>215</v>
      </c>
    </row>
    <row r="22513" spans="129:129" x14ac:dyDescent="0.2">
      <c r="DY22513" s="185" t="s">
        <v>215</v>
      </c>
    </row>
    <row r="22514" spans="129:129" x14ac:dyDescent="0.2">
      <c r="DY22514" s="185" t="s">
        <v>215</v>
      </c>
    </row>
    <row r="22515" spans="129:129" x14ac:dyDescent="0.2">
      <c r="DY22515" s="185" t="s">
        <v>215</v>
      </c>
    </row>
    <row r="22516" spans="129:129" x14ac:dyDescent="0.2">
      <c r="DY22516" s="185" t="s">
        <v>215</v>
      </c>
    </row>
    <row r="22517" spans="129:129" x14ac:dyDescent="0.2">
      <c r="DY22517" s="185" t="s">
        <v>215</v>
      </c>
    </row>
    <row r="22518" spans="129:129" x14ac:dyDescent="0.2">
      <c r="DY22518" s="185" t="s">
        <v>215</v>
      </c>
    </row>
    <row r="22519" spans="129:129" x14ac:dyDescent="0.2">
      <c r="DY22519" s="185" t="s">
        <v>215</v>
      </c>
    </row>
    <row r="22520" spans="129:129" x14ac:dyDescent="0.2">
      <c r="DY22520" s="185" t="s">
        <v>215</v>
      </c>
    </row>
    <row r="22521" spans="129:129" x14ac:dyDescent="0.2">
      <c r="DY22521" s="185" t="s">
        <v>215</v>
      </c>
    </row>
    <row r="22522" spans="129:129" x14ac:dyDescent="0.2">
      <c r="DY22522" s="185" t="s">
        <v>215</v>
      </c>
    </row>
    <row r="22523" spans="129:129" x14ac:dyDescent="0.2">
      <c r="DY22523" s="185" t="s">
        <v>215</v>
      </c>
    </row>
    <row r="22524" spans="129:129" x14ac:dyDescent="0.2">
      <c r="DY22524" s="185" t="s">
        <v>215</v>
      </c>
    </row>
    <row r="22525" spans="129:129" x14ac:dyDescent="0.2">
      <c r="DY22525" s="185" t="s">
        <v>215</v>
      </c>
    </row>
    <row r="22526" spans="129:129" x14ac:dyDescent="0.2">
      <c r="DY22526" s="185" t="s">
        <v>215</v>
      </c>
    </row>
    <row r="22527" spans="129:129" x14ac:dyDescent="0.2">
      <c r="DY22527" s="185" t="s">
        <v>215</v>
      </c>
    </row>
    <row r="22528" spans="129:129" x14ac:dyDescent="0.2">
      <c r="DY22528" s="185" t="s">
        <v>215</v>
      </c>
    </row>
    <row r="22529" spans="129:129" x14ac:dyDescent="0.2">
      <c r="DY22529" s="185" t="s">
        <v>215</v>
      </c>
    </row>
    <row r="22530" spans="129:129" x14ac:dyDescent="0.2">
      <c r="DY22530" s="185" t="s">
        <v>215</v>
      </c>
    </row>
    <row r="22531" spans="129:129" x14ac:dyDescent="0.2">
      <c r="DY22531" s="185" t="s">
        <v>215</v>
      </c>
    </row>
    <row r="22532" spans="129:129" x14ac:dyDescent="0.2">
      <c r="DY22532" s="185" t="s">
        <v>215</v>
      </c>
    </row>
    <row r="22533" spans="129:129" x14ac:dyDescent="0.2">
      <c r="DY22533" s="185" t="s">
        <v>215</v>
      </c>
    </row>
    <row r="22534" spans="129:129" x14ac:dyDescent="0.2">
      <c r="DY22534" s="185" t="s">
        <v>215</v>
      </c>
    </row>
    <row r="22535" spans="129:129" x14ac:dyDescent="0.2">
      <c r="DY22535" s="185" t="s">
        <v>215</v>
      </c>
    </row>
    <row r="22536" spans="129:129" x14ac:dyDescent="0.2">
      <c r="DY22536" s="185" t="s">
        <v>215</v>
      </c>
    </row>
    <row r="22537" spans="129:129" x14ac:dyDescent="0.2">
      <c r="DY22537" s="185" t="s">
        <v>215</v>
      </c>
    </row>
    <row r="22538" spans="129:129" x14ac:dyDescent="0.2">
      <c r="DY22538" s="185" t="s">
        <v>215</v>
      </c>
    </row>
    <row r="22539" spans="129:129" x14ac:dyDescent="0.2">
      <c r="DY22539" s="185" t="s">
        <v>215</v>
      </c>
    </row>
    <row r="22540" spans="129:129" x14ac:dyDescent="0.2">
      <c r="DY22540" s="185" t="s">
        <v>215</v>
      </c>
    </row>
    <row r="22541" spans="129:129" x14ac:dyDescent="0.2">
      <c r="DY22541" s="185" t="s">
        <v>215</v>
      </c>
    </row>
    <row r="22542" spans="129:129" x14ac:dyDescent="0.2">
      <c r="DY22542" s="185" t="s">
        <v>215</v>
      </c>
    </row>
    <row r="22543" spans="129:129" x14ac:dyDescent="0.2">
      <c r="DY22543" s="185" t="s">
        <v>215</v>
      </c>
    </row>
    <row r="22544" spans="129:129" x14ac:dyDescent="0.2">
      <c r="DY22544" s="185" t="s">
        <v>215</v>
      </c>
    </row>
    <row r="22545" spans="129:129" x14ac:dyDescent="0.2">
      <c r="DY22545" s="185" t="s">
        <v>215</v>
      </c>
    </row>
    <row r="22546" spans="129:129" x14ac:dyDescent="0.2">
      <c r="DY22546" s="185" t="s">
        <v>215</v>
      </c>
    </row>
    <row r="22547" spans="129:129" x14ac:dyDescent="0.2">
      <c r="DY22547" s="185" t="s">
        <v>215</v>
      </c>
    </row>
    <row r="22548" spans="129:129" x14ac:dyDescent="0.2">
      <c r="DY22548" s="185" t="s">
        <v>215</v>
      </c>
    </row>
    <row r="22549" spans="129:129" x14ac:dyDescent="0.2">
      <c r="DY22549" s="185" t="s">
        <v>215</v>
      </c>
    </row>
    <row r="22550" spans="129:129" x14ac:dyDescent="0.2">
      <c r="DY22550" s="185" t="s">
        <v>215</v>
      </c>
    </row>
    <row r="22551" spans="129:129" x14ac:dyDescent="0.2">
      <c r="DY22551" s="185" t="s">
        <v>215</v>
      </c>
    </row>
    <row r="22552" spans="129:129" x14ac:dyDescent="0.2">
      <c r="DY22552" s="185" t="s">
        <v>215</v>
      </c>
    </row>
    <row r="22553" spans="129:129" x14ac:dyDescent="0.2">
      <c r="DY22553" s="185" t="s">
        <v>215</v>
      </c>
    </row>
    <row r="22554" spans="129:129" x14ac:dyDescent="0.2">
      <c r="DY22554" s="185" t="s">
        <v>215</v>
      </c>
    </row>
    <row r="22555" spans="129:129" x14ac:dyDescent="0.2">
      <c r="DY22555" s="185" t="s">
        <v>215</v>
      </c>
    </row>
    <row r="22556" spans="129:129" x14ac:dyDescent="0.2">
      <c r="DY22556" s="185" t="s">
        <v>215</v>
      </c>
    </row>
    <row r="22557" spans="129:129" x14ac:dyDescent="0.2">
      <c r="DY22557" s="185" t="s">
        <v>215</v>
      </c>
    </row>
    <row r="22558" spans="129:129" x14ac:dyDescent="0.2">
      <c r="DY22558" s="185" t="s">
        <v>215</v>
      </c>
    </row>
    <row r="22559" spans="129:129" x14ac:dyDescent="0.2">
      <c r="DY22559" s="185" t="s">
        <v>215</v>
      </c>
    </row>
    <row r="22560" spans="129:129" x14ac:dyDescent="0.2">
      <c r="DY22560" s="185" t="s">
        <v>215</v>
      </c>
    </row>
    <row r="22561" spans="129:129" x14ac:dyDescent="0.2">
      <c r="DY22561" s="185" t="s">
        <v>215</v>
      </c>
    </row>
    <row r="22562" spans="129:129" x14ac:dyDescent="0.2">
      <c r="DY22562" s="185" t="s">
        <v>215</v>
      </c>
    </row>
    <row r="22563" spans="129:129" x14ac:dyDescent="0.2">
      <c r="DY22563" s="185" t="s">
        <v>215</v>
      </c>
    </row>
    <row r="22564" spans="129:129" x14ac:dyDescent="0.2">
      <c r="DY22564" s="185" t="s">
        <v>215</v>
      </c>
    </row>
    <row r="22565" spans="129:129" x14ac:dyDescent="0.2">
      <c r="DY22565" s="185" t="s">
        <v>215</v>
      </c>
    </row>
    <row r="22566" spans="129:129" x14ac:dyDescent="0.2">
      <c r="DY22566" s="185" t="s">
        <v>215</v>
      </c>
    </row>
    <row r="22567" spans="129:129" x14ac:dyDescent="0.2">
      <c r="DY22567" s="185" t="s">
        <v>215</v>
      </c>
    </row>
    <row r="22568" spans="129:129" x14ac:dyDescent="0.2">
      <c r="DY22568" s="185" t="s">
        <v>215</v>
      </c>
    </row>
    <row r="22569" spans="129:129" x14ac:dyDescent="0.2">
      <c r="DY22569" s="185" t="s">
        <v>215</v>
      </c>
    </row>
    <row r="22570" spans="129:129" x14ac:dyDescent="0.2">
      <c r="DY22570" s="185" t="s">
        <v>215</v>
      </c>
    </row>
    <row r="22571" spans="129:129" x14ac:dyDescent="0.2">
      <c r="DY22571" s="185" t="s">
        <v>215</v>
      </c>
    </row>
    <row r="22572" spans="129:129" x14ac:dyDescent="0.2">
      <c r="DY22572" s="185" t="s">
        <v>215</v>
      </c>
    </row>
    <row r="22573" spans="129:129" x14ac:dyDescent="0.2">
      <c r="DY22573" s="185" t="s">
        <v>215</v>
      </c>
    </row>
    <row r="22574" spans="129:129" x14ac:dyDescent="0.2">
      <c r="DY22574" s="185" t="s">
        <v>215</v>
      </c>
    </row>
    <row r="22575" spans="129:129" x14ac:dyDescent="0.2">
      <c r="DY22575" s="185" t="s">
        <v>215</v>
      </c>
    </row>
    <row r="22576" spans="129:129" x14ac:dyDescent="0.2">
      <c r="DY22576" s="185" t="s">
        <v>215</v>
      </c>
    </row>
    <row r="22577" spans="129:129" x14ac:dyDescent="0.2">
      <c r="DY22577" s="185" t="s">
        <v>215</v>
      </c>
    </row>
    <row r="22578" spans="129:129" x14ac:dyDescent="0.2">
      <c r="DY22578" s="185" t="s">
        <v>215</v>
      </c>
    </row>
    <row r="22579" spans="129:129" x14ac:dyDescent="0.2">
      <c r="DY22579" s="185" t="s">
        <v>215</v>
      </c>
    </row>
    <row r="22580" spans="129:129" x14ac:dyDescent="0.2">
      <c r="DY22580" s="185" t="s">
        <v>215</v>
      </c>
    </row>
    <row r="22581" spans="129:129" x14ac:dyDescent="0.2">
      <c r="DY22581" s="185" t="s">
        <v>215</v>
      </c>
    </row>
    <row r="22582" spans="129:129" x14ac:dyDescent="0.2">
      <c r="DY22582" s="185" t="s">
        <v>215</v>
      </c>
    </row>
    <row r="22583" spans="129:129" x14ac:dyDescent="0.2">
      <c r="DY22583" s="185" t="s">
        <v>215</v>
      </c>
    </row>
    <row r="22584" spans="129:129" x14ac:dyDescent="0.2">
      <c r="DY22584" s="185" t="s">
        <v>215</v>
      </c>
    </row>
    <row r="22585" spans="129:129" x14ac:dyDescent="0.2">
      <c r="DY22585" s="185" t="s">
        <v>215</v>
      </c>
    </row>
    <row r="22586" spans="129:129" x14ac:dyDescent="0.2">
      <c r="DY22586" s="185" t="s">
        <v>215</v>
      </c>
    </row>
    <row r="22587" spans="129:129" x14ac:dyDescent="0.2">
      <c r="DY22587" s="185" t="s">
        <v>215</v>
      </c>
    </row>
    <row r="22588" spans="129:129" x14ac:dyDescent="0.2">
      <c r="DY22588" s="185" t="s">
        <v>215</v>
      </c>
    </row>
    <row r="22589" spans="129:129" x14ac:dyDescent="0.2">
      <c r="DY22589" s="185" t="s">
        <v>215</v>
      </c>
    </row>
    <row r="22590" spans="129:129" x14ac:dyDescent="0.2">
      <c r="DY22590" s="185" t="s">
        <v>215</v>
      </c>
    </row>
    <row r="22591" spans="129:129" x14ac:dyDescent="0.2">
      <c r="DY22591" s="185" t="s">
        <v>215</v>
      </c>
    </row>
    <row r="22592" spans="129:129" x14ac:dyDescent="0.2">
      <c r="DY22592" s="185" t="s">
        <v>215</v>
      </c>
    </row>
    <row r="22593" spans="129:129" x14ac:dyDescent="0.2">
      <c r="DY22593" s="185" t="s">
        <v>215</v>
      </c>
    </row>
    <row r="22594" spans="129:129" x14ac:dyDescent="0.2">
      <c r="DY22594" s="185" t="s">
        <v>215</v>
      </c>
    </row>
    <row r="22595" spans="129:129" x14ac:dyDescent="0.2">
      <c r="DY22595" s="185" t="s">
        <v>215</v>
      </c>
    </row>
    <row r="22596" spans="129:129" x14ac:dyDescent="0.2">
      <c r="DY22596" s="185" t="s">
        <v>215</v>
      </c>
    </row>
    <row r="22597" spans="129:129" x14ac:dyDescent="0.2">
      <c r="DY22597" s="185" t="s">
        <v>215</v>
      </c>
    </row>
    <row r="22598" spans="129:129" x14ac:dyDescent="0.2">
      <c r="DY22598" s="185" t="s">
        <v>215</v>
      </c>
    </row>
    <row r="22599" spans="129:129" x14ac:dyDescent="0.2">
      <c r="DY22599" s="185" t="s">
        <v>215</v>
      </c>
    </row>
    <row r="22600" spans="129:129" x14ac:dyDescent="0.2">
      <c r="DY22600" s="185" t="s">
        <v>215</v>
      </c>
    </row>
    <row r="22601" spans="129:129" x14ac:dyDescent="0.2">
      <c r="DY22601" s="185" t="s">
        <v>215</v>
      </c>
    </row>
    <row r="22602" spans="129:129" x14ac:dyDescent="0.2">
      <c r="DY22602" s="185" t="s">
        <v>215</v>
      </c>
    </row>
    <row r="22603" spans="129:129" x14ac:dyDescent="0.2">
      <c r="DY22603" s="185" t="s">
        <v>215</v>
      </c>
    </row>
    <row r="22604" spans="129:129" x14ac:dyDescent="0.2">
      <c r="DY22604" s="185" t="s">
        <v>215</v>
      </c>
    </row>
    <row r="22605" spans="129:129" x14ac:dyDescent="0.2">
      <c r="DY22605" s="185" t="s">
        <v>215</v>
      </c>
    </row>
    <row r="22606" spans="129:129" x14ac:dyDescent="0.2">
      <c r="DY22606" s="185" t="s">
        <v>215</v>
      </c>
    </row>
    <row r="22607" spans="129:129" x14ac:dyDescent="0.2">
      <c r="DY22607" s="185" t="s">
        <v>215</v>
      </c>
    </row>
    <row r="22608" spans="129:129" x14ac:dyDescent="0.2">
      <c r="DY22608" s="185" t="s">
        <v>215</v>
      </c>
    </row>
    <row r="22609" spans="129:129" x14ac:dyDescent="0.2">
      <c r="DY22609" s="185" t="s">
        <v>215</v>
      </c>
    </row>
    <row r="22610" spans="129:129" x14ac:dyDescent="0.2">
      <c r="DY22610" s="185" t="s">
        <v>215</v>
      </c>
    </row>
    <row r="22611" spans="129:129" x14ac:dyDescent="0.2">
      <c r="DY22611" s="185" t="s">
        <v>215</v>
      </c>
    </row>
    <row r="22612" spans="129:129" x14ac:dyDescent="0.2">
      <c r="DY22612" s="185" t="s">
        <v>215</v>
      </c>
    </row>
    <row r="22613" spans="129:129" x14ac:dyDescent="0.2">
      <c r="DY22613" s="185" t="s">
        <v>215</v>
      </c>
    </row>
    <row r="22614" spans="129:129" x14ac:dyDescent="0.2">
      <c r="DY22614" s="185" t="s">
        <v>215</v>
      </c>
    </row>
    <row r="22615" spans="129:129" x14ac:dyDescent="0.2">
      <c r="DY22615" s="185" t="s">
        <v>215</v>
      </c>
    </row>
    <row r="22616" spans="129:129" x14ac:dyDescent="0.2">
      <c r="DY22616" s="185" t="s">
        <v>215</v>
      </c>
    </row>
    <row r="22617" spans="129:129" x14ac:dyDescent="0.2">
      <c r="DY22617" s="185" t="s">
        <v>215</v>
      </c>
    </row>
    <row r="22618" spans="129:129" x14ac:dyDescent="0.2">
      <c r="DY22618" s="185" t="s">
        <v>215</v>
      </c>
    </row>
    <row r="22619" spans="129:129" x14ac:dyDescent="0.2">
      <c r="DY22619" s="185" t="s">
        <v>215</v>
      </c>
    </row>
    <row r="22620" spans="129:129" x14ac:dyDescent="0.2">
      <c r="DY22620" s="185" t="s">
        <v>215</v>
      </c>
    </row>
    <row r="22621" spans="129:129" x14ac:dyDescent="0.2">
      <c r="DY22621" s="185" t="s">
        <v>215</v>
      </c>
    </row>
    <row r="22622" spans="129:129" x14ac:dyDescent="0.2">
      <c r="DY22622" s="185" t="s">
        <v>215</v>
      </c>
    </row>
    <row r="22623" spans="129:129" x14ac:dyDescent="0.2">
      <c r="DY22623" s="185" t="s">
        <v>215</v>
      </c>
    </row>
    <row r="22624" spans="129:129" x14ac:dyDescent="0.2">
      <c r="DY22624" s="185" t="s">
        <v>215</v>
      </c>
    </row>
    <row r="22625" spans="129:129" x14ac:dyDescent="0.2">
      <c r="DY22625" s="185" t="s">
        <v>215</v>
      </c>
    </row>
    <row r="22626" spans="129:129" x14ac:dyDescent="0.2">
      <c r="DY22626" s="185" t="s">
        <v>215</v>
      </c>
    </row>
    <row r="22627" spans="129:129" x14ac:dyDescent="0.2">
      <c r="DY22627" s="185" t="s">
        <v>215</v>
      </c>
    </row>
    <row r="22628" spans="129:129" x14ac:dyDescent="0.2">
      <c r="DY22628" s="185" t="s">
        <v>215</v>
      </c>
    </row>
    <row r="22629" spans="129:129" x14ac:dyDescent="0.2">
      <c r="DY22629" s="185" t="s">
        <v>215</v>
      </c>
    </row>
    <row r="22630" spans="129:129" x14ac:dyDescent="0.2">
      <c r="DY22630" s="185" t="s">
        <v>215</v>
      </c>
    </row>
    <row r="22631" spans="129:129" x14ac:dyDescent="0.2">
      <c r="DY22631" s="185" t="s">
        <v>215</v>
      </c>
    </row>
    <row r="22632" spans="129:129" x14ac:dyDescent="0.2">
      <c r="DY22632" s="185" t="s">
        <v>215</v>
      </c>
    </row>
    <row r="22633" spans="129:129" x14ac:dyDescent="0.2">
      <c r="DY22633" s="185" t="s">
        <v>215</v>
      </c>
    </row>
    <row r="22634" spans="129:129" x14ac:dyDescent="0.2">
      <c r="DY22634" s="185" t="s">
        <v>215</v>
      </c>
    </row>
    <row r="22635" spans="129:129" x14ac:dyDescent="0.2">
      <c r="DY22635" s="185" t="s">
        <v>215</v>
      </c>
    </row>
    <row r="22636" spans="129:129" x14ac:dyDescent="0.2">
      <c r="DY22636" s="185" t="s">
        <v>215</v>
      </c>
    </row>
    <row r="22637" spans="129:129" x14ac:dyDescent="0.2">
      <c r="DY22637" s="185" t="s">
        <v>215</v>
      </c>
    </row>
    <row r="22638" spans="129:129" x14ac:dyDescent="0.2">
      <c r="DY22638" s="185" t="s">
        <v>215</v>
      </c>
    </row>
    <row r="22639" spans="129:129" x14ac:dyDescent="0.2">
      <c r="DY22639" s="185" t="s">
        <v>215</v>
      </c>
    </row>
    <row r="22640" spans="129:129" x14ac:dyDescent="0.2">
      <c r="DY22640" s="185" t="s">
        <v>215</v>
      </c>
    </row>
    <row r="22641" spans="129:129" x14ac:dyDescent="0.2">
      <c r="DY22641" s="185" t="s">
        <v>215</v>
      </c>
    </row>
    <row r="22642" spans="129:129" x14ac:dyDescent="0.2">
      <c r="DY22642" s="185" t="s">
        <v>215</v>
      </c>
    </row>
    <row r="22643" spans="129:129" x14ac:dyDescent="0.2">
      <c r="DY22643" s="185" t="s">
        <v>215</v>
      </c>
    </row>
    <row r="22644" spans="129:129" x14ac:dyDescent="0.2">
      <c r="DY22644" s="185" t="s">
        <v>215</v>
      </c>
    </row>
    <row r="22645" spans="129:129" x14ac:dyDescent="0.2">
      <c r="DY22645" s="185" t="s">
        <v>215</v>
      </c>
    </row>
    <row r="22646" spans="129:129" x14ac:dyDescent="0.2">
      <c r="DY22646" s="185" t="s">
        <v>215</v>
      </c>
    </row>
    <row r="22647" spans="129:129" x14ac:dyDescent="0.2">
      <c r="DY22647" s="185" t="s">
        <v>215</v>
      </c>
    </row>
    <row r="22648" spans="129:129" x14ac:dyDescent="0.2">
      <c r="DY22648" s="185" t="s">
        <v>215</v>
      </c>
    </row>
    <row r="22649" spans="129:129" x14ac:dyDescent="0.2">
      <c r="DY22649" s="185" t="s">
        <v>215</v>
      </c>
    </row>
    <row r="22650" spans="129:129" x14ac:dyDescent="0.2">
      <c r="DY22650" s="185" t="s">
        <v>215</v>
      </c>
    </row>
    <row r="22651" spans="129:129" x14ac:dyDescent="0.2">
      <c r="DY22651" s="185" t="s">
        <v>215</v>
      </c>
    </row>
    <row r="22652" spans="129:129" x14ac:dyDescent="0.2">
      <c r="DY22652" s="185" t="s">
        <v>215</v>
      </c>
    </row>
    <row r="22653" spans="129:129" x14ac:dyDescent="0.2">
      <c r="DY22653" s="185" t="s">
        <v>215</v>
      </c>
    </row>
    <row r="22654" spans="129:129" x14ac:dyDescent="0.2">
      <c r="DY22654" s="185" t="s">
        <v>215</v>
      </c>
    </row>
    <row r="22655" spans="129:129" x14ac:dyDescent="0.2">
      <c r="DY22655" s="185" t="s">
        <v>215</v>
      </c>
    </row>
    <row r="22656" spans="129:129" x14ac:dyDescent="0.2">
      <c r="DY22656" s="185" t="s">
        <v>215</v>
      </c>
    </row>
    <row r="22657" spans="129:129" x14ac:dyDescent="0.2">
      <c r="DY22657" s="185" t="s">
        <v>215</v>
      </c>
    </row>
    <row r="22658" spans="129:129" x14ac:dyDescent="0.2">
      <c r="DY22658" s="185" t="s">
        <v>215</v>
      </c>
    </row>
    <row r="22659" spans="129:129" x14ac:dyDescent="0.2">
      <c r="DY22659" s="185" t="s">
        <v>215</v>
      </c>
    </row>
    <row r="22660" spans="129:129" x14ac:dyDescent="0.2">
      <c r="DY22660" s="185" t="s">
        <v>215</v>
      </c>
    </row>
    <row r="22661" spans="129:129" x14ac:dyDescent="0.2">
      <c r="DY22661" s="185" t="s">
        <v>215</v>
      </c>
    </row>
    <row r="22662" spans="129:129" x14ac:dyDescent="0.2">
      <c r="DY22662" s="185" t="s">
        <v>215</v>
      </c>
    </row>
    <row r="22663" spans="129:129" x14ac:dyDescent="0.2">
      <c r="DY22663" s="185" t="s">
        <v>215</v>
      </c>
    </row>
    <row r="22664" spans="129:129" x14ac:dyDescent="0.2">
      <c r="DY22664" s="185" t="s">
        <v>215</v>
      </c>
    </row>
    <row r="22665" spans="129:129" x14ac:dyDescent="0.2">
      <c r="DY22665" s="185" t="s">
        <v>215</v>
      </c>
    </row>
    <row r="22666" spans="129:129" x14ac:dyDescent="0.2">
      <c r="DY22666" s="185" t="s">
        <v>215</v>
      </c>
    </row>
    <row r="22667" spans="129:129" x14ac:dyDescent="0.2">
      <c r="DY22667" s="185" t="s">
        <v>215</v>
      </c>
    </row>
    <row r="22668" spans="129:129" x14ac:dyDescent="0.2">
      <c r="DY22668" s="185" t="s">
        <v>215</v>
      </c>
    </row>
    <row r="22669" spans="129:129" x14ac:dyDescent="0.2">
      <c r="DY22669" s="185" t="s">
        <v>215</v>
      </c>
    </row>
    <row r="22670" spans="129:129" x14ac:dyDescent="0.2">
      <c r="DY22670" s="185" t="s">
        <v>215</v>
      </c>
    </row>
    <row r="22671" spans="129:129" x14ac:dyDescent="0.2">
      <c r="DY22671" s="185" t="s">
        <v>215</v>
      </c>
    </row>
    <row r="22672" spans="129:129" x14ac:dyDescent="0.2">
      <c r="DY22672" s="185" t="s">
        <v>215</v>
      </c>
    </row>
    <row r="22673" spans="129:129" x14ac:dyDescent="0.2">
      <c r="DY22673" s="185" t="s">
        <v>215</v>
      </c>
    </row>
    <row r="22674" spans="129:129" x14ac:dyDescent="0.2">
      <c r="DY22674" s="185" t="s">
        <v>215</v>
      </c>
    </row>
    <row r="22675" spans="129:129" x14ac:dyDescent="0.2">
      <c r="DY22675" s="185" t="s">
        <v>215</v>
      </c>
    </row>
    <row r="22676" spans="129:129" x14ac:dyDescent="0.2">
      <c r="DY22676" s="185" t="s">
        <v>215</v>
      </c>
    </row>
    <row r="22677" spans="129:129" x14ac:dyDescent="0.2">
      <c r="DY22677" s="185" t="s">
        <v>215</v>
      </c>
    </row>
    <row r="22678" spans="129:129" x14ac:dyDescent="0.2">
      <c r="DY22678" s="185" t="s">
        <v>215</v>
      </c>
    </row>
    <row r="22679" spans="129:129" x14ac:dyDescent="0.2">
      <c r="DY22679" s="185" t="s">
        <v>215</v>
      </c>
    </row>
    <row r="22680" spans="129:129" x14ac:dyDescent="0.2">
      <c r="DY22680" s="185" t="s">
        <v>215</v>
      </c>
    </row>
    <row r="22681" spans="129:129" x14ac:dyDescent="0.2">
      <c r="DY22681" s="185" t="s">
        <v>215</v>
      </c>
    </row>
    <row r="22682" spans="129:129" x14ac:dyDescent="0.2">
      <c r="DY22682" s="185" t="s">
        <v>215</v>
      </c>
    </row>
    <row r="22683" spans="129:129" x14ac:dyDescent="0.2">
      <c r="DY22683" s="185" t="s">
        <v>215</v>
      </c>
    </row>
    <row r="22684" spans="129:129" x14ac:dyDescent="0.2">
      <c r="DY22684" s="185" t="s">
        <v>215</v>
      </c>
    </row>
    <row r="22685" spans="129:129" x14ac:dyDescent="0.2">
      <c r="DY22685" s="185" t="s">
        <v>215</v>
      </c>
    </row>
    <row r="22686" spans="129:129" x14ac:dyDescent="0.2">
      <c r="DY22686" s="185" t="s">
        <v>215</v>
      </c>
    </row>
    <row r="22687" spans="129:129" x14ac:dyDescent="0.2">
      <c r="DY22687" s="185" t="s">
        <v>215</v>
      </c>
    </row>
    <row r="22688" spans="129:129" x14ac:dyDescent="0.2">
      <c r="DY22688" s="185" t="s">
        <v>215</v>
      </c>
    </row>
    <row r="22689" spans="129:129" x14ac:dyDescent="0.2">
      <c r="DY22689" s="185" t="s">
        <v>215</v>
      </c>
    </row>
    <row r="22690" spans="129:129" x14ac:dyDescent="0.2">
      <c r="DY22690" s="185" t="s">
        <v>215</v>
      </c>
    </row>
    <row r="22691" spans="129:129" x14ac:dyDescent="0.2">
      <c r="DY22691" s="185" t="s">
        <v>215</v>
      </c>
    </row>
    <row r="22692" spans="129:129" x14ac:dyDescent="0.2">
      <c r="DY22692" s="185" t="s">
        <v>215</v>
      </c>
    </row>
    <row r="22693" spans="129:129" x14ac:dyDescent="0.2">
      <c r="DY22693" s="185" t="s">
        <v>215</v>
      </c>
    </row>
    <row r="22694" spans="129:129" x14ac:dyDescent="0.2">
      <c r="DY22694" s="185" t="s">
        <v>215</v>
      </c>
    </row>
    <row r="22695" spans="129:129" x14ac:dyDescent="0.2">
      <c r="DY22695" s="185" t="s">
        <v>215</v>
      </c>
    </row>
    <row r="22696" spans="129:129" x14ac:dyDescent="0.2">
      <c r="DY22696" s="185" t="s">
        <v>215</v>
      </c>
    </row>
    <row r="22697" spans="129:129" x14ac:dyDescent="0.2">
      <c r="DY22697" s="185" t="s">
        <v>215</v>
      </c>
    </row>
    <row r="22698" spans="129:129" x14ac:dyDescent="0.2">
      <c r="DY22698" s="185" t="s">
        <v>215</v>
      </c>
    </row>
    <row r="22699" spans="129:129" x14ac:dyDescent="0.2">
      <c r="DY22699" s="185" t="s">
        <v>215</v>
      </c>
    </row>
    <row r="22700" spans="129:129" x14ac:dyDescent="0.2">
      <c r="DY22700" s="185" t="s">
        <v>215</v>
      </c>
    </row>
    <row r="22701" spans="129:129" x14ac:dyDescent="0.2">
      <c r="DY22701" s="185" t="s">
        <v>215</v>
      </c>
    </row>
    <row r="22702" spans="129:129" x14ac:dyDescent="0.2">
      <c r="DY22702" s="185" t="s">
        <v>215</v>
      </c>
    </row>
    <row r="22703" spans="129:129" x14ac:dyDescent="0.2">
      <c r="DY22703" s="185" t="s">
        <v>215</v>
      </c>
    </row>
    <row r="22704" spans="129:129" x14ac:dyDescent="0.2">
      <c r="DY22704" s="185" t="s">
        <v>215</v>
      </c>
    </row>
    <row r="22705" spans="129:129" x14ac:dyDescent="0.2">
      <c r="DY22705" s="185" t="s">
        <v>215</v>
      </c>
    </row>
    <row r="22706" spans="129:129" x14ac:dyDescent="0.2">
      <c r="DY22706" s="185" t="s">
        <v>215</v>
      </c>
    </row>
    <row r="22707" spans="129:129" x14ac:dyDescent="0.2">
      <c r="DY22707" s="185" t="s">
        <v>215</v>
      </c>
    </row>
    <row r="22708" spans="129:129" x14ac:dyDescent="0.2">
      <c r="DY22708" s="185" t="s">
        <v>215</v>
      </c>
    </row>
    <row r="22709" spans="129:129" x14ac:dyDescent="0.2">
      <c r="DY22709" s="185" t="s">
        <v>215</v>
      </c>
    </row>
    <row r="22710" spans="129:129" x14ac:dyDescent="0.2">
      <c r="DY22710" s="185" t="s">
        <v>215</v>
      </c>
    </row>
    <row r="22711" spans="129:129" x14ac:dyDescent="0.2">
      <c r="DY22711" s="185" t="s">
        <v>215</v>
      </c>
    </row>
    <row r="22712" spans="129:129" x14ac:dyDescent="0.2">
      <c r="DY22712" s="185" t="s">
        <v>215</v>
      </c>
    </row>
    <row r="22713" spans="129:129" x14ac:dyDescent="0.2">
      <c r="DY22713" s="185" t="s">
        <v>215</v>
      </c>
    </row>
    <row r="22714" spans="129:129" x14ac:dyDescent="0.2">
      <c r="DY22714" s="185" t="s">
        <v>215</v>
      </c>
    </row>
    <row r="22715" spans="129:129" x14ac:dyDescent="0.2">
      <c r="DY22715" s="185" t="s">
        <v>215</v>
      </c>
    </row>
    <row r="22716" spans="129:129" x14ac:dyDescent="0.2">
      <c r="DY22716" s="185" t="s">
        <v>215</v>
      </c>
    </row>
    <row r="22717" spans="129:129" x14ac:dyDescent="0.2">
      <c r="DY22717" s="185" t="s">
        <v>215</v>
      </c>
    </row>
    <row r="22718" spans="129:129" x14ac:dyDescent="0.2">
      <c r="DY22718" s="185" t="s">
        <v>215</v>
      </c>
    </row>
    <row r="22719" spans="129:129" x14ac:dyDescent="0.2">
      <c r="DY22719" s="185" t="s">
        <v>215</v>
      </c>
    </row>
    <row r="22720" spans="129:129" x14ac:dyDescent="0.2">
      <c r="DY22720" s="185" t="s">
        <v>215</v>
      </c>
    </row>
    <row r="22721" spans="129:129" x14ac:dyDescent="0.2">
      <c r="DY22721" s="185" t="s">
        <v>215</v>
      </c>
    </row>
    <row r="22722" spans="129:129" x14ac:dyDescent="0.2">
      <c r="DY22722" s="185" t="s">
        <v>215</v>
      </c>
    </row>
    <row r="22723" spans="129:129" x14ac:dyDescent="0.2">
      <c r="DY22723" s="185" t="s">
        <v>215</v>
      </c>
    </row>
    <row r="22724" spans="129:129" x14ac:dyDescent="0.2">
      <c r="DY22724" s="185" t="s">
        <v>215</v>
      </c>
    </row>
    <row r="22725" spans="129:129" x14ac:dyDescent="0.2">
      <c r="DY22725" s="185" t="s">
        <v>215</v>
      </c>
    </row>
    <row r="22726" spans="129:129" x14ac:dyDescent="0.2">
      <c r="DY22726" s="185" t="s">
        <v>215</v>
      </c>
    </row>
    <row r="22727" spans="129:129" x14ac:dyDescent="0.2">
      <c r="DY22727" s="185" t="s">
        <v>215</v>
      </c>
    </row>
    <row r="22728" spans="129:129" x14ac:dyDescent="0.2">
      <c r="DY22728" s="185" t="s">
        <v>215</v>
      </c>
    </row>
    <row r="22729" spans="129:129" x14ac:dyDescent="0.2">
      <c r="DY22729" s="185" t="s">
        <v>215</v>
      </c>
    </row>
    <row r="22730" spans="129:129" x14ac:dyDescent="0.2">
      <c r="DY22730" s="185" t="s">
        <v>215</v>
      </c>
    </row>
    <row r="22731" spans="129:129" x14ac:dyDescent="0.2">
      <c r="DY22731" s="185" t="s">
        <v>215</v>
      </c>
    </row>
    <row r="22732" spans="129:129" x14ac:dyDescent="0.2">
      <c r="DY22732" s="185" t="s">
        <v>215</v>
      </c>
    </row>
    <row r="22733" spans="129:129" x14ac:dyDescent="0.2">
      <c r="DY22733" s="185" t="s">
        <v>215</v>
      </c>
    </row>
    <row r="22734" spans="129:129" x14ac:dyDescent="0.2">
      <c r="DY22734" s="185" t="s">
        <v>215</v>
      </c>
    </row>
    <row r="22735" spans="129:129" x14ac:dyDescent="0.2">
      <c r="DY22735" s="185" t="s">
        <v>215</v>
      </c>
    </row>
    <row r="22736" spans="129:129" x14ac:dyDescent="0.2">
      <c r="DY22736" s="185" t="s">
        <v>215</v>
      </c>
    </row>
    <row r="22737" spans="129:129" x14ac:dyDescent="0.2">
      <c r="DY22737" s="185" t="s">
        <v>215</v>
      </c>
    </row>
    <row r="22738" spans="129:129" x14ac:dyDescent="0.2">
      <c r="DY22738" s="185" t="s">
        <v>215</v>
      </c>
    </row>
    <row r="22739" spans="129:129" x14ac:dyDescent="0.2">
      <c r="DY22739" s="185" t="s">
        <v>215</v>
      </c>
    </row>
    <row r="22740" spans="129:129" x14ac:dyDescent="0.2">
      <c r="DY22740" s="185" t="s">
        <v>215</v>
      </c>
    </row>
    <row r="22741" spans="129:129" x14ac:dyDescent="0.2">
      <c r="DY22741" s="185" t="s">
        <v>215</v>
      </c>
    </row>
    <row r="22742" spans="129:129" x14ac:dyDescent="0.2">
      <c r="DY22742" s="185" t="s">
        <v>215</v>
      </c>
    </row>
    <row r="22743" spans="129:129" x14ac:dyDescent="0.2">
      <c r="DY22743" s="185" t="s">
        <v>215</v>
      </c>
    </row>
    <row r="22744" spans="129:129" x14ac:dyDescent="0.2">
      <c r="DY22744" s="185" t="s">
        <v>215</v>
      </c>
    </row>
    <row r="22745" spans="129:129" x14ac:dyDescent="0.2">
      <c r="DY22745" s="185" t="s">
        <v>215</v>
      </c>
    </row>
    <row r="22746" spans="129:129" x14ac:dyDescent="0.2">
      <c r="DY22746" s="185" t="s">
        <v>215</v>
      </c>
    </row>
    <row r="22747" spans="129:129" x14ac:dyDescent="0.2">
      <c r="DY22747" s="185" t="s">
        <v>215</v>
      </c>
    </row>
    <row r="22748" spans="129:129" x14ac:dyDescent="0.2">
      <c r="DY22748" s="185" t="s">
        <v>215</v>
      </c>
    </row>
    <row r="22749" spans="129:129" x14ac:dyDescent="0.2">
      <c r="DY22749" s="185" t="s">
        <v>215</v>
      </c>
    </row>
    <row r="22750" spans="129:129" x14ac:dyDescent="0.2">
      <c r="DY22750" s="185" t="s">
        <v>215</v>
      </c>
    </row>
    <row r="22751" spans="129:129" x14ac:dyDescent="0.2">
      <c r="DY22751" s="185" t="s">
        <v>215</v>
      </c>
    </row>
    <row r="22752" spans="129:129" x14ac:dyDescent="0.2">
      <c r="DY22752" s="185" t="s">
        <v>215</v>
      </c>
    </row>
    <row r="22753" spans="129:129" x14ac:dyDescent="0.2">
      <c r="DY22753" s="185" t="s">
        <v>215</v>
      </c>
    </row>
    <row r="22754" spans="129:129" x14ac:dyDescent="0.2">
      <c r="DY22754" s="185" t="s">
        <v>215</v>
      </c>
    </row>
    <row r="22755" spans="129:129" x14ac:dyDescent="0.2">
      <c r="DY22755" s="185" t="s">
        <v>215</v>
      </c>
    </row>
    <row r="22756" spans="129:129" x14ac:dyDescent="0.2">
      <c r="DY22756" s="185" t="s">
        <v>215</v>
      </c>
    </row>
    <row r="22757" spans="129:129" x14ac:dyDescent="0.2">
      <c r="DY22757" s="185" t="s">
        <v>215</v>
      </c>
    </row>
    <row r="22758" spans="129:129" x14ac:dyDescent="0.2">
      <c r="DY22758" s="185" t="s">
        <v>215</v>
      </c>
    </row>
    <row r="22759" spans="129:129" x14ac:dyDescent="0.2">
      <c r="DY22759" s="185" t="s">
        <v>215</v>
      </c>
    </row>
    <row r="22760" spans="129:129" x14ac:dyDescent="0.2">
      <c r="DY22760" s="185" t="s">
        <v>215</v>
      </c>
    </row>
    <row r="22761" spans="129:129" x14ac:dyDescent="0.2">
      <c r="DY22761" s="185" t="s">
        <v>215</v>
      </c>
    </row>
    <row r="22762" spans="129:129" x14ac:dyDescent="0.2">
      <c r="DY22762" s="185" t="s">
        <v>215</v>
      </c>
    </row>
    <row r="22763" spans="129:129" x14ac:dyDescent="0.2">
      <c r="DY22763" s="185" t="s">
        <v>215</v>
      </c>
    </row>
    <row r="22764" spans="129:129" x14ac:dyDescent="0.2">
      <c r="DY22764" s="185" t="s">
        <v>215</v>
      </c>
    </row>
    <row r="22765" spans="129:129" x14ac:dyDescent="0.2">
      <c r="DY22765" s="185" t="s">
        <v>215</v>
      </c>
    </row>
    <row r="22766" spans="129:129" x14ac:dyDescent="0.2">
      <c r="DY22766" s="185" t="s">
        <v>215</v>
      </c>
    </row>
    <row r="22767" spans="129:129" x14ac:dyDescent="0.2">
      <c r="DY22767" s="185" t="s">
        <v>215</v>
      </c>
    </row>
    <row r="22768" spans="129:129" x14ac:dyDescent="0.2">
      <c r="DY22768" s="185" t="s">
        <v>215</v>
      </c>
    </row>
    <row r="22769" spans="129:129" x14ac:dyDescent="0.2">
      <c r="DY22769" s="185" t="s">
        <v>215</v>
      </c>
    </row>
    <row r="22770" spans="129:129" x14ac:dyDescent="0.2">
      <c r="DY22770" s="185" t="s">
        <v>215</v>
      </c>
    </row>
    <row r="22771" spans="129:129" x14ac:dyDescent="0.2">
      <c r="DY22771" s="185" t="s">
        <v>215</v>
      </c>
    </row>
    <row r="22772" spans="129:129" x14ac:dyDescent="0.2">
      <c r="DY22772" s="185" t="s">
        <v>215</v>
      </c>
    </row>
    <row r="22773" spans="129:129" x14ac:dyDescent="0.2">
      <c r="DY22773" s="185" t="s">
        <v>215</v>
      </c>
    </row>
    <row r="22774" spans="129:129" x14ac:dyDescent="0.2">
      <c r="DY22774" s="185" t="s">
        <v>215</v>
      </c>
    </row>
    <row r="22775" spans="129:129" x14ac:dyDescent="0.2">
      <c r="DY22775" s="185" t="s">
        <v>215</v>
      </c>
    </row>
    <row r="22776" spans="129:129" x14ac:dyDescent="0.2">
      <c r="DY22776" s="185" t="s">
        <v>215</v>
      </c>
    </row>
    <row r="22777" spans="129:129" x14ac:dyDescent="0.2">
      <c r="DY22777" s="185" t="s">
        <v>215</v>
      </c>
    </row>
    <row r="22778" spans="129:129" x14ac:dyDescent="0.2">
      <c r="DY22778" s="185" t="s">
        <v>215</v>
      </c>
    </row>
    <row r="22779" spans="129:129" x14ac:dyDescent="0.2">
      <c r="DY22779" s="185" t="s">
        <v>215</v>
      </c>
    </row>
    <row r="22780" spans="129:129" x14ac:dyDescent="0.2">
      <c r="DY22780" s="185" t="s">
        <v>215</v>
      </c>
    </row>
    <row r="22781" spans="129:129" x14ac:dyDescent="0.2">
      <c r="DY22781" s="185" t="s">
        <v>215</v>
      </c>
    </row>
    <row r="22782" spans="129:129" x14ac:dyDescent="0.2">
      <c r="DY22782" s="185" t="s">
        <v>215</v>
      </c>
    </row>
    <row r="22783" spans="129:129" x14ac:dyDescent="0.2">
      <c r="DY22783" s="185" t="s">
        <v>215</v>
      </c>
    </row>
    <row r="22784" spans="129:129" x14ac:dyDescent="0.2">
      <c r="DY22784" s="185" t="s">
        <v>215</v>
      </c>
    </row>
    <row r="22785" spans="129:129" x14ac:dyDescent="0.2">
      <c r="DY22785" s="185" t="s">
        <v>215</v>
      </c>
    </row>
    <row r="22786" spans="129:129" x14ac:dyDescent="0.2">
      <c r="DY22786" s="185" t="s">
        <v>215</v>
      </c>
    </row>
    <row r="22787" spans="129:129" x14ac:dyDescent="0.2">
      <c r="DY22787" s="185" t="s">
        <v>215</v>
      </c>
    </row>
    <row r="22788" spans="129:129" x14ac:dyDescent="0.2">
      <c r="DY22788" s="185" t="s">
        <v>215</v>
      </c>
    </row>
    <row r="22789" spans="129:129" x14ac:dyDescent="0.2">
      <c r="DY22789" s="185" t="s">
        <v>215</v>
      </c>
    </row>
    <row r="22790" spans="129:129" x14ac:dyDescent="0.2">
      <c r="DY22790" s="185" t="s">
        <v>215</v>
      </c>
    </row>
    <row r="22791" spans="129:129" x14ac:dyDescent="0.2">
      <c r="DY22791" s="185" t="s">
        <v>215</v>
      </c>
    </row>
    <row r="22792" spans="129:129" x14ac:dyDescent="0.2">
      <c r="DY22792" s="185" t="s">
        <v>215</v>
      </c>
    </row>
    <row r="22793" spans="129:129" x14ac:dyDescent="0.2">
      <c r="DY22793" s="185" t="s">
        <v>215</v>
      </c>
    </row>
    <row r="22794" spans="129:129" x14ac:dyDescent="0.2">
      <c r="DY22794" s="185" t="s">
        <v>215</v>
      </c>
    </row>
    <row r="22795" spans="129:129" x14ac:dyDescent="0.2">
      <c r="DY22795" s="185" t="s">
        <v>215</v>
      </c>
    </row>
    <row r="22796" spans="129:129" x14ac:dyDescent="0.2">
      <c r="DY22796" s="185" t="s">
        <v>215</v>
      </c>
    </row>
    <row r="22797" spans="129:129" x14ac:dyDescent="0.2">
      <c r="DY22797" s="185" t="s">
        <v>215</v>
      </c>
    </row>
    <row r="22798" spans="129:129" x14ac:dyDescent="0.2">
      <c r="DY22798" s="185" t="s">
        <v>215</v>
      </c>
    </row>
    <row r="22799" spans="129:129" x14ac:dyDescent="0.2">
      <c r="DY22799" s="185" t="s">
        <v>215</v>
      </c>
    </row>
    <row r="22800" spans="129:129" x14ac:dyDescent="0.2">
      <c r="DY22800" s="185" t="s">
        <v>215</v>
      </c>
    </row>
    <row r="22801" spans="129:129" x14ac:dyDescent="0.2">
      <c r="DY22801" s="185" t="s">
        <v>215</v>
      </c>
    </row>
    <row r="22802" spans="129:129" x14ac:dyDescent="0.2">
      <c r="DY22802" s="185" t="s">
        <v>215</v>
      </c>
    </row>
    <row r="22803" spans="129:129" x14ac:dyDescent="0.2">
      <c r="DY22803" s="185" t="s">
        <v>215</v>
      </c>
    </row>
    <row r="22804" spans="129:129" x14ac:dyDescent="0.2">
      <c r="DY22804" s="185" t="s">
        <v>215</v>
      </c>
    </row>
    <row r="22805" spans="129:129" x14ac:dyDescent="0.2">
      <c r="DY22805" s="185" t="s">
        <v>215</v>
      </c>
    </row>
    <row r="22806" spans="129:129" x14ac:dyDescent="0.2">
      <c r="DY22806" s="185" t="s">
        <v>215</v>
      </c>
    </row>
    <row r="22807" spans="129:129" x14ac:dyDescent="0.2">
      <c r="DY22807" s="185" t="s">
        <v>215</v>
      </c>
    </row>
    <row r="22808" spans="129:129" x14ac:dyDescent="0.2">
      <c r="DY22808" s="185" t="s">
        <v>215</v>
      </c>
    </row>
    <row r="22809" spans="129:129" x14ac:dyDescent="0.2">
      <c r="DY22809" s="185" t="s">
        <v>215</v>
      </c>
    </row>
    <row r="22810" spans="129:129" x14ac:dyDescent="0.2">
      <c r="DY22810" s="185" t="s">
        <v>215</v>
      </c>
    </row>
    <row r="22811" spans="129:129" x14ac:dyDescent="0.2">
      <c r="DY22811" s="185" t="s">
        <v>215</v>
      </c>
    </row>
    <row r="22812" spans="129:129" x14ac:dyDescent="0.2">
      <c r="DY22812" s="185" t="s">
        <v>215</v>
      </c>
    </row>
    <row r="22813" spans="129:129" x14ac:dyDescent="0.2">
      <c r="DY22813" s="185" t="s">
        <v>215</v>
      </c>
    </row>
    <row r="22814" spans="129:129" x14ac:dyDescent="0.2">
      <c r="DY22814" s="185" t="s">
        <v>215</v>
      </c>
    </row>
    <row r="22815" spans="129:129" x14ac:dyDescent="0.2">
      <c r="DY22815" s="185" t="s">
        <v>215</v>
      </c>
    </row>
    <row r="22816" spans="129:129" x14ac:dyDescent="0.2">
      <c r="DY22816" s="185" t="s">
        <v>215</v>
      </c>
    </row>
    <row r="22817" spans="129:129" x14ac:dyDescent="0.2">
      <c r="DY22817" s="185" t="s">
        <v>215</v>
      </c>
    </row>
    <row r="22818" spans="129:129" x14ac:dyDescent="0.2">
      <c r="DY22818" s="185" t="s">
        <v>215</v>
      </c>
    </row>
    <row r="22819" spans="129:129" x14ac:dyDescent="0.2">
      <c r="DY22819" s="185" t="s">
        <v>215</v>
      </c>
    </row>
    <row r="22820" spans="129:129" x14ac:dyDescent="0.2">
      <c r="DY22820" s="185" t="s">
        <v>215</v>
      </c>
    </row>
    <row r="22821" spans="129:129" x14ac:dyDescent="0.2">
      <c r="DY22821" s="185" t="s">
        <v>215</v>
      </c>
    </row>
    <row r="22822" spans="129:129" x14ac:dyDescent="0.2">
      <c r="DY22822" s="185" t="s">
        <v>215</v>
      </c>
    </row>
    <row r="22823" spans="129:129" x14ac:dyDescent="0.2">
      <c r="DY22823" s="185" t="s">
        <v>215</v>
      </c>
    </row>
    <row r="22824" spans="129:129" x14ac:dyDescent="0.2">
      <c r="DY22824" s="185" t="s">
        <v>215</v>
      </c>
    </row>
    <row r="22825" spans="129:129" x14ac:dyDescent="0.2">
      <c r="DY22825" s="185" t="s">
        <v>215</v>
      </c>
    </row>
    <row r="22826" spans="129:129" x14ac:dyDescent="0.2">
      <c r="DY22826" s="185" t="s">
        <v>215</v>
      </c>
    </row>
    <row r="22827" spans="129:129" x14ac:dyDescent="0.2">
      <c r="DY22827" s="185" t="s">
        <v>215</v>
      </c>
    </row>
    <row r="22828" spans="129:129" x14ac:dyDescent="0.2">
      <c r="DY22828" s="185" t="s">
        <v>215</v>
      </c>
    </row>
    <row r="22829" spans="129:129" x14ac:dyDescent="0.2">
      <c r="DY22829" s="185" t="s">
        <v>215</v>
      </c>
    </row>
    <row r="22830" spans="129:129" x14ac:dyDescent="0.2">
      <c r="DY22830" s="185" t="s">
        <v>215</v>
      </c>
    </row>
    <row r="22831" spans="129:129" x14ac:dyDescent="0.2">
      <c r="DY22831" s="185" t="s">
        <v>215</v>
      </c>
    </row>
    <row r="22832" spans="129:129" x14ac:dyDescent="0.2">
      <c r="DY22832" s="185" t="s">
        <v>215</v>
      </c>
    </row>
    <row r="22833" spans="129:129" x14ac:dyDescent="0.2">
      <c r="DY22833" s="185" t="s">
        <v>215</v>
      </c>
    </row>
    <row r="22834" spans="129:129" x14ac:dyDescent="0.2">
      <c r="DY22834" s="185" t="s">
        <v>215</v>
      </c>
    </row>
    <row r="22835" spans="129:129" x14ac:dyDescent="0.2">
      <c r="DY22835" s="185" t="s">
        <v>215</v>
      </c>
    </row>
    <row r="22836" spans="129:129" x14ac:dyDescent="0.2">
      <c r="DY22836" s="185" t="s">
        <v>215</v>
      </c>
    </row>
    <row r="22837" spans="129:129" x14ac:dyDescent="0.2">
      <c r="DY22837" s="185" t="s">
        <v>215</v>
      </c>
    </row>
    <row r="22838" spans="129:129" x14ac:dyDescent="0.2">
      <c r="DY22838" s="185" t="s">
        <v>215</v>
      </c>
    </row>
    <row r="22839" spans="129:129" x14ac:dyDescent="0.2">
      <c r="DY22839" s="185" t="s">
        <v>215</v>
      </c>
    </row>
    <row r="22840" spans="129:129" x14ac:dyDescent="0.2">
      <c r="DY22840" s="185" t="s">
        <v>215</v>
      </c>
    </row>
    <row r="22841" spans="129:129" x14ac:dyDescent="0.2">
      <c r="DY22841" s="185" t="s">
        <v>215</v>
      </c>
    </row>
    <row r="22842" spans="129:129" x14ac:dyDescent="0.2">
      <c r="DY22842" s="185" t="s">
        <v>215</v>
      </c>
    </row>
    <row r="22843" spans="129:129" x14ac:dyDescent="0.2">
      <c r="DY22843" s="185" t="s">
        <v>215</v>
      </c>
    </row>
    <row r="22844" spans="129:129" x14ac:dyDescent="0.2">
      <c r="DY22844" s="185" t="s">
        <v>215</v>
      </c>
    </row>
    <row r="22845" spans="129:129" x14ac:dyDescent="0.2">
      <c r="DY22845" s="185" t="s">
        <v>215</v>
      </c>
    </row>
    <row r="22846" spans="129:129" x14ac:dyDescent="0.2">
      <c r="DY22846" s="185" t="s">
        <v>215</v>
      </c>
    </row>
    <row r="22847" spans="129:129" x14ac:dyDescent="0.2">
      <c r="DY22847" s="185" t="s">
        <v>215</v>
      </c>
    </row>
    <row r="22848" spans="129:129" x14ac:dyDescent="0.2">
      <c r="DY22848" s="185" t="s">
        <v>215</v>
      </c>
    </row>
    <row r="22849" spans="129:129" x14ac:dyDescent="0.2">
      <c r="DY22849" s="185" t="s">
        <v>215</v>
      </c>
    </row>
    <row r="22850" spans="129:129" x14ac:dyDescent="0.2">
      <c r="DY22850" s="185" t="s">
        <v>215</v>
      </c>
    </row>
    <row r="22851" spans="129:129" x14ac:dyDescent="0.2">
      <c r="DY22851" s="185" t="s">
        <v>215</v>
      </c>
    </row>
    <row r="22852" spans="129:129" x14ac:dyDescent="0.2">
      <c r="DY22852" s="185" t="s">
        <v>215</v>
      </c>
    </row>
    <row r="22853" spans="129:129" x14ac:dyDescent="0.2">
      <c r="DY22853" s="185" t="s">
        <v>215</v>
      </c>
    </row>
    <row r="22854" spans="129:129" x14ac:dyDescent="0.2">
      <c r="DY22854" s="185" t="s">
        <v>215</v>
      </c>
    </row>
    <row r="22855" spans="129:129" x14ac:dyDescent="0.2">
      <c r="DY22855" s="185" t="s">
        <v>215</v>
      </c>
    </row>
    <row r="22856" spans="129:129" x14ac:dyDescent="0.2">
      <c r="DY22856" s="185" t="s">
        <v>215</v>
      </c>
    </row>
    <row r="22857" spans="129:129" x14ac:dyDescent="0.2">
      <c r="DY22857" s="185" t="s">
        <v>215</v>
      </c>
    </row>
    <row r="22858" spans="129:129" x14ac:dyDescent="0.2">
      <c r="DY22858" s="185" t="s">
        <v>215</v>
      </c>
    </row>
    <row r="22859" spans="129:129" x14ac:dyDescent="0.2">
      <c r="DY22859" s="185" t="s">
        <v>215</v>
      </c>
    </row>
    <row r="22860" spans="129:129" x14ac:dyDescent="0.2">
      <c r="DY22860" s="185" t="s">
        <v>215</v>
      </c>
    </row>
    <row r="22861" spans="129:129" x14ac:dyDescent="0.2">
      <c r="DY22861" s="185" t="s">
        <v>215</v>
      </c>
    </row>
    <row r="22862" spans="129:129" x14ac:dyDescent="0.2">
      <c r="DY22862" s="185" t="s">
        <v>215</v>
      </c>
    </row>
    <row r="22863" spans="129:129" x14ac:dyDescent="0.2">
      <c r="DY22863" s="185" t="s">
        <v>215</v>
      </c>
    </row>
    <row r="22864" spans="129:129" x14ac:dyDescent="0.2">
      <c r="DY22864" s="185" t="s">
        <v>215</v>
      </c>
    </row>
    <row r="22865" spans="129:129" x14ac:dyDescent="0.2">
      <c r="DY22865" s="185" t="s">
        <v>215</v>
      </c>
    </row>
    <row r="22866" spans="129:129" x14ac:dyDescent="0.2">
      <c r="DY22866" s="185" t="s">
        <v>215</v>
      </c>
    </row>
    <row r="22867" spans="129:129" x14ac:dyDescent="0.2">
      <c r="DY22867" s="185" t="s">
        <v>215</v>
      </c>
    </row>
    <row r="22868" spans="129:129" x14ac:dyDescent="0.2">
      <c r="DY22868" s="185" t="s">
        <v>215</v>
      </c>
    </row>
    <row r="22869" spans="129:129" x14ac:dyDescent="0.2">
      <c r="DY22869" s="185" t="s">
        <v>215</v>
      </c>
    </row>
    <row r="22870" spans="129:129" x14ac:dyDescent="0.2">
      <c r="DY22870" s="185" t="s">
        <v>215</v>
      </c>
    </row>
    <row r="22871" spans="129:129" x14ac:dyDescent="0.2">
      <c r="DY22871" s="185" t="s">
        <v>215</v>
      </c>
    </row>
    <row r="22872" spans="129:129" x14ac:dyDescent="0.2">
      <c r="DY22872" s="185" t="s">
        <v>215</v>
      </c>
    </row>
    <row r="22873" spans="129:129" x14ac:dyDescent="0.2">
      <c r="DY22873" s="185" t="s">
        <v>215</v>
      </c>
    </row>
    <row r="22874" spans="129:129" x14ac:dyDescent="0.2">
      <c r="DY22874" s="185" t="s">
        <v>215</v>
      </c>
    </row>
    <row r="22875" spans="129:129" x14ac:dyDescent="0.2">
      <c r="DY22875" s="185" t="s">
        <v>215</v>
      </c>
    </row>
    <row r="22876" spans="129:129" x14ac:dyDescent="0.2">
      <c r="DY22876" s="185" t="s">
        <v>215</v>
      </c>
    </row>
    <row r="22877" spans="129:129" x14ac:dyDescent="0.2">
      <c r="DY22877" s="185" t="s">
        <v>215</v>
      </c>
    </row>
    <row r="22878" spans="129:129" x14ac:dyDescent="0.2">
      <c r="DY22878" s="185" t="s">
        <v>215</v>
      </c>
    </row>
    <row r="22879" spans="129:129" x14ac:dyDescent="0.2">
      <c r="DY22879" s="185" t="s">
        <v>215</v>
      </c>
    </row>
    <row r="22880" spans="129:129" x14ac:dyDescent="0.2">
      <c r="DY22880" s="185" t="s">
        <v>215</v>
      </c>
    </row>
    <row r="22881" spans="129:129" x14ac:dyDescent="0.2">
      <c r="DY22881" s="185" t="s">
        <v>215</v>
      </c>
    </row>
    <row r="22882" spans="129:129" x14ac:dyDescent="0.2">
      <c r="DY22882" s="185" t="s">
        <v>215</v>
      </c>
    </row>
    <row r="22883" spans="129:129" x14ac:dyDescent="0.2">
      <c r="DY22883" s="185" t="s">
        <v>215</v>
      </c>
    </row>
    <row r="22884" spans="129:129" x14ac:dyDescent="0.2">
      <c r="DY22884" s="185" t="s">
        <v>215</v>
      </c>
    </row>
    <row r="22885" spans="129:129" x14ac:dyDescent="0.2">
      <c r="DY22885" s="185" t="s">
        <v>215</v>
      </c>
    </row>
    <row r="22886" spans="129:129" x14ac:dyDescent="0.2">
      <c r="DY22886" s="185" t="s">
        <v>215</v>
      </c>
    </row>
    <row r="22887" spans="129:129" x14ac:dyDescent="0.2">
      <c r="DY22887" s="185" t="s">
        <v>215</v>
      </c>
    </row>
    <row r="22888" spans="129:129" x14ac:dyDescent="0.2">
      <c r="DY22888" s="185" t="s">
        <v>215</v>
      </c>
    </row>
    <row r="22889" spans="129:129" x14ac:dyDescent="0.2">
      <c r="DY22889" s="185" t="s">
        <v>215</v>
      </c>
    </row>
    <row r="22890" spans="129:129" x14ac:dyDescent="0.2">
      <c r="DY22890" s="185" t="s">
        <v>215</v>
      </c>
    </row>
    <row r="22891" spans="129:129" x14ac:dyDescent="0.2">
      <c r="DY22891" s="185" t="s">
        <v>215</v>
      </c>
    </row>
    <row r="22892" spans="129:129" x14ac:dyDescent="0.2">
      <c r="DY22892" s="185" t="s">
        <v>215</v>
      </c>
    </row>
    <row r="22893" spans="129:129" x14ac:dyDescent="0.2">
      <c r="DY22893" s="185" t="s">
        <v>215</v>
      </c>
    </row>
    <row r="22894" spans="129:129" x14ac:dyDescent="0.2">
      <c r="DY22894" s="185" t="s">
        <v>215</v>
      </c>
    </row>
    <row r="22895" spans="129:129" x14ac:dyDescent="0.2">
      <c r="DY22895" s="185" t="s">
        <v>215</v>
      </c>
    </row>
    <row r="22896" spans="129:129" x14ac:dyDescent="0.2">
      <c r="DY22896" s="185" t="s">
        <v>215</v>
      </c>
    </row>
    <row r="22897" spans="129:129" x14ac:dyDescent="0.2">
      <c r="DY22897" s="185" t="s">
        <v>215</v>
      </c>
    </row>
    <row r="22898" spans="129:129" x14ac:dyDescent="0.2">
      <c r="DY22898" s="185" t="s">
        <v>215</v>
      </c>
    </row>
    <row r="22899" spans="129:129" x14ac:dyDescent="0.2">
      <c r="DY22899" s="185" t="s">
        <v>215</v>
      </c>
    </row>
    <row r="22900" spans="129:129" x14ac:dyDescent="0.2">
      <c r="DY22900" s="185" t="s">
        <v>215</v>
      </c>
    </row>
    <row r="22901" spans="129:129" x14ac:dyDescent="0.2">
      <c r="DY22901" s="185" t="s">
        <v>215</v>
      </c>
    </row>
    <row r="22902" spans="129:129" x14ac:dyDescent="0.2">
      <c r="DY22902" s="185" t="s">
        <v>215</v>
      </c>
    </row>
    <row r="22903" spans="129:129" x14ac:dyDescent="0.2">
      <c r="DY22903" s="185" t="s">
        <v>215</v>
      </c>
    </row>
    <row r="22904" spans="129:129" x14ac:dyDescent="0.2">
      <c r="DY22904" s="185" t="s">
        <v>215</v>
      </c>
    </row>
    <row r="22905" spans="129:129" x14ac:dyDescent="0.2">
      <c r="DY22905" s="185" t="s">
        <v>215</v>
      </c>
    </row>
    <row r="22906" spans="129:129" x14ac:dyDescent="0.2">
      <c r="DY22906" s="185" t="s">
        <v>215</v>
      </c>
    </row>
    <row r="22907" spans="129:129" x14ac:dyDescent="0.2">
      <c r="DY22907" s="185" t="s">
        <v>215</v>
      </c>
    </row>
    <row r="22908" spans="129:129" x14ac:dyDescent="0.2">
      <c r="DY22908" s="185" t="s">
        <v>215</v>
      </c>
    </row>
    <row r="22909" spans="129:129" x14ac:dyDescent="0.2">
      <c r="DY22909" s="185" t="s">
        <v>215</v>
      </c>
    </row>
    <row r="22910" spans="129:129" x14ac:dyDescent="0.2">
      <c r="DY22910" s="185" t="s">
        <v>215</v>
      </c>
    </row>
    <row r="22911" spans="129:129" x14ac:dyDescent="0.2">
      <c r="DY22911" s="185" t="s">
        <v>215</v>
      </c>
    </row>
    <row r="22912" spans="129:129" x14ac:dyDescent="0.2">
      <c r="DY22912" s="185" t="s">
        <v>215</v>
      </c>
    </row>
    <row r="22913" spans="129:129" x14ac:dyDescent="0.2">
      <c r="DY22913" s="185" t="s">
        <v>215</v>
      </c>
    </row>
    <row r="22914" spans="129:129" x14ac:dyDescent="0.2">
      <c r="DY22914" s="185" t="s">
        <v>215</v>
      </c>
    </row>
    <row r="22915" spans="129:129" x14ac:dyDescent="0.2">
      <c r="DY22915" s="185" t="s">
        <v>215</v>
      </c>
    </row>
    <row r="22916" spans="129:129" x14ac:dyDescent="0.2">
      <c r="DY22916" s="185" t="s">
        <v>215</v>
      </c>
    </row>
    <row r="22917" spans="129:129" x14ac:dyDescent="0.2">
      <c r="DY22917" s="185" t="s">
        <v>215</v>
      </c>
    </row>
    <row r="22918" spans="129:129" x14ac:dyDescent="0.2">
      <c r="DY22918" s="185" t="s">
        <v>215</v>
      </c>
    </row>
    <row r="22919" spans="129:129" x14ac:dyDescent="0.2">
      <c r="DY22919" s="185" t="s">
        <v>215</v>
      </c>
    </row>
    <row r="22920" spans="129:129" x14ac:dyDescent="0.2">
      <c r="DY22920" s="185" t="s">
        <v>215</v>
      </c>
    </row>
    <row r="22921" spans="129:129" x14ac:dyDescent="0.2">
      <c r="DY22921" s="185" t="s">
        <v>215</v>
      </c>
    </row>
    <row r="22922" spans="129:129" x14ac:dyDescent="0.2">
      <c r="DY22922" s="185" t="s">
        <v>215</v>
      </c>
    </row>
    <row r="22923" spans="129:129" x14ac:dyDescent="0.2">
      <c r="DY22923" s="185" t="s">
        <v>215</v>
      </c>
    </row>
    <row r="22924" spans="129:129" x14ac:dyDescent="0.2">
      <c r="DY22924" s="185" t="s">
        <v>215</v>
      </c>
    </row>
    <row r="22925" spans="129:129" x14ac:dyDescent="0.2">
      <c r="DY22925" s="185" t="s">
        <v>215</v>
      </c>
    </row>
    <row r="22926" spans="129:129" x14ac:dyDescent="0.2">
      <c r="DY22926" s="185" t="s">
        <v>215</v>
      </c>
    </row>
    <row r="22927" spans="129:129" x14ac:dyDescent="0.2">
      <c r="DY22927" s="185" t="s">
        <v>215</v>
      </c>
    </row>
    <row r="22928" spans="129:129" x14ac:dyDescent="0.2">
      <c r="DY22928" s="185" t="s">
        <v>215</v>
      </c>
    </row>
    <row r="22929" spans="129:129" x14ac:dyDescent="0.2">
      <c r="DY22929" s="185" t="s">
        <v>215</v>
      </c>
    </row>
    <row r="22930" spans="129:129" x14ac:dyDescent="0.2">
      <c r="DY22930" s="185" t="s">
        <v>215</v>
      </c>
    </row>
    <row r="22931" spans="129:129" x14ac:dyDescent="0.2">
      <c r="DY22931" s="185" t="s">
        <v>215</v>
      </c>
    </row>
    <row r="22932" spans="129:129" x14ac:dyDescent="0.2">
      <c r="DY22932" s="185" t="s">
        <v>215</v>
      </c>
    </row>
    <row r="22933" spans="129:129" x14ac:dyDescent="0.2">
      <c r="DY22933" s="185" t="s">
        <v>215</v>
      </c>
    </row>
    <row r="22934" spans="129:129" x14ac:dyDescent="0.2">
      <c r="DY22934" s="185" t="s">
        <v>215</v>
      </c>
    </row>
    <row r="22935" spans="129:129" x14ac:dyDescent="0.2">
      <c r="DY22935" s="185" t="s">
        <v>215</v>
      </c>
    </row>
    <row r="22936" spans="129:129" x14ac:dyDescent="0.2">
      <c r="DY22936" s="185" t="s">
        <v>215</v>
      </c>
    </row>
    <row r="22937" spans="129:129" x14ac:dyDescent="0.2">
      <c r="DY22937" s="185" t="s">
        <v>215</v>
      </c>
    </row>
    <row r="22938" spans="129:129" x14ac:dyDescent="0.2">
      <c r="DY22938" s="185" t="s">
        <v>215</v>
      </c>
    </row>
    <row r="22939" spans="129:129" x14ac:dyDescent="0.2">
      <c r="DY22939" s="185" t="s">
        <v>215</v>
      </c>
    </row>
    <row r="22940" spans="129:129" x14ac:dyDescent="0.2">
      <c r="DY22940" s="185" t="s">
        <v>215</v>
      </c>
    </row>
    <row r="22941" spans="129:129" x14ac:dyDescent="0.2">
      <c r="DY22941" s="185" t="s">
        <v>215</v>
      </c>
    </row>
    <row r="22942" spans="129:129" x14ac:dyDescent="0.2">
      <c r="DY22942" s="185" t="s">
        <v>215</v>
      </c>
    </row>
    <row r="22943" spans="129:129" x14ac:dyDescent="0.2">
      <c r="DY22943" s="185" t="s">
        <v>215</v>
      </c>
    </row>
    <row r="22944" spans="129:129" x14ac:dyDescent="0.2">
      <c r="DY22944" s="185" t="s">
        <v>215</v>
      </c>
    </row>
    <row r="22945" spans="129:129" x14ac:dyDescent="0.2">
      <c r="DY22945" s="185" t="s">
        <v>215</v>
      </c>
    </row>
    <row r="22946" spans="129:129" x14ac:dyDescent="0.2">
      <c r="DY22946" s="185" t="s">
        <v>215</v>
      </c>
    </row>
    <row r="22947" spans="129:129" x14ac:dyDescent="0.2">
      <c r="DY22947" s="185" t="s">
        <v>215</v>
      </c>
    </row>
    <row r="22948" spans="129:129" x14ac:dyDescent="0.2">
      <c r="DY22948" s="185" t="s">
        <v>215</v>
      </c>
    </row>
    <row r="22949" spans="129:129" x14ac:dyDescent="0.2">
      <c r="DY22949" s="185" t="s">
        <v>215</v>
      </c>
    </row>
    <row r="22950" spans="129:129" x14ac:dyDescent="0.2">
      <c r="DY22950" s="185" t="s">
        <v>215</v>
      </c>
    </row>
    <row r="22951" spans="129:129" x14ac:dyDescent="0.2">
      <c r="DY22951" s="185" t="s">
        <v>215</v>
      </c>
    </row>
    <row r="22952" spans="129:129" x14ac:dyDescent="0.2">
      <c r="DY22952" s="185" t="s">
        <v>215</v>
      </c>
    </row>
    <row r="22953" spans="129:129" x14ac:dyDescent="0.2">
      <c r="DY22953" s="185" t="s">
        <v>215</v>
      </c>
    </row>
    <row r="22954" spans="129:129" x14ac:dyDescent="0.2">
      <c r="DY22954" s="185" t="s">
        <v>215</v>
      </c>
    </row>
    <row r="22955" spans="129:129" x14ac:dyDescent="0.2">
      <c r="DY22955" s="185" t="s">
        <v>215</v>
      </c>
    </row>
    <row r="22956" spans="129:129" x14ac:dyDescent="0.2">
      <c r="DY22956" s="185" t="s">
        <v>215</v>
      </c>
    </row>
    <row r="22957" spans="129:129" x14ac:dyDescent="0.2">
      <c r="DY22957" s="185" t="s">
        <v>215</v>
      </c>
    </row>
    <row r="22958" spans="129:129" x14ac:dyDescent="0.2">
      <c r="DY22958" s="185" t="s">
        <v>215</v>
      </c>
    </row>
    <row r="22959" spans="129:129" x14ac:dyDescent="0.2">
      <c r="DY22959" s="185" t="s">
        <v>215</v>
      </c>
    </row>
    <row r="22960" spans="129:129" x14ac:dyDescent="0.2">
      <c r="DY22960" s="185" t="s">
        <v>215</v>
      </c>
    </row>
    <row r="22961" spans="129:129" x14ac:dyDescent="0.2">
      <c r="DY22961" s="185" t="s">
        <v>215</v>
      </c>
    </row>
    <row r="22962" spans="129:129" x14ac:dyDescent="0.2">
      <c r="DY22962" s="185" t="s">
        <v>215</v>
      </c>
    </row>
    <row r="22963" spans="129:129" x14ac:dyDescent="0.2">
      <c r="DY22963" s="185" t="s">
        <v>215</v>
      </c>
    </row>
    <row r="22964" spans="129:129" x14ac:dyDescent="0.2">
      <c r="DY22964" s="185" t="s">
        <v>215</v>
      </c>
    </row>
    <row r="22965" spans="129:129" x14ac:dyDescent="0.2">
      <c r="DY22965" s="185" t="s">
        <v>215</v>
      </c>
    </row>
    <row r="22966" spans="129:129" x14ac:dyDescent="0.2">
      <c r="DY22966" s="185" t="s">
        <v>215</v>
      </c>
    </row>
    <row r="22967" spans="129:129" x14ac:dyDescent="0.2">
      <c r="DY22967" s="185" t="s">
        <v>215</v>
      </c>
    </row>
    <row r="22968" spans="129:129" x14ac:dyDescent="0.2">
      <c r="DY22968" s="185" t="s">
        <v>215</v>
      </c>
    </row>
    <row r="22969" spans="129:129" x14ac:dyDescent="0.2">
      <c r="DY22969" s="185" t="s">
        <v>215</v>
      </c>
    </row>
    <row r="22970" spans="129:129" x14ac:dyDescent="0.2">
      <c r="DY22970" s="185" t="s">
        <v>215</v>
      </c>
    </row>
    <row r="22971" spans="129:129" x14ac:dyDescent="0.2">
      <c r="DY22971" s="185" t="s">
        <v>215</v>
      </c>
    </row>
    <row r="22972" spans="129:129" x14ac:dyDescent="0.2">
      <c r="DY22972" s="185" t="s">
        <v>215</v>
      </c>
    </row>
    <row r="22973" spans="129:129" x14ac:dyDescent="0.2">
      <c r="DY22973" s="185" t="s">
        <v>215</v>
      </c>
    </row>
    <row r="22974" spans="129:129" x14ac:dyDescent="0.2">
      <c r="DY22974" s="185" t="s">
        <v>215</v>
      </c>
    </row>
    <row r="22975" spans="129:129" x14ac:dyDescent="0.2">
      <c r="DY22975" s="185" t="s">
        <v>215</v>
      </c>
    </row>
    <row r="22976" spans="129:129" x14ac:dyDescent="0.2">
      <c r="DY22976" s="185" t="s">
        <v>215</v>
      </c>
    </row>
    <row r="22977" spans="129:129" x14ac:dyDescent="0.2">
      <c r="DY22977" s="185" t="s">
        <v>215</v>
      </c>
    </row>
    <row r="22978" spans="129:129" x14ac:dyDescent="0.2">
      <c r="DY22978" s="185" t="s">
        <v>215</v>
      </c>
    </row>
    <row r="22979" spans="129:129" x14ac:dyDescent="0.2">
      <c r="DY22979" s="185" t="s">
        <v>215</v>
      </c>
    </row>
    <row r="22980" spans="129:129" x14ac:dyDescent="0.2">
      <c r="DY22980" s="185" t="s">
        <v>215</v>
      </c>
    </row>
    <row r="22981" spans="129:129" x14ac:dyDescent="0.2">
      <c r="DY22981" s="185" t="s">
        <v>215</v>
      </c>
    </row>
    <row r="22982" spans="129:129" x14ac:dyDescent="0.2">
      <c r="DY22982" s="185" t="s">
        <v>215</v>
      </c>
    </row>
    <row r="22983" spans="129:129" x14ac:dyDescent="0.2">
      <c r="DY22983" s="185" t="s">
        <v>215</v>
      </c>
    </row>
    <row r="22984" spans="129:129" x14ac:dyDescent="0.2">
      <c r="DY22984" s="185" t="s">
        <v>215</v>
      </c>
    </row>
    <row r="22985" spans="129:129" x14ac:dyDescent="0.2">
      <c r="DY22985" s="185" t="s">
        <v>215</v>
      </c>
    </row>
    <row r="22986" spans="129:129" x14ac:dyDescent="0.2">
      <c r="DY22986" s="185" t="s">
        <v>215</v>
      </c>
    </row>
    <row r="22987" spans="129:129" x14ac:dyDescent="0.2">
      <c r="DY22987" s="185" t="s">
        <v>215</v>
      </c>
    </row>
    <row r="22988" spans="129:129" x14ac:dyDescent="0.2">
      <c r="DY22988" s="185" t="s">
        <v>215</v>
      </c>
    </row>
    <row r="22989" spans="129:129" x14ac:dyDescent="0.2">
      <c r="DY22989" s="185" t="s">
        <v>215</v>
      </c>
    </row>
    <row r="22990" spans="129:129" x14ac:dyDescent="0.2">
      <c r="DY22990" s="185" t="s">
        <v>215</v>
      </c>
    </row>
    <row r="22991" spans="129:129" x14ac:dyDescent="0.2">
      <c r="DY22991" s="185" t="s">
        <v>215</v>
      </c>
    </row>
    <row r="22992" spans="129:129" x14ac:dyDescent="0.2">
      <c r="DY22992" s="185" t="s">
        <v>215</v>
      </c>
    </row>
    <row r="22993" spans="129:129" x14ac:dyDescent="0.2">
      <c r="DY22993" s="185" t="s">
        <v>215</v>
      </c>
    </row>
    <row r="22994" spans="129:129" x14ac:dyDescent="0.2">
      <c r="DY22994" s="185" t="s">
        <v>215</v>
      </c>
    </row>
    <row r="22995" spans="129:129" x14ac:dyDescent="0.2">
      <c r="DY22995" s="185" t="s">
        <v>215</v>
      </c>
    </row>
    <row r="22996" spans="129:129" x14ac:dyDescent="0.2">
      <c r="DY22996" s="185" t="s">
        <v>215</v>
      </c>
    </row>
    <row r="22997" spans="129:129" x14ac:dyDescent="0.2">
      <c r="DY22997" s="185" t="s">
        <v>215</v>
      </c>
    </row>
    <row r="22998" spans="129:129" x14ac:dyDescent="0.2">
      <c r="DY22998" s="185" t="s">
        <v>215</v>
      </c>
    </row>
    <row r="22999" spans="129:129" x14ac:dyDescent="0.2">
      <c r="DY22999" s="185" t="s">
        <v>215</v>
      </c>
    </row>
    <row r="23000" spans="129:129" x14ac:dyDescent="0.2">
      <c r="DY23000" s="185" t="s">
        <v>215</v>
      </c>
    </row>
    <row r="23001" spans="129:129" x14ac:dyDescent="0.2">
      <c r="DY23001" s="185" t="s">
        <v>215</v>
      </c>
    </row>
    <row r="23002" spans="129:129" x14ac:dyDescent="0.2">
      <c r="DY23002" s="185" t="s">
        <v>215</v>
      </c>
    </row>
    <row r="23003" spans="129:129" x14ac:dyDescent="0.2">
      <c r="DY23003" s="185" t="s">
        <v>215</v>
      </c>
    </row>
    <row r="23004" spans="129:129" x14ac:dyDescent="0.2">
      <c r="DY23004" s="185" t="s">
        <v>215</v>
      </c>
    </row>
    <row r="23005" spans="129:129" x14ac:dyDescent="0.2">
      <c r="DY23005" s="185" t="s">
        <v>215</v>
      </c>
    </row>
    <row r="23006" spans="129:129" x14ac:dyDescent="0.2">
      <c r="DY23006" s="185" t="s">
        <v>215</v>
      </c>
    </row>
    <row r="23007" spans="129:129" x14ac:dyDescent="0.2">
      <c r="DY23007" s="185" t="s">
        <v>215</v>
      </c>
    </row>
    <row r="23008" spans="129:129" x14ac:dyDescent="0.2">
      <c r="DY23008" s="185" t="s">
        <v>215</v>
      </c>
    </row>
    <row r="23009" spans="129:129" x14ac:dyDescent="0.2">
      <c r="DY23009" s="185" t="s">
        <v>215</v>
      </c>
    </row>
    <row r="23010" spans="129:129" x14ac:dyDescent="0.2">
      <c r="DY23010" s="185" t="s">
        <v>215</v>
      </c>
    </row>
    <row r="23011" spans="129:129" x14ac:dyDescent="0.2">
      <c r="DY23011" s="185" t="s">
        <v>215</v>
      </c>
    </row>
    <row r="23012" spans="129:129" x14ac:dyDescent="0.2">
      <c r="DY23012" s="185" t="s">
        <v>215</v>
      </c>
    </row>
    <row r="23013" spans="129:129" x14ac:dyDescent="0.2">
      <c r="DY23013" s="185" t="s">
        <v>215</v>
      </c>
    </row>
    <row r="23014" spans="129:129" x14ac:dyDescent="0.2">
      <c r="DY23014" s="185" t="s">
        <v>215</v>
      </c>
    </row>
    <row r="23015" spans="129:129" x14ac:dyDescent="0.2">
      <c r="DY23015" s="185" t="s">
        <v>215</v>
      </c>
    </row>
    <row r="23016" spans="129:129" x14ac:dyDescent="0.2">
      <c r="DY23016" s="185" t="s">
        <v>215</v>
      </c>
    </row>
    <row r="23017" spans="129:129" x14ac:dyDescent="0.2">
      <c r="DY23017" s="185" t="s">
        <v>215</v>
      </c>
    </row>
    <row r="23018" spans="129:129" x14ac:dyDescent="0.2">
      <c r="DY23018" s="185" t="s">
        <v>215</v>
      </c>
    </row>
    <row r="23019" spans="129:129" x14ac:dyDescent="0.2">
      <c r="DY23019" s="185" t="s">
        <v>215</v>
      </c>
    </row>
    <row r="23020" spans="129:129" x14ac:dyDescent="0.2">
      <c r="DY23020" s="185" t="s">
        <v>215</v>
      </c>
    </row>
    <row r="23021" spans="129:129" x14ac:dyDescent="0.2">
      <c r="DY23021" s="185" t="s">
        <v>215</v>
      </c>
    </row>
    <row r="23022" spans="129:129" x14ac:dyDescent="0.2">
      <c r="DY23022" s="185" t="s">
        <v>215</v>
      </c>
    </row>
    <row r="23023" spans="129:129" x14ac:dyDescent="0.2">
      <c r="DY23023" s="185" t="s">
        <v>215</v>
      </c>
    </row>
    <row r="23024" spans="129:129" x14ac:dyDescent="0.2">
      <c r="DY23024" s="185" t="s">
        <v>215</v>
      </c>
    </row>
    <row r="23025" spans="129:129" x14ac:dyDescent="0.2">
      <c r="DY23025" s="185" t="s">
        <v>215</v>
      </c>
    </row>
    <row r="23026" spans="129:129" x14ac:dyDescent="0.2">
      <c r="DY23026" s="185" t="s">
        <v>215</v>
      </c>
    </row>
    <row r="23027" spans="129:129" x14ac:dyDescent="0.2">
      <c r="DY23027" s="185" t="s">
        <v>215</v>
      </c>
    </row>
    <row r="23028" spans="129:129" x14ac:dyDescent="0.2">
      <c r="DY23028" s="185" t="s">
        <v>215</v>
      </c>
    </row>
    <row r="23029" spans="129:129" x14ac:dyDescent="0.2">
      <c r="DY23029" s="185" t="s">
        <v>215</v>
      </c>
    </row>
    <row r="23030" spans="129:129" x14ac:dyDescent="0.2">
      <c r="DY23030" s="185" t="s">
        <v>215</v>
      </c>
    </row>
    <row r="23031" spans="129:129" x14ac:dyDescent="0.2">
      <c r="DY23031" s="185" t="s">
        <v>215</v>
      </c>
    </row>
    <row r="23032" spans="129:129" x14ac:dyDescent="0.2">
      <c r="DY23032" s="185" t="s">
        <v>215</v>
      </c>
    </row>
    <row r="23033" spans="129:129" x14ac:dyDescent="0.2">
      <c r="DY23033" s="185" t="s">
        <v>215</v>
      </c>
    </row>
    <row r="23034" spans="129:129" x14ac:dyDescent="0.2">
      <c r="DY23034" s="185" t="s">
        <v>215</v>
      </c>
    </row>
    <row r="23035" spans="129:129" x14ac:dyDescent="0.2">
      <c r="DY23035" s="185" t="s">
        <v>215</v>
      </c>
    </row>
    <row r="23036" spans="129:129" x14ac:dyDescent="0.2">
      <c r="DY23036" s="185" t="s">
        <v>215</v>
      </c>
    </row>
    <row r="23037" spans="129:129" x14ac:dyDescent="0.2">
      <c r="DY23037" s="185" t="s">
        <v>215</v>
      </c>
    </row>
    <row r="23038" spans="129:129" x14ac:dyDescent="0.2">
      <c r="DY23038" s="185" t="s">
        <v>215</v>
      </c>
    </row>
    <row r="23039" spans="129:129" x14ac:dyDescent="0.2">
      <c r="DY23039" s="185" t="s">
        <v>215</v>
      </c>
    </row>
    <row r="23040" spans="129:129" x14ac:dyDescent="0.2">
      <c r="DY23040" s="185" t="s">
        <v>215</v>
      </c>
    </row>
    <row r="23041" spans="129:129" x14ac:dyDescent="0.2">
      <c r="DY23041" s="185" t="s">
        <v>215</v>
      </c>
    </row>
    <row r="23042" spans="129:129" x14ac:dyDescent="0.2">
      <c r="DY23042" s="185" t="s">
        <v>215</v>
      </c>
    </row>
    <row r="23043" spans="129:129" x14ac:dyDescent="0.2">
      <c r="DY23043" s="185" t="s">
        <v>215</v>
      </c>
    </row>
    <row r="23044" spans="129:129" x14ac:dyDescent="0.2">
      <c r="DY23044" s="185" t="s">
        <v>215</v>
      </c>
    </row>
    <row r="23045" spans="129:129" x14ac:dyDescent="0.2">
      <c r="DY23045" s="185" t="s">
        <v>215</v>
      </c>
    </row>
    <row r="23046" spans="129:129" x14ac:dyDescent="0.2">
      <c r="DY23046" s="185" t="s">
        <v>215</v>
      </c>
    </row>
    <row r="23047" spans="129:129" x14ac:dyDescent="0.2">
      <c r="DY23047" s="185" t="s">
        <v>215</v>
      </c>
    </row>
    <row r="23048" spans="129:129" x14ac:dyDescent="0.2">
      <c r="DY23048" s="185" t="s">
        <v>215</v>
      </c>
    </row>
    <row r="23049" spans="129:129" x14ac:dyDescent="0.2">
      <c r="DY23049" s="185" t="s">
        <v>215</v>
      </c>
    </row>
    <row r="23050" spans="129:129" x14ac:dyDescent="0.2">
      <c r="DY23050" s="185" t="s">
        <v>215</v>
      </c>
    </row>
    <row r="23051" spans="129:129" x14ac:dyDescent="0.2">
      <c r="DY23051" s="185" t="s">
        <v>215</v>
      </c>
    </row>
    <row r="23052" spans="129:129" x14ac:dyDescent="0.2">
      <c r="DY23052" s="185" t="s">
        <v>215</v>
      </c>
    </row>
    <row r="23053" spans="129:129" x14ac:dyDescent="0.2">
      <c r="DY23053" s="185" t="s">
        <v>215</v>
      </c>
    </row>
    <row r="23054" spans="129:129" x14ac:dyDescent="0.2">
      <c r="DY23054" s="185" t="s">
        <v>215</v>
      </c>
    </row>
    <row r="23055" spans="129:129" x14ac:dyDescent="0.2">
      <c r="DY23055" s="185" t="s">
        <v>215</v>
      </c>
    </row>
    <row r="23056" spans="129:129" x14ac:dyDescent="0.2">
      <c r="DY23056" s="185" t="s">
        <v>215</v>
      </c>
    </row>
    <row r="23057" spans="129:129" x14ac:dyDescent="0.2">
      <c r="DY23057" s="185" t="s">
        <v>215</v>
      </c>
    </row>
    <row r="23058" spans="129:129" x14ac:dyDescent="0.2">
      <c r="DY23058" s="185" t="s">
        <v>215</v>
      </c>
    </row>
    <row r="23059" spans="129:129" x14ac:dyDescent="0.2">
      <c r="DY23059" s="185" t="s">
        <v>215</v>
      </c>
    </row>
    <row r="23060" spans="129:129" x14ac:dyDescent="0.2">
      <c r="DY23060" s="185" t="s">
        <v>215</v>
      </c>
    </row>
    <row r="23061" spans="129:129" x14ac:dyDescent="0.2">
      <c r="DY23061" s="185" t="s">
        <v>215</v>
      </c>
    </row>
    <row r="23062" spans="129:129" x14ac:dyDescent="0.2">
      <c r="DY23062" s="185" t="s">
        <v>215</v>
      </c>
    </row>
    <row r="23063" spans="129:129" x14ac:dyDescent="0.2">
      <c r="DY23063" s="185" t="s">
        <v>215</v>
      </c>
    </row>
    <row r="23064" spans="129:129" x14ac:dyDescent="0.2">
      <c r="DY23064" s="185" t="s">
        <v>215</v>
      </c>
    </row>
    <row r="23065" spans="129:129" x14ac:dyDescent="0.2">
      <c r="DY23065" s="185" t="s">
        <v>215</v>
      </c>
    </row>
    <row r="23066" spans="129:129" x14ac:dyDescent="0.2">
      <c r="DY23066" s="185" t="s">
        <v>215</v>
      </c>
    </row>
    <row r="23067" spans="129:129" x14ac:dyDescent="0.2">
      <c r="DY23067" s="185" t="s">
        <v>215</v>
      </c>
    </row>
    <row r="23068" spans="129:129" x14ac:dyDescent="0.2">
      <c r="DY23068" s="185" t="s">
        <v>215</v>
      </c>
    </row>
    <row r="23069" spans="129:129" x14ac:dyDescent="0.2">
      <c r="DY23069" s="185" t="s">
        <v>215</v>
      </c>
    </row>
    <row r="23070" spans="129:129" x14ac:dyDescent="0.2">
      <c r="DY23070" s="185" t="s">
        <v>215</v>
      </c>
    </row>
    <row r="23071" spans="129:129" x14ac:dyDescent="0.2">
      <c r="DY23071" s="185" t="s">
        <v>215</v>
      </c>
    </row>
    <row r="23072" spans="129:129" x14ac:dyDescent="0.2">
      <c r="DY23072" s="185" t="s">
        <v>215</v>
      </c>
    </row>
    <row r="23073" spans="129:129" x14ac:dyDescent="0.2">
      <c r="DY23073" s="185" t="s">
        <v>215</v>
      </c>
    </row>
    <row r="23074" spans="129:129" x14ac:dyDescent="0.2">
      <c r="DY23074" s="185" t="s">
        <v>215</v>
      </c>
    </row>
    <row r="23075" spans="129:129" x14ac:dyDescent="0.2">
      <c r="DY23075" s="185" t="s">
        <v>215</v>
      </c>
    </row>
    <row r="23076" spans="129:129" x14ac:dyDescent="0.2">
      <c r="DY23076" s="185" t="s">
        <v>215</v>
      </c>
    </row>
    <row r="23077" spans="129:129" x14ac:dyDescent="0.2">
      <c r="DY23077" s="185" t="s">
        <v>215</v>
      </c>
    </row>
    <row r="23078" spans="129:129" x14ac:dyDescent="0.2">
      <c r="DY23078" s="185" t="s">
        <v>215</v>
      </c>
    </row>
    <row r="23079" spans="129:129" x14ac:dyDescent="0.2">
      <c r="DY23079" s="185" t="s">
        <v>215</v>
      </c>
    </row>
    <row r="23080" spans="129:129" x14ac:dyDescent="0.2">
      <c r="DY23080" s="185" t="s">
        <v>215</v>
      </c>
    </row>
    <row r="23081" spans="129:129" x14ac:dyDescent="0.2">
      <c r="DY23081" s="185" t="s">
        <v>215</v>
      </c>
    </row>
    <row r="23082" spans="129:129" x14ac:dyDescent="0.2">
      <c r="DY23082" s="185" t="s">
        <v>215</v>
      </c>
    </row>
    <row r="23083" spans="129:129" x14ac:dyDescent="0.2">
      <c r="DY23083" s="185" t="s">
        <v>215</v>
      </c>
    </row>
    <row r="23084" spans="129:129" x14ac:dyDescent="0.2">
      <c r="DY23084" s="185" t="s">
        <v>215</v>
      </c>
    </row>
    <row r="23085" spans="129:129" x14ac:dyDescent="0.2">
      <c r="DY23085" s="185" t="s">
        <v>215</v>
      </c>
    </row>
    <row r="23086" spans="129:129" x14ac:dyDescent="0.2">
      <c r="DY23086" s="185" t="s">
        <v>215</v>
      </c>
    </row>
    <row r="23087" spans="129:129" x14ac:dyDescent="0.2">
      <c r="DY23087" s="185" t="s">
        <v>215</v>
      </c>
    </row>
    <row r="23088" spans="129:129" x14ac:dyDescent="0.2">
      <c r="DY23088" s="185" t="s">
        <v>215</v>
      </c>
    </row>
    <row r="23089" spans="129:129" x14ac:dyDescent="0.2">
      <c r="DY23089" s="185" t="s">
        <v>215</v>
      </c>
    </row>
    <row r="23090" spans="129:129" x14ac:dyDescent="0.2">
      <c r="DY23090" s="185" t="s">
        <v>215</v>
      </c>
    </row>
    <row r="23091" spans="129:129" x14ac:dyDescent="0.2">
      <c r="DY23091" s="185" t="s">
        <v>215</v>
      </c>
    </row>
    <row r="23092" spans="129:129" x14ac:dyDescent="0.2">
      <c r="DY23092" s="185" t="s">
        <v>215</v>
      </c>
    </row>
    <row r="23093" spans="129:129" x14ac:dyDescent="0.2">
      <c r="DY23093" s="185" t="s">
        <v>215</v>
      </c>
    </row>
    <row r="23094" spans="129:129" x14ac:dyDescent="0.2">
      <c r="DY23094" s="185" t="s">
        <v>215</v>
      </c>
    </row>
    <row r="23095" spans="129:129" x14ac:dyDescent="0.2">
      <c r="DY23095" s="185" t="s">
        <v>215</v>
      </c>
    </row>
    <row r="23096" spans="129:129" x14ac:dyDescent="0.2">
      <c r="DY23096" s="185" t="s">
        <v>215</v>
      </c>
    </row>
    <row r="23097" spans="129:129" x14ac:dyDescent="0.2">
      <c r="DY23097" s="185" t="s">
        <v>215</v>
      </c>
    </row>
    <row r="23098" spans="129:129" x14ac:dyDescent="0.2">
      <c r="DY23098" s="185" t="s">
        <v>215</v>
      </c>
    </row>
    <row r="23099" spans="129:129" x14ac:dyDescent="0.2">
      <c r="DY23099" s="185" t="s">
        <v>215</v>
      </c>
    </row>
    <row r="23100" spans="129:129" x14ac:dyDescent="0.2">
      <c r="DY23100" s="185" t="s">
        <v>215</v>
      </c>
    </row>
    <row r="23101" spans="129:129" x14ac:dyDescent="0.2">
      <c r="DY23101" s="185" t="s">
        <v>215</v>
      </c>
    </row>
    <row r="23102" spans="129:129" x14ac:dyDescent="0.2">
      <c r="DY23102" s="185" t="s">
        <v>215</v>
      </c>
    </row>
    <row r="23103" spans="129:129" x14ac:dyDescent="0.2">
      <c r="DY23103" s="185" t="s">
        <v>215</v>
      </c>
    </row>
    <row r="23104" spans="129:129" x14ac:dyDescent="0.2">
      <c r="DY23104" s="185" t="s">
        <v>215</v>
      </c>
    </row>
    <row r="23105" spans="129:129" x14ac:dyDescent="0.2">
      <c r="DY23105" s="185" t="s">
        <v>215</v>
      </c>
    </row>
    <row r="23106" spans="129:129" x14ac:dyDescent="0.2">
      <c r="DY23106" s="185" t="s">
        <v>215</v>
      </c>
    </row>
    <row r="23107" spans="129:129" x14ac:dyDescent="0.2">
      <c r="DY23107" s="185" t="s">
        <v>215</v>
      </c>
    </row>
    <row r="23108" spans="129:129" x14ac:dyDescent="0.2">
      <c r="DY23108" s="185" t="s">
        <v>215</v>
      </c>
    </row>
    <row r="23109" spans="129:129" x14ac:dyDescent="0.2">
      <c r="DY23109" s="185" t="s">
        <v>215</v>
      </c>
    </row>
    <row r="23110" spans="129:129" x14ac:dyDescent="0.2">
      <c r="DY23110" s="185" t="s">
        <v>215</v>
      </c>
    </row>
    <row r="23111" spans="129:129" x14ac:dyDescent="0.2">
      <c r="DY23111" s="185" t="s">
        <v>215</v>
      </c>
    </row>
    <row r="23112" spans="129:129" x14ac:dyDescent="0.2">
      <c r="DY23112" s="185" t="s">
        <v>215</v>
      </c>
    </row>
    <row r="23113" spans="129:129" x14ac:dyDescent="0.2">
      <c r="DY23113" s="185" t="s">
        <v>215</v>
      </c>
    </row>
    <row r="23114" spans="129:129" x14ac:dyDescent="0.2">
      <c r="DY23114" s="185" t="s">
        <v>215</v>
      </c>
    </row>
    <row r="23115" spans="129:129" x14ac:dyDescent="0.2">
      <c r="DY23115" s="185" t="s">
        <v>215</v>
      </c>
    </row>
    <row r="23116" spans="129:129" x14ac:dyDescent="0.2">
      <c r="DY23116" s="185" t="s">
        <v>215</v>
      </c>
    </row>
    <row r="23117" spans="129:129" x14ac:dyDescent="0.2">
      <c r="DY23117" s="185" t="s">
        <v>215</v>
      </c>
    </row>
    <row r="23118" spans="129:129" x14ac:dyDescent="0.2">
      <c r="DY23118" s="185" t="s">
        <v>215</v>
      </c>
    </row>
    <row r="23119" spans="129:129" x14ac:dyDescent="0.2">
      <c r="DY23119" s="185" t="s">
        <v>215</v>
      </c>
    </row>
    <row r="23120" spans="129:129" x14ac:dyDescent="0.2">
      <c r="DY23120" s="185" t="s">
        <v>215</v>
      </c>
    </row>
    <row r="23121" spans="129:129" x14ac:dyDescent="0.2">
      <c r="DY23121" s="185" t="s">
        <v>215</v>
      </c>
    </row>
    <row r="23122" spans="129:129" x14ac:dyDescent="0.2">
      <c r="DY23122" s="185" t="s">
        <v>215</v>
      </c>
    </row>
    <row r="23123" spans="129:129" x14ac:dyDescent="0.2">
      <c r="DY23123" s="185" t="s">
        <v>215</v>
      </c>
    </row>
    <row r="23124" spans="129:129" x14ac:dyDescent="0.2">
      <c r="DY23124" s="185" t="s">
        <v>215</v>
      </c>
    </row>
    <row r="23125" spans="129:129" x14ac:dyDescent="0.2">
      <c r="DY23125" s="185" t="s">
        <v>215</v>
      </c>
    </row>
    <row r="23126" spans="129:129" x14ac:dyDescent="0.2">
      <c r="DY23126" s="185" t="s">
        <v>215</v>
      </c>
    </row>
    <row r="23127" spans="129:129" x14ac:dyDescent="0.2">
      <c r="DY23127" s="185" t="s">
        <v>215</v>
      </c>
    </row>
    <row r="23128" spans="129:129" x14ac:dyDescent="0.2">
      <c r="DY23128" s="185" t="s">
        <v>215</v>
      </c>
    </row>
    <row r="23129" spans="129:129" x14ac:dyDescent="0.2">
      <c r="DY23129" s="185" t="s">
        <v>215</v>
      </c>
    </row>
    <row r="23130" spans="129:129" x14ac:dyDescent="0.2">
      <c r="DY23130" s="185" t="s">
        <v>215</v>
      </c>
    </row>
    <row r="23131" spans="129:129" x14ac:dyDescent="0.2">
      <c r="DY23131" s="185" t="s">
        <v>215</v>
      </c>
    </row>
    <row r="23132" spans="129:129" x14ac:dyDescent="0.2">
      <c r="DY23132" s="185" t="s">
        <v>215</v>
      </c>
    </row>
    <row r="23133" spans="129:129" x14ac:dyDescent="0.2">
      <c r="DY23133" s="185" t="s">
        <v>215</v>
      </c>
    </row>
    <row r="23134" spans="129:129" x14ac:dyDescent="0.2">
      <c r="DY23134" s="185" t="s">
        <v>215</v>
      </c>
    </row>
    <row r="23135" spans="129:129" x14ac:dyDescent="0.2">
      <c r="DY23135" s="185" t="s">
        <v>215</v>
      </c>
    </row>
    <row r="23136" spans="129:129" x14ac:dyDescent="0.2">
      <c r="DY23136" s="185" t="s">
        <v>215</v>
      </c>
    </row>
    <row r="23137" spans="129:129" x14ac:dyDescent="0.2">
      <c r="DY23137" s="185" t="s">
        <v>215</v>
      </c>
    </row>
    <row r="23138" spans="129:129" x14ac:dyDescent="0.2">
      <c r="DY23138" s="185" t="s">
        <v>215</v>
      </c>
    </row>
    <row r="23139" spans="129:129" x14ac:dyDescent="0.2">
      <c r="DY23139" s="185" t="s">
        <v>215</v>
      </c>
    </row>
    <row r="23140" spans="129:129" x14ac:dyDescent="0.2">
      <c r="DY23140" s="185" t="s">
        <v>215</v>
      </c>
    </row>
    <row r="23141" spans="129:129" x14ac:dyDescent="0.2">
      <c r="DY23141" s="185" t="s">
        <v>215</v>
      </c>
    </row>
    <row r="23142" spans="129:129" x14ac:dyDescent="0.2">
      <c r="DY23142" s="185" t="s">
        <v>215</v>
      </c>
    </row>
    <row r="23143" spans="129:129" x14ac:dyDescent="0.2">
      <c r="DY23143" s="185" t="s">
        <v>215</v>
      </c>
    </row>
    <row r="23144" spans="129:129" x14ac:dyDescent="0.2">
      <c r="DY23144" s="185" t="s">
        <v>215</v>
      </c>
    </row>
    <row r="23145" spans="129:129" x14ac:dyDescent="0.2">
      <c r="DY23145" s="185" t="s">
        <v>215</v>
      </c>
    </row>
    <row r="23146" spans="129:129" x14ac:dyDescent="0.2">
      <c r="DY23146" s="185" t="s">
        <v>215</v>
      </c>
    </row>
    <row r="23147" spans="129:129" x14ac:dyDescent="0.2">
      <c r="DY23147" s="185" t="s">
        <v>215</v>
      </c>
    </row>
    <row r="23148" spans="129:129" x14ac:dyDescent="0.2">
      <c r="DY23148" s="185" t="s">
        <v>215</v>
      </c>
    </row>
    <row r="23149" spans="129:129" x14ac:dyDescent="0.2">
      <c r="DY23149" s="185" t="s">
        <v>215</v>
      </c>
    </row>
    <row r="23150" spans="129:129" x14ac:dyDescent="0.2">
      <c r="DY23150" s="185" t="s">
        <v>215</v>
      </c>
    </row>
    <row r="23151" spans="129:129" x14ac:dyDescent="0.2">
      <c r="DY23151" s="185" t="s">
        <v>215</v>
      </c>
    </row>
    <row r="23152" spans="129:129" x14ac:dyDescent="0.2">
      <c r="DY23152" s="185" t="s">
        <v>215</v>
      </c>
    </row>
    <row r="23153" spans="129:129" x14ac:dyDescent="0.2">
      <c r="DY23153" s="185" t="s">
        <v>215</v>
      </c>
    </row>
    <row r="23154" spans="129:129" x14ac:dyDescent="0.2">
      <c r="DY23154" s="185" t="s">
        <v>215</v>
      </c>
    </row>
    <row r="23155" spans="129:129" x14ac:dyDescent="0.2">
      <c r="DY23155" s="185" t="s">
        <v>215</v>
      </c>
    </row>
    <row r="23156" spans="129:129" x14ac:dyDescent="0.2">
      <c r="DY23156" s="185" t="s">
        <v>215</v>
      </c>
    </row>
    <row r="23157" spans="129:129" x14ac:dyDescent="0.2">
      <c r="DY23157" s="185" t="s">
        <v>215</v>
      </c>
    </row>
    <row r="23158" spans="129:129" x14ac:dyDescent="0.2">
      <c r="DY23158" s="185" t="s">
        <v>215</v>
      </c>
    </row>
    <row r="23159" spans="129:129" x14ac:dyDescent="0.2">
      <c r="DY23159" s="185" t="s">
        <v>215</v>
      </c>
    </row>
    <row r="23160" spans="129:129" x14ac:dyDescent="0.2">
      <c r="DY23160" s="185" t="s">
        <v>215</v>
      </c>
    </row>
    <row r="23161" spans="129:129" x14ac:dyDescent="0.2">
      <c r="DY23161" s="185" t="s">
        <v>215</v>
      </c>
    </row>
    <row r="23162" spans="129:129" x14ac:dyDescent="0.2">
      <c r="DY23162" s="185" t="s">
        <v>215</v>
      </c>
    </row>
    <row r="23163" spans="129:129" x14ac:dyDescent="0.2">
      <c r="DY23163" s="185" t="s">
        <v>215</v>
      </c>
    </row>
    <row r="23164" spans="129:129" x14ac:dyDescent="0.2">
      <c r="DY23164" s="185" t="s">
        <v>215</v>
      </c>
    </row>
    <row r="23165" spans="129:129" x14ac:dyDescent="0.2">
      <c r="DY23165" s="185" t="s">
        <v>215</v>
      </c>
    </row>
    <row r="23166" spans="129:129" x14ac:dyDescent="0.2">
      <c r="DY23166" s="185" t="s">
        <v>215</v>
      </c>
    </row>
    <row r="23167" spans="129:129" x14ac:dyDescent="0.2">
      <c r="DY23167" s="185" t="s">
        <v>215</v>
      </c>
    </row>
    <row r="23168" spans="129:129" x14ac:dyDescent="0.2">
      <c r="DY23168" s="185" t="s">
        <v>215</v>
      </c>
    </row>
    <row r="23169" spans="129:129" x14ac:dyDescent="0.2">
      <c r="DY23169" s="185" t="s">
        <v>215</v>
      </c>
    </row>
    <row r="23170" spans="129:129" x14ac:dyDescent="0.2">
      <c r="DY23170" s="185" t="s">
        <v>215</v>
      </c>
    </row>
    <row r="23171" spans="129:129" x14ac:dyDescent="0.2">
      <c r="DY23171" s="185" t="s">
        <v>215</v>
      </c>
    </row>
    <row r="23172" spans="129:129" x14ac:dyDescent="0.2">
      <c r="DY23172" s="185" t="s">
        <v>215</v>
      </c>
    </row>
    <row r="23173" spans="129:129" x14ac:dyDescent="0.2">
      <c r="DY23173" s="185" t="s">
        <v>215</v>
      </c>
    </row>
    <row r="23174" spans="129:129" x14ac:dyDescent="0.2">
      <c r="DY23174" s="185" t="s">
        <v>215</v>
      </c>
    </row>
    <row r="23175" spans="129:129" x14ac:dyDescent="0.2">
      <c r="DY23175" s="185" t="s">
        <v>215</v>
      </c>
    </row>
    <row r="23176" spans="129:129" x14ac:dyDescent="0.2">
      <c r="DY23176" s="185" t="s">
        <v>215</v>
      </c>
    </row>
    <row r="23177" spans="129:129" x14ac:dyDescent="0.2">
      <c r="DY23177" s="185" t="s">
        <v>215</v>
      </c>
    </row>
    <row r="23178" spans="129:129" x14ac:dyDescent="0.2">
      <c r="DY23178" s="185" t="s">
        <v>215</v>
      </c>
    </row>
    <row r="23179" spans="129:129" x14ac:dyDescent="0.2">
      <c r="DY23179" s="185" t="s">
        <v>215</v>
      </c>
    </row>
    <row r="23180" spans="129:129" x14ac:dyDescent="0.2">
      <c r="DY23180" s="185" t="s">
        <v>215</v>
      </c>
    </row>
    <row r="23181" spans="129:129" x14ac:dyDescent="0.2">
      <c r="DY23181" s="185" t="s">
        <v>215</v>
      </c>
    </row>
    <row r="23182" spans="129:129" x14ac:dyDescent="0.2">
      <c r="DY23182" s="185" t="s">
        <v>215</v>
      </c>
    </row>
    <row r="23183" spans="129:129" x14ac:dyDescent="0.2">
      <c r="DY23183" s="185" t="s">
        <v>215</v>
      </c>
    </row>
    <row r="23184" spans="129:129" x14ac:dyDescent="0.2">
      <c r="DY23184" s="185" t="s">
        <v>215</v>
      </c>
    </row>
    <row r="23185" spans="129:129" x14ac:dyDescent="0.2">
      <c r="DY23185" s="185" t="s">
        <v>215</v>
      </c>
    </row>
    <row r="23186" spans="129:129" x14ac:dyDescent="0.2">
      <c r="DY23186" s="185" t="s">
        <v>215</v>
      </c>
    </row>
    <row r="23187" spans="129:129" x14ac:dyDescent="0.2">
      <c r="DY23187" s="185" t="s">
        <v>215</v>
      </c>
    </row>
    <row r="23188" spans="129:129" x14ac:dyDescent="0.2">
      <c r="DY23188" s="185" t="s">
        <v>215</v>
      </c>
    </row>
    <row r="23189" spans="129:129" x14ac:dyDescent="0.2">
      <c r="DY23189" s="185" t="s">
        <v>215</v>
      </c>
    </row>
    <row r="23190" spans="129:129" x14ac:dyDescent="0.2">
      <c r="DY23190" s="185" t="s">
        <v>215</v>
      </c>
    </row>
    <row r="23191" spans="129:129" x14ac:dyDescent="0.2">
      <c r="DY23191" s="185" t="s">
        <v>215</v>
      </c>
    </row>
    <row r="23192" spans="129:129" x14ac:dyDescent="0.2">
      <c r="DY23192" s="185" t="s">
        <v>215</v>
      </c>
    </row>
    <row r="23193" spans="129:129" x14ac:dyDescent="0.2">
      <c r="DY23193" s="185" t="s">
        <v>215</v>
      </c>
    </row>
    <row r="23194" spans="129:129" x14ac:dyDescent="0.2">
      <c r="DY23194" s="185" t="s">
        <v>215</v>
      </c>
    </row>
    <row r="23195" spans="129:129" x14ac:dyDescent="0.2">
      <c r="DY23195" s="185" t="s">
        <v>215</v>
      </c>
    </row>
    <row r="23196" spans="129:129" x14ac:dyDescent="0.2">
      <c r="DY23196" s="185" t="s">
        <v>215</v>
      </c>
    </row>
    <row r="23197" spans="129:129" x14ac:dyDescent="0.2">
      <c r="DY23197" s="185" t="s">
        <v>215</v>
      </c>
    </row>
    <row r="23198" spans="129:129" x14ac:dyDescent="0.2">
      <c r="DY23198" s="185" t="s">
        <v>215</v>
      </c>
    </row>
    <row r="23199" spans="129:129" x14ac:dyDescent="0.2">
      <c r="DY23199" s="185" t="s">
        <v>215</v>
      </c>
    </row>
    <row r="23200" spans="129:129" x14ac:dyDescent="0.2">
      <c r="DY23200" s="185" t="s">
        <v>215</v>
      </c>
    </row>
    <row r="23201" spans="129:129" x14ac:dyDescent="0.2">
      <c r="DY23201" s="185" t="s">
        <v>215</v>
      </c>
    </row>
    <row r="23202" spans="129:129" x14ac:dyDescent="0.2">
      <c r="DY23202" s="185" t="s">
        <v>215</v>
      </c>
    </row>
    <row r="23203" spans="129:129" x14ac:dyDescent="0.2">
      <c r="DY23203" s="185" t="s">
        <v>215</v>
      </c>
    </row>
    <row r="23204" spans="129:129" x14ac:dyDescent="0.2">
      <c r="DY23204" s="185" t="s">
        <v>215</v>
      </c>
    </row>
    <row r="23205" spans="129:129" x14ac:dyDescent="0.2">
      <c r="DY23205" s="185" t="s">
        <v>215</v>
      </c>
    </row>
    <row r="23206" spans="129:129" x14ac:dyDescent="0.2">
      <c r="DY23206" s="185" t="s">
        <v>215</v>
      </c>
    </row>
    <row r="23207" spans="129:129" x14ac:dyDescent="0.2">
      <c r="DY23207" s="185" t="s">
        <v>215</v>
      </c>
    </row>
    <row r="23208" spans="129:129" x14ac:dyDescent="0.2">
      <c r="DY23208" s="185" t="s">
        <v>215</v>
      </c>
    </row>
    <row r="23209" spans="129:129" x14ac:dyDescent="0.2">
      <c r="DY23209" s="185" t="s">
        <v>215</v>
      </c>
    </row>
    <row r="23210" spans="129:129" x14ac:dyDescent="0.2">
      <c r="DY23210" s="185" t="s">
        <v>215</v>
      </c>
    </row>
    <row r="23211" spans="129:129" x14ac:dyDescent="0.2">
      <c r="DY23211" s="185" t="s">
        <v>215</v>
      </c>
    </row>
    <row r="23212" spans="129:129" x14ac:dyDescent="0.2">
      <c r="DY23212" s="185" t="s">
        <v>215</v>
      </c>
    </row>
    <row r="23213" spans="129:129" x14ac:dyDescent="0.2">
      <c r="DY23213" s="185" t="s">
        <v>215</v>
      </c>
    </row>
    <row r="23214" spans="129:129" x14ac:dyDescent="0.2">
      <c r="DY23214" s="185" t="s">
        <v>215</v>
      </c>
    </row>
    <row r="23215" spans="129:129" x14ac:dyDescent="0.2">
      <c r="DY23215" s="185" t="s">
        <v>215</v>
      </c>
    </row>
    <row r="23216" spans="129:129" x14ac:dyDescent="0.2">
      <c r="DY23216" s="185" t="s">
        <v>215</v>
      </c>
    </row>
    <row r="23217" spans="129:129" x14ac:dyDescent="0.2">
      <c r="DY23217" s="185" t="s">
        <v>215</v>
      </c>
    </row>
    <row r="23218" spans="129:129" x14ac:dyDescent="0.2">
      <c r="DY23218" s="185" t="s">
        <v>215</v>
      </c>
    </row>
    <row r="23219" spans="129:129" x14ac:dyDescent="0.2">
      <c r="DY23219" s="185" t="s">
        <v>215</v>
      </c>
    </row>
    <row r="23220" spans="129:129" x14ac:dyDescent="0.2">
      <c r="DY23220" s="185" t="s">
        <v>215</v>
      </c>
    </row>
    <row r="23221" spans="129:129" x14ac:dyDescent="0.2">
      <c r="DY23221" s="185" t="s">
        <v>215</v>
      </c>
    </row>
    <row r="23222" spans="129:129" x14ac:dyDescent="0.2">
      <c r="DY23222" s="185" t="s">
        <v>215</v>
      </c>
    </row>
    <row r="23223" spans="129:129" x14ac:dyDescent="0.2">
      <c r="DY23223" s="185" t="s">
        <v>215</v>
      </c>
    </row>
    <row r="23224" spans="129:129" x14ac:dyDescent="0.2">
      <c r="DY23224" s="185" t="s">
        <v>215</v>
      </c>
    </row>
    <row r="23225" spans="129:129" x14ac:dyDescent="0.2">
      <c r="DY23225" s="185" t="s">
        <v>215</v>
      </c>
    </row>
    <row r="23226" spans="129:129" x14ac:dyDescent="0.2">
      <c r="DY23226" s="185" t="s">
        <v>215</v>
      </c>
    </row>
    <row r="23227" spans="129:129" x14ac:dyDescent="0.2">
      <c r="DY23227" s="185" t="s">
        <v>215</v>
      </c>
    </row>
    <row r="23228" spans="129:129" x14ac:dyDescent="0.2">
      <c r="DY23228" s="185" t="s">
        <v>215</v>
      </c>
    </row>
    <row r="23229" spans="129:129" x14ac:dyDescent="0.2">
      <c r="DY23229" s="185" t="s">
        <v>215</v>
      </c>
    </row>
    <row r="23230" spans="129:129" x14ac:dyDescent="0.2">
      <c r="DY23230" s="185" t="s">
        <v>215</v>
      </c>
    </row>
    <row r="23231" spans="129:129" x14ac:dyDescent="0.2">
      <c r="DY23231" s="185" t="s">
        <v>215</v>
      </c>
    </row>
    <row r="23232" spans="129:129" x14ac:dyDescent="0.2">
      <c r="DY23232" s="185" t="s">
        <v>215</v>
      </c>
    </row>
    <row r="23233" spans="129:129" x14ac:dyDescent="0.2">
      <c r="DY23233" s="185" t="s">
        <v>215</v>
      </c>
    </row>
    <row r="23234" spans="129:129" x14ac:dyDescent="0.2">
      <c r="DY23234" s="185" t="s">
        <v>215</v>
      </c>
    </row>
    <row r="23235" spans="129:129" x14ac:dyDescent="0.2">
      <c r="DY23235" s="185" t="s">
        <v>215</v>
      </c>
    </row>
    <row r="23236" spans="129:129" x14ac:dyDescent="0.2">
      <c r="DY23236" s="185" t="s">
        <v>215</v>
      </c>
    </row>
    <row r="23237" spans="129:129" x14ac:dyDescent="0.2">
      <c r="DY23237" s="185" t="s">
        <v>215</v>
      </c>
    </row>
    <row r="23238" spans="129:129" x14ac:dyDescent="0.2">
      <c r="DY23238" s="185" t="s">
        <v>215</v>
      </c>
    </row>
    <row r="23239" spans="129:129" x14ac:dyDescent="0.2">
      <c r="DY23239" s="185" t="s">
        <v>215</v>
      </c>
    </row>
    <row r="23240" spans="129:129" x14ac:dyDescent="0.2">
      <c r="DY23240" s="185" t="s">
        <v>215</v>
      </c>
    </row>
    <row r="23241" spans="129:129" x14ac:dyDescent="0.2">
      <c r="DY23241" s="185" t="s">
        <v>215</v>
      </c>
    </row>
    <row r="23242" spans="129:129" x14ac:dyDescent="0.2">
      <c r="DY23242" s="185" t="s">
        <v>215</v>
      </c>
    </row>
    <row r="23243" spans="129:129" x14ac:dyDescent="0.2">
      <c r="DY23243" s="185" t="s">
        <v>215</v>
      </c>
    </row>
    <row r="23244" spans="129:129" x14ac:dyDescent="0.2">
      <c r="DY23244" s="185" t="s">
        <v>215</v>
      </c>
    </row>
    <row r="23245" spans="129:129" x14ac:dyDescent="0.2">
      <c r="DY23245" s="185" t="s">
        <v>215</v>
      </c>
    </row>
    <row r="23246" spans="129:129" x14ac:dyDescent="0.2">
      <c r="DY23246" s="185" t="s">
        <v>215</v>
      </c>
    </row>
    <row r="23247" spans="129:129" x14ac:dyDescent="0.2">
      <c r="DY23247" s="185" t="s">
        <v>215</v>
      </c>
    </row>
    <row r="23248" spans="129:129" x14ac:dyDescent="0.2">
      <c r="DY23248" s="185" t="s">
        <v>215</v>
      </c>
    </row>
    <row r="23249" spans="129:129" x14ac:dyDescent="0.2">
      <c r="DY23249" s="185" t="s">
        <v>215</v>
      </c>
    </row>
    <row r="23250" spans="129:129" x14ac:dyDescent="0.2">
      <c r="DY23250" s="185" t="s">
        <v>215</v>
      </c>
    </row>
    <row r="23251" spans="129:129" x14ac:dyDescent="0.2">
      <c r="DY23251" s="185" t="s">
        <v>215</v>
      </c>
    </row>
    <row r="23252" spans="129:129" x14ac:dyDescent="0.2">
      <c r="DY23252" s="185" t="s">
        <v>215</v>
      </c>
    </row>
    <row r="23253" spans="129:129" x14ac:dyDescent="0.2">
      <c r="DY23253" s="185" t="s">
        <v>215</v>
      </c>
    </row>
    <row r="23254" spans="129:129" x14ac:dyDescent="0.2">
      <c r="DY23254" s="185" t="s">
        <v>215</v>
      </c>
    </row>
    <row r="23255" spans="129:129" x14ac:dyDescent="0.2">
      <c r="DY23255" s="185" t="s">
        <v>215</v>
      </c>
    </row>
    <row r="23256" spans="129:129" x14ac:dyDescent="0.2">
      <c r="DY23256" s="185" t="s">
        <v>215</v>
      </c>
    </row>
    <row r="23257" spans="129:129" x14ac:dyDescent="0.2">
      <c r="DY23257" s="185" t="s">
        <v>215</v>
      </c>
    </row>
    <row r="23258" spans="129:129" x14ac:dyDescent="0.2">
      <c r="DY23258" s="185" t="s">
        <v>215</v>
      </c>
    </row>
    <row r="23259" spans="129:129" x14ac:dyDescent="0.2">
      <c r="DY23259" s="185" t="s">
        <v>215</v>
      </c>
    </row>
    <row r="23260" spans="129:129" x14ac:dyDescent="0.2">
      <c r="DY23260" s="185" t="s">
        <v>215</v>
      </c>
    </row>
    <row r="23261" spans="129:129" x14ac:dyDescent="0.2">
      <c r="DY23261" s="185" t="s">
        <v>215</v>
      </c>
    </row>
    <row r="23262" spans="129:129" x14ac:dyDescent="0.2">
      <c r="DY23262" s="185" t="s">
        <v>215</v>
      </c>
    </row>
    <row r="23263" spans="129:129" x14ac:dyDescent="0.2">
      <c r="DY23263" s="185" t="s">
        <v>215</v>
      </c>
    </row>
    <row r="23264" spans="129:129" x14ac:dyDescent="0.2">
      <c r="DY23264" s="185" t="s">
        <v>215</v>
      </c>
    </row>
    <row r="23265" spans="129:129" x14ac:dyDescent="0.2">
      <c r="DY23265" s="185" t="s">
        <v>215</v>
      </c>
    </row>
    <row r="23266" spans="129:129" x14ac:dyDescent="0.2">
      <c r="DY23266" s="185" t="s">
        <v>215</v>
      </c>
    </row>
    <row r="23267" spans="129:129" x14ac:dyDescent="0.2">
      <c r="DY23267" s="185" t="s">
        <v>215</v>
      </c>
    </row>
    <row r="23268" spans="129:129" x14ac:dyDescent="0.2">
      <c r="DY23268" s="185" t="s">
        <v>215</v>
      </c>
    </row>
    <row r="23269" spans="129:129" x14ac:dyDescent="0.2">
      <c r="DY23269" s="185" t="s">
        <v>215</v>
      </c>
    </row>
    <row r="23270" spans="129:129" x14ac:dyDescent="0.2">
      <c r="DY23270" s="185" t="s">
        <v>215</v>
      </c>
    </row>
    <row r="23271" spans="129:129" x14ac:dyDescent="0.2">
      <c r="DY23271" s="185" t="s">
        <v>215</v>
      </c>
    </row>
    <row r="23272" spans="129:129" x14ac:dyDescent="0.2">
      <c r="DY23272" s="185" t="s">
        <v>215</v>
      </c>
    </row>
    <row r="23273" spans="129:129" x14ac:dyDescent="0.2">
      <c r="DY23273" s="185" t="s">
        <v>215</v>
      </c>
    </row>
    <row r="23274" spans="129:129" x14ac:dyDescent="0.2">
      <c r="DY23274" s="185" t="s">
        <v>215</v>
      </c>
    </row>
    <row r="23275" spans="129:129" x14ac:dyDescent="0.2">
      <c r="DY23275" s="185" t="s">
        <v>215</v>
      </c>
    </row>
    <row r="23276" spans="129:129" x14ac:dyDescent="0.2">
      <c r="DY23276" s="185" t="s">
        <v>215</v>
      </c>
    </row>
    <row r="23277" spans="129:129" x14ac:dyDescent="0.2">
      <c r="DY23277" s="185" t="s">
        <v>215</v>
      </c>
    </row>
    <row r="23278" spans="129:129" x14ac:dyDescent="0.2">
      <c r="DY23278" s="185" t="s">
        <v>215</v>
      </c>
    </row>
    <row r="23279" spans="129:129" x14ac:dyDescent="0.2">
      <c r="DY23279" s="185" t="s">
        <v>215</v>
      </c>
    </row>
    <row r="23280" spans="129:129" x14ac:dyDescent="0.2">
      <c r="DY23280" s="185" t="s">
        <v>215</v>
      </c>
    </row>
    <row r="23281" spans="129:129" x14ac:dyDescent="0.2">
      <c r="DY23281" s="185" t="s">
        <v>215</v>
      </c>
    </row>
    <row r="23282" spans="129:129" x14ac:dyDescent="0.2">
      <c r="DY23282" s="185" t="s">
        <v>215</v>
      </c>
    </row>
    <row r="23283" spans="129:129" x14ac:dyDescent="0.2">
      <c r="DY23283" s="185" t="s">
        <v>215</v>
      </c>
    </row>
    <row r="23284" spans="129:129" x14ac:dyDescent="0.2">
      <c r="DY23284" s="185" t="s">
        <v>215</v>
      </c>
    </row>
    <row r="23285" spans="129:129" x14ac:dyDescent="0.2">
      <c r="DY23285" s="185" t="s">
        <v>215</v>
      </c>
    </row>
    <row r="23286" spans="129:129" x14ac:dyDescent="0.2">
      <c r="DY23286" s="185" t="s">
        <v>215</v>
      </c>
    </row>
    <row r="23287" spans="129:129" x14ac:dyDescent="0.2">
      <c r="DY23287" s="185" t="s">
        <v>215</v>
      </c>
    </row>
    <row r="23288" spans="129:129" x14ac:dyDescent="0.2">
      <c r="DY23288" s="185" t="s">
        <v>215</v>
      </c>
    </row>
    <row r="23289" spans="129:129" x14ac:dyDescent="0.2">
      <c r="DY23289" s="185" t="s">
        <v>215</v>
      </c>
    </row>
    <row r="23290" spans="129:129" x14ac:dyDescent="0.2">
      <c r="DY23290" s="185" t="s">
        <v>215</v>
      </c>
    </row>
    <row r="23291" spans="129:129" x14ac:dyDescent="0.2">
      <c r="DY23291" s="185" t="s">
        <v>215</v>
      </c>
    </row>
    <row r="23292" spans="129:129" x14ac:dyDescent="0.2">
      <c r="DY23292" s="185" t="s">
        <v>215</v>
      </c>
    </row>
    <row r="23293" spans="129:129" x14ac:dyDescent="0.2">
      <c r="DY23293" s="185" t="s">
        <v>215</v>
      </c>
    </row>
    <row r="23294" spans="129:129" x14ac:dyDescent="0.2">
      <c r="DY23294" s="185" t="s">
        <v>215</v>
      </c>
    </row>
    <row r="23295" spans="129:129" x14ac:dyDescent="0.2">
      <c r="DY23295" s="185" t="s">
        <v>215</v>
      </c>
    </row>
    <row r="23296" spans="129:129" x14ac:dyDescent="0.2">
      <c r="DY23296" s="185" t="s">
        <v>215</v>
      </c>
    </row>
    <row r="23297" spans="129:129" x14ac:dyDescent="0.2">
      <c r="DY23297" s="185" t="s">
        <v>215</v>
      </c>
    </row>
    <row r="23298" spans="129:129" x14ac:dyDescent="0.2">
      <c r="DY23298" s="185" t="s">
        <v>215</v>
      </c>
    </row>
    <row r="23299" spans="129:129" x14ac:dyDescent="0.2">
      <c r="DY23299" s="185" t="s">
        <v>215</v>
      </c>
    </row>
    <row r="23300" spans="129:129" x14ac:dyDescent="0.2">
      <c r="DY23300" s="185" t="s">
        <v>215</v>
      </c>
    </row>
    <row r="23301" spans="129:129" x14ac:dyDescent="0.2">
      <c r="DY23301" s="185" t="s">
        <v>215</v>
      </c>
    </row>
    <row r="23302" spans="129:129" x14ac:dyDescent="0.2">
      <c r="DY23302" s="185" t="s">
        <v>215</v>
      </c>
    </row>
    <row r="23303" spans="129:129" x14ac:dyDescent="0.2">
      <c r="DY23303" s="185" t="s">
        <v>215</v>
      </c>
    </row>
    <row r="23304" spans="129:129" x14ac:dyDescent="0.2">
      <c r="DY23304" s="185" t="s">
        <v>215</v>
      </c>
    </row>
    <row r="23305" spans="129:129" x14ac:dyDescent="0.2">
      <c r="DY23305" s="185" t="s">
        <v>215</v>
      </c>
    </row>
    <row r="23306" spans="129:129" x14ac:dyDescent="0.2">
      <c r="DY23306" s="185" t="s">
        <v>215</v>
      </c>
    </row>
    <row r="23307" spans="129:129" x14ac:dyDescent="0.2">
      <c r="DY23307" s="185" t="s">
        <v>215</v>
      </c>
    </row>
    <row r="23308" spans="129:129" x14ac:dyDescent="0.2">
      <c r="DY23308" s="185" t="s">
        <v>215</v>
      </c>
    </row>
    <row r="23309" spans="129:129" x14ac:dyDescent="0.2">
      <c r="DY23309" s="185" t="s">
        <v>215</v>
      </c>
    </row>
    <row r="23310" spans="129:129" x14ac:dyDescent="0.2">
      <c r="DY23310" s="185" t="s">
        <v>215</v>
      </c>
    </row>
    <row r="23311" spans="129:129" x14ac:dyDescent="0.2">
      <c r="DY23311" s="185" t="s">
        <v>215</v>
      </c>
    </row>
    <row r="23312" spans="129:129" x14ac:dyDescent="0.2">
      <c r="DY23312" s="185" t="s">
        <v>215</v>
      </c>
    </row>
    <row r="23313" spans="129:129" x14ac:dyDescent="0.2">
      <c r="DY23313" s="185" t="s">
        <v>215</v>
      </c>
    </row>
    <row r="23314" spans="129:129" x14ac:dyDescent="0.2">
      <c r="DY23314" s="185" t="s">
        <v>215</v>
      </c>
    </row>
    <row r="23315" spans="129:129" x14ac:dyDescent="0.2">
      <c r="DY23315" s="185" t="s">
        <v>215</v>
      </c>
    </row>
    <row r="23316" spans="129:129" x14ac:dyDescent="0.2">
      <c r="DY23316" s="185" t="s">
        <v>215</v>
      </c>
    </row>
    <row r="23317" spans="129:129" x14ac:dyDescent="0.2">
      <c r="DY23317" s="185" t="s">
        <v>215</v>
      </c>
    </row>
    <row r="23318" spans="129:129" x14ac:dyDescent="0.2">
      <c r="DY23318" s="185" t="s">
        <v>215</v>
      </c>
    </row>
    <row r="23319" spans="129:129" x14ac:dyDescent="0.2">
      <c r="DY23319" s="185" t="s">
        <v>215</v>
      </c>
    </row>
    <row r="23320" spans="129:129" x14ac:dyDescent="0.2">
      <c r="DY23320" s="185" t="s">
        <v>215</v>
      </c>
    </row>
    <row r="23321" spans="129:129" x14ac:dyDescent="0.2">
      <c r="DY23321" s="185" t="s">
        <v>215</v>
      </c>
    </row>
    <row r="23322" spans="129:129" x14ac:dyDescent="0.2">
      <c r="DY23322" s="185" t="s">
        <v>215</v>
      </c>
    </row>
    <row r="23323" spans="129:129" x14ac:dyDescent="0.2">
      <c r="DY23323" s="185" t="s">
        <v>215</v>
      </c>
    </row>
    <row r="23324" spans="129:129" x14ac:dyDescent="0.2">
      <c r="DY23324" s="185" t="s">
        <v>215</v>
      </c>
    </row>
    <row r="23325" spans="129:129" x14ac:dyDescent="0.2">
      <c r="DY23325" s="185" t="s">
        <v>215</v>
      </c>
    </row>
    <row r="23326" spans="129:129" x14ac:dyDescent="0.2">
      <c r="DY23326" s="185" t="s">
        <v>215</v>
      </c>
    </row>
    <row r="23327" spans="129:129" x14ac:dyDescent="0.2">
      <c r="DY23327" s="185" t="s">
        <v>215</v>
      </c>
    </row>
    <row r="23328" spans="129:129" x14ac:dyDescent="0.2">
      <c r="DY23328" s="185" t="s">
        <v>215</v>
      </c>
    </row>
    <row r="23329" spans="129:129" x14ac:dyDescent="0.2">
      <c r="DY23329" s="185" t="s">
        <v>215</v>
      </c>
    </row>
    <row r="23330" spans="129:129" x14ac:dyDescent="0.2">
      <c r="DY23330" s="185" t="s">
        <v>215</v>
      </c>
    </row>
    <row r="23331" spans="129:129" x14ac:dyDescent="0.2">
      <c r="DY23331" s="185" t="s">
        <v>215</v>
      </c>
    </row>
    <row r="23332" spans="129:129" x14ac:dyDescent="0.2">
      <c r="DY23332" s="185" t="s">
        <v>215</v>
      </c>
    </row>
    <row r="23333" spans="129:129" x14ac:dyDescent="0.2">
      <c r="DY23333" s="185" t="s">
        <v>215</v>
      </c>
    </row>
    <row r="23334" spans="129:129" x14ac:dyDescent="0.2">
      <c r="DY23334" s="185" t="s">
        <v>215</v>
      </c>
    </row>
    <row r="23335" spans="129:129" x14ac:dyDescent="0.2">
      <c r="DY23335" s="185" t="s">
        <v>215</v>
      </c>
    </row>
    <row r="23336" spans="129:129" x14ac:dyDescent="0.2">
      <c r="DY23336" s="185" t="s">
        <v>215</v>
      </c>
    </row>
    <row r="23337" spans="129:129" x14ac:dyDescent="0.2">
      <c r="DY23337" s="185" t="s">
        <v>215</v>
      </c>
    </row>
    <row r="23338" spans="129:129" x14ac:dyDescent="0.2">
      <c r="DY23338" s="185" t="s">
        <v>215</v>
      </c>
    </row>
    <row r="23339" spans="129:129" x14ac:dyDescent="0.2">
      <c r="DY23339" s="185" t="s">
        <v>215</v>
      </c>
    </row>
    <row r="23340" spans="129:129" x14ac:dyDescent="0.2">
      <c r="DY23340" s="185" t="s">
        <v>215</v>
      </c>
    </row>
    <row r="23341" spans="129:129" x14ac:dyDescent="0.2">
      <c r="DY23341" s="185" t="s">
        <v>215</v>
      </c>
    </row>
    <row r="23342" spans="129:129" x14ac:dyDescent="0.2">
      <c r="DY23342" s="185" t="s">
        <v>215</v>
      </c>
    </row>
    <row r="23343" spans="129:129" x14ac:dyDescent="0.2">
      <c r="DY23343" s="185" t="s">
        <v>215</v>
      </c>
    </row>
    <row r="23344" spans="129:129" x14ac:dyDescent="0.2">
      <c r="DY23344" s="185" t="s">
        <v>215</v>
      </c>
    </row>
    <row r="23345" spans="129:129" x14ac:dyDescent="0.2">
      <c r="DY23345" s="185" t="s">
        <v>215</v>
      </c>
    </row>
    <row r="23346" spans="129:129" x14ac:dyDescent="0.2">
      <c r="DY23346" s="185" t="s">
        <v>215</v>
      </c>
    </row>
    <row r="23347" spans="129:129" x14ac:dyDescent="0.2">
      <c r="DY23347" s="185" t="s">
        <v>215</v>
      </c>
    </row>
    <row r="23348" spans="129:129" x14ac:dyDescent="0.2">
      <c r="DY23348" s="185" t="s">
        <v>215</v>
      </c>
    </row>
    <row r="23349" spans="129:129" x14ac:dyDescent="0.2">
      <c r="DY23349" s="185" t="s">
        <v>215</v>
      </c>
    </row>
    <row r="23350" spans="129:129" x14ac:dyDescent="0.2">
      <c r="DY23350" s="185" t="s">
        <v>215</v>
      </c>
    </row>
    <row r="23351" spans="129:129" x14ac:dyDescent="0.2">
      <c r="DY23351" s="185" t="s">
        <v>215</v>
      </c>
    </row>
    <row r="23352" spans="129:129" x14ac:dyDescent="0.2">
      <c r="DY23352" s="185" t="s">
        <v>215</v>
      </c>
    </row>
    <row r="23353" spans="129:129" x14ac:dyDescent="0.2">
      <c r="DY23353" s="185" t="s">
        <v>215</v>
      </c>
    </row>
    <row r="23354" spans="129:129" x14ac:dyDescent="0.2">
      <c r="DY23354" s="185" t="s">
        <v>215</v>
      </c>
    </row>
    <row r="23355" spans="129:129" x14ac:dyDescent="0.2">
      <c r="DY23355" s="185" t="s">
        <v>215</v>
      </c>
    </row>
    <row r="23356" spans="129:129" x14ac:dyDescent="0.2">
      <c r="DY23356" s="185" t="s">
        <v>215</v>
      </c>
    </row>
    <row r="23357" spans="129:129" x14ac:dyDescent="0.2">
      <c r="DY23357" s="185" t="s">
        <v>215</v>
      </c>
    </row>
    <row r="23358" spans="129:129" x14ac:dyDescent="0.2">
      <c r="DY23358" s="185" t="s">
        <v>215</v>
      </c>
    </row>
    <row r="23359" spans="129:129" x14ac:dyDescent="0.2">
      <c r="DY23359" s="185" t="s">
        <v>215</v>
      </c>
    </row>
    <row r="23360" spans="129:129" x14ac:dyDescent="0.2">
      <c r="DY23360" s="185" t="s">
        <v>215</v>
      </c>
    </row>
    <row r="23361" spans="129:129" x14ac:dyDescent="0.2">
      <c r="DY23361" s="185" t="s">
        <v>215</v>
      </c>
    </row>
    <row r="23362" spans="129:129" x14ac:dyDescent="0.2">
      <c r="DY23362" s="185" t="s">
        <v>215</v>
      </c>
    </row>
    <row r="23363" spans="129:129" x14ac:dyDescent="0.2">
      <c r="DY23363" s="185" t="s">
        <v>215</v>
      </c>
    </row>
    <row r="23364" spans="129:129" x14ac:dyDescent="0.2">
      <c r="DY23364" s="185" t="s">
        <v>215</v>
      </c>
    </row>
    <row r="23365" spans="129:129" x14ac:dyDescent="0.2">
      <c r="DY23365" s="185" t="s">
        <v>215</v>
      </c>
    </row>
    <row r="23366" spans="129:129" x14ac:dyDescent="0.2">
      <c r="DY23366" s="185" t="s">
        <v>215</v>
      </c>
    </row>
    <row r="23367" spans="129:129" x14ac:dyDescent="0.2">
      <c r="DY23367" s="185" t="s">
        <v>215</v>
      </c>
    </row>
    <row r="23368" spans="129:129" x14ac:dyDescent="0.2">
      <c r="DY23368" s="185" t="s">
        <v>215</v>
      </c>
    </row>
    <row r="23369" spans="129:129" x14ac:dyDescent="0.2">
      <c r="DY23369" s="185" t="s">
        <v>215</v>
      </c>
    </row>
    <row r="23370" spans="129:129" x14ac:dyDescent="0.2">
      <c r="DY23370" s="185" t="s">
        <v>215</v>
      </c>
    </row>
    <row r="23371" spans="129:129" x14ac:dyDescent="0.2">
      <c r="DY23371" s="185" t="s">
        <v>215</v>
      </c>
    </row>
    <row r="23372" spans="129:129" x14ac:dyDescent="0.2">
      <c r="DY23372" s="185" t="s">
        <v>215</v>
      </c>
    </row>
    <row r="23373" spans="129:129" x14ac:dyDescent="0.2">
      <c r="DY23373" s="185" t="s">
        <v>215</v>
      </c>
    </row>
    <row r="23374" spans="129:129" x14ac:dyDescent="0.2">
      <c r="DY23374" s="185" t="s">
        <v>215</v>
      </c>
    </row>
    <row r="23375" spans="129:129" x14ac:dyDescent="0.2">
      <c r="DY23375" s="185" t="s">
        <v>215</v>
      </c>
    </row>
    <row r="23376" spans="129:129" x14ac:dyDescent="0.2">
      <c r="DY23376" s="185" t="s">
        <v>215</v>
      </c>
    </row>
    <row r="23377" spans="129:129" x14ac:dyDescent="0.2">
      <c r="DY23377" s="185" t="s">
        <v>215</v>
      </c>
    </row>
    <row r="23378" spans="129:129" x14ac:dyDescent="0.2">
      <c r="DY23378" s="185" t="s">
        <v>215</v>
      </c>
    </row>
    <row r="23379" spans="129:129" x14ac:dyDescent="0.2">
      <c r="DY23379" s="185" t="s">
        <v>215</v>
      </c>
    </row>
    <row r="23380" spans="129:129" x14ac:dyDescent="0.2">
      <c r="DY23380" s="185" t="s">
        <v>215</v>
      </c>
    </row>
    <row r="23381" spans="129:129" x14ac:dyDescent="0.2">
      <c r="DY23381" s="185" t="s">
        <v>215</v>
      </c>
    </row>
    <row r="23382" spans="129:129" x14ac:dyDescent="0.2">
      <c r="DY23382" s="185" t="s">
        <v>215</v>
      </c>
    </row>
    <row r="23383" spans="129:129" x14ac:dyDescent="0.2">
      <c r="DY23383" s="185" t="s">
        <v>215</v>
      </c>
    </row>
    <row r="23384" spans="129:129" x14ac:dyDescent="0.2">
      <c r="DY23384" s="185" t="s">
        <v>215</v>
      </c>
    </row>
    <row r="23385" spans="129:129" x14ac:dyDescent="0.2">
      <c r="DY23385" s="185" t="s">
        <v>215</v>
      </c>
    </row>
    <row r="23386" spans="129:129" x14ac:dyDescent="0.2">
      <c r="DY23386" s="185" t="s">
        <v>215</v>
      </c>
    </row>
    <row r="23387" spans="129:129" x14ac:dyDescent="0.2">
      <c r="DY23387" s="185" t="s">
        <v>215</v>
      </c>
    </row>
    <row r="23388" spans="129:129" x14ac:dyDescent="0.2">
      <c r="DY23388" s="185" t="s">
        <v>215</v>
      </c>
    </row>
    <row r="23389" spans="129:129" x14ac:dyDescent="0.2">
      <c r="DY23389" s="185" t="s">
        <v>215</v>
      </c>
    </row>
    <row r="23390" spans="129:129" x14ac:dyDescent="0.2">
      <c r="DY23390" s="185" t="s">
        <v>215</v>
      </c>
    </row>
    <row r="23391" spans="129:129" x14ac:dyDescent="0.2">
      <c r="DY23391" s="185" t="s">
        <v>215</v>
      </c>
    </row>
    <row r="23392" spans="129:129" x14ac:dyDescent="0.2">
      <c r="DY23392" s="185" t="s">
        <v>215</v>
      </c>
    </row>
    <row r="23393" spans="129:129" x14ac:dyDescent="0.2">
      <c r="DY23393" s="185" t="s">
        <v>215</v>
      </c>
    </row>
    <row r="23394" spans="129:129" x14ac:dyDescent="0.2">
      <c r="DY23394" s="185" t="s">
        <v>215</v>
      </c>
    </row>
    <row r="23395" spans="129:129" x14ac:dyDescent="0.2">
      <c r="DY23395" s="185" t="s">
        <v>215</v>
      </c>
    </row>
    <row r="23396" spans="129:129" x14ac:dyDescent="0.2">
      <c r="DY23396" s="185" t="s">
        <v>215</v>
      </c>
    </row>
    <row r="23397" spans="129:129" x14ac:dyDescent="0.2">
      <c r="DY23397" s="185" t="s">
        <v>215</v>
      </c>
    </row>
    <row r="23398" spans="129:129" x14ac:dyDescent="0.2">
      <c r="DY23398" s="185" t="s">
        <v>215</v>
      </c>
    </row>
    <row r="23399" spans="129:129" x14ac:dyDescent="0.2">
      <c r="DY23399" s="185" t="s">
        <v>215</v>
      </c>
    </row>
    <row r="23400" spans="129:129" x14ac:dyDescent="0.2">
      <c r="DY23400" s="185" t="s">
        <v>215</v>
      </c>
    </row>
    <row r="23401" spans="129:129" x14ac:dyDescent="0.2">
      <c r="DY23401" s="185" t="s">
        <v>215</v>
      </c>
    </row>
    <row r="23402" spans="129:129" x14ac:dyDescent="0.2">
      <c r="DY23402" s="185" t="s">
        <v>215</v>
      </c>
    </row>
    <row r="23403" spans="129:129" x14ac:dyDescent="0.2">
      <c r="DY23403" s="185" t="s">
        <v>215</v>
      </c>
    </row>
    <row r="23404" spans="129:129" x14ac:dyDescent="0.2">
      <c r="DY23404" s="185" t="s">
        <v>215</v>
      </c>
    </row>
    <row r="23405" spans="129:129" x14ac:dyDescent="0.2">
      <c r="DY23405" s="185" t="s">
        <v>215</v>
      </c>
    </row>
    <row r="23406" spans="129:129" x14ac:dyDescent="0.2">
      <c r="DY23406" s="185" t="s">
        <v>215</v>
      </c>
    </row>
    <row r="23407" spans="129:129" x14ac:dyDescent="0.2">
      <c r="DY23407" s="185" t="s">
        <v>215</v>
      </c>
    </row>
    <row r="23408" spans="129:129" x14ac:dyDescent="0.2">
      <c r="DY23408" s="185" t="s">
        <v>215</v>
      </c>
    </row>
    <row r="23409" spans="129:129" x14ac:dyDescent="0.2">
      <c r="DY23409" s="185" t="s">
        <v>215</v>
      </c>
    </row>
    <row r="23410" spans="129:129" x14ac:dyDescent="0.2">
      <c r="DY23410" s="185" t="s">
        <v>215</v>
      </c>
    </row>
    <row r="23411" spans="129:129" x14ac:dyDescent="0.2">
      <c r="DY23411" s="185" t="s">
        <v>215</v>
      </c>
    </row>
    <row r="23412" spans="129:129" x14ac:dyDescent="0.2">
      <c r="DY23412" s="185" t="s">
        <v>215</v>
      </c>
    </row>
    <row r="23413" spans="129:129" x14ac:dyDescent="0.2">
      <c r="DY23413" s="185" t="s">
        <v>215</v>
      </c>
    </row>
    <row r="23414" spans="129:129" x14ac:dyDescent="0.2">
      <c r="DY23414" s="185" t="s">
        <v>215</v>
      </c>
    </row>
    <row r="23415" spans="129:129" x14ac:dyDescent="0.2">
      <c r="DY23415" s="185" t="s">
        <v>215</v>
      </c>
    </row>
    <row r="23416" spans="129:129" x14ac:dyDescent="0.2">
      <c r="DY23416" s="185" t="s">
        <v>215</v>
      </c>
    </row>
    <row r="23417" spans="129:129" x14ac:dyDescent="0.2">
      <c r="DY23417" s="185" t="s">
        <v>215</v>
      </c>
    </row>
    <row r="23418" spans="129:129" x14ac:dyDescent="0.2">
      <c r="DY23418" s="185" t="s">
        <v>215</v>
      </c>
    </row>
    <row r="23419" spans="129:129" x14ac:dyDescent="0.2">
      <c r="DY23419" s="185" t="s">
        <v>215</v>
      </c>
    </row>
    <row r="23420" spans="129:129" x14ac:dyDescent="0.2">
      <c r="DY23420" s="185" t="s">
        <v>215</v>
      </c>
    </row>
    <row r="23421" spans="129:129" x14ac:dyDescent="0.2">
      <c r="DY23421" s="185" t="s">
        <v>215</v>
      </c>
    </row>
    <row r="23422" spans="129:129" x14ac:dyDescent="0.2">
      <c r="DY23422" s="185" t="s">
        <v>215</v>
      </c>
    </row>
    <row r="23423" spans="129:129" x14ac:dyDescent="0.2">
      <c r="DY23423" s="185" t="s">
        <v>215</v>
      </c>
    </row>
    <row r="23424" spans="129:129" x14ac:dyDescent="0.2">
      <c r="DY23424" s="185" t="s">
        <v>215</v>
      </c>
    </row>
    <row r="23425" spans="129:129" x14ac:dyDescent="0.2">
      <c r="DY23425" s="185" t="s">
        <v>215</v>
      </c>
    </row>
    <row r="23426" spans="129:129" x14ac:dyDescent="0.2">
      <c r="DY23426" s="185" t="s">
        <v>215</v>
      </c>
    </row>
    <row r="23427" spans="129:129" x14ac:dyDescent="0.2">
      <c r="DY23427" s="185" t="s">
        <v>215</v>
      </c>
    </row>
    <row r="23428" spans="129:129" x14ac:dyDescent="0.2">
      <c r="DY23428" s="185" t="s">
        <v>215</v>
      </c>
    </row>
    <row r="23429" spans="129:129" x14ac:dyDescent="0.2">
      <c r="DY23429" s="185" t="s">
        <v>215</v>
      </c>
    </row>
    <row r="23430" spans="129:129" x14ac:dyDescent="0.2">
      <c r="DY23430" s="185" t="s">
        <v>215</v>
      </c>
    </row>
    <row r="23431" spans="129:129" x14ac:dyDescent="0.2">
      <c r="DY23431" s="185" t="s">
        <v>215</v>
      </c>
    </row>
    <row r="23432" spans="129:129" x14ac:dyDescent="0.2">
      <c r="DY23432" s="185" t="s">
        <v>215</v>
      </c>
    </row>
    <row r="23433" spans="129:129" x14ac:dyDescent="0.2">
      <c r="DY23433" s="185" t="s">
        <v>215</v>
      </c>
    </row>
    <row r="23434" spans="129:129" x14ac:dyDescent="0.2">
      <c r="DY23434" s="185" t="s">
        <v>215</v>
      </c>
    </row>
    <row r="23435" spans="129:129" x14ac:dyDescent="0.2">
      <c r="DY23435" s="185" t="s">
        <v>215</v>
      </c>
    </row>
    <row r="23436" spans="129:129" x14ac:dyDescent="0.2">
      <c r="DY23436" s="185" t="s">
        <v>215</v>
      </c>
    </row>
    <row r="23437" spans="129:129" x14ac:dyDescent="0.2">
      <c r="DY23437" s="185" t="s">
        <v>215</v>
      </c>
    </row>
    <row r="23438" spans="129:129" x14ac:dyDescent="0.2">
      <c r="DY23438" s="185" t="s">
        <v>215</v>
      </c>
    </row>
    <row r="23439" spans="129:129" x14ac:dyDescent="0.2">
      <c r="DY23439" s="185" t="s">
        <v>215</v>
      </c>
    </row>
    <row r="23440" spans="129:129" x14ac:dyDescent="0.2">
      <c r="DY23440" s="185" t="s">
        <v>215</v>
      </c>
    </row>
    <row r="23441" spans="129:129" x14ac:dyDescent="0.2">
      <c r="DY23441" s="185" t="s">
        <v>215</v>
      </c>
    </row>
    <row r="23442" spans="129:129" x14ac:dyDescent="0.2">
      <c r="DY23442" s="185" t="s">
        <v>215</v>
      </c>
    </row>
    <row r="23443" spans="129:129" x14ac:dyDescent="0.2">
      <c r="DY23443" s="185" t="s">
        <v>215</v>
      </c>
    </row>
    <row r="23444" spans="129:129" x14ac:dyDescent="0.2">
      <c r="DY23444" s="185" t="s">
        <v>215</v>
      </c>
    </row>
    <row r="23445" spans="129:129" x14ac:dyDescent="0.2">
      <c r="DY23445" s="185" t="s">
        <v>215</v>
      </c>
    </row>
    <row r="23446" spans="129:129" x14ac:dyDescent="0.2">
      <c r="DY23446" s="185" t="s">
        <v>215</v>
      </c>
    </row>
    <row r="23447" spans="129:129" x14ac:dyDescent="0.2">
      <c r="DY23447" s="185" t="s">
        <v>215</v>
      </c>
    </row>
    <row r="23448" spans="129:129" x14ac:dyDescent="0.2">
      <c r="DY23448" s="185" t="s">
        <v>215</v>
      </c>
    </row>
    <row r="23449" spans="129:129" x14ac:dyDescent="0.2">
      <c r="DY23449" s="185" t="s">
        <v>215</v>
      </c>
    </row>
    <row r="23450" spans="129:129" x14ac:dyDescent="0.2">
      <c r="DY23450" s="185" t="s">
        <v>215</v>
      </c>
    </row>
    <row r="23451" spans="129:129" x14ac:dyDescent="0.2">
      <c r="DY23451" s="185" t="s">
        <v>215</v>
      </c>
    </row>
    <row r="23452" spans="129:129" x14ac:dyDescent="0.2">
      <c r="DY23452" s="185" t="s">
        <v>215</v>
      </c>
    </row>
    <row r="23453" spans="129:129" x14ac:dyDescent="0.2">
      <c r="DY23453" s="185" t="s">
        <v>215</v>
      </c>
    </row>
    <row r="23454" spans="129:129" x14ac:dyDescent="0.2">
      <c r="DY23454" s="185" t="s">
        <v>215</v>
      </c>
    </row>
    <row r="23455" spans="129:129" x14ac:dyDescent="0.2">
      <c r="DY23455" s="185" t="s">
        <v>215</v>
      </c>
    </row>
    <row r="23456" spans="129:129" x14ac:dyDescent="0.2">
      <c r="DY23456" s="185" t="s">
        <v>215</v>
      </c>
    </row>
    <row r="23457" spans="129:129" x14ac:dyDescent="0.2">
      <c r="DY23457" s="185" t="s">
        <v>215</v>
      </c>
    </row>
    <row r="23458" spans="129:129" x14ac:dyDescent="0.2">
      <c r="DY23458" s="185" t="s">
        <v>215</v>
      </c>
    </row>
    <row r="23459" spans="129:129" x14ac:dyDescent="0.2">
      <c r="DY23459" s="185" t="s">
        <v>215</v>
      </c>
    </row>
    <row r="23460" spans="129:129" x14ac:dyDescent="0.2">
      <c r="DY23460" s="185" t="s">
        <v>215</v>
      </c>
    </row>
    <row r="23461" spans="129:129" x14ac:dyDescent="0.2">
      <c r="DY23461" s="185" t="s">
        <v>215</v>
      </c>
    </row>
    <row r="23462" spans="129:129" x14ac:dyDescent="0.2">
      <c r="DY23462" s="185" t="s">
        <v>215</v>
      </c>
    </row>
    <row r="23463" spans="129:129" x14ac:dyDescent="0.2">
      <c r="DY23463" s="185" t="s">
        <v>215</v>
      </c>
    </row>
    <row r="23464" spans="129:129" x14ac:dyDescent="0.2">
      <c r="DY23464" s="185" t="s">
        <v>215</v>
      </c>
    </row>
    <row r="23465" spans="129:129" x14ac:dyDescent="0.2">
      <c r="DY23465" s="185" t="s">
        <v>215</v>
      </c>
    </row>
    <row r="23466" spans="129:129" x14ac:dyDescent="0.2">
      <c r="DY23466" s="185" t="s">
        <v>215</v>
      </c>
    </row>
    <row r="23467" spans="129:129" x14ac:dyDescent="0.2">
      <c r="DY23467" s="185" t="s">
        <v>215</v>
      </c>
    </row>
    <row r="23468" spans="129:129" x14ac:dyDescent="0.2">
      <c r="DY23468" s="185" t="s">
        <v>215</v>
      </c>
    </row>
    <row r="23469" spans="129:129" x14ac:dyDescent="0.2">
      <c r="DY23469" s="185" t="s">
        <v>215</v>
      </c>
    </row>
    <row r="23470" spans="129:129" x14ac:dyDescent="0.2">
      <c r="DY23470" s="185" t="s">
        <v>215</v>
      </c>
    </row>
    <row r="23471" spans="129:129" x14ac:dyDescent="0.2">
      <c r="DY23471" s="185" t="s">
        <v>215</v>
      </c>
    </row>
    <row r="23472" spans="129:129" x14ac:dyDescent="0.2">
      <c r="DY23472" s="185" t="s">
        <v>215</v>
      </c>
    </row>
    <row r="23473" spans="129:129" x14ac:dyDescent="0.2">
      <c r="DY23473" s="185" t="s">
        <v>215</v>
      </c>
    </row>
    <row r="23474" spans="129:129" x14ac:dyDescent="0.2">
      <c r="DY23474" s="185" t="s">
        <v>215</v>
      </c>
    </row>
    <row r="23475" spans="129:129" x14ac:dyDescent="0.2">
      <c r="DY23475" s="185" t="s">
        <v>215</v>
      </c>
    </row>
    <row r="23476" spans="129:129" x14ac:dyDescent="0.2">
      <c r="DY23476" s="185" t="s">
        <v>215</v>
      </c>
    </row>
    <row r="23477" spans="129:129" x14ac:dyDescent="0.2">
      <c r="DY23477" s="185" t="s">
        <v>215</v>
      </c>
    </row>
    <row r="23478" spans="129:129" x14ac:dyDescent="0.2">
      <c r="DY23478" s="185" t="s">
        <v>215</v>
      </c>
    </row>
    <row r="23479" spans="129:129" x14ac:dyDescent="0.2">
      <c r="DY23479" s="185" t="s">
        <v>215</v>
      </c>
    </row>
    <row r="23480" spans="129:129" x14ac:dyDescent="0.2">
      <c r="DY23480" s="185" t="s">
        <v>215</v>
      </c>
    </row>
    <row r="23481" spans="129:129" x14ac:dyDescent="0.2">
      <c r="DY23481" s="185" t="s">
        <v>215</v>
      </c>
    </row>
    <row r="23482" spans="129:129" x14ac:dyDescent="0.2">
      <c r="DY23482" s="185" t="s">
        <v>215</v>
      </c>
    </row>
    <row r="23483" spans="129:129" x14ac:dyDescent="0.2">
      <c r="DY23483" s="185" t="s">
        <v>215</v>
      </c>
    </row>
    <row r="23484" spans="129:129" x14ac:dyDescent="0.2">
      <c r="DY23484" s="185" t="s">
        <v>215</v>
      </c>
    </row>
    <row r="23485" spans="129:129" x14ac:dyDescent="0.2">
      <c r="DY23485" s="185" t="s">
        <v>215</v>
      </c>
    </row>
    <row r="23486" spans="129:129" x14ac:dyDescent="0.2">
      <c r="DY23486" s="185" t="s">
        <v>215</v>
      </c>
    </row>
    <row r="23487" spans="129:129" x14ac:dyDescent="0.2">
      <c r="DY23487" s="185" t="s">
        <v>215</v>
      </c>
    </row>
    <row r="23488" spans="129:129" x14ac:dyDescent="0.2">
      <c r="DY23488" s="185" t="s">
        <v>215</v>
      </c>
    </row>
    <row r="23489" spans="129:129" x14ac:dyDescent="0.2">
      <c r="DY23489" s="185" t="s">
        <v>215</v>
      </c>
    </row>
    <row r="23490" spans="129:129" x14ac:dyDescent="0.2">
      <c r="DY23490" s="185" t="s">
        <v>215</v>
      </c>
    </row>
    <row r="23491" spans="129:129" x14ac:dyDescent="0.2">
      <c r="DY23491" s="185" t="s">
        <v>215</v>
      </c>
    </row>
    <row r="23492" spans="129:129" x14ac:dyDescent="0.2">
      <c r="DY23492" s="185" t="s">
        <v>215</v>
      </c>
    </row>
    <row r="23493" spans="129:129" x14ac:dyDescent="0.2">
      <c r="DY23493" s="185" t="s">
        <v>215</v>
      </c>
    </row>
    <row r="23494" spans="129:129" x14ac:dyDescent="0.2">
      <c r="DY23494" s="185" t="s">
        <v>215</v>
      </c>
    </row>
    <row r="23495" spans="129:129" x14ac:dyDescent="0.2">
      <c r="DY23495" s="185" t="s">
        <v>215</v>
      </c>
    </row>
    <row r="23496" spans="129:129" x14ac:dyDescent="0.2">
      <c r="DY23496" s="185" t="s">
        <v>215</v>
      </c>
    </row>
    <row r="23497" spans="129:129" x14ac:dyDescent="0.2">
      <c r="DY23497" s="185" t="s">
        <v>215</v>
      </c>
    </row>
    <row r="23498" spans="129:129" x14ac:dyDescent="0.2">
      <c r="DY23498" s="185" t="s">
        <v>215</v>
      </c>
    </row>
    <row r="23499" spans="129:129" x14ac:dyDescent="0.2">
      <c r="DY23499" s="185" t="s">
        <v>215</v>
      </c>
    </row>
    <row r="23500" spans="129:129" x14ac:dyDescent="0.2">
      <c r="DY23500" s="185" t="s">
        <v>215</v>
      </c>
    </row>
    <row r="23501" spans="129:129" x14ac:dyDescent="0.2">
      <c r="DY23501" s="185" t="s">
        <v>215</v>
      </c>
    </row>
    <row r="23502" spans="129:129" x14ac:dyDescent="0.2">
      <c r="DY23502" s="185" t="s">
        <v>215</v>
      </c>
    </row>
    <row r="23503" spans="129:129" x14ac:dyDescent="0.2">
      <c r="DY23503" s="185" t="s">
        <v>215</v>
      </c>
    </row>
    <row r="23504" spans="129:129" x14ac:dyDescent="0.2">
      <c r="DY23504" s="185" t="s">
        <v>215</v>
      </c>
    </row>
    <row r="23505" spans="129:129" x14ac:dyDescent="0.2">
      <c r="DY23505" s="185" t="s">
        <v>215</v>
      </c>
    </row>
    <row r="23506" spans="129:129" x14ac:dyDescent="0.2">
      <c r="DY23506" s="185" t="s">
        <v>215</v>
      </c>
    </row>
    <row r="23507" spans="129:129" x14ac:dyDescent="0.2">
      <c r="DY23507" s="185" t="s">
        <v>215</v>
      </c>
    </row>
    <row r="23508" spans="129:129" x14ac:dyDescent="0.2">
      <c r="DY23508" s="185" t="s">
        <v>215</v>
      </c>
    </row>
    <row r="23509" spans="129:129" x14ac:dyDescent="0.2">
      <c r="DY23509" s="185" t="s">
        <v>215</v>
      </c>
    </row>
    <row r="23510" spans="129:129" x14ac:dyDescent="0.2">
      <c r="DY23510" s="185" t="s">
        <v>215</v>
      </c>
    </row>
    <row r="23511" spans="129:129" x14ac:dyDescent="0.2">
      <c r="DY23511" s="185" t="s">
        <v>215</v>
      </c>
    </row>
    <row r="23512" spans="129:129" x14ac:dyDescent="0.2">
      <c r="DY23512" s="185" t="s">
        <v>215</v>
      </c>
    </row>
    <row r="23513" spans="129:129" x14ac:dyDescent="0.2">
      <c r="DY23513" s="185" t="s">
        <v>215</v>
      </c>
    </row>
    <row r="23514" spans="129:129" x14ac:dyDescent="0.2">
      <c r="DY23514" s="185" t="s">
        <v>215</v>
      </c>
    </row>
    <row r="23515" spans="129:129" x14ac:dyDescent="0.2">
      <c r="DY23515" s="185" t="s">
        <v>215</v>
      </c>
    </row>
    <row r="23516" spans="129:129" x14ac:dyDescent="0.2">
      <c r="DY23516" s="185" t="s">
        <v>215</v>
      </c>
    </row>
    <row r="23517" spans="129:129" x14ac:dyDescent="0.2">
      <c r="DY23517" s="185" t="s">
        <v>215</v>
      </c>
    </row>
    <row r="23518" spans="129:129" x14ac:dyDescent="0.2">
      <c r="DY23518" s="185" t="s">
        <v>215</v>
      </c>
    </row>
    <row r="23519" spans="129:129" x14ac:dyDescent="0.2">
      <c r="DY23519" s="185" t="s">
        <v>215</v>
      </c>
    </row>
    <row r="23520" spans="129:129" x14ac:dyDescent="0.2">
      <c r="DY23520" s="185" t="s">
        <v>215</v>
      </c>
    </row>
    <row r="23521" spans="129:129" x14ac:dyDescent="0.2">
      <c r="DY23521" s="185" t="s">
        <v>215</v>
      </c>
    </row>
    <row r="23522" spans="129:129" x14ac:dyDescent="0.2">
      <c r="DY23522" s="185" t="s">
        <v>215</v>
      </c>
    </row>
    <row r="23523" spans="129:129" x14ac:dyDescent="0.2">
      <c r="DY23523" s="185" t="s">
        <v>215</v>
      </c>
    </row>
    <row r="23524" spans="129:129" x14ac:dyDescent="0.2">
      <c r="DY23524" s="185" t="s">
        <v>215</v>
      </c>
    </row>
    <row r="23525" spans="129:129" x14ac:dyDescent="0.2">
      <c r="DY23525" s="185" t="s">
        <v>215</v>
      </c>
    </row>
    <row r="23526" spans="129:129" x14ac:dyDescent="0.2">
      <c r="DY23526" s="185" t="s">
        <v>215</v>
      </c>
    </row>
    <row r="23527" spans="129:129" x14ac:dyDescent="0.2">
      <c r="DY23527" s="185" t="s">
        <v>215</v>
      </c>
    </row>
    <row r="23528" spans="129:129" x14ac:dyDescent="0.2">
      <c r="DY23528" s="185" t="s">
        <v>215</v>
      </c>
    </row>
    <row r="23529" spans="129:129" x14ac:dyDescent="0.2">
      <c r="DY23529" s="185" t="s">
        <v>215</v>
      </c>
    </row>
    <row r="23530" spans="129:129" x14ac:dyDescent="0.2">
      <c r="DY23530" s="185" t="s">
        <v>215</v>
      </c>
    </row>
    <row r="23531" spans="129:129" x14ac:dyDescent="0.2">
      <c r="DY23531" s="185" t="s">
        <v>215</v>
      </c>
    </row>
    <row r="23532" spans="129:129" x14ac:dyDescent="0.2">
      <c r="DY23532" s="185" t="s">
        <v>215</v>
      </c>
    </row>
    <row r="23533" spans="129:129" x14ac:dyDescent="0.2">
      <c r="DY23533" s="185" t="s">
        <v>215</v>
      </c>
    </row>
    <row r="23534" spans="129:129" x14ac:dyDescent="0.2">
      <c r="DY23534" s="185" t="s">
        <v>215</v>
      </c>
    </row>
    <row r="23535" spans="129:129" x14ac:dyDescent="0.2">
      <c r="DY23535" s="185" t="s">
        <v>215</v>
      </c>
    </row>
    <row r="23536" spans="129:129" x14ac:dyDescent="0.2">
      <c r="DY23536" s="185" t="s">
        <v>215</v>
      </c>
    </row>
    <row r="23537" spans="129:129" x14ac:dyDescent="0.2">
      <c r="DY23537" s="185" t="s">
        <v>215</v>
      </c>
    </row>
    <row r="23538" spans="129:129" x14ac:dyDescent="0.2">
      <c r="DY23538" s="185" t="s">
        <v>215</v>
      </c>
    </row>
    <row r="23539" spans="129:129" x14ac:dyDescent="0.2">
      <c r="DY23539" s="185" t="s">
        <v>215</v>
      </c>
    </row>
    <row r="23540" spans="129:129" x14ac:dyDescent="0.2">
      <c r="DY23540" s="185" t="s">
        <v>215</v>
      </c>
    </row>
    <row r="23541" spans="129:129" x14ac:dyDescent="0.2">
      <c r="DY23541" s="185" t="s">
        <v>215</v>
      </c>
    </row>
    <row r="23542" spans="129:129" x14ac:dyDescent="0.2">
      <c r="DY23542" s="185" t="s">
        <v>215</v>
      </c>
    </row>
    <row r="23543" spans="129:129" x14ac:dyDescent="0.2">
      <c r="DY23543" s="185" t="s">
        <v>215</v>
      </c>
    </row>
    <row r="23544" spans="129:129" x14ac:dyDescent="0.2">
      <c r="DY23544" s="185" t="s">
        <v>215</v>
      </c>
    </row>
    <row r="23545" spans="129:129" x14ac:dyDescent="0.2">
      <c r="DY23545" s="185" t="s">
        <v>215</v>
      </c>
    </row>
    <row r="23546" spans="129:129" x14ac:dyDescent="0.2">
      <c r="DY23546" s="185" t="s">
        <v>215</v>
      </c>
    </row>
    <row r="23547" spans="129:129" x14ac:dyDescent="0.2">
      <c r="DY23547" s="185" t="s">
        <v>215</v>
      </c>
    </row>
    <row r="23548" spans="129:129" x14ac:dyDescent="0.2">
      <c r="DY23548" s="185" t="s">
        <v>215</v>
      </c>
    </row>
    <row r="23549" spans="129:129" x14ac:dyDescent="0.2">
      <c r="DY23549" s="185" t="s">
        <v>215</v>
      </c>
    </row>
    <row r="23550" spans="129:129" x14ac:dyDescent="0.2">
      <c r="DY23550" s="185" t="s">
        <v>215</v>
      </c>
    </row>
    <row r="23551" spans="129:129" x14ac:dyDescent="0.2">
      <c r="DY23551" s="185" t="s">
        <v>215</v>
      </c>
    </row>
    <row r="23552" spans="129:129" x14ac:dyDescent="0.2">
      <c r="DY23552" s="185" t="s">
        <v>215</v>
      </c>
    </row>
    <row r="23553" spans="129:129" x14ac:dyDescent="0.2">
      <c r="DY23553" s="185" t="s">
        <v>215</v>
      </c>
    </row>
    <row r="23554" spans="129:129" x14ac:dyDescent="0.2">
      <c r="DY23554" s="185" t="s">
        <v>215</v>
      </c>
    </row>
    <row r="23555" spans="129:129" x14ac:dyDescent="0.2">
      <c r="DY23555" s="185" t="s">
        <v>215</v>
      </c>
    </row>
    <row r="23556" spans="129:129" x14ac:dyDescent="0.2">
      <c r="DY23556" s="185" t="s">
        <v>215</v>
      </c>
    </row>
    <row r="23557" spans="129:129" x14ac:dyDescent="0.2">
      <c r="DY23557" s="185" t="s">
        <v>215</v>
      </c>
    </row>
    <row r="23558" spans="129:129" x14ac:dyDescent="0.2">
      <c r="DY23558" s="185" t="s">
        <v>215</v>
      </c>
    </row>
    <row r="23559" spans="129:129" x14ac:dyDescent="0.2">
      <c r="DY23559" s="185" t="s">
        <v>215</v>
      </c>
    </row>
    <row r="23560" spans="129:129" x14ac:dyDescent="0.2">
      <c r="DY23560" s="185" t="s">
        <v>215</v>
      </c>
    </row>
    <row r="23561" spans="129:129" x14ac:dyDescent="0.2">
      <c r="DY23561" s="185" t="s">
        <v>215</v>
      </c>
    </row>
    <row r="23562" spans="129:129" x14ac:dyDescent="0.2">
      <c r="DY23562" s="185" t="s">
        <v>215</v>
      </c>
    </row>
    <row r="23563" spans="129:129" x14ac:dyDescent="0.2">
      <c r="DY23563" s="185" t="s">
        <v>215</v>
      </c>
    </row>
    <row r="23564" spans="129:129" x14ac:dyDescent="0.2">
      <c r="DY23564" s="185" t="s">
        <v>215</v>
      </c>
    </row>
    <row r="23565" spans="129:129" x14ac:dyDescent="0.2">
      <c r="DY23565" s="185" t="s">
        <v>215</v>
      </c>
    </row>
    <row r="23566" spans="129:129" x14ac:dyDescent="0.2">
      <c r="DY23566" s="185" t="s">
        <v>215</v>
      </c>
    </row>
    <row r="23567" spans="129:129" x14ac:dyDescent="0.2">
      <c r="DY23567" s="185" t="s">
        <v>215</v>
      </c>
    </row>
    <row r="23568" spans="129:129" x14ac:dyDescent="0.2">
      <c r="DY23568" s="185" t="s">
        <v>215</v>
      </c>
    </row>
    <row r="23569" spans="129:129" x14ac:dyDescent="0.2">
      <c r="DY23569" s="185" t="s">
        <v>215</v>
      </c>
    </row>
    <row r="23570" spans="129:129" x14ac:dyDescent="0.2">
      <c r="DY23570" s="185" t="s">
        <v>215</v>
      </c>
    </row>
    <row r="23571" spans="129:129" x14ac:dyDescent="0.2">
      <c r="DY23571" s="185" t="s">
        <v>215</v>
      </c>
    </row>
    <row r="23572" spans="129:129" x14ac:dyDescent="0.2">
      <c r="DY23572" s="185" t="s">
        <v>215</v>
      </c>
    </row>
    <row r="23573" spans="129:129" x14ac:dyDescent="0.2">
      <c r="DY23573" s="185" t="s">
        <v>215</v>
      </c>
    </row>
    <row r="23574" spans="129:129" x14ac:dyDescent="0.2">
      <c r="DY23574" s="185" t="s">
        <v>215</v>
      </c>
    </row>
    <row r="23575" spans="129:129" x14ac:dyDescent="0.2">
      <c r="DY23575" s="185" t="s">
        <v>215</v>
      </c>
    </row>
    <row r="23576" spans="129:129" x14ac:dyDescent="0.2">
      <c r="DY23576" s="185" t="s">
        <v>215</v>
      </c>
    </row>
    <row r="23577" spans="129:129" x14ac:dyDescent="0.2">
      <c r="DY23577" s="185" t="s">
        <v>215</v>
      </c>
    </row>
    <row r="23578" spans="129:129" x14ac:dyDescent="0.2">
      <c r="DY23578" s="185" t="s">
        <v>215</v>
      </c>
    </row>
    <row r="23579" spans="129:129" x14ac:dyDescent="0.2">
      <c r="DY23579" s="185" t="s">
        <v>215</v>
      </c>
    </row>
    <row r="23580" spans="129:129" x14ac:dyDescent="0.2">
      <c r="DY23580" s="185" t="s">
        <v>215</v>
      </c>
    </row>
    <row r="23581" spans="129:129" x14ac:dyDescent="0.2">
      <c r="DY23581" s="185" t="s">
        <v>215</v>
      </c>
    </row>
    <row r="23582" spans="129:129" x14ac:dyDescent="0.2">
      <c r="DY23582" s="185" t="s">
        <v>215</v>
      </c>
    </row>
    <row r="23583" spans="129:129" x14ac:dyDescent="0.2">
      <c r="DY23583" s="185" t="s">
        <v>215</v>
      </c>
    </row>
    <row r="23584" spans="129:129" x14ac:dyDescent="0.2">
      <c r="DY23584" s="185" t="s">
        <v>215</v>
      </c>
    </row>
    <row r="23585" spans="129:129" x14ac:dyDescent="0.2">
      <c r="DY23585" s="185" t="s">
        <v>215</v>
      </c>
    </row>
    <row r="23586" spans="129:129" x14ac:dyDescent="0.2">
      <c r="DY23586" s="185" t="s">
        <v>215</v>
      </c>
    </row>
    <row r="23587" spans="129:129" x14ac:dyDescent="0.2">
      <c r="DY23587" s="185" t="s">
        <v>215</v>
      </c>
    </row>
    <row r="23588" spans="129:129" x14ac:dyDescent="0.2">
      <c r="DY23588" s="185" t="s">
        <v>215</v>
      </c>
    </row>
    <row r="23589" spans="129:129" x14ac:dyDescent="0.2">
      <c r="DY23589" s="185" t="s">
        <v>215</v>
      </c>
    </row>
    <row r="23590" spans="129:129" x14ac:dyDescent="0.2">
      <c r="DY23590" s="185" t="s">
        <v>215</v>
      </c>
    </row>
    <row r="23591" spans="129:129" x14ac:dyDescent="0.2">
      <c r="DY23591" s="185" t="s">
        <v>215</v>
      </c>
    </row>
    <row r="23592" spans="129:129" x14ac:dyDescent="0.2">
      <c r="DY23592" s="185" t="s">
        <v>215</v>
      </c>
    </row>
    <row r="23593" spans="129:129" x14ac:dyDescent="0.2">
      <c r="DY23593" s="185" t="s">
        <v>215</v>
      </c>
    </row>
    <row r="23594" spans="129:129" x14ac:dyDescent="0.2">
      <c r="DY23594" s="185" t="s">
        <v>215</v>
      </c>
    </row>
    <row r="23595" spans="129:129" x14ac:dyDescent="0.2">
      <c r="DY23595" s="185" t="s">
        <v>215</v>
      </c>
    </row>
    <row r="23596" spans="129:129" x14ac:dyDescent="0.2">
      <c r="DY23596" s="185" t="s">
        <v>215</v>
      </c>
    </row>
    <row r="23597" spans="129:129" x14ac:dyDescent="0.2">
      <c r="DY23597" s="185" t="s">
        <v>215</v>
      </c>
    </row>
    <row r="23598" spans="129:129" x14ac:dyDescent="0.2">
      <c r="DY23598" s="185" t="s">
        <v>215</v>
      </c>
    </row>
    <row r="23599" spans="129:129" x14ac:dyDescent="0.2">
      <c r="DY23599" s="185" t="s">
        <v>215</v>
      </c>
    </row>
    <row r="23600" spans="129:129" x14ac:dyDescent="0.2">
      <c r="DY23600" s="185" t="s">
        <v>215</v>
      </c>
    </row>
    <row r="23601" spans="129:129" x14ac:dyDescent="0.2">
      <c r="DY23601" s="185" t="s">
        <v>215</v>
      </c>
    </row>
    <row r="23602" spans="129:129" x14ac:dyDescent="0.2">
      <c r="DY23602" s="185" t="s">
        <v>215</v>
      </c>
    </row>
    <row r="23603" spans="129:129" x14ac:dyDescent="0.2">
      <c r="DY23603" s="185" t="s">
        <v>215</v>
      </c>
    </row>
    <row r="23604" spans="129:129" x14ac:dyDescent="0.2">
      <c r="DY23604" s="185" t="s">
        <v>215</v>
      </c>
    </row>
    <row r="23605" spans="129:129" x14ac:dyDescent="0.2">
      <c r="DY23605" s="185" t="s">
        <v>215</v>
      </c>
    </row>
    <row r="23606" spans="129:129" x14ac:dyDescent="0.2">
      <c r="DY23606" s="185" t="s">
        <v>215</v>
      </c>
    </row>
    <row r="23607" spans="129:129" x14ac:dyDescent="0.2">
      <c r="DY23607" s="185" t="s">
        <v>215</v>
      </c>
    </row>
    <row r="23608" spans="129:129" x14ac:dyDescent="0.2">
      <c r="DY23608" s="185" t="s">
        <v>215</v>
      </c>
    </row>
    <row r="23609" spans="129:129" x14ac:dyDescent="0.2">
      <c r="DY23609" s="185" t="s">
        <v>215</v>
      </c>
    </row>
    <row r="23610" spans="129:129" x14ac:dyDescent="0.2">
      <c r="DY23610" s="185" t="s">
        <v>215</v>
      </c>
    </row>
    <row r="23611" spans="129:129" x14ac:dyDescent="0.2">
      <c r="DY23611" s="185" t="s">
        <v>215</v>
      </c>
    </row>
    <row r="23612" spans="129:129" x14ac:dyDescent="0.2">
      <c r="DY23612" s="185" t="s">
        <v>215</v>
      </c>
    </row>
    <row r="23613" spans="129:129" x14ac:dyDescent="0.2">
      <c r="DY23613" s="185" t="s">
        <v>215</v>
      </c>
    </row>
    <row r="23614" spans="129:129" x14ac:dyDescent="0.2">
      <c r="DY23614" s="185" t="s">
        <v>215</v>
      </c>
    </row>
    <row r="23615" spans="129:129" x14ac:dyDescent="0.2">
      <c r="DY23615" s="185" t="s">
        <v>215</v>
      </c>
    </row>
    <row r="23616" spans="129:129" x14ac:dyDescent="0.2">
      <c r="DY23616" s="185" t="s">
        <v>215</v>
      </c>
    </row>
    <row r="23617" spans="129:129" x14ac:dyDescent="0.2">
      <c r="DY23617" s="185" t="s">
        <v>215</v>
      </c>
    </row>
    <row r="23618" spans="129:129" x14ac:dyDescent="0.2">
      <c r="DY23618" s="185" t="s">
        <v>215</v>
      </c>
    </row>
    <row r="23619" spans="129:129" x14ac:dyDescent="0.2">
      <c r="DY23619" s="185" t="s">
        <v>215</v>
      </c>
    </row>
    <row r="23620" spans="129:129" x14ac:dyDescent="0.2">
      <c r="DY23620" s="185" t="s">
        <v>215</v>
      </c>
    </row>
    <row r="23621" spans="129:129" x14ac:dyDescent="0.2">
      <c r="DY23621" s="185" t="s">
        <v>215</v>
      </c>
    </row>
    <row r="23622" spans="129:129" x14ac:dyDescent="0.2">
      <c r="DY23622" s="185" t="s">
        <v>215</v>
      </c>
    </row>
    <row r="23623" spans="129:129" x14ac:dyDescent="0.2">
      <c r="DY23623" s="185" t="s">
        <v>215</v>
      </c>
    </row>
    <row r="23624" spans="129:129" x14ac:dyDescent="0.2">
      <c r="DY23624" s="185" t="s">
        <v>215</v>
      </c>
    </row>
    <row r="23625" spans="129:129" x14ac:dyDescent="0.2">
      <c r="DY23625" s="185" t="s">
        <v>215</v>
      </c>
    </row>
    <row r="23626" spans="129:129" x14ac:dyDescent="0.2">
      <c r="DY23626" s="185" t="s">
        <v>215</v>
      </c>
    </row>
    <row r="23627" spans="129:129" x14ac:dyDescent="0.2">
      <c r="DY23627" s="185" t="s">
        <v>215</v>
      </c>
    </row>
    <row r="23628" spans="129:129" x14ac:dyDescent="0.2">
      <c r="DY23628" s="185" t="s">
        <v>215</v>
      </c>
    </row>
    <row r="23629" spans="129:129" x14ac:dyDescent="0.2">
      <c r="DY23629" s="185" t="s">
        <v>215</v>
      </c>
    </row>
    <row r="23630" spans="129:129" x14ac:dyDescent="0.2">
      <c r="DY23630" s="185" t="s">
        <v>215</v>
      </c>
    </row>
    <row r="23631" spans="129:129" x14ac:dyDescent="0.2">
      <c r="DY23631" s="185" t="s">
        <v>215</v>
      </c>
    </row>
    <row r="23632" spans="129:129" x14ac:dyDescent="0.2">
      <c r="DY23632" s="185" t="s">
        <v>215</v>
      </c>
    </row>
    <row r="23633" spans="129:129" x14ac:dyDescent="0.2">
      <c r="DY23633" s="185" t="s">
        <v>215</v>
      </c>
    </row>
    <row r="23634" spans="129:129" x14ac:dyDescent="0.2">
      <c r="DY23634" s="185" t="s">
        <v>215</v>
      </c>
    </row>
    <row r="23635" spans="129:129" x14ac:dyDescent="0.2">
      <c r="DY23635" s="185" t="s">
        <v>215</v>
      </c>
    </row>
    <row r="23636" spans="129:129" x14ac:dyDescent="0.2">
      <c r="DY23636" s="185" t="s">
        <v>215</v>
      </c>
    </row>
    <row r="23637" spans="129:129" x14ac:dyDescent="0.2">
      <c r="DY23637" s="185" t="s">
        <v>215</v>
      </c>
    </row>
    <row r="23638" spans="129:129" x14ac:dyDescent="0.2">
      <c r="DY23638" s="185" t="s">
        <v>215</v>
      </c>
    </row>
    <row r="23639" spans="129:129" x14ac:dyDescent="0.2">
      <c r="DY23639" s="185" t="s">
        <v>215</v>
      </c>
    </row>
    <row r="23640" spans="129:129" x14ac:dyDescent="0.2">
      <c r="DY23640" s="185" t="s">
        <v>215</v>
      </c>
    </row>
    <row r="23641" spans="129:129" x14ac:dyDescent="0.2">
      <c r="DY23641" s="185" t="s">
        <v>215</v>
      </c>
    </row>
    <row r="23642" spans="129:129" x14ac:dyDescent="0.2">
      <c r="DY23642" s="185" t="s">
        <v>215</v>
      </c>
    </row>
    <row r="23643" spans="129:129" x14ac:dyDescent="0.2">
      <c r="DY23643" s="185" t="s">
        <v>215</v>
      </c>
    </row>
    <row r="23644" spans="129:129" x14ac:dyDescent="0.2">
      <c r="DY23644" s="185" t="s">
        <v>215</v>
      </c>
    </row>
    <row r="23645" spans="129:129" x14ac:dyDescent="0.2">
      <c r="DY23645" s="185" t="s">
        <v>215</v>
      </c>
    </row>
    <row r="23646" spans="129:129" x14ac:dyDescent="0.2">
      <c r="DY23646" s="185" t="s">
        <v>215</v>
      </c>
    </row>
    <row r="23647" spans="129:129" x14ac:dyDescent="0.2">
      <c r="DY23647" s="185" t="s">
        <v>215</v>
      </c>
    </row>
    <row r="23648" spans="129:129" x14ac:dyDescent="0.2">
      <c r="DY23648" s="185" t="s">
        <v>215</v>
      </c>
    </row>
    <row r="23649" spans="129:129" x14ac:dyDescent="0.2">
      <c r="DY23649" s="185" t="s">
        <v>215</v>
      </c>
    </row>
    <row r="23650" spans="129:129" x14ac:dyDescent="0.2">
      <c r="DY23650" s="185" t="s">
        <v>215</v>
      </c>
    </row>
    <row r="23651" spans="129:129" x14ac:dyDescent="0.2">
      <c r="DY23651" s="185" t="s">
        <v>215</v>
      </c>
    </row>
    <row r="23652" spans="129:129" x14ac:dyDescent="0.2">
      <c r="DY23652" s="185" t="s">
        <v>215</v>
      </c>
    </row>
    <row r="23653" spans="129:129" x14ac:dyDescent="0.2">
      <c r="DY23653" s="185" t="s">
        <v>215</v>
      </c>
    </row>
    <row r="23654" spans="129:129" x14ac:dyDescent="0.2">
      <c r="DY23654" s="185" t="s">
        <v>215</v>
      </c>
    </row>
    <row r="23655" spans="129:129" x14ac:dyDescent="0.2">
      <c r="DY23655" s="185" t="s">
        <v>215</v>
      </c>
    </row>
    <row r="23656" spans="129:129" x14ac:dyDescent="0.2">
      <c r="DY23656" s="185" t="s">
        <v>215</v>
      </c>
    </row>
    <row r="23657" spans="129:129" x14ac:dyDescent="0.2">
      <c r="DY23657" s="185" t="s">
        <v>215</v>
      </c>
    </row>
    <row r="23658" spans="129:129" x14ac:dyDescent="0.2">
      <c r="DY23658" s="185" t="s">
        <v>215</v>
      </c>
    </row>
    <row r="23659" spans="129:129" x14ac:dyDescent="0.2">
      <c r="DY23659" s="185" t="s">
        <v>215</v>
      </c>
    </row>
    <row r="23660" spans="129:129" x14ac:dyDescent="0.2">
      <c r="DY23660" s="185" t="s">
        <v>215</v>
      </c>
    </row>
    <row r="23661" spans="129:129" x14ac:dyDescent="0.2">
      <c r="DY23661" s="185" t="s">
        <v>215</v>
      </c>
    </row>
    <row r="23662" spans="129:129" x14ac:dyDescent="0.2">
      <c r="DY23662" s="185" t="s">
        <v>215</v>
      </c>
    </row>
    <row r="23663" spans="129:129" x14ac:dyDescent="0.2">
      <c r="DY23663" s="185" t="s">
        <v>215</v>
      </c>
    </row>
    <row r="23664" spans="129:129" x14ac:dyDescent="0.2">
      <c r="DY23664" s="185" t="s">
        <v>215</v>
      </c>
    </row>
    <row r="23665" spans="129:129" x14ac:dyDescent="0.2">
      <c r="DY23665" s="185" t="s">
        <v>215</v>
      </c>
    </row>
    <row r="23666" spans="129:129" x14ac:dyDescent="0.2">
      <c r="DY23666" s="185" t="s">
        <v>215</v>
      </c>
    </row>
    <row r="23667" spans="129:129" x14ac:dyDescent="0.2">
      <c r="DY23667" s="185" t="s">
        <v>215</v>
      </c>
    </row>
    <row r="23668" spans="129:129" x14ac:dyDescent="0.2">
      <c r="DY23668" s="185" t="s">
        <v>215</v>
      </c>
    </row>
    <row r="23669" spans="129:129" x14ac:dyDescent="0.2">
      <c r="DY23669" s="185" t="s">
        <v>215</v>
      </c>
    </row>
    <row r="23670" spans="129:129" x14ac:dyDescent="0.2">
      <c r="DY23670" s="185" t="s">
        <v>215</v>
      </c>
    </row>
    <row r="23671" spans="129:129" x14ac:dyDescent="0.2">
      <c r="DY23671" s="185" t="s">
        <v>215</v>
      </c>
    </row>
    <row r="23672" spans="129:129" x14ac:dyDescent="0.2">
      <c r="DY23672" s="185" t="s">
        <v>215</v>
      </c>
    </row>
    <row r="23673" spans="129:129" x14ac:dyDescent="0.2">
      <c r="DY23673" s="185" t="s">
        <v>215</v>
      </c>
    </row>
    <row r="23674" spans="129:129" x14ac:dyDescent="0.2">
      <c r="DY23674" s="185" t="s">
        <v>215</v>
      </c>
    </row>
    <row r="23675" spans="129:129" x14ac:dyDescent="0.2">
      <c r="DY23675" s="185" t="s">
        <v>215</v>
      </c>
    </row>
    <row r="23676" spans="129:129" x14ac:dyDescent="0.2">
      <c r="DY23676" s="185" t="s">
        <v>215</v>
      </c>
    </row>
    <row r="23677" spans="129:129" x14ac:dyDescent="0.2">
      <c r="DY23677" s="185" t="s">
        <v>215</v>
      </c>
    </row>
    <row r="23678" spans="129:129" x14ac:dyDescent="0.2">
      <c r="DY23678" s="185" t="s">
        <v>215</v>
      </c>
    </row>
    <row r="23679" spans="129:129" x14ac:dyDescent="0.2">
      <c r="DY23679" s="185" t="s">
        <v>215</v>
      </c>
    </row>
    <row r="23680" spans="129:129" x14ac:dyDescent="0.2">
      <c r="DY23680" s="185" t="s">
        <v>215</v>
      </c>
    </row>
    <row r="23681" spans="129:129" x14ac:dyDescent="0.2">
      <c r="DY23681" s="185" t="s">
        <v>215</v>
      </c>
    </row>
    <row r="23682" spans="129:129" x14ac:dyDescent="0.2">
      <c r="DY23682" s="185" t="s">
        <v>215</v>
      </c>
    </row>
    <row r="23683" spans="129:129" x14ac:dyDescent="0.2">
      <c r="DY23683" s="185" t="s">
        <v>215</v>
      </c>
    </row>
    <row r="23684" spans="129:129" x14ac:dyDescent="0.2">
      <c r="DY23684" s="185" t="s">
        <v>215</v>
      </c>
    </row>
    <row r="23685" spans="129:129" x14ac:dyDescent="0.2">
      <c r="DY23685" s="185" t="s">
        <v>215</v>
      </c>
    </row>
    <row r="23686" spans="129:129" x14ac:dyDescent="0.2">
      <c r="DY23686" s="185" t="s">
        <v>215</v>
      </c>
    </row>
    <row r="23687" spans="129:129" x14ac:dyDescent="0.2">
      <c r="DY23687" s="185" t="s">
        <v>215</v>
      </c>
    </row>
    <row r="23688" spans="129:129" x14ac:dyDescent="0.2">
      <c r="DY23688" s="185" t="s">
        <v>215</v>
      </c>
    </row>
    <row r="23689" spans="129:129" x14ac:dyDescent="0.2">
      <c r="DY23689" s="185" t="s">
        <v>215</v>
      </c>
    </row>
    <row r="23690" spans="129:129" x14ac:dyDescent="0.2">
      <c r="DY23690" s="185" t="s">
        <v>215</v>
      </c>
    </row>
    <row r="23691" spans="129:129" x14ac:dyDescent="0.2">
      <c r="DY23691" s="185" t="s">
        <v>215</v>
      </c>
    </row>
    <row r="23692" spans="129:129" x14ac:dyDescent="0.2">
      <c r="DY23692" s="185" t="s">
        <v>215</v>
      </c>
    </row>
    <row r="23693" spans="129:129" x14ac:dyDescent="0.2">
      <c r="DY23693" s="185" t="s">
        <v>215</v>
      </c>
    </row>
    <row r="23694" spans="129:129" x14ac:dyDescent="0.2">
      <c r="DY23694" s="185" t="s">
        <v>215</v>
      </c>
    </row>
    <row r="23695" spans="129:129" x14ac:dyDescent="0.2">
      <c r="DY23695" s="185" t="s">
        <v>215</v>
      </c>
    </row>
    <row r="23696" spans="129:129" x14ac:dyDescent="0.2">
      <c r="DY23696" s="185" t="s">
        <v>215</v>
      </c>
    </row>
    <row r="23697" spans="129:129" x14ac:dyDescent="0.2">
      <c r="DY23697" s="185" t="s">
        <v>215</v>
      </c>
    </row>
    <row r="23698" spans="129:129" x14ac:dyDescent="0.2">
      <c r="DY23698" s="185" t="s">
        <v>215</v>
      </c>
    </row>
    <row r="23699" spans="129:129" x14ac:dyDescent="0.2">
      <c r="DY23699" s="185" t="s">
        <v>215</v>
      </c>
    </row>
    <row r="23700" spans="129:129" x14ac:dyDescent="0.2">
      <c r="DY23700" s="185" t="s">
        <v>215</v>
      </c>
    </row>
    <row r="23701" spans="129:129" x14ac:dyDescent="0.2">
      <c r="DY23701" s="185" t="s">
        <v>215</v>
      </c>
    </row>
    <row r="23702" spans="129:129" x14ac:dyDescent="0.2">
      <c r="DY23702" s="185" t="s">
        <v>215</v>
      </c>
    </row>
    <row r="23703" spans="129:129" x14ac:dyDescent="0.2">
      <c r="DY23703" s="185" t="s">
        <v>215</v>
      </c>
    </row>
    <row r="23704" spans="129:129" x14ac:dyDescent="0.2">
      <c r="DY23704" s="185" t="s">
        <v>215</v>
      </c>
    </row>
    <row r="23705" spans="129:129" x14ac:dyDescent="0.2">
      <c r="DY23705" s="185" t="s">
        <v>215</v>
      </c>
    </row>
    <row r="23706" spans="129:129" x14ac:dyDescent="0.2">
      <c r="DY23706" s="185" t="s">
        <v>215</v>
      </c>
    </row>
    <row r="23707" spans="129:129" x14ac:dyDescent="0.2">
      <c r="DY23707" s="185" t="s">
        <v>215</v>
      </c>
    </row>
    <row r="23708" spans="129:129" x14ac:dyDescent="0.2">
      <c r="DY23708" s="185" t="s">
        <v>215</v>
      </c>
    </row>
    <row r="23709" spans="129:129" x14ac:dyDescent="0.2">
      <c r="DY23709" s="185" t="s">
        <v>215</v>
      </c>
    </row>
    <row r="23710" spans="129:129" x14ac:dyDescent="0.2">
      <c r="DY23710" s="185" t="s">
        <v>215</v>
      </c>
    </row>
    <row r="23711" spans="129:129" x14ac:dyDescent="0.2">
      <c r="DY23711" s="185" t="s">
        <v>215</v>
      </c>
    </row>
    <row r="23712" spans="129:129" x14ac:dyDescent="0.2">
      <c r="DY23712" s="185" t="s">
        <v>215</v>
      </c>
    </row>
    <row r="23713" spans="129:129" x14ac:dyDescent="0.2">
      <c r="DY23713" s="185" t="s">
        <v>215</v>
      </c>
    </row>
    <row r="23714" spans="129:129" x14ac:dyDescent="0.2">
      <c r="DY23714" s="185" t="s">
        <v>215</v>
      </c>
    </row>
    <row r="23715" spans="129:129" x14ac:dyDescent="0.2">
      <c r="DY23715" s="185" t="s">
        <v>215</v>
      </c>
    </row>
    <row r="23716" spans="129:129" x14ac:dyDescent="0.2">
      <c r="DY23716" s="185" t="s">
        <v>215</v>
      </c>
    </row>
    <row r="23717" spans="129:129" x14ac:dyDescent="0.2">
      <c r="DY23717" s="185" t="s">
        <v>215</v>
      </c>
    </row>
    <row r="23718" spans="129:129" x14ac:dyDescent="0.2">
      <c r="DY23718" s="185" t="s">
        <v>215</v>
      </c>
    </row>
    <row r="23719" spans="129:129" x14ac:dyDescent="0.2">
      <c r="DY23719" s="185" t="s">
        <v>215</v>
      </c>
    </row>
    <row r="23720" spans="129:129" x14ac:dyDescent="0.2">
      <c r="DY23720" s="185" t="s">
        <v>215</v>
      </c>
    </row>
    <row r="23721" spans="129:129" x14ac:dyDescent="0.2">
      <c r="DY23721" s="185" t="s">
        <v>215</v>
      </c>
    </row>
    <row r="23722" spans="129:129" x14ac:dyDescent="0.2">
      <c r="DY23722" s="185" t="s">
        <v>215</v>
      </c>
    </row>
    <row r="23723" spans="129:129" x14ac:dyDescent="0.2">
      <c r="DY23723" s="185" t="s">
        <v>215</v>
      </c>
    </row>
    <row r="23724" spans="129:129" x14ac:dyDescent="0.2">
      <c r="DY23724" s="185" t="s">
        <v>215</v>
      </c>
    </row>
    <row r="23725" spans="129:129" x14ac:dyDescent="0.2">
      <c r="DY23725" s="185" t="s">
        <v>215</v>
      </c>
    </row>
    <row r="23726" spans="129:129" x14ac:dyDescent="0.2">
      <c r="DY23726" s="185" t="s">
        <v>215</v>
      </c>
    </row>
    <row r="23727" spans="129:129" x14ac:dyDescent="0.2">
      <c r="DY23727" s="185" t="s">
        <v>215</v>
      </c>
    </row>
    <row r="23728" spans="129:129" x14ac:dyDescent="0.2">
      <c r="DY23728" s="185" t="s">
        <v>215</v>
      </c>
    </row>
    <row r="23729" spans="129:129" x14ac:dyDescent="0.2">
      <c r="DY23729" s="185" t="s">
        <v>215</v>
      </c>
    </row>
    <row r="23730" spans="129:129" x14ac:dyDescent="0.2">
      <c r="DY23730" s="185" t="s">
        <v>215</v>
      </c>
    </row>
    <row r="23731" spans="129:129" x14ac:dyDescent="0.2">
      <c r="DY23731" s="185" t="s">
        <v>215</v>
      </c>
    </row>
    <row r="23732" spans="129:129" x14ac:dyDescent="0.2">
      <c r="DY23732" s="185" t="s">
        <v>215</v>
      </c>
    </row>
    <row r="23733" spans="129:129" x14ac:dyDescent="0.2">
      <c r="DY23733" s="185" t="s">
        <v>215</v>
      </c>
    </row>
    <row r="23734" spans="129:129" x14ac:dyDescent="0.2">
      <c r="DY23734" s="185" t="s">
        <v>215</v>
      </c>
    </row>
    <row r="23735" spans="129:129" x14ac:dyDescent="0.2">
      <c r="DY23735" s="185" t="s">
        <v>215</v>
      </c>
    </row>
    <row r="23736" spans="129:129" x14ac:dyDescent="0.2">
      <c r="DY23736" s="185" t="s">
        <v>215</v>
      </c>
    </row>
    <row r="23737" spans="129:129" x14ac:dyDescent="0.2">
      <c r="DY23737" s="185" t="s">
        <v>215</v>
      </c>
    </row>
    <row r="23738" spans="129:129" x14ac:dyDescent="0.2">
      <c r="DY23738" s="185" t="s">
        <v>215</v>
      </c>
    </row>
    <row r="23739" spans="129:129" x14ac:dyDescent="0.2">
      <c r="DY23739" s="185" t="s">
        <v>215</v>
      </c>
    </row>
    <row r="23740" spans="129:129" x14ac:dyDescent="0.2">
      <c r="DY23740" s="185" t="s">
        <v>215</v>
      </c>
    </row>
    <row r="23741" spans="129:129" x14ac:dyDescent="0.2">
      <c r="DY23741" s="185" t="s">
        <v>215</v>
      </c>
    </row>
    <row r="23742" spans="129:129" x14ac:dyDescent="0.2">
      <c r="DY23742" s="185" t="s">
        <v>215</v>
      </c>
    </row>
    <row r="23743" spans="129:129" x14ac:dyDescent="0.2">
      <c r="DY23743" s="185" t="s">
        <v>215</v>
      </c>
    </row>
    <row r="23744" spans="129:129" x14ac:dyDescent="0.2">
      <c r="DY23744" s="185" t="s">
        <v>215</v>
      </c>
    </row>
    <row r="23745" spans="129:129" x14ac:dyDescent="0.2">
      <c r="DY23745" s="185" t="s">
        <v>215</v>
      </c>
    </row>
    <row r="23746" spans="129:129" x14ac:dyDescent="0.2">
      <c r="DY23746" s="185" t="s">
        <v>215</v>
      </c>
    </row>
    <row r="23747" spans="129:129" x14ac:dyDescent="0.2">
      <c r="DY23747" s="185" t="s">
        <v>215</v>
      </c>
    </row>
    <row r="23748" spans="129:129" x14ac:dyDescent="0.2">
      <c r="DY23748" s="185" t="s">
        <v>215</v>
      </c>
    </row>
    <row r="23749" spans="129:129" x14ac:dyDescent="0.2">
      <c r="DY23749" s="185" t="s">
        <v>215</v>
      </c>
    </row>
    <row r="23750" spans="129:129" x14ac:dyDescent="0.2">
      <c r="DY23750" s="185" t="s">
        <v>215</v>
      </c>
    </row>
    <row r="23751" spans="129:129" x14ac:dyDescent="0.2">
      <c r="DY23751" s="185" t="s">
        <v>215</v>
      </c>
    </row>
    <row r="23752" spans="129:129" x14ac:dyDescent="0.2">
      <c r="DY23752" s="185" t="s">
        <v>215</v>
      </c>
    </row>
    <row r="23753" spans="129:129" x14ac:dyDescent="0.2">
      <c r="DY23753" s="185" t="s">
        <v>215</v>
      </c>
    </row>
    <row r="23754" spans="129:129" x14ac:dyDescent="0.2">
      <c r="DY23754" s="185" t="s">
        <v>215</v>
      </c>
    </row>
    <row r="23755" spans="129:129" x14ac:dyDescent="0.2">
      <c r="DY23755" s="185" t="s">
        <v>215</v>
      </c>
    </row>
    <row r="23756" spans="129:129" x14ac:dyDescent="0.2">
      <c r="DY23756" s="185" t="s">
        <v>215</v>
      </c>
    </row>
    <row r="23757" spans="129:129" x14ac:dyDescent="0.2">
      <c r="DY23757" s="185" t="s">
        <v>215</v>
      </c>
    </row>
    <row r="23758" spans="129:129" x14ac:dyDescent="0.2">
      <c r="DY23758" s="185" t="s">
        <v>215</v>
      </c>
    </row>
    <row r="23759" spans="129:129" x14ac:dyDescent="0.2">
      <c r="DY23759" s="185" t="s">
        <v>215</v>
      </c>
    </row>
    <row r="23760" spans="129:129" x14ac:dyDescent="0.2">
      <c r="DY23760" s="185" t="s">
        <v>215</v>
      </c>
    </row>
    <row r="23761" spans="129:129" x14ac:dyDescent="0.2">
      <c r="DY23761" s="185" t="s">
        <v>215</v>
      </c>
    </row>
    <row r="23762" spans="129:129" x14ac:dyDescent="0.2">
      <c r="DY23762" s="185" t="s">
        <v>215</v>
      </c>
    </row>
    <row r="23763" spans="129:129" x14ac:dyDescent="0.2">
      <c r="DY23763" s="185" t="s">
        <v>215</v>
      </c>
    </row>
    <row r="23764" spans="129:129" x14ac:dyDescent="0.2">
      <c r="DY23764" s="185" t="s">
        <v>215</v>
      </c>
    </row>
    <row r="23765" spans="129:129" x14ac:dyDescent="0.2">
      <c r="DY23765" s="185" t="s">
        <v>215</v>
      </c>
    </row>
    <row r="23766" spans="129:129" x14ac:dyDescent="0.2">
      <c r="DY23766" s="185" t="s">
        <v>215</v>
      </c>
    </row>
    <row r="23767" spans="129:129" x14ac:dyDescent="0.2">
      <c r="DY23767" s="185" t="s">
        <v>215</v>
      </c>
    </row>
    <row r="23768" spans="129:129" x14ac:dyDescent="0.2">
      <c r="DY23768" s="185" t="s">
        <v>215</v>
      </c>
    </row>
    <row r="23769" spans="129:129" x14ac:dyDescent="0.2">
      <c r="DY23769" s="185" t="s">
        <v>215</v>
      </c>
    </row>
    <row r="23770" spans="129:129" x14ac:dyDescent="0.2">
      <c r="DY23770" s="185" t="s">
        <v>215</v>
      </c>
    </row>
    <row r="23771" spans="129:129" x14ac:dyDescent="0.2">
      <c r="DY23771" s="185" t="s">
        <v>215</v>
      </c>
    </row>
    <row r="23772" spans="129:129" x14ac:dyDescent="0.2">
      <c r="DY23772" s="185" t="s">
        <v>215</v>
      </c>
    </row>
    <row r="23773" spans="129:129" x14ac:dyDescent="0.2">
      <c r="DY23773" s="185" t="s">
        <v>215</v>
      </c>
    </row>
    <row r="23774" spans="129:129" x14ac:dyDescent="0.2">
      <c r="DY23774" s="185" t="s">
        <v>215</v>
      </c>
    </row>
    <row r="23775" spans="129:129" x14ac:dyDescent="0.2">
      <c r="DY23775" s="185" t="s">
        <v>215</v>
      </c>
    </row>
    <row r="23776" spans="129:129" x14ac:dyDescent="0.2">
      <c r="DY23776" s="185" t="s">
        <v>215</v>
      </c>
    </row>
    <row r="23777" spans="129:129" x14ac:dyDescent="0.2">
      <c r="DY23777" s="185" t="s">
        <v>215</v>
      </c>
    </row>
    <row r="23778" spans="129:129" x14ac:dyDescent="0.2">
      <c r="DY23778" s="185" t="s">
        <v>215</v>
      </c>
    </row>
    <row r="23779" spans="129:129" x14ac:dyDescent="0.2">
      <c r="DY23779" s="185" t="s">
        <v>215</v>
      </c>
    </row>
    <row r="23780" spans="129:129" x14ac:dyDescent="0.2">
      <c r="DY23780" s="185" t="s">
        <v>215</v>
      </c>
    </row>
    <row r="23781" spans="129:129" x14ac:dyDescent="0.2">
      <c r="DY23781" s="185" t="s">
        <v>215</v>
      </c>
    </row>
    <row r="23782" spans="129:129" x14ac:dyDescent="0.2">
      <c r="DY23782" s="185" t="s">
        <v>215</v>
      </c>
    </row>
    <row r="23783" spans="129:129" x14ac:dyDescent="0.2">
      <c r="DY23783" s="185" t="s">
        <v>215</v>
      </c>
    </row>
    <row r="23784" spans="129:129" x14ac:dyDescent="0.2">
      <c r="DY23784" s="185" t="s">
        <v>215</v>
      </c>
    </row>
    <row r="23785" spans="129:129" x14ac:dyDescent="0.2">
      <c r="DY23785" s="185" t="s">
        <v>215</v>
      </c>
    </row>
    <row r="23786" spans="129:129" x14ac:dyDescent="0.2">
      <c r="DY23786" s="185" t="s">
        <v>215</v>
      </c>
    </row>
    <row r="23787" spans="129:129" x14ac:dyDescent="0.2">
      <c r="DY23787" s="185" t="s">
        <v>215</v>
      </c>
    </row>
    <row r="23788" spans="129:129" x14ac:dyDescent="0.2">
      <c r="DY23788" s="185" t="s">
        <v>215</v>
      </c>
    </row>
    <row r="23789" spans="129:129" x14ac:dyDescent="0.2">
      <c r="DY23789" s="185" t="s">
        <v>215</v>
      </c>
    </row>
    <row r="23790" spans="129:129" x14ac:dyDescent="0.2">
      <c r="DY23790" s="185" t="s">
        <v>215</v>
      </c>
    </row>
    <row r="23791" spans="129:129" x14ac:dyDescent="0.2">
      <c r="DY23791" s="185" t="s">
        <v>215</v>
      </c>
    </row>
    <row r="23792" spans="129:129" x14ac:dyDescent="0.2">
      <c r="DY23792" s="185" t="s">
        <v>215</v>
      </c>
    </row>
    <row r="23793" spans="129:129" x14ac:dyDescent="0.2">
      <c r="DY23793" s="185" t="s">
        <v>215</v>
      </c>
    </row>
    <row r="23794" spans="129:129" x14ac:dyDescent="0.2">
      <c r="DY23794" s="185" t="s">
        <v>215</v>
      </c>
    </row>
    <row r="23795" spans="129:129" x14ac:dyDescent="0.2">
      <c r="DY23795" s="185" t="s">
        <v>215</v>
      </c>
    </row>
    <row r="23796" spans="129:129" x14ac:dyDescent="0.2">
      <c r="DY23796" s="185" t="s">
        <v>215</v>
      </c>
    </row>
    <row r="23797" spans="129:129" x14ac:dyDescent="0.2">
      <c r="DY23797" s="185" t="s">
        <v>215</v>
      </c>
    </row>
    <row r="23798" spans="129:129" x14ac:dyDescent="0.2">
      <c r="DY23798" s="185" t="s">
        <v>215</v>
      </c>
    </row>
    <row r="23799" spans="129:129" x14ac:dyDescent="0.2">
      <c r="DY23799" s="185" t="s">
        <v>215</v>
      </c>
    </row>
    <row r="23800" spans="129:129" x14ac:dyDescent="0.2">
      <c r="DY23800" s="185" t="s">
        <v>215</v>
      </c>
    </row>
    <row r="23801" spans="129:129" x14ac:dyDescent="0.2">
      <c r="DY23801" s="185" t="s">
        <v>215</v>
      </c>
    </row>
    <row r="23802" spans="129:129" x14ac:dyDescent="0.2">
      <c r="DY23802" s="185" t="s">
        <v>215</v>
      </c>
    </row>
    <row r="23803" spans="129:129" x14ac:dyDescent="0.2">
      <c r="DY23803" s="185" t="s">
        <v>215</v>
      </c>
    </row>
    <row r="23804" spans="129:129" x14ac:dyDescent="0.2">
      <c r="DY23804" s="185" t="s">
        <v>215</v>
      </c>
    </row>
    <row r="23805" spans="129:129" x14ac:dyDescent="0.2">
      <c r="DY23805" s="185" t="s">
        <v>215</v>
      </c>
    </row>
    <row r="23806" spans="129:129" x14ac:dyDescent="0.2">
      <c r="DY23806" s="185" t="s">
        <v>215</v>
      </c>
    </row>
    <row r="23807" spans="129:129" x14ac:dyDescent="0.2">
      <c r="DY23807" s="185" t="s">
        <v>215</v>
      </c>
    </row>
    <row r="23808" spans="129:129" x14ac:dyDescent="0.2">
      <c r="DY23808" s="185" t="s">
        <v>215</v>
      </c>
    </row>
    <row r="23809" spans="129:129" x14ac:dyDescent="0.2">
      <c r="DY23809" s="185" t="s">
        <v>215</v>
      </c>
    </row>
    <row r="23810" spans="129:129" x14ac:dyDescent="0.2">
      <c r="DY23810" s="185" t="s">
        <v>215</v>
      </c>
    </row>
    <row r="23811" spans="129:129" x14ac:dyDescent="0.2">
      <c r="DY23811" s="185" t="s">
        <v>215</v>
      </c>
    </row>
    <row r="23812" spans="129:129" x14ac:dyDescent="0.2">
      <c r="DY23812" s="185" t="s">
        <v>215</v>
      </c>
    </row>
    <row r="23813" spans="129:129" x14ac:dyDescent="0.2">
      <c r="DY23813" s="185" t="s">
        <v>215</v>
      </c>
    </row>
    <row r="23814" spans="129:129" x14ac:dyDescent="0.2">
      <c r="DY23814" s="185" t="s">
        <v>215</v>
      </c>
    </row>
    <row r="23815" spans="129:129" x14ac:dyDescent="0.2">
      <c r="DY23815" s="185" t="s">
        <v>215</v>
      </c>
    </row>
    <row r="23816" spans="129:129" x14ac:dyDescent="0.2">
      <c r="DY23816" s="185" t="s">
        <v>215</v>
      </c>
    </row>
    <row r="23817" spans="129:129" x14ac:dyDescent="0.2">
      <c r="DY23817" s="185" t="s">
        <v>215</v>
      </c>
    </row>
    <row r="23818" spans="129:129" x14ac:dyDescent="0.2">
      <c r="DY23818" s="185" t="s">
        <v>215</v>
      </c>
    </row>
    <row r="23819" spans="129:129" x14ac:dyDescent="0.2">
      <c r="DY23819" s="185" t="s">
        <v>215</v>
      </c>
    </row>
    <row r="23820" spans="129:129" x14ac:dyDescent="0.2">
      <c r="DY23820" s="185" t="s">
        <v>215</v>
      </c>
    </row>
    <row r="23821" spans="129:129" x14ac:dyDescent="0.2">
      <c r="DY23821" s="185" t="s">
        <v>215</v>
      </c>
    </row>
    <row r="23822" spans="129:129" x14ac:dyDescent="0.2">
      <c r="DY23822" s="185" t="s">
        <v>215</v>
      </c>
    </row>
    <row r="23823" spans="129:129" x14ac:dyDescent="0.2">
      <c r="DY23823" s="185" t="s">
        <v>215</v>
      </c>
    </row>
    <row r="23824" spans="129:129" x14ac:dyDescent="0.2">
      <c r="DY23824" s="185" t="s">
        <v>215</v>
      </c>
    </row>
    <row r="23825" spans="129:129" x14ac:dyDescent="0.2">
      <c r="DY23825" s="185" t="s">
        <v>215</v>
      </c>
    </row>
    <row r="23826" spans="129:129" x14ac:dyDescent="0.2">
      <c r="DY23826" s="185" t="s">
        <v>215</v>
      </c>
    </row>
    <row r="23827" spans="129:129" x14ac:dyDescent="0.2">
      <c r="DY23827" s="185" t="s">
        <v>215</v>
      </c>
    </row>
    <row r="23828" spans="129:129" x14ac:dyDescent="0.2">
      <c r="DY23828" s="185" t="s">
        <v>215</v>
      </c>
    </row>
    <row r="23829" spans="129:129" x14ac:dyDescent="0.2">
      <c r="DY23829" s="185" t="s">
        <v>215</v>
      </c>
    </row>
    <row r="23830" spans="129:129" x14ac:dyDescent="0.2">
      <c r="DY23830" s="185" t="s">
        <v>215</v>
      </c>
    </row>
    <row r="23831" spans="129:129" x14ac:dyDescent="0.2">
      <c r="DY23831" s="185" t="s">
        <v>215</v>
      </c>
    </row>
    <row r="23832" spans="129:129" x14ac:dyDescent="0.2">
      <c r="DY23832" s="185" t="s">
        <v>215</v>
      </c>
    </row>
    <row r="23833" spans="129:129" x14ac:dyDescent="0.2">
      <c r="DY23833" s="185" t="s">
        <v>215</v>
      </c>
    </row>
    <row r="23834" spans="129:129" x14ac:dyDescent="0.2">
      <c r="DY23834" s="185" t="s">
        <v>215</v>
      </c>
    </row>
    <row r="23835" spans="129:129" x14ac:dyDescent="0.2">
      <c r="DY23835" s="185" t="s">
        <v>215</v>
      </c>
    </row>
    <row r="23836" spans="129:129" x14ac:dyDescent="0.2">
      <c r="DY23836" s="185" t="s">
        <v>215</v>
      </c>
    </row>
    <row r="23837" spans="129:129" x14ac:dyDescent="0.2">
      <c r="DY23837" s="185" t="s">
        <v>215</v>
      </c>
    </row>
    <row r="23838" spans="129:129" x14ac:dyDescent="0.2">
      <c r="DY23838" s="185" t="s">
        <v>215</v>
      </c>
    </row>
    <row r="23839" spans="129:129" x14ac:dyDescent="0.2">
      <c r="DY23839" s="185" t="s">
        <v>215</v>
      </c>
    </row>
    <row r="23840" spans="129:129" x14ac:dyDescent="0.2">
      <c r="DY23840" s="185" t="s">
        <v>215</v>
      </c>
    </row>
    <row r="23841" spans="129:129" x14ac:dyDescent="0.2">
      <c r="DY23841" s="185" t="s">
        <v>215</v>
      </c>
    </row>
    <row r="23842" spans="129:129" x14ac:dyDescent="0.2">
      <c r="DY23842" s="185" t="s">
        <v>215</v>
      </c>
    </row>
    <row r="23843" spans="129:129" x14ac:dyDescent="0.2">
      <c r="DY23843" s="185" t="s">
        <v>215</v>
      </c>
    </row>
    <row r="23844" spans="129:129" x14ac:dyDescent="0.2">
      <c r="DY23844" s="185" t="s">
        <v>215</v>
      </c>
    </row>
    <row r="23845" spans="129:129" x14ac:dyDescent="0.2">
      <c r="DY23845" s="185" t="s">
        <v>215</v>
      </c>
    </row>
    <row r="23846" spans="129:129" x14ac:dyDescent="0.2">
      <c r="DY23846" s="185" t="s">
        <v>215</v>
      </c>
    </row>
    <row r="23847" spans="129:129" x14ac:dyDescent="0.2">
      <c r="DY23847" s="185" t="s">
        <v>215</v>
      </c>
    </row>
    <row r="23848" spans="129:129" x14ac:dyDescent="0.2">
      <c r="DY23848" s="185" t="s">
        <v>215</v>
      </c>
    </row>
    <row r="23849" spans="129:129" x14ac:dyDescent="0.2">
      <c r="DY23849" s="185" t="s">
        <v>215</v>
      </c>
    </row>
    <row r="23850" spans="129:129" x14ac:dyDescent="0.2">
      <c r="DY23850" s="185" t="s">
        <v>215</v>
      </c>
    </row>
    <row r="23851" spans="129:129" x14ac:dyDescent="0.2">
      <c r="DY23851" s="185" t="s">
        <v>215</v>
      </c>
    </row>
    <row r="23852" spans="129:129" x14ac:dyDescent="0.2">
      <c r="DY23852" s="185" t="s">
        <v>215</v>
      </c>
    </row>
    <row r="23853" spans="129:129" x14ac:dyDescent="0.2">
      <c r="DY23853" s="185" t="s">
        <v>215</v>
      </c>
    </row>
    <row r="23854" spans="129:129" x14ac:dyDescent="0.2">
      <c r="DY23854" s="185" t="s">
        <v>215</v>
      </c>
    </row>
    <row r="23855" spans="129:129" x14ac:dyDescent="0.2">
      <c r="DY23855" s="185" t="s">
        <v>215</v>
      </c>
    </row>
    <row r="23856" spans="129:129" x14ac:dyDescent="0.2">
      <c r="DY23856" s="185" t="s">
        <v>215</v>
      </c>
    </row>
    <row r="23857" spans="129:129" x14ac:dyDescent="0.2">
      <c r="DY23857" s="185" t="s">
        <v>215</v>
      </c>
    </row>
    <row r="23858" spans="129:129" x14ac:dyDescent="0.2">
      <c r="DY23858" s="185" t="s">
        <v>215</v>
      </c>
    </row>
    <row r="23859" spans="129:129" x14ac:dyDescent="0.2">
      <c r="DY23859" s="185" t="s">
        <v>215</v>
      </c>
    </row>
    <row r="23860" spans="129:129" x14ac:dyDescent="0.2">
      <c r="DY23860" s="185" t="s">
        <v>215</v>
      </c>
    </row>
    <row r="23861" spans="129:129" x14ac:dyDescent="0.2">
      <c r="DY23861" s="185" t="s">
        <v>215</v>
      </c>
    </row>
    <row r="23862" spans="129:129" x14ac:dyDescent="0.2">
      <c r="DY23862" s="185" t="s">
        <v>215</v>
      </c>
    </row>
    <row r="23863" spans="129:129" x14ac:dyDescent="0.2">
      <c r="DY23863" s="185" t="s">
        <v>215</v>
      </c>
    </row>
    <row r="23864" spans="129:129" x14ac:dyDescent="0.2">
      <c r="DY23864" s="185" t="s">
        <v>215</v>
      </c>
    </row>
    <row r="23865" spans="129:129" x14ac:dyDescent="0.2">
      <c r="DY23865" s="185" t="s">
        <v>215</v>
      </c>
    </row>
    <row r="23866" spans="129:129" x14ac:dyDescent="0.2">
      <c r="DY23866" s="185" t="s">
        <v>215</v>
      </c>
    </row>
    <row r="23867" spans="129:129" x14ac:dyDescent="0.2">
      <c r="DY23867" s="185" t="s">
        <v>215</v>
      </c>
    </row>
    <row r="23868" spans="129:129" x14ac:dyDescent="0.2">
      <c r="DY23868" s="185" t="s">
        <v>215</v>
      </c>
    </row>
    <row r="23869" spans="129:129" x14ac:dyDescent="0.2">
      <c r="DY23869" s="185" t="s">
        <v>215</v>
      </c>
    </row>
    <row r="23870" spans="129:129" x14ac:dyDescent="0.2">
      <c r="DY23870" s="185" t="s">
        <v>215</v>
      </c>
    </row>
    <row r="23871" spans="129:129" x14ac:dyDescent="0.2">
      <c r="DY23871" s="185" t="s">
        <v>215</v>
      </c>
    </row>
    <row r="23872" spans="129:129" x14ac:dyDescent="0.2">
      <c r="DY23872" s="185" t="s">
        <v>215</v>
      </c>
    </row>
    <row r="23873" spans="129:129" x14ac:dyDescent="0.2">
      <c r="DY23873" s="185" t="s">
        <v>215</v>
      </c>
    </row>
    <row r="23874" spans="129:129" x14ac:dyDescent="0.2">
      <c r="DY23874" s="185" t="s">
        <v>215</v>
      </c>
    </row>
    <row r="23875" spans="129:129" x14ac:dyDescent="0.2">
      <c r="DY23875" s="185" t="s">
        <v>215</v>
      </c>
    </row>
    <row r="23876" spans="129:129" x14ac:dyDescent="0.2">
      <c r="DY23876" s="185" t="s">
        <v>215</v>
      </c>
    </row>
    <row r="23877" spans="129:129" x14ac:dyDescent="0.2">
      <c r="DY23877" s="185" t="s">
        <v>215</v>
      </c>
    </row>
    <row r="23878" spans="129:129" x14ac:dyDescent="0.2">
      <c r="DY23878" s="185" t="s">
        <v>215</v>
      </c>
    </row>
    <row r="23879" spans="129:129" x14ac:dyDescent="0.2">
      <c r="DY23879" s="185" t="s">
        <v>215</v>
      </c>
    </row>
    <row r="23880" spans="129:129" x14ac:dyDescent="0.2">
      <c r="DY23880" s="185" t="s">
        <v>215</v>
      </c>
    </row>
    <row r="23881" spans="129:129" x14ac:dyDescent="0.2">
      <c r="DY23881" s="185" t="s">
        <v>215</v>
      </c>
    </row>
    <row r="23882" spans="129:129" x14ac:dyDescent="0.2">
      <c r="DY23882" s="185" t="s">
        <v>215</v>
      </c>
    </row>
    <row r="23883" spans="129:129" x14ac:dyDescent="0.2">
      <c r="DY23883" s="185" t="s">
        <v>215</v>
      </c>
    </row>
    <row r="23884" spans="129:129" x14ac:dyDescent="0.2">
      <c r="DY23884" s="185" t="s">
        <v>215</v>
      </c>
    </row>
    <row r="23885" spans="129:129" x14ac:dyDescent="0.2">
      <c r="DY23885" s="185" t="s">
        <v>215</v>
      </c>
    </row>
    <row r="23886" spans="129:129" x14ac:dyDescent="0.2">
      <c r="DY23886" s="185" t="s">
        <v>215</v>
      </c>
    </row>
    <row r="23887" spans="129:129" x14ac:dyDescent="0.2">
      <c r="DY23887" s="185" t="s">
        <v>215</v>
      </c>
    </row>
    <row r="23888" spans="129:129" x14ac:dyDescent="0.2">
      <c r="DY23888" s="185" t="s">
        <v>215</v>
      </c>
    </row>
    <row r="23889" spans="129:129" x14ac:dyDescent="0.2">
      <c r="DY23889" s="185" t="s">
        <v>215</v>
      </c>
    </row>
    <row r="23890" spans="129:129" x14ac:dyDescent="0.2">
      <c r="DY23890" s="185" t="s">
        <v>215</v>
      </c>
    </row>
    <row r="23891" spans="129:129" x14ac:dyDescent="0.2">
      <c r="DY23891" s="185" t="s">
        <v>215</v>
      </c>
    </row>
    <row r="23892" spans="129:129" x14ac:dyDescent="0.2">
      <c r="DY23892" s="185" t="s">
        <v>215</v>
      </c>
    </row>
    <row r="23893" spans="129:129" x14ac:dyDescent="0.2">
      <c r="DY23893" s="185" t="s">
        <v>215</v>
      </c>
    </row>
    <row r="23894" spans="129:129" x14ac:dyDescent="0.2">
      <c r="DY23894" s="185" t="s">
        <v>215</v>
      </c>
    </row>
    <row r="23895" spans="129:129" x14ac:dyDescent="0.2">
      <c r="DY23895" s="185" t="s">
        <v>215</v>
      </c>
    </row>
    <row r="23896" spans="129:129" x14ac:dyDescent="0.2">
      <c r="DY23896" s="185" t="s">
        <v>215</v>
      </c>
    </row>
    <row r="23897" spans="129:129" x14ac:dyDescent="0.2">
      <c r="DY23897" s="185" t="s">
        <v>215</v>
      </c>
    </row>
    <row r="23898" spans="129:129" x14ac:dyDescent="0.2">
      <c r="DY23898" s="185" t="s">
        <v>215</v>
      </c>
    </row>
    <row r="23899" spans="129:129" x14ac:dyDescent="0.2">
      <c r="DY23899" s="185" t="s">
        <v>215</v>
      </c>
    </row>
    <row r="23900" spans="129:129" x14ac:dyDescent="0.2">
      <c r="DY23900" s="185" t="s">
        <v>215</v>
      </c>
    </row>
    <row r="23901" spans="129:129" x14ac:dyDescent="0.2">
      <c r="DY23901" s="185" t="s">
        <v>215</v>
      </c>
    </row>
    <row r="23902" spans="129:129" x14ac:dyDescent="0.2">
      <c r="DY23902" s="185" t="s">
        <v>215</v>
      </c>
    </row>
    <row r="23903" spans="129:129" x14ac:dyDescent="0.2">
      <c r="DY23903" s="185" t="s">
        <v>215</v>
      </c>
    </row>
    <row r="23904" spans="129:129" x14ac:dyDescent="0.2">
      <c r="DY23904" s="185" t="s">
        <v>215</v>
      </c>
    </row>
    <row r="23905" spans="129:129" x14ac:dyDescent="0.2">
      <c r="DY23905" s="185" t="s">
        <v>215</v>
      </c>
    </row>
    <row r="23906" spans="129:129" x14ac:dyDescent="0.2">
      <c r="DY23906" s="185" t="s">
        <v>215</v>
      </c>
    </row>
    <row r="23907" spans="129:129" x14ac:dyDescent="0.2">
      <c r="DY23907" s="185" t="s">
        <v>215</v>
      </c>
    </row>
    <row r="23908" spans="129:129" x14ac:dyDescent="0.2">
      <c r="DY23908" s="185" t="s">
        <v>215</v>
      </c>
    </row>
    <row r="23909" spans="129:129" x14ac:dyDescent="0.2">
      <c r="DY23909" s="185" t="s">
        <v>215</v>
      </c>
    </row>
    <row r="23910" spans="129:129" x14ac:dyDescent="0.2">
      <c r="DY23910" s="185" t="s">
        <v>215</v>
      </c>
    </row>
    <row r="23911" spans="129:129" x14ac:dyDescent="0.2">
      <c r="DY23911" s="185" t="s">
        <v>215</v>
      </c>
    </row>
    <row r="23912" spans="129:129" x14ac:dyDescent="0.2">
      <c r="DY23912" s="185" t="s">
        <v>215</v>
      </c>
    </row>
    <row r="23913" spans="129:129" x14ac:dyDescent="0.2">
      <c r="DY23913" s="185" t="s">
        <v>215</v>
      </c>
    </row>
    <row r="23914" spans="129:129" x14ac:dyDescent="0.2">
      <c r="DY23914" s="185" t="s">
        <v>215</v>
      </c>
    </row>
    <row r="23915" spans="129:129" x14ac:dyDescent="0.2">
      <c r="DY23915" s="185" t="s">
        <v>215</v>
      </c>
    </row>
    <row r="23916" spans="129:129" x14ac:dyDescent="0.2">
      <c r="DY23916" s="185" t="s">
        <v>215</v>
      </c>
    </row>
    <row r="23917" spans="129:129" x14ac:dyDescent="0.2">
      <c r="DY23917" s="185" t="s">
        <v>215</v>
      </c>
    </row>
    <row r="23918" spans="129:129" x14ac:dyDescent="0.2">
      <c r="DY23918" s="185" t="s">
        <v>215</v>
      </c>
    </row>
    <row r="23919" spans="129:129" x14ac:dyDescent="0.2">
      <c r="DY23919" s="185" t="s">
        <v>215</v>
      </c>
    </row>
    <row r="23920" spans="129:129" x14ac:dyDescent="0.2">
      <c r="DY23920" s="185" t="s">
        <v>215</v>
      </c>
    </row>
    <row r="23921" spans="129:129" x14ac:dyDescent="0.2">
      <c r="DY23921" s="185" t="s">
        <v>215</v>
      </c>
    </row>
    <row r="23922" spans="129:129" x14ac:dyDescent="0.2">
      <c r="DY23922" s="185" t="s">
        <v>215</v>
      </c>
    </row>
    <row r="23923" spans="129:129" x14ac:dyDescent="0.2">
      <c r="DY23923" s="185" t="s">
        <v>215</v>
      </c>
    </row>
    <row r="23924" spans="129:129" x14ac:dyDescent="0.2">
      <c r="DY23924" s="185" t="s">
        <v>215</v>
      </c>
    </row>
    <row r="23925" spans="129:129" x14ac:dyDescent="0.2">
      <c r="DY23925" s="185" t="s">
        <v>215</v>
      </c>
    </row>
    <row r="23926" spans="129:129" x14ac:dyDescent="0.2">
      <c r="DY23926" s="185" t="s">
        <v>215</v>
      </c>
    </row>
    <row r="23927" spans="129:129" x14ac:dyDescent="0.2">
      <c r="DY23927" s="185" t="s">
        <v>215</v>
      </c>
    </row>
    <row r="23928" spans="129:129" x14ac:dyDescent="0.2">
      <c r="DY23928" s="185" t="s">
        <v>215</v>
      </c>
    </row>
    <row r="23929" spans="129:129" x14ac:dyDescent="0.2">
      <c r="DY23929" s="185" t="s">
        <v>215</v>
      </c>
    </row>
    <row r="23930" spans="129:129" x14ac:dyDescent="0.2">
      <c r="DY23930" s="185" t="s">
        <v>215</v>
      </c>
    </row>
    <row r="23931" spans="129:129" x14ac:dyDescent="0.2">
      <c r="DY23931" s="185" t="s">
        <v>215</v>
      </c>
    </row>
    <row r="23932" spans="129:129" x14ac:dyDescent="0.2">
      <c r="DY23932" s="185" t="s">
        <v>215</v>
      </c>
    </row>
    <row r="23933" spans="129:129" x14ac:dyDescent="0.2">
      <c r="DY23933" s="185" t="s">
        <v>215</v>
      </c>
    </row>
    <row r="23934" spans="129:129" x14ac:dyDescent="0.2">
      <c r="DY23934" s="185" t="s">
        <v>215</v>
      </c>
    </row>
    <row r="23935" spans="129:129" x14ac:dyDescent="0.2">
      <c r="DY23935" s="185" t="s">
        <v>215</v>
      </c>
    </row>
    <row r="23936" spans="129:129" x14ac:dyDescent="0.2">
      <c r="DY23936" s="185" t="s">
        <v>215</v>
      </c>
    </row>
    <row r="23937" spans="129:129" x14ac:dyDescent="0.2">
      <c r="DY23937" s="185" t="s">
        <v>215</v>
      </c>
    </row>
    <row r="23938" spans="129:129" x14ac:dyDescent="0.2">
      <c r="DY23938" s="185" t="s">
        <v>215</v>
      </c>
    </row>
    <row r="23939" spans="129:129" x14ac:dyDescent="0.2">
      <c r="DY23939" s="185" t="s">
        <v>215</v>
      </c>
    </row>
    <row r="23940" spans="129:129" x14ac:dyDescent="0.2">
      <c r="DY23940" s="185" t="s">
        <v>215</v>
      </c>
    </row>
    <row r="23941" spans="129:129" x14ac:dyDescent="0.2">
      <c r="DY23941" s="185" t="s">
        <v>215</v>
      </c>
    </row>
    <row r="23942" spans="129:129" x14ac:dyDescent="0.2">
      <c r="DY23942" s="185" t="s">
        <v>215</v>
      </c>
    </row>
    <row r="23943" spans="129:129" x14ac:dyDescent="0.2">
      <c r="DY23943" s="185" t="s">
        <v>215</v>
      </c>
    </row>
    <row r="23944" spans="129:129" x14ac:dyDescent="0.2">
      <c r="DY23944" s="185" t="s">
        <v>215</v>
      </c>
    </row>
    <row r="23945" spans="129:129" x14ac:dyDescent="0.2">
      <c r="DY23945" s="185" t="s">
        <v>215</v>
      </c>
    </row>
    <row r="23946" spans="129:129" x14ac:dyDescent="0.2">
      <c r="DY23946" s="185" t="s">
        <v>215</v>
      </c>
    </row>
    <row r="23947" spans="129:129" x14ac:dyDescent="0.2">
      <c r="DY23947" s="185" t="s">
        <v>215</v>
      </c>
    </row>
    <row r="23948" spans="129:129" x14ac:dyDescent="0.2">
      <c r="DY23948" s="185" t="s">
        <v>215</v>
      </c>
    </row>
    <row r="23949" spans="129:129" x14ac:dyDescent="0.2">
      <c r="DY23949" s="185" t="s">
        <v>215</v>
      </c>
    </row>
    <row r="23950" spans="129:129" x14ac:dyDescent="0.2">
      <c r="DY23950" s="185" t="s">
        <v>215</v>
      </c>
    </row>
    <row r="23951" spans="129:129" x14ac:dyDescent="0.2">
      <c r="DY23951" s="185" t="s">
        <v>215</v>
      </c>
    </row>
    <row r="23952" spans="129:129" x14ac:dyDescent="0.2">
      <c r="DY23952" s="185" t="s">
        <v>215</v>
      </c>
    </row>
    <row r="23953" spans="129:129" x14ac:dyDescent="0.2">
      <c r="DY23953" s="185" t="s">
        <v>215</v>
      </c>
    </row>
    <row r="23954" spans="129:129" x14ac:dyDescent="0.2">
      <c r="DY23954" s="185" t="s">
        <v>215</v>
      </c>
    </row>
    <row r="23955" spans="129:129" x14ac:dyDescent="0.2">
      <c r="DY23955" s="185" t="s">
        <v>215</v>
      </c>
    </row>
    <row r="23956" spans="129:129" x14ac:dyDescent="0.2">
      <c r="DY23956" s="185" t="s">
        <v>215</v>
      </c>
    </row>
    <row r="23957" spans="129:129" x14ac:dyDescent="0.2">
      <c r="DY23957" s="185" t="s">
        <v>215</v>
      </c>
    </row>
    <row r="23958" spans="129:129" x14ac:dyDescent="0.2">
      <c r="DY23958" s="185" t="s">
        <v>215</v>
      </c>
    </row>
    <row r="23959" spans="129:129" x14ac:dyDescent="0.2">
      <c r="DY23959" s="185" t="s">
        <v>215</v>
      </c>
    </row>
    <row r="23960" spans="129:129" x14ac:dyDescent="0.2">
      <c r="DY23960" s="185" t="s">
        <v>215</v>
      </c>
    </row>
    <row r="23961" spans="129:129" x14ac:dyDescent="0.2">
      <c r="DY23961" s="185" t="s">
        <v>215</v>
      </c>
    </row>
    <row r="23962" spans="129:129" x14ac:dyDescent="0.2">
      <c r="DY23962" s="185" t="s">
        <v>215</v>
      </c>
    </row>
    <row r="23963" spans="129:129" x14ac:dyDescent="0.2">
      <c r="DY23963" s="185" t="s">
        <v>215</v>
      </c>
    </row>
    <row r="23964" spans="129:129" x14ac:dyDescent="0.2">
      <c r="DY23964" s="185" t="s">
        <v>215</v>
      </c>
    </row>
    <row r="23965" spans="129:129" x14ac:dyDescent="0.2">
      <c r="DY23965" s="185" t="s">
        <v>215</v>
      </c>
    </row>
    <row r="23966" spans="129:129" x14ac:dyDescent="0.2">
      <c r="DY23966" s="185" t="s">
        <v>215</v>
      </c>
    </row>
    <row r="23967" spans="129:129" x14ac:dyDescent="0.2">
      <c r="DY23967" s="185" t="s">
        <v>215</v>
      </c>
    </row>
    <row r="23968" spans="129:129" x14ac:dyDescent="0.2">
      <c r="DY23968" s="185" t="s">
        <v>215</v>
      </c>
    </row>
    <row r="23969" spans="129:129" x14ac:dyDescent="0.2">
      <c r="DY23969" s="185" t="s">
        <v>215</v>
      </c>
    </row>
    <row r="23970" spans="129:129" x14ac:dyDescent="0.2">
      <c r="DY23970" s="185" t="s">
        <v>215</v>
      </c>
    </row>
    <row r="23971" spans="129:129" x14ac:dyDescent="0.2">
      <c r="DY23971" s="185" t="s">
        <v>215</v>
      </c>
    </row>
    <row r="23972" spans="129:129" x14ac:dyDescent="0.2">
      <c r="DY23972" s="185" t="s">
        <v>215</v>
      </c>
    </row>
    <row r="23973" spans="129:129" x14ac:dyDescent="0.2">
      <c r="DY23973" s="185" t="s">
        <v>215</v>
      </c>
    </row>
    <row r="23974" spans="129:129" x14ac:dyDescent="0.2">
      <c r="DY23974" s="185" t="s">
        <v>215</v>
      </c>
    </row>
    <row r="23975" spans="129:129" x14ac:dyDescent="0.2">
      <c r="DY23975" s="185" t="s">
        <v>215</v>
      </c>
    </row>
    <row r="23976" spans="129:129" x14ac:dyDescent="0.2">
      <c r="DY23976" s="185" t="s">
        <v>215</v>
      </c>
    </row>
    <row r="23977" spans="129:129" x14ac:dyDescent="0.2">
      <c r="DY23977" s="185" t="s">
        <v>215</v>
      </c>
    </row>
    <row r="23978" spans="129:129" x14ac:dyDescent="0.2">
      <c r="DY23978" s="185" t="s">
        <v>215</v>
      </c>
    </row>
    <row r="23979" spans="129:129" x14ac:dyDescent="0.2">
      <c r="DY23979" s="185" t="s">
        <v>215</v>
      </c>
    </row>
    <row r="23980" spans="129:129" x14ac:dyDescent="0.2">
      <c r="DY23980" s="185" t="s">
        <v>215</v>
      </c>
    </row>
    <row r="23981" spans="129:129" x14ac:dyDescent="0.2">
      <c r="DY23981" s="185" t="s">
        <v>215</v>
      </c>
    </row>
    <row r="23982" spans="129:129" x14ac:dyDescent="0.2">
      <c r="DY23982" s="185" t="s">
        <v>215</v>
      </c>
    </row>
    <row r="23983" spans="129:129" x14ac:dyDescent="0.2">
      <c r="DY23983" s="185" t="s">
        <v>215</v>
      </c>
    </row>
    <row r="23984" spans="129:129" x14ac:dyDescent="0.2">
      <c r="DY23984" s="185" t="s">
        <v>215</v>
      </c>
    </row>
    <row r="23985" spans="129:129" x14ac:dyDescent="0.2">
      <c r="DY23985" s="185" t="s">
        <v>215</v>
      </c>
    </row>
    <row r="23986" spans="129:129" x14ac:dyDescent="0.2">
      <c r="DY23986" s="185" t="s">
        <v>215</v>
      </c>
    </row>
    <row r="23987" spans="129:129" x14ac:dyDescent="0.2">
      <c r="DY23987" s="185" t="s">
        <v>215</v>
      </c>
    </row>
    <row r="23988" spans="129:129" x14ac:dyDescent="0.2">
      <c r="DY23988" s="185" t="s">
        <v>215</v>
      </c>
    </row>
    <row r="23989" spans="129:129" x14ac:dyDescent="0.2">
      <c r="DY23989" s="185" t="s">
        <v>215</v>
      </c>
    </row>
    <row r="23990" spans="129:129" x14ac:dyDescent="0.2">
      <c r="DY23990" s="185" t="s">
        <v>215</v>
      </c>
    </row>
    <row r="23991" spans="129:129" x14ac:dyDescent="0.2">
      <c r="DY23991" s="185" t="s">
        <v>215</v>
      </c>
    </row>
    <row r="23992" spans="129:129" x14ac:dyDescent="0.2">
      <c r="DY23992" s="185" t="s">
        <v>215</v>
      </c>
    </row>
    <row r="23993" spans="129:129" x14ac:dyDescent="0.2">
      <c r="DY23993" s="185" t="s">
        <v>215</v>
      </c>
    </row>
    <row r="23994" spans="129:129" x14ac:dyDescent="0.2">
      <c r="DY23994" s="185" t="s">
        <v>215</v>
      </c>
    </row>
    <row r="23995" spans="129:129" x14ac:dyDescent="0.2">
      <c r="DY23995" s="185" t="s">
        <v>215</v>
      </c>
    </row>
    <row r="23996" spans="129:129" x14ac:dyDescent="0.2">
      <c r="DY23996" s="185" t="s">
        <v>215</v>
      </c>
    </row>
    <row r="23997" spans="129:129" x14ac:dyDescent="0.2">
      <c r="DY23997" s="185" t="s">
        <v>215</v>
      </c>
    </row>
    <row r="23998" spans="129:129" x14ac:dyDescent="0.2">
      <c r="DY23998" s="185" t="s">
        <v>215</v>
      </c>
    </row>
    <row r="23999" spans="129:129" x14ac:dyDescent="0.2">
      <c r="DY23999" s="185" t="s">
        <v>215</v>
      </c>
    </row>
    <row r="24000" spans="129:129" x14ac:dyDescent="0.2">
      <c r="DY24000" s="185" t="s">
        <v>215</v>
      </c>
    </row>
    <row r="24001" spans="129:129" x14ac:dyDescent="0.2">
      <c r="DY24001" s="185" t="s">
        <v>215</v>
      </c>
    </row>
    <row r="24002" spans="129:129" x14ac:dyDescent="0.2">
      <c r="DY24002" s="185" t="s">
        <v>215</v>
      </c>
    </row>
    <row r="24003" spans="129:129" x14ac:dyDescent="0.2">
      <c r="DY24003" s="185" t="s">
        <v>215</v>
      </c>
    </row>
    <row r="24004" spans="129:129" x14ac:dyDescent="0.2">
      <c r="DY24004" s="185" t="s">
        <v>215</v>
      </c>
    </row>
    <row r="24005" spans="129:129" x14ac:dyDescent="0.2">
      <c r="DY24005" s="185" t="s">
        <v>215</v>
      </c>
    </row>
    <row r="24006" spans="129:129" x14ac:dyDescent="0.2">
      <c r="DY24006" s="185" t="s">
        <v>215</v>
      </c>
    </row>
    <row r="24007" spans="129:129" x14ac:dyDescent="0.2">
      <c r="DY24007" s="185" t="s">
        <v>215</v>
      </c>
    </row>
    <row r="24008" spans="129:129" x14ac:dyDescent="0.2">
      <c r="DY24008" s="185" t="s">
        <v>215</v>
      </c>
    </row>
    <row r="24009" spans="129:129" x14ac:dyDescent="0.2">
      <c r="DY24009" s="185" t="s">
        <v>215</v>
      </c>
    </row>
    <row r="24010" spans="129:129" x14ac:dyDescent="0.2">
      <c r="DY24010" s="185" t="s">
        <v>215</v>
      </c>
    </row>
    <row r="24011" spans="129:129" x14ac:dyDescent="0.2">
      <c r="DY24011" s="185" t="s">
        <v>215</v>
      </c>
    </row>
    <row r="24012" spans="129:129" x14ac:dyDescent="0.2">
      <c r="DY24012" s="185" t="s">
        <v>215</v>
      </c>
    </row>
    <row r="24013" spans="129:129" x14ac:dyDescent="0.2">
      <c r="DY24013" s="185" t="s">
        <v>215</v>
      </c>
    </row>
    <row r="24014" spans="129:129" x14ac:dyDescent="0.2">
      <c r="DY24014" s="185" t="s">
        <v>215</v>
      </c>
    </row>
    <row r="24015" spans="129:129" x14ac:dyDescent="0.2">
      <c r="DY24015" s="185" t="s">
        <v>215</v>
      </c>
    </row>
    <row r="24016" spans="129:129" x14ac:dyDescent="0.2">
      <c r="DY24016" s="185" t="s">
        <v>215</v>
      </c>
    </row>
    <row r="24017" spans="129:129" x14ac:dyDescent="0.2">
      <c r="DY24017" s="185" t="s">
        <v>215</v>
      </c>
    </row>
    <row r="24018" spans="129:129" x14ac:dyDescent="0.2">
      <c r="DY24018" s="185" t="s">
        <v>215</v>
      </c>
    </row>
    <row r="24019" spans="129:129" x14ac:dyDescent="0.2">
      <c r="DY24019" s="185" t="s">
        <v>215</v>
      </c>
    </row>
    <row r="24020" spans="129:129" x14ac:dyDescent="0.2">
      <c r="DY24020" s="185" t="s">
        <v>215</v>
      </c>
    </row>
    <row r="24021" spans="129:129" x14ac:dyDescent="0.2">
      <c r="DY24021" s="185" t="s">
        <v>215</v>
      </c>
    </row>
    <row r="24022" spans="129:129" x14ac:dyDescent="0.2">
      <c r="DY24022" s="185" t="s">
        <v>215</v>
      </c>
    </row>
    <row r="24023" spans="129:129" x14ac:dyDescent="0.2">
      <c r="DY24023" s="185" t="s">
        <v>215</v>
      </c>
    </row>
    <row r="24024" spans="129:129" x14ac:dyDescent="0.2">
      <c r="DY24024" s="185" t="s">
        <v>215</v>
      </c>
    </row>
    <row r="24025" spans="129:129" x14ac:dyDescent="0.2">
      <c r="DY24025" s="185" t="s">
        <v>215</v>
      </c>
    </row>
    <row r="24026" spans="129:129" x14ac:dyDescent="0.2">
      <c r="DY24026" s="185" t="s">
        <v>215</v>
      </c>
    </row>
    <row r="24027" spans="129:129" x14ac:dyDescent="0.2">
      <c r="DY24027" s="185" t="s">
        <v>215</v>
      </c>
    </row>
    <row r="24028" spans="129:129" x14ac:dyDescent="0.2">
      <c r="DY24028" s="185" t="s">
        <v>215</v>
      </c>
    </row>
    <row r="24029" spans="129:129" x14ac:dyDescent="0.2">
      <c r="DY24029" s="185" t="s">
        <v>215</v>
      </c>
    </row>
    <row r="24030" spans="129:129" x14ac:dyDescent="0.2">
      <c r="DY24030" s="185" t="s">
        <v>215</v>
      </c>
    </row>
    <row r="24031" spans="129:129" x14ac:dyDescent="0.2">
      <c r="DY24031" s="185" t="s">
        <v>215</v>
      </c>
    </row>
    <row r="24032" spans="129:129" x14ac:dyDescent="0.2">
      <c r="DY24032" s="185" t="s">
        <v>215</v>
      </c>
    </row>
    <row r="24033" spans="129:129" x14ac:dyDescent="0.2">
      <c r="DY24033" s="185" t="s">
        <v>215</v>
      </c>
    </row>
    <row r="24034" spans="129:129" x14ac:dyDescent="0.2">
      <c r="DY24034" s="185" t="s">
        <v>215</v>
      </c>
    </row>
    <row r="24035" spans="129:129" x14ac:dyDescent="0.2">
      <c r="DY24035" s="185" t="s">
        <v>215</v>
      </c>
    </row>
    <row r="24036" spans="129:129" x14ac:dyDescent="0.2">
      <c r="DY24036" s="185" t="s">
        <v>215</v>
      </c>
    </row>
    <row r="24037" spans="129:129" x14ac:dyDescent="0.2">
      <c r="DY24037" s="185" t="s">
        <v>215</v>
      </c>
    </row>
    <row r="24038" spans="129:129" x14ac:dyDescent="0.2">
      <c r="DY24038" s="185" t="s">
        <v>215</v>
      </c>
    </row>
    <row r="24039" spans="129:129" x14ac:dyDescent="0.2">
      <c r="DY24039" s="185" t="s">
        <v>215</v>
      </c>
    </row>
    <row r="24040" spans="129:129" x14ac:dyDescent="0.2">
      <c r="DY24040" s="185" t="s">
        <v>215</v>
      </c>
    </row>
    <row r="24041" spans="129:129" x14ac:dyDescent="0.2">
      <c r="DY24041" s="185" t="s">
        <v>215</v>
      </c>
    </row>
    <row r="24042" spans="129:129" x14ac:dyDescent="0.2">
      <c r="DY24042" s="185" t="s">
        <v>215</v>
      </c>
    </row>
    <row r="24043" spans="129:129" x14ac:dyDescent="0.2">
      <c r="DY24043" s="185" t="s">
        <v>215</v>
      </c>
    </row>
    <row r="24044" spans="129:129" x14ac:dyDescent="0.2">
      <c r="DY24044" s="185" t="s">
        <v>215</v>
      </c>
    </row>
    <row r="24045" spans="129:129" x14ac:dyDescent="0.2">
      <c r="DY24045" s="185" t="s">
        <v>215</v>
      </c>
    </row>
    <row r="24046" spans="129:129" x14ac:dyDescent="0.2">
      <c r="DY24046" s="185" t="s">
        <v>215</v>
      </c>
    </row>
    <row r="24047" spans="129:129" x14ac:dyDescent="0.2">
      <c r="DY24047" s="185" t="s">
        <v>215</v>
      </c>
    </row>
    <row r="24048" spans="129:129" x14ac:dyDescent="0.2">
      <c r="DY24048" s="185" t="s">
        <v>215</v>
      </c>
    </row>
    <row r="24049" spans="129:129" x14ac:dyDescent="0.2">
      <c r="DY24049" s="185" t="s">
        <v>215</v>
      </c>
    </row>
    <row r="24050" spans="129:129" x14ac:dyDescent="0.2">
      <c r="DY24050" s="185" t="s">
        <v>215</v>
      </c>
    </row>
    <row r="24051" spans="129:129" x14ac:dyDescent="0.2">
      <c r="DY24051" s="185" t="s">
        <v>215</v>
      </c>
    </row>
    <row r="24052" spans="129:129" x14ac:dyDescent="0.2">
      <c r="DY24052" s="185" t="s">
        <v>215</v>
      </c>
    </row>
    <row r="24053" spans="129:129" x14ac:dyDescent="0.2">
      <c r="DY24053" s="185" t="s">
        <v>215</v>
      </c>
    </row>
    <row r="24054" spans="129:129" x14ac:dyDescent="0.2">
      <c r="DY24054" s="185" t="s">
        <v>215</v>
      </c>
    </row>
    <row r="24055" spans="129:129" x14ac:dyDescent="0.2">
      <c r="DY24055" s="185" t="s">
        <v>215</v>
      </c>
    </row>
    <row r="24056" spans="129:129" x14ac:dyDescent="0.2">
      <c r="DY24056" s="185" t="s">
        <v>215</v>
      </c>
    </row>
    <row r="24057" spans="129:129" x14ac:dyDescent="0.2">
      <c r="DY24057" s="185" t="s">
        <v>215</v>
      </c>
    </row>
    <row r="24058" spans="129:129" x14ac:dyDescent="0.2">
      <c r="DY24058" s="185" t="s">
        <v>215</v>
      </c>
    </row>
    <row r="24059" spans="129:129" x14ac:dyDescent="0.2">
      <c r="DY24059" s="185" t="s">
        <v>215</v>
      </c>
    </row>
    <row r="24060" spans="129:129" x14ac:dyDescent="0.2">
      <c r="DY24060" s="185" t="s">
        <v>215</v>
      </c>
    </row>
    <row r="24061" spans="129:129" x14ac:dyDescent="0.2">
      <c r="DY24061" s="185" t="s">
        <v>215</v>
      </c>
    </row>
    <row r="24062" spans="129:129" x14ac:dyDescent="0.2">
      <c r="DY24062" s="185" t="s">
        <v>215</v>
      </c>
    </row>
    <row r="24063" spans="129:129" x14ac:dyDescent="0.2">
      <c r="DY24063" s="185" t="s">
        <v>215</v>
      </c>
    </row>
    <row r="24064" spans="129:129" x14ac:dyDescent="0.2">
      <c r="DY24064" s="185" t="s">
        <v>215</v>
      </c>
    </row>
    <row r="24065" spans="129:129" x14ac:dyDescent="0.2">
      <c r="DY24065" s="185" t="s">
        <v>215</v>
      </c>
    </row>
    <row r="24066" spans="129:129" x14ac:dyDescent="0.2">
      <c r="DY24066" s="185" t="s">
        <v>215</v>
      </c>
    </row>
    <row r="24067" spans="129:129" x14ac:dyDescent="0.2">
      <c r="DY24067" s="185" t="s">
        <v>215</v>
      </c>
    </row>
    <row r="24068" spans="129:129" x14ac:dyDescent="0.2">
      <c r="DY24068" s="185" t="s">
        <v>215</v>
      </c>
    </row>
    <row r="24069" spans="129:129" x14ac:dyDescent="0.2">
      <c r="DY24069" s="185" t="s">
        <v>215</v>
      </c>
    </row>
    <row r="24070" spans="129:129" x14ac:dyDescent="0.2">
      <c r="DY24070" s="185" t="s">
        <v>215</v>
      </c>
    </row>
    <row r="24071" spans="129:129" x14ac:dyDescent="0.2">
      <c r="DY24071" s="185" t="s">
        <v>215</v>
      </c>
    </row>
    <row r="24072" spans="129:129" x14ac:dyDescent="0.2">
      <c r="DY24072" s="185" t="s">
        <v>215</v>
      </c>
    </row>
    <row r="24073" spans="129:129" x14ac:dyDescent="0.2">
      <c r="DY24073" s="185" t="s">
        <v>215</v>
      </c>
    </row>
    <row r="24074" spans="129:129" x14ac:dyDescent="0.2">
      <c r="DY24074" s="185" t="s">
        <v>215</v>
      </c>
    </row>
    <row r="24075" spans="129:129" x14ac:dyDescent="0.2">
      <c r="DY24075" s="185" t="s">
        <v>215</v>
      </c>
    </row>
    <row r="24076" spans="129:129" x14ac:dyDescent="0.2">
      <c r="DY24076" s="185" t="s">
        <v>215</v>
      </c>
    </row>
    <row r="24077" spans="129:129" x14ac:dyDescent="0.2">
      <c r="DY24077" s="185" t="s">
        <v>215</v>
      </c>
    </row>
    <row r="24078" spans="129:129" x14ac:dyDescent="0.2">
      <c r="DY24078" s="185" t="s">
        <v>215</v>
      </c>
    </row>
    <row r="24079" spans="129:129" x14ac:dyDescent="0.2">
      <c r="DY24079" s="185" t="s">
        <v>215</v>
      </c>
    </row>
    <row r="24080" spans="129:129" x14ac:dyDescent="0.2">
      <c r="DY24080" s="185" t="s">
        <v>215</v>
      </c>
    </row>
    <row r="24081" spans="129:129" x14ac:dyDescent="0.2">
      <c r="DY24081" s="185" t="s">
        <v>215</v>
      </c>
    </row>
    <row r="24082" spans="129:129" x14ac:dyDescent="0.2">
      <c r="DY24082" s="185" t="s">
        <v>215</v>
      </c>
    </row>
    <row r="24083" spans="129:129" x14ac:dyDescent="0.2">
      <c r="DY24083" s="185" t="s">
        <v>215</v>
      </c>
    </row>
    <row r="24084" spans="129:129" x14ac:dyDescent="0.2">
      <c r="DY24084" s="185" t="s">
        <v>215</v>
      </c>
    </row>
    <row r="24085" spans="129:129" x14ac:dyDescent="0.2">
      <c r="DY24085" s="185" t="s">
        <v>215</v>
      </c>
    </row>
    <row r="24086" spans="129:129" x14ac:dyDescent="0.2">
      <c r="DY24086" s="185" t="s">
        <v>215</v>
      </c>
    </row>
    <row r="24087" spans="129:129" x14ac:dyDescent="0.2">
      <c r="DY24087" s="185" t="s">
        <v>215</v>
      </c>
    </row>
    <row r="24088" spans="129:129" x14ac:dyDescent="0.2">
      <c r="DY24088" s="185" t="s">
        <v>215</v>
      </c>
    </row>
    <row r="24089" spans="129:129" x14ac:dyDescent="0.2">
      <c r="DY24089" s="185" t="s">
        <v>215</v>
      </c>
    </row>
    <row r="24090" spans="129:129" x14ac:dyDescent="0.2">
      <c r="DY24090" s="185" t="s">
        <v>215</v>
      </c>
    </row>
    <row r="24091" spans="129:129" x14ac:dyDescent="0.2">
      <c r="DY24091" s="185" t="s">
        <v>215</v>
      </c>
    </row>
    <row r="24092" spans="129:129" x14ac:dyDescent="0.2">
      <c r="DY24092" s="185" t="s">
        <v>215</v>
      </c>
    </row>
    <row r="24093" spans="129:129" x14ac:dyDescent="0.2">
      <c r="DY24093" s="185" t="s">
        <v>215</v>
      </c>
    </row>
    <row r="24094" spans="129:129" x14ac:dyDescent="0.2">
      <c r="DY24094" s="185" t="s">
        <v>215</v>
      </c>
    </row>
    <row r="24095" spans="129:129" x14ac:dyDescent="0.2">
      <c r="DY24095" s="185" t="s">
        <v>215</v>
      </c>
    </row>
    <row r="24096" spans="129:129" x14ac:dyDescent="0.2">
      <c r="DY24096" s="185" t="s">
        <v>215</v>
      </c>
    </row>
    <row r="24097" spans="129:129" x14ac:dyDescent="0.2">
      <c r="DY24097" s="185" t="s">
        <v>215</v>
      </c>
    </row>
    <row r="24098" spans="129:129" x14ac:dyDescent="0.2">
      <c r="DY24098" s="185" t="s">
        <v>215</v>
      </c>
    </row>
    <row r="24099" spans="129:129" x14ac:dyDescent="0.2">
      <c r="DY24099" s="185" t="s">
        <v>215</v>
      </c>
    </row>
    <row r="24100" spans="129:129" x14ac:dyDescent="0.2">
      <c r="DY24100" s="185" t="s">
        <v>215</v>
      </c>
    </row>
    <row r="24101" spans="129:129" x14ac:dyDescent="0.2">
      <c r="DY24101" s="185" t="s">
        <v>215</v>
      </c>
    </row>
    <row r="24102" spans="129:129" x14ac:dyDescent="0.2">
      <c r="DY24102" s="185" t="s">
        <v>215</v>
      </c>
    </row>
    <row r="24103" spans="129:129" x14ac:dyDescent="0.2">
      <c r="DY24103" s="185" t="s">
        <v>215</v>
      </c>
    </row>
    <row r="24104" spans="129:129" x14ac:dyDescent="0.2">
      <c r="DY24104" s="185" t="s">
        <v>215</v>
      </c>
    </row>
    <row r="24105" spans="129:129" x14ac:dyDescent="0.2">
      <c r="DY24105" s="185" t="s">
        <v>215</v>
      </c>
    </row>
    <row r="24106" spans="129:129" x14ac:dyDescent="0.2">
      <c r="DY24106" s="185" t="s">
        <v>215</v>
      </c>
    </row>
    <row r="24107" spans="129:129" x14ac:dyDescent="0.2">
      <c r="DY24107" s="185" t="s">
        <v>215</v>
      </c>
    </row>
    <row r="24108" spans="129:129" x14ac:dyDescent="0.2">
      <c r="DY24108" s="185" t="s">
        <v>215</v>
      </c>
    </row>
    <row r="24109" spans="129:129" x14ac:dyDescent="0.2">
      <c r="DY24109" s="185" t="s">
        <v>215</v>
      </c>
    </row>
    <row r="24110" spans="129:129" x14ac:dyDescent="0.2">
      <c r="DY24110" s="185" t="s">
        <v>215</v>
      </c>
    </row>
    <row r="24111" spans="129:129" x14ac:dyDescent="0.2">
      <c r="DY24111" s="185" t="s">
        <v>215</v>
      </c>
    </row>
    <row r="24112" spans="129:129" x14ac:dyDescent="0.2">
      <c r="DY24112" s="185" t="s">
        <v>215</v>
      </c>
    </row>
    <row r="24113" spans="129:129" x14ac:dyDescent="0.2">
      <c r="DY24113" s="185" t="s">
        <v>215</v>
      </c>
    </row>
    <row r="24114" spans="129:129" x14ac:dyDescent="0.2">
      <c r="DY24114" s="185" t="s">
        <v>215</v>
      </c>
    </row>
    <row r="24115" spans="129:129" x14ac:dyDescent="0.2">
      <c r="DY24115" s="185" t="s">
        <v>215</v>
      </c>
    </row>
    <row r="24116" spans="129:129" x14ac:dyDescent="0.2">
      <c r="DY24116" s="185" t="s">
        <v>215</v>
      </c>
    </row>
    <row r="24117" spans="129:129" x14ac:dyDescent="0.2">
      <c r="DY24117" s="185" t="s">
        <v>215</v>
      </c>
    </row>
    <row r="24118" spans="129:129" x14ac:dyDescent="0.2">
      <c r="DY24118" s="185" t="s">
        <v>215</v>
      </c>
    </row>
    <row r="24119" spans="129:129" x14ac:dyDescent="0.2">
      <c r="DY24119" s="185" t="s">
        <v>215</v>
      </c>
    </row>
    <row r="24120" spans="129:129" x14ac:dyDescent="0.2">
      <c r="DY24120" s="185" t="s">
        <v>215</v>
      </c>
    </row>
    <row r="24121" spans="129:129" x14ac:dyDescent="0.2">
      <c r="DY24121" s="185" t="s">
        <v>215</v>
      </c>
    </row>
    <row r="24122" spans="129:129" x14ac:dyDescent="0.2">
      <c r="DY24122" s="185" t="s">
        <v>215</v>
      </c>
    </row>
    <row r="24123" spans="129:129" x14ac:dyDescent="0.2">
      <c r="DY24123" s="185" t="s">
        <v>215</v>
      </c>
    </row>
    <row r="24124" spans="129:129" x14ac:dyDescent="0.2">
      <c r="DY24124" s="185" t="s">
        <v>215</v>
      </c>
    </row>
    <row r="24125" spans="129:129" x14ac:dyDescent="0.2">
      <c r="DY24125" s="185" t="s">
        <v>215</v>
      </c>
    </row>
    <row r="24126" spans="129:129" x14ac:dyDescent="0.2">
      <c r="DY24126" s="185" t="s">
        <v>215</v>
      </c>
    </row>
    <row r="24127" spans="129:129" x14ac:dyDescent="0.2">
      <c r="DY24127" s="185" t="s">
        <v>215</v>
      </c>
    </row>
    <row r="24128" spans="129:129" x14ac:dyDescent="0.2">
      <c r="DY24128" s="185" t="s">
        <v>215</v>
      </c>
    </row>
    <row r="24129" spans="129:129" x14ac:dyDescent="0.2">
      <c r="DY24129" s="185" t="s">
        <v>215</v>
      </c>
    </row>
    <row r="24130" spans="129:129" x14ac:dyDescent="0.2">
      <c r="DY24130" s="185" t="s">
        <v>215</v>
      </c>
    </row>
    <row r="24131" spans="129:129" x14ac:dyDescent="0.2">
      <c r="DY24131" s="185" t="s">
        <v>215</v>
      </c>
    </row>
    <row r="24132" spans="129:129" x14ac:dyDescent="0.2">
      <c r="DY24132" s="185" t="s">
        <v>215</v>
      </c>
    </row>
    <row r="24133" spans="129:129" x14ac:dyDescent="0.2">
      <c r="DY24133" s="185" t="s">
        <v>215</v>
      </c>
    </row>
    <row r="24134" spans="129:129" x14ac:dyDescent="0.2">
      <c r="DY24134" s="185" t="s">
        <v>215</v>
      </c>
    </row>
    <row r="24135" spans="129:129" x14ac:dyDescent="0.2">
      <c r="DY24135" s="185" t="s">
        <v>215</v>
      </c>
    </row>
    <row r="24136" spans="129:129" x14ac:dyDescent="0.2">
      <c r="DY24136" s="185" t="s">
        <v>215</v>
      </c>
    </row>
    <row r="24137" spans="129:129" x14ac:dyDescent="0.2">
      <c r="DY24137" s="185" t="s">
        <v>215</v>
      </c>
    </row>
    <row r="24138" spans="129:129" x14ac:dyDescent="0.2">
      <c r="DY24138" s="185" t="s">
        <v>215</v>
      </c>
    </row>
    <row r="24139" spans="129:129" x14ac:dyDescent="0.2">
      <c r="DY24139" s="185" t="s">
        <v>215</v>
      </c>
    </row>
    <row r="24140" spans="129:129" x14ac:dyDescent="0.2">
      <c r="DY24140" s="185" t="s">
        <v>215</v>
      </c>
    </row>
    <row r="24141" spans="129:129" x14ac:dyDescent="0.2">
      <c r="DY24141" s="185" t="s">
        <v>215</v>
      </c>
    </row>
    <row r="24142" spans="129:129" x14ac:dyDescent="0.2">
      <c r="DY24142" s="185" t="s">
        <v>215</v>
      </c>
    </row>
    <row r="24143" spans="129:129" x14ac:dyDescent="0.2">
      <c r="DY24143" s="185" t="s">
        <v>215</v>
      </c>
    </row>
    <row r="24144" spans="129:129" x14ac:dyDescent="0.2">
      <c r="DY24144" s="185" t="s">
        <v>215</v>
      </c>
    </row>
    <row r="24145" spans="129:129" x14ac:dyDescent="0.2">
      <c r="DY24145" s="185" t="s">
        <v>215</v>
      </c>
    </row>
    <row r="24146" spans="129:129" x14ac:dyDescent="0.2">
      <c r="DY24146" s="185" t="s">
        <v>215</v>
      </c>
    </row>
    <row r="24147" spans="129:129" x14ac:dyDescent="0.2">
      <c r="DY24147" s="185" t="s">
        <v>215</v>
      </c>
    </row>
    <row r="24148" spans="129:129" x14ac:dyDescent="0.2">
      <c r="DY24148" s="185" t="s">
        <v>215</v>
      </c>
    </row>
    <row r="24149" spans="129:129" x14ac:dyDescent="0.2">
      <c r="DY24149" s="185" t="s">
        <v>215</v>
      </c>
    </row>
    <row r="24150" spans="129:129" x14ac:dyDescent="0.2">
      <c r="DY24150" s="185" t="s">
        <v>215</v>
      </c>
    </row>
    <row r="24151" spans="129:129" x14ac:dyDescent="0.2">
      <c r="DY24151" s="185" t="s">
        <v>215</v>
      </c>
    </row>
    <row r="24152" spans="129:129" x14ac:dyDescent="0.2">
      <c r="DY24152" s="185" t="s">
        <v>215</v>
      </c>
    </row>
    <row r="24153" spans="129:129" x14ac:dyDescent="0.2">
      <c r="DY24153" s="185" t="s">
        <v>215</v>
      </c>
    </row>
    <row r="24154" spans="129:129" x14ac:dyDescent="0.2">
      <c r="DY24154" s="185" t="s">
        <v>215</v>
      </c>
    </row>
    <row r="24155" spans="129:129" x14ac:dyDescent="0.2">
      <c r="DY24155" s="185" t="s">
        <v>215</v>
      </c>
    </row>
    <row r="24156" spans="129:129" x14ac:dyDescent="0.2">
      <c r="DY24156" s="185" t="s">
        <v>215</v>
      </c>
    </row>
    <row r="24157" spans="129:129" x14ac:dyDescent="0.2">
      <c r="DY24157" s="185" t="s">
        <v>215</v>
      </c>
    </row>
    <row r="24158" spans="129:129" x14ac:dyDescent="0.2">
      <c r="DY24158" s="185" t="s">
        <v>215</v>
      </c>
    </row>
    <row r="24159" spans="129:129" x14ac:dyDescent="0.2">
      <c r="DY24159" s="185" t="s">
        <v>215</v>
      </c>
    </row>
    <row r="24160" spans="129:129" x14ac:dyDescent="0.2">
      <c r="DY24160" s="185" t="s">
        <v>215</v>
      </c>
    </row>
    <row r="24161" spans="129:129" x14ac:dyDescent="0.2">
      <c r="DY24161" s="185" t="s">
        <v>215</v>
      </c>
    </row>
    <row r="24162" spans="129:129" x14ac:dyDescent="0.2">
      <c r="DY24162" s="185" t="s">
        <v>215</v>
      </c>
    </row>
    <row r="24163" spans="129:129" x14ac:dyDescent="0.2">
      <c r="DY24163" s="185" t="s">
        <v>215</v>
      </c>
    </row>
    <row r="24164" spans="129:129" x14ac:dyDescent="0.2">
      <c r="DY24164" s="185" t="s">
        <v>215</v>
      </c>
    </row>
    <row r="24165" spans="129:129" x14ac:dyDescent="0.2">
      <c r="DY24165" s="185" t="s">
        <v>215</v>
      </c>
    </row>
    <row r="24166" spans="129:129" x14ac:dyDescent="0.2">
      <c r="DY24166" s="185" t="s">
        <v>215</v>
      </c>
    </row>
    <row r="24167" spans="129:129" x14ac:dyDescent="0.2">
      <c r="DY24167" s="185" t="s">
        <v>215</v>
      </c>
    </row>
    <row r="24168" spans="129:129" x14ac:dyDescent="0.2">
      <c r="DY24168" s="185" t="s">
        <v>215</v>
      </c>
    </row>
    <row r="24169" spans="129:129" x14ac:dyDescent="0.2">
      <c r="DY24169" s="185" t="s">
        <v>215</v>
      </c>
    </row>
    <row r="24170" spans="129:129" x14ac:dyDescent="0.2">
      <c r="DY24170" s="185" t="s">
        <v>215</v>
      </c>
    </row>
    <row r="24171" spans="129:129" x14ac:dyDescent="0.2">
      <c r="DY24171" s="185" t="s">
        <v>215</v>
      </c>
    </row>
    <row r="24172" spans="129:129" x14ac:dyDescent="0.2">
      <c r="DY24172" s="185" t="s">
        <v>215</v>
      </c>
    </row>
    <row r="24173" spans="129:129" x14ac:dyDescent="0.2">
      <c r="DY24173" s="185" t="s">
        <v>215</v>
      </c>
    </row>
    <row r="24174" spans="129:129" x14ac:dyDescent="0.2">
      <c r="DY24174" s="185" t="s">
        <v>215</v>
      </c>
    </row>
    <row r="24175" spans="129:129" x14ac:dyDescent="0.2">
      <c r="DY24175" s="185" t="s">
        <v>215</v>
      </c>
    </row>
    <row r="24176" spans="129:129" x14ac:dyDescent="0.2">
      <c r="DY24176" s="185" t="s">
        <v>215</v>
      </c>
    </row>
    <row r="24177" spans="129:129" x14ac:dyDescent="0.2">
      <c r="DY24177" s="185" t="s">
        <v>215</v>
      </c>
    </row>
    <row r="24178" spans="129:129" x14ac:dyDescent="0.2">
      <c r="DY24178" s="185" t="s">
        <v>215</v>
      </c>
    </row>
    <row r="24179" spans="129:129" x14ac:dyDescent="0.2">
      <c r="DY24179" s="185" t="s">
        <v>215</v>
      </c>
    </row>
    <row r="24180" spans="129:129" x14ac:dyDescent="0.2">
      <c r="DY24180" s="185" t="s">
        <v>215</v>
      </c>
    </row>
    <row r="24181" spans="129:129" x14ac:dyDescent="0.2">
      <c r="DY24181" s="185" t="s">
        <v>215</v>
      </c>
    </row>
    <row r="24182" spans="129:129" x14ac:dyDescent="0.2">
      <c r="DY24182" s="185" t="s">
        <v>215</v>
      </c>
    </row>
    <row r="24183" spans="129:129" x14ac:dyDescent="0.2">
      <c r="DY24183" s="185" t="s">
        <v>215</v>
      </c>
    </row>
    <row r="24184" spans="129:129" x14ac:dyDescent="0.2">
      <c r="DY24184" s="185" t="s">
        <v>215</v>
      </c>
    </row>
    <row r="24185" spans="129:129" x14ac:dyDescent="0.2">
      <c r="DY24185" s="185" t="s">
        <v>215</v>
      </c>
    </row>
    <row r="24186" spans="129:129" x14ac:dyDescent="0.2">
      <c r="DY24186" s="185" t="s">
        <v>215</v>
      </c>
    </row>
    <row r="24187" spans="129:129" x14ac:dyDescent="0.2">
      <c r="DY24187" s="185" t="s">
        <v>215</v>
      </c>
    </row>
    <row r="24188" spans="129:129" x14ac:dyDescent="0.2">
      <c r="DY24188" s="185" t="s">
        <v>215</v>
      </c>
    </row>
    <row r="24189" spans="129:129" x14ac:dyDescent="0.2">
      <c r="DY24189" s="185" t="s">
        <v>215</v>
      </c>
    </row>
    <row r="24190" spans="129:129" x14ac:dyDescent="0.2">
      <c r="DY24190" s="185" t="s">
        <v>215</v>
      </c>
    </row>
    <row r="24191" spans="129:129" x14ac:dyDescent="0.2">
      <c r="DY24191" s="185" t="s">
        <v>215</v>
      </c>
    </row>
    <row r="24192" spans="129:129" x14ac:dyDescent="0.2">
      <c r="DY24192" s="185" t="s">
        <v>215</v>
      </c>
    </row>
    <row r="24193" spans="129:129" x14ac:dyDescent="0.2">
      <c r="DY24193" s="185" t="s">
        <v>215</v>
      </c>
    </row>
    <row r="24194" spans="129:129" x14ac:dyDescent="0.2">
      <c r="DY24194" s="185" t="s">
        <v>215</v>
      </c>
    </row>
    <row r="24195" spans="129:129" x14ac:dyDescent="0.2">
      <c r="DY24195" s="185" t="s">
        <v>215</v>
      </c>
    </row>
    <row r="24196" spans="129:129" x14ac:dyDescent="0.2">
      <c r="DY24196" s="185" t="s">
        <v>215</v>
      </c>
    </row>
    <row r="24197" spans="129:129" x14ac:dyDescent="0.2">
      <c r="DY24197" s="185" t="s">
        <v>215</v>
      </c>
    </row>
    <row r="24198" spans="129:129" x14ac:dyDescent="0.2">
      <c r="DY24198" s="185" t="s">
        <v>215</v>
      </c>
    </row>
    <row r="24199" spans="129:129" x14ac:dyDescent="0.2">
      <c r="DY24199" s="185" t="s">
        <v>215</v>
      </c>
    </row>
    <row r="24200" spans="129:129" x14ac:dyDescent="0.2">
      <c r="DY24200" s="185" t="s">
        <v>215</v>
      </c>
    </row>
    <row r="24201" spans="129:129" x14ac:dyDescent="0.2">
      <c r="DY24201" s="185" t="s">
        <v>215</v>
      </c>
    </row>
    <row r="24202" spans="129:129" x14ac:dyDescent="0.2">
      <c r="DY24202" s="185" t="s">
        <v>215</v>
      </c>
    </row>
    <row r="24203" spans="129:129" x14ac:dyDescent="0.2">
      <c r="DY24203" s="185" t="s">
        <v>215</v>
      </c>
    </row>
    <row r="24204" spans="129:129" x14ac:dyDescent="0.2">
      <c r="DY24204" s="185" t="s">
        <v>215</v>
      </c>
    </row>
    <row r="24205" spans="129:129" x14ac:dyDescent="0.2">
      <c r="DY24205" s="185" t="s">
        <v>215</v>
      </c>
    </row>
    <row r="24206" spans="129:129" x14ac:dyDescent="0.2">
      <c r="DY24206" s="185" t="s">
        <v>215</v>
      </c>
    </row>
    <row r="24207" spans="129:129" x14ac:dyDescent="0.2">
      <c r="DY24207" s="185" t="s">
        <v>215</v>
      </c>
    </row>
    <row r="24208" spans="129:129" x14ac:dyDescent="0.2">
      <c r="DY24208" s="185" t="s">
        <v>215</v>
      </c>
    </row>
    <row r="24209" spans="129:129" x14ac:dyDescent="0.2">
      <c r="DY24209" s="185" t="s">
        <v>215</v>
      </c>
    </row>
    <row r="24210" spans="129:129" x14ac:dyDescent="0.2">
      <c r="DY24210" s="185" t="s">
        <v>215</v>
      </c>
    </row>
    <row r="24211" spans="129:129" x14ac:dyDescent="0.2">
      <c r="DY24211" s="185" t="s">
        <v>215</v>
      </c>
    </row>
    <row r="24212" spans="129:129" x14ac:dyDescent="0.2">
      <c r="DY24212" s="185" t="s">
        <v>215</v>
      </c>
    </row>
    <row r="24213" spans="129:129" x14ac:dyDescent="0.2">
      <c r="DY24213" s="185" t="s">
        <v>215</v>
      </c>
    </row>
    <row r="24214" spans="129:129" x14ac:dyDescent="0.2">
      <c r="DY24214" s="185" t="s">
        <v>215</v>
      </c>
    </row>
    <row r="24215" spans="129:129" x14ac:dyDescent="0.2">
      <c r="DY24215" s="185" t="s">
        <v>215</v>
      </c>
    </row>
    <row r="24216" spans="129:129" x14ac:dyDescent="0.2">
      <c r="DY24216" s="185" t="s">
        <v>215</v>
      </c>
    </row>
    <row r="24217" spans="129:129" x14ac:dyDescent="0.2">
      <c r="DY24217" s="185" t="s">
        <v>215</v>
      </c>
    </row>
    <row r="24218" spans="129:129" x14ac:dyDescent="0.2">
      <c r="DY24218" s="185" t="s">
        <v>215</v>
      </c>
    </row>
    <row r="24219" spans="129:129" x14ac:dyDescent="0.2">
      <c r="DY24219" s="185" t="s">
        <v>215</v>
      </c>
    </row>
    <row r="24220" spans="129:129" x14ac:dyDescent="0.2">
      <c r="DY24220" s="185" t="s">
        <v>215</v>
      </c>
    </row>
    <row r="24221" spans="129:129" x14ac:dyDescent="0.2">
      <c r="DY24221" s="185" t="s">
        <v>215</v>
      </c>
    </row>
    <row r="24222" spans="129:129" x14ac:dyDescent="0.2">
      <c r="DY24222" s="185" t="s">
        <v>215</v>
      </c>
    </row>
    <row r="24223" spans="129:129" x14ac:dyDescent="0.2">
      <c r="DY24223" s="185" t="s">
        <v>215</v>
      </c>
    </row>
    <row r="24224" spans="129:129" x14ac:dyDescent="0.2">
      <c r="DY24224" s="185" t="s">
        <v>215</v>
      </c>
    </row>
    <row r="24225" spans="129:129" x14ac:dyDescent="0.2">
      <c r="DY24225" s="185" t="s">
        <v>215</v>
      </c>
    </row>
    <row r="24226" spans="129:129" x14ac:dyDescent="0.2">
      <c r="DY24226" s="185" t="s">
        <v>215</v>
      </c>
    </row>
    <row r="24227" spans="129:129" x14ac:dyDescent="0.2">
      <c r="DY24227" s="185" t="s">
        <v>215</v>
      </c>
    </row>
    <row r="24228" spans="129:129" x14ac:dyDescent="0.2">
      <c r="DY24228" s="185" t="s">
        <v>215</v>
      </c>
    </row>
    <row r="24229" spans="129:129" x14ac:dyDescent="0.2">
      <c r="DY24229" s="185" t="s">
        <v>215</v>
      </c>
    </row>
    <row r="24230" spans="129:129" x14ac:dyDescent="0.2">
      <c r="DY24230" s="185" t="s">
        <v>215</v>
      </c>
    </row>
    <row r="24231" spans="129:129" x14ac:dyDescent="0.2">
      <c r="DY24231" s="185" t="s">
        <v>215</v>
      </c>
    </row>
    <row r="24232" spans="129:129" x14ac:dyDescent="0.2">
      <c r="DY24232" s="185" t="s">
        <v>215</v>
      </c>
    </row>
    <row r="24233" spans="129:129" x14ac:dyDescent="0.2">
      <c r="DY24233" s="185" t="s">
        <v>215</v>
      </c>
    </row>
    <row r="24234" spans="129:129" x14ac:dyDescent="0.2">
      <c r="DY24234" s="185" t="s">
        <v>215</v>
      </c>
    </row>
    <row r="24235" spans="129:129" x14ac:dyDescent="0.2">
      <c r="DY24235" s="185" t="s">
        <v>215</v>
      </c>
    </row>
    <row r="24236" spans="129:129" x14ac:dyDescent="0.2">
      <c r="DY24236" s="185" t="s">
        <v>215</v>
      </c>
    </row>
    <row r="24237" spans="129:129" x14ac:dyDescent="0.2">
      <c r="DY24237" s="185" t="s">
        <v>215</v>
      </c>
    </row>
    <row r="24238" spans="129:129" x14ac:dyDescent="0.2">
      <c r="DY24238" s="185" t="s">
        <v>215</v>
      </c>
    </row>
    <row r="24239" spans="129:129" x14ac:dyDescent="0.2">
      <c r="DY24239" s="185" t="s">
        <v>215</v>
      </c>
    </row>
    <row r="24240" spans="129:129" x14ac:dyDescent="0.2">
      <c r="DY24240" s="185" t="s">
        <v>215</v>
      </c>
    </row>
    <row r="24241" spans="129:129" x14ac:dyDescent="0.2">
      <c r="DY24241" s="185" t="s">
        <v>215</v>
      </c>
    </row>
    <row r="24242" spans="129:129" x14ac:dyDescent="0.2">
      <c r="DY24242" s="185" t="s">
        <v>215</v>
      </c>
    </row>
    <row r="24243" spans="129:129" x14ac:dyDescent="0.2">
      <c r="DY24243" s="185" t="s">
        <v>215</v>
      </c>
    </row>
    <row r="24244" spans="129:129" x14ac:dyDescent="0.2">
      <c r="DY24244" s="185" t="s">
        <v>215</v>
      </c>
    </row>
    <row r="24245" spans="129:129" x14ac:dyDescent="0.2">
      <c r="DY24245" s="185" t="s">
        <v>215</v>
      </c>
    </row>
    <row r="24246" spans="129:129" x14ac:dyDescent="0.2">
      <c r="DY24246" s="185" t="s">
        <v>215</v>
      </c>
    </row>
    <row r="24247" spans="129:129" x14ac:dyDescent="0.2">
      <c r="DY24247" s="185" t="s">
        <v>215</v>
      </c>
    </row>
    <row r="24248" spans="129:129" x14ac:dyDescent="0.2">
      <c r="DY24248" s="185" t="s">
        <v>215</v>
      </c>
    </row>
    <row r="24249" spans="129:129" x14ac:dyDescent="0.2">
      <c r="DY24249" s="185" t="s">
        <v>215</v>
      </c>
    </row>
    <row r="24250" spans="129:129" x14ac:dyDescent="0.2">
      <c r="DY24250" s="185" t="s">
        <v>215</v>
      </c>
    </row>
    <row r="24251" spans="129:129" x14ac:dyDescent="0.2">
      <c r="DY24251" s="185" t="s">
        <v>215</v>
      </c>
    </row>
    <row r="24252" spans="129:129" x14ac:dyDescent="0.2">
      <c r="DY24252" s="185" t="s">
        <v>215</v>
      </c>
    </row>
    <row r="24253" spans="129:129" x14ac:dyDescent="0.2">
      <c r="DY24253" s="185" t="s">
        <v>215</v>
      </c>
    </row>
    <row r="24254" spans="129:129" x14ac:dyDescent="0.2">
      <c r="DY24254" s="185" t="s">
        <v>215</v>
      </c>
    </row>
    <row r="24255" spans="129:129" x14ac:dyDescent="0.2">
      <c r="DY24255" s="185" t="s">
        <v>215</v>
      </c>
    </row>
    <row r="24256" spans="129:129" x14ac:dyDescent="0.2">
      <c r="DY24256" s="185" t="s">
        <v>215</v>
      </c>
    </row>
    <row r="24257" spans="129:129" x14ac:dyDescent="0.2">
      <c r="DY24257" s="185" t="s">
        <v>215</v>
      </c>
    </row>
    <row r="24258" spans="129:129" x14ac:dyDescent="0.2">
      <c r="DY24258" s="185" t="s">
        <v>215</v>
      </c>
    </row>
    <row r="24259" spans="129:129" x14ac:dyDescent="0.2">
      <c r="DY24259" s="185" t="s">
        <v>215</v>
      </c>
    </row>
    <row r="24260" spans="129:129" x14ac:dyDescent="0.2">
      <c r="DY24260" s="185" t="s">
        <v>215</v>
      </c>
    </row>
    <row r="24261" spans="129:129" x14ac:dyDescent="0.2">
      <c r="DY24261" s="185" t="s">
        <v>215</v>
      </c>
    </row>
    <row r="24262" spans="129:129" x14ac:dyDescent="0.2">
      <c r="DY24262" s="185" t="s">
        <v>215</v>
      </c>
    </row>
    <row r="24263" spans="129:129" x14ac:dyDescent="0.2">
      <c r="DY24263" s="185" t="s">
        <v>215</v>
      </c>
    </row>
    <row r="24264" spans="129:129" x14ac:dyDescent="0.2">
      <c r="DY24264" s="185" t="s">
        <v>215</v>
      </c>
    </row>
    <row r="24265" spans="129:129" x14ac:dyDescent="0.2">
      <c r="DY24265" s="185" t="s">
        <v>215</v>
      </c>
    </row>
    <row r="24266" spans="129:129" x14ac:dyDescent="0.2">
      <c r="DY24266" s="185" t="s">
        <v>215</v>
      </c>
    </row>
    <row r="24267" spans="129:129" x14ac:dyDescent="0.2">
      <c r="DY24267" s="185" t="s">
        <v>215</v>
      </c>
    </row>
    <row r="24268" spans="129:129" x14ac:dyDescent="0.2">
      <c r="DY24268" s="185" t="s">
        <v>215</v>
      </c>
    </row>
    <row r="24269" spans="129:129" x14ac:dyDescent="0.2">
      <c r="DY24269" s="185" t="s">
        <v>215</v>
      </c>
    </row>
    <row r="24270" spans="129:129" x14ac:dyDescent="0.2">
      <c r="DY24270" s="185" t="s">
        <v>215</v>
      </c>
    </row>
    <row r="24271" spans="129:129" x14ac:dyDescent="0.2">
      <c r="DY24271" s="185" t="s">
        <v>215</v>
      </c>
    </row>
    <row r="24272" spans="129:129" x14ac:dyDescent="0.2">
      <c r="DY24272" s="185" t="s">
        <v>215</v>
      </c>
    </row>
    <row r="24273" spans="129:129" x14ac:dyDescent="0.2">
      <c r="DY24273" s="185" t="s">
        <v>215</v>
      </c>
    </row>
    <row r="24274" spans="129:129" x14ac:dyDescent="0.2">
      <c r="DY24274" s="185" t="s">
        <v>215</v>
      </c>
    </row>
    <row r="24275" spans="129:129" x14ac:dyDescent="0.2">
      <c r="DY24275" s="185" t="s">
        <v>215</v>
      </c>
    </row>
    <row r="24276" spans="129:129" x14ac:dyDescent="0.2">
      <c r="DY24276" s="185" t="s">
        <v>215</v>
      </c>
    </row>
    <row r="24277" spans="129:129" x14ac:dyDescent="0.2">
      <c r="DY24277" s="185" t="s">
        <v>215</v>
      </c>
    </row>
    <row r="24278" spans="129:129" x14ac:dyDescent="0.2">
      <c r="DY24278" s="185" t="s">
        <v>215</v>
      </c>
    </row>
    <row r="24279" spans="129:129" x14ac:dyDescent="0.2">
      <c r="DY24279" s="185" t="s">
        <v>215</v>
      </c>
    </row>
    <row r="24280" spans="129:129" x14ac:dyDescent="0.2">
      <c r="DY24280" s="185" t="s">
        <v>215</v>
      </c>
    </row>
    <row r="24281" spans="129:129" x14ac:dyDescent="0.2">
      <c r="DY24281" s="185" t="s">
        <v>215</v>
      </c>
    </row>
    <row r="24282" spans="129:129" x14ac:dyDescent="0.2">
      <c r="DY24282" s="185" t="s">
        <v>215</v>
      </c>
    </row>
    <row r="24283" spans="129:129" x14ac:dyDescent="0.2">
      <c r="DY24283" s="185" t="s">
        <v>215</v>
      </c>
    </row>
    <row r="24284" spans="129:129" x14ac:dyDescent="0.2">
      <c r="DY24284" s="185" t="s">
        <v>215</v>
      </c>
    </row>
    <row r="24285" spans="129:129" x14ac:dyDescent="0.2">
      <c r="DY24285" s="185" t="s">
        <v>215</v>
      </c>
    </row>
    <row r="24286" spans="129:129" x14ac:dyDescent="0.2">
      <c r="DY24286" s="185" t="s">
        <v>215</v>
      </c>
    </row>
    <row r="24287" spans="129:129" x14ac:dyDescent="0.2">
      <c r="DY24287" s="185" t="s">
        <v>215</v>
      </c>
    </row>
    <row r="24288" spans="129:129" x14ac:dyDescent="0.2">
      <c r="DY24288" s="185" t="s">
        <v>215</v>
      </c>
    </row>
    <row r="24289" spans="129:129" x14ac:dyDescent="0.2">
      <c r="DY24289" s="185" t="s">
        <v>215</v>
      </c>
    </row>
    <row r="24290" spans="129:129" x14ac:dyDescent="0.2">
      <c r="DY24290" s="185" t="s">
        <v>215</v>
      </c>
    </row>
    <row r="24291" spans="129:129" x14ac:dyDescent="0.2">
      <c r="DY24291" s="185" t="s">
        <v>215</v>
      </c>
    </row>
    <row r="24292" spans="129:129" x14ac:dyDescent="0.2">
      <c r="DY24292" s="185" t="s">
        <v>215</v>
      </c>
    </row>
    <row r="24293" spans="129:129" x14ac:dyDescent="0.2">
      <c r="DY24293" s="185" t="s">
        <v>215</v>
      </c>
    </row>
    <row r="24294" spans="129:129" x14ac:dyDescent="0.2">
      <c r="DY24294" s="185" t="s">
        <v>215</v>
      </c>
    </row>
    <row r="24295" spans="129:129" x14ac:dyDescent="0.2">
      <c r="DY24295" s="185" t="s">
        <v>215</v>
      </c>
    </row>
    <row r="24296" spans="129:129" x14ac:dyDescent="0.2">
      <c r="DY24296" s="185" t="s">
        <v>215</v>
      </c>
    </row>
    <row r="24297" spans="129:129" x14ac:dyDescent="0.2">
      <c r="DY24297" s="185" t="s">
        <v>215</v>
      </c>
    </row>
    <row r="24298" spans="129:129" x14ac:dyDescent="0.2">
      <c r="DY24298" s="185" t="s">
        <v>215</v>
      </c>
    </row>
    <row r="24299" spans="129:129" x14ac:dyDescent="0.2">
      <c r="DY24299" s="185" t="s">
        <v>215</v>
      </c>
    </row>
    <row r="24300" spans="129:129" x14ac:dyDescent="0.2">
      <c r="DY24300" s="185" t="s">
        <v>215</v>
      </c>
    </row>
    <row r="24301" spans="129:129" x14ac:dyDescent="0.2">
      <c r="DY24301" s="185" t="s">
        <v>215</v>
      </c>
    </row>
    <row r="24302" spans="129:129" x14ac:dyDescent="0.2">
      <c r="DY24302" s="185" t="s">
        <v>215</v>
      </c>
    </row>
    <row r="24303" spans="129:129" x14ac:dyDescent="0.2">
      <c r="DY24303" s="185" t="s">
        <v>215</v>
      </c>
    </row>
    <row r="24304" spans="129:129" x14ac:dyDescent="0.2">
      <c r="DY24304" s="185" t="s">
        <v>215</v>
      </c>
    </row>
    <row r="24305" spans="129:129" x14ac:dyDescent="0.2">
      <c r="DY24305" s="185" t="s">
        <v>215</v>
      </c>
    </row>
    <row r="24306" spans="129:129" x14ac:dyDescent="0.2">
      <c r="DY24306" s="185" t="s">
        <v>215</v>
      </c>
    </row>
    <row r="24307" spans="129:129" x14ac:dyDescent="0.2">
      <c r="DY24307" s="185" t="s">
        <v>215</v>
      </c>
    </row>
    <row r="24308" spans="129:129" x14ac:dyDescent="0.2">
      <c r="DY24308" s="185" t="s">
        <v>215</v>
      </c>
    </row>
    <row r="24309" spans="129:129" x14ac:dyDescent="0.2">
      <c r="DY24309" s="185" t="s">
        <v>215</v>
      </c>
    </row>
    <row r="24310" spans="129:129" x14ac:dyDescent="0.2">
      <c r="DY24310" s="185" t="s">
        <v>215</v>
      </c>
    </row>
    <row r="24311" spans="129:129" x14ac:dyDescent="0.2">
      <c r="DY24311" s="185" t="s">
        <v>215</v>
      </c>
    </row>
    <row r="24312" spans="129:129" x14ac:dyDescent="0.2">
      <c r="DY24312" s="185" t="s">
        <v>215</v>
      </c>
    </row>
    <row r="24313" spans="129:129" x14ac:dyDescent="0.2">
      <c r="DY24313" s="185" t="s">
        <v>215</v>
      </c>
    </row>
    <row r="24314" spans="129:129" x14ac:dyDescent="0.2">
      <c r="DY24314" s="185" t="s">
        <v>215</v>
      </c>
    </row>
    <row r="24315" spans="129:129" x14ac:dyDescent="0.2">
      <c r="DY24315" s="185" t="s">
        <v>215</v>
      </c>
    </row>
    <row r="24316" spans="129:129" x14ac:dyDescent="0.2">
      <c r="DY24316" s="185" t="s">
        <v>215</v>
      </c>
    </row>
    <row r="24317" spans="129:129" x14ac:dyDescent="0.2">
      <c r="DY24317" s="185" t="s">
        <v>215</v>
      </c>
    </row>
    <row r="24318" spans="129:129" x14ac:dyDescent="0.2">
      <c r="DY24318" s="185" t="s">
        <v>215</v>
      </c>
    </row>
    <row r="24319" spans="129:129" x14ac:dyDescent="0.2">
      <c r="DY24319" s="185" t="s">
        <v>215</v>
      </c>
    </row>
    <row r="24320" spans="129:129" x14ac:dyDescent="0.2">
      <c r="DY24320" s="185" t="s">
        <v>215</v>
      </c>
    </row>
    <row r="24321" spans="129:129" x14ac:dyDescent="0.2">
      <c r="DY24321" s="185" t="s">
        <v>215</v>
      </c>
    </row>
    <row r="24322" spans="129:129" x14ac:dyDescent="0.2">
      <c r="DY24322" s="185" t="s">
        <v>215</v>
      </c>
    </row>
    <row r="24323" spans="129:129" x14ac:dyDescent="0.2">
      <c r="DY24323" s="185" t="s">
        <v>215</v>
      </c>
    </row>
    <row r="24324" spans="129:129" x14ac:dyDescent="0.2">
      <c r="DY24324" s="185" t="s">
        <v>215</v>
      </c>
    </row>
    <row r="24325" spans="129:129" x14ac:dyDescent="0.2">
      <c r="DY24325" s="185" t="s">
        <v>215</v>
      </c>
    </row>
    <row r="24326" spans="129:129" x14ac:dyDescent="0.2">
      <c r="DY24326" s="185" t="s">
        <v>215</v>
      </c>
    </row>
    <row r="24327" spans="129:129" x14ac:dyDescent="0.2">
      <c r="DY24327" s="185" t="s">
        <v>215</v>
      </c>
    </row>
    <row r="24328" spans="129:129" x14ac:dyDescent="0.2">
      <c r="DY24328" s="185" t="s">
        <v>215</v>
      </c>
    </row>
    <row r="24329" spans="129:129" x14ac:dyDescent="0.2">
      <c r="DY24329" s="185" t="s">
        <v>215</v>
      </c>
    </row>
    <row r="24330" spans="129:129" x14ac:dyDescent="0.2">
      <c r="DY24330" s="185" t="s">
        <v>215</v>
      </c>
    </row>
    <row r="24331" spans="129:129" x14ac:dyDescent="0.2">
      <c r="DY24331" s="185" t="s">
        <v>215</v>
      </c>
    </row>
    <row r="24332" spans="129:129" x14ac:dyDescent="0.2">
      <c r="DY24332" s="185" t="s">
        <v>215</v>
      </c>
    </row>
    <row r="24333" spans="129:129" x14ac:dyDescent="0.2">
      <c r="DY24333" s="185" t="s">
        <v>215</v>
      </c>
    </row>
    <row r="24334" spans="129:129" x14ac:dyDescent="0.2">
      <c r="DY24334" s="185" t="s">
        <v>215</v>
      </c>
    </row>
    <row r="24335" spans="129:129" x14ac:dyDescent="0.2">
      <c r="DY24335" s="185" t="s">
        <v>215</v>
      </c>
    </row>
    <row r="24336" spans="129:129" x14ac:dyDescent="0.2">
      <c r="DY24336" s="185" t="s">
        <v>215</v>
      </c>
    </row>
    <row r="24337" spans="129:129" x14ac:dyDescent="0.2">
      <c r="DY24337" s="185" t="s">
        <v>215</v>
      </c>
    </row>
    <row r="24338" spans="129:129" x14ac:dyDescent="0.2">
      <c r="DY24338" s="185" t="s">
        <v>215</v>
      </c>
    </row>
    <row r="24339" spans="129:129" x14ac:dyDescent="0.2">
      <c r="DY24339" s="185" t="s">
        <v>215</v>
      </c>
    </row>
    <row r="24340" spans="129:129" x14ac:dyDescent="0.2">
      <c r="DY24340" s="185" t="s">
        <v>215</v>
      </c>
    </row>
    <row r="24341" spans="129:129" x14ac:dyDescent="0.2">
      <c r="DY24341" s="185" t="s">
        <v>215</v>
      </c>
    </row>
    <row r="24342" spans="129:129" x14ac:dyDescent="0.2">
      <c r="DY24342" s="185" t="s">
        <v>215</v>
      </c>
    </row>
    <row r="24343" spans="129:129" x14ac:dyDescent="0.2">
      <c r="DY24343" s="185" t="s">
        <v>215</v>
      </c>
    </row>
    <row r="24344" spans="129:129" x14ac:dyDescent="0.2">
      <c r="DY24344" s="185" t="s">
        <v>215</v>
      </c>
    </row>
    <row r="24345" spans="129:129" x14ac:dyDescent="0.2">
      <c r="DY24345" s="185" t="s">
        <v>215</v>
      </c>
    </row>
    <row r="24346" spans="129:129" x14ac:dyDescent="0.2">
      <c r="DY24346" s="185" t="s">
        <v>215</v>
      </c>
    </row>
    <row r="24347" spans="129:129" x14ac:dyDescent="0.2">
      <c r="DY24347" s="185" t="s">
        <v>215</v>
      </c>
    </row>
    <row r="24348" spans="129:129" x14ac:dyDescent="0.2">
      <c r="DY24348" s="185" t="s">
        <v>215</v>
      </c>
    </row>
    <row r="24349" spans="129:129" x14ac:dyDescent="0.2">
      <c r="DY24349" s="185" t="s">
        <v>215</v>
      </c>
    </row>
    <row r="24350" spans="129:129" x14ac:dyDescent="0.2">
      <c r="DY24350" s="185" t="s">
        <v>215</v>
      </c>
    </row>
    <row r="24351" spans="129:129" x14ac:dyDescent="0.2">
      <c r="DY24351" s="185" t="s">
        <v>215</v>
      </c>
    </row>
    <row r="24352" spans="129:129" x14ac:dyDescent="0.2">
      <c r="DY24352" s="185" t="s">
        <v>215</v>
      </c>
    </row>
    <row r="24353" spans="129:129" x14ac:dyDescent="0.2">
      <c r="DY24353" s="185" t="s">
        <v>215</v>
      </c>
    </row>
    <row r="24354" spans="129:129" x14ac:dyDescent="0.2">
      <c r="DY24354" s="185" t="s">
        <v>215</v>
      </c>
    </row>
    <row r="24355" spans="129:129" x14ac:dyDescent="0.2">
      <c r="DY24355" s="185" t="s">
        <v>215</v>
      </c>
    </row>
    <row r="24356" spans="129:129" x14ac:dyDescent="0.2">
      <c r="DY24356" s="185" t="s">
        <v>215</v>
      </c>
    </row>
    <row r="24357" spans="129:129" x14ac:dyDescent="0.2">
      <c r="DY24357" s="185" t="s">
        <v>215</v>
      </c>
    </row>
    <row r="24358" spans="129:129" x14ac:dyDescent="0.2">
      <c r="DY24358" s="185" t="s">
        <v>215</v>
      </c>
    </row>
    <row r="24359" spans="129:129" x14ac:dyDescent="0.2">
      <c r="DY24359" s="185" t="s">
        <v>215</v>
      </c>
    </row>
    <row r="24360" spans="129:129" x14ac:dyDescent="0.2">
      <c r="DY24360" s="185" t="s">
        <v>215</v>
      </c>
    </row>
    <row r="24361" spans="129:129" x14ac:dyDescent="0.2">
      <c r="DY24361" s="185" t="s">
        <v>215</v>
      </c>
    </row>
    <row r="24362" spans="129:129" x14ac:dyDescent="0.2">
      <c r="DY24362" s="185" t="s">
        <v>215</v>
      </c>
    </row>
    <row r="24363" spans="129:129" x14ac:dyDescent="0.2">
      <c r="DY24363" s="185" t="s">
        <v>215</v>
      </c>
    </row>
    <row r="24364" spans="129:129" x14ac:dyDescent="0.2">
      <c r="DY24364" s="185" t="s">
        <v>215</v>
      </c>
    </row>
    <row r="24365" spans="129:129" x14ac:dyDescent="0.2">
      <c r="DY24365" s="185" t="s">
        <v>215</v>
      </c>
    </row>
    <row r="24366" spans="129:129" x14ac:dyDescent="0.2">
      <c r="DY24366" s="185" t="s">
        <v>215</v>
      </c>
    </row>
    <row r="24367" spans="129:129" x14ac:dyDescent="0.2">
      <c r="DY24367" s="185" t="s">
        <v>215</v>
      </c>
    </row>
    <row r="24368" spans="129:129" x14ac:dyDescent="0.2">
      <c r="DY24368" s="185" t="s">
        <v>215</v>
      </c>
    </row>
    <row r="24369" spans="129:129" x14ac:dyDescent="0.2">
      <c r="DY24369" s="185" t="s">
        <v>215</v>
      </c>
    </row>
    <row r="24370" spans="129:129" x14ac:dyDescent="0.2">
      <c r="DY24370" s="185" t="s">
        <v>215</v>
      </c>
    </row>
    <row r="24371" spans="129:129" x14ac:dyDescent="0.2">
      <c r="DY24371" s="185" t="s">
        <v>215</v>
      </c>
    </row>
    <row r="24372" spans="129:129" x14ac:dyDescent="0.2">
      <c r="DY24372" s="185" t="s">
        <v>215</v>
      </c>
    </row>
    <row r="24373" spans="129:129" x14ac:dyDescent="0.2">
      <c r="DY24373" s="185" t="s">
        <v>215</v>
      </c>
    </row>
    <row r="24374" spans="129:129" x14ac:dyDescent="0.2">
      <c r="DY24374" s="185" t="s">
        <v>215</v>
      </c>
    </row>
    <row r="24375" spans="129:129" x14ac:dyDescent="0.2">
      <c r="DY24375" s="185" t="s">
        <v>215</v>
      </c>
    </row>
    <row r="24376" spans="129:129" x14ac:dyDescent="0.2">
      <c r="DY24376" s="185" t="s">
        <v>215</v>
      </c>
    </row>
    <row r="24377" spans="129:129" x14ac:dyDescent="0.2">
      <c r="DY24377" s="185" t="s">
        <v>215</v>
      </c>
    </row>
    <row r="24378" spans="129:129" x14ac:dyDescent="0.2">
      <c r="DY24378" s="185" t="s">
        <v>215</v>
      </c>
    </row>
    <row r="24379" spans="129:129" x14ac:dyDescent="0.2">
      <c r="DY24379" s="185" t="s">
        <v>215</v>
      </c>
    </row>
    <row r="24380" spans="129:129" x14ac:dyDescent="0.2">
      <c r="DY24380" s="185" t="s">
        <v>215</v>
      </c>
    </row>
    <row r="24381" spans="129:129" x14ac:dyDescent="0.2">
      <c r="DY24381" s="185" t="s">
        <v>215</v>
      </c>
    </row>
    <row r="24382" spans="129:129" x14ac:dyDescent="0.2">
      <c r="DY24382" s="185" t="s">
        <v>215</v>
      </c>
    </row>
    <row r="24383" spans="129:129" x14ac:dyDescent="0.2">
      <c r="DY24383" s="185" t="s">
        <v>215</v>
      </c>
    </row>
    <row r="24384" spans="129:129" x14ac:dyDescent="0.2">
      <c r="DY24384" s="185" t="s">
        <v>215</v>
      </c>
    </row>
    <row r="24385" spans="129:129" x14ac:dyDescent="0.2">
      <c r="DY24385" s="185" t="s">
        <v>215</v>
      </c>
    </row>
    <row r="24386" spans="129:129" x14ac:dyDescent="0.2">
      <c r="DY24386" s="185" t="s">
        <v>215</v>
      </c>
    </row>
    <row r="24387" spans="129:129" x14ac:dyDescent="0.2">
      <c r="DY24387" s="185" t="s">
        <v>215</v>
      </c>
    </row>
    <row r="24388" spans="129:129" x14ac:dyDescent="0.2">
      <c r="DY24388" s="185" t="s">
        <v>215</v>
      </c>
    </row>
    <row r="24389" spans="129:129" x14ac:dyDescent="0.2">
      <c r="DY24389" s="185" t="s">
        <v>215</v>
      </c>
    </row>
    <row r="24390" spans="129:129" x14ac:dyDescent="0.2">
      <c r="DY24390" s="185" t="s">
        <v>215</v>
      </c>
    </row>
    <row r="24391" spans="129:129" x14ac:dyDescent="0.2">
      <c r="DY24391" s="185" t="s">
        <v>215</v>
      </c>
    </row>
    <row r="24392" spans="129:129" x14ac:dyDescent="0.2">
      <c r="DY24392" s="185" t="s">
        <v>215</v>
      </c>
    </row>
    <row r="24393" spans="129:129" x14ac:dyDescent="0.2">
      <c r="DY24393" s="185" t="s">
        <v>215</v>
      </c>
    </row>
    <row r="24394" spans="129:129" x14ac:dyDescent="0.2">
      <c r="DY24394" s="185" t="s">
        <v>215</v>
      </c>
    </row>
    <row r="24395" spans="129:129" x14ac:dyDescent="0.2">
      <c r="DY24395" s="185" t="s">
        <v>215</v>
      </c>
    </row>
    <row r="24396" spans="129:129" x14ac:dyDescent="0.2">
      <c r="DY24396" s="185" t="s">
        <v>215</v>
      </c>
    </row>
    <row r="24397" spans="129:129" x14ac:dyDescent="0.2">
      <c r="DY24397" s="185" t="s">
        <v>215</v>
      </c>
    </row>
    <row r="24398" spans="129:129" x14ac:dyDescent="0.2">
      <c r="DY24398" s="185" t="s">
        <v>215</v>
      </c>
    </row>
    <row r="24399" spans="129:129" x14ac:dyDescent="0.2">
      <c r="DY24399" s="185" t="s">
        <v>215</v>
      </c>
    </row>
    <row r="24400" spans="129:129" x14ac:dyDescent="0.2">
      <c r="DY24400" s="185" t="s">
        <v>215</v>
      </c>
    </row>
    <row r="24401" spans="129:129" x14ac:dyDescent="0.2">
      <c r="DY24401" s="185" t="s">
        <v>215</v>
      </c>
    </row>
    <row r="24402" spans="129:129" x14ac:dyDescent="0.2">
      <c r="DY24402" s="185" t="s">
        <v>215</v>
      </c>
    </row>
    <row r="24403" spans="129:129" x14ac:dyDescent="0.2">
      <c r="DY24403" s="185" t="s">
        <v>215</v>
      </c>
    </row>
    <row r="24404" spans="129:129" x14ac:dyDescent="0.2">
      <c r="DY24404" s="185" t="s">
        <v>215</v>
      </c>
    </row>
    <row r="24405" spans="129:129" x14ac:dyDescent="0.2">
      <c r="DY24405" s="185" t="s">
        <v>215</v>
      </c>
    </row>
    <row r="24406" spans="129:129" x14ac:dyDescent="0.2">
      <c r="DY24406" s="185" t="s">
        <v>215</v>
      </c>
    </row>
    <row r="24407" spans="129:129" x14ac:dyDescent="0.2">
      <c r="DY24407" s="185" t="s">
        <v>215</v>
      </c>
    </row>
    <row r="24408" spans="129:129" x14ac:dyDescent="0.2">
      <c r="DY24408" s="185" t="s">
        <v>215</v>
      </c>
    </row>
    <row r="24409" spans="129:129" x14ac:dyDescent="0.2">
      <c r="DY24409" s="185" t="s">
        <v>215</v>
      </c>
    </row>
    <row r="24410" spans="129:129" x14ac:dyDescent="0.2">
      <c r="DY24410" s="185" t="s">
        <v>215</v>
      </c>
    </row>
    <row r="24411" spans="129:129" x14ac:dyDescent="0.2">
      <c r="DY24411" s="185" t="s">
        <v>215</v>
      </c>
    </row>
    <row r="24412" spans="129:129" x14ac:dyDescent="0.2">
      <c r="DY24412" s="185" t="s">
        <v>215</v>
      </c>
    </row>
    <row r="24413" spans="129:129" x14ac:dyDescent="0.2">
      <c r="DY24413" s="185" t="s">
        <v>215</v>
      </c>
    </row>
    <row r="24414" spans="129:129" x14ac:dyDescent="0.2">
      <c r="DY24414" s="185" t="s">
        <v>215</v>
      </c>
    </row>
    <row r="24415" spans="129:129" x14ac:dyDescent="0.2">
      <c r="DY24415" s="185" t="s">
        <v>215</v>
      </c>
    </row>
    <row r="24416" spans="129:129" x14ac:dyDescent="0.2">
      <c r="DY24416" s="185" t="s">
        <v>215</v>
      </c>
    </row>
    <row r="24417" spans="129:129" x14ac:dyDescent="0.2">
      <c r="DY24417" s="185" t="s">
        <v>215</v>
      </c>
    </row>
    <row r="24418" spans="129:129" x14ac:dyDescent="0.2">
      <c r="DY24418" s="185" t="s">
        <v>215</v>
      </c>
    </row>
    <row r="24419" spans="129:129" x14ac:dyDescent="0.2">
      <c r="DY24419" s="185" t="s">
        <v>215</v>
      </c>
    </row>
    <row r="24420" spans="129:129" x14ac:dyDescent="0.2">
      <c r="DY24420" s="185" t="s">
        <v>215</v>
      </c>
    </row>
    <row r="24421" spans="129:129" x14ac:dyDescent="0.2">
      <c r="DY24421" s="185" t="s">
        <v>215</v>
      </c>
    </row>
    <row r="24422" spans="129:129" x14ac:dyDescent="0.2">
      <c r="DY24422" s="185" t="s">
        <v>215</v>
      </c>
    </row>
    <row r="24423" spans="129:129" x14ac:dyDescent="0.2">
      <c r="DY24423" s="185" t="s">
        <v>215</v>
      </c>
    </row>
    <row r="24424" spans="129:129" x14ac:dyDescent="0.2">
      <c r="DY24424" s="185" t="s">
        <v>215</v>
      </c>
    </row>
    <row r="24425" spans="129:129" x14ac:dyDescent="0.2">
      <c r="DY24425" s="185" t="s">
        <v>215</v>
      </c>
    </row>
    <row r="24426" spans="129:129" x14ac:dyDescent="0.2">
      <c r="DY24426" s="185" t="s">
        <v>215</v>
      </c>
    </row>
    <row r="24427" spans="129:129" x14ac:dyDescent="0.2">
      <c r="DY24427" s="185" t="s">
        <v>215</v>
      </c>
    </row>
    <row r="24428" spans="129:129" x14ac:dyDescent="0.2">
      <c r="DY24428" s="185" t="s">
        <v>215</v>
      </c>
    </row>
    <row r="24429" spans="129:129" x14ac:dyDescent="0.2">
      <c r="DY24429" s="185" t="s">
        <v>215</v>
      </c>
    </row>
    <row r="24430" spans="129:129" x14ac:dyDescent="0.2">
      <c r="DY24430" s="185" t="s">
        <v>215</v>
      </c>
    </row>
    <row r="24431" spans="129:129" x14ac:dyDescent="0.2">
      <c r="DY24431" s="185" t="s">
        <v>215</v>
      </c>
    </row>
    <row r="24432" spans="129:129" x14ac:dyDescent="0.2">
      <c r="DY24432" s="185" t="s">
        <v>215</v>
      </c>
    </row>
    <row r="24433" spans="129:129" x14ac:dyDescent="0.2">
      <c r="DY24433" s="185" t="s">
        <v>215</v>
      </c>
    </row>
    <row r="24434" spans="129:129" x14ac:dyDescent="0.2">
      <c r="DY24434" s="185" t="s">
        <v>215</v>
      </c>
    </row>
    <row r="24435" spans="129:129" x14ac:dyDescent="0.2">
      <c r="DY24435" s="185" t="s">
        <v>215</v>
      </c>
    </row>
    <row r="24436" spans="129:129" x14ac:dyDescent="0.2">
      <c r="DY24436" s="185" t="s">
        <v>215</v>
      </c>
    </row>
    <row r="24437" spans="129:129" x14ac:dyDescent="0.2">
      <c r="DY24437" s="185" t="s">
        <v>215</v>
      </c>
    </row>
    <row r="24438" spans="129:129" x14ac:dyDescent="0.2">
      <c r="DY24438" s="185" t="s">
        <v>215</v>
      </c>
    </row>
    <row r="24439" spans="129:129" x14ac:dyDescent="0.2">
      <c r="DY24439" s="185" t="s">
        <v>215</v>
      </c>
    </row>
    <row r="24440" spans="129:129" x14ac:dyDescent="0.2">
      <c r="DY24440" s="185" t="s">
        <v>215</v>
      </c>
    </row>
    <row r="24441" spans="129:129" x14ac:dyDescent="0.2">
      <c r="DY24441" s="185" t="s">
        <v>215</v>
      </c>
    </row>
    <row r="24442" spans="129:129" x14ac:dyDescent="0.2">
      <c r="DY24442" s="185" t="s">
        <v>215</v>
      </c>
    </row>
    <row r="24443" spans="129:129" x14ac:dyDescent="0.2">
      <c r="DY24443" s="185" t="s">
        <v>215</v>
      </c>
    </row>
    <row r="24444" spans="129:129" x14ac:dyDescent="0.2">
      <c r="DY24444" s="185" t="s">
        <v>215</v>
      </c>
    </row>
    <row r="24445" spans="129:129" x14ac:dyDescent="0.2">
      <c r="DY24445" s="185" t="s">
        <v>215</v>
      </c>
    </row>
    <row r="24446" spans="129:129" x14ac:dyDescent="0.2">
      <c r="DY24446" s="185" t="s">
        <v>215</v>
      </c>
    </row>
    <row r="24447" spans="129:129" x14ac:dyDescent="0.2">
      <c r="DY24447" s="185" t="s">
        <v>215</v>
      </c>
    </row>
    <row r="24448" spans="129:129" x14ac:dyDescent="0.2">
      <c r="DY24448" s="185" t="s">
        <v>215</v>
      </c>
    </row>
    <row r="24449" spans="129:129" x14ac:dyDescent="0.2">
      <c r="DY24449" s="185" t="s">
        <v>215</v>
      </c>
    </row>
    <row r="24450" spans="129:129" x14ac:dyDescent="0.2">
      <c r="DY24450" s="185" t="s">
        <v>215</v>
      </c>
    </row>
    <row r="24451" spans="129:129" x14ac:dyDescent="0.2">
      <c r="DY24451" s="185" t="s">
        <v>215</v>
      </c>
    </row>
    <row r="24452" spans="129:129" x14ac:dyDescent="0.2">
      <c r="DY24452" s="185" t="s">
        <v>215</v>
      </c>
    </row>
    <row r="24453" spans="129:129" x14ac:dyDescent="0.2">
      <c r="DY24453" s="185" t="s">
        <v>215</v>
      </c>
    </row>
    <row r="24454" spans="129:129" x14ac:dyDescent="0.2">
      <c r="DY24454" s="185" t="s">
        <v>215</v>
      </c>
    </row>
    <row r="24455" spans="129:129" x14ac:dyDescent="0.2">
      <c r="DY24455" s="185" t="s">
        <v>215</v>
      </c>
    </row>
    <row r="24456" spans="129:129" x14ac:dyDescent="0.2">
      <c r="DY24456" s="185" t="s">
        <v>215</v>
      </c>
    </row>
    <row r="24457" spans="129:129" x14ac:dyDescent="0.2">
      <c r="DY24457" s="185" t="s">
        <v>215</v>
      </c>
    </row>
    <row r="24458" spans="129:129" x14ac:dyDescent="0.2">
      <c r="DY24458" s="185" t="s">
        <v>215</v>
      </c>
    </row>
    <row r="24459" spans="129:129" x14ac:dyDescent="0.2">
      <c r="DY24459" s="185" t="s">
        <v>215</v>
      </c>
    </row>
    <row r="24460" spans="129:129" x14ac:dyDescent="0.2">
      <c r="DY24460" s="185" t="s">
        <v>215</v>
      </c>
    </row>
    <row r="24461" spans="129:129" x14ac:dyDescent="0.2">
      <c r="DY24461" s="185" t="s">
        <v>215</v>
      </c>
    </row>
    <row r="24462" spans="129:129" x14ac:dyDescent="0.2">
      <c r="DY24462" s="185" t="s">
        <v>215</v>
      </c>
    </row>
    <row r="24463" spans="129:129" x14ac:dyDescent="0.2">
      <c r="DY24463" s="185" t="s">
        <v>215</v>
      </c>
    </row>
    <row r="24464" spans="129:129" x14ac:dyDescent="0.2">
      <c r="DY24464" s="185" t="s">
        <v>215</v>
      </c>
    </row>
    <row r="24465" spans="129:129" x14ac:dyDescent="0.2">
      <c r="DY24465" s="185" t="s">
        <v>215</v>
      </c>
    </row>
    <row r="24466" spans="129:129" x14ac:dyDescent="0.2">
      <c r="DY24466" s="185" t="s">
        <v>215</v>
      </c>
    </row>
    <row r="24467" spans="129:129" x14ac:dyDescent="0.2">
      <c r="DY24467" s="185" t="s">
        <v>215</v>
      </c>
    </row>
    <row r="24468" spans="129:129" x14ac:dyDescent="0.2">
      <c r="DY24468" s="185" t="s">
        <v>215</v>
      </c>
    </row>
    <row r="24469" spans="129:129" x14ac:dyDescent="0.2">
      <c r="DY24469" s="185" t="s">
        <v>215</v>
      </c>
    </row>
    <row r="24470" spans="129:129" x14ac:dyDescent="0.2">
      <c r="DY24470" s="185" t="s">
        <v>215</v>
      </c>
    </row>
    <row r="24471" spans="129:129" x14ac:dyDescent="0.2">
      <c r="DY24471" s="185" t="s">
        <v>215</v>
      </c>
    </row>
    <row r="24472" spans="129:129" x14ac:dyDescent="0.2">
      <c r="DY24472" s="185" t="s">
        <v>215</v>
      </c>
    </row>
    <row r="24473" spans="129:129" x14ac:dyDescent="0.2">
      <c r="DY24473" s="185" t="s">
        <v>215</v>
      </c>
    </row>
    <row r="24474" spans="129:129" x14ac:dyDescent="0.2">
      <c r="DY24474" s="185" t="s">
        <v>215</v>
      </c>
    </row>
    <row r="24475" spans="129:129" x14ac:dyDescent="0.2">
      <c r="DY24475" s="185" t="s">
        <v>215</v>
      </c>
    </row>
    <row r="24476" spans="129:129" x14ac:dyDescent="0.2">
      <c r="DY24476" s="185" t="s">
        <v>215</v>
      </c>
    </row>
    <row r="24477" spans="129:129" x14ac:dyDescent="0.2">
      <c r="DY24477" s="185" t="s">
        <v>215</v>
      </c>
    </row>
    <row r="24478" spans="129:129" x14ac:dyDescent="0.2">
      <c r="DY24478" s="185" t="s">
        <v>215</v>
      </c>
    </row>
    <row r="24479" spans="129:129" x14ac:dyDescent="0.2">
      <c r="DY24479" s="185" t="s">
        <v>215</v>
      </c>
    </row>
    <row r="24480" spans="129:129" x14ac:dyDescent="0.2">
      <c r="DY24480" s="185" t="s">
        <v>215</v>
      </c>
    </row>
    <row r="24481" spans="129:129" x14ac:dyDescent="0.2">
      <c r="DY24481" s="185" t="s">
        <v>215</v>
      </c>
    </row>
    <row r="24482" spans="129:129" x14ac:dyDescent="0.2">
      <c r="DY24482" s="185" t="s">
        <v>215</v>
      </c>
    </row>
    <row r="24483" spans="129:129" x14ac:dyDescent="0.2">
      <c r="DY24483" s="185" t="s">
        <v>215</v>
      </c>
    </row>
    <row r="24484" spans="129:129" x14ac:dyDescent="0.2">
      <c r="DY24484" s="185" t="s">
        <v>215</v>
      </c>
    </row>
    <row r="24485" spans="129:129" x14ac:dyDescent="0.2">
      <c r="DY24485" s="185" t="s">
        <v>215</v>
      </c>
    </row>
    <row r="24486" spans="129:129" x14ac:dyDescent="0.2">
      <c r="DY24486" s="185" t="s">
        <v>215</v>
      </c>
    </row>
    <row r="24487" spans="129:129" x14ac:dyDescent="0.2">
      <c r="DY24487" s="185" t="s">
        <v>215</v>
      </c>
    </row>
    <row r="24488" spans="129:129" x14ac:dyDescent="0.2">
      <c r="DY24488" s="185" t="s">
        <v>215</v>
      </c>
    </row>
    <row r="24489" spans="129:129" x14ac:dyDescent="0.2">
      <c r="DY24489" s="185" t="s">
        <v>215</v>
      </c>
    </row>
    <row r="24490" spans="129:129" x14ac:dyDescent="0.2">
      <c r="DY24490" s="185" t="s">
        <v>215</v>
      </c>
    </row>
    <row r="24491" spans="129:129" x14ac:dyDescent="0.2">
      <c r="DY24491" s="185" t="s">
        <v>215</v>
      </c>
    </row>
    <row r="24492" spans="129:129" x14ac:dyDescent="0.2">
      <c r="DY24492" s="185" t="s">
        <v>215</v>
      </c>
    </row>
    <row r="24493" spans="129:129" x14ac:dyDescent="0.2">
      <c r="DY24493" s="185" t="s">
        <v>215</v>
      </c>
    </row>
    <row r="24494" spans="129:129" x14ac:dyDescent="0.2">
      <c r="DY24494" s="185" t="s">
        <v>215</v>
      </c>
    </row>
    <row r="24495" spans="129:129" x14ac:dyDescent="0.2">
      <c r="DY24495" s="185" t="s">
        <v>215</v>
      </c>
    </row>
    <row r="24496" spans="129:129" x14ac:dyDescent="0.2">
      <c r="DY24496" s="185" t="s">
        <v>215</v>
      </c>
    </row>
    <row r="24497" spans="129:129" x14ac:dyDescent="0.2">
      <c r="DY24497" s="185" t="s">
        <v>215</v>
      </c>
    </row>
    <row r="24498" spans="129:129" x14ac:dyDescent="0.2">
      <c r="DY24498" s="185" t="s">
        <v>215</v>
      </c>
    </row>
    <row r="24499" spans="129:129" x14ac:dyDescent="0.2">
      <c r="DY24499" s="185" t="s">
        <v>215</v>
      </c>
    </row>
    <row r="24500" spans="129:129" x14ac:dyDescent="0.2">
      <c r="DY24500" s="185" t="s">
        <v>215</v>
      </c>
    </row>
    <row r="24501" spans="129:129" x14ac:dyDescent="0.2">
      <c r="DY24501" s="185" t="s">
        <v>215</v>
      </c>
    </row>
    <row r="24502" spans="129:129" x14ac:dyDescent="0.2">
      <c r="DY24502" s="185" t="s">
        <v>215</v>
      </c>
    </row>
    <row r="24503" spans="129:129" x14ac:dyDescent="0.2">
      <c r="DY24503" s="185" t="s">
        <v>215</v>
      </c>
    </row>
    <row r="24504" spans="129:129" x14ac:dyDescent="0.2">
      <c r="DY24504" s="185" t="s">
        <v>215</v>
      </c>
    </row>
    <row r="24505" spans="129:129" x14ac:dyDescent="0.2">
      <c r="DY24505" s="185" t="s">
        <v>215</v>
      </c>
    </row>
    <row r="24506" spans="129:129" x14ac:dyDescent="0.2">
      <c r="DY24506" s="185" t="s">
        <v>215</v>
      </c>
    </row>
    <row r="24507" spans="129:129" x14ac:dyDescent="0.2">
      <c r="DY24507" s="185" t="s">
        <v>215</v>
      </c>
    </row>
    <row r="24508" spans="129:129" x14ac:dyDescent="0.2">
      <c r="DY24508" s="185" t="s">
        <v>215</v>
      </c>
    </row>
    <row r="24509" spans="129:129" x14ac:dyDescent="0.2">
      <c r="DY24509" s="185" t="s">
        <v>215</v>
      </c>
    </row>
    <row r="24510" spans="129:129" x14ac:dyDescent="0.2">
      <c r="DY24510" s="185" t="s">
        <v>215</v>
      </c>
    </row>
    <row r="24511" spans="129:129" x14ac:dyDescent="0.2">
      <c r="DY24511" s="185" t="s">
        <v>215</v>
      </c>
    </row>
    <row r="24512" spans="129:129" x14ac:dyDescent="0.2">
      <c r="DY24512" s="185" t="s">
        <v>215</v>
      </c>
    </row>
    <row r="24513" spans="129:129" x14ac:dyDescent="0.2">
      <c r="DY24513" s="185" t="s">
        <v>215</v>
      </c>
    </row>
    <row r="24514" spans="129:129" x14ac:dyDescent="0.2">
      <c r="DY24514" s="185" t="s">
        <v>215</v>
      </c>
    </row>
    <row r="24515" spans="129:129" x14ac:dyDescent="0.2">
      <c r="DY24515" s="185" t="s">
        <v>215</v>
      </c>
    </row>
    <row r="24516" spans="129:129" x14ac:dyDescent="0.2">
      <c r="DY24516" s="185" t="s">
        <v>215</v>
      </c>
    </row>
    <row r="24517" spans="129:129" x14ac:dyDescent="0.2">
      <c r="DY24517" s="185" t="s">
        <v>215</v>
      </c>
    </row>
    <row r="24518" spans="129:129" x14ac:dyDescent="0.2">
      <c r="DY24518" s="185" t="s">
        <v>215</v>
      </c>
    </row>
    <row r="24519" spans="129:129" x14ac:dyDescent="0.2">
      <c r="DY24519" s="185" t="s">
        <v>215</v>
      </c>
    </row>
    <row r="24520" spans="129:129" x14ac:dyDescent="0.2">
      <c r="DY24520" s="185" t="s">
        <v>215</v>
      </c>
    </row>
    <row r="24521" spans="129:129" x14ac:dyDescent="0.2">
      <c r="DY24521" s="185" t="s">
        <v>215</v>
      </c>
    </row>
    <row r="24522" spans="129:129" x14ac:dyDescent="0.2">
      <c r="DY24522" s="185" t="s">
        <v>215</v>
      </c>
    </row>
    <row r="24523" spans="129:129" x14ac:dyDescent="0.2">
      <c r="DY24523" s="185" t="s">
        <v>215</v>
      </c>
    </row>
    <row r="24524" spans="129:129" x14ac:dyDescent="0.2">
      <c r="DY24524" s="185" t="s">
        <v>215</v>
      </c>
    </row>
    <row r="24525" spans="129:129" x14ac:dyDescent="0.2">
      <c r="DY24525" s="185" t="s">
        <v>215</v>
      </c>
    </row>
    <row r="24526" spans="129:129" x14ac:dyDescent="0.2">
      <c r="DY24526" s="185" t="s">
        <v>215</v>
      </c>
    </row>
    <row r="24527" spans="129:129" x14ac:dyDescent="0.2">
      <c r="DY24527" s="185" t="s">
        <v>215</v>
      </c>
    </row>
    <row r="24528" spans="129:129" x14ac:dyDescent="0.2">
      <c r="DY24528" s="185" t="s">
        <v>215</v>
      </c>
    </row>
    <row r="24529" spans="129:129" x14ac:dyDescent="0.2">
      <c r="DY24529" s="185" t="s">
        <v>215</v>
      </c>
    </row>
    <row r="24530" spans="129:129" x14ac:dyDescent="0.2">
      <c r="DY24530" s="185" t="s">
        <v>215</v>
      </c>
    </row>
    <row r="24531" spans="129:129" x14ac:dyDescent="0.2">
      <c r="DY24531" s="185" t="s">
        <v>215</v>
      </c>
    </row>
    <row r="24532" spans="129:129" x14ac:dyDescent="0.2">
      <c r="DY24532" s="185" t="s">
        <v>215</v>
      </c>
    </row>
    <row r="24533" spans="129:129" x14ac:dyDescent="0.2">
      <c r="DY24533" s="185" t="s">
        <v>215</v>
      </c>
    </row>
    <row r="24534" spans="129:129" x14ac:dyDescent="0.2">
      <c r="DY24534" s="185" t="s">
        <v>215</v>
      </c>
    </row>
    <row r="24535" spans="129:129" x14ac:dyDescent="0.2">
      <c r="DY24535" s="185" t="s">
        <v>215</v>
      </c>
    </row>
    <row r="24536" spans="129:129" x14ac:dyDescent="0.2">
      <c r="DY24536" s="185" t="s">
        <v>215</v>
      </c>
    </row>
    <row r="24537" spans="129:129" x14ac:dyDescent="0.2">
      <c r="DY24537" s="185" t="s">
        <v>215</v>
      </c>
    </row>
    <row r="24538" spans="129:129" x14ac:dyDescent="0.2">
      <c r="DY24538" s="185" t="s">
        <v>215</v>
      </c>
    </row>
    <row r="24539" spans="129:129" x14ac:dyDescent="0.2">
      <c r="DY24539" s="185" t="s">
        <v>215</v>
      </c>
    </row>
    <row r="24540" spans="129:129" x14ac:dyDescent="0.2">
      <c r="DY24540" s="185" t="s">
        <v>215</v>
      </c>
    </row>
    <row r="24541" spans="129:129" x14ac:dyDescent="0.2">
      <c r="DY24541" s="185" t="s">
        <v>215</v>
      </c>
    </row>
    <row r="24542" spans="129:129" x14ac:dyDescent="0.2">
      <c r="DY24542" s="185" t="s">
        <v>215</v>
      </c>
    </row>
    <row r="24543" spans="129:129" x14ac:dyDescent="0.2">
      <c r="DY24543" s="185" t="s">
        <v>215</v>
      </c>
    </row>
    <row r="24544" spans="129:129" x14ac:dyDescent="0.2">
      <c r="DY24544" s="185" t="s">
        <v>215</v>
      </c>
    </row>
    <row r="24545" spans="129:129" x14ac:dyDescent="0.2">
      <c r="DY24545" s="185" t="s">
        <v>215</v>
      </c>
    </row>
    <row r="24546" spans="129:129" x14ac:dyDescent="0.2">
      <c r="DY24546" s="185" t="s">
        <v>215</v>
      </c>
    </row>
    <row r="24547" spans="129:129" x14ac:dyDescent="0.2">
      <c r="DY24547" s="185" t="s">
        <v>215</v>
      </c>
    </row>
    <row r="24548" spans="129:129" x14ac:dyDescent="0.2">
      <c r="DY24548" s="185" t="s">
        <v>215</v>
      </c>
    </row>
    <row r="24549" spans="129:129" x14ac:dyDescent="0.2">
      <c r="DY24549" s="185" t="s">
        <v>215</v>
      </c>
    </row>
    <row r="24550" spans="129:129" x14ac:dyDescent="0.2">
      <c r="DY24550" s="185" t="s">
        <v>215</v>
      </c>
    </row>
    <row r="24551" spans="129:129" x14ac:dyDescent="0.2">
      <c r="DY24551" s="185" t="s">
        <v>215</v>
      </c>
    </row>
    <row r="24552" spans="129:129" x14ac:dyDescent="0.2">
      <c r="DY24552" s="185" t="s">
        <v>215</v>
      </c>
    </row>
    <row r="24553" spans="129:129" x14ac:dyDescent="0.2">
      <c r="DY24553" s="185" t="s">
        <v>215</v>
      </c>
    </row>
    <row r="24554" spans="129:129" x14ac:dyDescent="0.2">
      <c r="DY24554" s="185" t="s">
        <v>215</v>
      </c>
    </row>
    <row r="24555" spans="129:129" x14ac:dyDescent="0.2">
      <c r="DY24555" s="185" t="s">
        <v>215</v>
      </c>
    </row>
    <row r="24556" spans="129:129" x14ac:dyDescent="0.2">
      <c r="DY24556" s="185" t="s">
        <v>215</v>
      </c>
    </row>
    <row r="24557" spans="129:129" x14ac:dyDescent="0.2">
      <c r="DY24557" s="185" t="s">
        <v>215</v>
      </c>
    </row>
    <row r="24558" spans="129:129" x14ac:dyDescent="0.2">
      <c r="DY24558" s="185" t="s">
        <v>215</v>
      </c>
    </row>
    <row r="24559" spans="129:129" x14ac:dyDescent="0.2">
      <c r="DY24559" s="185" t="s">
        <v>215</v>
      </c>
    </row>
    <row r="24560" spans="129:129" x14ac:dyDescent="0.2">
      <c r="DY24560" s="185" t="s">
        <v>215</v>
      </c>
    </row>
    <row r="24561" spans="129:129" x14ac:dyDescent="0.2">
      <c r="DY24561" s="185" t="s">
        <v>215</v>
      </c>
    </row>
    <row r="24562" spans="129:129" x14ac:dyDescent="0.2">
      <c r="DY24562" s="185" t="s">
        <v>215</v>
      </c>
    </row>
    <row r="24563" spans="129:129" x14ac:dyDescent="0.2">
      <c r="DY24563" s="185" t="s">
        <v>215</v>
      </c>
    </row>
    <row r="24564" spans="129:129" x14ac:dyDescent="0.2">
      <c r="DY24564" s="185" t="s">
        <v>215</v>
      </c>
    </row>
    <row r="24565" spans="129:129" x14ac:dyDescent="0.2">
      <c r="DY24565" s="185" t="s">
        <v>215</v>
      </c>
    </row>
    <row r="24566" spans="129:129" x14ac:dyDescent="0.2">
      <c r="DY24566" s="185" t="s">
        <v>215</v>
      </c>
    </row>
    <row r="24567" spans="129:129" x14ac:dyDescent="0.2">
      <c r="DY24567" s="185" t="s">
        <v>215</v>
      </c>
    </row>
    <row r="24568" spans="129:129" x14ac:dyDescent="0.2">
      <c r="DY24568" s="185" t="s">
        <v>215</v>
      </c>
    </row>
    <row r="24569" spans="129:129" x14ac:dyDescent="0.2">
      <c r="DY24569" s="185" t="s">
        <v>215</v>
      </c>
    </row>
    <row r="24570" spans="129:129" x14ac:dyDescent="0.2">
      <c r="DY24570" s="185" t="s">
        <v>215</v>
      </c>
    </row>
    <row r="24571" spans="129:129" x14ac:dyDescent="0.2">
      <c r="DY24571" s="185" t="s">
        <v>215</v>
      </c>
    </row>
    <row r="24572" spans="129:129" x14ac:dyDescent="0.2">
      <c r="DY24572" s="185" t="s">
        <v>215</v>
      </c>
    </row>
    <row r="24573" spans="129:129" x14ac:dyDescent="0.2">
      <c r="DY24573" s="185" t="s">
        <v>215</v>
      </c>
    </row>
    <row r="24574" spans="129:129" x14ac:dyDescent="0.2">
      <c r="DY24574" s="185" t="s">
        <v>215</v>
      </c>
    </row>
    <row r="24575" spans="129:129" x14ac:dyDescent="0.2">
      <c r="DY24575" s="185" t="s">
        <v>215</v>
      </c>
    </row>
    <row r="24576" spans="129:129" x14ac:dyDescent="0.2">
      <c r="DY24576" s="185" t="s">
        <v>215</v>
      </c>
    </row>
    <row r="24577" spans="129:129" x14ac:dyDescent="0.2">
      <c r="DY24577" s="185" t="s">
        <v>215</v>
      </c>
    </row>
    <row r="24578" spans="129:129" x14ac:dyDescent="0.2">
      <c r="DY24578" s="185" t="s">
        <v>215</v>
      </c>
    </row>
    <row r="24579" spans="129:129" x14ac:dyDescent="0.2">
      <c r="DY24579" s="185" t="s">
        <v>215</v>
      </c>
    </row>
    <row r="24580" spans="129:129" x14ac:dyDescent="0.2">
      <c r="DY24580" s="185" t="s">
        <v>215</v>
      </c>
    </row>
    <row r="24581" spans="129:129" x14ac:dyDescent="0.2">
      <c r="DY24581" s="185" t="s">
        <v>215</v>
      </c>
    </row>
    <row r="24582" spans="129:129" x14ac:dyDescent="0.2">
      <c r="DY24582" s="185" t="s">
        <v>215</v>
      </c>
    </row>
    <row r="24583" spans="129:129" x14ac:dyDescent="0.2">
      <c r="DY24583" s="185" t="s">
        <v>215</v>
      </c>
    </row>
    <row r="24584" spans="129:129" x14ac:dyDescent="0.2">
      <c r="DY24584" s="185" t="s">
        <v>215</v>
      </c>
    </row>
    <row r="24585" spans="129:129" x14ac:dyDescent="0.2">
      <c r="DY24585" s="185" t="s">
        <v>215</v>
      </c>
    </row>
    <row r="24586" spans="129:129" x14ac:dyDescent="0.2">
      <c r="DY24586" s="185" t="s">
        <v>215</v>
      </c>
    </row>
    <row r="24587" spans="129:129" x14ac:dyDescent="0.2">
      <c r="DY24587" s="185" t="s">
        <v>215</v>
      </c>
    </row>
    <row r="24588" spans="129:129" x14ac:dyDescent="0.2">
      <c r="DY24588" s="185" t="s">
        <v>215</v>
      </c>
    </row>
    <row r="24589" spans="129:129" x14ac:dyDescent="0.2">
      <c r="DY24589" s="185" t="s">
        <v>215</v>
      </c>
    </row>
    <row r="24590" spans="129:129" x14ac:dyDescent="0.2">
      <c r="DY24590" s="185" t="s">
        <v>215</v>
      </c>
    </row>
    <row r="24591" spans="129:129" x14ac:dyDescent="0.2">
      <c r="DY24591" s="185" t="s">
        <v>215</v>
      </c>
    </row>
    <row r="24592" spans="129:129" x14ac:dyDescent="0.2">
      <c r="DY24592" s="185" t="s">
        <v>215</v>
      </c>
    </row>
    <row r="24593" spans="129:129" x14ac:dyDescent="0.2">
      <c r="DY24593" s="185" t="s">
        <v>215</v>
      </c>
    </row>
    <row r="24594" spans="129:129" x14ac:dyDescent="0.2">
      <c r="DY24594" s="185" t="s">
        <v>215</v>
      </c>
    </row>
    <row r="24595" spans="129:129" x14ac:dyDescent="0.2">
      <c r="DY24595" s="185" t="s">
        <v>215</v>
      </c>
    </row>
    <row r="24596" spans="129:129" x14ac:dyDescent="0.2">
      <c r="DY24596" s="185" t="s">
        <v>215</v>
      </c>
    </row>
    <row r="24597" spans="129:129" x14ac:dyDescent="0.2">
      <c r="DY24597" s="185" t="s">
        <v>215</v>
      </c>
    </row>
    <row r="24598" spans="129:129" x14ac:dyDescent="0.2">
      <c r="DY24598" s="185" t="s">
        <v>215</v>
      </c>
    </row>
    <row r="24599" spans="129:129" x14ac:dyDescent="0.2">
      <c r="DY24599" s="185" t="s">
        <v>215</v>
      </c>
    </row>
    <row r="24600" spans="129:129" x14ac:dyDescent="0.2">
      <c r="DY24600" s="185" t="s">
        <v>215</v>
      </c>
    </row>
    <row r="24601" spans="129:129" x14ac:dyDescent="0.2">
      <c r="DY24601" s="185" t="s">
        <v>215</v>
      </c>
    </row>
    <row r="24602" spans="129:129" x14ac:dyDescent="0.2">
      <c r="DY24602" s="185" t="s">
        <v>215</v>
      </c>
    </row>
    <row r="24603" spans="129:129" x14ac:dyDescent="0.2">
      <c r="DY24603" s="185" t="s">
        <v>215</v>
      </c>
    </row>
    <row r="24604" spans="129:129" x14ac:dyDescent="0.2">
      <c r="DY24604" s="185" t="s">
        <v>215</v>
      </c>
    </row>
    <row r="24605" spans="129:129" x14ac:dyDescent="0.2">
      <c r="DY24605" s="185" t="s">
        <v>215</v>
      </c>
    </row>
    <row r="24606" spans="129:129" x14ac:dyDescent="0.2">
      <c r="DY24606" s="185" t="s">
        <v>215</v>
      </c>
    </row>
    <row r="24607" spans="129:129" x14ac:dyDescent="0.2">
      <c r="DY24607" s="185" t="s">
        <v>215</v>
      </c>
    </row>
    <row r="24608" spans="129:129" x14ac:dyDescent="0.2">
      <c r="DY24608" s="185" t="s">
        <v>215</v>
      </c>
    </row>
    <row r="24609" spans="129:129" x14ac:dyDescent="0.2">
      <c r="DY24609" s="185" t="s">
        <v>215</v>
      </c>
    </row>
    <row r="24610" spans="129:129" x14ac:dyDescent="0.2">
      <c r="DY24610" s="185" t="s">
        <v>215</v>
      </c>
    </row>
    <row r="24611" spans="129:129" x14ac:dyDescent="0.2">
      <c r="DY24611" s="185" t="s">
        <v>215</v>
      </c>
    </row>
    <row r="24612" spans="129:129" x14ac:dyDescent="0.2">
      <c r="DY24612" s="185" t="s">
        <v>215</v>
      </c>
    </row>
    <row r="24613" spans="129:129" x14ac:dyDescent="0.2">
      <c r="DY24613" s="185" t="s">
        <v>215</v>
      </c>
    </row>
    <row r="24614" spans="129:129" x14ac:dyDescent="0.2">
      <c r="DY24614" s="185" t="s">
        <v>215</v>
      </c>
    </row>
    <row r="24615" spans="129:129" x14ac:dyDescent="0.2">
      <c r="DY24615" s="185" t="s">
        <v>215</v>
      </c>
    </row>
    <row r="24616" spans="129:129" x14ac:dyDescent="0.2">
      <c r="DY24616" s="185" t="s">
        <v>215</v>
      </c>
    </row>
    <row r="24617" spans="129:129" x14ac:dyDescent="0.2">
      <c r="DY24617" s="185" t="s">
        <v>215</v>
      </c>
    </row>
    <row r="24618" spans="129:129" x14ac:dyDescent="0.2">
      <c r="DY24618" s="185" t="s">
        <v>215</v>
      </c>
    </row>
    <row r="24619" spans="129:129" x14ac:dyDescent="0.2">
      <c r="DY24619" s="185" t="s">
        <v>215</v>
      </c>
    </row>
    <row r="24620" spans="129:129" x14ac:dyDescent="0.2">
      <c r="DY24620" s="185" t="s">
        <v>215</v>
      </c>
    </row>
    <row r="24621" spans="129:129" x14ac:dyDescent="0.2">
      <c r="DY24621" s="185" t="s">
        <v>215</v>
      </c>
    </row>
    <row r="24622" spans="129:129" x14ac:dyDescent="0.2">
      <c r="DY24622" s="185" t="s">
        <v>215</v>
      </c>
    </row>
    <row r="24623" spans="129:129" x14ac:dyDescent="0.2">
      <c r="DY24623" s="185" t="s">
        <v>215</v>
      </c>
    </row>
    <row r="24624" spans="129:129" x14ac:dyDescent="0.2">
      <c r="DY24624" s="185" t="s">
        <v>215</v>
      </c>
    </row>
    <row r="24625" spans="129:129" x14ac:dyDescent="0.2">
      <c r="DY24625" s="185" t="s">
        <v>215</v>
      </c>
    </row>
    <row r="24626" spans="129:129" x14ac:dyDescent="0.2">
      <c r="DY24626" s="185" t="s">
        <v>215</v>
      </c>
    </row>
    <row r="24627" spans="129:129" x14ac:dyDescent="0.2">
      <c r="DY24627" s="185" t="s">
        <v>215</v>
      </c>
    </row>
    <row r="24628" spans="129:129" x14ac:dyDescent="0.2">
      <c r="DY24628" s="185" t="s">
        <v>215</v>
      </c>
    </row>
    <row r="24629" spans="129:129" x14ac:dyDescent="0.2">
      <c r="DY24629" s="185" t="s">
        <v>215</v>
      </c>
    </row>
    <row r="24630" spans="129:129" x14ac:dyDescent="0.2">
      <c r="DY24630" s="185" t="s">
        <v>215</v>
      </c>
    </row>
    <row r="24631" spans="129:129" x14ac:dyDescent="0.2">
      <c r="DY24631" s="185" t="s">
        <v>215</v>
      </c>
    </row>
    <row r="24632" spans="129:129" x14ac:dyDescent="0.2">
      <c r="DY24632" s="185" t="s">
        <v>215</v>
      </c>
    </row>
    <row r="24633" spans="129:129" x14ac:dyDescent="0.2">
      <c r="DY24633" s="185" t="s">
        <v>215</v>
      </c>
    </row>
    <row r="24634" spans="129:129" x14ac:dyDescent="0.2">
      <c r="DY24634" s="185" t="s">
        <v>215</v>
      </c>
    </row>
    <row r="24635" spans="129:129" x14ac:dyDescent="0.2">
      <c r="DY24635" s="185" t="s">
        <v>215</v>
      </c>
    </row>
    <row r="24636" spans="129:129" x14ac:dyDescent="0.2">
      <c r="DY24636" s="185" t="s">
        <v>215</v>
      </c>
    </row>
    <row r="24637" spans="129:129" x14ac:dyDescent="0.2">
      <c r="DY24637" s="185" t="s">
        <v>215</v>
      </c>
    </row>
    <row r="24638" spans="129:129" x14ac:dyDescent="0.2">
      <c r="DY24638" s="185" t="s">
        <v>215</v>
      </c>
    </row>
    <row r="24639" spans="129:129" x14ac:dyDescent="0.2">
      <c r="DY24639" s="185" t="s">
        <v>215</v>
      </c>
    </row>
    <row r="24640" spans="129:129" x14ac:dyDescent="0.2">
      <c r="DY24640" s="185" t="s">
        <v>215</v>
      </c>
    </row>
    <row r="24641" spans="129:129" x14ac:dyDescent="0.2">
      <c r="DY24641" s="185" t="s">
        <v>215</v>
      </c>
    </row>
    <row r="24642" spans="129:129" x14ac:dyDescent="0.2">
      <c r="DY24642" s="185" t="s">
        <v>215</v>
      </c>
    </row>
    <row r="24643" spans="129:129" x14ac:dyDescent="0.2">
      <c r="DY24643" s="185" t="s">
        <v>215</v>
      </c>
    </row>
    <row r="24644" spans="129:129" x14ac:dyDescent="0.2">
      <c r="DY24644" s="185" t="s">
        <v>215</v>
      </c>
    </row>
    <row r="24645" spans="129:129" x14ac:dyDescent="0.2">
      <c r="DY24645" s="185" t="s">
        <v>215</v>
      </c>
    </row>
    <row r="24646" spans="129:129" x14ac:dyDescent="0.2">
      <c r="DY24646" s="185" t="s">
        <v>215</v>
      </c>
    </row>
    <row r="24647" spans="129:129" x14ac:dyDescent="0.2">
      <c r="DY24647" s="185" t="s">
        <v>215</v>
      </c>
    </row>
    <row r="24648" spans="129:129" x14ac:dyDescent="0.2">
      <c r="DY24648" s="185" t="s">
        <v>215</v>
      </c>
    </row>
    <row r="24649" spans="129:129" x14ac:dyDescent="0.2">
      <c r="DY24649" s="185" t="s">
        <v>215</v>
      </c>
    </row>
    <row r="24650" spans="129:129" x14ac:dyDescent="0.2">
      <c r="DY24650" s="185" t="s">
        <v>215</v>
      </c>
    </row>
    <row r="24651" spans="129:129" x14ac:dyDescent="0.2">
      <c r="DY24651" s="185" t="s">
        <v>215</v>
      </c>
    </row>
    <row r="24652" spans="129:129" x14ac:dyDescent="0.2">
      <c r="DY24652" s="185" t="s">
        <v>215</v>
      </c>
    </row>
    <row r="24653" spans="129:129" x14ac:dyDescent="0.2">
      <c r="DY24653" s="185" t="s">
        <v>215</v>
      </c>
    </row>
    <row r="24654" spans="129:129" x14ac:dyDescent="0.2">
      <c r="DY24654" s="185" t="s">
        <v>215</v>
      </c>
    </row>
    <row r="24655" spans="129:129" x14ac:dyDescent="0.2">
      <c r="DY24655" s="185" t="s">
        <v>215</v>
      </c>
    </row>
    <row r="24656" spans="129:129" x14ac:dyDescent="0.2">
      <c r="DY24656" s="185" t="s">
        <v>215</v>
      </c>
    </row>
    <row r="24657" spans="129:129" x14ac:dyDescent="0.2">
      <c r="DY24657" s="185" t="s">
        <v>215</v>
      </c>
    </row>
    <row r="24658" spans="129:129" x14ac:dyDescent="0.2">
      <c r="DY24658" s="185" t="s">
        <v>215</v>
      </c>
    </row>
    <row r="24659" spans="129:129" x14ac:dyDescent="0.2">
      <c r="DY24659" s="185" t="s">
        <v>215</v>
      </c>
    </row>
    <row r="24660" spans="129:129" x14ac:dyDescent="0.2">
      <c r="DY24660" s="185" t="s">
        <v>215</v>
      </c>
    </row>
    <row r="24661" spans="129:129" x14ac:dyDescent="0.2">
      <c r="DY24661" s="185" t="s">
        <v>215</v>
      </c>
    </row>
    <row r="24662" spans="129:129" x14ac:dyDescent="0.2">
      <c r="DY24662" s="185" t="s">
        <v>215</v>
      </c>
    </row>
    <row r="24663" spans="129:129" x14ac:dyDescent="0.2">
      <c r="DY24663" s="185" t="s">
        <v>215</v>
      </c>
    </row>
    <row r="24664" spans="129:129" x14ac:dyDescent="0.2">
      <c r="DY24664" s="185" t="s">
        <v>215</v>
      </c>
    </row>
    <row r="24665" spans="129:129" x14ac:dyDescent="0.2">
      <c r="DY24665" s="185" t="s">
        <v>215</v>
      </c>
    </row>
    <row r="24666" spans="129:129" x14ac:dyDescent="0.2">
      <c r="DY24666" s="185" t="s">
        <v>215</v>
      </c>
    </row>
    <row r="24667" spans="129:129" x14ac:dyDescent="0.2">
      <c r="DY24667" s="185" t="s">
        <v>215</v>
      </c>
    </row>
    <row r="24668" spans="129:129" x14ac:dyDescent="0.2">
      <c r="DY24668" s="185" t="s">
        <v>215</v>
      </c>
    </row>
    <row r="24669" spans="129:129" x14ac:dyDescent="0.2">
      <c r="DY24669" s="185" t="s">
        <v>215</v>
      </c>
    </row>
    <row r="24670" spans="129:129" x14ac:dyDescent="0.2">
      <c r="DY24670" s="185" t="s">
        <v>215</v>
      </c>
    </row>
    <row r="24671" spans="129:129" x14ac:dyDescent="0.2">
      <c r="DY24671" s="185" t="s">
        <v>215</v>
      </c>
    </row>
    <row r="24672" spans="129:129" x14ac:dyDescent="0.2">
      <c r="DY24672" s="185" t="s">
        <v>215</v>
      </c>
    </row>
    <row r="24673" spans="129:129" x14ac:dyDescent="0.2">
      <c r="DY24673" s="185" t="s">
        <v>215</v>
      </c>
    </row>
    <row r="24674" spans="129:129" x14ac:dyDescent="0.2">
      <c r="DY24674" s="185" t="s">
        <v>215</v>
      </c>
    </row>
    <row r="24675" spans="129:129" x14ac:dyDescent="0.2">
      <c r="DY24675" s="185" t="s">
        <v>215</v>
      </c>
    </row>
    <row r="24676" spans="129:129" x14ac:dyDescent="0.2">
      <c r="DY24676" s="185" t="s">
        <v>215</v>
      </c>
    </row>
    <row r="24677" spans="129:129" x14ac:dyDescent="0.2">
      <c r="DY24677" s="185" t="s">
        <v>215</v>
      </c>
    </row>
    <row r="24678" spans="129:129" x14ac:dyDescent="0.2">
      <c r="DY24678" s="185" t="s">
        <v>215</v>
      </c>
    </row>
    <row r="24679" spans="129:129" x14ac:dyDescent="0.2">
      <c r="DY24679" s="185" t="s">
        <v>215</v>
      </c>
    </row>
    <row r="24680" spans="129:129" x14ac:dyDescent="0.2">
      <c r="DY24680" s="185" t="s">
        <v>215</v>
      </c>
    </row>
    <row r="24681" spans="129:129" x14ac:dyDescent="0.2">
      <c r="DY24681" s="185" t="s">
        <v>215</v>
      </c>
    </row>
    <row r="24682" spans="129:129" x14ac:dyDescent="0.2">
      <c r="DY24682" s="185" t="s">
        <v>215</v>
      </c>
    </row>
    <row r="24683" spans="129:129" x14ac:dyDescent="0.2">
      <c r="DY24683" s="185" t="s">
        <v>215</v>
      </c>
    </row>
    <row r="24684" spans="129:129" x14ac:dyDescent="0.2">
      <c r="DY24684" s="185" t="s">
        <v>215</v>
      </c>
    </row>
    <row r="24685" spans="129:129" x14ac:dyDescent="0.2">
      <c r="DY24685" s="185" t="s">
        <v>215</v>
      </c>
    </row>
    <row r="24686" spans="129:129" x14ac:dyDescent="0.2">
      <c r="DY24686" s="185" t="s">
        <v>215</v>
      </c>
    </row>
    <row r="24687" spans="129:129" x14ac:dyDescent="0.2">
      <c r="DY24687" s="185" t="s">
        <v>215</v>
      </c>
    </row>
    <row r="24688" spans="129:129" x14ac:dyDescent="0.2">
      <c r="DY24688" s="185" t="s">
        <v>215</v>
      </c>
    </row>
    <row r="24689" spans="129:129" x14ac:dyDescent="0.2">
      <c r="DY24689" s="185" t="s">
        <v>215</v>
      </c>
    </row>
    <row r="24690" spans="129:129" x14ac:dyDescent="0.2">
      <c r="DY24690" s="185" t="s">
        <v>215</v>
      </c>
    </row>
    <row r="24691" spans="129:129" x14ac:dyDescent="0.2">
      <c r="DY24691" s="185" t="s">
        <v>215</v>
      </c>
    </row>
    <row r="24692" spans="129:129" x14ac:dyDescent="0.2">
      <c r="DY24692" s="185" t="s">
        <v>215</v>
      </c>
    </row>
    <row r="24693" spans="129:129" x14ac:dyDescent="0.2">
      <c r="DY24693" s="185" t="s">
        <v>215</v>
      </c>
    </row>
    <row r="24694" spans="129:129" x14ac:dyDescent="0.2">
      <c r="DY24694" s="185" t="s">
        <v>215</v>
      </c>
    </row>
    <row r="24695" spans="129:129" x14ac:dyDescent="0.2">
      <c r="DY24695" s="185" t="s">
        <v>215</v>
      </c>
    </row>
    <row r="24696" spans="129:129" x14ac:dyDescent="0.2">
      <c r="DY24696" s="185" t="s">
        <v>215</v>
      </c>
    </row>
    <row r="24697" spans="129:129" x14ac:dyDescent="0.2">
      <c r="DY24697" s="185" t="s">
        <v>215</v>
      </c>
    </row>
    <row r="24698" spans="129:129" x14ac:dyDescent="0.2">
      <c r="DY24698" s="185" t="s">
        <v>215</v>
      </c>
    </row>
    <row r="24699" spans="129:129" x14ac:dyDescent="0.2">
      <c r="DY24699" s="185" t="s">
        <v>215</v>
      </c>
    </row>
    <row r="24700" spans="129:129" x14ac:dyDescent="0.2">
      <c r="DY24700" s="185" t="s">
        <v>215</v>
      </c>
    </row>
    <row r="24701" spans="129:129" x14ac:dyDescent="0.2">
      <c r="DY24701" s="185" t="s">
        <v>215</v>
      </c>
    </row>
    <row r="24702" spans="129:129" x14ac:dyDescent="0.2">
      <c r="DY24702" s="185" t="s">
        <v>215</v>
      </c>
    </row>
    <row r="24703" spans="129:129" x14ac:dyDescent="0.2">
      <c r="DY24703" s="185" t="s">
        <v>215</v>
      </c>
    </row>
    <row r="24704" spans="129:129" x14ac:dyDescent="0.2">
      <c r="DY24704" s="185" t="s">
        <v>215</v>
      </c>
    </row>
    <row r="24705" spans="129:129" x14ac:dyDescent="0.2">
      <c r="DY24705" s="185" t="s">
        <v>215</v>
      </c>
    </row>
    <row r="24706" spans="129:129" x14ac:dyDescent="0.2">
      <c r="DY24706" s="185" t="s">
        <v>215</v>
      </c>
    </row>
    <row r="24707" spans="129:129" x14ac:dyDescent="0.2">
      <c r="DY24707" s="185" t="s">
        <v>215</v>
      </c>
    </row>
    <row r="24708" spans="129:129" x14ac:dyDescent="0.2">
      <c r="DY24708" s="185" t="s">
        <v>215</v>
      </c>
    </row>
    <row r="24709" spans="129:129" x14ac:dyDescent="0.2">
      <c r="DY24709" s="185" t="s">
        <v>215</v>
      </c>
    </row>
    <row r="24710" spans="129:129" x14ac:dyDescent="0.2">
      <c r="DY24710" s="185" t="s">
        <v>215</v>
      </c>
    </row>
    <row r="24711" spans="129:129" x14ac:dyDescent="0.2">
      <c r="DY24711" s="185" t="s">
        <v>215</v>
      </c>
    </row>
    <row r="24712" spans="129:129" x14ac:dyDescent="0.2">
      <c r="DY24712" s="185" t="s">
        <v>215</v>
      </c>
    </row>
    <row r="24713" spans="129:129" x14ac:dyDescent="0.2">
      <c r="DY24713" s="185" t="s">
        <v>215</v>
      </c>
    </row>
    <row r="24714" spans="129:129" x14ac:dyDescent="0.2">
      <c r="DY24714" s="185" t="s">
        <v>215</v>
      </c>
    </row>
    <row r="24715" spans="129:129" x14ac:dyDescent="0.2">
      <c r="DY24715" s="185" t="s">
        <v>215</v>
      </c>
    </row>
    <row r="24716" spans="129:129" x14ac:dyDescent="0.2">
      <c r="DY24716" s="185" t="s">
        <v>215</v>
      </c>
    </row>
    <row r="24717" spans="129:129" x14ac:dyDescent="0.2">
      <c r="DY24717" s="185" t="s">
        <v>215</v>
      </c>
    </row>
    <row r="24718" spans="129:129" x14ac:dyDescent="0.2">
      <c r="DY24718" s="185" t="s">
        <v>215</v>
      </c>
    </row>
    <row r="24719" spans="129:129" x14ac:dyDescent="0.2">
      <c r="DY24719" s="185" t="s">
        <v>215</v>
      </c>
    </row>
    <row r="24720" spans="129:129" x14ac:dyDescent="0.2">
      <c r="DY24720" s="185" t="s">
        <v>215</v>
      </c>
    </row>
    <row r="24721" spans="129:129" x14ac:dyDescent="0.2">
      <c r="DY24721" s="185" t="s">
        <v>215</v>
      </c>
    </row>
    <row r="24722" spans="129:129" x14ac:dyDescent="0.2">
      <c r="DY24722" s="185" t="s">
        <v>215</v>
      </c>
    </row>
    <row r="24723" spans="129:129" x14ac:dyDescent="0.2">
      <c r="DY24723" s="185" t="s">
        <v>215</v>
      </c>
    </row>
    <row r="24724" spans="129:129" x14ac:dyDescent="0.2">
      <c r="DY24724" s="185" t="s">
        <v>215</v>
      </c>
    </row>
    <row r="24725" spans="129:129" x14ac:dyDescent="0.2">
      <c r="DY24725" s="185" t="s">
        <v>215</v>
      </c>
    </row>
    <row r="24726" spans="129:129" x14ac:dyDescent="0.2">
      <c r="DY24726" s="185" t="s">
        <v>215</v>
      </c>
    </row>
    <row r="24727" spans="129:129" x14ac:dyDescent="0.2">
      <c r="DY24727" s="185" t="s">
        <v>215</v>
      </c>
    </row>
    <row r="24728" spans="129:129" x14ac:dyDescent="0.2">
      <c r="DY24728" s="185" t="s">
        <v>215</v>
      </c>
    </row>
    <row r="24729" spans="129:129" x14ac:dyDescent="0.2">
      <c r="DY24729" s="185" t="s">
        <v>215</v>
      </c>
    </row>
    <row r="24730" spans="129:129" x14ac:dyDescent="0.2">
      <c r="DY24730" s="185" t="s">
        <v>215</v>
      </c>
    </row>
    <row r="24731" spans="129:129" x14ac:dyDescent="0.2">
      <c r="DY24731" s="185" t="s">
        <v>215</v>
      </c>
    </row>
    <row r="24732" spans="129:129" x14ac:dyDescent="0.2">
      <c r="DY24732" s="185" t="s">
        <v>215</v>
      </c>
    </row>
    <row r="24733" spans="129:129" x14ac:dyDescent="0.2">
      <c r="DY24733" s="185" t="s">
        <v>215</v>
      </c>
    </row>
    <row r="24734" spans="129:129" x14ac:dyDescent="0.2">
      <c r="DY24734" s="185" t="s">
        <v>215</v>
      </c>
    </row>
    <row r="24735" spans="129:129" x14ac:dyDescent="0.2">
      <c r="DY24735" s="185" t="s">
        <v>215</v>
      </c>
    </row>
    <row r="24736" spans="129:129" x14ac:dyDescent="0.2">
      <c r="DY24736" s="185" t="s">
        <v>215</v>
      </c>
    </row>
    <row r="24737" spans="129:129" x14ac:dyDescent="0.2">
      <c r="DY24737" s="185" t="s">
        <v>215</v>
      </c>
    </row>
    <row r="24738" spans="129:129" x14ac:dyDescent="0.2">
      <c r="DY24738" s="185" t="s">
        <v>215</v>
      </c>
    </row>
    <row r="24739" spans="129:129" x14ac:dyDescent="0.2">
      <c r="DY24739" s="185" t="s">
        <v>215</v>
      </c>
    </row>
    <row r="24740" spans="129:129" x14ac:dyDescent="0.2">
      <c r="DY24740" s="185" t="s">
        <v>215</v>
      </c>
    </row>
    <row r="24741" spans="129:129" x14ac:dyDescent="0.2">
      <c r="DY24741" s="185" t="s">
        <v>215</v>
      </c>
    </row>
    <row r="24742" spans="129:129" x14ac:dyDescent="0.2">
      <c r="DY24742" s="185" t="s">
        <v>215</v>
      </c>
    </row>
    <row r="24743" spans="129:129" x14ac:dyDescent="0.2">
      <c r="DY24743" s="185" t="s">
        <v>215</v>
      </c>
    </row>
    <row r="24744" spans="129:129" x14ac:dyDescent="0.2">
      <c r="DY24744" s="185" t="s">
        <v>215</v>
      </c>
    </row>
    <row r="24745" spans="129:129" x14ac:dyDescent="0.2">
      <c r="DY24745" s="185" t="s">
        <v>215</v>
      </c>
    </row>
    <row r="24746" spans="129:129" x14ac:dyDescent="0.2">
      <c r="DY24746" s="185" t="s">
        <v>215</v>
      </c>
    </row>
    <row r="24747" spans="129:129" x14ac:dyDescent="0.2">
      <c r="DY24747" s="185" t="s">
        <v>215</v>
      </c>
    </row>
    <row r="24748" spans="129:129" x14ac:dyDescent="0.2">
      <c r="DY24748" s="185" t="s">
        <v>215</v>
      </c>
    </row>
    <row r="24749" spans="129:129" x14ac:dyDescent="0.2">
      <c r="DY24749" s="185" t="s">
        <v>215</v>
      </c>
    </row>
    <row r="24750" spans="129:129" x14ac:dyDescent="0.2">
      <c r="DY24750" s="185" t="s">
        <v>215</v>
      </c>
    </row>
    <row r="24751" spans="129:129" x14ac:dyDescent="0.2">
      <c r="DY24751" s="185" t="s">
        <v>215</v>
      </c>
    </row>
    <row r="24752" spans="129:129" x14ac:dyDescent="0.2">
      <c r="DY24752" s="185" t="s">
        <v>215</v>
      </c>
    </row>
    <row r="24753" spans="129:129" x14ac:dyDescent="0.2">
      <c r="DY24753" s="185" t="s">
        <v>215</v>
      </c>
    </row>
    <row r="24754" spans="129:129" x14ac:dyDescent="0.2">
      <c r="DY24754" s="185" t="s">
        <v>215</v>
      </c>
    </row>
    <row r="24755" spans="129:129" x14ac:dyDescent="0.2">
      <c r="DY24755" s="185" t="s">
        <v>215</v>
      </c>
    </row>
    <row r="24756" spans="129:129" x14ac:dyDescent="0.2">
      <c r="DY24756" s="185" t="s">
        <v>215</v>
      </c>
    </row>
    <row r="24757" spans="129:129" x14ac:dyDescent="0.2">
      <c r="DY24757" s="185" t="s">
        <v>215</v>
      </c>
    </row>
    <row r="24758" spans="129:129" x14ac:dyDescent="0.2">
      <c r="DY24758" s="185" t="s">
        <v>215</v>
      </c>
    </row>
    <row r="24759" spans="129:129" x14ac:dyDescent="0.2">
      <c r="DY24759" s="185" t="s">
        <v>215</v>
      </c>
    </row>
    <row r="24760" spans="129:129" x14ac:dyDescent="0.2">
      <c r="DY24760" s="185" t="s">
        <v>215</v>
      </c>
    </row>
    <row r="24761" spans="129:129" x14ac:dyDescent="0.2">
      <c r="DY24761" s="185" t="s">
        <v>215</v>
      </c>
    </row>
    <row r="24762" spans="129:129" x14ac:dyDescent="0.2">
      <c r="DY24762" s="185" t="s">
        <v>215</v>
      </c>
    </row>
    <row r="24763" spans="129:129" x14ac:dyDescent="0.2">
      <c r="DY24763" s="185" t="s">
        <v>215</v>
      </c>
    </row>
    <row r="24764" spans="129:129" x14ac:dyDescent="0.2">
      <c r="DY24764" s="185" t="s">
        <v>215</v>
      </c>
    </row>
    <row r="24765" spans="129:129" x14ac:dyDescent="0.2">
      <c r="DY24765" s="185" t="s">
        <v>215</v>
      </c>
    </row>
    <row r="24766" spans="129:129" x14ac:dyDescent="0.2">
      <c r="DY24766" s="185" t="s">
        <v>215</v>
      </c>
    </row>
    <row r="24767" spans="129:129" x14ac:dyDescent="0.2">
      <c r="DY24767" s="185" t="s">
        <v>215</v>
      </c>
    </row>
    <row r="24768" spans="129:129" x14ac:dyDescent="0.2">
      <c r="DY24768" s="185" t="s">
        <v>215</v>
      </c>
    </row>
    <row r="24769" spans="129:129" x14ac:dyDescent="0.2">
      <c r="DY24769" s="185" t="s">
        <v>215</v>
      </c>
    </row>
    <row r="24770" spans="129:129" x14ac:dyDescent="0.2">
      <c r="DY24770" s="185" t="s">
        <v>215</v>
      </c>
    </row>
    <row r="24771" spans="129:129" x14ac:dyDescent="0.2">
      <c r="DY24771" s="185" t="s">
        <v>215</v>
      </c>
    </row>
    <row r="24772" spans="129:129" x14ac:dyDescent="0.2">
      <c r="DY24772" s="185" t="s">
        <v>215</v>
      </c>
    </row>
    <row r="24773" spans="129:129" x14ac:dyDescent="0.2">
      <c r="DY24773" s="185" t="s">
        <v>215</v>
      </c>
    </row>
    <row r="24774" spans="129:129" x14ac:dyDescent="0.2">
      <c r="DY24774" s="185" t="s">
        <v>215</v>
      </c>
    </row>
    <row r="24775" spans="129:129" x14ac:dyDescent="0.2">
      <c r="DY24775" s="185" t="s">
        <v>215</v>
      </c>
    </row>
    <row r="24776" spans="129:129" x14ac:dyDescent="0.2">
      <c r="DY24776" s="185" t="s">
        <v>215</v>
      </c>
    </row>
    <row r="24777" spans="129:129" x14ac:dyDescent="0.2">
      <c r="DY24777" s="185" t="s">
        <v>215</v>
      </c>
    </row>
    <row r="24778" spans="129:129" x14ac:dyDescent="0.2">
      <c r="DY24778" s="185" t="s">
        <v>215</v>
      </c>
    </row>
    <row r="24779" spans="129:129" x14ac:dyDescent="0.2">
      <c r="DY24779" s="185" t="s">
        <v>215</v>
      </c>
    </row>
    <row r="24780" spans="129:129" x14ac:dyDescent="0.2">
      <c r="DY24780" s="185" t="s">
        <v>215</v>
      </c>
    </row>
    <row r="24781" spans="129:129" x14ac:dyDescent="0.2">
      <c r="DY24781" s="185" t="s">
        <v>215</v>
      </c>
    </row>
    <row r="24782" spans="129:129" x14ac:dyDescent="0.2">
      <c r="DY24782" s="185" t="s">
        <v>215</v>
      </c>
    </row>
    <row r="24783" spans="129:129" x14ac:dyDescent="0.2">
      <c r="DY24783" s="185" t="s">
        <v>215</v>
      </c>
    </row>
    <row r="24784" spans="129:129" x14ac:dyDescent="0.2">
      <c r="DY24784" s="185" t="s">
        <v>215</v>
      </c>
    </row>
    <row r="24785" spans="129:129" x14ac:dyDescent="0.2">
      <c r="DY24785" s="185" t="s">
        <v>215</v>
      </c>
    </row>
    <row r="24786" spans="129:129" x14ac:dyDescent="0.2">
      <c r="DY24786" s="185" t="s">
        <v>215</v>
      </c>
    </row>
    <row r="24787" spans="129:129" x14ac:dyDescent="0.2">
      <c r="DY24787" s="185" t="s">
        <v>215</v>
      </c>
    </row>
    <row r="24788" spans="129:129" x14ac:dyDescent="0.2">
      <c r="DY24788" s="185" t="s">
        <v>215</v>
      </c>
    </row>
    <row r="24789" spans="129:129" x14ac:dyDescent="0.2">
      <c r="DY24789" s="185" t="s">
        <v>215</v>
      </c>
    </row>
    <row r="24790" spans="129:129" x14ac:dyDescent="0.2">
      <c r="DY24790" s="185" t="s">
        <v>215</v>
      </c>
    </row>
    <row r="24791" spans="129:129" x14ac:dyDescent="0.2">
      <c r="DY24791" s="185" t="s">
        <v>215</v>
      </c>
    </row>
    <row r="24792" spans="129:129" x14ac:dyDescent="0.2">
      <c r="DY24792" s="185" t="s">
        <v>215</v>
      </c>
    </row>
    <row r="24793" spans="129:129" x14ac:dyDescent="0.2">
      <c r="DY24793" s="185" t="s">
        <v>215</v>
      </c>
    </row>
    <row r="24794" spans="129:129" x14ac:dyDescent="0.2">
      <c r="DY24794" s="185" t="s">
        <v>215</v>
      </c>
    </row>
    <row r="24795" spans="129:129" x14ac:dyDescent="0.2">
      <c r="DY24795" s="185" t="s">
        <v>215</v>
      </c>
    </row>
    <row r="24796" spans="129:129" x14ac:dyDescent="0.2">
      <c r="DY24796" s="185" t="s">
        <v>215</v>
      </c>
    </row>
    <row r="24797" spans="129:129" x14ac:dyDescent="0.2">
      <c r="DY24797" s="185" t="s">
        <v>215</v>
      </c>
    </row>
    <row r="24798" spans="129:129" x14ac:dyDescent="0.2">
      <c r="DY24798" s="185" t="s">
        <v>215</v>
      </c>
    </row>
    <row r="24799" spans="129:129" x14ac:dyDescent="0.2">
      <c r="DY24799" s="185" t="s">
        <v>215</v>
      </c>
    </row>
    <row r="24800" spans="129:129" x14ac:dyDescent="0.2">
      <c r="DY24800" s="185" t="s">
        <v>215</v>
      </c>
    </row>
    <row r="24801" spans="129:129" x14ac:dyDescent="0.2">
      <c r="DY24801" s="185" t="s">
        <v>215</v>
      </c>
    </row>
    <row r="24802" spans="129:129" x14ac:dyDescent="0.2">
      <c r="DY24802" s="185" t="s">
        <v>215</v>
      </c>
    </row>
    <row r="24803" spans="129:129" x14ac:dyDescent="0.2">
      <c r="DY24803" s="185" t="s">
        <v>215</v>
      </c>
    </row>
    <row r="24804" spans="129:129" x14ac:dyDescent="0.2">
      <c r="DY24804" s="185" t="s">
        <v>215</v>
      </c>
    </row>
    <row r="24805" spans="129:129" x14ac:dyDescent="0.2">
      <c r="DY24805" s="185" t="s">
        <v>215</v>
      </c>
    </row>
    <row r="24806" spans="129:129" x14ac:dyDescent="0.2">
      <c r="DY24806" s="185" t="s">
        <v>215</v>
      </c>
    </row>
    <row r="24807" spans="129:129" x14ac:dyDescent="0.2">
      <c r="DY24807" s="185" t="s">
        <v>215</v>
      </c>
    </row>
    <row r="24808" spans="129:129" x14ac:dyDescent="0.2">
      <c r="DY24808" s="185" t="s">
        <v>215</v>
      </c>
    </row>
    <row r="24809" spans="129:129" x14ac:dyDescent="0.2">
      <c r="DY24809" s="185" t="s">
        <v>215</v>
      </c>
    </row>
    <row r="24810" spans="129:129" x14ac:dyDescent="0.2">
      <c r="DY24810" s="185" t="s">
        <v>215</v>
      </c>
    </row>
    <row r="24811" spans="129:129" x14ac:dyDescent="0.2">
      <c r="DY24811" s="185" t="s">
        <v>215</v>
      </c>
    </row>
    <row r="24812" spans="129:129" x14ac:dyDescent="0.2">
      <c r="DY24812" s="185" t="s">
        <v>215</v>
      </c>
    </row>
    <row r="24813" spans="129:129" x14ac:dyDescent="0.2">
      <c r="DY24813" s="185" t="s">
        <v>215</v>
      </c>
    </row>
    <row r="24814" spans="129:129" x14ac:dyDescent="0.2">
      <c r="DY24814" s="185" t="s">
        <v>215</v>
      </c>
    </row>
    <row r="24815" spans="129:129" x14ac:dyDescent="0.2">
      <c r="DY24815" s="185" t="s">
        <v>215</v>
      </c>
    </row>
    <row r="24816" spans="129:129" x14ac:dyDescent="0.2">
      <c r="DY24816" s="185" t="s">
        <v>215</v>
      </c>
    </row>
    <row r="24817" spans="129:129" x14ac:dyDescent="0.2">
      <c r="DY24817" s="185" t="s">
        <v>215</v>
      </c>
    </row>
    <row r="24818" spans="129:129" x14ac:dyDescent="0.2">
      <c r="DY24818" s="185" t="s">
        <v>215</v>
      </c>
    </row>
    <row r="24819" spans="129:129" x14ac:dyDescent="0.2">
      <c r="DY24819" s="185" t="s">
        <v>215</v>
      </c>
    </row>
    <row r="24820" spans="129:129" x14ac:dyDescent="0.2">
      <c r="DY24820" s="185" t="s">
        <v>215</v>
      </c>
    </row>
    <row r="24821" spans="129:129" x14ac:dyDescent="0.2">
      <c r="DY24821" s="185" t="s">
        <v>215</v>
      </c>
    </row>
    <row r="24822" spans="129:129" x14ac:dyDescent="0.2">
      <c r="DY24822" s="185" t="s">
        <v>215</v>
      </c>
    </row>
    <row r="24823" spans="129:129" x14ac:dyDescent="0.2">
      <c r="DY24823" s="185" t="s">
        <v>215</v>
      </c>
    </row>
    <row r="24824" spans="129:129" x14ac:dyDescent="0.2">
      <c r="DY24824" s="185" t="s">
        <v>215</v>
      </c>
    </row>
    <row r="24825" spans="129:129" x14ac:dyDescent="0.2">
      <c r="DY24825" s="185" t="s">
        <v>215</v>
      </c>
    </row>
    <row r="24826" spans="129:129" x14ac:dyDescent="0.2">
      <c r="DY24826" s="185" t="s">
        <v>215</v>
      </c>
    </row>
    <row r="24827" spans="129:129" x14ac:dyDescent="0.2">
      <c r="DY24827" s="185" t="s">
        <v>215</v>
      </c>
    </row>
    <row r="24828" spans="129:129" x14ac:dyDescent="0.2">
      <c r="DY24828" s="185" t="s">
        <v>215</v>
      </c>
    </row>
    <row r="24829" spans="129:129" x14ac:dyDescent="0.2">
      <c r="DY24829" s="185" t="s">
        <v>215</v>
      </c>
    </row>
    <row r="24830" spans="129:129" x14ac:dyDescent="0.2">
      <c r="DY24830" s="185" t="s">
        <v>215</v>
      </c>
    </row>
    <row r="24831" spans="129:129" x14ac:dyDescent="0.2">
      <c r="DY24831" s="185" t="s">
        <v>215</v>
      </c>
    </row>
    <row r="24832" spans="129:129" x14ac:dyDescent="0.2">
      <c r="DY24832" s="185" t="s">
        <v>215</v>
      </c>
    </row>
    <row r="24833" spans="129:129" x14ac:dyDescent="0.2">
      <c r="DY24833" s="185" t="s">
        <v>215</v>
      </c>
    </row>
    <row r="24834" spans="129:129" x14ac:dyDescent="0.2">
      <c r="DY24834" s="185" t="s">
        <v>215</v>
      </c>
    </row>
    <row r="24835" spans="129:129" x14ac:dyDescent="0.2">
      <c r="DY24835" s="185" t="s">
        <v>215</v>
      </c>
    </row>
    <row r="24836" spans="129:129" x14ac:dyDescent="0.2">
      <c r="DY24836" s="185" t="s">
        <v>215</v>
      </c>
    </row>
    <row r="24837" spans="129:129" x14ac:dyDescent="0.2">
      <c r="DY24837" s="185" t="s">
        <v>215</v>
      </c>
    </row>
    <row r="24838" spans="129:129" x14ac:dyDescent="0.2">
      <c r="DY24838" s="185" t="s">
        <v>215</v>
      </c>
    </row>
    <row r="24839" spans="129:129" x14ac:dyDescent="0.2">
      <c r="DY24839" s="185" t="s">
        <v>215</v>
      </c>
    </row>
    <row r="24840" spans="129:129" x14ac:dyDescent="0.2">
      <c r="DY24840" s="185" t="s">
        <v>215</v>
      </c>
    </row>
    <row r="24841" spans="129:129" x14ac:dyDescent="0.2">
      <c r="DY24841" s="185" t="s">
        <v>215</v>
      </c>
    </row>
    <row r="24842" spans="129:129" x14ac:dyDescent="0.2">
      <c r="DY24842" s="185" t="s">
        <v>215</v>
      </c>
    </row>
    <row r="24843" spans="129:129" x14ac:dyDescent="0.2">
      <c r="DY24843" s="185" t="s">
        <v>215</v>
      </c>
    </row>
    <row r="24844" spans="129:129" x14ac:dyDescent="0.2">
      <c r="DY24844" s="185" t="s">
        <v>215</v>
      </c>
    </row>
    <row r="24845" spans="129:129" x14ac:dyDescent="0.2">
      <c r="DY24845" s="185" t="s">
        <v>215</v>
      </c>
    </row>
    <row r="24846" spans="129:129" x14ac:dyDescent="0.2">
      <c r="DY24846" s="185" t="s">
        <v>215</v>
      </c>
    </row>
    <row r="24847" spans="129:129" x14ac:dyDescent="0.2">
      <c r="DY24847" s="185" t="s">
        <v>215</v>
      </c>
    </row>
    <row r="24848" spans="129:129" x14ac:dyDescent="0.2">
      <c r="DY24848" s="185" t="s">
        <v>215</v>
      </c>
    </row>
    <row r="24849" spans="129:129" x14ac:dyDescent="0.2">
      <c r="DY24849" s="185" t="s">
        <v>215</v>
      </c>
    </row>
    <row r="24850" spans="129:129" x14ac:dyDescent="0.2">
      <c r="DY24850" s="185" t="s">
        <v>215</v>
      </c>
    </row>
    <row r="24851" spans="129:129" x14ac:dyDescent="0.2">
      <c r="DY24851" s="185" t="s">
        <v>215</v>
      </c>
    </row>
    <row r="24852" spans="129:129" x14ac:dyDescent="0.2">
      <c r="DY24852" s="185" t="s">
        <v>215</v>
      </c>
    </row>
    <row r="24853" spans="129:129" x14ac:dyDescent="0.2">
      <c r="DY24853" s="185" t="s">
        <v>215</v>
      </c>
    </row>
    <row r="24854" spans="129:129" x14ac:dyDescent="0.2">
      <c r="DY24854" s="185" t="s">
        <v>215</v>
      </c>
    </row>
    <row r="24855" spans="129:129" x14ac:dyDescent="0.2">
      <c r="DY24855" s="185" t="s">
        <v>215</v>
      </c>
    </row>
    <row r="24856" spans="129:129" x14ac:dyDescent="0.2">
      <c r="DY24856" s="185" t="s">
        <v>215</v>
      </c>
    </row>
    <row r="24857" spans="129:129" x14ac:dyDescent="0.2">
      <c r="DY24857" s="185" t="s">
        <v>215</v>
      </c>
    </row>
    <row r="24858" spans="129:129" x14ac:dyDescent="0.2">
      <c r="DY24858" s="185" t="s">
        <v>215</v>
      </c>
    </row>
    <row r="24859" spans="129:129" x14ac:dyDescent="0.2">
      <c r="DY24859" s="185" t="s">
        <v>215</v>
      </c>
    </row>
    <row r="24860" spans="129:129" x14ac:dyDescent="0.2">
      <c r="DY24860" s="185" t="s">
        <v>215</v>
      </c>
    </row>
    <row r="24861" spans="129:129" x14ac:dyDescent="0.2">
      <c r="DY24861" s="185" t="s">
        <v>215</v>
      </c>
    </row>
    <row r="24862" spans="129:129" x14ac:dyDescent="0.2">
      <c r="DY24862" s="185" t="s">
        <v>215</v>
      </c>
    </row>
    <row r="24863" spans="129:129" x14ac:dyDescent="0.2">
      <c r="DY24863" s="185" t="s">
        <v>215</v>
      </c>
    </row>
    <row r="24864" spans="129:129" x14ac:dyDescent="0.2">
      <c r="DY24864" s="185" t="s">
        <v>215</v>
      </c>
    </row>
    <row r="24865" spans="129:129" x14ac:dyDescent="0.2">
      <c r="DY24865" s="185" t="s">
        <v>215</v>
      </c>
    </row>
    <row r="24866" spans="129:129" x14ac:dyDescent="0.2">
      <c r="DY24866" s="185" t="s">
        <v>215</v>
      </c>
    </row>
    <row r="24867" spans="129:129" x14ac:dyDescent="0.2">
      <c r="DY24867" s="185" t="s">
        <v>215</v>
      </c>
    </row>
    <row r="24868" spans="129:129" x14ac:dyDescent="0.2">
      <c r="DY24868" s="185" t="s">
        <v>215</v>
      </c>
    </row>
    <row r="24869" spans="129:129" x14ac:dyDescent="0.2">
      <c r="DY24869" s="185" t="s">
        <v>215</v>
      </c>
    </row>
    <row r="24870" spans="129:129" x14ac:dyDescent="0.2">
      <c r="DY24870" s="185" t="s">
        <v>215</v>
      </c>
    </row>
    <row r="24871" spans="129:129" x14ac:dyDescent="0.2">
      <c r="DY24871" s="185" t="s">
        <v>215</v>
      </c>
    </row>
    <row r="24872" spans="129:129" x14ac:dyDescent="0.2">
      <c r="DY24872" s="185" t="s">
        <v>215</v>
      </c>
    </row>
    <row r="24873" spans="129:129" x14ac:dyDescent="0.2">
      <c r="DY24873" s="185" t="s">
        <v>215</v>
      </c>
    </row>
    <row r="24874" spans="129:129" x14ac:dyDescent="0.2">
      <c r="DY24874" s="185" t="s">
        <v>215</v>
      </c>
    </row>
    <row r="24875" spans="129:129" x14ac:dyDescent="0.2">
      <c r="DY24875" s="185" t="s">
        <v>215</v>
      </c>
    </row>
    <row r="24876" spans="129:129" x14ac:dyDescent="0.2">
      <c r="DY24876" s="185" t="s">
        <v>215</v>
      </c>
    </row>
    <row r="24877" spans="129:129" x14ac:dyDescent="0.2">
      <c r="DY24877" s="185" t="s">
        <v>215</v>
      </c>
    </row>
    <row r="24878" spans="129:129" x14ac:dyDescent="0.2">
      <c r="DY24878" s="185" t="s">
        <v>215</v>
      </c>
    </row>
    <row r="24879" spans="129:129" x14ac:dyDescent="0.2">
      <c r="DY24879" s="185" t="s">
        <v>215</v>
      </c>
    </row>
    <row r="24880" spans="129:129" x14ac:dyDescent="0.2">
      <c r="DY24880" s="185" t="s">
        <v>215</v>
      </c>
    </row>
    <row r="24881" spans="129:129" x14ac:dyDescent="0.2">
      <c r="DY24881" s="185" t="s">
        <v>215</v>
      </c>
    </row>
    <row r="24882" spans="129:129" x14ac:dyDescent="0.2">
      <c r="DY24882" s="185" t="s">
        <v>215</v>
      </c>
    </row>
    <row r="24883" spans="129:129" x14ac:dyDescent="0.2">
      <c r="DY24883" s="185" t="s">
        <v>215</v>
      </c>
    </row>
    <row r="24884" spans="129:129" x14ac:dyDescent="0.2">
      <c r="DY24884" s="185" t="s">
        <v>215</v>
      </c>
    </row>
    <row r="24885" spans="129:129" x14ac:dyDescent="0.2">
      <c r="DY24885" s="185" t="s">
        <v>215</v>
      </c>
    </row>
    <row r="24886" spans="129:129" x14ac:dyDescent="0.2">
      <c r="DY24886" s="185" t="s">
        <v>215</v>
      </c>
    </row>
    <row r="24887" spans="129:129" x14ac:dyDescent="0.2">
      <c r="DY24887" s="185" t="s">
        <v>215</v>
      </c>
    </row>
    <row r="24888" spans="129:129" x14ac:dyDescent="0.2">
      <c r="DY24888" s="185" t="s">
        <v>215</v>
      </c>
    </row>
    <row r="24889" spans="129:129" x14ac:dyDescent="0.2">
      <c r="DY24889" s="185" t="s">
        <v>215</v>
      </c>
    </row>
    <row r="24890" spans="129:129" x14ac:dyDescent="0.2">
      <c r="DY24890" s="185" t="s">
        <v>215</v>
      </c>
    </row>
    <row r="24891" spans="129:129" x14ac:dyDescent="0.2">
      <c r="DY24891" s="185" t="s">
        <v>215</v>
      </c>
    </row>
    <row r="24892" spans="129:129" x14ac:dyDescent="0.2">
      <c r="DY24892" s="185" t="s">
        <v>215</v>
      </c>
    </row>
    <row r="24893" spans="129:129" x14ac:dyDescent="0.2">
      <c r="DY24893" s="185" t="s">
        <v>215</v>
      </c>
    </row>
    <row r="24894" spans="129:129" x14ac:dyDescent="0.2">
      <c r="DY24894" s="185" t="s">
        <v>215</v>
      </c>
    </row>
    <row r="24895" spans="129:129" x14ac:dyDescent="0.2">
      <c r="DY24895" s="185" t="s">
        <v>215</v>
      </c>
    </row>
    <row r="24896" spans="129:129" x14ac:dyDescent="0.2">
      <c r="DY24896" s="185" t="s">
        <v>215</v>
      </c>
    </row>
    <row r="24897" spans="129:129" x14ac:dyDescent="0.2">
      <c r="DY24897" s="185" t="s">
        <v>215</v>
      </c>
    </row>
    <row r="24898" spans="129:129" x14ac:dyDescent="0.2">
      <c r="DY24898" s="185" t="s">
        <v>215</v>
      </c>
    </row>
    <row r="24899" spans="129:129" x14ac:dyDescent="0.2">
      <c r="DY24899" s="185" t="s">
        <v>215</v>
      </c>
    </row>
    <row r="24900" spans="129:129" x14ac:dyDescent="0.2">
      <c r="DY24900" s="185" t="s">
        <v>215</v>
      </c>
    </row>
    <row r="24901" spans="129:129" x14ac:dyDescent="0.2">
      <c r="DY24901" s="185" t="s">
        <v>215</v>
      </c>
    </row>
    <row r="24902" spans="129:129" x14ac:dyDescent="0.2">
      <c r="DY24902" s="185" t="s">
        <v>215</v>
      </c>
    </row>
    <row r="24903" spans="129:129" x14ac:dyDescent="0.2">
      <c r="DY24903" s="185" t="s">
        <v>215</v>
      </c>
    </row>
    <row r="24904" spans="129:129" x14ac:dyDescent="0.2">
      <c r="DY24904" s="185" t="s">
        <v>215</v>
      </c>
    </row>
    <row r="24905" spans="129:129" x14ac:dyDescent="0.2">
      <c r="DY24905" s="185" t="s">
        <v>215</v>
      </c>
    </row>
    <row r="24906" spans="129:129" x14ac:dyDescent="0.2">
      <c r="DY24906" s="185" t="s">
        <v>215</v>
      </c>
    </row>
    <row r="24907" spans="129:129" x14ac:dyDescent="0.2">
      <c r="DY24907" s="185" t="s">
        <v>215</v>
      </c>
    </row>
    <row r="24908" spans="129:129" x14ac:dyDescent="0.2">
      <c r="DY24908" s="185" t="s">
        <v>215</v>
      </c>
    </row>
    <row r="24909" spans="129:129" x14ac:dyDescent="0.2">
      <c r="DY24909" s="185" t="s">
        <v>215</v>
      </c>
    </row>
    <row r="24910" spans="129:129" x14ac:dyDescent="0.2">
      <c r="DY24910" s="185" t="s">
        <v>215</v>
      </c>
    </row>
    <row r="24911" spans="129:129" x14ac:dyDescent="0.2">
      <c r="DY24911" s="185" t="s">
        <v>215</v>
      </c>
    </row>
    <row r="24912" spans="129:129" x14ac:dyDescent="0.2">
      <c r="DY24912" s="185" t="s">
        <v>215</v>
      </c>
    </row>
    <row r="24913" spans="129:129" x14ac:dyDescent="0.2">
      <c r="DY24913" s="185" t="s">
        <v>215</v>
      </c>
    </row>
    <row r="24914" spans="129:129" x14ac:dyDescent="0.2">
      <c r="DY24914" s="185" t="s">
        <v>215</v>
      </c>
    </row>
    <row r="24915" spans="129:129" x14ac:dyDescent="0.2">
      <c r="DY24915" s="185" t="s">
        <v>215</v>
      </c>
    </row>
    <row r="24916" spans="129:129" x14ac:dyDescent="0.2">
      <c r="DY24916" s="185" t="s">
        <v>215</v>
      </c>
    </row>
    <row r="24917" spans="129:129" x14ac:dyDescent="0.2">
      <c r="DY24917" s="185" t="s">
        <v>215</v>
      </c>
    </row>
    <row r="24918" spans="129:129" x14ac:dyDescent="0.2">
      <c r="DY24918" s="185" t="s">
        <v>215</v>
      </c>
    </row>
    <row r="24919" spans="129:129" x14ac:dyDescent="0.2">
      <c r="DY24919" s="185" t="s">
        <v>215</v>
      </c>
    </row>
    <row r="24920" spans="129:129" x14ac:dyDescent="0.2">
      <c r="DY24920" s="185" t="s">
        <v>215</v>
      </c>
    </row>
    <row r="24921" spans="129:129" x14ac:dyDescent="0.2">
      <c r="DY24921" s="185" t="s">
        <v>215</v>
      </c>
    </row>
    <row r="24922" spans="129:129" x14ac:dyDescent="0.2">
      <c r="DY24922" s="185" t="s">
        <v>215</v>
      </c>
    </row>
    <row r="24923" spans="129:129" x14ac:dyDescent="0.2">
      <c r="DY24923" s="185" t="s">
        <v>215</v>
      </c>
    </row>
    <row r="24924" spans="129:129" x14ac:dyDescent="0.2">
      <c r="DY24924" s="185" t="s">
        <v>215</v>
      </c>
    </row>
    <row r="24925" spans="129:129" x14ac:dyDescent="0.2">
      <c r="DY24925" s="185" t="s">
        <v>215</v>
      </c>
    </row>
    <row r="24926" spans="129:129" x14ac:dyDescent="0.2">
      <c r="DY24926" s="185" t="s">
        <v>215</v>
      </c>
    </row>
    <row r="24927" spans="129:129" x14ac:dyDescent="0.2">
      <c r="DY24927" s="185" t="s">
        <v>215</v>
      </c>
    </row>
    <row r="24928" spans="129:129" x14ac:dyDescent="0.2">
      <c r="DY24928" s="185" t="s">
        <v>215</v>
      </c>
    </row>
    <row r="24929" spans="129:129" x14ac:dyDescent="0.2">
      <c r="DY24929" s="185" t="s">
        <v>215</v>
      </c>
    </row>
    <row r="24930" spans="129:129" x14ac:dyDescent="0.2">
      <c r="DY24930" s="185" t="s">
        <v>215</v>
      </c>
    </row>
    <row r="24931" spans="129:129" x14ac:dyDescent="0.2">
      <c r="DY24931" s="185" t="s">
        <v>215</v>
      </c>
    </row>
    <row r="24932" spans="129:129" x14ac:dyDescent="0.2">
      <c r="DY24932" s="185" t="s">
        <v>215</v>
      </c>
    </row>
    <row r="24933" spans="129:129" x14ac:dyDescent="0.2">
      <c r="DY24933" s="185" t="s">
        <v>215</v>
      </c>
    </row>
    <row r="24934" spans="129:129" x14ac:dyDescent="0.2">
      <c r="DY24934" s="185" t="s">
        <v>215</v>
      </c>
    </row>
    <row r="24935" spans="129:129" x14ac:dyDescent="0.2">
      <c r="DY24935" s="185" t="s">
        <v>215</v>
      </c>
    </row>
    <row r="24936" spans="129:129" x14ac:dyDescent="0.2">
      <c r="DY24936" s="185" t="s">
        <v>215</v>
      </c>
    </row>
    <row r="24937" spans="129:129" x14ac:dyDescent="0.2">
      <c r="DY24937" s="185" t="s">
        <v>215</v>
      </c>
    </row>
    <row r="24938" spans="129:129" x14ac:dyDescent="0.2">
      <c r="DY24938" s="185" t="s">
        <v>215</v>
      </c>
    </row>
    <row r="24939" spans="129:129" x14ac:dyDescent="0.2">
      <c r="DY24939" s="185" t="s">
        <v>215</v>
      </c>
    </row>
    <row r="24940" spans="129:129" x14ac:dyDescent="0.2">
      <c r="DY24940" s="185" t="s">
        <v>215</v>
      </c>
    </row>
    <row r="24941" spans="129:129" x14ac:dyDescent="0.2">
      <c r="DY24941" s="185" t="s">
        <v>215</v>
      </c>
    </row>
    <row r="24942" spans="129:129" x14ac:dyDescent="0.2">
      <c r="DY24942" s="185" t="s">
        <v>215</v>
      </c>
    </row>
    <row r="24943" spans="129:129" x14ac:dyDescent="0.2">
      <c r="DY24943" s="185" t="s">
        <v>215</v>
      </c>
    </row>
    <row r="24944" spans="129:129" x14ac:dyDescent="0.2">
      <c r="DY24944" s="185" t="s">
        <v>215</v>
      </c>
    </row>
    <row r="24945" spans="129:129" x14ac:dyDescent="0.2">
      <c r="DY24945" s="185" t="s">
        <v>215</v>
      </c>
    </row>
    <row r="24946" spans="129:129" x14ac:dyDescent="0.2">
      <c r="DY24946" s="185" t="s">
        <v>215</v>
      </c>
    </row>
    <row r="24947" spans="129:129" x14ac:dyDescent="0.2">
      <c r="DY24947" s="185" t="s">
        <v>215</v>
      </c>
    </row>
    <row r="24948" spans="129:129" x14ac:dyDescent="0.2">
      <c r="DY24948" s="185" t="s">
        <v>215</v>
      </c>
    </row>
    <row r="24949" spans="129:129" x14ac:dyDescent="0.2">
      <c r="DY24949" s="185" t="s">
        <v>215</v>
      </c>
    </row>
    <row r="24950" spans="129:129" x14ac:dyDescent="0.2">
      <c r="DY24950" s="185" t="s">
        <v>215</v>
      </c>
    </row>
    <row r="24951" spans="129:129" x14ac:dyDescent="0.2">
      <c r="DY24951" s="185" t="s">
        <v>215</v>
      </c>
    </row>
    <row r="24952" spans="129:129" x14ac:dyDescent="0.2">
      <c r="DY24952" s="185" t="s">
        <v>215</v>
      </c>
    </row>
    <row r="24953" spans="129:129" x14ac:dyDescent="0.2">
      <c r="DY24953" s="185" t="s">
        <v>215</v>
      </c>
    </row>
    <row r="24954" spans="129:129" x14ac:dyDescent="0.2">
      <c r="DY24954" s="185" t="s">
        <v>215</v>
      </c>
    </row>
    <row r="24955" spans="129:129" x14ac:dyDescent="0.2">
      <c r="DY24955" s="185" t="s">
        <v>215</v>
      </c>
    </row>
    <row r="24956" spans="129:129" x14ac:dyDescent="0.2">
      <c r="DY24956" s="185" t="s">
        <v>215</v>
      </c>
    </row>
    <row r="24957" spans="129:129" x14ac:dyDescent="0.2">
      <c r="DY24957" s="185" t="s">
        <v>215</v>
      </c>
    </row>
    <row r="24958" spans="129:129" x14ac:dyDescent="0.2">
      <c r="DY24958" s="185" t="s">
        <v>215</v>
      </c>
    </row>
    <row r="24959" spans="129:129" x14ac:dyDescent="0.2">
      <c r="DY24959" s="185" t="s">
        <v>215</v>
      </c>
    </row>
    <row r="24960" spans="129:129" x14ac:dyDescent="0.2">
      <c r="DY24960" s="185" t="s">
        <v>215</v>
      </c>
    </row>
    <row r="24961" spans="129:129" x14ac:dyDescent="0.2">
      <c r="DY24961" s="185" t="s">
        <v>215</v>
      </c>
    </row>
    <row r="24962" spans="129:129" x14ac:dyDescent="0.2">
      <c r="DY24962" s="185" t="s">
        <v>215</v>
      </c>
    </row>
    <row r="24963" spans="129:129" x14ac:dyDescent="0.2">
      <c r="DY24963" s="185" t="s">
        <v>215</v>
      </c>
    </row>
    <row r="24964" spans="129:129" x14ac:dyDescent="0.2">
      <c r="DY24964" s="185" t="s">
        <v>215</v>
      </c>
    </row>
    <row r="24965" spans="129:129" x14ac:dyDescent="0.2">
      <c r="DY24965" s="185" t="s">
        <v>215</v>
      </c>
    </row>
    <row r="24966" spans="129:129" x14ac:dyDescent="0.2">
      <c r="DY24966" s="185" t="s">
        <v>215</v>
      </c>
    </row>
    <row r="24967" spans="129:129" x14ac:dyDescent="0.2">
      <c r="DY24967" s="185" t="s">
        <v>215</v>
      </c>
    </row>
    <row r="24968" spans="129:129" x14ac:dyDescent="0.2">
      <c r="DY24968" s="185" t="s">
        <v>215</v>
      </c>
    </row>
    <row r="24969" spans="129:129" x14ac:dyDescent="0.2">
      <c r="DY24969" s="185" t="s">
        <v>215</v>
      </c>
    </row>
    <row r="24970" spans="129:129" x14ac:dyDescent="0.2">
      <c r="DY24970" s="185" t="s">
        <v>215</v>
      </c>
    </row>
    <row r="24971" spans="129:129" x14ac:dyDescent="0.2">
      <c r="DY24971" s="185" t="s">
        <v>215</v>
      </c>
    </row>
    <row r="24972" spans="129:129" x14ac:dyDescent="0.2">
      <c r="DY24972" s="185" t="s">
        <v>215</v>
      </c>
    </row>
    <row r="24973" spans="129:129" x14ac:dyDescent="0.2">
      <c r="DY24973" s="185" t="s">
        <v>215</v>
      </c>
    </row>
    <row r="24974" spans="129:129" x14ac:dyDescent="0.2">
      <c r="DY24974" s="185" t="s">
        <v>215</v>
      </c>
    </row>
    <row r="24975" spans="129:129" x14ac:dyDescent="0.2">
      <c r="DY24975" s="185" t="s">
        <v>215</v>
      </c>
    </row>
    <row r="24976" spans="129:129" x14ac:dyDescent="0.2">
      <c r="DY24976" s="185" t="s">
        <v>215</v>
      </c>
    </row>
    <row r="24977" spans="129:129" x14ac:dyDescent="0.2">
      <c r="DY24977" s="185" t="s">
        <v>215</v>
      </c>
    </row>
    <row r="24978" spans="129:129" x14ac:dyDescent="0.2">
      <c r="DY24978" s="185" t="s">
        <v>215</v>
      </c>
    </row>
    <row r="24979" spans="129:129" x14ac:dyDescent="0.2">
      <c r="DY24979" s="185" t="s">
        <v>215</v>
      </c>
    </row>
    <row r="24980" spans="129:129" x14ac:dyDescent="0.2">
      <c r="DY24980" s="185" t="s">
        <v>215</v>
      </c>
    </row>
    <row r="24981" spans="129:129" x14ac:dyDescent="0.2">
      <c r="DY24981" s="185" t="s">
        <v>215</v>
      </c>
    </row>
    <row r="24982" spans="129:129" x14ac:dyDescent="0.2">
      <c r="DY24982" s="185" t="s">
        <v>215</v>
      </c>
    </row>
    <row r="24983" spans="129:129" x14ac:dyDescent="0.2">
      <c r="DY24983" s="185" t="s">
        <v>215</v>
      </c>
    </row>
    <row r="24984" spans="129:129" x14ac:dyDescent="0.2">
      <c r="DY24984" s="185" t="s">
        <v>215</v>
      </c>
    </row>
    <row r="24985" spans="129:129" x14ac:dyDescent="0.2">
      <c r="DY24985" s="185" t="s">
        <v>215</v>
      </c>
    </row>
    <row r="24986" spans="129:129" x14ac:dyDescent="0.2">
      <c r="DY24986" s="185" t="s">
        <v>215</v>
      </c>
    </row>
    <row r="24987" spans="129:129" x14ac:dyDescent="0.2">
      <c r="DY24987" s="185" t="s">
        <v>215</v>
      </c>
    </row>
    <row r="24988" spans="129:129" x14ac:dyDescent="0.2">
      <c r="DY24988" s="185" t="s">
        <v>215</v>
      </c>
    </row>
    <row r="24989" spans="129:129" x14ac:dyDescent="0.2">
      <c r="DY24989" s="185" t="s">
        <v>215</v>
      </c>
    </row>
    <row r="24990" spans="129:129" x14ac:dyDescent="0.2">
      <c r="DY24990" s="185" t="s">
        <v>215</v>
      </c>
    </row>
    <row r="24991" spans="129:129" x14ac:dyDescent="0.2">
      <c r="DY24991" s="185" t="s">
        <v>215</v>
      </c>
    </row>
    <row r="24992" spans="129:129" x14ac:dyDescent="0.2">
      <c r="DY24992" s="185" t="s">
        <v>215</v>
      </c>
    </row>
    <row r="24993" spans="129:129" x14ac:dyDescent="0.2">
      <c r="DY24993" s="185" t="s">
        <v>215</v>
      </c>
    </row>
    <row r="24994" spans="129:129" x14ac:dyDescent="0.2">
      <c r="DY24994" s="185" t="s">
        <v>215</v>
      </c>
    </row>
    <row r="24995" spans="129:129" x14ac:dyDescent="0.2">
      <c r="DY24995" s="185" t="s">
        <v>215</v>
      </c>
    </row>
    <row r="24996" spans="129:129" x14ac:dyDescent="0.2">
      <c r="DY24996" s="185" t="s">
        <v>215</v>
      </c>
    </row>
    <row r="24997" spans="129:129" x14ac:dyDescent="0.2">
      <c r="DY24997" s="185" t="s">
        <v>215</v>
      </c>
    </row>
    <row r="24998" spans="129:129" x14ac:dyDescent="0.2">
      <c r="DY24998" s="185" t="s">
        <v>215</v>
      </c>
    </row>
    <row r="24999" spans="129:129" x14ac:dyDescent="0.2">
      <c r="DY24999" s="185" t="s">
        <v>215</v>
      </c>
    </row>
    <row r="25000" spans="129:129" x14ac:dyDescent="0.2">
      <c r="DY25000" s="185" t="s">
        <v>215</v>
      </c>
    </row>
    <row r="25001" spans="129:129" x14ac:dyDescent="0.2">
      <c r="DY25001" s="185" t="s">
        <v>215</v>
      </c>
    </row>
    <row r="25002" spans="129:129" x14ac:dyDescent="0.2">
      <c r="DY25002" s="185" t="s">
        <v>215</v>
      </c>
    </row>
    <row r="25003" spans="129:129" x14ac:dyDescent="0.2">
      <c r="DY25003" s="185" t="s">
        <v>215</v>
      </c>
    </row>
    <row r="25004" spans="129:129" x14ac:dyDescent="0.2">
      <c r="DY25004" s="185" t="s">
        <v>215</v>
      </c>
    </row>
    <row r="25005" spans="129:129" x14ac:dyDescent="0.2">
      <c r="DY25005" s="185" t="s">
        <v>215</v>
      </c>
    </row>
    <row r="25006" spans="129:129" x14ac:dyDescent="0.2">
      <c r="DY25006" s="185" t="s">
        <v>215</v>
      </c>
    </row>
    <row r="25007" spans="129:129" x14ac:dyDescent="0.2">
      <c r="DY25007" s="185" t="s">
        <v>215</v>
      </c>
    </row>
    <row r="25008" spans="129:129" x14ac:dyDescent="0.2">
      <c r="DY25008" s="185" t="s">
        <v>215</v>
      </c>
    </row>
    <row r="25009" spans="129:129" x14ac:dyDescent="0.2">
      <c r="DY25009" s="185" t="s">
        <v>215</v>
      </c>
    </row>
    <row r="25010" spans="129:129" x14ac:dyDescent="0.2">
      <c r="DY25010" s="185" t="s">
        <v>215</v>
      </c>
    </row>
    <row r="25011" spans="129:129" x14ac:dyDescent="0.2">
      <c r="DY25011" s="185" t="s">
        <v>215</v>
      </c>
    </row>
    <row r="25012" spans="129:129" x14ac:dyDescent="0.2">
      <c r="DY25012" s="185" t="s">
        <v>215</v>
      </c>
    </row>
    <row r="25013" spans="129:129" x14ac:dyDescent="0.2">
      <c r="DY25013" s="185" t="s">
        <v>215</v>
      </c>
    </row>
    <row r="25014" spans="129:129" x14ac:dyDescent="0.2">
      <c r="DY25014" s="185" t="s">
        <v>215</v>
      </c>
    </row>
    <row r="25015" spans="129:129" x14ac:dyDescent="0.2">
      <c r="DY25015" s="185" t="s">
        <v>215</v>
      </c>
    </row>
    <row r="25016" spans="129:129" x14ac:dyDescent="0.2">
      <c r="DY25016" s="185" t="s">
        <v>215</v>
      </c>
    </row>
    <row r="25017" spans="129:129" x14ac:dyDescent="0.2">
      <c r="DY25017" s="185" t="s">
        <v>215</v>
      </c>
    </row>
    <row r="25018" spans="129:129" x14ac:dyDescent="0.2">
      <c r="DY25018" s="185" t="s">
        <v>215</v>
      </c>
    </row>
    <row r="25019" spans="129:129" x14ac:dyDescent="0.2">
      <c r="DY25019" s="185" t="s">
        <v>215</v>
      </c>
    </row>
    <row r="25020" spans="129:129" x14ac:dyDescent="0.2">
      <c r="DY25020" s="185" t="s">
        <v>215</v>
      </c>
    </row>
    <row r="25021" spans="129:129" x14ac:dyDescent="0.2">
      <c r="DY25021" s="185" t="s">
        <v>215</v>
      </c>
    </row>
    <row r="25022" spans="129:129" x14ac:dyDescent="0.2">
      <c r="DY25022" s="185" t="s">
        <v>215</v>
      </c>
    </row>
    <row r="25023" spans="129:129" x14ac:dyDescent="0.2">
      <c r="DY25023" s="185" t="s">
        <v>215</v>
      </c>
    </row>
    <row r="25024" spans="129:129" x14ac:dyDescent="0.2">
      <c r="DY25024" s="185" t="s">
        <v>215</v>
      </c>
    </row>
    <row r="25025" spans="129:129" x14ac:dyDescent="0.2">
      <c r="DY25025" s="185" t="s">
        <v>215</v>
      </c>
    </row>
    <row r="25026" spans="129:129" x14ac:dyDescent="0.2">
      <c r="DY25026" s="185" t="s">
        <v>215</v>
      </c>
    </row>
    <row r="25027" spans="129:129" x14ac:dyDescent="0.2">
      <c r="DY25027" s="185" t="s">
        <v>215</v>
      </c>
    </row>
    <row r="25028" spans="129:129" x14ac:dyDescent="0.2">
      <c r="DY25028" s="185" t="s">
        <v>215</v>
      </c>
    </row>
    <row r="25029" spans="129:129" x14ac:dyDescent="0.2">
      <c r="DY25029" s="185" t="s">
        <v>215</v>
      </c>
    </row>
    <row r="25030" spans="129:129" x14ac:dyDescent="0.2">
      <c r="DY25030" s="185" t="s">
        <v>215</v>
      </c>
    </row>
    <row r="25031" spans="129:129" x14ac:dyDescent="0.2">
      <c r="DY25031" s="185" t="s">
        <v>215</v>
      </c>
    </row>
    <row r="25032" spans="129:129" x14ac:dyDescent="0.2">
      <c r="DY25032" s="185" t="s">
        <v>215</v>
      </c>
    </row>
    <row r="25033" spans="129:129" x14ac:dyDescent="0.2">
      <c r="DY25033" s="185" t="s">
        <v>215</v>
      </c>
    </row>
    <row r="25034" spans="129:129" x14ac:dyDescent="0.2">
      <c r="DY25034" s="185" t="s">
        <v>215</v>
      </c>
    </row>
    <row r="25035" spans="129:129" x14ac:dyDescent="0.2">
      <c r="DY25035" s="185" t="s">
        <v>215</v>
      </c>
    </row>
    <row r="25036" spans="129:129" x14ac:dyDescent="0.2">
      <c r="DY25036" s="185" t="s">
        <v>215</v>
      </c>
    </row>
    <row r="25037" spans="129:129" x14ac:dyDescent="0.2">
      <c r="DY25037" s="185" t="s">
        <v>215</v>
      </c>
    </row>
    <row r="25038" spans="129:129" x14ac:dyDescent="0.2">
      <c r="DY25038" s="185" t="s">
        <v>215</v>
      </c>
    </row>
    <row r="25039" spans="129:129" x14ac:dyDescent="0.2">
      <c r="DY25039" s="185" t="s">
        <v>215</v>
      </c>
    </row>
    <row r="25040" spans="129:129" x14ac:dyDescent="0.2">
      <c r="DY25040" s="185" t="s">
        <v>215</v>
      </c>
    </row>
    <row r="25041" spans="129:129" x14ac:dyDescent="0.2">
      <c r="DY25041" s="185" t="s">
        <v>215</v>
      </c>
    </row>
    <row r="25042" spans="129:129" x14ac:dyDescent="0.2">
      <c r="DY25042" s="185" t="s">
        <v>215</v>
      </c>
    </row>
    <row r="25043" spans="129:129" x14ac:dyDescent="0.2">
      <c r="DY25043" s="185" t="s">
        <v>215</v>
      </c>
    </row>
    <row r="25044" spans="129:129" x14ac:dyDescent="0.2">
      <c r="DY25044" s="185" t="s">
        <v>215</v>
      </c>
    </row>
    <row r="25045" spans="129:129" x14ac:dyDescent="0.2">
      <c r="DY25045" s="185" t="s">
        <v>215</v>
      </c>
    </row>
    <row r="25046" spans="129:129" x14ac:dyDescent="0.2">
      <c r="DY25046" s="185" t="s">
        <v>215</v>
      </c>
    </row>
    <row r="25047" spans="129:129" x14ac:dyDescent="0.2">
      <c r="DY25047" s="185" t="s">
        <v>215</v>
      </c>
    </row>
    <row r="25048" spans="129:129" x14ac:dyDescent="0.2">
      <c r="DY25048" s="185" t="s">
        <v>215</v>
      </c>
    </row>
    <row r="25049" spans="129:129" x14ac:dyDescent="0.2">
      <c r="DY25049" s="185" t="s">
        <v>215</v>
      </c>
    </row>
    <row r="25050" spans="129:129" x14ac:dyDescent="0.2">
      <c r="DY25050" s="185" t="s">
        <v>215</v>
      </c>
    </row>
    <row r="25051" spans="129:129" x14ac:dyDescent="0.2">
      <c r="DY25051" s="185" t="s">
        <v>215</v>
      </c>
    </row>
    <row r="25052" spans="129:129" x14ac:dyDescent="0.2">
      <c r="DY25052" s="185" t="s">
        <v>215</v>
      </c>
    </row>
    <row r="25053" spans="129:129" x14ac:dyDescent="0.2">
      <c r="DY25053" s="185" t="s">
        <v>215</v>
      </c>
    </row>
    <row r="25054" spans="129:129" x14ac:dyDescent="0.2">
      <c r="DY25054" s="185" t="s">
        <v>215</v>
      </c>
    </row>
    <row r="25055" spans="129:129" x14ac:dyDescent="0.2">
      <c r="DY25055" s="185" t="s">
        <v>215</v>
      </c>
    </row>
    <row r="25056" spans="129:129" x14ac:dyDescent="0.2">
      <c r="DY25056" s="185" t="s">
        <v>215</v>
      </c>
    </row>
    <row r="25057" spans="129:129" x14ac:dyDescent="0.2">
      <c r="DY25057" s="185" t="s">
        <v>215</v>
      </c>
    </row>
    <row r="25058" spans="129:129" x14ac:dyDescent="0.2">
      <c r="DY25058" s="185" t="s">
        <v>215</v>
      </c>
    </row>
    <row r="25059" spans="129:129" x14ac:dyDescent="0.2">
      <c r="DY25059" s="185" t="s">
        <v>215</v>
      </c>
    </row>
    <row r="25060" spans="129:129" x14ac:dyDescent="0.2">
      <c r="DY25060" s="185" t="s">
        <v>215</v>
      </c>
    </row>
    <row r="25061" spans="129:129" x14ac:dyDescent="0.2">
      <c r="DY25061" s="185" t="s">
        <v>215</v>
      </c>
    </row>
    <row r="25062" spans="129:129" x14ac:dyDescent="0.2">
      <c r="DY25062" s="185" t="s">
        <v>215</v>
      </c>
    </row>
    <row r="25063" spans="129:129" x14ac:dyDescent="0.2">
      <c r="DY25063" s="185" t="s">
        <v>215</v>
      </c>
    </row>
    <row r="25064" spans="129:129" x14ac:dyDescent="0.2">
      <c r="DY25064" s="185" t="s">
        <v>215</v>
      </c>
    </row>
    <row r="25065" spans="129:129" x14ac:dyDescent="0.2">
      <c r="DY25065" s="185" t="s">
        <v>215</v>
      </c>
    </row>
    <row r="25066" spans="129:129" x14ac:dyDescent="0.2">
      <c r="DY25066" s="185" t="s">
        <v>215</v>
      </c>
    </row>
    <row r="25067" spans="129:129" x14ac:dyDescent="0.2">
      <c r="DY25067" s="185" t="s">
        <v>215</v>
      </c>
    </row>
    <row r="25068" spans="129:129" x14ac:dyDescent="0.2">
      <c r="DY25068" s="185" t="s">
        <v>215</v>
      </c>
    </row>
    <row r="25069" spans="129:129" x14ac:dyDescent="0.2">
      <c r="DY25069" s="185" t="s">
        <v>215</v>
      </c>
    </row>
    <row r="25070" spans="129:129" x14ac:dyDescent="0.2">
      <c r="DY25070" s="185" t="s">
        <v>215</v>
      </c>
    </row>
    <row r="25071" spans="129:129" x14ac:dyDescent="0.2">
      <c r="DY25071" s="185" t="s">
        <v>215</v>
      </c>
    </row>
    <row r="25072" spans="129:129" x14ac:dyDescent="0.2">
      <c r="DY25072" s="185" t="s">
        <v>215</v>
      </c>
    </row>
    <row r="25073" spans="129:129" x14ac:dyDescent="0.2">
      <c r="DY25073" s="185" t="s">
        <v>215</v>
      </c>
    </row>
    <row r="25074" spans="129:129" x14ac:dyDescent="0.2">
      <c r="DY25074" s="185" t="s">
        <v>215</v>
      </c>
    </row>
    <row r="25075" spans="129:129" x14ac:dyDescent="0.2">
      <c r="DY25075" s="185" t="s">
        <v>215</v>
      </c>
    </row>
    <row r="25076" spans="129:129" x14ac:dyDescent="0.2">
      <c r="DY25076" s="185" t="s">
        <v>215</v>
      </c>
    </row>
    <row r="25077" spans="129:129" x14ac:dyDescent="0.2">
      <c r="DY25077" s="185" t="s">
        <v>215</v>
      </c>
    </row>
    <row r="25078" spans="129:129" x14ac:dyDescent="0.2">
      <c r="DY25078" s="185" t="s">
        <v>215</v>
      </c>
    </row>
    <row r="25079" spans="129:129" x14ac:dyDescent="0.2">
      <c r="DY25079" s="185" t="s">
        <v>215</v>
      </c>
    </row>
    <row r="25080" spans="129:129" x14ac:dyDescent="0.2">
      <c r="DY25080" s="185" t="s">
        <v>215</v>
      </c>
    </row>
    <row r="25081" spans="129:129" x14ac:dyDescent="0.2">
      <c r="DY25081" s="185" t="s">
        <v>215</v>
      </c>
    </row>
    <row r="25082" spans="129:129" x14ac:dyDescent="0.2">
      <c r="DY25082" s="185" t="s">
        <v>215</v>
      </c>
    </row>
    <row r="25083" spans="129:129" x14ac:dyDescent="0.2">
      <c r="DY25083" s="185" t="s">
        <v>215</v>
      </c>
    </row>
    <row r="25084" spans="129:129" x14ac:dyDescent="0.2">
      <c r="DY25084" s="185" t="s">
        <v>215</v>
      </c>
    </row>
    <row r="25085" spans="129:129" x14ac:dyDescent="0.2">
      <c r="DY25085" s="185" t="s">
        <v>215</v>
      </c>
    </row>
    <row r="25086" spans="129:129" x14ac:dyDescent="0.2">
      <c r="DY25086" s="185" t="s">
        <v>215</v>
      </c>
    </row>
    <row r="25087" spans="129:129" x14ac:dyDescent="0.2">
      <c r="DY25087" s="185" t="s">
        <v>215</v>
      </c>
    </row>
    <row r="25088" spans="129:129" x14ac:dyDescent="0.2">
      <c r="DY25088" s="185" t="s">
        <v>215</v>
      </c>
    </row>
    <row r="25089" spans="129:129" x14ac:dyDescent="0.2">
      <c r="DY25089" s="185" t="s">
        <v>215</v>
      </c>
    </row>
    <row r="25090" spans="129:129" x14ac:dyDescent="0.2">
      <c r="DY25090" s="185" t="s">
        <v>215</v>
      </c>
    </row>
    <row r="25091" spans="129:129" x14ac:dyDescent="0.2">
      <c r="DY25091" s="185" t="s">
        <v>215</v>
      </c>
    </row>
    <row r="25092" spans="129:129" x14ac:dyDescent="0.2">
      <c r="DY25092" s="185" t="s">
        <v>215</v>
      </c>
    </row>
    <row r="25093" spans="129:129" x14ac:dyDescent="0.2">
      <c r="DY25093" s="185" t="s">
        <v>215</v>
      </c>
    </row>
    <row r="25094" spans="129:129" x14ac:dyDescent="0.2">
      <c r="DY25094" s="185" t="s">
        <v>215</v>
      </c>
    </row>
    <row r="25095" spans="129:129" x14ac:dyDescent="0.2">
      <c r="DY25095" s="185" t="s">
        <v>215</v>
      </c>
    </row>
    <row r="25096" spans="129:129" x14ac:dyDescent="0.2">
      <c r="DY25096" s="185" t="s">
        <v>215</v>
      </c>
    </row>
    <row r="25097" spans="129:129" x14ac:dyDescent="0.2">
      <c r="DY25097" s="185" t="s">
        <v>215</v>
      </c>
    </row>
    <row r="25098" spans="129:129" x14ac:dyDescent="0.2">
      <c r="DY25098" s="185" t="s">
        <v>215</v>
      </c>
    </row>
    <row r="25099" spans="129:129" x14ac:dyDescent="0.2">
      <c r="DY25099" s="185" t="s">
        <v>215</v>
      </c>
    </row>
    <row r="25100" spans="129:129" x14ac:dyDescent="0.2">
      <c r="DY25100" s="185" t="s">
        <v>215</v>
      </c>
    </row>
    <row r="25101" spans="129:129" x14ac:dyDescent="0.2">
      <c r="DY25101" s="185" t="s">
        <v>215</v>
      </c>
    </row>
    <row r="25102" spans="129:129" x14ac:dyDescent="0.2">
      <c r="DY25102" s="185" t="s">
        <v>215</v>
      </c>
    </row>
    <row r="25103" spans="129:129" x14ac:dyDescent="0.2">
      <c r="DY25103" s="185" t="s">
        <v>215</v>
      </c>
    </row>
    <row r="25104" spans="129:129" x14ac:dyDescent="0.2">
      <c r="DY25104" s="185" t="s">
        <v>215</v>
      </c>
    </row>
    <row r="25105" spans="129:129" x14ac:dyDescent="0.2">
      <c r="DY25105" s="185" t="s">
        <v>215</v>
      </c>
    </row>
    <row r="25106" spans="129:129" x14ac:dyDescent="0.2">
      <c r="DY25106" s="185" t="s">
        <v>215</v>
      </c>
    </row>
    <row r="25107" spans="129:129" x14ac:dyDescent="0.2">
      <c r="DY25107" s="185" t="s">
        <v>215</v>
      </c>
    </row>
    <row r="25108" spans="129:129" x14ac:dyDescent="0.2">
      <c r="DY25108" s="185" t="s">
        <v>215</v>
      </c>
    </row>
    <row r="25109" spans="129:129" x14ac:dyDescent="0.2">
      <c r="DY25109" s="185" t="s">
        <v>215</v>
      </c>
    </row>
    <row r="25110" spans="129:129" x14ac:dyDescent="0.2">
      <c r="DY25110" s="185" t="s">
        <v>215</v>
      </c>
    </row>
    <row r="25111" spans="129:129" x14ac:dyDescent="0.2">
      <c r="DY25111" s="185" t="s">
        <v>215</v>
      </c>
    </row>
    <row r="25112" spans="129:129" x14ac:dyDescent="0.2">
      <c r="DY25112" s="185" t="s">
        <v>215</v>
      </c>
    </row>
    <row r="25113" spans="129:129" x14ac:dyDescent="0.2">
      <c r="DY25113" s="185" t="s">
        <v>215</v>
      </c>
    </row>
    <row r="25114" spans="129:129" x14ac:dyDescent="0.2">
      <c r="DY25114" s="185" t="s">
        <v>215</v>
      </c>
    </row>
    <row r="25115" spans="129:129" x14ac:dyDescent="0.2">
      <c r="DY25115" s="185" t="s">
        <v>215</v>
      </c>
    </row>
    <row r="25116" spans="129:129" x14ac:dyDescent="0.2">
      <c r="DY25116" s="185" t="s">
        <v>215</v>
      </c>
    </row>
    <row r="25117" spans="129:129" x14ac:dyDescent="0.2">
      <c r="DY25117" s="185" t="s">
        <v>215</v>
      </c>
    </row>
    <row r="25118" spans="129:129" x14ac:dyDescent="0.2">
      <c r="DY25118" s="185" t="s">
        <v>215</v>
      </c>
    </row>
    <row r="25119" spans="129:129" x14ac:dyDescent="0.2">
      <c r="DY25119" s="185" t="s">
        <v>215</v>
      </c>
    </row>
    <row r="25120" spans="129:129" x14ac:dyDescent="0.2">
      <c r="DY25120" s="185" t="s">
        <v>215</v>
      </c>
    </row>
    <row r="25121" spans="129:129" x14ac:dyDescent="0.2">
      <c r="DY25121" s="185" t="s">
        <v>215</v>
      </c>
    </row>
    <row r="25122" spans="129:129" x14ac:dyDescent="0.2">
      <c r="DY25122" s="185" t="s">
        <v>215</v>
      </c>
    </row>
    <row r="25123" spans="129:129" x14ac:dyDescent="0.2">
      <c r="DY25123" s="185" t="s">
        <v>215</v>
      </c>
    </row>
    <row r="25124" spans="129:129" x14ac:dyDescent="0.2">
      <c r="DY25124" s="185" t="s">
        <v>215</v>
      </c>
    </row>
    <row r="25125" spans="129:129" x14ac:dyDescent="0.2">
      <c r="DY25125" s="185" t="s">
        <v>215</v>
      </c>
    </row>
    <row r="25126" spans="129:129" x14ac:dyDescent="0.2">
      <c r="DY25126" s="185" t="s">
        <v>215</v>
      </c>
    </row>
    <row r="25127" spans="129:129" x14ac:dyDescent="0.2">
      <c r="DY25127" s="185" t="s">
        <v>215</v>
      </c>
    </row>
    <row r="25128" spans="129:129" x14ac:dyDescent="0.2">
      <c r="DY25128" s="185" t="s">
        <v>215</v>
      </c>
    </row>
    <row r="25129" spans="129:129" x14ac:dyDescent="0.2">
      <c r="DY25129" s="185" t="s">
        <v>215</v>
      </c>
    </row>
    <row r="25130" spans="129:129" x14ac:dyDescent="0.2">
      <c r="DY25130" s="185" t="s">
        <v>215</v>
      </c>
    </row>
    <row r="25131" spans="129:129" x14ac:dyDescent="0.2">
      <c r="DY25131" s="185" t="s">
        <v>215</v>
      </c>
    </row>
    <row r="25132" spans="129:129" x14ac:dyDescent="0.2">
      <c r="DY25132" s="185" t="s">
        <v>215</v>
      </c>
    </row>
    <row r="25133" spans="129:129" x14ac:dyDescent="0.2">
      <c r="DY25133" s="185" t="s">
        <v>215</v>
      </c>
    </row>
    <row r="25134" spans="129:129" x14ac:dyDescent="0.2">
      <c r="DY25134" s="185" t="s">
        <v>215</v>
      </c>
    </row>
    <row r="25135" spans="129:129" x14ac:dyDescent="0.2">
      <c r="DY25135" s="185" t="s">
        <v>215</v>
      </c>
    </row>
    <row r="25136" spans="129:129" x14ac:dyDescent="0.2">
      <c r="DY25136" s="185" t="s">
        <v>215</v>
      </c>
    </row>
    <row r="25137" spans="129:129" x14ac:dyDescent="0.2">
      <c r="DY25137" s="185" t="s">
        <v>215</v>
      </c>
    </row>
    <row r="25138" spans="129:129" x14ac:dyDescent="0.2">
      <c r="DY25138" s="185" t="s">
        <v>215</v>
      </c>
    </row>
    <row r="25139" spans="129:129" x14ac:dyDescent="0.2">
      <c r="DY25139" s="185" t="s">
        <v>215</v>
      </c>
    </row>
    <row r="25140" spans="129:129" x14ac:dyDescent="0.2">
      <c r="DY25140" s="185" t="s">
        <v>215</v>
      </c>
    </row>
    <row r="25141" spans="129:129" x14ac:dyDescent="0.2">
      <c r="DY25141" s="185" t="s">
        <v>215</v>
      </c>
    </row>
    <row r="25142" spans="129:129" x14ac:dyDescent="0.2">
      <c r="DY25142" s="185" t="s">
        <v>215</v>
      </c>
    </row>
    <row r="25143" spans="129:129" x14ac:dyDescent="0.2">
      <c r="DY25143" s="185" t="s">
        <v>215</v>
      </c>
    </row>
    <row r="25144" spans="129:129" x14ac:dyDescent="0.2">
      <c r="DY25144" s="185" t="s">
        <v>215</v>
      </c>
    </row>
    <row r="25145" spans="129:129" x14ac:dyDescent="0.2">
      <c r="DY25145" s="185" t="s">
        <v>215</v>
      </c>
    </row>
    <row r="25146" spans="129:129" x14ac:dyDescent="0.2">
      <c r="DY25146" s="185" t="s">
        <v>215</v>
      </c>
    </row>
    <row r="25147" spans="129:129" x14ac:dyDescent="0.2">
      <c r="DY25147" s="185" t="s">
        <v>215</v>
      </c>
    </row>
    <row r="25148" spans="129:129" x14ac:dyDescent="0.2">
      <c r="DY25148" s="185" t="s">
        <v>215</v>
      </c>
    </row>
    <row r="25149" spans="129:129" x14ac:dyDescent="0.2">
      <c r="DY25149" s="185" t="s">
        <v>215</v>
      </c>
    </row>
    <row r="25150" spans="129:129" x14ac:dyDescent="0.2">
      <c r="DY25150" s="185" t="s">
        <v>215</v>
      </c>
    </row>
    <row r="25151" spans="129:129" x14ac:dyDescent="0.2">
      <c r="DY25151" s="185" t="s">
        <v>215</v>
      </c>
    </row>
    <row r="25152" spans="129:129" x14ac:dyDescent="0.2">
      <c r="DY25152" s="185" t="s">
        <v>215</v>
      </c>
    </row>
    <row r="25153" spans="129:129" x14ac:dyDescent="0.2">
      <c r="DY25153" s="185" t="s">
        <v>215</v>
      </c>
    </row>
    <row r="25154" spans="129:129" x14ac:dyDescent="0.2">
      <c r="DY25154" s="185" t="s">
        <v>215</v>
      </c>
    </row>
    <row r="25155" spans="129:129" x14ac:dyDescent="0.2">
      <c r="DY25155" s="185" t="s">
        <v>215</v>
      </c>
    </row>
    <row r="25156" spans="129:129" x14ac:dyDescent="0.2">
      <c r="DY25156" s="185" t="s">
        <v>215</v>
      </c>
    </row>
    <row r="25157" spans="129:129" x14ac:dyDescent="0.2">
      <c r="DY25157" s="185" t="s">
        <v>215</v>
      </c>
    </row>
    <row r="25158" spans="129:129" x14ac:dyDescent="0.2">
      <c r="DY25158" s="185" t="s">
        <v>215</v>
      </c>
    </row>
    <row r="25159" spans="129:129" x14ac:dyDescent="0.2">
      <c r="DY25159" s="185" t="s">
        <v>215</v>
      </c>
    </row>
    <row r="25160" spans="129:129" x14ac:dyDescent="0.2">
      <c r="DY25160" s="185" t="s">
        <v>215</v>
      </c>
    </row>
    <row r="25161" spans="129:129" x14ac:dyDescent="0.2">
      <c r="DY25161" s="185" t="s">
        <v>215</v>
      </c>
    </row>
    <row r="25162" spans="129:129" x14ac:dyDescent="0.2">
      <c r="DY25162" s="185" t="s">
        <v>215</v>
      </c>
    </row>
    <row r="25163" spans="129:129" x14ac:dyDescent="0.2">
      <c r="DY25163" s="185" t="s">
        <v>215</v>
      </c>
    </row>
    <row r="25164" spans="129:129" x14ac:dyDescent="0.2">
      <c r="DY25164" s="185" t="s">
        <v>215</v>
      </c>
    </row>
    <row r="25165" spans="129:129" x14ac:dyDescent="0.2">
      <c r="DY25165" s="185" t="s">
        <v>215</v>
      </c>
    </row>
    <row r="25166" spans="129:129" x14ac:dyDescent="0.2">
      <c r="DY25166" s="185" t="s">
        <v>215</v>
      </c>
    </row>
    <row r="25167" spans="129:129" x14ac:dyDescent="0.2">
      <c r="DY25167" s="185" t="s">
        <v>215</v>
      </c>
    </row>
    <row r="25168" spans="129:129" x14ac:dyDescent="0.2">
      <c r="DY25168" s="185" t="s">
        <v>215</v>
      </c>
    </row>
    <row r="25169" spans="129:129" x14ac:dyDescent="0.2">
      <c r="DY25169" s="185" t="s">
        <v>215</v>
      </c>
    </row>
    <row r="25170" spans="129:129" x14ac:dyDescent="0.2">
      <c r="DY25170" s="185" t="s">
        <v>215</v>
      </c>
    </row>
    <row r="25171" spans="129:129" x14ac:dyDescent="0.2">
      <c r="DY25171" s="185" t="s">
        <v>215</v>
      </c>
    </row>
    <row r="25172" spans="129:129" x14ac:dyDescent="0.2">
      <c r="DY25172" s="185" t="s">
        <v>215</v>
      </c>
    </row>
    <row r="25173" spans="129:129" x14ac:dyDescent="0.2">
      <c r="DY25173" s="185" t="s">
        <v>215</v>
      </c>
    </row>
    <row r="25174" spans="129:129" x14ac:dyDescent="0.2">
      <c r="DY25174" s="185" t="s">
        <v>215</v>
      </c>
    </row>
    <row r="25175" spans="129:129" x14ac:dyDescent="0.2">
      <c r="DY25175" s="185" t="s">
        <v>215</v>
      </c>
    </row>
    <row r="25176" spans="129:129" x14ac:dyDescent="0.2">
      <c r="DY25176" s="185" t="s">
        <v>215</v>
      </c>
    </row>
    <row r="25177" spans="129:129" x14ac:dyDescent="0.2">
      <c r="DY25177" s="185" t="s">
        <v>215</v>
      </c>
    </row>
    <row r="25178" spans="129:129" x14ac:dyDescent="0.2">
      <c r="DY25178" s="185" t="s">
        <v>215</v>
      </c>
    </row>
    <row r="25179" spans="129:129" x14ac:dyDescent="0.2">
      <c r="DY25179" s="185" t="s">
        <v>215</v>
      </c>
    </row>
    <row r="25180" spans="129:129" x14ac:dyDescent="0.2">
      <c r="DY25180" s="185" t="s">
        <v>215</v>
      </c>
    </row>
    <row r="25181" spans="129:129" x14ac:dyDescent="0.2">
      <c r="DY25181" s="185" t="s">
        <v>215</v>
      </c>
    </row>
    <row r="25182" spans="129:129" x14ac:dyDescent="0.2">
      <c r="DY25182" s="185" t="s">
        <v>215</v>
      </c>
    </row>
    <row r="25183" spans="129:129" x14ac:dyDescent="0.2">
      <c r="DY25183" s="185" t="s">
        <v>215</v>
      </c>
    </row>
    <row r="25184" spans="129:129" x14ac:dyDescent="0.2">
      <c r="DY25184" s="185" t="s">
        <v>215</v>
      </c>
    </row>
    <row r="25185" spans="129:129" x14ac:dyDescent="0.2">
      <c r="DY25185" s="185" t="s">
        <v>215</v>
      </c>
    </row>
    <row r="25186" spans="129:129" x14ac:dyDescent="0.2">
      <c r="DY25186" s="185" t="s">
        <v>215</v>
      </c>
    </row>
    <row r="25187" spans="129:129" x14ac:dyDescent="0.2">
      <c r="DY25187" s="185" t="s">
        <v>215</v>
      </c>
    </row>
    <row r="25188" spans="129:129" x14ac:dyDescent="0.2">
      <c r="DY25188" s="185" t="s">
        <v>215</v>
      </c>
    </row>
    <row r="25189" spans="129:129" x14ac:dyDescent="0.2">
      <c r="DY25189" s="185" t="s">
        <v>215</v>
      </c>
    </row>
    <row r="25190" spans="129:129" x14ac:dyDescent="0.2">
      <c r="DY25190" s="185" t="s">
        <v>215</v>
      </c>
    </row>
    <row r="25191" spans="129:129" x14ac:dyDescent="0.2">
      <c r="DY25191" s="185" t="s">
        <v>215</v>
      </c>
    </row>
    <row r="25192" spans="129:129" x14ac:dyDescent="0.2">
      <c r="DY25192" s="185" t="s">
        <v>215</v>
      </c>
    </row>
    <row r="25193" spans="129:129" x14ac:dyDescent="0.2">
      <c r="DY25193" s="185" t="s">
        <v>215</v>
      </c>
    </row>
    <row r="25194" spans="129:129" x14ac:dyDescent="0.2">
      <c r="DY25194" s="185" t="s">
        <v>215</v>
      </c>
    </row>
    <row r="25195" spans="129:129" x14ac:dyDescent="0.2">
      <c r="DY25195" s="185" t="s">
        <v>215</v>
      </c>
    </row>
    <row r="25196" spans="129:129" x14ac:dyDescent="0.2">
      <c r="DY25196" s="185" t="s">
        <v>215</v>
      </c>
    </row>
    <row r="25197" spans="129:129" x14ac:dyDescent="0.2">
      <c r="DY25197" s="185" t="s">
        <v>215</v>
      </c>
    </row>
    <row r="25198" spans="129:129" x14ac:dyDescent="0.2">
      <c r="DY25198" s="185" t="s">
        <v>215</v>
      </c>
    </row>
    <row r="25199" spans="129:129" x14ac:dyDescent="0.2">
      <c r="DY25199" s="185" t="s">
        <v>215</v>
      </c>
    </row>
    <row r="25200" spans="129:129" x14ac:dyDescent="0.2">
      <c r="DY25200" s="185" t="s">
        <v>215</v>
      </c>
    </row>
    <row r="25201" spans="129:129" x14ac:dyDescent="0.2">
      <c r="DY25201" s="185" t="s">
        <v>215</v>
      </c>
    </row>
    <row r="25202" spans="129:129" x14ac:dyDescent="0.2">
      <c r="DY25202" s="185" t="s">
        <v>215</v>
      </c>
    </row>
    <row r="25203" spans="129:129" x14ac:dyDescent="0.2">
      <c r="DY25203" s="185" t="s">
        <v>215</v>
      </c>
    </row>
    <row r="25204" spans="129:129" x14ac:dyDescent="0.2">
      <c r="DY25204" s="185" t="s">
        <v>215</v>
      </c>
    </row>
    <row r="25205" spans="129:129" x14ac:dyDescent="0.2">
      <c r="DY25205" s="185" t="s">
        <v>215</v>
      </c>
    </row>
    <row r="25206" spans="129:129" x14ac:dyDescent="0.2">
      <c r="DY25206" s="185" t="s">
        <v>215</v>
      </c>
    </row>
    <row r="25207" spans="129:129" x14ac:dyDescent="0.2">
      <c r="DY25207" s="185" t="s">
        <v>215</v>
      </c>
    </row>
    <row r="25208" spans="129:129" x14ac:dyDescent="0.2">
      <c r="DY25208" s="185" t="s">
        <v>215</v>
      </c>
    </row>
    <row r="25209" spans="129:129" x14ac:dyDescent="0.2">
      <c r="DY25209" s="185" t="s">
        <v>215</v>
      </c>
    </row>
    <row r="25210" spans="129:129" x14ac:dyDescent="0.2">
      <c r="DY25210" s="185" t="s">
        <v>215</v>
      </c>
    </row>
    <row r="25211" spans="129:129" x14ac:dyDescent="0.2">
      <c r="DY25211" s="185" t="s">
        <v>215</v>
      </c>
    </row>
    <row r="25212" spans="129:129" x14ac:dyDescent="0.2">
      <c r="DY25212" s="185" t="s">
        <v>215</v>
      </c>
    </row>
    <row r="25213" spans="129:129" x14ac:dyDescent="0.2">
      <c r="DY25213" s="185" t="s">
        <v>215</v>
      </c>
    </row>
    <row r="25214" spans="129:129" x14ac:dyDescent="0.2">
      <c r="DY25214" s="185" t="s">
        <v>215</v>
      </c>
    </row>
    <row r="25215" spans="129:129" x14ac:dyDescent="0.2">
      <c r="DY25215" s="185" t="s">
        <v>215</v>
      </c>
    </row>
    <row r="25216" spans="129:129" x14ac:dyDescent="0.2">
      <c r="DY25216" s="185" t="s">
        <v>215</v>
      </c>
    </row>
    <row r="25217" spans="129:129" x14ac:dyDescent="0.2">
      <c r="DY25217" s="185" t="s">
        <v>215</v>
      </c>
    </row>
    <row r="25218" spans="129:129" x14ac:dyDescent="0.2">
      <c r="DY25218" s="185" t="s">
        <v>215</v>
      </c>
    </row>
    <row r="25219" spans="129:129" x14ac:dyDescent="0.2">
      <c r="DY25219" s="185" t="s">
        <v>215</v>
      </c>
    </row>
    <row r="25220" spans="129:129" x14ac:dyDescent="0.2">
      <c r="DY25220" s="185" t="s">
        <v>215</v>
      </c>
    </row>
    <row r="25221" spans="129:129" x14ac:dyDescent="0.2">
      <c r="DY25221" s="185" t="s">
        <v>215</v>
      </c>
    </row>
    <row r="25222" spans="129:129" x14ac:dyDescent="0.2">
      <c r="DY25222" s="185" t="s">
        <v>215</v>
      </c>
    </row>
    <row r="25223" spans="129:129" x14ac:dyDescent="0.2">
      <c r="DY25223" s="185" t="s">
        <v>215</v>
      </c>
    </row>
    <row r="25224" spans="129:129" x14ac:dyDescent="0.2">
      <c r="DY25224" s="185" t="s">
        <v>215</v>
      </c>
    </row>
    <row r="25225" spans="129:129" x14ac:dyDescent="0.2">
      <c r="DY25225" s="185" t="s">
        <v>215</v>
      </c>
    </row>
    <row r="25226" spans="129:129" x14ac:dyDescent="0.2">
      <c r="DY25226" s="185" t="s">
        <v>215</v>
      </c>
    </row>
    <row r="25227" spans="129:129" x14ac:dyDescent="0.2">
      <c r="DY25227" s="185" t="s">
        <v>215</v>
      </c>
    </row>
    <row r="25228" spans="129:129" x14ac:dyDescent="0.2">
      <c r="DY25228" s="185" t="s">
        <v>215</v>
      </c>
    </row>
    <row r="25229" spans="129:129" x14ac:dyDescent="0.2">
      <c r="DY25229" s="185" t="s">
        <v>215</v>
      </c>
    </row>
    <row r="25230" spans="129:129" x14ac:dyDescent="0.2">
      <c r="DY25230" s="185" t="s">
        <v>215</v>
      </c>
    </row>
    <row r="25231" spans="129:129" x14ac:dyDescent="0.2">
      <c r="DY25231" s="185" t="s">
        <v>215</v>
      </c>
    </row>
    <row r="25232" spans="129:129" x14ac:dyDescent="0.2">
      <c r="DY25232" s="185" t="s">
        <v>215</v>
      </c>
    </row>
    <row r="25233" spans="129:129" x14ac:dyDescent="0.2">
      <c r="DY25233" s="185" t="s">
        <v>215</v>
      </c>
    </row>
    <row r="25234" spans="129:129" x14ac:dyDescent="0.2">
      <c r="DY25234" s="185" t="s">
        <v>215</v>
      </c>
    </row>
    <row r="25235" spans="129:129" x14ac:dyDescent="0.2">
      <c r="DY25235" s="185" t="s">
        <v>215</v>
      </c>
    </row>
    <row r="25236" spans="129:129" x14ac:dyDescent="0.2">
      <c r="DY25236" s="185" t="s">
        <v>215</v>
      </c>
    </row>
    <row r="25237" spans="129:129" x14ac:dyDescent="0.2">
      <c r="DY25237" s="185" t="s">
        <v>215</v>
      </c>
    </row>
    <row r="25238" spans="129:129" x14ac:dyDescent="0.2">
      <c r="DY25238" s="185" t="s">
        <v>215</v>
      </c>
    </row>
    <row r="25239" spans="129:129" x14ac:dyDescent="0.2">
      <c r="DY25239" s="185" t="s">
        <v>215</v>
      </c>
    </row>
    <row r="25240" spans="129:129" x14ac:dyDescent="0.2">
      <c r="DY25240" s="185" t="s">
        <v>215</v>
      </c>
    </row>
    <row r="25241" spans="129:129" x14ac:dyDescent="0.2">
      <c r="DY25241" s="185" t="s">
        <v>215</v>
      </c>
    </row>
    <row r="25242" spans="129:129" x14ac:dyDescent="0.2">
      <c r="DY25242" s="185" t="s">
        <v>215</v>
      </c>
    </row>
    <row r="25243" spans="129:129" x14ac:dyDescent="0.2">
      <c r="DY25243" s="185" t="s">
        <v>215</v>
      </c>
    </row>
    <row r="25244" spans="129:129" x14ac:dyDescent="0.2">
      <c r="DY25244" s="185" t="s">
        <v>215</v>
      </c>
    </row>
    <row r="25245" spans="129:129" x14ac:dyDescent="0.2">
      <c r="DY25245" s="185" t="s">
        <v>215</v>
      </c>
    </row>
    <row r="25246" spans="129:129" x14ac:dyDescent="0.2">
      <c r="DY25246" s="185" t="s">
        <v>215</v>
      </c>
    </row>
    <row r="25247" spans="129:129" x14ac:dyDescent="0.2">
      <c r="DY25247" s="185" t="s">
        <v>215</v>
      </c>
    </row>
    <row r="25248" spans="129:129" x14ac:dyDescent="0.2">
      <c r="DY25248" s="185" t="s">
        <v>215</v>
      </c>
    </row>
    <row r="25249" spans="129:129" x14ac:dyDescent="0.2">
      <c r="DY25249" s="185" t="s">
        <v>215</v>
      </c>
    </row>
    <row r="25250" spans="129:129" x14ac:dyDescent="0.2">
      <c r="DY25250" s="185" t="s">
        <v>215</v>
      </c>
    </row>
    <row r="25251" spans="129:129" x14ac:dyDescent="0.2">
      <c r="DY25251" s="185" t="s">
        <v>215</v>
      </c>
    </row>
    <row r="25252" spans="129:129" x14ac:dyDescent="0.2">
      <c r="DY25252" s="185" t="s">
        <v>215</v>
      </c>
    </row>
    <row r="25253" spans="129:129" x14ac:dyDescent="0.2">
      <c r="DY25253" s="185" t="s">
        <v>215</v>
      </c>
    </row>
    <row r="25254" spans="129:129" x14ac:dyDescent="0.2">
      <c r="DY25254" s="185" t="s">
        <v>215</v>
      </c>
    </row>
    <row r="25255" spans="129:129" x14ac:dyDescent="0.2">
      <c r="DY25255" s="185" t="s">
        <v>215</v>
      </c>
    </row>
    <row r="25256" spans="129:129" x14ac:dyDescent="0.2">
      <c r="DY25256" s="185" t="s">
        <v>215</v>
      </c>
    </row>
    <row r="25257" spans="129:129" x14ac:dyDescent="0.2">
      <c r="DY25257" s="185" t="s">
        <v>215</v>
      </c>
    </row>
    <row r="25258" spans="129:129" x14ac:dyDescent="0.2">
      <c r="DY25258" s="185" t="s">
        <v>215</v>
      </c>
    </row>
    <row r="25259" spans="129:129" x14ac:dyDescent="0.2">
      <c r="DY25259" s="185" t="s">
        <v>215</v>
      </c>
    </row>
    <row r="25260" spans="129:129" x14ac:dyDescent="0.2">
      <c r="DY25260" s="185" t="s">
        <v>215</v>
      </c>
    </row>
    <row r="25261" spans="129:129" x14ac:dyDescent="0.2">
      <c r="DY25261" s="185" t="s">
        <v>215</v>
      </c>
    </row>
    <row r="25262" spans="129:129" x14ac:dyDescent="0.2">
      <c r="DY25262" s="185" t="s">
        <v>215</v>
      </c>
    </row>
    <row r="25263" spans="129:129" x14ac:dyDescent="0.2">
      <c r="DY25263" s="185" t="s">
        <v>215</v>
      </c>
    </row>
    <row r="25264" spans="129:129" x14ac:dyDescent="0.2">
      <c r="DY25264" s="185" t="s">
        <v>215</v>
      </c>
    </row>
    <row r="25265" spans="129:129" x14ac:dyDescent="0.2">
      <c r="DY25265" s="185" t="s">
        <v>215</v>
      </c>
    </row>
    <row r="25266" spans="129:129" x14ac:dyDescent="0.2">
      <c r="DY25266" s="185" t="s">
        <v>215</v>
      </c>
    </row>
    <row r="25267" spans="129:129" x14ac:dyDescent="0.2">
      <c r="DY25267" s="185" t="s">
        <v>215</v>
      </c>
    </row>
    <row r="25268" spans="129:129" x14ac:dyDescent="0.2">
      <c r="DY25268" s="185" t="s">
        <v>215</v>
      </c>
    </row>
    <row r="25269" spans="129:129" x14ac:dyDescent="0.2">
      <c r="DY25269" s="185" t="s">
        <v>215</v>
      </c>
    </row>
    <row r="25270" spans="129:129" x14ac:dyDescent="0.2">
      <c r="DY25270" s="185" t="s">
        <v>215</v>
      </c>
    </row>
    <row r="25271" spans="129:129" x14ac:dyDescent="0.2">
      <c r="DY25271" s="185" t="s">
        <v>215</v>
      </c>
    </row>
    <row r="25272" spans="129:129" x14ac:dyDescent="0.2">
      <c r="DY25272" s="185" t="s">
        <v>215</v>
      </c>
    </row>
    <row r="25273" spans="129:129" x14ac:dyDescent="0.2">
      <c r="DY25273" s="185" t="s">
        <v>215</v>
      </c>
    </row>
    <row r="25274" spans="129:129" x14ac:dyDescent="0.2">
      <c r="DY25274" s="185" t="s">
        <v>215</v>
      </c>
    </row>
    <row r="25275" spans="129:129" x14ac:dyDescent="0.2">
      <c r="DY25275" s="185" t="s">
        <v>215</v>
      </c>
    </row>
    <row r="25276" spans="129:129" x14ac:dyDescent="0.2">
      <c r="DY25276" s="185" t="s">
        <v>215</v>
      </c>
    </row>
    <row r="25277" spans="129:129" x14ac:dyDescent="0.2">
      <c r="DY25277" s="185" t="s">
        <v>215</v>
      </c>
    </row>
    <row r="25278" spans="129:129" x14ac:dyDescent="0.2">
      <c r="DY25278" s="185" t="s">
        <v>215</v>
      </c>
    </row>
    <row r="25279" spans="129:129" x14ac:dyDescent="0.2">
      <c r="DY25279" s="185" t="s">
        <v>215</v>
      </c>
    </row>
    <row r="25280" spans="129:129" x14ac:dyDescent="0.2">
      <c r="DY25280" s="185" t="s">
        <v>215</v>
      </c>
    </row>
    <row r="25281" spans="129:129" x14ac:dyDescent="0.2">
      <c r="DY25281" s="185" t="s">
        <v>215</v>
      </c>
    </row>
    <row r="25282" spans="129:129" x14ac:dyDescent="0.2">
      <c r="DY25282" s="185" t="s">
        <v>215</v>
      </c>
    </row>
    <row r="25283" spans="129:129" x14ac:dyDescent="0.2">
      <c r="DY25283" s="185" t="s">
        <v>215</v>
      </c>
    </row>
    <row r="25284" spans="129:129" x14ac:dyDescent="0.2">
      <c r="DY25284" s="185" t="s">
        <v>215</v>
      </c>
    </row>
    <row r="25285" spans="129:129" x14ac:dyDescent="0.2">
      <c r="DY25285" s="185" t="s">
        <v>215</v>
      </c>
    </row>
    <row r="25286" spans="129:129" x14ac:dyDescent="0.2">
      <c r="DY25286" s="185" t="s">
        <v>215</v>
      </c>
    </row>
    <row r="25287" spans="129:129" x14ac:dyDescent="0.2">
      <c r="DY25287" s="185" t="s">
        <v>215</v>
      </c>
    </row>
    <row r="25288" spans="129:129" x14ac:dyDescent="0.2">
      <c r="DY25288" s="185" t="s">
        <v>215</v>
      </c>
    </row>
    <row r="25289" spans="129:129" x14ac:dyDescent="0.2">
      <c r="DY25289" s="185" t="s">
        <v>215</v>
      </c>
    </row>
    <row r="25290" spans="129:129" x14ac:dyDescent="0.2">
      <c r="DY25290" s="185" t="s">
        <v>215</v>
      </c>
    </row>
    <row r="25291" spans="129:129" x14ac:dyDescent="0.2">
      <c r="DY25291" s="185" t="s">
        <v>215</v>
      </c>
    </row>
    <row r="25292" spans="129:129" x14ac:dyDescent="0.2">
      <c r="DY25292" s="185" t="s">
        <v>215</v>
      </c>
    </row>
    <row r="25293" spans="129:129" x14ac:dyDescent="0.2">
      <c r="DY25293" s="185" t="s">
        <v>215</v>
      </c>
    </row>
    <row r="25294" spans="129:129" x14ac:dyDescent="0.2">
      <c r="DY25294" s="185" t="s">
        <v>215</v>
      </c>
    </row>
    <row r="25295" spans="129:129" x14ac:dyDescent="0.2">
      <c r="DY25295" s="185" t="s">
        <v>215</v>
      </c>
    </row>
    <row r="25296" spans="129:129" x14ac:dyDescent="0.2">
      <c r="DY25296" s="185" t="s">
        <v>215</v>
      </c>
    </row>
    <row r="25297" spans="129:129" x14ac:dyDescent="0.2">
      <c r="DY25297" s="185" t="s">
        <v>215</v>
      </c>
    </row>
    <row r="25298" spans="129:129" x14ac:dyDescent="0.2">
      <c r="DY25298" s="185" t="s">
        <v>215</v>
      </c>
    </row>
    <row r="25299" spans="129:129" x14ac:dyDescent="0.2">
      <c r="DY25299" s="185" t="s">
        <v>215</v>
      </c>
    </row>
    <row r="25300" spans="129:129" x14ac:dyDescent="0.2">
      <c r="DY25300" s="185" t="s">
        <v>215</v>
      </c>
    </row>
    <row r="25301" spans="129:129" x14ac:dyDescent="0.2">
      <c r="DY25301" s="185" t="s">
        <v>215</v>
      </c>
    </row>
    <row r="25302" spans="129:129" x14ac:dyDescent="0.2">
      <c r="DY25302" s="185" t="s">
        <v>215</v>
      </c>
    </row>
    <row r="25303" spans="129:129" x14ac:dyDescent="0.2">
      <c r="DY25303" s="185" t="s">
        <v>215</v>
      </c>
    </row>
    <row r="25304" spans="129:129" x14ac:dyDescent="0.2">
      <c r="DY25304" s="185" t="s">
        <v>215</v>
      </c>
    </row>
    <row r="25305" spans="129:129" x14ac:dyDescent="0.2">
      <c r="DY25305" s="185" t="s">
        <v>215</v>
      </c>
    </row>
    <row r="25306" spans="129:129" x14ac:dyDescent="0.2">
      <c r="DY25306" s="185" t="s">
        <v>215</v>
      </c>
    </row>
    <row r="25307" spans="129:129" x14ac:dyDescent="0.2">
      <c r="DY25307" s="185" t="s">
        <v>215</v>
      </c>
    </row>
    <row r="25308" spans="129:129" x14ac:dyDescent="0.2">
      <c r="DY25308" s="185" t="s">
        <v>215</v>
      </c>
    </row>
    <row r="25309" spans="129:129" x14ac:dyDescent="0.2">
      <c r="DY25309" s="185" t="s">
        <v>215</v>
      </c>
    </row>
    <row r="25310" spans="129:129" x14ac:dyDescent="0.2">
      <c r="DY25310" s="185" t="s">
        <v>215</v>
      </c>
    </row>
    <row r="25311" spans="129:129" x14ac:dyDescent="0.2">
      <c r="DY25311" s="185" t="s">
        <v>215</v>
      </c>
    </row>
    <row r="25312" spans="129:129" x14ac:dyDescent="0.2">
      <c r="DY25312" s="185" t="s">
        <v>215</v>
      </c>
    </row>
    <row r="25313" spans="129:129" x14ac:dyDescent="0.2">
      <c r="DY25313" s="185" t="s">
        <v>215</v>
      </c>
    </row>
    <row r="25314" spans="129:129" x14ac:dyDescent="0.2">
      <c r="DY25314" s="185" t="s">
        <v>215</v>
      </c>
    </row>
    <row r="25315" spans="129:129" x14ac:dyDescent="0.2">
      <c r="DY25315" s="185" t="s">
        <v>215</v>
      </c>
    </row>
    <row r="25316" spans="129:129" x14ac:dyDescent="0.2">
      <c r="DY25316" s="185" t="s">
        <v>215</v>
      </c>
    </row>
    <row r="25317" spans="129:129" x14ac:dyDescent="0.2">
      <c r="DY25317" s="185" t="s">
        <v>215</v>
      </c>
    </row>
    <row r="25318" spans="129:129" x14ac:dyDescent="0.2">
      <c r="DY25318" s="185" t="s">
        <v>215</v>
      </c>
    </row>
    <row r="25319" spans="129:129" x14ac:dyDescent="0.2">
      <c r="DY25319" s="185" t="s">
        <v>215</v>
      </c>
    </row>
    <row r="25320" spans="129:129" x14ac:dyDescent="0.2">
      <c r="DY25320" s="185" t="s">
        <v>215</v>
      </c>
    </row>
    <row r="25321" spans="129:129" x14ac:dyDescent="0.2">
      <c r="DY25321" s="185" t="s">
        <v>215</v>
      </c>
    </row>
    <row r="25322" spans="129:129" x14ac:dyDescent="0.2">
      <c r="DY25322" s="185" t="s">
        <v>215</v>
      </c>
    </row>
    <row r="25323" spans="129:129" x14ac:dyDescent="0.2">
      <c r="DY25323" s="185" t="s">
        <v>215</v>
      </c>
    </row>
    <row r="25324" spans="129:129" x14ac:dyDescent="0.2">
      <c r="DY25324" s="185" t="s">
        <v>215</v>
      </c>
    </row>
    <row r="25325" spans="129:129" x14ac:dyDescent="0.2">
      <c r="DY25325" s="185" t="s">
        <v>215</v>
      </c>
    </row>
    <row r="25326" spans="129:129" x14ac:dyDescent="0.2">
      <c r="DY25326" s="185" t="s">
        <v>215</v>
      </c>
    </row>
    <row r="25327" spans="129:129" x14ac:dyDescent="0.2">
      <c r="DY25327" s="185" t="s">
        <v>215</v>
      </c>
    </row>
    <row r="25328" spans="129:129" x14ac:dyDescent="0.2">
      <c r="DY25328" s="185" t="s">
        <v>215</v>
      </c>
    </row>
    <row r="25329" spans="129:129" x14ac:dyDescent="0.2">
      <c r="DY25329" s="185" t="s">
        <v>215</v>
      </c>
    </row>
    <row r="25330" spans="129:129" x14ac:dyDescent="0.2">
      <c r="DY25330" s="185" t="s">
        <v>215</v>
      </c>
    </row>
    <row r="25331" spans="129:129" x14ac:dyDescent="0.2">
      <c r="DY25331" s="185" t="s">
        <v>215</v>
      </c>
    </row>
    <row r="25332" spans="129:129" x14ac:dyDescent="0.2">
      <c r="DY25332" s="185" t="s">
        <v>215</v>
      </c>
    </row>
    <row r="25333" spans="129:129" x14ac:dyDescent="0.2">
      <c r="DY25333" s="185" t="s">
        <v>215</v>
      </c>
    </row>
    <row r="25334" spans="129:129" x14ac:dyDescent="0.2">
      <c r="DY25334" s="185" t="s">
        <v>215</v>
      </c>
    </row>
    <row r="25335" spans="129:129" x14ac:dyDescent="0.2">
      <c r="DY25335" s="185" t="s">
        <v>215</v>
      </c>
    </row>
    <row r="25336" spans="129:129" x14ac:dyDescent="0.2">
      <c r="DY25336" s="185" t="s">
        <v>215</v>
      </c>
    </row>
    <row r="25337" spans="129:129" x14ac:dyDescent="0.2">
      <c r="DY25337" s="185" t="s">
        <v>215</v>
      </c>
    </row>
    <row r="25338" spans="129:129" x14ac:dyDescent="0.2">
      <c r="DY25338" s="185" t="s">
        <v>215</v>
      </c>
    </row>
    <row r="25339" spans="129:129" x14ac:dyDescent="0.2">
      <c r="DY25339" s="185" t="s">
        <v>215</v>
      </c>
    </row>
    <row r="25340" spans="129:129" x14ac:dyDescent="0.2">
      <c r="DY25340" s="185" t="s">
        <v>215</v>
      </c>
    </row>
    <row r="25341" spans="129:129" x14ac:dyDescent="0.2">
      <c r="DY25341" s="185" t="s">
        <v>215</v>
      </c>
    </row>
    <row r="25342" spans="129:129" x14ac:dyDescent="0.2">
      <c r="DY25342" s="185" t="s">
        <v>215</v>
      </c>
    </row>
    <row r="25343" spans="129:129" x14ac:dyDescent="0.2">
      <c r="DY25343" s="185" t="s">
        <v>215</v>
      </c>
    </row>
    <row r="25344" spans="129:129" x14ac:dyDescent="0.2">
      <c r="DY25344" s="185" t="s">
        <v>215</v>
      </c>
    </row>
    <row r="25345" spans="129:129" x14ac:dyDescent="0.2">
      <c r="DY25345" s="185" t="s">
        <v>215</v>
      </c>
    </row>
    <row r="25346" spans="129:129" x14ac:dyDescent="0.2">
      <c r="DY25346" s="185" t="s">
        <v>215</v>
      </c>
    </row>
    <row r="25347" spans="129:129" x14ac:dyDescent="0.2">
      <c r="DY25347" s="185" t="s">
        <v>215</v>
      </c>
    </row>
    <row r="25348" spans="129:129" x14ac:dyDescent="0.2">
      <c r="DY25348" s="185" t="s">
        <v>215</v>
      </c>
    </row>
    <row r="25349" spans="129:129" x14ac:dyDescent="0.2">
      <c r="DY25349" s="185" t="s">
        <v>215</v>
      </c>
    </row>
    <row r="25350" spans="129:129" x14ac:dyDescent="0.2">
      <c r="DY25350" s="185" t="s">
        <v>215</v>
      </c>
    </row>
    <row r="25351" spans="129:129" x14ac:dyDescent="0.2">
      <c r="DY25351" s="185" t="s">
        <v>215</v>
      </c>
    </row>
    <row r="25352" spans="129:129" x14ac:dyDescent="0.2">
      <c r="DY25352" s="185" t="s">
        <v>215</v>
      </c>
    </row>
    <row r="25353" spans="129:129" x14ac:dyDescent="0.2">
      <c r="DY25353" s="185" t="s">
        <v>215</v>
      </c>
    </row>
    <row r="25354" spans="129:129" x14ac:dyDescent="0.2">
      <c r="DY25354" s="185" t="s">
        <v>215</v>
      </c>
    </row>
    <row r="25355" spans="129:129" x14ac:dyDescent="0.2">
      <c r="DY25355" s="185" t="s">
        <v>215</v>
      </c>
    </row>
    <row r="25356" spans="129:129" x14ac:dyDescent="0.2">
      <c r="DY25356" s="185" t="s">
        <v>215</v>
      </c>
    </row>
    <row r="25357" spans="129:129" x14ac:dyDescent="0.2">
      <c r="DY25357" s="185" t="s">
        <v>215</v>
      </c>
    </row>
    <row r="25358" spans="129:129" x14ac:dyDescent="0.2">
      <c r="DY25358" s="185" t="s">
        <v>215</v>
      </c>
    </row>
    <row r="25359" spans="129:129" x14ac:dyDescent="0.2">
      <c r="DY25359" s="185" t="s">
        <v>215</v>
      </c>
    </row>
    <row r="25360" spans="129:129" x14ac:dyDescent="0.2">
      <c r="DY25360" s="185" t="s">
        <v>215</v>
      </c>
    </row>
    <row r="25361" spans="129:129" x14ac:dyDescent="0.2">
      <c r="DY25361" s="185" t="s">
        <v>215</v>
      </c>
    </row>
    <row r="25362" spans="129:129" x14ac:dyDescent="0.2">
      <c r="DY25362" s="185" t="s">
        <v>215</v>
      </c>
    </row>
    <row r="25363" spans="129:129" x14ac:dyDescent="0.2">
      <c r="DY25363" s="185" t="s">
        <v>215</v>
      </c>
    </row>
    <row r="25364" spans="129:129" x14ac:dyDescent="0.2">
      <c r="DY25364" s="185" t="s">
        <v>215</v>
      </c>
    </row>
    <row r="25365" spans="129:129" x14ac:dyDescent="0.2">
      <c r="DY25365" s="185" t="s">
        <v>215</v>
      </c>
    </row>
    <row r="25366" spans="129:129" x14ac:dyDescent="0.2">
      <c r="DY25366" s="185" t="s">
        <v>215</v>
      </c>
    </row>
    <row r="25367" spans="129:129" x14ac:dyDescent="0.2">
      <c r="DY25367" s="185" t="s">
        <v>215</v>
      </c>
    </row>
    <row r="25368" spans="129:129" x14ac:dyDescent="0.2">
      <c r="DY25368" s="185" t="s">
        <v>215</v>
      </c>
    </row>
    <row r="25369" spans="129:129" x14ac:dyDescent="0.2">
      <c r="DY25369" s="185" t="s">
        <v>215</v>
      </c>
    </row>
    <row r="25370" spans="129:129" x14ac:dyDescent="0.2">
      <c r="DY25370" s="185" t="s">
        <v>215</v>
      </c>
    </row>
    <row r="25371" spans="129:129" x14ac:dyDescent="0.2">
      <c r="DY25371" s="185" t="s">
        <v>215</v>
      </c>
    </row>
    <row r="25372" spans="129:129" x14ac:dyDescent="0.2">
      <c r="DY25372" s="185" t="s">
        <v>215</v>
      </c>
    </row>
    <row r="25373" spans="129:129" x14ac:dyDescent="0.2">
      <c r="DY25373" s="185" t="s">
        <v>215</v>
      </c>
    </row>
    <row r="25374" spans="129:129" x14ac:dyDescent="0.2">
      <c r="DY25374" s="185" t="s">
        <v>215</v>
      </c>
    </row>
    <row r="25375" spans="129:129" x14ac:dyDescent="0.2">
      <c r="DY25375" s="185" t="s">
        <v>215</v>
      </c>
    </row>
    <row r="25376" spans="129:129" x14ac:dyDescent="0.2">
      <c r="DY25376" s="185" t="s">
        <v>215</v>
      </c>
    </row>
    <row r="25377" spans="129:129" x14ac:dyDescent="0.2">
      <c r="DY25377" s="185" t="s">
        <v>215</v>
      </c>
    </row>
    <row r="25378" spans="129:129" x14ac:dyDescent="0.2">
      <c r="DY25378" s="185" t="s">
        <v>215</v>
      </c>
    </row>
    <row r="25379" spans="129:129" x14ac:dyDescent="0.2">
      <c r="DY25379" s="185" t="s">
        <v>215</v>
      </c>
    </row>
    <row r="25380" spans="129:129" x14ac:dyDescent="0.2">
      <c r="DY25380" s="185" t="s">
        <v>215</v>
      </c>
    </row>
    <row r="25381" spans="129:129" x14ac:dyDescent="0.2">
      <c r="DY25381" s="185" t="s">
        <v>215</v>
      </c>
    </row>
    <row r="25382" spans="129:129" x14ac:dyDescent="0.2">
      <c r="DY25382" s="185" t="s">
        <v>215</v>
      </c>
    </row>
    <row r="25383" spans="129:129" x14ac:dyDescent="0.2">
      <c r="DY25383" s="185" t="s">
        <v>215</v>
      </c>
    </row>
    <row r="25384" spans="129:129" x14ac:dyDescent="0.2">
      <c r="DY25384" s="185" t="s">
        <v>215</v>
      </c>
    </row>
    <row r="25385" spans="129:129" x14ac:dyDescent="0.2">
      <c r="DY25385" s="185" t="s">
        <v>215</v>
      </c>
    </row>
    <row r="25386" spans="129:129" x14ac:dyDescent="0.2">
      <c r="DY25386" s="185" t="s">
        <v>215</v>
      </c>
    </row>
    <row r="25387" spans="129:129" x14ac:dyDescent="0.2">
      <c r="DY25387" s="185" t="s">
        <v>215</v>
      </c>
    </row>
    <row r="25388" spans="129:129" x14ac:dyDescent="0.2">
      <c r="DY25388" s="185" t="s">
        <v>215</v>
      </c>
    </row>
    <row r="25389" spans="129:129" x14ac:dyDescent="0.2">
      <c r="DY25389" s="185" t="s">
        <v>215</v>
      </c>
    </row>
    <row r="25390" spans="129:129" x14ac:dyDescent="0.2">
      <c r="DY25390" s="185" t="s">
        <v>215</v>
      </c>
    </row>
    <row r="25391" spans="129:129" x14ac:dyDescent="0.2">
      <c r="DY25391" s="185" t="s">
        <v>215</v>
      </c>
    </row>
    <row r="25392" spans="129:129" x14ac:dyDescent="0.2">
      <c r="DY25392" s="185" t="s">
        <v>215</v>
      </c>
    </row>
    <row r="25393" spans="129:129" x14ac:dyDescent="0.2">
      <c r="DY25393" s="185" t="s">
        <v>215</v>
      </c>
    </row>
    <row r="25394" spans="129:129" x14ac:dyDescent="0.2">
      <c r="DY25394" s="185" t="s">
        <v>215</v>
      </c>
    </row>
    <row r="25395" spans="129:129" x14ac:dyDescent="0.2">
      <c r="DY25395" s="185" t="s">
        <v>215</v>
      </c>
    </row>
    <row r="25396" spans="129:129" x14ac:dyDescent="0.2">
      <c r="DY25396" s="185" t="s">
        <v>215</v>
      </c>
    </row>
    <row r="25397" spans="129:129" x14ac:dyDescent="0.2">
      <c r="DY25397" s="185" t="s">
        <v>215</v>
      </c>
    </row>
    <row r="25398" spans="129:129" x14ac:dyDescent="0.2">
      <c r="DY25398" s="185" t="s">
        <v>215</v>
      </c>
    </row>
    <row r="25399" spans="129:129" x14ac:dyDescent="0.2">
      <c r="DY25399" s="185" t="s">
        <v>215</v>
      </c>
    </row>
    <row r="25400" spans="129:129" x14ac:dyDescent="0.2">
      <c r="DY25400" s="185" t="s">
        <v>215</v>
      </c>
    </row>
    <row r="25401" spans="129:129" x14ac:dyDescent="0.2">
      <c r="DY25401" s="185" t="s">
        <v>215</v>
      </c>
    </row>
    <row r="25402" spans="129:129" x14ac:dyDescent="0.2">
      <c r="DY25402" s="185" t="s">
        <v>215</v>
      </c>
    </row>
    <row r="25403" spans="129:129" x14ac:dyDescent="0.2">
      <c r="DY25403" s="185" t="s">
        <v>215</v>
      </c>
    </row>
    <row r="25404" spans="129:129" x14ac:dyDescent="0.2">
      <c r="DY25404" s="185" t="s">
        <v>215</v>
      </c>
    </row>
    <row r="25405" spans="129:129" x14ac:dyDescent="0.2">
      <c r="DY25405" s="185" t="s">
        <v>215</v>
      </c>
    </row>
    <row r="25406" spans="129:129" x14ac:dyDescent="0.2">
      <c r="DY25406" s="185" t="s">
        <v>215</v>
      </c>
    </row>
    <row r="25407" spans="129:129" x14ac:dyDescent="0.2">
      <c r="DY25407" s="185" t="s">
        <v>215</v>
      </c>
    </row>
    <row r="25408" spans="129:129" x14ac:dyDescent="0.2">
      <c r="DY25408" s="185" t="s">
        <v>215</v>
      </c>
    </row>
    <row r="25409" spans="129:129" x14ac:dyDescent="0.2">
      <c r="DY25409" s="185" t="s">
        <v>215</v>
      </c>
    </row>
    <row r="25410" spans="129:129" x14ac:dyDescent="0.2">
      <c r="DY25410" s="185" t="s">
        <v>215</v>
      </c>
    </row>
    <row r="25411" spans="129:129" x14ac:dyDescent="0.2">
      <c r="DY25411" s="185" t="s">
        <v>215</v>
      </c>
    </row>
    <row r="25412" spans="129:129" x14ac:dyDescent="0.2">
      <c r="DY25412" s="185" t="s">
        <v>215</v>
      </c>
    </row>
    <row r="25413" spans="129:129" x14ac:dyDescent="0.2">
      <c r="DY25413" s="185" t="s">
        <v>215</v>
      </c>
    </row>
    <row r="25414" spans="129:129" x14ac:dyDescent="0.2">
      <c r="DY25414" s="185" t="s">
        <v>215</v>
      </c>
    </row>
    <row r="25415" spans="129:129" x14ac:dyDescent="0.2">
      <c r="DY25415" s="185" t="s">
        <v>215</v>
      </c>
    </row>
    <row r="25416" spans="129:129" x14ac:dyDescent="0.2">
      <c r="DY25416" s="185" t="s">
        <v>215</v>
      </c>
    </row>
    <row r="25417" spans="129:129" x14ac:dyDescent="0.2">
      <c r="DY25417" s="185" t="s">
        <v>215</v>
      </c>
    </row>
    <row r="25418" spans="129:129" x14ac:dyDescent="0.2">
      <c r="DY25418" s="185" t="s">
        <v>215</v>
      </c>
    </row>
    <row r="25419" spans="129:129" x14ac:dyDescent="0.2">
      <c r="DY25419" s="185" t="s">
        <v>215</v>
      </c>
    </row>
    <row r="25420" spans="129:129" x14ac:dyDescent="0.2">
      <c r="DY25420" s="185" t="s">
        <v>215</v>
      </c>
    </row>
    <row r="25421" spans="129:129" x14ac:dyDescent="0.2">
      <c r="DY25421" s="185" t="s">
        <v>215</v>
      </c>
    </row>
    <row r="25422" spans="129:129" x14ac:dyDescent="0.2">
      <c r="DY25422" s="185" t="s">
        <v>215</v>
      </c>
    </row>
    <row r="25423" spans="129:129" x14ac:dyDescent="0.2">
      <c r="DY25423" s="185" t="s">
        <v>215</v>
      </c>
    </row>
    <row r="25424" spans="129:129" x14ac:dyDescent="0.2">
      <c r="DY25424" s="185" t="s">
        <v>215</v>
      </c>
    </row>
    <row r="25425" spans="129:129" x14ac:dyDescent="0.2">
      <c r="DY25425" s="185" t="s">
        <v>215</v>
      </c>
    </row>
    <row r="25426" spans="129:129" x14ac:dyDescent="0.2">
      <c r="DY25426" s="185" t="s">
        <v>215</v>
      </c>
    </row>
    <row r="25427" spans="129:129" x14ac:dyDescent="0.2">
      <c r="DY25427" s="185" t="s">
        <v>215</v>
      </c>
    </row>
    <row r="25428" spans="129:129" x14ac:dyDescent="0.2">
      <c r="DY25428" s="185" t="s">
        <v>215</v>
      </c>
    </row>
    <row r="25429" spans="129:129" x14ac:dyDescent="0.2">
      <c r="DY25429" s="185" t="s">
        <v>215</v>
      </c>
    </row>
    <row r="25430" spans="129:129" x14ac:dyDescent="0.2">
      <c r="DY25430" s="185" t="s">
        <v>215</v>
      </c>
    </row>
    <row r="25431" spans="129:129" x14ac:dyDescent="0.2">
      <c r="DY25431" s="185" t="s">
        <v>215</v>
      </c>
    </row>
    <row r="25432" spans="129:129" x14ac:dyDescent="0.2">
      <c r="DY25432" s="185" t="s">
        <v>215</v>
      </c>
    </row>
    <row r="25433" spans="129:129" x14ac:dyDescent="0.2">
      <c r="DY25433" s="185" t="s">
        <v>215</v>
      </c>
    </row>
    <row r="25434" spans="129:129" x14ac:dyDescent="0.2">
      <c r="DY25434" s="185" t="s">
        <v>215</v>
      </c>
    </row>
    <row r="25435" spans="129:129" x14ac:dyDescent="0.2">
      <c r="DY25435" s="185" t="s">
        <v>215</v>
      </c>
    </row>
    <row r="25436" spans="129:129" x14ac:dyDescent="0.2">
      <c r="DY25436" s="185" t="s">
        <v>215</v>
      </c>
    </row>
    <row r="25437" spans="129:129" x14ac:dyDescent="0.2">
      <c r="DY25437" s="185" t="s">
        <v>215</v>
      </c>
    </row>
    <row r="25438" spans="129:129" x14ac:dyDescent="0.2">
      <c r="DY25438" s="185" t="s">
        <v>215</v>
      </c>
    </row>
    <row r="25439" spans="129:129" x14ac:dyDescent="0.2">
      <c r="DY25439" s="185" t="s">
        <v>215</v>
      </c>
    </row>
    <row r="25440" spans="129:129" x14ac:dyDescent="0.2">
      <c r="DY25440" s="185" t="s">
        <v>215</v>
      </c>
    </row>
    <row r="25441" spans="129:129" x14ac:dyDescent="0.2">
      <c r="DY25441" s="185" t="s">
        <v>215</v>
      </c>
    </row>
    <row r="25442" spans="129:129" x14ac:dyDescent="0.2">
      <c r="DY25442" s="185" t="s">
        <v>215</v>
      </c>
    </row>
    <row r="25443" spans="129:129" x14ac:dyDescent="0.2">
      <c r="DY25443" s="185" t="s">
        <v>215</v>
      </c>
    </row>
    <row r="25444" spans="129:129" x14ac:dyDescent="0.2">
      <c r="DY25444" s="185" t="s">
        <v>215</v>
      </c>
    </row>
    <row r="25445" spans="129:129" x14ac:dyDescent="0.2">
      <c r="DY25445" s="185" t="s">
        <v>215</v>
      </c>
    </row>
    <row r="25446" spans="129:129" x14ac:dyDescent="0.2">
      <c r="DY25446" s="185" t="s">
        <v>215</v>
      </c>
    </row>
    <row r="25447" spans="129:129" x14ac:dyDescent="0.2">
      <c r="DY25447" s="185" t="s">
        <v>215</v>
      </c>
    </row>
    <row r="25448" spans="129:129" x14ac:dyDescent="0.2">
      <c r="DY25448" s="185" t="s">
        <v>215</v>
      </c>
    </row>
    <row r="25449" spans="129:129" x14ac:dyDescent="0.2">
      <c r="DY25449" s="185" t="s">
        <v>215</v>
      </c>
    </row>
    <row r="25450" spans="129:129" x14ac:dyDescent="0.2">
      <c r="DY25450" s="185" t="s">
        <v>215</v>
      </c>
    </row>
    <row r="25451" spans="129:129" x14ac:dyDescent="0.2">
      <c r="DY25451" s="185" t="s">
        <v>215</v>
      </c>
    </row>
    <row r="25452" spans="129:129" x14ac:dyDescent="0.2">
      <c r="DY25452" s="185" t="s">
        <v>215</v>
      </c>
    </row>
    <row r="25453" spans="129:129" x14ac:dyDescent="0.2">
      <c r="DY25453" s="185" t="s">
        <v>215</v>
      </c>
    </row>
    <row r="25454" spans="129:129" x14ac:dyDescent="0.2">
      <c r="DY25454" s="185" t="s">
        <v>215</v>
      </c>
    </row>
    <row r="25455" spans="129:129" x14ac:dyDescent="0.2">
      <c r="DY25455" s="185" t="s">
        <v>215</v>
      </c>
    </row>
    <row r="25456" spans="129:129" x14ac:dyDescent="0.2">
      <c r="DY25456" s="185" t="s">
        <v>215</v>
      </c>
    </row>
    <row r="25457" spans="129:129" x14ac:dyDescent="0.2">
      <c r="DY25457" s="185" t="s">
        <v>215</v>
      </c>
    </row>
    <row r="25458" spans="129:129" x14ac:dyDescent="0.2">
      <c r="DY25458" s="185" t="s">
        <v>215</v>
      </c>
    </row>
    <row r="25459" spans="129:129" x14ac:dyDescent="0.2">
      <c r="DY25459" s="185" t="s">
        <v>215</v>
      </c>
    </row>
    <row r="25460" spans="129:129" x14ac:dyDescent="0.2">
      <c r="DY25460" s="185" t="s">
        <v>215</v>
      </c>
    </row>
    <row r="25461" spans="129:129" x14ac:dyDescent="0.2">
      <c r="DY25461" s="185" t="s">
        <v>215</v>
      </c>
    </row>
    <row r="25462" spans="129:129" x14ac:dyDescent="0.2">
      <c r="DY25462" s="185" t="s">
        <v>215</v>
      </c>
    </row>
    <row r="25463" spans="129:129" x14ac:dyDescent="0.2">
      <c r="DY25463" s="185" t="s">
        <v>215</v>
      </c>
    </row>
    <row r="25464" spans="129:129" x14ac:dyDescent="0.2">
      <c r="DY25464" s="185" t="s">
        <v>215</v>
      </c>
    </row>
    <row r="25465" spans="129:129" x14ac:dyDescent="0.2">
      <c r="DY25465" s="185" t="s">
        <v>215</v>
      </c>
    </row>
    <row r="25466" spans="129:129" x14ac:dyDescent="0.2">
      <c r="DY25466" s="185" t="s">
        <v>215</v>
      </c>
    </row>
    <row r="25467" spans="129:129" x14ac:dyDescent="0.2">
      <c r="DY25467" s="185" t="s">
        <v>215</v>
      </c>
    </row>
    <row r="25468" spans="129:129" x14ac:dyDescent="0.2">
      <c r="DY25468" s="185" t="s">
        <v>215</v>
      </c>
    </row>
    <row r="25469" spans="129:129" x14ac:dyDescent="0.2">
      <c r="DY25469" s="185" t="s">
        <v>215</v>
      </c>
    </row>
    <row r="25470" spans="129:129" x14ac:dyDescent="0.2">
      <c r="DY25470" s="185" t="s">
        <v>215</v>
      </c>
    </row>
    <row r="25471" spans="129:129" x14ac:dyDescent="0.2">
      <c r="DY25471" s="185" t="s">
        <v>215</v>
      </c>
    </row>
    <row r="25472" spans="129:129" x14ac:dyDescent="0.2">
      <c r="DY25472" s="185" t="s">
        <v>215</v>
      </c>
    </row>
    <row r="25473" spans="129:129" x14ac:dyDescent="0.2">
      <c r="DY25473" s="185" t="s">
        <v>215</v>
      </c>
    </row>
    <row r="25474" spans="129:129" x14ac:dyDescent="0.2">
      <c r="DY25474" s="185" t="s">
        <v>215</v>
      </c>
    </row>
    <row r="25475" spans="129:129" x14ac:dyDescent="0.2">
      <c r="DY25475" s="185" t="s">
        <v>215</v>
      </c>
    </row>
    <row r="25476" spans="129:129" x14ac:dyDescent="0.2">
      <c r="DY25476" s="185" t="s">
        <v>215</v>
      </c>
    </row>
    <row r="25477" spans="129:129" x14ac:dyDescent="0.2">
      <c r="DY25477" s="185" t="s">
        <v>215</v>
      </c>
    </row>
    <row r="25478" spans="129:129" x14ac:dyDescent="0.2">
      <c r="DY25478" s="185" t="s">
        <v>215</v>
      </c>
    </row>
    <row r="25479" spans="129:129" x14ac:dyDescent="0.2">
      <c r="DY25479" s="185" t="s">
        <v>215</v>
      </c>
    </row>
    <row r="25480" spans="129:129" x14ac:dyDescent="0.2">
      <c r="DY25480" s="185" t="s">
        <v>215</v>
      </c>
    </row>
    <row r="25481" spans="129:129" x14ac:dyDescent="0.2">
      <c r="DY25481" s="185" t="s">
        <v>215</v>
      </c>
    </row>
    <row r="25482" spans="129:129" x14ac:dyDescent="0.2">
      <c r="DY25482" s="185" t="s">
        <v>215</v>
      </c>
    </row>
    <row r="25483" spans="129:129" x14ac:dyDescent="0.2">
      <c r="DY25483" s="185" t="s">
        <v>215</v>
      </c>
    </row>
    <row r="25484" spans="129:129" x14ac:dyDescent="0.2">
      <c r="DY25484" s="185" t="s">
        <v>215</v>
      </c>
    </row>
    <row r="25485" spans="129:129" x14ac:dyDescent="0.2">
      <c r="DY25485" s="185" t="s">
        <v>215</v>
      </c>
    </row>
    <row r="25486" spans="129:129" x14ac:dyDescent="0.2">
      <c r="DY25486" s="185" t="s">
        <v>215</v>
      </c>
    </row>
    <row r="25487" spans="129:129" x14ac:dyDescent="0.2">
      <c r="DY25487" s="185" t="s">
        <v>215</v>
      </c>
    </row>
    <row r="25488" spans="129:129" x14ac:dyDescent="0.2">
      <c r="DY25488" s="185" t="s">
        <v>215</v>
      </c>
    </row>
    <row r="25489" spans="129:129" x14ac:dyDescent="0.2">
      <c r="DY25489" s="185" t="s">
        <v>215</v>
      </c>
    </row>
    <row r="25490" spans="129:129" x14ac:dyDescent="0.2">
      <c r="DY25490" s="185" t="s">
        <v>215</v>
      </c>
    </row>
    <row r="25491" spans="129:129" x14ac:dyDescent="0.2">
      <c r="DY25491" s="185" t="s">
        <v>215</v>
      </c>
    </row>
    <row r="25492" spans="129:129" x14ac:dyDescent="0.2">
      <c r="DY25492" s="185" t="s">
        <v>215</v>
      </c>
    </row>
    <row r="25493" spans="129:129" x14ac:dyDescent="0.2">
      <c r="DY25493" s="185" t="s">
        <v>215</v>
      </c>
    </row>
    <row r="25494" spans="129:129" x14ac:dyDescent="0.2">
      <c r="DY25494" s="185" t="s">
        <v>215</v>
      </c>
    </row>
    <row r="25495" spans="129:129" x14ac:dyDescent="0.2">
      <c r="DY25495" s="185" t="s">
        <v>215</v>
      </c>
    </row>
    <row r="25496" spans="129:129" x14ac:dyDescent="0.2">
      <c r="DY25496" s="185" t="s">
        <v>215</v>
      </c>
    </row>
    <row r="25497" spans="129:129" x14ac:dyDescent="0.2">
      <c r="DY25497" s="185" t="s">
        <v>215</v>
      </c>
    </row>
    <row r="25498" spans="129:129" x14ac:dyDescent="0.2">
      <c r="DY25498" s="185" t="s">
        <v>215</v>
      </c>
    </row>
    <row r="25499" spans="129:129" x14ac:dyDescent="0.2">
      <c r="DY25499" s="185" t="s">
        <v>215</v>
      </c>
    </row>
    <row r="25500" spans="129:129" x14ac:dyDescent="0.2">
      <c r="DY25500" s="185" t="s">
        <v>215</v>
      </c>
    </row>
    <row r="25501" spans="129:129" x14ac:dyDescent="0.2">
      <c r="DY25501" s="185" t="s">
        <v>215</v>
      </c>
    </row>
    <row r="25502" spans="129:129" x14ac:dyDescent="0.2">
      <c r="DY25502" s="185" t="s">
        <v>215</v>
      </c>
    </row>
    <row r="25503" spans="129:129" x14ac:dyDescent="0.2">
      <c r="DY25503" s="185" t="s">
        <v>215</v>
      </c>
    </row>
    <row r="25504" spans="129:129" x14ac:dyDescent="0.2">
      <c r="DY25504" s="185" t="s">
        <v>215</v>
      </c>
    </row>
    <row r="25505" spans="129:129" x14ac:dyDescent="0.2">
      <c r="DY25505" s="185" t="s">
        <v>215</v>
      </c>
    </row>
    <row r="25506" spans="129:129" x14ac:dyDescent="0.2">
      <c r="DY25506" s="185" t="s">
        <v>215</v>
      </c>
    </row>
    <row r="25507" spans="129:129" x14ac:dyDescent="0.2">
      <c r="DY25507" s="185" t="s">
        <v>215</v>
      </c>
    </row>
    <row r="25508" spans="129:129" x14ac:dyDescent="0.2">
      <c r="DY25508" s="185" t="s">
        <v>215</v>
      </c>
    </row>
    <row r="25509" spans="129:129" x14ac:dyDescent="0.2">
      <c r="DY25509" s="185" t="s">
        <v>215</v>
      </c>
    </row>
    <row r="25510" spans="129:129" x14ac:dyDescent="0.2">
      <c r="DY25510" s="185" t="s">
        <v>215</v>
      </c>
    </row>
    <row r="25511" spans="129:129" x14ac:dyDescent="0.2">
      <c r="DY25511" s="185" t="s">
        <v>215</v>
      </c>
    </row>
    <row r="25512" spans="129:129" x14ac:dyDescent="0.2">
      <c r="DY25512" s="185" t="s">
        <v>215</v>
      </c>
    </row>
    <row r="25513" spans="129:129" x14ac:dyDescent="0.2">
      <c r="DY25513" s="185" t="s">
        <v>215</v>
      </c>
    </row>
    <row r="25514" spans="129:129" x14ac:dyDescent="0.2">
      <c r="DY25514" s="185" t="s">
        <v>215</v>
      </c>
    </row>
    <row r="25515" spans="129:129" x14ac:dyDescent="0.2">
      <c r="DY25515" s="185" t="s">
        <v>215</v>
      </c>
    </row>
    <row r="25516" spans="129:129" x14ac:dyDescent="0.2">
      <c r="DY25516" s="185" t="s">
        <v>215</v>
      </c>
    </row>
    <row r="25517" spans="129:129" x14ac:dyDescent="0.2">
      <c r="DY25517" s="185" t="s">
        <v>215</v>
      </c>
    </row>
    <row r="25518" spans="129:129" x14ac:dyDescent="0.2">
      <c r="DY25518" s="185" t="s">
        <v>215</v>
      </c>
    </row>
    <row r="25519" spans="129:129" x14ac:dyDescent="0.2">
      <c r="DY25519" s="185" t="s">
        <v>215</v>
      </c>
    </row>
    <row r="25520" spans="129:129" x14ac:dyDescent="0.2">
      <c r="DY25520" s="185" t="s">
        <v>215</v>
      </c>
    </row>
    <row r="25521" spans="129:129" x14ac:dyDescent="0.2">
      <c r="DY25521" s="185" t="s">
        <v>215</v>
      </c>
    </row>
    <row r="25522" spans="129:129" x14ac:dyDescent="0.2">
      <c r="DY25522" s="185" t="s">
        <v>215</v>
      </c>
    </row>
    <row r="25523" spans="129:129" x14ac:dyDescent="0.2">
      <c r="DY25523" s="185" t="s">
        <v>215</v>
      </c>
    </row>
    <row r="25524" spans="129:129" x14ac:dyDescent="0.2">
      <c r="DY25524" s="185" t="s">
        <v>215</v>
      </c>
    </row>
    <row r="25525" spans="129:129" x14ac:dyDescent="0.2">
      <c r="DY25525" s="185" t="s">
        <v>215</v>
      </c>
    </row>
    <row r="25526" spans="129:129" x14ac:dyDescent="0.2">
      <c r="DY25526" s="185" t="s">
        <v>215</v>
      </c>
    </row>
    <row r="25527" spans="129:129" x14ac:dyDescent="0.2">
      <c r="DY25527" s="185" t="s">
        <v>215</v>
      </c>
    </row>
    <row r="25528" spans="129:129" x14ac:dyDescent="0.2">
      <c r="DY25528" s="185" t="s">
        <v>215</v>
      </c>
    </row>
    <row r="25529" spans="129:129" x14ac:dyDescent="0.2">
      <c r="DY25529" s="185" t="s">
        <v>215</v>
      </c>
    </row>
    <row r="25530" spans="129:129" x14ac:dyDescent="0.2">
      <c r="DY25530" s="185" t="s">
        <v>215</v>
      </c>
    </row>
    <row r="25531" spans="129:129" x14ac:dyDescent="0.2">
      <c r="DY25531" s="185" t="s">
        <v>215</v>
      </c>
    </row>
    <row r="25532" spans="129:129" x14ac:dyDescent="0.2">
      <c r="DY25532" s="185" t="s">
        <v>215</v>
      </c>
    </row>
    <row r="25533" spans="129:129" x14ac:dyDescent="0.2">
      <c r="DY25533" s="185" t="s">
        <v>215</v>
      </c>
    </row>
    <row r="25534" spans="129:129" x14ac:dyDescent="0.2">
      <c r="DY25534" s="185" t="s">
        <v>215</v>
      </c>
    </row>
    <row r="25535" spans="129:129" x14ac:dyDescent="0.2">
      <c r="DY25535" s="185" t="s">
        <v>215</v>
      </c>
    </row>
    <row r="25536" spans="129:129" x14ac:dyDescent="0.2">
      <c r="DY25536" s="185" t="s">
        <v>215</v>
      </c>
    </row>
    <row r="25537" spans="129:129" x14ac:dyDescent="0.2">
      <c r="DY25537" s="185" t="s">
        <v>215</v>
      </c>
    </row>
    <row r="25538" spans="129:129" x14ac:dyDescent="0.2">
      <c r="DY25538" s="185" t="s">
        <v>215</v>
      </c>
    </row>
    <row r="25539" spans="129:129" x14ac:dyDescent="0.2">
      <c r="DY25539" s="185" t="s">
        <v>215</v>
      </c>
    </row>
    <row r="25540" spans="129:129" x14ac:dyDescent="0.2">
      <c r="DY25540" s="185" t="s">
        <v>215</v>
      </c>
    </row>
    <row r="25541" spans="129:129" x14ac:dyDescent="0.2">
      <c r="DY25541" s="185" t="s">
        <v>215</v>
      </c>
    </row>
    <row r="25542" spans="129:129" x14ac:dyDescent="0.2">
      <c r="DY25542" s="185" t="s">
        <v>215</v>
      </c>
    </row>
    <row r="25543" spans="129:129" x14ac:dyDescent="0.2">
      <c r="DY25543" s="185" t="s">
        <v>215</v>
      </c>
    </row>
    <row r="25544" spans="129:129" x14ac:dyDescent="0.2">
      <c r="DY25544" s="185" t="s">
        <v>215</v>
      </c>
    </row>
    <row r="25545" spans="129:129" x14ac:dyDescent="0.2">
      <c r="DY25545" s="185" t="s">
        <v>215</v>
      </c>
    </row>
    <row r="25546" spans="129:129" x14ac:dyDescent="0.2">
      <c r="DY25546" s="185" t="s">
        <v>215</v>
      </c>
    </row>
    <row r="25547" spans="129:129" x14ac:dyDescent="0.2">
      <c r="DY25547" s="185" t="s">
        <v>215</v>
      </c>
    </row>
    <row r="25548" spans="129:129" x14ac:dyDescent="0.2">
      <c r="DY25548" s="185" t="s">
        <v>215</v>
      </c>
    </row>
    <row r="25549" spans="129:129" x14ac:dyDescent="0.2">
      <c r="DY25549" s="185" t="s">
        <v>215</v>
      </c>
    </row>
    <row r="25550" spans="129:129" x14ac:dyDescent="0.2">
      <c r="DY25550" s="185" t="s">
        <v>215</v>
      </c>
    </row>
    <row r="25551" spans="129:129" x14ac:dyDescent="0.2">
      <c r="DY25551" s="185" t="s">
        <v>215</v>
      </c>
    </row>
    <row r="25552" spans="129:129" x14ac:dyDescent="0.2">
      <c r="DY25552" s="185" t="s">
        <v>215</v>
      </c>
    </row>
    <row r="25553" spans="129:129" x14ac:dyDescent="0.2">
      <c r="DY25553" s="185" t="s">
        <v>215</v>
      </c>
    </row>
    <row r="25554" spans="129:129" x14ac:dyDescent="0.2">
      <c r="DY25554" s="185" t="s">
        <v>215</v>
      </c>
    </row>
    <row r="25555" spans="129:129" x14ac:dyDescent="0.2">
      <c r="DY25555" s="185" t="s">
        <v>215</v>
      </c>
    </row>
    <row r="25556" spans="129:129" x14ac:dyDescent="0.2">
      <c r="DY25556" s="185" t="s">
        <v>215</v>
      </c>
    </row>
    <row r="25557" spans="129:129" x14ac:dyDescent="0.2">
      <c r="DY25557" s="185" t="s">
        <v>215</v>
      </c>
    </row>
    <row r="25558" spans="129:129" x14ac:dyDescent="0.2">
      <c r="DY25558" s="185" t="s">
        <v>215</v>
      </c>
    </row>
    <row r="25559" spans="129:129" x14ac:dyDescent="0.2">
      <c r="DY25559" s="185" t="s">
        <v>215</v>
      </c>
    </row>
    <row r="25560" spans="129:129" x14ac:dyDescent="0.2">
      <c r="DY25560" s="185" t="s">
        <v>215</v>
      </c>
    </row>
    <row r="25561" spans="129:129" x14ac:dyDescent="0.2">
      <c r="DY25561" s="185" t="s">
        <v>215</v>
      </c>
    </row>
    <row r="25562" spans="129:129" x14ac:dyDescent="0.2">
      <c r="DY25562" s="185" t="s">
        <v>215</v>
      </c>
    </row>
    <row r="25563" spans="129:129" x14ac:dyDescent="0.2">
      <c r="DY25563" s="185" t="s">
        <v>215</v>
      </c>
    </row>
    <row r="25564" spans="129:129" x14ac:dyDescent="0.2">
      <c r="DY25564" s="185" t="s">
        <v>215</v>
      </c>
    </row>
    <row r="25565" spans="129:129" x14ac:dyDescent="0.2">
      <c r="DY25565" s="185" t="s">
        <v>215</v>
      </c>
    </row>
    <row r="25566" spans="129:129" x14ac:dyDescent="0.2">
      <c r="DY25566" s="185" t="s">
        <v>215</v>
      </c>
    </row>
    <row r="25567" spans="129:129" x14ac:dyDescent="0.2">
      <c r="DY25567" s="185" t="s">
        <v>215</v>
      </c>
    </row>
    <row r="25568" spans="129:129" x14ac:dyDescent="0.2">
      <c r="DY25568" s="185" t="s">
        <v>215</v>
      </c>
    </row>
    <row r="25569" spans="129:129" x14ac:dyDescent="0.2">
      <c r="DY25569" s="185" t="s">
        <v>215</v>
      </c>
    </row>
    <row r="25570" spans="129:129" x14ac:dyDescent="0.2">
      <c r="DY25570" s="185" t="s">
        <v>215</v>
      </c>
    </row>
    <row r="25571" spans="129:129" x14ac:dyDescent="0.2">
      <c r="DY25571" s="185" t="s">
        <v>215</v>
      </c>
    </row>
    <row r="25572" spans="129:129" x14ac:dyDescent="0.2">
      <c r="DY25572" s="185" t="s">
        <v>215</v>
      </c>
    </row>
    <row r="25573" spans="129:129" x14ac:dyDescent="0.2">
      <c r="DY25573" s="185" t="s">
        <v>215</v>
      </c>
    </row>
    <row r="25574" spans="129:129" x14ac:dyDescent="0.2">
      <c r="DY25574" s="185" t="s">
        <v>215</v>
      </c>
    </row>
    <row r="25575" spans="129:129" x14ac:dyDescent="0.2">
      <c r="DY25575" s="185" t="s">
        <v>215</v>
      </c>
    </row>
    <row r="25576" spans="129:129" x14ac:dyDescent="0.2">
      <c r="DY25576" s="185" t="s">
        <v>215</v>
      </c>
    </row>
    <row r="25577" spans="129:129" x14ac:dyDescent="0.2">
      <c r="DY25577" s="185" t="s">
        <v>215</v>
      </c>
    </row>
    <row r="25578" spans="129:129" x14ac:dyDescent="0.2">
      <c r="DY25578" s="185" t="s">
        <v>215</v>
      </c>
    </row>
    <row r="25579" spans="129:129" x14ac:dyDescent="0.2">
      <c r="DY25579" s="185" t="s">
        <v>215</v>
      </c>
    </row>
    <row r="25580" spans="129:129" x14ac:dyDescent="0.2">
      <c r="DY25580" s="185" t="s">
        <v>215</v>
      </c>
    </row>
    <row r="25581" spans="129:129" x14ac:dyDescent="0.2">
      <c r="DY25581" s="185" t="s">
        <v>215</v>
      </c>
    </row>
    <row r="25582" spans="129:129" x14ac:dyDescent="0.2">
      <c r="DY25582" s="185" t="s">
        <v>215</v>
      </c>
    </row>
    <row r="25583" spans="129:129" x14ac:dyDescent="0.2">
      <c r="DY25583" s="185" t="s">
        <v>215</v>
      </c>
    </row>
    <row r="25584" spans="129:129" x14ac:dyDescent="0.2">
      <c r="DY25584" s="185" t="s">
        <v>215</v>
      </c>
    </row>
    <row r="25585" spans="129:129" x14ac:dyDescent="0.2">
      <c r="DY25585" s="185" t="s">
        <v>215</v>
      </c>
    </row>
    <row r="25586" spans="129:129" x14ac:dyDescent="0.2">
      <c r="DY25586" s="185" t="s">
        <v>215</v>
      </c>
    </row>
    <row r="25587" spans="129:129" x14ac:dyDescent="0.2">
      <c r="DY25587" s="185" t="s">
        <v>215</v>
      </c>
    </row>
    <row r="25588" spans="129:129" x14ac:dyDescent="0.2">
      <c r="DY25588" s="185" t="s">
        <v>215</v>
      </c>
    </row>
    <row r="25589" spans="129:129" x14ac:dyDescent="0.2">
      <c r="DY25589" s="185" t="s">
        <v>215</v>
      </c>
    </row>
    <row r="25590" spans="129:129" x14ac:dyDescent="0.2">
      <c r="DY25590" s="185" t="s">
        <v>215</v>
      </c>
    </row>
    <row r="25591" spans="129:129" x14ac:dyDescent="0.2">
      <c r="DY25591" s="185" t="s">
        <v>215</v>
      </c>
    </row>
    <row r="25592" spans="129:129" x14ac:dyDescent="0.2">
      <c r="DY25592" s="185" t="s">
        <v>215</v>
      </c>
    </row>
    <row r="25593" spans="129:129" x14ac:dyDescent="0.2">
      <c r="DY25593" s="185" t="s">
        <v>215</v>
      </c>
    </row>
    <row r="25594" spans="129:129" x14ac:dyDescent="0.2">
      <c r="DY25594" s="185" t="s">
        <v>215</v>
      </c>
    </row>
    <row r="25595" spans="129:129" x14ac:dyDescent="0.2">
      <c r="DY25595" s="185" t="s">
        <v>215</v>
      </c>
    </row>
    <row r="25596" spans="129:129" x14ac:dyDescent="0.2">
      <c r="DY25596" s="185" t="s">
        <v>215</v>
      </c>
    </row>
    <row r="25597" spans="129:129" x14ac:dyDescent="0.2">
      <c r="DY25597" s="185" t="s">
        <v>215</v>
      </c>
    </row>
    <row r="25598" spans="129:129" x14ac:dyDescent="0.2">
      <c r="DY25598" s="185" t="s">
        <v>215</v>
      </c>
    </row>
    <row r="25599" spans="129:129" x14ac:dyDescent="0.2">
      <c r="DY25599" s="185" t="s">
        <v>215</v>
      </c>
    </row>
    <row r="25600" spans="129:129" x14ac:dyDescent="0.2">
      <c r="DY25600" s="185" t="s">
        <v>215</v>
      </c>
    </row>
    <row r="25601" spans="129:129" x14ac:dyDescent="0.2">
      <c r="DY25601" s="185" t="s">
        <v>215</v>
      </c>
    </row>
    <row r="25602" spans="129:129" x14ac:dyDescent="0.2">
      <c r="DY25602" s="185" t="s">
        <v>215</v>
      </c>
    </row>
    <row r="25603" spans="129:129" x14ac:dyDescent="0.2">
      <c r="DY25603" s="185" t="s">
        <v>215</v>
      </c>
    </row>
    <row r="25604" spans="129:129" x14ac:dyDescent="0.2">
      <c r="DY25604" s="185" t="s">
        <v>215</v>
      </c>
    </row>
    <row r="25605" spans="129:129" x14ac:dyDescent="0.2">
      <c r="DY25605" s="185" t="s">
        <v>215</v>
      </c>
    </row>
    <row r="25606" spans="129:129" x14ac:dyDescent="0.2">
      <c r="DY25606" s="185" t="s">
        <v>215</v>
      </c>
    </row>
    <row r="25607" spans="129:129" x14ac:dyDescent="0.2">
      <c r="DY25607" s="185" t="s">
        <v>215</v>
      </c>
    </row>
    <row r="25608" spans="129:129" x14ac:dyDescent="0.2">
      <c r="DY25608" s="185" t="s">
        <v>215</v>
      </c>
    </row>
    <row r="25609" spans="129:129" x14ac:dyDescent="0.2">
      <c r="DY25609" s="185" t="s">
        <v>215</v>
      </c>
    </row>
    <row r="25610" spans="129:129" x14ac:dyDescent="0.2">
      <c r="DY25610" s="185" t="s">
        <v>215</v>
      </c>
    </row>
    <row r="25611" spans="129:129" x14ac:dyDescent="0.2">
      <c r="DY25611" s="185" t="s">
        <v>215</v>
      </c>
    </row>
    <row r="25612" spans="129:129" x14ac:dyDescent="0.2">
      <c r="DY25612" s="185" t="s">
        <v>215</v>
      </c>
    </row>
    <row r="25613" spans="129:129" x14ac:dyDescent="0.2">
      <c r="DY25613" s="185" t="s">
        <v>215</v>
      </c>
    </row>
    <row r="25614" spans="129:129" x14ac:dyDescent="0.2">
      <c r="DY25614" s="185" t="s">
        <v>215</v>
      </c>
    </row>
    <row r="25615" spans="129:129" x14ac:dyDescent="0.2">
      <c r="DY25615" s="185" t="s">
        <v>215</v>
      </c>
    </row>
    <row r="25616" spans="129:129" x14ac:dyDescent="0.2">
      <c r="DY25616" s="185" t="s">
        <v>215</v>
      </c>
    </row>
    <row r="25617" spans="129:129" x14ac:dyDescent="0.2">
      <c r="DY25617" s="185" t="s">
        <v>215</v>
      </c>
    </row>
    <row r="25618" spans="129:129" x14ac:dyDescent="0.2">
      <c r="DY25618" s="185" t="s">
        <v>215</v>
      </c>
    </row>
    <row r="25619" spans="129:129" x14ac:dyDescent="0.2">
      <c r="DY25619" s="185" t="s">
        <v>215</v>
      </c>
    </row>
    <row r="25620" spans="129:129" x14ac:dyDescent="0.2">
      <c r="DY25620" s="185" t="s">
        <v>215</v>
      </c>
    </row>
    <row r="25621" spans="129:129" x14ac:dyDescent="0.2">
      <c r="DY25621" s="185" t="s">
        <v>215</v>
      </c>
    </row>
    <row r="25622" spans="129:129" x14ac:dyDescent="0.2">
      <c r="DY25622" s="185" t="s">
        <v>215</v>
      </c>
    </row>
    <row r="25623" spans="129:129" x14ac:dyDescent="0.2">
      <c r="DY25623" s="185" t="s">
        <v>215</v>
      </c>
    </row>
    <row r="25624" spans="129:129" x14ac:dyDescent="0.2">
      <c r="DY25624" s="185" t="s">
        <v>215</v>
      </c>
    </row>
    <row r="25625" spans="129:129" x14ac:dyDescent="0.2">
      <c r="DY25625" s="185" t="s">
        <v>215</v>
      </c>
    </row>
    <row r="25626" spans="129:129" x14ac:dyDescent="0.2">
      <c r="DY25626" s="185" t="s">
        <v>215</v>
      </c>
    </row>
    <row r="25627" spans="129:129" x14ac:dyDescent="0.2">
      <c r="DY25627" s="185" t="s">
        <v>215</v>
      </c>
    </row>
    <row r="25628" spans="129:129" x14ac:dyDescent="0.2">
      <c r="DY25628" s="185" t="s">
        <v>215</v>
      </c>
    </row>
    <row r="25629" spans="129:129" x14ac:dyDescent="0.2">
      <c r="DY25629" s="185" t="s">
        <v>215</v>
      </c>
    </row>
    <row r="25630" spans="129:129" x14ac:dyDescent="0.2">
      <c r="DY25630" s="185" t="s">
        <v>215</v>
      </c>
    </row>
    <row r="25631" spans="129:129" x14ac:dyDescent="0.2">
      <c r="DY25631" s="185" t="s">
        <v>215</v>
      </c>
    </row>
    <row r="25632" spans="129:129" x14ac:dyDescent="0.2">
      <c r="DY25632" s="185" t="s">
        <v>215</v>
      </c>
    </row>
    <row r="25633" spans="129:129" x14ac:dyDescent="0.2">
      <c r="DY25633" s="185" t="s">
        <v>215</v>
      </c>
    </row>
    <row r="25634" spans="129:129" x14ac:dyDescent="0.2">
      <c r="DY25634" s="185" t="s">
        <v>215</v>
      </c>
    </row>
    <row r="25635" spans="129:129" x14ac:dyDescent="0.2">
      <c r="DY25635" s="185" t="s">
        <v>215</v>
      </c>
    </row>
    <row r="25636" spans="129:129" x14ac:dyDescent="0.2">
      <c r="DY25636" s="185" t="s">
        <v>215</v>
      </c>
    </row>
    <row r="25637" spans="129:129" x14ac:dyDescent="0.2">
      <c r="DY25637" s="185" t="s">
        <v>215</v>
      </c>
    </row>
    <row r="25638" spans="129:129" x14ac:dyDescent="0.2">
      <c r="DY25638" s="185" t="s">
        <v>215</v>
      </c>
    </row>
    <row r="25639" spans="129:129" x14ac:dyDescent="0.2">
      <c r="DY25639" s="185" t="s">
        <v>215</v>
      </c>
    </row>
    <row r="25640" spans="129:129" x14ac:dyDescent="0.2">
      <c r="DY25640" s="185" t="s">
        <v>215</v>
      </c>
    </row>
    <row r="25641" spans="129:129" x14ac:dyDescent="0.2">
      <c r="DY25641" s="185" t="s">
        <v>215</v>
      </c>
    </row>
    <row r="25642" spans="129:129" x14ac:dyDescent="0.2">
      <c r="DY25642" s="185" t="s">
        <v>215</v>
      </c>
    </row>
    <row r="25643" spans="129:129" x14ac:dyDescent="0.2">
      <c r="DY25643" s="185" t="s">
        <v>215</v>
      </c>
    </row>
    <row r="25644" spans="129:129" x14ac:dyDescent="0.2">
      <c r="DY25644" s="185" t="s">
        <v>215</v>
      </c>
    </row>
    <row r="25645" spans="129:129" x14ac:dyDescent="0.2">
      <c r="DY25645" s="185" t="s">
        <v>215</v>
      </c>
    </row>
    <row r="25646" spans="129:129" x14ac:dyDescent="0.2">
      <c r="DY25646" s="185" t="s">
        <v>215</v>
      </c>
    </row>
    <row r="25647" spans="129:129" x14ac:dyDescent="0.2">
      <c r="DY25647" s="185" t="s">
        <v>215</v>
      </c>
    </row>
    <row r="25648" spans="129:129" x14ac:dyDescent="0.2">
      <c r="DY25648" s="185" t="s">
        <v>215</v>
      </c>
    </row>
    <row r="25649" spans="129:129" x14ac:dyDescent="0.2">
      <c r="DY25649" s="185" t="s">
        <v>215</v>
      </c>
    </row>
    <row r="25650" spans="129:129" x14ac:dyDescent="0.2">
      <c r="DY25650" s="185" t="s">
        <v>215</v>
      </c>
    </row>
    <row r="25651" spans="129:129" x14ac:dyDescent="0.2">
      <c r="DY25651" s="185" t="s">
        <v>215</v>
      </c>
    </row>
    <row r="25652" spans="129:129" x14ac:dyDescent="0.2">
      <c r="DY25652" s="185" t="s">
        <v>215</v>
      </c>
    </row>
    <row r="25653" spans="129:129" x14ac:dyDescent="0.2">
      <c r="DY25653" s="185" t="s">
        <v>215</v>
      </c>
    </row>
    <row r="25654" spans="129:129" x14ac:dyDescent="0.2">
      <c r="DY25654" s="185" t="s">
        <v>215</v>
      </c>
    </row>
    <row r="25655" spans="129:129" x14ac:dyDescent="0.2">
      <c r="DY25655" s="185" t="s">
        <v>215</v>
      </c>
    </row>
    <row r="25656" spans="129:129" x14ac:dyDescent="0.2">
      <c r="DY25656" s="185" t="s">
        <v>215</v>
      </c>
    </row>
    <row r="25657" spans="129:129" x14ac:dyDescent="0.2">
      <c r="DY25657" s="185" t="s">
        <v>215</v>
      </c>
    </row>
    <row r="25658" spans="129:129" x14ac:dyDescent="0.2">
      <c r="DY25658" s="185" t="s">
        <v>215</v>
      </c>
    </row>
    <row r="25659" spans="129:129" x14ac:dyDescent="0.2">
      <c r="DY25659" s="185" t="s">
        <v>215</v>
      </c>
    </row>
    <row r="25660" spans="129:129" x14ac:dyDescent="0.2">
      <c r="DY25660" s="185" t="s">
        <v>215</v>
      </c>
    </row>
    <row r="25661" spans="129:129" x14ac:dyDescent="0.2">
      <c r="DY25661" s="185" t="s">
        <v>215</v>
      </c>
    </row>
    <row r="25662" spans="129:129" x14ac:dyDescent="0.2">
      <c r="DY25662" s="185" t="s">
        <v>215</v>
      </c>
    </row>
    <row r="25663" spans="129:129" x14ac:dyDescent="0.2">
      <c r="DY25663" s="185" t="s">
        <v>215</v>
      </c>
    </row>
    <row r="25664" spans="129:129" x14ac:dyDescent="0.2">
      <c r="DY25664" s="185" t="s">
        <v>215</v>
      </c>
    </row>
    <row r="25665" spans="129:129" x14ac:dyDescent="0.2">
      <c r="DY25665" s="185" t="s">
        <v>215</v>
      </c>
    </row>
    <row r="25666" spans="129:129" x14ac:dyDescent="0.2">
      <c r="DY25666" s="185" t="s">
        <v>215</v>
      </c>
    </row>
    <row r="25667" spans="129:129" x14ac:dyDescent="0.2">
      <c r="DY25667" s="185" t="s">
        <v>215</v>
      </c>
    </row>
    <row r="25668" spans="129:129" x14ac:dyDescent="0.2">
      <c r="DY25668" s="185" t="s">
        <v>215</v>
      </c>
    </row>
    <row r="25669" spans="129:129" x14ac:dyDescent="0.2">
      <c r="DY25669" s="185" t="s">
        <v>215</v>
      </c>
    </row>
    <row r="25670" spans="129:129" x14ac:dyDescent="0.2">
      <c r="DY25670" s="185" t="s">
        <v>215</v>
      </c>
    </row>
    <row r="25671" spans="129:129" x14ac:dyDescent="0.2">
      <c r="DY25671" s="185" t="s">
        <v>215</v>
      </c>
    </row>
    <row r="25672" spans="129:129" x14ac:dyDescent="0.2">
      <c r="DY25672" s="185" t="s">
        <v>215</v>
      </c>
    </row>
    <row r="25673" spans="129:129" x14ac:dyDescent="0.2">
      <c r="DY25673" s="185" t="s">
        <v>215</v>
      </c>
    </row>
    <row r="25674" spans="129:129" x14ac:dyDescent="0.2">
      <c r="DY25674" s="185" t="s">
        <v>215</v>
      </c>
    </row>
    <row r="25675" spans="129:129" x14ac:dyDescent="0.2">
      <c r="DY25675" s="185" t="s">
        <v>215</v>
      </c>
    </row>
    <row r="25676" spans="129:129" x14ac:dyDescent="0.2">
      <c r="DY25676" s="185" t="s">
        <v>215</v>
      </c>
    </row>
    <row r="25677" spans="129:129" x14ac:dyDescent="0.2">
      <c r="DY25677" s="185" t="s">
        <v>215</v>
      </c>
    </row>
    <row r="25678" spans="129:129" x14ac:dyDescent="0.2">
      <c r="DY25678" s="185" t="s">
        <v>215</v>
      </c>
    </row>
    <row r="25679" spans="129:129" x14ac:dyDescent="0.2">
      <c r="DY25679" s="185" t="s">
        <v>215</v>
      </c>
    </row>
    <row r="25680" spans="129:129" x14ac:dyDescent="0.2">
      <c r="DY25680" s="185" t="s">
        <v>215</v>
      </c>
    </row>
    <row r="25681" spans="129:129" x14ac:dyDescent="0.2">
      <c r="DY25681" s="185" t="s">
        <v>215</v>
      </c>
    </row>
    <row r="25682" spans="129:129" x14ac:dyDescent="0.2">
      <c r="DY25682" s="185" t="s">
        <v>215</v>
      </c>
    </row>
    <row r="25683" spans="129:129" x14ac:dyDescent="0.2">
      <c r="DY25683" s="185" t="s">
        <v>215</v>
      </c>
    </row>
    <row r="25684" spans="129:129" x14ac:dyDescent="0.2">
      <c r="DY25684" s="185" t="s">
        <v>215</v>
      </c>
    </row>
    <row r="25685" spans="129:129" x14ac:dyDescent="0.2">
      <c r="DY25685" s="185" t="s">
        <v>215</v>
      </c>
    </row>
    <row r="25686" spans="129:129" x14ac:dyDescent="0.2">
      <c r="DY25686" s="185" t="s">
        <v>215</v>
      </c>
    </row>
    <row r="25687" spans="129:129" x14ac:dyDescent="0.2">
      <c r="DY25687" s="185" t="s">
        <v>215</v>
      </c>
    </row>
    <row r="25688" spans="129:129" x14ac:dyDescent="0.2">
      <c r="DY25688" s="185" t="s">
        <v>215</v>
      </c>
    </row>
    <row r="25689" spans="129:129" x14ac:dyDescent="0.2">
      <c r="DY25689" s="185" t="s">
        <v>215</v>
      </c>
    </row>
    <row r="25690" spans="129:129" x14ac:dyDescent="0.2">
      <c r="DY25690" s="185" t="s">
        <v>215</v>
      </c>
    </row>
    <row r="25691" spans="129:129" x14ac:dyDescent="0.2">
      <c r="DY25691" s="185" t="s">
        <v>215</v>
      </c>
    </row>
    <row r="25692" spans="129:129" x14ac:dyDescent="0.2">
      <c r="DY25692" s="185" t="s">
        <v>215</v>
      </c>
    </row>
    <row r="25693" spans="129:129" x14ac:dyDescent="0.2">
      <c r="DY25693" s="185" t="s">
        <v>215</v>
      </c>
    </row>
    <row r="25694" spans="129:129" x14ac:dyDescent="0.2">
      <c r="DY25694" s="185" t="s">
        <v>215</v>
      </c>
    </row>
    <row r="25695" spans="129:129" x14ac:dyDescent="0.2">
      <c r="DY25695" s="185" t="s">
        <v>215</v>
      </c>
    </row>
    <row r="25696" spans="129:129" x14ac:dyDescent="0.2">
      <c r="DY25696" s="185" t="s">
        <v>215</v>
      </c>
    </row>
    <row r="25697" spans="129:129" x14ac:dyDescent="0.2">
      <c r="DY25697" s="185" t="s">
        <v>215</v>
      </c>
    </row>
    <row r="25698" spans="129:129" x14ac:dyDescent="0.2">
      <c r="DY25698" s="185" t="s">
        <v>215</v>
      </c>
    </row>
    <row r="25699" spans="129:129" x14ac:dyDescent="0.2">
      <c r="DY25699" s="185" t="s">
        <v>215</v>
      </c>
    </row>
    <row r="25700" spans="129:129" x14ac:dyDescent="0.2">
      <c r="DY25700" s="185" t="s">
        <v>215</v>
      </c>
    </row>
    <row r="25701" spans="129:129" x14ac:dyDescent="0.2">
      <c r="DY25701" s="185" t="s">
        <v>215</v>
      </c>
    </row>
    <row r="25702" spans="129:129" x14ac:dyDescent="0.2">
      <c r="DY25702" s="185" t="s">
        <v>215</v>
      </c>
    </row>
    <row r="25703" spans="129:129" x14ac:dyDescent="0.2">
      <c r="DY25703" s="185" t="s">
        <v>215</v>
      </c>
    </row>
    <row r="25704" spans="129:129" x14ac:dyDescent="0.2">
      <c r="DY25704" s="185" t="s">
        <v>215</v>
      </c>
    </row>
    <row r="25705" spans="129:129" x14ac:dyDescent="0.2">
      <c r="DY25705" s="185" t="s">
        <v>215</v>
      </c>
    </row>
    <row r="25706" spans="129:129" x14ac:dyDescent="0.2">
      <c r="DY25706" s="185" t="s">
        <v>215</v>
      </c>
    </row>
    <row r="25707" spans="129:129" x14ac:dyDescent="0.2">
      <c r="DY25707" s="185" t="s">
        <v>215</v>
      </c>
    </row>
    <row r="25708" spans="129:129" x14ac:dyDescent="0.2">
      <c r="DY25708" s="185" t="s">
        <v>215</v>
      </c>
    </row>
    <row r="25709" spans="129:129" x14ac:dyDescent="0.2">
      <c r="DY25709" s="185" t="s">
        <v>215</v>
      </c>
    </row>
    <row r="25710" spans="129:129" x14ac:dyDescent="0.2">
      <c r="DY25710" s="185" t="s">
        <v>215</v>
      </c>
    </row>
    <row r="25711" spans="129:129" x14ac:dyDescent="0.2">
      <c r="DY25711" s="185" t="s">
        <v>215</v>
      </c>
    </row>
    <row r="25712" spans="129:129" x14ac:dyDescent="0.2">
      <c r="DY25712" s="185" t="s">
        <v>215</v>
      </c>
    </row>
    <row r="25713" spans="129:129" x14ac:dyDescent="0.2">
      <c r="DY25713" s="185" t="s">
        <v>215</v>
      </c>
    </row>
    <row r="25714" spans="129:129" x14ac:dyDescent="0.2">
      <c r="DY25714" s="185" t="s">
        <v>215</v>
      </c>
    </row>
    <row r="25715" spans="129:129" x14ac:dyDescent="0.2">
      <c r="DY25715" s="185" t="s">
        <v>215</v>
      </c>
    </row>
    <row r="25716" spans="129:129" x14ac:dyDescent="0.2">
      <c r="DY25716" s="185" t="s">
        <v>215</v>
      </c>
    </row>
    <row r="25717" spans="129:129" x14ac:dyDescent="0.2">
      <c r="DY25717" s="185" t="s">
        <v>215</v>
      </c>
    </row>
    <row r="25718" spans="129:129" x14ac:dyDescent="0.2">
      <c r="DY25718" s="185" t="s">
        <v>215</v>
      </c>
    </row>
    <row r="25719" spans="129:129" x14ac:dyDescent="0.2">
      <c r="DY25719" s="185" t="s">
        <v>215</v>
      </c>
    </row>
    <row r="25720" spans="129:129" x14ac:dyDescent="0.2">
      <c r="DY25720" s="185" t="s">
        <v>215</v>
      </c>
    </row>
    <row r="25721" spans="129:129" x14ac:dyDescent="0.2">
      <c r="DY25721" s="185" t="s">
        <v>215</v>
      </c>
    </row>
    <row r="25722" spans="129:129" x14ac:dyDescent="0.2">
      <c r="DY25722" s="185" t="s">
        <v>215</v>
      </c>
    </row>
    <row r="25723" spans="129:129" x14ac:dyDescent="0.2">
      <c r="DY25723" s="185" t="s">
        <v>215</v>
      </c>
    </row>
    <row r="25724" spans="129:129" x14ac:dyDescent="0.2">
      <c r="DY25724" s="185" t="s">
        <v>215</v>
      </c>
    </row>
    <row r="25725" spans="129:129" x14ac:dyDescent="0.2">
      <c r="DY25725" s="185" t="s">
        <v>215</v>
      </c>
    </row>
    <row r="25726" spans="129:129" x14ac:dyDescent="0.2">
      <c r="DY25726" s="185" t="s">
        <v>215</v>
      </c>
    </row>
    <row r="25727" spans="129:129" x14ac:dyDescent="0.2">
      <c r="DY25727" s="185" t="s">
        <v>215</v>
      </c>
    </row>
    <row r="25728" spans="129:129" x14ac:dyDescent="0.2">
      <c r="DY25728" s="185" t="s">
        <v>215</v>
      </c>
    </row>
    <row r="25729" spans="129:129" x14ac:dyDescent="0.2">
      <c r="DY25729" s="185" t="s">
        <v>215</v>
      </c>
    </row>
    <row r="25730" spans="129:129" x14ac:dyDescent="0.2">
      <c r="DY25730" s="185" t="s">
        <v>215</v>
      </c>
    </row>
    <row r="25731" spans="129:129" x14ac:dyDescent="0.2">
      <c r="DY25731" s="185" t="s">
        <v>215</v>
      </c>
    </row>
    <row r="25732" spans="129:129" x14ac:dyDescent="0.2">
      <c r="DY25732" s="185" t="s">
        <v>215</v>
      </c>
    </row>
    <row r="25733" spans="129:129" x14ac:dyDescent="0.2">
      <c r="DY25733" s="185" t="s">
        <v>215</v>
      </c>
    </row>
    <row r="25734" spans="129:129" x14ac:dyDescent="0.2">
      <c r="DY25734" s="185" t="s">
        <v>215</v>
      </c>
    </row>
    <row r="25735" spans="129:129" x14ac:dyDescent="0.2">
      <c r="DY25735" s="185" t="s">
        <v>215</v>
      </c>
    </row>
    <row r="25736" spans="129:129" x14ac:dyDescent="0.2">
      <c r="DY25736" s="185" t="s">
        <v>215</v>
      </c>
    </row>
    <row r="25737" spans="129:129" x14ac:dyDescent="0.2">
      <c r="DY25737" s="185" t="s">
        <v>215</v>
      </c>
    </row>
    <row r="25738" spans="129:129" x14ac:dyDescent="0.2">
      <c r="DY25738" s="185" t="s">
        <v>215</v>
      </c>
    </row>
    <row r="25739" spans="129:129" x14ac:dyDescent="0.2">
      <c r="DY25739" s="185" t="s">
        <v>215</v>
      </c>
    </row>
    <row r="25740" spans="129:129" x14ac:dyDescent="0.2">
      <c r="DY25740" s="185" t="s">
        <v>215</v>
      </c>
    </row>
    <row r="25741" spans="129:129" x14ac:dyDescent="0.2">
      <c r="DY25741" s="185" t="s">
        <v>215</v>
      </c>
    </row>
    <row r="25742" spans="129:129" x14ac:dyDescent="0.2">
      <c r="DY25742" s="185" t="s">
        <v>215</v>
      </c>
    </row>
    <row r="25743" spans="129:129" x14ac:dyDescent="0.2">
      <c r="DY25743" s="185" t="s">
        <v>215</v>
      </c>
    </row>
    <row r="25744" spans="129:129" x14ac:dyDescent="0.2">
      <c r="DY25744" s="185" t="s">
        <v>215</v>
      </c>
    </row>
    <row r="25745" spans="129:129" x14ac:dyDescent="0.2">
      <c r="DY25745" s="185" t="s">
        <v>215</v>
      </c>
    </row>
    <row r="25746" spans="129:129" x14ac:dyDescent="0.2">
      <c r="DY25746" s="185" t="s">
        <v>215</v>
      </c>
    </row>
    <row r="25747" spans="129:129" x14ac:dyDescent="0.2">
      <c r="DY25747" s="185" t="s">
        <v>215</v>
      </c>
    </row>
    <row r="25748" spans="129:129" x14ac:dyDescent="0.2">
      <c r="DY25748" s="185" t="s">
        <v>215</v>
      </c>
    </row>
    <row r="25749" spans="129:129" x14ac:dyDescent="0.2">
      <c r="DY25749" s="185" t="s">
        <v>215</v>
      </c>
    </row>
    <row r="25750" spans="129:129" x14ac:dyDescent="0.2">
      <c r="DY25750" s="185" t="s">
        <v>215</v>
      </c>
    </row>
    <row r="25751" spans="129:129" x14ac:dyDescent="0.2">
      <c r="DY25751" s="185" t="s">
        <v>215</v>
      </c>
    </row>
    <row r="25752" spans="129:129" x14ac:dyDescent="0.2">
      <c r="DY25752" s="185" t="s">
        <v>215</v>
      </c>
    </row>
    <row r="25753" spans="129:129" x14ac:dyDescent="0.2">
      <c r="DY25753" s="185" t="s">
        <v>215</v>
      </c>
    </row>
    <row r="25754" spans="129:129" x14ac:dyDescent="0.2">
      <c r="DY25754" s="185" t="s">
        <v>215</v>
      </c>
    </row>
    <row r="25755" spans="129:129" x14ac:dyDescent="0.2">
      <c r="DY25755" s="185" t="s">
        <v>215</v>
      </c>
    </row>
    <row r="25756" spans="129:129" x14ac:dyDescent="0.2">
      <c r="DY25756" s="185" t="s">
        <v>215</v>
      </c>
    </row>
    <row r="25757" spans="129:129" x14ac:dyDescent="0.2">
      <c r="DY25757" s="185" t="s">
        <v>215</v>
      </c>
    </row>
    <row r="25758" spans="129:129" x14ac:dyDescent="0.2">
      <c r="DY25758" s="185" t="s">
        <v>215</v>
      </c>
    </row>
    <row r="25759" spans="129:129" x14ac:dyDescent="0.2">
      <c r="DY25759" s="185" t="s">
        <v>215</v>
      </c>
    </row>
    <row r="25760" spans="129:129" x14ac:dyDescent="0.2">
      <c r="DY25760" s="185" t="s">
        <v>215</v>
      </c>
    </row>
    <row r="25761" spans="129:129" x14ac:dyDescent="0.2">
      <c r="DY25761" s="185" t="s">
        <v>215</v>
      </c>
    </row>
    <row r="25762" spans="129:129" x14ac:dyDescent="0.2">
      <c r="DY25762" s="185" t="s">
        <v>215</v>
      </c>
    </row>
    <row r="25763" spans="129:129" x14ac:dyDescent="0.2">
      <c r="DY25763" s="185" t="s">
        <v>215</v>
      </c>
    </row>
    <row r="25764" spans="129:129" x14ac:dyDescent="0.2">
      <c r="DY25764" s="185" t="s">
        <v>215</v>
      </c>
    </row>
    <row r="25765" spans="129:129" x14ac:dyDescent="0.2">
      <c r="DY25765" s="185" t="s">
        <v>215</v>
      </c>
    </row>
    <row r="25766" spans="129:129" x14ac:dyDescent="0.2">
      <c r="DY25766" s="185" t="s">
        <v>215</v>
      </c>
    </row>
    <row r="25767" spans="129:129" x14ac:dyDescent="0.2">
      <c r="DY25767" s="185" t="s">
        <v>215</v>
      </c>
    </row>
    <row r="25768" spans="129:129" x14ac:dyDescent="0.2">
      <c r="DY25768" s="185" t="s">
        <v>215</v>
      </c>
    </row>
    <row r="25769" spans="129:129" x14ac:dyDescent="0.2">
      <c r="DY25769" s="185" t="s">
        <v>215</v>
      </c>
    </row>
    <row r="25770" spans="129:129" x14ac:dyDescent="0.2">
      <c r="DY25770" s="185" t="s">
        <v>215</v>
      </c>
    </row>
    <row r="25771" spans="129:129" x14ac:dyDescent="0.2">
      <c r="DY25771" s="185" t="s">
        <v>215</v>
      </c>
    </row>
    <row r="25772" spans="129:129" x14ac:dyDescent="0.2">
      <c r="DY25772" s="185" t="s">
        <v>215</v>
      </c>
    </row>
    <row r="25773" spans="129:129" x14ac:dyDescent="0.2">
      <c r="DY25773" s="185" t="s">
        <v>215</v>
      </c>
    </row>
    <row r="25774" spans="129:129" x14ac:dyDescent="0.2">
      <c r="DY25774" s="185" t="s">
        <v>215</v>
      </c>
    </row>
    <row r="25775" spans="129:129" x14ac:dyDescent="0.2">
      <c r="DY25775" s="185" t="s">
        <v>215</v>
      </c>
    </row>
    <row r="25776" spans="129:129" x14ac:dyDescent="0.2">
      <c r="DY25776" s="185" t="s">
        <v>215</v>
      </c>
    </row>
    <row r="25777" spans="129:129" x14ac:dyDescent="0.2">
      <c r="DY25777" s="185" t="s">
        <v>215</v>
      </c>
    </row>
    <row r="25778" spans="129:129" x14ac:dyDescent="0.2">
      <c r="DY25778" s="185" t="s">
        <v>215</v>
      </c>
    </row>
    <row r="25779" spans="129:129" x14ac:dyDescent="0.2">
      <c r="DY25779" s="185" t="s">
        <v>215</v>
      </c>
    </row>
    <row r="25780" spans="129:129" x14ac:dyDescent="0.2">
      <c r="DY25780" s="185" t="s">
        <v>215</v>
      </c>
    </row>
    <row r="25781" spans="129:129" x14ac:dyDescent="0.2">
      <c r="DY25781" s="185" t="s">
        <v>215</v>
      </c>
    </row>
    <row r="25782" spans="129:129" x14ac:dyDescent="0.2">
      <c r="DY25782" s="185" t="s">
        <v>215</v>
      </c>
    </row>
    <row r="25783" spans="129:129" x14ac:dyDescent="0.2">
      <c r="DY25783" s="185" t="s">
        <v>215</v>
      </c>
    </row>
    <row r="25784" spans="129:129" x14ac:dyDescent="0.2">
      <c r="DY25784" s="185" t="s">
        <v>215</v>
      </c>
    </row>
    <row r="25785" spans="129:129" x14ac:dyDescent="0.2">
      <c r="DY25785" s="185" t="s">
        <v>215</v>
      </c>
    </row>
    <row r="25786" spans="129:129" x14ac:dyDescent="0.2">
      <c r="DY25786" s="185" t="s">
        <v>215</v>
      </c>
    </row>
    <row r="25787" spans="129:129" x14ac:dyDescent="0.2">
      <c r="DY25787" s="185" t="s">
        <v>215</v>
      </c>
    </row>
    <row r="25788" spans="129:129" x14ac:dyDescent="0.2">
      <c r="DY25788" s="185" t="s">
        <v>215</v>
      </c>
    </row>
    <row r="25789" spans="129:129" x14ac:dyDescent="0.2">
      <c r="DY25789" s="185" t="s">
        <v>215</v>
      </c>
    </row>
    <row r="25790" spans="129:129" x14ac:dyDescent="0.2">
      <c r="DY25790" s="185" t="s">
        <v>215</v>
      </c>
    </row>
    <row r="25791" spans="129:129" x14ac:dyDescent="0.2">
      <c r="DY25791" s="185" t="s">
        <v>215</v>
      </c>
    </row>
    <row r="25792" spans="129:129" x14ac:dyDescent="0.2">
      <c r="DY25792" s="185" t="s">
        <v>215</v>
      </c>
    </row>
    <row r="25793" spans="129:129" x14ac:dyDescent="0.2">
      <c r="DY25793" s="185" t="s">
        <v>215</v>
      </c>
    </row>
    <row r="25794" spans="129:129" x14ac:dyDescent="0.2">
      <c r="DY25794" s="185" t="s">
        <v>215</v>
      </c>
    </row>
    <row r="25795" spans="129:129" x14ac:dyDescent="0.2">
      <c r="DY25795" s="185" t="s">
        <v>215</v>
      </c>
    </row>
    <row r="25796" spans="129:129" x14ac:dyDescent="0.2">
      <c r="DY25796" s="185" t="s">
        <v>215</v>
      </c>
    </row>
    <row r="25797" spans="129:129" x14ac:dyDescent="0.2">
      <c r="DY25797" s="185" t="s">
        <v>215</v>
      </c>
    </row>
    <row r="25798" spans="129:129" x14ac:dyDescent="0.2">
      <c r="DY25798" s="185" t="s">
        <v>215</v>
      </c>
    </row>
    <row r="25799" spans="129:129" x14ac:dyDescent="0.2">
      <c r="DY25799" s="185" t="s">
        <v>215</v>
      </c>
    </row>
    <row r="25800" spans="129:129" x14ac:dyDescent="0.2">
      <c r="DY25800" s="185" t="s">
        <v>215</v>
      </c>
    </row>
    <row r="25801" spans="129:129" x14ac:dyDescent="0.2">
      <c r="DY25801" s="185" t="s">
        <v>215</v>
      </c>
    </row>
    <row r="25802" spans="129:129" x14ac:dyDescent="0.2">
      <c r="DY25802" s="185" t="s">
        <v>215</v>
      </c>
    </row>
    <row r="25803" spans="129:129" x14ac:dyDescent="0.2">
      <c r="DY25803" s="185" t="s">
        <v>215</v>
      </c>
    </row>
    <row r="25804" spans="129:129" x14ac:dyDescent="0.2">
      <c r="DY25804" s="185" t="s">
        <v>215</v>
      </c>
    </row>
    <row r="25805" spans="129:129" x14ac:dyDescent="0.2">
      <c r="DY25805" s="185" t="s">
        <v>215</v>
      </c>
    </row>
    <row r="25806" spans="129:129" x14ac:dyDescent="0.2">
      <c r="DY25806" s="185" t="s">
        <v>215</v>
      </c>
    </row>
    <row r="25807" spans="129:129" x14ac:dyDescent="0.2">
      <c r="DY25807" s="185" t="s">
        <v>215</v>
      </c>
    </row>
    <row r="25808" spans="129:129" x14ac:dyDescent="0.2">
      <c r="DY25808" s="185" t="s">
        <v>215</v>
      </c>
    </row>
    <row r="25809" spans="129:129" x14ac:dyDescent="0.2">
      <c r="DY25809" s="185" t="s">
        <v>215</v>
      </c>
    </row>
    <row r="25810" spans="129:129" x14ac:dyDescent="0.2">
      <c r="DY25810" s="185" t="s">
        <v>215</v>
      </c>
    </row>
    <row r="25811" spans="129:129" x14ac:dyDescent="0.2">
      <c r="DY25811" s="185" t="s">
        <v>215</v>
      </c>
    </row>
    <row r="25812" spans="129:129" x14ac:dyDescent="0.2">
      <c r="DY25812" s="185" t="s">
        <v>215</v>
      </c>
    </row>
    <row r="25813" spans="129:129" x14ac:dyDescent="0.2">
      <c r="DY25813" s="185" t="s">
        <v>215</v>
      </c>
    </row>
    <row r="25814" spans="129:129" x14ac:dyDescent="0.2">
      <c r="DY25814" s="185" t="s">
        <v>215</v>
      </c>
    </row>
    <row r="25815" spans="129:129" x14ac:dyDescent="0.2">
      <c r="DY25815" s="185" t="s">
        <v>215</v>
      </c>
    </row>
    <row r="25816" spans="129:129" x14ac:dyDescent="0.2">
      <c r="DY25816" s="185" t="s">
        <v>215</v>
      </c>
    </row>
    <row r="25817" spans="129:129" x14ac:dyDescent="0.2">
      <c r="DY25817" s="185" t="s">
        <v>215</v>
      </c>
    </row>
    <row r="25818" spans="129:129" x14ac:dyDescent="0.2">
      <c r="DY25818" s="185" t="s">
        <v>215</v>
      </c>
    </row>
    <row r="25819" spans="129:129" x14ac:dyDescent="0.2">
      <c r="DY25819" s="185" t="s">
        <v>215</v>
      </c>
    </row>
    <row r="25820" spans="129:129" x14ac:dyDescent="0.2">
      <c r="DY25820" s="185" t="s">
        <v>215</v>
      </c>
    </row>
    <row r="25821" spans="129:129" x14ac:dyDescent="0.2">
      <c r="DY25821" s="185" t="s">
        <v>215</v>
      </c>
    </row>
    <row r="25822" spans="129:129" x14ac:dyDescent="0.2">
      <c r="DY25822" s="185" t="s">
        <v>215</v>
      </c>
    </row>
    <row r="25823" spans="129:129" x14ac:dyDescent="0.2">
      <c r="DY25823" s="185" t="s">
        <v>215</v>
      </c>
    </row>
    <row r="25824" spans="129:129" x14ac:dyDescent="0.2">
      <c r="DY25824" s="185" t="s">
        <v>215</v>
      </c>
    </row>
    <row r="25825" spans="129:129" x14ac:dyDescent="0.2">
      <c r="DY25825" s="185" t="s">
        <v>215</v>
      </c>
    </row>
    <row r="25826" spans="129:129" x14ac:dyDescent="0.2">
      <c r="DY25826" s="185" t="s">
        <v>215</v>
      </c>
    </row>
    <row r="25827" spans="129:129" x14ac:dyDescent="0.2">
      <c r="DY25827" s="185" t="s">
        <v>215</v>
      </c>
    </row>
    <row r="25828" spans="129:129" x14ac:dyDescent="0.2">
      <c r="DY25828" s="185" t="s">
        <v>215</v>
      </c>
    </row>
    <row r="25829" spans="129:129" x14ac:dyDescent="0.2">
      <c r="DY25829" s="185" t="s">
        <v>215</v>
      </c>
    </row>
    <row r="25830" spans="129:129" x14ac:dyDescent="0.2">
      <c r="DY25830" s="185" t="s">
        <v>215</v>
      </c>
    </row>
    <row r="25831" spans="129:129" x14ac:dyDescent="0.2">
      <c r="DY25831" s="185" t="s">
        <v>215</v>
      </c>
    </row>
    <row r="25832" spans="129:129" x14ac:dyDescent="0.2">
      <c r="DY25832" s="185" t="s">
        <v>215</v>
      </c>
    </row>
    <row r="25833" spans="129:129" x14ac:dyDescent="0.2">
      <c r="DY25833" s="185" t="s">
        <v>215</v>
      </c>
    </row>
    <row r="25834" spans="129:129" x14ac:dyDescent="0.2">
      <c r="DY25834" s="185" t="s">
        <v>215</v>
      </c>
    </row>
    <row r="25835" spans="129:129" x14ac:dyDescent="0.2">
      <c r="DY25835" s="185" t="s">
        <v>215</v>
      </c>
    </row>
    <row r="25836" spans="129:129" x14ac:dyDescent="0.2">
      <c r="DY25836" s="185" t="s">
        <v>215</v>
      </c>
    </row>
    <row r="25837" spans="129:129" x14ac:dyDescent="0.2">
      <c r="DY25837" s="185" t="s">
        <v>215</v>
      </c>
    </row>
    <row r="25838" spans="129:129" x14ac:dyDescent="0.2">
      <c r="DY25838" s="185" t="s">
        <v>215</v>
      </c>
    </row>
    <row r="25839" spans="129:129" x14ac:dyDescent="0.2">
      <c r="DY25839" s="185" t="s">
        <v>215</v>
      </c>
    </row>
    <row r="25840" spans="129:129" x14ac:dyDescent="0.2">
      <c r="DY25840" s="185" t="s">
        <v>215</v>
      </c>
    </row>
    <row r="25841" spans="129:129" x14ac:dyDescent="0.2">
      <c r="DY25841" s="185" t="s">
        <v>215</v>
      </c>
    </row>
    <row r="25842" spans="129:129" x14ac:dyDescent="0.2">
      <c r="DY25842" s="185" t="s">
        <v>215</v>
      </c>
    </row>
    <row r="25843" spans="129:129" x14ac:dyDescent="0.2">
      <c r="DY25843" s="185" t="s">
        <v>215</v>
      </c>
    </row>
    <row r="25844" spans="129:129" x14ac:dyDescent="0.2">
      <c r="DY25844" s="185" t="s">
        <v>215</v>
      </c>
    </row>
    <row r="25845" spans="129:129" x14ac:dyDescent="0.2">
      <c r="DY25845" s="185" t="s">
        <v>215</v>
      </c>
    </row>
    <row r="25846" spans="129:129" x14ac:dyDescent="0.2">
      <c r="DY25846" s="185" t="s">
        <v>215</v>
      </c>
    </row>
    <row r="25847" spans="129:129" x14ac:dyDescent="0.2">
      <c r="DY25847" s="185" t="s">
        <v>215</v>
      </c>
    </row>
    <row r="25848" spans="129:129" x14ac:dyDescent="0.2">
      <c r="DY25848" s="185" t="s">
        <v>215</v>
      </c>
    </row>
    <row r="25849" spans="129:129" x14ac:dyDescent="0.2">
      <c r="DY25849" s="185" t="s">
        <v>215</v>
      </c>
    </row>
    <row r="25850" spans="129:129" x14ac:dyDescent="0.2">
      <c r="DY25850" s="185" t="s">
        <v>215</v>
      </c>
    </row>
    <row r="25851" spans="129:129" x14ac:dyDescent="0.2">
      <c r="DY25851" s="185" t="s">
        <v>215</v>
      </c>
    </row>
    <row r="25852" spans="129:129" x14ac:dyDescent="0.2">
      <c r="DY25852" s="185" t="s">
        <v>215</v>
      </c>
    </row>
    <row r="25853" spans="129:129" x14ac:dyDescent="0.2">
      <c r="DY25853" s="185" t="s">
        <v>215</v>
      </c>
    </row>
    <row r="25854" spans="129:129" x14ac:dyDescent="0.2">
      <c r="DY25854" s="185" t="s">
        <v>215</v>
      </c>
    </row>
    <row r="25855" spans="129:129" x14ac:dyDescent="0.2">
      <c r="DY25855" s="185" t="s">
        <v>215</v>
      </c>
    </row>
    <row r="25856" spans="129:129" x14ac:dyDescent="0.2">
      <c r="DY25856" s="185" t="s">
        <v>215</v>
      </c>
    </row>
    <row r="25857" spans="129:129" x14ac:dyDescent="0.2">
      <c r="DY25857" s="185" t="s">
        <v>215</v>
      </c>
    </row>
    <row r="25858" spans="129:129" x14ac:dyDescent="0.2">
      <c r="DY25858" s="185" t="s">
        <v>215</v>
      </c>
    </row>
    <row r="25859" spans="129:129" x14ac:dyDescent="0.2">
      <c r="DY25859" s="185" t="s">
        <v>215</v>
      </c>
    </row>
    <row r="25860" spans="129:129" x14ac:dyDescent="0.2">
      <c r="DY25860" s="185" t="s">
        <v>215</v>
      </c>
    </row>
    <row r="25861" spans="129:129" x14ac:dyDescent="0.2">
      <c r="DY25861" s="185" t="s">
        <v>215</v>
      </c>
    </row>
    <row r="25862" spans="129:129" x14ac:dyDescent="0.2">
      <c r="DY25862" s="185" t="s">
        <v>215</v>
      </c>
    </row>
    <row r="25863" spans="129:129" x14ac:dyDescent="0.2">
      <c r="DY25863" s="185" t="s">
        <v>215</v>
      </c>
    </row>
    <row r="25864" spans="129:129" x14ac:dyDescent="0.2">
      <c r="DY25864" s="185" t="s">
        <v>215</v>
      </c>
    </row>
    <row r="25865" spans="129:129" x14ac:dyDescent="0.2">
      <c r="DY25865" s="185" t="s">
        <v>215</v>
      </c>
    </row>
    <row r="25866" spans="129:129" x14ac:dyDescent="0.2">
      <c r="DY25866" s="185" t="s">
        <v>215</v>
      </c>
    </row>
    <row r="25867" spans="129:129" x14ac:dyDescent="0.2">
      <c r="DY25867" s="185" t="s">
        <v>215</v>
      </c>
    </row>
    <row r="25868" spans="129:129" x14ac:dyDescent="0.2">
      <c r="DY25868" s="185" t="s">
        <v>215</v>
      </c>
    </row>
    <row r="25869" spans="129:129" x14ac:dyDescent="0.2">
      <c r="DY25869" s="185" t="s">
        <v>215</v>
      </c>
    </row>
    <row r="25870" spans="129:129" x14ac:dyDescent="0.2">
      <c r="DY25870" s="185" t="s">
        <v>215</v>
      </c>
    </row>
    <row r="25871" spans="129:129" x14ac:dyDescent="0.2">
      <c r="DY25871" s="185" t="s">
        <v>215</v>
      </c>
    </row>
    <row r="25872" spans="129:129" x14ac:dyDescent="0.2">
      <c r="DY25872" s="185" t="s">
        <v>215</v>
      </c>
    </row>
    <row r="25873" spans="129:129" x14ac:dyDescent="0.2">
      <c r="DY25873" s="185" t="s">
        <v>215</v>
      </c>
    </row>
    <row r="25874" spans="129:129" x14ac:dyDescent="0.2">
      <c r="DY25874" s="185" t="s">
        <v>215</v>
      </c>
    </row>
    <row r="25875" spans="129:129" x14ac:dyDescent="0.2">
      <c r="DY25875" s="185" t="s">
        <v>215</v>
      </c>
    </row>
    <row r="25876" spans="129:129" x14ac:dyDescent="0.2">
      <c r="DY25876" s="185" t="s">
        <v>215</v>
      </c>
    </row>
    <row r="25877" spans="129:129" x14ac:dyDescent="0.2">
      <c r="DY25877" s="185" t="s">
        <v>215</v>
      </c>
    </row>
    <row r="25878" spans="129:129" x14ac:dyDescent="0.2">
      <c r="DY25878" s="185" t="s">
        <v>215</v>
      </c>
    </row>
    <row r="25879" spans="129:129" x14ac:dyDescent="0.2">
      <c r="DY25879" s="185" t="s">
        <v>215</v>
      </c>
    </row>
    <row r="25880" spans="129:129" x14ac:dyDescent="0.2">
      <c r="DY25880" s="185" t="s">
        <v>215</v>
      </c>
    </row>
    <row r="25881" spans="129:129" x14ac:dyDescent="0.2">
      <c r="DY25881" s="185" t="s">
        <v>215</v>
      </c>
    </row>
    <row r="25882" spans="129:129" x14ac:dyDescent="0.2">
      <c r="DY25882" s="185" t="s">
        <v>215</v>
      </c>
    </row>
    <row r="25883" spans="129:129" x14ac:dyDescent="0.2">
      <c r="DY25883" s="185" t="s">
        <v>215</v>
      </c>
    </row>
    <row r="25884" spans="129:129" x14ac:dyDescent="0.2">
      <c r="DY25884" s="185" t="s">
        <v>215</v>
      </c>
    </row>
    <row r="25885" spans="129:129" x14ac:dyDescent="0.2">
      <c r="DY25885" s="185" t="s">
        <v>215</v>
      </c>
    </row>
    <row r="25886" spans="129:129" x14ac:dyDescent="0.2">
      <c r="DY25886" s="185" t="s">
        <v>215</v>
      </c>
    </row>
    <row r="25887" spans="129:129" x14ac:dyDescent="0.2">
      <c r="DY25887" s="185" t="s">
        <v>215</v>
      </c>
    </row>
    <row r="25888" spans="129:129" x14ac:dyDescent="0.2">
      <c r="DY25888" s="185" t="s">
        <v>215</v>
      </c>
    </row>
    <row r="25889" spans="129:129" x14ac:dyDescent="0.2">
      <c r="DY25889" s="185" t="s">
        <v>215</v>
      </c>
    </row>
    <row r="25890" spans="129:129" x14ac:dyDescent="0.2">
      <c r="DY25890" s="185" t="s">
        <v>215</v>
      </c>
    </row>
    <row r="25891" spans="129:129" x14ac:dyDescent="0.2">
      <c r="DY25891" s="185" t="s">
        <v>215</v>
      </c>
    </row>
    <row r="25892" spans="129:129" x14ac:dyDescent="0.2">
      <c r="DY25892" s="185" t="s">
        <v>215</v>
      </c>
    </row>
    <row r="25893" spans="129:129" x14ac:dyDescent="0.2">
      <c r="DY25893" s="185" t="s">
        <v>215</v>
      </c>
    </row>
    <row r="25894" spans="129:129" x14ac:dyDescent="0.2">
      <c r="DY25894" s="185" t="s">
        <v>215</v>
      </c>
    </row>
    <row r="25895" spans="129:129" x14ac:dyDescent="0.2">
      <c r="DY25895" s="185" t="s">
        <v>215</v>
      </c>
    </row>
    <row r="25896" spans="129:129" x14ac:dyDescent="0.2">
      <c r="DY25896" s="185" t="s">
        <v>215</v>
      </c>
    </row>
    <row r="25897" spans="129:129" x14ac:dyDescent="0.2">
      <c r="DY25897" s="185" t="s">
        <v>215</v>
      </c>
    </row>
    <row r="25898" spans="129:129" x14ac:dyDescent="0.2">
      <c r="DY25898" s="185" t="s">
        <v>215</v>
      </c>
    </row>
    <row r="25899" spans="129:129" x14ac:dyDescent="0.2">
      <c r="DY25899" s="185" t="s">
        <v>215</v>
      </c>
    </row>
    <row r="25900" spans="129:129" x14ac:dyDescent="0.2">
      <c r="DY25900" s="185" t="s">
        <v>215</v>
      </c>
    </row>
    <row r="25901" spans="129:129" x14ac:dyDescent="0.2">
      <c r="DY25901" s="185" t="s">
        <v>215</v>
      </c>
    </row>
    <row r="25902" spans="129:129" x14ac:dyDescent="0.2">
      <c r="DY25902" s="185" t="s">
        <v>215</v>
      </c>
    </row>
    <row r="25903" spans="129:129" x14ac:dyDescent="0.2">
      <c r="DY25903" s="185" t="s">
        <v>215</v>
      </c>
    </row>
    <row r="25904" spans="129:129" x14ac:dyDescent="0.2">
      <c r="DY25904" s="185" t="s">
        <v>215</v>
      </c>
    </row>
    <row r="25905" spans="129:129" x14ac:dyDescent="0.2">
      <c r="DY25905" s="185" t="s">
        <v>215</v>
      </c>
    </row>
    <row r="25906" spans="129:129" x14ac:dyDescent="0.2">
      <c r="DY25906" s="185" t="s">
        <v>215</v>
      </c>
    </row>
    <row r="25907" spans="129:129" x14ac:dyDescent="0.2">
      <c r="DY25907" s="185" t="s">
        <v>215</v>
      </c>
    </row>
    <row r="25908" spans="129:129" x14ac:dyDescent="0.2">
      <c r="DY25908" s="185" t="s">
        <v>215</v>
      </c>
    </row>
    <row r="25909" spans="129:129" x14ac:dyDescent="0.2">
      <c r="DY25909" s="185" t="s">
        <v>215</v>
      </c>
    </row>
    <row r="25910" spans="129:129" x14ac:dyDescent="0.2">
      <c r="DY25910" s="185" t="s">
        <v>215</v>
      </c>
    </row>
    <row r="25911" spans="129:129" x14ac:dyDescent="0.2">
      <c r="DY25911" s="185" t="s">
        <v>215</v>
      </c>
    </row>
    <row r="25912" spans="129:129" x14ac:dyDescent="0.2">
      <c r="DY25912" s="185" t="s">
        <v>215</v>
      </c>
    </row>
    <row r="25913" spans="129:129" x14ac:dyDescent="0.2">
      <c r="DY25913" s="185" t="s">
        <v>215</v>
      </c>
    </row>
    <row r="25914" spans="129:129" x14ac:dyDescent="0.2">
      <c r="DY25914" s="185" t="s">
        <v>215</v>
      </c>
    </row>
    <row r="25915" spans="129:129" x14ac:dyDescent="0.2">
      <c r="DY25915" s="185" t="s">
        <v>215</v>
      </c>
    </row>
    <row r="25916" spans="129:129" x14ac:dyDescent="0.2">
      <c r="DY25916" s="185" t="s">
        <v>215</v>
      </c>
    </row>
    <row r="25917" spans="129:129" x14ac:dyDescent="0.2">
      <c r="DY25917" s="185" t="s">
        <v>215</v>
      </c>
    </row>
    <row r="25918" spans="129:129" x14ac:dyDescent="0.2">
      <c r="DY25918" s="185" t="s">
        <v>215</v>
      </c>
    </row>
    <row r="25919" spans="129:129" x14ac:dyDescent="0.2">
      <c r="DY25919" s="185" t="s">
        <v>215</v>
      </c>
    </row>
    <row r="25920" spans="129:129" x14ac:dyDescent="0.2">
      <c r="DY25920" s="185" t="s">
        <v>215</v>
      </c>
    </row>
    <row r="25921" spans="129:129" x14ac:dyDescent="0.2">
      <c r="DY25921" s="185" t="s">
        <v>215</v>
      </c>
    </row>
    <row r="25922" spans="129:129" x14ac:dyDescent="0.2">
      <c r="DY25922" s="185" t="s">
        <v>215</v>
      </c>
    </row>
    <row r="25923" spans="129:129" x14ac:dyDescent="0.2">
      <c r="DY25923" s="185" t="s">
        <v>215</v>
      </c>
    </row>
    <row r="25924" spans="129:129" x14ac:dyDescent="0.2">
      <c r="DY25924" s="185" t="s">
        <v>215</v>
      </c>
    </row>
    <row r="25925" spans="129:129" x14ac:dyDescent="0.2">
      <c r="DY25925" s="185" t="s">
        <v>215</v>
      </c>
    </row>
    <row r="25926" spans="129:129" x14ac:dyDescent="0.2">
      <c r="DY25926" s="185" t="s">
        <v>215</v>
      </c>
    </row>
    <row r="25927" spans="129:129" x14ac:dyDescent="0.2">
      <c r="DY25927" s="185" t="s">
        <v>215</v>
      </c>
    </row>
    <row r="25928" spans="129:129" x14ac:dyDescent="0.2">
      <c r="DY25928" s="185" t="s">
        <v>215</v>
      </c>
    </row>
    <row r="25929" spans="129:129" x14ac:dyDescent="0.2">
      <c r="DY25929" s="185" t="s">
        <v>215</v>
      </c>
    </row>
    <row r="25930" spans="129:129" x14ac:dyDescent="0.2">
      <c r="DY25930" s="185" t="s">
        <v>215</v>
      </c>
    </row>
    <row r="25931" spans="129:129" x14ac:dyDescent="0.2">
      <c r="DY25931" s="185" t="s">
        <v>215</v>
      </c>
    </row>
    <row r="25932" spans="129:129" x14ac:dyDescent="0.2">
      <c r="DY25932" s="185" t="s">
        <v>215</v>
      </c>
    </row>
    <row r="25933" spans="129:129" x14ac:dyDescent="0.2">
      <c r="DY25933" s="185" t="s">
        <v>215</v>
      </c>
    </row>
    <row r="25934" spans="129:129" x14ac:dyDescent="0.2">
      <c r="DY25934" s="185" t="s">
        <v>215</v>
      </c>
    </row>
    <row r="25935" spans="129:129" x14ac:dyDescent="0.2">
      <c r="DY25935" s="185" t="s">
        <v>215</v>
      </c>
    </row>
    <row r="25936" spans="129:129" x14ac:dyDescent="0.2">
      <c r="DY25936" s="185" t="s">
        <v>215</v>
      </c>
    </row>
    <row r="25937" spans="129:129" x14ac:dyDescent="0.2">
      <c r="DY25937" s="185" t="s">
        <v>215</v>
      </c>
    </row>
    <row r="25938" spans="129:129" x14ac:dyDescent="0.2">
      <c r="DY25938" s="185" t="s">
        <v>215</v>
      </c>
    </row>
    <row r="25939" spans="129:129" x14ac:dyDescent="0.2">
      <c r="DY25939" s="185" t="s">
        <v>215</v>
      </c>
    </row>
    <row r="25940" spans="129:129" x14ac:dyDescent="0.2">
      <c r="DY25940" s="185" t="s">
        <v>215</v>
      </c>
    </row>
    <row r="25941" spans="129:129" x14ac:dyDescent="0.2">
      <c r="DY25941" s="185" t="s">
        <v>215</v>
      </c>
    </row>
    <row r="25942" spans="129:129" x14ac:dyDescent="0.2">
      <c r="DY25942" s="185" t="s">
        <v>215</v>
      </c>
    </row>
    <row r="25943" spans="129:129" x14ac:dyDescent="0.2">
      <c r="DY25943" s="185" t="s">
        <v>215</v>
      </c>
    </row>
    <row r="25944" spans="129:129" x14ac:dyDescent="0.2">
      <c r="DY25944" s="185" t="s">
        <v>215</v>
      </c>
    </row>
    <row r="25945" spans="129:129" x14ac:dyDescent="0.2">
      <c r="DY25945" s="185" t="s">
        <v>215</v>
      </c>
    </row>
    <row r="25946" spans="129:129" x14ac:dyDescent="0.2">
      <c r="DY25946" s="185" t="s">
        <v>215</v>
      </c>
    </row>
    <row r="25947" spans="129:129" x14ac:dyDescent="0.2">
      <c r="DY25947" s="185" t="s">
        <v>215</v>
      </c>
    </row>
    <row r="25948" spans="129:129" x14ac:dyDescent="0.2">
      <c r="DY25948" s="185" t="s">
        <v>215</v>
      </c>
    </row>
    <row r="25949" spans="129:129" x14ac:dyDescent="0.2">
      <c r="DY25949" s="185" t="s">
        <v>215</v>
      </c>
    </row>
    <row r="25950" spans="129:129" x14ac:dyDescent="0.2">
      <c r="DY25950" s="185" t="s">
        <v>215</v>
      </c>
    </row>
    <row r="25951" spans="129:129" x14ac:dyDescent="0.2">
      <c r="DY25951" s="185" t="s">
        <v>215</v>
      </c>
    </row>
    <row r="25952" spans="129:129" x14ac:dyDescent="0.2">
      <c r="DY25952" s="185" t="s">
        <v>215</v>
      </c>
    </row>
    <row r="25953" spans="129:129" x14ac:dyDescent="0.2">
      <c r="DY25953" s="185" t="s">
        <v>215</v>
      </c>
    </row>
    <row r="25954" spans="129:129" x14ac:dyDescent="0.2">
      <c r="DY25954" s="185" t="s">
        <v>215</v>
      </c>
    </row>
    <row r="25955" spans="129:129" x14ac:dyDescent="0.2">
      <c r="DY25955" s="185" t="s">
        <v>215</v>
      </c>
    </row>
    <row r="25956" spans="129:129" x14ac:dyDescent="0.2">
      <c r="DY25956" s="185" t="s">
        <v>215</v>
      </c>
    </row>
    <row r="25957" spans="129:129" x14ac:dyDescent="0.2">
      <c r="DY25957" s="185" t="s">
        <v>215</v>
      </c>
    </row>
    <row r="25958" spans="129:129" x14ac:dyDescent="0.2">
      <c r="DY25958" s="185" t="s">
        <v>215</v>
      </c>
    </row>
    <row r="25959" spans="129:129" x14ac:dyDescent="0.2">
      <c r="DY25959" s="185" t="s">
        <v>215</v>
      </c>
    </row>
    <row r="25960" spans="129:129" x14ac:dyDescent="0.2">
      <c r="DY25960" s="185" t="s">
        <v>215</v>
      </c>
    </row>
    <row r="25961" spans="129:129" x14ac:dyDescent="0.2">
      <c r="DY25961" s="185" t="s">
        <v>215</v>
      </c>
    </row>
    <row r="25962" spans="129:129" x14ac:dyDescent="0.2">
      <c r="DY25962" s="185" t="s">
        <v>215</v>
      </c>
    </row>
    <row r="25963" spans="129:129" x14ac:dyDescent="0.2">
      <c r="DY25963" s="185" t="s">
        <v>215</v>
      </c>
    </row>
    <row r="25964" spans="129:129" x14ac:dyDescent="0.2">
      <c r="DY25964" s="185" t="s">
        <v>215</v>
      </c>
    </row>
    <row r="25965" spans="129:129" x14ac:dyDescent="0.2">
      <c r="DY25965" s="185" t="s">
        <v>215</v>
      </c>
    </row>
    <row r="25966" spans="129:129" x14ac:dyDescent="0.2">
      <c r="DY25966" s="185" t="s">
        <v>215</v>
      </c>
    </row>
    <row r="25967" spans="129:129" x14ac:dyDescent="0.2">
      <c r="DY25967" s="185" t="s">
        <v>215</v>
      </c>
    </row>
    <row r="25968" spans="129:129" x14ac:dyDescent="0.2">
      <c r="DY25968" s="185" t="s">
        <v>215</v>
      </c>
    </row>
    <row r="25969" spans="129:129" x14ac:dyDescent="0.2">
      <c r="DY25969" s="185" t="s">
        <v>215</v>
      </c>
    </row>
    <row r="25970" spans="129:129" x14ac:dyDescent="0.2">
      <c r="DY25970" s="185" t="s">
        <v>215</v>
      </c>
    </row>
    <row r="25971" spans="129:129" x14ac:dyDescent="0.2">
      <c r="DY25971" s="185" t="s">
        <v>215</v>
      </c>
    </row>
    <row r="25972" spans="129:129" x14ac:dyDescent="0.2">
      <c r="DY25972" s="185" t="s">
        <v>215</v>
      </c>
    </row>
    <row r="25973" spans="129:129" x14ac:dyDescent="0.2">
      <c r="DY25973" s="185" t="s">
        <v>215</v>
      </c>
    </row>
    <row r="25974" spans="129:129" x14ac:dyDescent="0.2">
      <c r="DY25974" s="185" t="s">
        <v>215</v>
      </c>
    </row>
    <row r="25975" spans="129:129" x14ac:dyDescent="0.2">
      <c r="DY25975" s="185" t="s">
        <v>215</v>
      </c>
    </row>
    <row r="25976" spans="129:129" x14ac:dyDescent="0.2">
      <c r="DY25976" s="185" t="s">
        <v>215</v>
      </c>
    </row>
    <row r="25977" spans="129:129" x14ac:dyDescent="0.2">
      <c r="DY25977" s="185" t="s">
        <v>215</v>
      </c>
    </row>
    <row r="25978" spans="129:129" x14ac:dyDescent="0.2">
      <c r="DY25978" s="185" t="s">
        <v>215</v>
      </c>
    </row>
    <row r="25979" spans="129:129" x14ac:dyDescent="0.2">
      <c r="DY25979" s="185" t="s">
        <v>215</v>
      </c>
    </row>
    <row r="25980" spans="129:129" x14ac:dyDescent="0.2">
      <c r="DY25980" s="185" t="s">
        <v>215</v>
      </c>
    </row>
    <row r="25981" spans="129:129" x14ac:dyDescent="0.2">
      <c r="DY25981" s="185" t="s">
        <v>215</v>
      </c>
    </row>
    <row r="25982" spans="129:129" x14ac:dyDescent="0.2">
      <c r="DY25982" s="185" t="s">
        <v>215</v>
      </c>
    </row>
    <row r="25983" spans="129:129" x14ac:dyDescent="0.2">
      <c r="DY25983" s="185" t="s">
        <v>215</v>
      </c>
    </row>
    <row r="25984" spans="129:129" x14ac:dyDescent="0.2">
      <c r="DY25984" s="185" t="s">
        <v>215</v>
      </c>
    </row>
    <row r="25985" spans="129:129" x14ac:dyDescent="0.2">
      <c r="DY25985" s="185" t="s">
        <v>215</v>
      </c>
    </row>
    <row r="25986" spans="129:129" x14ac:dyDescent="0.2">
      <c r="DY25986" s="185" t="s">
        <v>215</v>
      </c>
    </row>
    <row r="25987" spans="129:129" x14ac:dyDescent="0.2">
      <c r="DY25987" s="185" t="s">
        <v>215</v>
      </c>
    </row>
    <row r="25988" spans="129:129" x14ac:dyDescent="0.2">
      <c r="DY25988" s="185" t="s">
        <v>215</v>
      </c>
    </row>
    <row r="25989" spans="129:129" x14ac:dyDescent="0.2">
      <c r="DY25989" s="185" t="s">
        <v>215</v>
      </c>
    </row>
    <row r="25990" spans="129:129" x14ac:dyDescent="0.2">
      <c r="DY25990" s="185" t="s">
        <v>215</v>
      </c>
    </row>
    <row r="25991" spans="129:129" x14ac:dyDescent="0.2">
      <c r="DY25991" s="185" t="s">
        <v>215</v>
      </c>
    </row>
    <row r="25992" spans="129:129" x14ac:dyDescent="0.2">
      <c r="DY25992" s="185" t="s">
        <v>215</v>
      </c>
    </row>
    <row r="25993" spans="129:129" x14ac:dyDescent="0.2">
      <c r="DY25993" s="185" t="s">
        <v>215</v>
      </c>
    </row>
    <row r="25994" spans="129:129" x14ac:dyDescent="0.2">
      <c r="DY25994" s="185" t="s">
        <v>215</v>
      </c>
    </row>
    <row r="25995" spans="129:129" x14ac:dyDescent="0.2">
      <c r="DY25995" s="185" t="s">
        <v>215</v>
      </c>
    </row>
    <row r="25996" spans="129:129" x14ac:dyDescent="0.2">
      <c r="DY25996" s="185" t="s">
        <v>215</v>
      </c>
    </row>
    <row r="25997" spans="129:129" x14ac:dyDescent="0.2">
      <c r="DY25997" s="185" t="s">
        <v>215</v>
      </c>
    </row>
    <row r="25998" spans="129:129" x14ac:dyDescent="0.2">
      <c r="DY25998" s="185" t="s">
        <v>215</v>
      </c>
    </row>
    <row r="25999" spans="129:129" x14ac:dyDescent="0.2">
      <c r="DY25999" s="185" t="s">
        <v>215</v>
      </c>
    </row>
    <row r="26000" spans="129:129" x14ac:dyDescent="0.2">
      <c r="DY26000" s="185" t="s">
        <v>215</v>
      </c>
    </row>
    <row r="26001" spans="129:129" x14ac:dyDescent="0.2">
      <c r="DY26001" s="185" t="s">
        <v>215</v>
      </c>
    </row>
    <row r="26002" spans="129:129" x14ac:dyDescent="0.2">
      <c r="DY26002" s="185" t="s">
        <v>215</v>
      </c>
    </row>
    <row r="26003" spans="129:129" x14ac:dyDescent="0.2">
      <c r="DY26003" s="185" t="s">
        <v>215</v>
      </c>
    </row>
    <row r="26004" spans="129:129" x14ac:dyDescent="0.2">
      <c r="DY26004" s="185" t="s">
        <v>215</v>
      </c>
    </row>
    <row r="26005" spans="129:129" x14ac:dyDescent="0.2">
      <c r="DY26005" s="185" t="s">
        <v>215</v>
      </c>
    </row>
    <row r="26006" spans="129:129" x14ac:dyDescent="0.2">
      <c r="DY26006" s="185" t="s">
        <v>215</v>
      </c>
    </row>
    <row r="26007" spans="129:129" x14ac:dyDescent="0.2">
      <c r="DY26007" s="185" t="s">
        <v>215</v>
      </c>
    </row>
    <row r="26008" spans="129:129" x14ac:dyDescent="0.2">
      <c r="DY26008" s="185" t="s">
        <v>215</v>
      </c>
    </row>
    <row r="26009" spans="129:129" x14ac:dyDescent="0.2">
      <c r="DY26009" s="185" t="s">
        <v>215</v>
      </c>
    </row>
    <row r="26010" spans="129:129" x14ac:dyDescent="0.2">
      <c r="DY26010" s="185" t="s">
        <v>215</v>
      </c>
    </row>
    <row r="26011" spans="129:129" x14ac:dyDescent="0.2">
      <c r="DY26011" s="185" t="s">
        <v>215</v>
      </c>
    </row>
    <row r="26012" spans="129:129" x14ac:dyDescent="0.2">
      <c r="DY26012" s="185" t="s">
        <v>215</v>
      </c>
    </row>
    <row r="26013" spans="129:129" x14ac:dyDescent="0.2">
      <c r="DY26013" s="185" t="s">
        <v>215</v>
      </c>
    </row>
    <row r="26014" spans="129:129" x14ac:dyDescent="0.2">
      <c r="DY26014" s="185" t="s">
        <v>215</v>
      </c>
    </row>
    <row r="26015" spans="129:129" x14ac:dyDescent="0.2">
      <c r="DY26015" s="185" t="s">
        <v>215</v>
      </c>
    </row>
    <row r="26016" spans="129:129" x14ac:dyDescent="0.2">
      <c r="DY26016" s="185" t="s">
        <v>215</v>
      </c>
    </row>
    <row r="26017" spans="129:129" x14ac:dyDescent="0.2">
      <c r="DY26017" s="185" t="s">
        <v>215</v>
      </c>
    </row>
    <row r="26018" spans="129:129" x14ac:dyDescent="0.2">
      <c r="DY26018" s="185" t="s">
        <v>215</v>
      </c>
    </row>
    <row r="26019" spans="129:129" x14ac:dyDescent="0.2">
      <c r="DY26019" s="185" t="s">
        <v>215</v>
      </c>
    </row>
    <row r="26020" spans="129:129" x14ac:dyDescent="0.2">
      <c r="DY26020" s="185" t="s">
        <v>215</v>
      </c>
    </row>
    <row r="26021" spans="129:129" x14ac:dyDescent="0.2">
      <c r="DY26021" s="185" t="s">
        <v>215</v>
      </c>
    </row>
    <row r="26022" spans="129:129" x14ac:dyDescent="0.2">
      <c r="DY26022" s="185" t="s">
        <v>215</v>
      </c>
    </row>
    <row r="26023" spans="129:129" x14ac:dyDescent="0.2">
      <c r="DY26023" s="185" t="s">
        <v>215</v>
      </c>
    </row>
    <row r="26024" spans="129:129" x14ac:dyDescent="0.2">
      <c r="DY26024" s="185" t="s">
        <v>215</v>
      </c>
    </row>
    <row r="26025" spans="129:129" x14ac:dyDescent="0.2">
      <c r="DY26025" s="185" t="s">
        <v>215</v>
      </c>
    </row>
    <row r="26026" spans="129:129" x14ac:dyDescent="0.2">
      <c r="DY26026" s="185" t="s">
        <v>215</v>
      </c>
    </row>
    <row r="26027" spans="129:129" x14ac:dyDescent="0.2">
      <c r="DY26027" s="185" t="s">
        <v>215</v>
      </c>
    </row>
    <row r="26028" spans="129:129" x14ac:dyDescent="0.2">
      <c r="DY26028" s="185" t="s">
        <v>215</v>
      </c>
    </row>
    <row r="26029" spans="129:129" x14ac:dyDescent="0.2">
      <c r="DY26029" s="185" t="s">
        <v>215</v>
      </c>
    </row>
    <row r="26030" spans="129:129" x14ac:dyDescent="0.2">
      <c r="DY26030" s="185" t="s">
        <v>215</v>
      </c>
    </row>
    <row r="26031" spans="129:129" x14ac:dyDescent="0.2">
      <c r="DY26031" s="185" t="s">
        <v>215</v>
      </c>
    </row>
    <row r="26032" spans="129:129" x14ac:dyDescent="0.2">
      <c r="DY26032" s="185" t="s">
        <v>215</v>
      </c>
    </row>
    <row r="26033" spans="129:129" x14ac:dyDescent="0.2">
      <c r="DY26033" s="185" t="s">
        <v>215</v>
      </c>
    </row>
    <row r="26034" spans="129:129" x14ac:dyDescent="0.2">
      <c r="DY26034" s="185" t="s">
        <v>215</v>
      </c>
    </row>
    <row r="26035" spans="129:129" x14ac:dyDescent="0.2">
      <c r="DY26035" s="185" t="s">
        <v>215</v>
      </c>
    </row>
    <row r="26036" spans="129:129" x14ac:dyDescent="0.2">
      <c r="DY26036" s="185" t="s">
        <v>215</v>
      </c>
    </row>
    <row r="26037" spans="129:129" x14ac:dyDescent="0.2">
      <c r="DY26037" s="185" t="s">
        <v>215</v>
      </c>
    </row>
    <row r="26038" spans="129:129" x14ac:dyDescent="0.2">
      <c r="DY26038" s="185" t="s">
        <v>215</v>
      </c>
    </row>
    <row r="26039" spans="129:129" x14ac:dyDescent="0.2">
      <c r="DY26039" s="185" t="s">
        <v>215</v>
      </c>
    </row>
    <row r="26040" spans="129:129" x14ac:dyDescent="0.2">
      <c r="DY26040" s="185" t="s">
        <v>215</v>
      </c>
    </row>
    <row r="26041" spans="129:129" x14ac:dyDescent="0.2">
      <c r="DY26041" s="185" t="s">
        <v>215</v>
      </c>
    </row>
    <row r="26042" spans="129:129" x14ac:dyDescent="0.2">
      <c r="DY26042" s="185" t="s">
        <v>215</v>
      </c>
    </row>
    <row r="26043" spans="129:129" x14ac:dyDescent="0.2">
      <c r="DY26043" s="185" t="s">
        <v>215</v>
      </c>
    </row>
    <row r="26044" spans="129:129" x14ac:dyDescent="0.2">
      <c r="DY26044" s="185" t="s">
        <v>215</v>
      </c>
    </row>
    <row r="26045" spans="129:129" x14ac:dyDescent="0.2">
      <c r="DY26045" s="185" t="s">
        <v>215</v>
      </c>
    </row>
    <row r="26046" spans="129:129" x14ac:dyDescent="0.2">
      <c r="DY26046" s="185" t="s">
        <v>215</v>
      </c>
    </row>
    <row r="26047" spans="129:129" x14ac:dyDescent="0.2">
      <c r="DY26047" s="185" t="s">
        <v>215</v>
      </c>
    </row>
    <row r="26048" spans="129:129" x14ac:dyDescent="0.2">
      <c r="DY26048" s="185" t="s">
        <v>215</v>
      </c>
    </row>
    <row r="26049" spans="129:129" x14ac:dyDescent="0.2">
      <c r="DY26049" s="185" t="s">
        <v>215</v>
      </c>
    </row>
    <row r="26050" spans="129:129" x14ac:dyDescent="0.2">
      <c r="DY26050" s="185" t="s">
        <v>215</v>
      </c>
    </row>
    <row r="26051" spans="129:129" x14ac:dyDescent="0.2">
      <c r="DY26051" s="185" t="s">
        <v>215</v>
      </c>
    </row>
    <row r="26052" spans="129:129" x14ac:dyDescent="0.2">
      <c r="DY26052" s="185" t="s">
        <v>215</v>
      </c>
    </row>
    <row r="26053" spans="129:129" x14ac:dyDescent="0.2">
      <c r="DY26053" s="185" t="s">
        <v>215</v>
      </c>
    </row>
    <row r="26054" spans="129:129" x14ac:dyDescent="0.2">
      <c r="DY26054" s="185" t="s">
        <v>215</v>
      </c>
    </row>
    <row r="26055" spans="129:129" x14ac:dyDescent="0.2">
      <c r="DY26055" s="185" t="s">
        <v>215</v>
      </c>
    </row>
    <row r="26056" spans="129:129" x14ac:dyDescent="0.2">
      <c r="DY26056" s="185" t="s">
        <v>215</v>
      </c>
    </row>
    <row r="26057" spans="129:129" x14ac:dyDescent="0.2">
      <c r="DY26057" s="185" t="s">
        <v>215</v>
      </c>
    </row>
    <row r="26058" spans="129:129" x14ac:dyDescent="0.2">
      <c r="DY26058" s="185" t="s">
        <v>215</v>
      </c>
    </row>
    <row r="26059" spans="129:129" x14ac:dyDescent="0.2">
      <c r="DY26059" s="185" t="s">
        <v>215</v>
      </c>
    </row>
    <row r="26060" spans="129:129" x14ac:dyDescent="0.2">
      <c r="DY26060" s="185" t="s">
        <v>215</v>
      </c>
    </row>
    <row r="26061" spans="129:129" x14ac:dyDescent="0.2">
      <c r="DY26061" s="185" t="s">
        <v>215</v>
      </c>
    </row>
    <row r="26062" spans="129:129" x14ac:dyDescent="0.2">
      <c r="DY26062" s="185" t="s">
        <v>215</v>
      </c>
    </row>
    <row r="26063" spans="129:129" x14ac:dyDescent="0.2">
      <c r="DY26063" s="185" t="s">
        <v>215</v>
      </c>
    </row>
    <row r="26064" spans="129:129" x14ac:dyDescent="0.2">
      <c r="DY26064" s="185" t="s">
        <v>215</v>
      </c>
    </row>
    <row r="26065" spans="129:129" x14ac:dyDescent="0.2">
      <c r="DY26065" s="185" t="s">
        <v>215</v>
      </c>
    </row>
    <row r="26066" spans="129:129" x14ac:dyDescent="0.2">
      <c r="DY26066" s="185" t="s">
        <v>215</v>
      </c>
    </row>
    <row r="26067" spans="129:129" x14ac:dyDescent="0.2">
      <c r="DY26067" s="185" t="s">
        <v>215</v>
      </c>
    </row>
    <row r="26068" spans="129:129" x14ac:dyDescent="0.2">
      <c r="DY26068" s="185" t="s">
        <v>215</v>
      </c>
    </row>
    <row r="26069" spans="129:129" x14ac:dyDescent="0.2">
      <c r="DY26069" s="185" t="s">
        <v>215</v>
      </c>
    </row>
    <row r="26070" spans="129:129" x14ac:dyDescent="0.2">
      <c r="DY26070" s="185" t="s">
        <v>215</v>
      </c>
    </row>
    <row r="26071" spans="129:129" x14ac:dyDescent="0.2">
      <c r="DY26071" s="185" t="s">
        <v>215</v>
      </c>
    </row>
    <row r="26072" spans="129:129" x14ac:dyDescent="0.2">
      <c r="DY26072" s="185" t="s">
        <v>215</v>
      </c>
    </row>
    <row r="26073" spans="129:129" x14ac:dyDescent="0.2">
      <c r="DY26073" s="185" t="s">
        <v>215</v>
      </c>
    </row>
    <row r="26074" spans="129:129" x14ac:dyDescent="0.2">
      <c r="DY26074" s="185" t="s">
        <v>215</v>
      </c>
    </row>
    <row r="26075" spans="129:129" x14ac:dyDescent="0.2">
      <c r="DY26075" s="185" t="s">
        <v>215</v>
      </c>
    </row>
    <row r="26076" spans="129:129" x14ac:dyDescent="0.2">
      <c r="DY26076" s="185" t="s">
        <v>215</v>
      </c>
    </row>
    <row r="26077" spans="129:129" x14ac:dyDescent="0.2">
      <c r="DY26077" s="185" t="s">
        <v>215</v>
      </c>
    </row>
    <row r="26078" spans="129:129" x14ac:dyDescent="0.2">
      <c r="DY26078" s="185" t="s">
        <v>215</v>
      </c>
    </row>
    <row r="26079" spans="129:129" x14ac:dyDescent="0.2">
      <c r="DY26079" s="185" t="s">
        <v>215</v>
      </c>
    </row>
    <row r="26080" spans="129:129" x14ac:dyDescent="0.2">
      <c r="DY26080" s="185" t="s">
        <v>215</v>
      </c>
    </row>
    <row r="26081" spans="129:129" x14ac:dyDescent="0.2">
      <c r="DY26081" s="185" t="s">
        <v>215</v>
      </c>
    </row>
    <row r="26082" spans="129:129" x14ac:dyDescent="0.2">
      <c r="DY26082" s="185" t="s">
        <v>215</v>
      </c>
    </row>
    <row r="26083" spans="129:129" x14ac:dyDescent="0.2">
      <c r="DY26083" s="185" t="s">
        <v>215</v>
      </c>
    </row>
    <row r="26084" spans="129:129" x14ac:dyDescent="0.2">
      <c r="DY26084" s="185" t="s">
        <v>215</v>
      </c>
    </row>
    <row r="26085" spans="129:129" x14ac:dyDescent="0.2">
      <c r="DY26085" s="185" t="s">
        <v>215</v>
      </c>
    </row>
    <row r="26086" spans="129:129" x14ac:dyDescent="0.2">
      <c r="DY26086" s="185" t="s">
        <v>215</v>
      </c>
    </row>
    <row r="26087" spans="129:129" x14ac:dyDescent="0.2">
      <c r="DY26087" s="185" t="s">
        <v>215</v>
      </c>
    </row>
    <row r="26088" spans="129:129" x14ac:dyDescent="0.2">
      <c r="DY26088" s="185" t="s">
        <v>215</v>
      </c>
    </row>
    <row r="26089" spans="129:129" x14ac:dyDescent="0.2">
      <c r="DY26089" s="185" t="s">
        <v>215</v>
      </c>
    </row>
    <row r="26090" spans="129:129" x14ac:dyDescent="0.2">
      <c r="DY26090" s="185" t="s">
        <v>215</v>
      </c>
    </row>
    <row r="26091" spans="129:129" x14ac:dyDescent="0.2">
      <c r="DY26091" s="185" t="s">
        <v>215</v>
      </c>
    </row>
    <row r="26092" spans="129:129" x14ac:dyDescent="0.2">
      <c r="DY26092" s="185" t="s">
        <v>215</v>
      </c>
    </row>
    <row r="26093" spans="129:129" x14ac:dyDescent="0.2">
      <c r="DY26093" s="185" t="s">
        <v>215</v>
      </c>
    </row>
    <row r="26094" spans="129:129" x14ac:dyDescent="0.2">
      <c r="DY26094" s="185" t="s">
        <v>215</v>
      </c>
    </row>
    <row r="26095" spans="129:129" x14ac:dyDescent="0.2">
      <c r="DY26095" s="185" t="s">
        <v>215</v>
      </c>
    </row>
    <row r="26096" spans="129:129" x14ac:dyDescent="0.2">
      <c r="DY26096" s="185" t="s">
        <v>215</v>
      </c>
    </row>
    <row r="26097" spans="129:129" x14ac:dyDescent="0.2">
      <c r="DY26097" s="185" t="s">
        <v>215</v>
      </c>
    </row>
    <row r="26098" spans="129:129" x14ac:dyDescent="0.2">
      <c r="DY26098" s="185" t="s">
        <v>215</v>
      </c>
    </row>
    <row r="26099" spans="129:129" x14ac:dyDescent="0.2">
      <c r="DY26099" s="185" t="s">
        <v>215</v>
      </c>
    </row>
    <row r="26100" spans="129:129" x14ac:dyDescent="0.2">
      <c r="DY26100" s="185" t="s">
        <v>215</v>
      </c>
    </row>
    <row r="26101" spans="129:129" x14ac:dyDescent="0.2">
      <c r="DY26101" s="185" t="s">
        <v>215</v>
      </c>
    </row>
    <row r="26102" spans="129:129" x14ac:dyDescent="0.2">
      <c r="DY26102" s="185" t="s">
        <v>215</v>
      </c>
    </row>
    <row r="26103" spans="129:129" x14ac:dyDescent="0.2">
      <c r="DY26103" s="185" t="s">
        <v>215</v>
      </c>
    </row>
    <row r="26104" spans="129:129" x14ac:dyDescent="0.2">
      <c r="DY26104" s="185" t="s">
        <v>215</v>
      </c>
    </row>
    <row r="26105" spans="129:129" x14ac:dyDescent="0.2">
      <c r="DY26105" s="185" t="s">
        <v>215</v>
      </c>
    </row>
    <row r="26106" spans="129:129" x14ac:dyDescent="0.2">
      <c r="DY26106" s="185" t="s">
        <v>215</v>
      </c>
    </row>
    <row r="26107" spans="129:129" x14ac:dyDescent="0.2">
      <c r="DY26107" s="185" t="s">
        <v>215</v>
      </c>
    </row>
    <row r="26108" spans="129:129" x14ac:dyDescent="0.2">
      <c r="DY26108" s="185" t="s">
        <v>215</v>
      </c>
    </row>
    <row r="26109" spans="129:129" x14ac:dyDescent="0.2">
      <c r="DY26109" s="185" t="s">
        <v>215</v>
      </c>
    </row>
    <row r="26110" spans="129:129" x14ac:dyDescent="0.2">
      <c r="DY26110" s="185" t="s">
        <v>215</v>
      </c>
    </row>
    <row r="26111" spans="129:129" x14ac:dyDescent="0.2">
      <c r="DY26111" s="185" t="s">
        <v>215</v>
      </c>
    </row>
    <row r="26112" spans="129:129" x14ac:dyDescent="0.2">
      <c r="DY26112" s="185" t="s">
        <v>215</v>
      </c>
    </row>
    <row r="26113" spans="129:129" x14ac:dyDescent="0.2">
      <c r="DY26113" s="185" t="s">
        <v>215</v>
      </c>
    </row>
    <row r="26114" spans="129:129" x14ac:dyDescent="0.2">
      <c r="DY26114" s="185" t="s">
        <v>215</v>
      </c>
    </row>
    <row r="26115" spans="129:129" x14ac:dyDescent="0.2">
      <c r="DY26115" s="185" t="s">
        <v>215</v>
      </c>
    </row>
    <row r="26116" spans="129:129" x14ac:dyDescent="0.2">
      <c r="DY26116" s="185" t="s">
        <v>215</v>
      </c>
    </row>
    <row r="26117" spans="129:129" x14ac:dyDescent="0.2">
      <c r="DY26117" s="185" t="s">
        <v>215</v>
      </c>
    </row>
    <row r="26118" spans="129:129" x14ac:dyDescent="0.2">
      <c r="DY26118" s="185" t="s">
        <v>215</v>
      </c>
    </row>
    <row r="26119" spans="129:129" x14ac:dyDescent="0.2">
      <c r="DY26119" s="185" t="s">
        <v>215</v>
      </c>
    </row>
    <row r="26120" spans="129:129" x14ac:dyDescent="0.2">
      <c r="DY26120" s="185" t="s">
        <v>215</v>
      </c>
    </row>
    <row r="26121" spans="129:129" x14ac:dyDescent="0.2">
      <c r="DY26121" s="185" t="s">
        <v>215</v>
      </c>
    </row>
    <row r="26122" spans="129:129" x14ac:dyDescent="0.2">
      <c r="DY26122" s="185" t="s">
        <v>215</v>
      </c>
    </row>
    <row r="26123" spans="129:129" x14ac:dyDescent="0.2">
      <c r="DY26123" s="185" t="s">
        <v>215</v>
      </c>
    </row>
    <row r="26124" spans="129:129" x14ac:dyDescent="0.2">
      <c r="DY26124" s="185" t="s">
        <v>215</v>
      </c>
    </row>
    <row r="26125" spans="129:129" x14ac:dyDescent="0.2">
      <c r="DY26125" s="185" t="s">
        <v>215</v>
      </c>
    </row>
    <row r="26126" spans="129:129" x14ac:dyDescent="0.2">
      <c r="DY26126" s="185" t="s">
        <v>215</v>
      </c>
    </row>
    <row r="26127" spans="129:129" x14ac:dyDescent="0.2">
      <c r="DY26127" s="185" t="s">
        <v>215</v>
      </c>
    </row>
    <row r="26128" spans="129:129" x14ac:dyDescent="0.2">
      <c r="DY26128" s="185" t="s">
        <v>215</v>
      </c>
    </row>
    <row r="26129" spans="129:129" x14ac:dyDescent="0.2">
      <c r="DY26129" s="185" t="s">
        <v>215</v>
      </c>
    </row>
    <row r="26130" spans="129:129" x14ac:dyDescent="0.2">
      <c r="DY26130" s="185" t="s">
        <v>215</v>
      </c>
    </row>
    <row r="26131" spans="129:129" x14ac:dyDescent="0.2">
      <c r="DY26131" s="185" t="s">
        <v>215</v>
      </c>
    </row>
    <row r="26132" spans="129:129" x14ac:dyDescent="0.2">
      <c r="DY26132" s="185" t="s">
        <v>215</v>
      </c>
    </row>
    <row r="26133" spans="129:129" x14ac:dyDescent="0.2">
      <c r="DY26133" s="185" t="s">
        <v>215</v>
      </c>
    </row>
    <row r="26134" spans="129:129" x14ac:dyDescent="0.2">
      <c r="DY26134" s="185" t="s">
        <v>215</v>
      </c>
    </row>
    <row r="26135" spans="129:129" x14ac:dyDescent="0.2">
      <c r="DY26135" s="185" t="s">
        <v>215</v>
      </c>
    </row>
    <row r="26136" spans="129:129" x14ac:dyDescent="0.2">
      <c r="DY26136" s="185" t="s">
        <v>215</v>
      </c>
    </row>
    <row r="26137" spans="129:129" x14ac:dyDescent="0.2">
      <c r="DY26137" s="185" t="s">
        <v>215</v>
      </c>
    </row>
    <row r="26138" spans="129:129" x14ac:dyDescent="0.2">
      <c r="DY26138" s="185" t="s">
        <v>215</v>
      </c>
    </row>
    <row r="26139" spans="129:129" x14ac:dyDescent="0.2">
      <c r="DY26139" s="185" t="s">
        <v>215</v>
      </c>
    </row>
    <row r="26140" spans="129:129" x14ac:dyDescent="0.2">
      <c r="DY26140" s="185" t="s">
        <v>215</v>
      </c>
    </row>
    <row r="26141" spans="129:129" x14ac:dyDescent="0.2">
      <c r="DY26141" s="185" t="s">
        <v>215</v>
      </c>
    </row>
    <row r="26142" spans="129:129" x14ac:dyDescent="0.2">
      <c r="DY26142" s="185" t="s">
        <v>215</v>
      </c>
    </row>
    <row r="26143" spans="129:129" x14ac:dyDescent="0.2">
      <c r="DY26143" s="185" t="s">
        <v>215</v>
      </c>
    </row>
    <row r="26144" spans="129:129" x14ac:dyDescent="0.2">
      <c r="DY26144" s="185" t="s">
        <v>215</v>
      </c>
    </row>
    <row r="26145" spans="129:129" x14ac:dyDescent="0.2">
      <c r="DY26145" s="185" t="s">
        <v>215</v>
      </c>
    </row>
    <row r="26146" spans="129:129" x14ac:dyDescent="0.2">
      <c r="DY26146" s="185" t="s">
        <v>215</v>
      </c>
    </row>
    <row r="26147" spans="129:129" x14ac:dyDescent="0.2">
      <c r="DY26147" s="185" t="s">
        <v>215</v>
      </c>
    </row>
    <row r="26148" spans="129:129" x14ac:dyDescent="0.2">
      <c r="DY26148" s="185" t="s">
        <v>215</v>
      </c>
    </row>
    <row r="26149" spans="129:129" x14ac:dyDescent="0.2">
      <c r="DY26149" s="185" t="s">
        <v>215</v>
      </c>
    </row>
    <row r="26150" spans="129:129" x14ac:dyDescent="0.2">
      <c r="DY26150" s="185" t="s">
        <v>215</v>
      </c>
    </row>
    <row r="26151" spans="129:129" x14ac:dyDescent="0.2">
      <c r="DY26151" s="185" t="s">
        <v>215</v>
      </c>
    </row>
    <row r="26152" spans="129:129" x14ac:dyDescent="0.2">
      <c r="DY26152" s="185" t="s">
        <v>215</v>
      </c>
    </row>
    <row r="26153" spans="129:129" x14ac:dyDescent="0.2">
      <c r="DY26153" s="185" t="s">
        <v>215</v>
      </c>
    </row>
    <row r="26154" spans="129:129" x14ac:dyDescent="0.2">
      <c r="DY26154" s="185" t="s">
        <v>215</v>
      </c>
    </row>
    <row r="26155" spans="129:129" x14ac:dyDescent="0.2">
      <c r="DY26155" s="185" t="s">
        <v>215</v>
      </c>
    </row>
    <row r="26156" spans="129:129" x14ac:dyDescent="0.2">
      <c r="DY26156" s="185" t="s">
        <v>215</v>
      </c>
    </row>
    <row r="26157" spans="129:129" x14ac:dyDescent="0.2">
      <c r="DY26157" s="185" t="s">
        <v>215</v>
      </c>
    </row>
    <row r="26158" spans="129:129" x14ac:dyDescent="0.2">
      <c r="DY26158" s="185" t="s">
        <v>215</v>
      </c>
    </row>
    <row r="26159" spans="129:129" x14ac:dyDescent="0.2">
      <c r="DY26159" s="185" t="s">
        <v>215</v>
      </c>
    </row>
    <row r="26160" spans="129:129" x14ac:dyDescent="0.2">
      <c r="DY26160" s="185" t="s">
        <v>215</v>
      </c>
    </row>
    <row r="26161" spans="129:129" x14ac:dyDescent="0.2">
      <c r="DY26161" s="185" t="s">
        <v>215</v>
      </c>
    </row>
    <row r="26162" spans="129:129" x14ac:dyDescent="0.2">
      <c r="DY26162" s="185" t="s">
        <v>215</v>
      </c>
    </row>
    <row r="26163" spans="129:129" x14ac:dyDescent="0.2">
      <c r="DY26163" s="185" t="s">
        <v>215</v>
      </c>
    </row>
    <row r="26164" spans="129:129" x14ac:dyDescent="0.2">
      <c r="DY26164" s="185" t="s">
        <v>215</v>
      </c>
    </row>
    <row r="26165" spans="129:129" x14ac:dyDescent="0.2">
      <c r="DY26165" s="185" t="s">
        <v>215</v>
      </c>
    </row>
    <row r="26166" spans="129:129" x14ac:dyDescent="0.2">
      <c r="DY26166" s="185" t="s">
        <v>215</v>
      </c>
    </row>
    <row r="26167" spans="129:129" x14ac:dyDescent="0.2">
      <c r="DY26167" s="185" t="s">
        <v>215</v>
      </c>
    </row>
    <row r="26168" spans="129:129" x14ac:dyDescent="0.2">
      <c r="DY26168" s="185" t="s">
        <v>215</v>
      </c>
    </row>
    <row r="26169" spans="129:129" x14ac:dyDescent="0.2">
      <c r="DY26169" s="185" t="s">
        <v>215</v>
      </c>
    </row>
    <row r="26170" spans="129:129" x14ac:dyDescent="0.2">
      <c r="DY26170" s="185" t="s">
        <v>215</v>
      </c>
    </row>
    <row r="26171" spans="129:129" x14ac:dyDescent="0.2">
      <c r="DY26171" s="185" t="s">
        <v>215</v>
      </c>
    </row>
    <row r="26172" spans="129:129" x14ac:dyDescent="0.2">
      <c r="DY26172" s="185" t="s">
        <v>215</v>
      </c>
    </row>
    <row r="26173" spans="129:129" x14ac:dyDescent="0.2">
      <c r="DY26173" s="185" t="s">
        <v>215</v>
      </c>
    </row>
    <row r="26174" spans="129:129" x14ac:dyDescent="0.2">
      <c r="DY26174" s="185" t="s">
        <v>215</v>
      </c>
    </row>
    <row r="26175" spans="129:129" x14ac:dyDescent="0.2">
      <c r="DY26175" s="185" t="s">
        <v>215</v>
      </c>
    </row>
    <row r="26176" spans="129:129" x14ac:dyDescent="0.2">
      <c r="DY26176" s="185" t="s">
        <v>215</v>
      </c>
    </row>
    <row r="26177" spans="129:129" x14ac:dyDescent="0.2">
      <c r="DY26177" s="185" t="s">
        <v>215</v>
      </c>
    </row>
    <row r="26178" spans="129:129" x14ac:dyDescent="0.2">
      <c r="DY26178" s="185" t="s">
        <v>215</v>
      </c>
    </row>
    <row r="26179" spans="129:129" x14ac:dyDescent="0.2">
      <c r="DY26179" s="185" t="s">
        <v>215</v>
      </c>
    </row>
    <row r="26180" spans="129:129" x14ac:dyDescent="0.2">
      <c r="DY26180" s="185" t="s">
        <v>215</v>
      </c>
    </row>
    <row r="26181" spans="129:129" x14ac:dyDescent="0.2">
      <c r="DY26181" s="185" t="s">
        <v>215</v>
      </c>
    </row>
    <row r="26182" spans="129:129" x14ac:dyDescent="0.2">
      <c r="DY26182" s="185" t="s">
        <v>215</v>
      </c>
    </row>
    <row r="26183" spans="129:129" x14ac:dyDescent="0.2">
      <c r="DY26183" s="185" t="s">
        <v>215</v>
      </c>
    </row>
    <row r="26184" spans="129:129" x14ac:dyDescent="0.2">
      <c r="DY26184" s="185" t="s">
        <v>215</v>
      </c>
    </row>
    <row r="26185" spans="129:129" x14ac:dyDescent="0.2">
      <c r="DY26185" s="185" t="s">
        <v>215</v>
      </c>
    </row>
    <row r="26186" spans="129:129" x14ac:dyDescent="0.2">
      <c r="DY26186" s="185" t="s">
        <v>215</v>
      </c>
    </row>
    <row r="26187" spans="129:129" x14ac:dyDescent="0.2">
      <c r="DY26187" s="185" t="s">
        <v>215</v>
      </c>
    </row>
    <row r="26188" spans="129:129" x14ac:dyDescent="0.2">
      <c r="DY26188" s="185" t="s">
        <v>215</v>
      </c>
    </row>
    <row r="26189" spans="129:129" x14ac:dyDescent="0.2">
      <c r="DY26189" s="185" t="s">
        <v>215</v>
      </c>
    </row>
    <row r="26190" spans="129:129" x14ac:dyDescent="0.2">
      <c r="DY26190" s="185" t="s">
        <v>215</v>
      </c>
    </row>
    <row r="26191" spans="129:129" x14ac:dyDescent="0.2">
      <c r="DY26191" s="185" t="s">
        <v>215</v>
      </c>
    </row>
    <row r="26192" spans="129:129" x14ac:dyDescent="0.2">
      <c r="DY26192" s="185" t="s">
        <v>215</v>
      </c>
    </row>
    <row r="26193" spans="129:129" x14ac:dyDescent="0.2">
      <c r="DY26193" s="185" t="s">
        <v>215</v>
      </c>
    </row>
    <row r="26194" spans="129:129" x14ac:dyDescent="0.2">
      <c r="DY26194" s="185" t="s">
        <v>215</v>
      </c>
    </row>
    <row r="26195" spans="129:129" x14ac:dyDescent="0.2">
      <c r="DY26195" s="185" t="s">
        <v>215</v>
      </c>
    </row>
    <row r="26196" spans="129:129" x14ac:dyDescent="0.2">
      <c r="DY26196" s="185" t="s">
        <v>215</v>
      </c>
    </row>
    <row r="26197" spans="129:129" x14ac:dyDescent="0.2">
      <c r="DY26197" s="185" t="s">
        <v>215</v>
      </c>
    </row>
    <row r="26198" spans="129:129" x14ac:dyDescent="0.2">
      <c r="DY26198" s="185" t="s">
        <v>215</v>
      </c>
    </row>
    <row r="26199" spans="129:129" x14ac:dyDescent="0.2">
      <c r="DY26199" s="185" t="s">
        <v>215</v>
      </c>
    </row>
    <row r="26200" spans="129:129" x14ac:dyDescent="0.2">
      <c r="DY26200" s="185" t="s">
        <v>215</v>
      </c>
    </row>
    <row r="26201" spans="129:129" x14ac:dyDescent="0.2">
      <c r="DY26201" s="185" t="s">
        <v>215</v>
      </c>
    </row>
    <row r="26202" spans="129:129" x14ac:dyDescent="0.2">
      <c r="DY26202" s="185" t="s">
        <v>215</v>
      </c>
    </row>
    <row r="26203" spans="129:129" x14ac:dyDescent="0.2">
      <c r="DY26203" s="185" t="s">
        <v>215</v>
      </c>
    </row>
    <row r="26204" spans="129:129" x14ac:dyDescent="0.2">
      <c r="DY26204" s="185" t="s">
        <v>215</v>
      </c>
    </row>
    <row r="26205" spans="129:129" x14ac:dyDescent="0.2">
      <c r="DY26205" s="185" t="s">
        <v>215</v>
      </c>
    </row>
    <row r="26206" spans="129:129" x14ac:dyDescent="0.2">
      <c r="DY26206" s="185" t="s">
        <v>215</v>
      </c>
    </row>
    <row r="26207" spans="129:129" x14ac:dyDescent="0.2">
      <c r="DY26207" s="185" t="s">
        <v>215</v>
      </c>
    </row>
    <row r="26208" spans="129:129" x14ac:dyDescent="0.2">
      <c r="DY26208" s="185" t="s">
        <v>215</v>
      </c>
    </row>
    <row r="26209" spans="129:129" x14ac:dyDescent="0.2">
      <c r="DY26209" s="185" t="s">
        <v>215</v>
      </c>
    </row>
    <row r="26210" spans="129:129" x14ac:dyDescent="0.2">
      <c r="DY26210" s="185" t="s">
        <v>215</v>
      </c>
    </row>
    <row r="26211" spans="129:129" x14ac:dyDescent="0.2">
      <c r="DY26211" s="185" t="s">
        <v>215</v>
      </c>
    </row>
    <row r="26212" spans="129:129" x14ac:dyDescent="0.2">
      <c r="DY26212" s="185" t="s">
        <v>215</v>
      </c>
    </row>
    <row r="26213" spans="129:129" x14ac:dyDescent="0.2">
      <c r="DY26213" s="185" t="s">
        <v>215</v>
      </c>
    </row>
    <row r="26214" spans="129:129" x14ac:dyDescent="0.2">
      <c r="DY26214" s="185" t="s">
        <v>215</v>
      </c>
    </row>
    <row r="26215" spans="129:129" x14ac:dyDescent="0.2">
      <c r="DY26215" s="185" t="s">
        <v>215</v>
      </c>
    </row>
    <row r="26216" spans="129:129" x14ac:dyDescent="0.2">
      <c r="DY26216" s="185" t="s">
        <v>215</v>
      </c>
    </row>
    <row r="26217" spans="129:129" x14ac:dyDescent="0.2">
      <c r="DY26217" s="185" t="s">
        <v>215</v>
      </c>
    </row>
    <row r="26218" spans="129:129" x14ac:dyDescent="0.2">
      <c r="DY26218" s="185" t="s">
        <v>215</v>
      </c>
    </row>
    <row r="26219" spans="129:129" x14ac:dyDescent="0.2">
      <c r="DY26219" s="185" t="s">
        <v>215</v>
      </c>
    </row>
    <row r="26220" spans="129:129" x14ac:dyDescent="0.2">
      <c r="DY26220" s="185" t="s">
        <v>215</v>
      </c>
    </row>
    <row r="26221" spans="129:129" x14ac:dyDescent="0.2">
      <c r="DY26221" s="185" t="s">
        <v>215</v>
      </c>
    </row>
    <row r="26222" spans="129:129" x14ac:dyDescent="0.2">
      <c r="DY26222" s="185" t="s">
        <v>215</v>
      </c>
    </row>
    <row r="26223" spans="129:129" x14ac:dyDescent="0.2">
      <c r="DY26223" s="185" t="s">
        <v>215</v>
      </c>
    </row>
    <row r="26224" spans="129:129" x14ac:dyDescent="0.2">
      <c r="DY26224" s="185" t="s">
        <v>215</v>
      </c>
    </row>
    <row r="26225" spans="129:129" x14ac:dyDescent="0.2">
      <c r="DY26225" s="185" t="s">
        <v>215</v>
      </c>
    </row>
    <row r="26226" spans="129:129" x14ac:dyDescent="0.2">
      <c r="DY26226" s="185" t="s">
        <v>215</v>
      </c>
    </row>
    <row r="26227" spans="129:129" x14ac:dyDescent="0.2">
      <c r="DY26227" s="185" t="s">
        <v>215</v>
      </c>
    </row>
    <row r="26228" spans="129:129" x14ac:dyDescent="0.2">
      <c r="DY26228" s="185" t="s">
        <v>215</v>
      </c>
    </row>
    <row r="26229" spans="129:129" x14ac:dyDescent="0.2">
      <c r="DY26229" s="185" t="s">
        <v>215</v>
      </c>
    </row>
    <row r="26230" spans="129:129" x14ac:dyDescent="0.2">
      <c r="DY26230" s="185" t="s">
        <v>215</v>
      </c>
    </row>
    <row r="26231" spans="129:129" x14ac:dyDescent="0.2">
      <c r="DY26231" s="185" t="s">
        <v>215</v>
      </c>
    </row>
    <row r="26232" spans="129:129" x14ac:dyDescent="0.2">
      <c r="DY26232" s="185" t="s">
        <v>215</v>
      </c>
    </row>
    <row r="26233" spans="129:129" x14ac:dyDescent="0.2">
      <c r="DY26233" s="185" t="s">
        <v>215</v>
      </c>
    </row>
    <row r="26234" spans="129:129" x14ac:dyDescent="0.2">
      <c r="DY26234" s="185" t="s">
        <v>215</v>
      </c>
    </row>
    <row r="26235" spans="129:129" x14ac:dyDescent="0.2">
      <c r="DY26235" s="185" t="s">
        <v>215</v>
      </c>
    </row>
    <row r="26236" spans="129:129" x14ac:dyDescent="0.2">
      <c r="DY26236" s="185" t="s">
        <v>215</v>
      </c>
    </row>
    <row r="26237" spans="129:129" x14ac:dyDescent="0.2">
      <c r="DY26237" s="185" t="s">
        <v>215</v>
      </c>
    </row>
    <row r="26238" spans="129:129" x14ac:dyDescent="0.2">
      <c r="DY26238" s="185" t="s">
        <v>215</v>
      </c>
    </row>
    <row r="26239" spans="129:129" x14ac:dyDescent="0.2">
      <c r="DY26239" s="185" t="s">
        <v>215</v>
      </c>
    </row>
    <row r="26240" spans="129:129" x14ac:dyDescent="0.2">
      <c r="DY26240" s="185" t="s">
        <v>215</v>
      </c>
    </row>
    <row r="26241" spans="129:129" x14ac:dyDescent="0.2">
      <c r="DY26241" s="185" t="s">
        <v>215</v>
      </c>
    </row>
    <row r="26242" spans="129:129" x14ac:dyDescent="0.2">
      <c r="DY26242" s="185" t="s">
        <v>215</v>
      </c>
    </row>
    <row r="26243" spans="129:129" x14ac:dyDescent="0.2">
      <c r="DY26243" s="185" t="s">
        <v>215</v>
      </c>
    </row>
    <row r="26244" spans="129:129" x14ac:dyDescent="0.2">
      <c r="DY26244" s="185" t="s">
        <v>215</v>
      </c>
    </row>
    <row r="26245" spans="129:129" x14ac:dyDescent="0.2">
      <c r="DY26245" s="185" t="s">
        <v>215</v>
      </c>
    </row>
    <row r="26246" spans="129:129" x14ac:dyDescent="0.2">
      <c r="DY26246" s="185" t="s">
        <v>215</v>
      </c>
    </row>
    <row r="26247" spans="129:129" x14ac:dyDescent="0.2">
      <c r="DY26247" s="185" t="s">
        <v>215</v>
      </c>
    </row>
    <row r="26248" spans="129:129" x14ac:dyDescent="0.2">
      <c r="DY26248" s="185" t="s">
        <v>215</v>
      </c>
    </row>
    <row r="26249" spans="129:129" x14ac:dyDescent="0.2">
      <c r="DY26249" s="185" t="s">
        <v>215</v>
      </c>
    </row>
    <row r="26250" spans="129:129" x14ac:dyDescent="0.2">
      <c r="DY26250" s="185" t="s">
        <v>215</v>
      </c>
    </row>
    <row r="26251" spans="129:129" x14ac:dyDescent="0.2">
      <c r="DY26251" s="185" t="s">
        <v>215</v>
      </c>
    </row>
    <row r="26252" spans="129:129" x14ac:dyDescent="0.2">
      <c r="DY26252" s="185" t="s">
        <v>215</v>
      </c>
    </row>
    <row r="26253" spans="129:129" x14ac:dyDescent="0.2">
      <c r="DY26253" s="185" t="s">
        <v>215</v>
      </c>
    </row>
    <row r="26254" spans="129:129" x14ac:dyDescent="0.2">
      <c r="DY26254" s="185" t="s">
        <v>215</v>
      </c>
    </row>
    <row r="26255" spans="129:129" x14ac:dyDescent="0.2">
      <c r="DY26255" s="185" t="s">
        <v>215</v>
      </c>
    </row>
    <row r="26256" spans="129:129" x14ac:dyDescent="0.2">
      <c r="DY26256" s="185" t="s">
        <v>215</v>
      </c>
    </row>
    <row r="26257" spans="129:129" x14ac:dyDescent="0.2">
      <c r="DY26257" s="185" t="s">
        <v>215</v>
      </c>
    </row>
    <row r="26258" spans="129:129" x14ac:dyDescent="0.2">
      <c r="DY26258" s="185" t="s">
        <v>215</v>
      </c>
    </row>
    <row r="26259" spans="129:129" x14ac:dyDescent="0.2">
      <c r="DY26259" s="185" t="s">
        <v>215</v>
      </c>
    </row>
    <row r="26260" spans="129:129" x14ac:dyDescent="0.2">
      <c r="DY26260" s="185" t="s">
        <v>215</v>
      </c>
    </row>
    <row r="26261" spans="129:129" x14ac:dyDescent="0.2">
      <c r="DY26261" s="185" t="s">
        <v>215</v>
      </c>
    </row>
    <row r="26262" spans="129:129" x14ac:dyDescent="0.2">
      <c r="DY26262" s="185" t="s">
        <v>215</v>
      </c>
    </row>
    <row r="26263" spans="129:129" x14ac:dyDescent="0.2">
      <c r="DY26263" s="185" t="s">
        <v>215</v>
      </c>
    </row>
    <row r="26264" spans="129:129" x14ac:dyDescent="0.2">
      <c r="DY26264" s="185" t="s">
        <v>215</v>
      </c>
    </row>
    <row r="26265" spans="129:129" x14ac:dyDescent="0.2">
      <c r="DY26265" s="185" t="s">
        <v>215</v>
      </c>
    </row>
    <row r="26266" spans="129:129" x14ac:dyDescent="0.2">
      <c r="DY26266" s="185" t="s">
        <v>215</v>
      </c>
    </row>
    <row r="26267" spans="129:129" x14ac:dyDescent="0.2">
      <c r="DY26267" s="185" t="s">
        <v>215</v>
      </c>
    </row>
    <row r="26268" spans="129:129" x14ac:dyDescent="0.2">
      <c r="DY26268" s="185" t="s">
        <v>215</v>
      </c>
    </row>
    <row r="26269" spans="129:129" x14ac:dyDescent="0.2">
      <c r="DY26269" s="185" t="s">
        <v>215</v>
      </c>
    </row>
    <row r="26270" spans="129:129" x14ac:dyDescent="0.2">
      <c r="DY26270" s="185" t="s">
        <v>215</v>
      </c>
    </row>
    <row r="26271" spans="129:129" x14ac:dyDescent="0.2">
      <c r="DY26271" s="185" t="s">
        <v>215</v>
      </c>
    </row>
    <row r="26272" spans="129:129" x14ac:dyDescent="0.2">
      <c r="DY26272" s="185" t="s">
        <v>215</v>
      </c>
    </row>
    <row r="26273" spans="129:129" x14ac:dyDescent="0.2">
      <c r="DY26273" s="185" t="s">
        <v>215</v>
      </c>
    </row>
    <row r="26274" spans="129:129" x14ac:dyDescent="0.2">
      <c r="DY26274" s="185" t="s">
        <v>215</v>
      </c>
    </row>
    <row r="26275" spans="129:129" x14ac:dyDescent="0.2">
      <c r="DY26275" s="185" t="s">
        <v>215</v>
      </c>
    </row>
    <row r="26276" spans="129:129" x14ac:dyDescent="0.2">
      <c r="DY26276" s="185" t="s">
        <v>215</v>
      </c>
    </row>
    <row r="26277" spans="129:129" x14ac:dyDescent="0.2">
      <c r="DY26277" s="185" t="s">
        <v>215</v>
      </c>
    </row>
    <row r="26278" spans="129:129" x14ac:dyDescent="0.2">
      <c r="DY26278" s="185" t="s">
        <v>215</v>
      </c>
    </row>
    <row r="26279" spans="129:129" x14ac:dyDescent="0.2">
      <c r="DY26279" s="185" t="s">
        <v>215</v>
      </c>
    </row>
    <row r="26280" spans="129:129" x14ac:dyDescent="0.2">
      <c r="DY26280" s="185" t="s">
        <v>215</v>
      </c>
    </row>
    <row r="26281" spans="129:129" x14ac:dyDescent="0.2">
      <c r="DY26281" s="185" t="s">
        <v>215</v>
      </c>
    </row>
    <row r="26282" spans="129:129" x14ac:dyDescent="0.2">
      <c r="DY26282" s="185" t="s">
        <v>215</v>
      </c>
    </row>
    <row r="26283" spans="129:129" x14ac:dyDescent="0.2">
      <c r="DY26283" s="185" t="s">
        <v>215</v>
      </c>
    </row>
    <row r="26284" spans="129:129" x14ac:dyDescent="0.2">
      <c r="DY26284" s="185" t="s">
        <v>215</v>
      </c>
    </row>
    <row r="26285" spans="129:129" x14ac:dyDescent="0.2">
      <c r="DY26285" s="185" t="s">
        <v>215</v>
      </c>
    </row>
    <row r="26286" spans="129:129" x14ac:dyDescent="0.2">
      <c r="DY26286" s="185" t="s">
        <v>215</v>
      </c>
    </row>
    <row r="26287" spans="129:129" x14ac:dyDescent="0.2">
      <c r="DY26287" s="185" t="s">
        <v>215</v>
      </c>
    </row>
    <row r="26288" spans="129:129" x14ac:dyDescent="0.2">
      <c r="DY26288" s="185" t="s">
        <v>215</v>
      </c>
    </row>
    <row r="26289" spans="129:129" x14ac:dyDescent="0.2">
      <c r="DY26289" s="185" t="s">
        <v>215</v>
      </c>
    </row>
    <row r="26290" spans="129:129" x14ac:dyDescent="0.2">
      <c r="DY26290" s="185" t="s">
        <v>215</v>
      </c>
    </row>
    <row r="26291" spans="129:129" x14ac:dyDescent="0.2">
      <c r="DY26291" s="185" t="s">
        <v>215</v>
      </c>
    </row>
    <row r="26292" spans="129:129" x14ac:dyDescent="0.2">
      <c r="DY26292" s="185" t="s">
        <v>215</v>
      </c>
    </row>
    <row r="26293" spans="129:129" x14ac:dyDescent="0.2">
      <c r="DY26293" s="185" t="s">
        <v>215</v>
      </c>
    </row>
    <row r="26294" spans="129:129" x14ac:dyDescent="0.2">
      <c r="DY26294" s="185" t="s">
        <v>215</v>
      </c>
    </row>
    <row r="26295" spans="129:129" x14ac:dyDescent="0.2">
      <c r="DY26295" s="185" t="s">
        <v>215</v>
      </c>
    </row>
    <row r="26296" spans="129:129" x14ac:dyDescent="0.2">
      <c r="DY26296" s="185" t="s">
        <v>215</v>
      </c>
    </row>
    <row r="26297" spans="129:129" x14ac:dyDescent="0.2">
      <c r="DY26297" s="185" t="s">
        <v>215</v>
      </c>
    </row>
    <row r="26298" spans="129:129" x14ac:dyDescent="0.2">
      <c r="DY26298" s="185" t="s">
        <v>215</v>
      </c>
    </row>
    <row r="26299" spans="129:129" x14ac:dyDescent="0.2">
      <c r="DY26299" s="185" t="s">
        <v>215</v>
      </c>
    </row>
    <row r="26300" spans="129:129" x14ac:dyDescent="0.2">
      <c r="DY26300" s="185" t="s">
        <v>215</v>
      </c>
    </row>
    <row r="26301" spans="129:129" x14ac:dyDescent="0.2">
      <c r="DY26301" s="185" t="s">
        <v>215</v>
      </c>
    </row>
    <row r="26302" spans="129:129" x14ac:dyDescent="0.2">
      <c r="DY26302" s="185" t="s">
        <v>215</v>
      </c>
    </row>
    <row r="26303" spans="129:129" x14ac:dyDescent="0.2">
      <c r="DY26303" s="185" t="s">
        <v>215</v>
      </c>
    </row>
    <row r="26304" spans="129:129" x14ac:dyDescent="0.2">
      <c r="DY26304" s="185" t="s">
        <v>215</v>
      </c>
    </row>
    <row r="26305" spans="129:129" x14ac:dyDescent="0.2">
      <c r="DY26305" s="185" t="s">
        <v>215</v>
      </c>
    </row>
    <row r="26306" spans="129:129" x14ac:dyDescent="0.2">
      <c r="DY26306" s="185" t="s">
        <v>215</v>
      </c>
    </row>
    <row r="26307" spans="129:129" x14ac:dyDescent="0.2">
      <c r="DY26307" s="185" t="s">
        <v>215</v>
      </c>
    </row>
    <row r="26308" spans="129:129" x14ac:dyDescent="0.2">
      <c r="DY26308" s="185" t="s">
        <v>215</v>
      </c>
    </row>
    <row r="26309" spans="129:129" x14ac:dyDescent="0.2">
      <c r="DY26309" s="185" t="s">
        <v>215</v>
      </c>
    </row>
    <row r="26310" spans="129:129" x14ac:dyDescent="0.2">
      <c r="DY26310" s="185" t="s">
        <v>215</v>
      </c>
    </row>
    <row r="26311" spans="129:129" x14ac:dyDescent="0.2">
      <c r="DY26311" s="185" t="s">
        <v>215</v>
      </c>
    </row>
    <row r="26312" spans="129:129" x14ac:dyDescent="0.2">
      <c r="DY26312" s="185" t="s">
        <v>215</v>
      </c>
    </row>
    <row r="26313" spans="129:129" x14ac:dyDescent="0.2">
      <c r="DY26313" s="185" t="s">
        <v>215</v>
      </c>
    </row>
    <row r="26314" spans="129:129" x14ac:dyDescent="0.2">
      <c r="DY26314" s="185" t="s">
        <v>215</v>
      </c>
    </row>
    <row r="26315" spans="129:129" x14ac:dyDescent="0.2">
      <c r="DY26315" s="185" t="s">
        <v>215</v>
      </c>
    </row>
    <row r="26316" spans="129:129" x14ac:dyDescent="0.2">
      <c r="DY26316" s="185" t="s">
        <v>215</v>
      </c>
    </row>
    <row r="26317" spans="129:129" x14ac:dyDescent="0.2">
      <c r="DY26317" s="185" t="s">
        <v>215</v>
      </c>
    </row>
    <row r="26318" spans="129:129" x14ac:dyDescent="0.2">
      <c r="DY26318" s="185" t="s">
        <v>215</v>
      </c>
    </row>
    <row r="26319" spans="129:129" x14ac:dyDescent="0.2">
      <c r="DY26319" s="185" t="s">
        <v>215</v>
      </c>
    </row>
    <row r="26320" spans="129:129" x14ac:dyDescent="0.2">
      <c r="DY26320" s="185" t="s">
        <v>215</v>
      </c>
    </row>
    <row r="26321" spans="129:129" x14ac:dyDescent="0.2">
      <c r="DY26321" s="185" t="s">
        <v>215</v>
      </c>
    </row>
    <row r="26322" spans="129:129" x14ac:dyDescent="0.2">
      <c r="DY26322" s="185" t="s">
        <v>215</v>
      </c>
    </row>
    <row r="26323" spans="129:129" x14ac:dyDescent="0.2">
      <c r="DY26323" s="185" t="s">
        <v>215</v>
      </c>
    </row>
    <row r="26324" spans="129:129" x14ac:dyDescent="0.2">
      <c r="DY26324" s="185" t="s">
        <v>215</v>
      </c>
    </row>
    <row r="26325" spans="129:129" x14ac:dyDescent="0.2">
      <c r="DY26325" s="185" t="s">
        <v>215</v>
      </c>
    </row>
    <row r="26326" spans="129:129" x14ac:dyDescent="0.2">
      <c r="DY26326" s="185" t="s">
        <v>215</v>
      </c>
    </row>
    <row r="26327" spans="129:129" x14ac:dyDescent="0.2">
      <c r="DY26327" s="185" t="s">
        <v>215</v>
      </c>
    </row>
    <row r="26328" spans="129:129" x14ac:dyDescent="0.2">
      <c r="DY26328" s="185" t="s">
        <v>215</v>
      </c>
    </row>
    <row r="26329" spans="129:129" x14ac:dyDescent="0.2">
      <c r="DY26329" s="185" t="s">
        <v>215</v>
      </c>
    </row>
    <row r="26330" spans="129:129" x14ac:dyDescent="0.2">
      <c r="DY26330" s="185" t="s">
        <v>215</v>
      </c>
    </row>
    <row r="26331" spans="129:129" x14ac:dyDescent="0.2">
      <c r="DY26331" s="185" t="s">
        <v>215</v>
      </c>
    </row>
    <row r="26332" spans="129:129" x14ac:dyDescent="0.2">
      <c r="DY26332" s="185" t="s">
        <v>215</v>
      </c>
    </row>
    <row r="26333" spans="129:129" x14ac:dyDescent="0.2">
      <c r="DY26333" s="185" t="s">
        <v>215</v>
      </c>
    </row>
    <row r="26334" spans="129:129" x14ac:dyDescent="0.2">
      <c r="DY26334" s="185" t="s">
        <v>215</v>
      </c>
    </row>
    <row r="26335" spans="129:129" x14ac:dyDescent="0.2">
      <c r="DY26335" s="185" t="s">
        <v>215</v>
      </c>
    </row>
    <row r="26336" spans="129:129" x14ac:dyDescent="0.2">
      <c r="DY26336" s="185" t="s">
        <v>215</v>
      </c>
    </row>
    <row r="26337" spans="129:129" x14ac:dyDescent="0.2">
      <c r="DY26337" s="185" t="s">
        <v>215</v>
      </c>
    </row>
    <row r="26338" spans="129:129" x14ac:dyDescent="0.2">
      <c r="DY26338" s="185" t="s">
        <v>215</v>
      </c>
    </row>
    <row r="26339" spans="129:129" x14ac:dyDescent="0.2">
      <c r="DY26339" s="185" t="s">
        <v>215</v>
      </c>
    </row>
    <row r="26340" spans="129:129" x14ac:dyDescent="0.2">
      <c r="DY26340" s="185" t="s">
        <v>215</v>
      </c>
    </row>
    <row r="26341" spans="129:129" x14ac:dyDescent="0.2">
      <c r="DY26341" s="185" t="s">
        <v>215</v>
      </c>
    </row>
    <row r="26342" spans="129:129" x14ac:dyDescent="0.2">
      <c r="DY26342" s="185" t="s">
        <v>215</v>
      </c>
    </row>
    <row r="26343" spans="129:129" x14ac:dyDescent="0.2">
      <c r="DY26343" s="185" t="s">
        <v>215</v>
      </c>
    </row>
    <row r="26344" spans="129:129" x14ac:dyDescent="0.2">
      <c r="DY26344" s="185" t="s">
        <v>215</v>
      </c>
    </row>
    <row r="26345" spans="129:129" x14ac:dyDescent="0.2">
      <c r="DY26345" s="185" t="s">
        <v>215</v>
      </c>
    </row>
    <row r="26346" spans="129:129" x14ac:dyDescent="0.2">
      <c r="DY26346" s="185" t="s">
        <v>215</v>
      </c>
    </row>
    <row r="26347" spans="129:129" x14ac:dyDescent="0.2">
      <c r="DY26347" s="185" t="s">
        <v>215</v>
      </c>
    </row>
    <row r="26348" spans="129:129" x14ac:dyDescent="0.2">
      <c r="DY26348" s="185" t="s">
        <v>215</v>
      </c>
    </row>
    <row r="26349" spans="129:129" x14ac:dyDescent="0.2">
      <c r="DY26349" s="185" t="s">
        <v>215</v>
      </c>
    </row>
    <row r="26350" spans="129:129" x14ac:dyDescent="0.2">
      <c r="DY26350" s="185" t="s">
        <v>215</v>
      </c>
    </row>
    <row r="26351" spans="129:129" x14ac:dyDescent="0.2">
      <c r="DY26351" s="185" t="s">
        <v>215</v>
      </c>
    </row>
    <row r="26352" spans="129:129" x14ac:dyDescent="0.2">
      <c r="DY26352" s="185" t="s">
        <v>215</v>
      </c>
    </row>
    <row r="26353" spans="129:129" x14ac:dyDescent="0.2">
      <c r="DY26353" s="185" t="s">
        <v>215</v>
      </c>
    </row>
    <row r="26354" spans="129:129" x14ac:dyDescent="0.2">
      <c r="DY26354" s="185" t="s">
        <v>215</v>
      </c>
    </row>
    <row r="26355" spans="129:129" x14ac:dyDescent="0.2">
      <c r="DY26355" s="185" t="s">
        <v>215</v>
      </c>
    </row>
    <row r="26356" spans="129:129" x14ac:dyDescent="0.2">
      <c r="DY26356" s="185" t="s">
        <v>215</v>
      </c>
    </row>
    <row r="26357" spans="129:129" x14ac:dyDescent="0.2">
      <c r="DY26357" s="185" t="s">
        <v>215</v>
      </c>
    </row>
    <row r="26358" spans="129:129" x14ac:dyDescent="0.2">
      <c r="DY26358" s="185" t="s">
        <v>215</v>
      </c>
    </row>
    <row r="26359" spans="129:129" x14ac:dyDescent="0.2">
      <c r="DY26359" s="185" t="s">
        <v>215</v>
      </c>
    </row>
    <row r="26360" spans="129:129" x14ac:dyDescent="0.2">
      <c r="DY26360" s="185" t="s">
        <v>215</v>
      </c>
    </row>
    <row r="26361" spans="129:129" x14ac:dyDescent="0.2">
      <c r="DY26361" s="185" t="s">
        <v>215</v>
      </c>
    </row>
    <row r="26362" spans="129:129" x14ac:dyDescent="0.2">
      <c r="DY26362" s="185" t="s">
        <v>215</v>
      </c>
    </row>
    <row r="26363" spans="129:129" x14ac:dyDescent="0.2">
      <c r="DY26363" s="185" t="s">
        <v>215</v>
      </c>
    </row>
    <row r="26364" spans="129:129" x14ac:dyDescent="0.2">
      <c r="DY26364" s="185" t="s">
        <v>215</v>
      </c>
    </row>
    <row r="26365" spans="129:129" x14ac:dyDescent="0.2">
      <c r="DY26365" s="185" t="s">
        <v>215</v>
      </c>
    </row>
    <row r="26366" spans="129:129" x14ac:dyDescent="0.2">
      <c r="DY26366" s="185" t="s">
        <v>215</v>
      </c>
    </row>
    <row r="26367" spans="129:129" x14ac:dyDescent="0.2">
      <c r="DY26367" s="185" t="s">
        <v>215</v>
      </c>
    </row>
    <row r="26368" spans="129:129" x14ac:dyDescent="0.2">
      <c r="DY26368" s="185" t="s">
        <v>215</v>
      </c>
    </row>
    <row r="26369" spans="129:129" x14ac:dyDescent="0.2">
      <c r="DY26369" s="185" t="s">
        <v>215</v>
      </c>
    </row>
    <row r="26370" spans="129:129" x14ac:dyDescent="0.2">
      <c r="DY26370" s="185" t="s">
        <v>215</v>
      </c>
    </row>
    <row r="26371" spans="129:129" x14ac:dyDescent="0.2">
      <c r="DY26371" s="185" t="s">
        <v>215</v>
      </c>
    </row>
    <row r="26372" spans="129:129" x14ac:dyDescent="0.2">
      <c r="DY26372" s="185" t="s">
        <v>215</v>
      </c>
    </row>
    <row r="26373" spans="129:129" x14ac:dyDescent="0.2">
      <c r="DY26373" s="185" t="s">
        <v>215</v>
      </c>
    </row>
    <row r="26374" spans="129:129" x14ac:dyDescent="0.2">
      <c r="DY26374" s="185" t="s">
        <v>215</v>
      </c>
    </row>
    <row r="26375" spans="129:129" x14ac:dyDescent="0.2">
      <c r="DY26375" s="185" t="s">
        <v>215</v>
      </c>
    </row>
    <row r="26376" spans="129:129" x14ac:dyDescent="0.2">
      <c r="DY26376" s="185" t="s">
        <v>215</v>
      </c>
    </row>
    <row r="26377" spans="129:129" x14ac:dyDescent="0.2">
      <c r="DY26377" s="185" t="s">
        <v>215</v>
      </c>
    </row>
    <row r="26378" spans="129:129" x14ac:dyDescent="0.2">
      <c r="DY26378" s="185" t="s">
        <v>215</v>
      </c>
    </row>
    <row r="26379" spans="129:129" x14ac:dyDescent="0.2">
      <c r="DY26379" s="185" t="s">
        <v>215</v>
      </c>
    </row>
    <row r="26380" spans="129:129" x14ac:dyDescent="0.2">
      <c r="DY26380" s="185" t="s">
        <v>215</v>
      </c>
    </row>
    <row r="26381" spans="129:129" x14ac:dyDescent="0.2">
      <c r="DY26381" s="185" t="s">
        <v>215</v>
      </c>
    </row>
    <row r="26382" spans="129:129" x14ac:dyDescent="0.2">
      <c r="DY26382" s="185" t="s">
        <v>215</v>
      </c>
    </row>
    <row r="26383" spans="129:129" x14ac:dyDescent="0.2">
      <c r="DY26383" s="185" t="s">
        <v>215</v>
      </c>
    </row>
    <row r="26384" spans="129:129" x14ac:dyDescent="0.2">
      <c r="DY26384" s="185" t="s">
        <v>215</v>
      </c>
    </row>
    <row r="26385" spans="129:129" x14ac:dyDescent="0.2">
      <c r="DY26385" s="185" t="s">
        <v>215</v>
      </c>
    </row>
    <row r="26386" spans="129:129" x14ac:dyDescent="0.2">
      <c r="DY26386" s="185" t="s">
        <v>215</v>
      </c>
    </row>
    <row r="26387" spans="129:129" x14ac:dyDescent="0.2">
      <c r="DY26387" s="185" t="s">
        <v>215</v>
      </c>
    </row>
    <row r="26388" spans="129:129" x14ac:dyDescent="0.2">
      <c r="DY26388" s="185" t="s">
        <v>215</v>
      </c>
    </row>
    <row r="26389" spans="129:129" x14ac:dyDescent="0.2">
      <c r="DY26389" s="185" t="s">
        <v>215</v>
      </c>
    </row>
    <row r="26390" spans="129:129" x14ac:dyDescent="0.2">
      <c r="DY26390" s="185" t="s">
        <v>215</v>
      </c>
    </row>
    <row r="26391" spans="129:129" x14ac:dyDescent="0.2">
      <c r="DY26391" s="185" t="s">
        <v>215</v>
      </c>
    </row>
    <row r="26392" spans="129:129" x14ac:dyDescent="0.2">
      <c r="DY26392" s="185" t="s">
        <v>215</v>
      </c>
    </row>
    <row r="26393" spans="129:129" x14ac:dyDescent="0.2">
      <c r="DY26393" s="185" t="s">
        <v>215</v>
      </c>
    </row>
    <row r="26394" spans="129:129" x14ac:dyDescent="0.2">
      <c r="DY26394" s="185" t="s">
        <v>215</v>
      </c>
    </row>
    <row r="26395" spans="129:129" x14ac:dyDescent="0.2">
      <c r="DY26395" s="185" t="s">
        <v>215</v>
      </c>
    </row>
    <row r="26396" spans="129:129" x14ac:dyDescent="0.2">
      <c r="DY26396" s="185" t="s">
        <v>215</v>
      </c>
    </row>
    <row r="26397" spans="129:129" x14ac:dyDescent="0.2">
      <c r="DY26397" s="185" t="s">
        <v>215</v>
      </c>
    </row>
    <row r="26398" spans="129:129" x14ac:dyDescent="0.2">
      <c r="DY26398" s="185" t="s">
        <v>215</v>
      </c>
    </row>
    <row r="26399" spans="129:129" x14ac:dyDescent="0.2">
      <c r="DY26399" s="185" t="s">
        <v>215</v>
      </c>
    </row>
    <row r="26400" spans="129:129" x14ac:dyDescent="0.2">
      <c r="DY26400" s="185" t="s">
        <v>215</v>
      </c>
    </row>
    <row r="26401" spans="129:129" x14ac:dyDescent="0.2">
      <c r="DY26401" s="185" t="s">
        <v>215</v>
      </c>
    </row>
    <row r="26402" spans="129:129" x14ac:dyDescent="0.2">
      <c r="DY26402" s="185" t="s">
        <v>215</v>
      </c>
    </row>
    <row r="26403" spans="129:129" x14ac:dyDescent="0.2">
      <c r="DY26403" s="185" t="s">
        <v>215</v>
      </c>
    </row>
    <row r="26404" spans="129:129" x14ac:dyDescent="0.2">
      <c r="DY26404" s="185" t="s">
        <v>215</v>
      </c>
    </row>
    <row r="26405" spans="129:129" x14ac:dyDescent="0.2">
      <c r="DY26405" s="185" t="s">
        <v>215</v>
      </c>
    </row>
    <row r="26406" spans="129:129" x14ac:dyDescent="0.2">
      <c r="DY26406" s="185" t="s">
        <v>215</v>
      </c>
    </row>
    <row r="26407" spans="129:129" x14ac:dyDescent="0.2">
      <c r="DY26407" s="185" t="s">
        <v>215</v>
      </c>
    </row>
    <row r="26408" spans="129:129" x14ac:dyDescent="0.2">
      <c r="DY26408" s="185" t="s">
        <v>215</v>
      </c>
    </row>
    <row r="26409" spans="129:129" x14ac:dyDescent="0.2">
      <c r="DY26409" s="185" t="s">
        <v>215</v>
      </c>
    </row>
    <row r="26410" spans="129:129" x14ac:dyDescent="0.2">
      <c r="DY26410" s="185" t="s">
        <v>215</v>
      </c>
    </row>
    <row r="26411" spans="129:129" x14ac:dyDescent="0.2">
      <c r="DY26411" s="185" t="s">
        <v>215</v>
      </c>
    </row>
    <row r="26412" spans="129:129" x14ac:dyDescent="0.2">
      <c r="DY26412" s="185" t="s">
        <v>215</v>
      </c>
    </row>
    <row r="26413" spans="129:129" x14ac:dyDescent="0.2">
      <c r="DY26413" s="185" t="s">
        <v>215</v>
      </c>
    </row>
    <row r="26414" spans="129:129" x14ac:dyDescent="0.2">
      <c r="DY26414" s="185" t="s">
        <v>215</v>
      </c>
    </row>
    <row r="26415" spans="129:129" x14ac:dyDescent="0.2">
      <c r="DY26415" s="185" t="s">
        <v>215</v>
      </c>
    </row>
    <row r="26416" spans="129:129" x14ac:dyDescent="0.2">
      <c r="DY26416" s="185" t="s">
        <v>215</v>
      </c>
    </row>
    <row r="26417" spans="129:129" x14ac:dyDescent="0.2">
      <c r="DY26417" s="185" t="s">
        <v>215</v>
      </c>
    </row>
    <row r="26418" spans="129:129" x14ac:dyDescent="0.2">
      <c r="DY26418" s="185" t="s">
        <v>215</v>
      </c>
    </row>
    <row r="26419" spans="129:129" x14ac:dyDescent="0.2">
      <c r="DY26419" s="185" t="s">
        <v>215</v>
      </c>
    </row>
    <row r="26420" spans="129:129" x14ac:dyDescent="0.2">
      <c r="DY26420" s="185" t="s">
        <v>215</v>
      </c>
    </row>
    <row r="26421" spans="129:129" x14ac:dyDescent="0.2">
      <c r="DY26421" s="185" t="s">
        <v>215</v>
      </c>
    </row>
    <row r="26422" spans="129:129" x14ac:dyDescent="0.2">
      <c r="DY26422" s="185" t="s">
        <v>215</v>
      </c>
    </row>
    <row r="26423" spans="129:129" x14ac:dyDescent="0.2">
      <c r="DY26423" s="185" t="s">
        <v>215</v>
      </c>
    </row>
    <row r="26424" spans="129:129" x14ac:dyDescent="0.2">
      <c r="DY26424" s="185" t="s">
        <v>215</v>
      </c>
    </row>
    <row r="26425" spans="129:129" x14ac:dyDescent="0.2">
      <c r="DY26425" s="185" t="s">
        <v>215</v>
      </c>
    </row>
    <row r="26426" spans="129:129" x14ac:dyDescent="0.2">
      <c r="DY26426" s="185" t="s">
        <v>215</v>
      </c>
    </row>
    <row r="26427" spans="129:129" x14ac:dyDescent="0.2">
      <c r="DY26427" s="185" t="s">
        <v>215</v>
      </c>
    </row>
    <row r="26428" spans="129:129" x14ac:dyDescent="0.2">
      <c r="DY26428" s="185" t="s">
        <v>215</v>
      </c>
    </row>
    <row r="26429" spans="129:129" x14ac:dyDescent="0.2">
      <c r="DY26429" s="185" t="s">
        <v>215</v>
      </c>
    </row>
    <row r="26430" spans="129:129" x14ac:dyDescent="0.2">
      <c r="DY26430" s="185" t="s">
        <v>215</v>
      </c>
    </row>
    <row r="26431" spans="129:129" x14ac:dyDescent="0.2">
      <c r="DY26431" s="185" t="s">
        <v>215</v>
      </c>
    </row>
    <row r="26432" spans="129:129" x14ac:dyDescent="0.2">
      <c r="DY26432" s="185" t="s">
        <v>215</v>
      </c>
    </row>
    <row r="26433" spans="129:129" x14ac:dyDescent="0.2">
      <c r="DY26433" s="185" t="s">
        <v>215</v>
      </c>
    </row>
    <row r="26434" spans="129:129" x14ac:dyDescent="0.2">
      <c r="DY26434" s="185" t="s">
        <v>215</v>
      </c>
    </row>
    <row r="26435" spans="129:129" x14ac:dyDescent="0.2">
      <c r="DY26435" s="185" t="s">
        <v>215</v>
      </c>
    </row>
    <row r="26436" spans="129:129" x14ac:dyDescent="0.2">
      <c r="DY26436" s="185" t="s">
        <v>215</v>
      </c>
    </row>
    <row r="26437" spans="129:129" x14ac:dyDescent="0.2">
      <c r="DY26437" s="185" t="s">
        <v>215</v>
      </c>
    </row>
    <row r="26438" spans="129:129" x14ac:dyDescent="0.2">
      <c r="DY26438" s="185" t="s">
        <v>215</v>
      </c>
    </row>
    <row r="26439" spans="129:129" x14ac:dyDescent="0.2">
      <c r="DY26439" s="185" t="s">
        <v>215</v>
      </c>
    </row>
    <row r="26440" spans="129:129" x14ac:dyDescent="0.2">
      <c r="DY26440" s="185" t="s">
        <v>215</v>
      </c>
    </row>
    <row r="26441" spans="129:129" x14ac:dyDescent="0.2">
      <c r="DY26441" s="185" t="s">
        <v>215</v>
      </c>
    </row>
    <row r="26442" spans="129:129" x14ac:dyDescent="0.2">
      <c r="DY26442" s="185" t="s">
        <v>215</v>
      </c>
    </row>
    <row r="26443" spans="129:129" x14ac:dyDescent="0.2">
      <c r="DY26443" s="185" t="s">
        <v>215</v>
      </c>
    </row>
    <row r="26444" spans="129:129" x14ac:dyDescent="0.2">
      <c r="DY26444" s="185" t="s">
        <v>215</v>
      </c>
    </row>
    <row r="26445" spans="129:129" x14ac:dyDescent="0.2">
      <c r="DY26445" s="185" t="s">
        <v>215</v>
      </c>
    </row>
    <row r="26446" spans="129:129" x14ac:dyDescent="0.2">
      <c r="DY26446" s="185" t="s">
        <v>215</v>
      </c>
    </row>
    <row r="26447" spans="129:129" x14ac:dyDescent="0.2">
      <c r="DY26447" s="185" t="s">
        <v>215</v>
      </c>
    </row>
    <row r="26448" spans="129:129" x14ac:dyDescent="0.2">
      <c r="DY26448" s="185" t="s">
        <v>215</v>
      </c>
    </row>
    <row r="26449" spans="129:129" x14ac:dyDescent="0.2">
      <c r="DY26449" s="185" t="s">
        <v>215</v>
      </c>
    </row>
    <row r="26450" spans="129:129" x14ac:dyDescent="0.2">
      <c r="DY26450" s="185" t="s">
        <v>215</v>
      </c>
    </row>
    <row r="26451" spans="129:129" x14ac:dyDescent="0.2">
      <c r="DY26451" s="185" t="s">
        <v>215</v>
      </c>
    </row>
    <row r="26452" spans="129:129" x14ac:dyDescent="0.2">
      <c r="DY26452" s="185" t="s">
        <v>215</v>
      </c>
    </row>
    <row r="26453" spans="129:129" x14ac:dyDescent="0.2">
      <c r="DY26453" s="185" t="s">
        <v>215</v>
      </c>
    </row>
    <row r="26454" spans="129:129" x14ac:dyDescent="0.2">
      <c r="DY26454" s="185" t="s">
        <v>215</v>
      </c>
    </row>
    <row r="26455" spans="129:129" x14ac:dyDescent="0.2">
      <c r="DY26455" s="185" t="s">
        <v>215</v>
      </c>
    </row>
    <row r="26456" spans="129:129" x14ac:dyDescent="0.2">
      <c r="DY26456" s="185" t="s">
        <v>215</v>
      </c>
    </row>
    <row r="26457" spans="129:129" x14ac:dyDescent="0.2">
      <c r="DY26457" s="185" t="s">
        <v>215</v>
      </c>
    </row>
    <row r="26458" spans="129:129" x14ac:dyDescent="0.2">
      <c r="DY26458" s="185" t="s">
        <v>215</v>
      </c>
    </row>
    <row r="26459" spans="129:129" x14ac:dyDescent="0.2">
      <c r="DY26459" s="185" t="s">
        <v>215</v>
      </c>
    </row>
    <row r="26460" spans="129:129" x14ac:dyDescent="0.2">
      <c r="DY26460" s="185" t="s">
        <v>215</v>
      </c>
    </row>
    <row r="26461" spans="129:129" x14ac:dyDescent="0.2">
      <c r="DY26461" s="185" t="s">
        <v>215</v>
      </c>
    </row>
    <row r="26462" spans="129:129" x14ac:dyDescent="0.2">
      <c r="DY26462" s="185" t="s">
        <v>215</v>
      </c>
    </row>
    <row r="26463" spans="129:129" x14ac:dyDescent="0.2">
      <c r="DY26463" s="185" t="s">
        <v>215</v>
      </c>
    </row>
    <row r="26464" spans="129:129" x14ac:dyDescent="0.2">
      <c r="DY26464" s="185" t="s">
        <v>215</v>
      </c>
    </row>
    <row r="26465" spans="129:129" x14ac:dyDescent="0.2">
      <c r="DY26465" s="185" t="s">
        <v>215</v>
      </c>
    </row>
    <row r="26466" spans="129:129" x14ac:dyDescent="0.2">
      <c r="DY26466" s="185" t="s">
        <v>215</v>
      </c>
    </row>
    <row r="26467" spans="129:129" x14ac:dyDescent="0.2">
      <c r="DY26467" s="185" t="s">
        <v>215</v>
      </c>
    </row>
    <row r="26468" spans="129:129" x14ac:dyDescent="0.2">
      <c r="DY26468" s="185" t="s">
        <v>215</v>
      </c>
    </row>
    <row r="26469" spans="129:129" x14ac:dyDescent="0.2">
      <c r="DY26469" s="185" t="s">
        <v>215</v>
      </c>
    </row>
    <row r="26470" spans="129:129" x14ac:dyDescent="0.2">
      <c r="DY26470" s="185" t="s">
        <v>215</v>
      </c>
    </row>
    <row r="26471" spans="129:129" x14ac:dyDescent="0.2">
      <c r="DY26471" s="185" t="s">
        <v>215</v>
      </c>
    </row>
    <row r="26472" spans="129:129" x14ac:dyDescent="0.2">
      <c r="DY26472" s="185" t="s">
        <v>215</v>
      </c>
    </row>
    <row r="26473" spans="129:129" x14ac:dyDescent="0.2">
      <c r="DY26473" s="185" t="s">
        <v>215</v>
      </c>
    </row>
    <row r="26474" spans="129:129" x14ac:dyDescent="0.2">
      <c r="DY26474" s="185" t="s">
        <v>215</v>
      </c>
    </row>
    <row r="26475" spans="129:129" x14ac:dyDescent="0.2">
      <c r="DY26475" s="185" t="s">
        <v>215</v>
      </c>
    </row>
    <row r="26476" spans="129:129" x14ac:dyDescent="0.2">
      <c r="DY26476" s="185" t="s">
        <v>215</v>
      </c>
    </row>
    <row r="26477" spans="129:129" x14ac:dyDescent="0.2">
      <c r="DY26477" s="185" t="s">
        <v>215</v>
      </c>
    </row>
    <row r="26478" spans="129:129" x14ac:dyDescent="0.2">
      <c r="DY26478" s="185" t="s">
        <v>215</v>
      </c>
    </row>
    <row r="26479" spans="129:129" x14ac:dyDescent="0.2">
      <c r="DY26479" s="185" t="s">
        <v>215</v>
      </c>
    </row>
    <row r="26480" spans="129:129" x14ac:dyDescent="0.2">
      <c r="DY26480" s="185" t="s">
        <v>215</v>
      </c>
    </row>
    <row r="26481" spans="129:129" x14ac:dyDescent="0.2">
      <c r="DY26481" s="185" t="s">
        <v>215</v>
      </c>
    </row>
    <row r="26482" spans="129:129" x14ac:dyDescent="0.2">
      <c r="DY26482" s="185" t="s">
        <v>215</v>
      </c>
    </row>
    <row r="26483" spans="129:129" x14ac:dyDescent="0.2">
      <c r="DY26483" s="185" t="s">
        <v>215</v>
      </c>
    </row>
    <row r="26484" spans="129:129" x14ac:dyDescent="0.2">
      <c r="DY26484" s="185" t="s">
        <v>215</v>
      </c>
    </row>
    <row r="26485" spans="129:129" x14ac:dyDescent="0.2">
      <c r="DY26485" s="185" t="s">
        <v>215</v>
      </c>
    </row>
    <row r="26486" spans="129:129" x14ac:dyDescent="0.2">
      <c r="DY26486" s="185" t="s">
        <v>215</v>
      </c>
    </row>
    <row r="26487" spans="129:129" x14ac:dyDescent="0.2">
      <c r="DY26487" s="185" t="s">
        <v>215</v>
      </c>
    </row>
    <row r="26488" spans="129:129" x14ac:dyDescent="0.2">
      <c r="DY26488" s="185" t="s">
        <v>215</v>
      </c>
    </row>
    <row r="26489" spans="129:129" x14ac:dyDescent="0.2">
      <c r="DY26489" s="185" t="s">
        <v>215</v>
      </c>
    </row>
    <row r="26490" spans="129:129" x14ac:dyDescent="0.2">
      <c r="DY26490" s="185" t="s">
        <v>215</v>
      </c>
    </row>
    <row r="26491" spans="129:129" x14ac:dyDescent="0.2">
      <c r="DY26491" s="185" t="s">
        <v>215</v>
      </c>
    </row>
    <row r="26492" spans="129:129" x14ac:dyDescent="0.2">
      <c r="DY26492" s="185" t="s">
        <v>215</v>
      </c>
    </row>
    <row r="26493" spans="129:129" x14ac:dyDescent="0.2">
      <c r="DY26493" s="185" t="s">
        <v>215</v>
      </c>
    </row>
    <row r="26494" spans="129:129" x14ac:dyDescent="0.2">
      <c r="DY26494" s="185" t="s">
        <v>215</v>
      </c>
    </row>
    <row r="26495" spans="129:129" x14ac:dyDescent="0.2">
      <c r="DY26495" s="185" t="s">
        <v>215</v>
      </c>
    </row>
    <row r="26496" spans="129:129" x14ac:dyDescent="0.2">
      <c r="DY26496" s="185" t="s">
        <v>215</v>
      </c>
    </row>
    <row r="26497" spans="129:129" x14ac:dyDescent="0.2">
      <c r="DY26497" s="185" t="s">
        <v>215</v>
      </c>
    </row>
    <row r="26498" spans="129:129" x14ac:dyDescent="0.2">
      <c r="DY26498" s="185" t="s">
        <v>215</v>
      </c>
    </row>
    <row r="26499" spans="129:129" x14ac:dyDescent="0.2">
      <c r="DY26499" s="185" t="s">
        <v>215</v>
      </c>
    </row>
    <row r="26500" spans="129:129" x14ac:dyDescent="0.2">
      <c r="DY26500" s="185" t="s">
        <v>215</v>
      </c>
    </row>
    <row r="26501" spans="129:129" x14ac:dyDescent="0.2">
      <c r="DY26501" s="185" t="s">
        <v>215</v>
      </c>
    </row>
    <row r="26502" spans="129:129" x14ac:dyDescent="0.2">
      <c r="DY26502" s="185" t="s">
        <v>215</v>
      </c>
    </row>
    <row r="26503" spans="129:129" x14ac:dyDescent="0.2">
      <c r="DY26503" s="185" t="s">
        <v>215</v>
      </c>
    </row>
    <row r="26504" spans="129:129" x14ac:dyDescent="0.2">
      <c r="DY26504" s="185" t="s">
        <v>215</v>
      </c>
    </row>
    <row r="26505" spans="129:129" x14ac:dyDescent="0.2">
      <c r="DY26505" s="185" t="s">
        <v>215</v>
      </c>
    </row>
    <row r="26506" spans="129:129" x14ac:dyDescent="0.2">
      <c r="DY26506" s="185" t="s">
        <v>215</v>
      </c>
    </row>
    <row r="26507" spans="129:129" x14ac:dyDescent="0.2">
      <c r="DY26507" s="185" t="s">
        <v>215</v>
      </c>
    </row>
    <row r="26508" spans="129:129" x14ac:dyDescent="0.2">
      <c r="DY26508" s="185" t="s">
        <v>215</v>
      </c>
    </row>
    <row r="26509" spans="129:129" x14ac:dyDescent="0.2">
      <c r="DY26509" s="185" t="s">
        <v>215</v>
      </c>
    </row>
    <row r="26510" spans="129:129" x14ac:dyDescent="0.2">
      <c r="DY26510" s="185" t="s">
        <v>215</v>
      </c>
    </row>
    <row r="26511" spans="129:129" x14ac:dyDescent="0.2">
      <c r="DY26511" s="185" t="s">
        <v>215</v>
      </c>
    </row>
    <row r="26512" spans="129:129" x14ac:dyDescent="0.2">
      <c r="DY26512" s="185" t="s">
        <v>215</v>
      </c>
    </row>
    <row r="26513" spans="129:129" x14ac:dyDescent="0.2">
      <c r="DY26513" s="185" t="s">
        <v>215</v>
      </c>
    </row>
    <row r="26514" spans="129:129" x14ac:dyDescent="0.2">
      <c r="DY26514" s="185" t="s">
        <v>215</v>
      </c>
    </row>
    <row r="26515" spans="129:129" x14ac:dyDescent="0.2">
      <c r="DY26515" s="185" t="s">
        <v>215</v>
      </c>
    </row>
    <row r="26516" spans="129:129" x14ac:dyDescent="0.2">
      <c r="DY26516" s="185" t="s">
        <v>215</v>
      </c>
    </row>
    <row r="26517" spans="129:129" x14ac:dyDescent="0.2">
      <c r="DY26517" s="185" t="s">
        <v>215</v>
      </c>
    </row>
    <row r="26518" spans="129:129" x14ac:dyDescent="0.2">
      <c r="DY26518" s="185" t="s">
        <v>215</v>
      </c>
    </row>
    <row r="26519" spans="129:129" x14ac:dyDescent="0.2">
      <c r="DY26519" s="185" t="s">
        <v>215</v>
      </c>
    </row>
    <row r="26520" spans="129:129" x14ac:dyDescent="0.2">
      <c r="DY26520" s="185" t="s">
        <v>215</v>
      </c>
    </row>
    <row r="26521" spans="129:129" x14ac:dyDescent="0.2">
      <c r="DY26521" s="185" t="s">
        <v>215</v>
      </c>
    </row>
    <row r="26522" spans="129:129" x14ac:dyDescent="0.2">
      <c r="DY26522" s="185" t="s">
        <v>215</v>
      </c>
    </row>
    <row r="26523" spans="129:129" x14ac:dyDescent="0.2">
      <c r="DY26523" s="185" t="s">
        <v>215</v>
      </c>
    </row>
    <row r="26524" spans="129:129" x14ac:dyDescent="0.2">
      <c r="DY26524" s="185" t="s">
        <v>215</v>
      </c>
    </row>
    <row r="26525" spans="129:129" x14ac:dyDescent="0.2">
      <c r="DY26525" s="185" t="s">
        <v>215</v>
      </c>
    </row>
    <row r="26526" spans="129:129" x14ac:dyDescent="0.2">
      <c r="DY26526" s="185" t="s">
        <v>215</v>
      </c>
    </row>
    <row r="26527" spans="129:129" x14ac:dyDescent="0.2">
      <c r="DY26527" s="185" t="s">
        <v>215</v>
      </c>
    </row>
    <row r="26528" spans="129:129" x14ac:dyDescent="0.2">
      <c r="DY26528" s="185" t="s">
        <v>215</v>
      </c>
    </row>
    <row r="26529" spans="129:129" x14ac:dyDescent="0.2">
      <c r="DY26529" s="185" t="s">
        <v>215</v>
      </c>
    </row>
    <row r="26530" spans="129:129" x14ac:dyDescent="0.2">
      <c r="DY26530" s="185" t="s">
        <v>215</v>
      </c>
    </row>
    <row r="26531" spans="129:129" x14ac:dyDescent="0.2">
      <c r="DY26531" s="185" t="s">
        <v>215</v>
      </c>
    </row>
    <row r="26532" spans="129:129" x14ac:dyDescent="0.2">
      <c r="DY26532" s="185" t="s">
        <v>215</v>
      </c>
    </row>
    <row r="26533" spans="129:129" x14ac:dyDescent="0.2">
      <c r="DY26533" s="185" t="s">
        <v>215</v>
      </c>
    </row>
    <row r="26534" spans="129:129" x14ac:dyDescent="0.2">
      <c r="DY26534" s="185" t="s">
        <v>215</v>
      </c>
    </row>
    <row r="26535" spans="129:129" x14ac:dyDescent="0.2">
      <c r="DY26535" s="185" t="s">
        <v>215</v>
      </c>
    </row>
    <row r="26536" spans="129:129" x14ac:dyDescent="0.2">
      <c r="DY26536" s="185" t="s">
        <v>215</v>
      </c>
    </row>
    <row r="26537" spans="129:129" x14ac:dyDescent="0.2">
      <c r="DY26537" s="185" t="s">
        <v>215</v>
      </c>
    </row>
    <row r="26538" spans="129:129" x14ac:dyDescent="0.2">
      <c r="DY26538" s="185" t="s">
        <v>215</v>
      </c>
    </row>
    <row r="26539" spans="129:129" x14ac:dyDescent="0.2">
      <c r="DY26539" s="185" t="s">
        <v>215</v>
      </c>
    </row>
    <row r="26540" spans="129:129" x14ac:dyDescent="0.2">
      <c r="DY26540" s="185" t="s">
        <v>215</v>
      </c>
    </row>
    <row r="26541" spans="129:129" x14ac:dyDescent="0.2">
      <c r="DY26541" s="185" t="s">
        <v>215</v>
      </c>
    </row>
    <row r="26542" spans="129:129" x14ac:dyDescent="0.2">
      <c r="DY26542" s="185" t="s">
        <v>215</v>
      </c>
    </row>
    <row r="26543" spans="129:129" x14ac:dyDescent="0.2">
      <c r="DY26543" s="185" t="s">
        <v>215</v>
      </c>
    </row>
    <row r="26544" spans="129:129" x14ac:dyDescent="0.2">
      <c r="DY26544" s="185" t="s">
        <v>215</v>
      </c>
    </row>
    <row r="26545" spans="129:129" x14ac:dyDescent="0.2">
      <c r="DY26545" s="185" t="s">
        <v>215</v>
      </c>
    </row>
    <row r="26546" spans="129:129" x14ac:dyDescent="0.2">
      <c r="DY26546" s="185" t="s">
        <v>215</v>
      </c>
    </row>
    <row r="26547" spans="129:129" x14ac:dyDescent="0.2">
      <c r="DY26547" s="185" t="s">
        <v>215</v>
      </c>
    </row>
    <row r="26548" spans="129:129" x14ac:dyDescent="0.2">
      <c r="DY26548" s="185" t="s">
        <v>215</v>
      </c>
    </row>
    <row r="26549" spans="129:129" x14ac:dyDescent="0.2">
      <c r="DY26549" s="185" t="s">
        <v>215</v>
      </c>
    </row>
    <row r="26550" spans="129:129" x14ac:dyDescent="0.2">
      <c r="DY26550" s="185" t="s">
        <v>215</v>
      </c>
    </row>
    <row r="26551" spans="129:129" x14ac:dyDescent="0.2">
      <c r="DY26551" s="185" t="s">
        <v>215</v>
      </c>
    </row>
    <row r="26552" spans="129:129" x14ac:dyDescent="0.2">
      <c r="DY26552" s="185" t="s">
        <v>215</v>
      </c>
    </row>
    <row r="26553" spans="129:129" x14ac:dyDescent="0.2">
      <c r="DY26553" s="185" t="s">
        <v>215</v>
      </c>
    </row>
    <row r="26554" spans="129:129" x14ac:dyDescent="0.2">
      <c r="DY26554" s="185" t="s">
        <v>215</v>
      </c>
    </row>
    <row r="26555" spans="129:129" x14ac:dyDescent="0.2">
      <c r="DY26555" s="185" t="s">
        <v>215</v>
      </c>
    </row>
    <row r="26556" spans="129:129" x14ac:dyDescent="0.2">
      <c r="DY26556" s="185" t="s">
        <v>215</v>
      </c>
    </row>
    <row r="26557" spans="129:129" x14ac:dyDescent="0.2">
      <c r="DY26557" s="185" t="s">
        <v>215</v>
      </c>
    </row>
    <row r="26558" spans="129:129" x14ac:dyDescent="0.2">
      <c r="DY26558" s="185" t="s">
        <v>215</v>
      </c>
    </row>
    <row r="26559" spans="129:129" x14ac:dyDescent="0.2">
      <c r="DY26559" s="185" t="s">
        <v>215</v>
      </c>
    </row>
    <row r="26560" spans="129:129" x14ac:dyDescent="0.2">
      <c r="DY26560" s="185" t="s">
        <v>215</v>
      </c>
    </row>
    <row r="26561" spans="129:129" x14ac:dyDescent="0.2">
      <c r="DY26561" s="185" t="s">
        <v>215</v>
      </c>
    </row>
    <row r="26562" spans="129:129" x14ac:dyDescent="0.2">
      <c r="DY26562" s="185" t="s">
        <v>215</v>
      </c>
    </row>
    <row r="26563" spans="129:129" x14ac:dyDescent="0.2">
      <c r="DY26563" s="185" t="s">
        <v>215</v>
      </c>
    </row>
    <row r="26564" spans="129:129" x14ac:dyDescent="0.2">
      <c r="DY26564" s="185" t="s">
        <v>215</v>
      </c>
    </row>
    <row r="26565" spans="129:129" x14ac:dyDescent="0.2">
      <c r="DY26565" s="185" t="s">
        <v>215</v>
      </c>
    </row>
    <row r="26566" spans="129:129" x14ac:dyDescent="0.2">
      <c r="DY26566" s="185" t="s">
        <v>215</v>
      </c>
    </row>
    <row r="26567" spans="129:129" x14ac:dyDescent="0.2">
      <c r="DY26567" s="185" t="s">
        <v>215</v>
      </c>
    </row>
    <row r="26568" spans="129:129" x14ac:dyDescent="0.2">
      <c r="DY26568" s="185" t="s">
        <v>215</v>
      </c>
    </row>
    <row r="26569" spans="129:129" x14ac:dyDescent="0.2">
      <c r="DY26569" s="185" t="s">
        <v>215</v>
      </c>
    </row>
    <row r="26570" spans="129:129" x14ac:dyDescent="0.2">
      <c r="DY26570" s="185" t="s">
        <v>215</v>
      </c>
    </row>
    <row r="26571" spans="129:129" x14ac:dyDescent="0.2">
      <c r="DY26571" s="185" t="s">
        <v>215</v>
      </c>
    </row>
    <row r="26572" spans="129:129" x14ac:dyDescent="0.2">
      <c r="DY26572" s="185" t="s">
        <v>215</v>
      </c>
    </row>
    <row r="26573" spans="129:129" x14ac:dyDescent="0.2">
      <c r="DY26573" s="185" t="s">
        <v>215</v>
      </c>
    </row>
    <row r="26574" spans="129:129" x14ac:dyDescent="0.2">
      <c r="DY26574" s="185" t="s">
        <v>215</v>
      </c>
    </row>
    <row r="26575" spans="129:129" x14ac:dyDescent="0.2">
      <c r="DY26575" s="185" t="s">
        <v>215</v>
      </c>
    </row>
    <row r="26576" spans="129:129" x14ac:dyDescent="0.2">
      <c r="DY26576" s="185" t="s">
        <v>215</v>
      </c>
    </row>
    <row r="26577" spans="129:129" x14ac:dyDescent="0.2">
      <c r="DY26577" s="185" t="s">
        <v>215</v>
      </c>
    </row>
    <row r="26578" spans="129:129" x14ac:dyDescent="0.2">
      <c r="DY26578" s="185" t="s">
        <v>215</v>
      </c>
    </row>
    <row r="26579" spans="129:129" x14ac:dyDescent="0.2">
      <c r="DY26579" s="185" t="s">
        <v>215</v>
      </c>
    </row>
    <row r="26580" spans="129:129" x14ac:dyDescent="0.2">
      <c r="DY26580" s="185" t="s">
        <v>215</v>
      </c>
    </row>
    <row r="26581" spans="129:129" x14ac:dyDescent="0.2">
      <c r="DY26581" s="185" t="s">
        <v>215</v>
      </c>
    </row>
    <row r="26582" spans="129:129" x14ac:dyDescent="0.2">
      <c r="DY26582" s="185" t="s">
        <v>215</v>
      </c>
    </row>
    <row r="26583" spans="129:129" x14ac:dyDescent="0.2">
      <c r="DY26583" s="185" t="s">
        <v>215</v>
      </c>
    </row>
    <row r="26584" spans="129:129" x14ac:dyDescent="0.2">
      <c r="DY26584" s="185" t="s">
        <v>215</v>
      </c>
    </row>
    <row r="26585" spans="129:129" x14ac:dyDescent="0.2">
      <c r="DY26585" s="185" t="s">
        <v>215</v>
      </c>
    </row>
    <row r="26586" spans="129:129" x14ac:dyDescent="0.2">
      <c r="DY26586" s="185" t="s">
        <v>215</v>
      </c>
    </row>
    <row r="26587" spans="129:129" x14ac:dyDescent="0.2">
      <c r="DY26587" s="185" t="s">
        <v>215</v>
      </c>
    </row>
    <row r="26588" spans="129:129" x14ac:dyDescent="0.2">
      <c r="DY26588" s="185" t="s">
        <v>215</v>
      </c>
    </row>
    <row r="26589" spans="129:129" x14ac:dyDescent="0.2">
      <c r="DY26589" s="185" t="s">
        <v>215</v>
      </c>
    </row>
    <row r="26590" spans="129:129" x14ac:dyDescent="0.2">
      <c r="DY26590" s="185" t="s">
        <v>215</v>
      </c>
    </row>
    <row r="26591" spans="129:129" x14ac:dyDescent="0.2">
      <c r="DY26591" s="185" t="s">
        <v>215</v>
      </c>
    </row>
    <row r="26592" spans="129:129" x14ac:dyDescent="0.2">
      <c r="DY26592" s="185" t="s">
        <v>215</v>
      </c>
    </row>
    <row r="26593" spans="129:129" x14ac:dyDescent="0.2">
      <c r="DY26593" s="185" t="s">
        <v>215</v>
      </c>
    </row>
    <row r="26594" spans="129:129" x14ac:dyDescent="0.2">
      <c r="DY26594" s="185" t="s">
        <v>215</v>
      </c>
    </row>
    <row r="26595" spans="129:129" x14ac:dyDescent="0.2">
      <c r="DY26595" s="185" t="s">
        <v>215</v>
      </c>
    </row>
    <row r="26596" spans="129:129" x14ac:dyDescent="0.2">
      <c r="DY26596" s="185" t="s">
        <v>215</v>
      </c>
    </row>
    <row r="26597" spans="129:129" x14ac:dyDescent="0.2">
      <c r="DY26597" s="185" t="s">
        <v>215</v>
      </c>
    </row>
    <row r="26598" spans="129:129" x14ac:dyDescent="0.2">
      <c r="DY26598" s="185" t="s">
        <v>215</v>
      </c>
    </row>
    <row r="26599" spans="129:129" x14ac:dyDescent="0.2">
      <c r="DY26599" s="185" t="s">
        <v>215</v>
      </c>
    </row>
    <row r="26600" spans="129:129" x14ac:dyDescent="0.2">
      <c r="DY26600" s="185" t="s">
        <v>215</v>
      </c>
    </row>
    <row r="26601" spans="129:129" x14ac:dyDescent="0.2">
      <c r="DY26601" s="185" t="s">
        <v>215</v>
      </c>
    </row>
    <row r="26602" spans="129:129" x14ac:dyDescent="0.2">
      <c r="DY26602" s="185" t="s">
        <v>215</v>
      </c>
    </row>
    <row r="26603" spans="129:129" x14ac:dyDescent="0.2">
      <c r="DY26603" s="185" t="s">
        <v>215</v>
      </c>
    </row>
    <row r="26604" spans="129:129" x14ac:dyDescent="0.2">
      <c r="DY26604" s="185" t="s">
        <v>215</v>
      </c>
    </row>
    <row r="26605" spans="129:129" x14ac:dyDescent="0.2">
      <c r="DY26605" s="185" t="s">
        <v>215</v>
      </c>
    </row>
    <row r="26606" spans="129:129" x14ac:dyDescent="0.2">
      <c r="DY26606" s="185" t="s">
        <v>215</v>
      </c>
    </row>
    <row r="26607" spans="129:129" x14ac:dyDescent="0.2">
      <c r="DY26607" s="185" t="s">
        <v>215</v>
      </c>
    </row>
    <row r="26608" spans="129:129" x14ac:dyDescent="0.2">
      <c r="DY26608" s="185" t="s">
        <v>215</v>
      </c>
    </row>
    <row r="26609" spans="129:129" x14ac:dyDescent="0.2">
      <c r="DY26609" s="185" t="s">
        <v>215</v>
      </c>
    </row>
    <row r="26610" spans="129:129" x14ac:dyDescent="0.2">
      <c r="DY26610" s="185" t="s">
        <v>215</v>
      </c>
    </row>
    <row r="26611" spans="129:129" x14ac:dyDescent="0.2">
      <c r="DY26611" s="185" t="s">
        <v>215</v>
      </c>
    </row>
    <row r="26612" spans="129:129" x14ac:dyDescent="0.2">
      <c r="DY26612" s="185" t="s">
        <v>215</v>
      </c>
    </row>
    <row r="26613" spans="129:129" x14ac:dyDescent="0.2">
      <c r="DY26613" s="185" t="s">
        <v>215</v>
      </c>
    </row>
    <row r="26614" spans="129:129" x14ac:dyDescent="0.2">
      <c r="DY26614" s="185" t="s">
        <v>215</v>
      </c>
    </row>
    <row r="26615" spans="129:129" x14ac:dyDescent="0.2">
      <c r="DY26615" s="185" t="s">
        <v>215</v>
      </c>
    </row>
    <row r="26616" spans="129:129" x14ac:dyDescent="0.2">
      <c r="DY26616" s="185" t="s">
        <v>215</v>
      </c>
    </row>
    <row r="26617" spans="129:129" x14ac:dyDescent="0.2">
      <c r="DY26617" s="185" t="s">
        <v>215</v>
      </c>
    </row>
    <row r="26618" spans="129:129" x14ac:dyDescent="0.2">
      <c r="DY26618" s="185" t="s">
        <v>215</v>
      </c>
    </row>
    <row r="26619" spans="129:129" x14ac:dyDescent="0.2">
      <c r="DY26619" s="185" t="s">
        <v>215</v>
      </c>
    </row>
    <row r="26620" spans="129:129" x14ac:dyDescent="0.2">
      <c r="DY26620" s="185" t="s">
        <v>215</v>
      </c>
    </row>
    <row r="26621" spans="129:129" x14ac:dyDescent="0.2">
      <c r="DY26621" s="185" t="s">
        <v>215</v>
      </c>
    </row>
    <row r="26622" spans="129:129" x14ac:dyDescent="0.2">
      <c r="DY26622" s="185" t="s">
        <v>215</v>
      </c>
    </row>
    <row r="26623" spans="129:129" x14ac:dyDescent="0.2">
      <c r="DY26623" s="185" t="s">
        <v>215</v>
      </c>
    </row>
    <row r="26624" spans="129:129" x14ac:dyDescent="0.2">
      <c r="DY26624" s="185" t="s">
        <v>215</v>
      </c>
    </row>
    <row r="26625" spans="129:129" x14ac:dyDescent="0.2">
      <c r="DY26625" s="185" t="s">
        <v>215</v>
      </c>
    </row>
    <row r="26626" spans="129:129" x14ac:dyDescent="0.2">
      <c r="DY26626" s="185" t="s">
        <v>215</v>
      </c>
    </row>
    <row r="26627" spans="129:129" x14ac:dyDescent="0.2">
      <c r="DY26627" s="185" t="s">
        <v>215</v>
      </c>
    </row>
    <row r="26628" spans="129:129" x14ac:dyDescent="0.2">
      <c r="DY26628" s="185" t="s">
        <v>215</v>
      </c>
    </row>
    <row r="26629" spans="129:129" x14ac:dyDescent="0.2">
      <c r="DY26629" s="185" t="s">
        <v>215</v>
      </c>
    </row>
    <row r="26630" spans="129:129" x14ac:dyDescent="0.2">
      <c r="DY26630" s="185" t="s">
        <v>215</v>
      </c>
    </row>
    <row r="26631" spans="129:129" x14ac:dyDescent="0.2">
      <c r="DY26631" s="185" t="s">
        <v>215</v>
      </c>
    </row>
    <row r="26632" spans="129:129" x14ac:dyDescent="0.2">
      <c r="DY26632" s="185" t="s">
        <v>215</v>
      </c>
    </row>
    <row r="26633" spans="129:129" x14ac:dyDescent="0.2">
      <c r="DY26633" s="185" t="s">
        <v>215</v>
      </c>
    </row>
    <row r="26634" spans="129:129" x14ac:dyDescent="0.2">
      <c r="DY26634" s="185" t="s">
        <v>215</v>
      </c>
    </row>
    <row r="26635" spans="129:129" x14ac:dyDescent="0.2">
      <c r="DY26635" s="185" t="s">
        <v>215</v>
      </c>
    </row>
    <row r="26636" spans="129:129" x14ac:dyDescent="0.2">
      <c r="DY26636" s="185" t="s">
        <v>215</v>
      </c>
    </row>
    <row r="26637" spans="129:129" x14ac:dyDescent="0.2">
      <c r="DY26637" s="185" t="s">
        <v>215</v>
      </c>
    </row>
    <row r="26638" spans="129:129" x14ac:dyDescent="0.2">
      <c r="DY26638" s="185" t="s">
        <v>215</v>
      </c>
    </row>
    <row r="26639" spans="129:129" x14ac:dyDescent="0.2">
      <c r="DY26639" s="185" t="s">
        <v>215</v>
      </c>
    </row>
    <row r="26640" spans="129:129" x14ac:dyDescent="0.2">
      <c r="DY26640" s="185" t="s">
        <v>215</v>
      </c>
    </row>
    <row r="26641" spans="129:129" x14ac:dyDescent="0.2">
      <c r="DY26641" s="185" t="s">
        <v>215</v>
      </c>
    </row>
    <row r="26642" spans="129:129" x14ac:dyDescent="0.2">
      <c r="DY26642" s="185" t="s">
        <v>215</v>
      </c>
    </row>
    <row r="26643" spans="129:129" x14ac:dyDescent="0.2">
      <c r="DY26643" s="185" t="s">
        <v>215</v>
      </c>
    </row>
    <row r="26644" spans="129:129" x14ac:dyDescent="0.2">
      <c r="DY26644" s="185" t="s">
        <v>215</v>
      </c>
    </row>
    <row r="26645" spans="129:129" x14ac:dyDescent="0.2">
      <c r="DY26645" s="185" t="s">
        <v>215</v>
      </c>
    </row>
    <row r="26646" spans="129:129" x14ac:dyDescent="0.2">
      <c r="DY26646" s="185" t="s">
        <v>215</v>
      </c>
    </row>
    <row r="26647" spans="129:129" x14ac:dyDescent="0.2">
      <c r="DY26647" s="185" t="s">
        <v>215</v>
      </c>
    </row>
    <row r="26648" spans="129:129" x14ac:dyDescent="0.2">
      <c r="DY26648" s="185" t="s">
        <v>215</v>
      </c>
    </row>
    <row r="26649" spans="129:129" x14ac:dyDescent="0.2">
      <c r="DY26649" s="185" t="s">
        <v>215</v>
      </c>
    </row>
    <row r="26650" spans="129:129" x14ac:dyDescent="0.2">
      <c r="DY26650" s="185" t="s">
        <v>215</v>
      </c>
    </row>
    <row r="26651" spans="129:129" x14ac:dyDescent="0.2">
      <c r="DY26651" s="185" t="s">
        <v>215</v>
      </c>
    </row>
    <row r="26652" spans="129:129" x14ac:dyDescent="0.2">
      <c r="DY26652" s="185" t="s">
        <v>215</v>
      </c>
    </row>
    <row r="26653" spans="129:129" x14ac:dyDescent="0.2">
      <c r="DY26653" s="185" t="s">
        <v>215</v>
      </c>
    </row>
    <row r="26654" spans="129:129" x14ac:dyDescent="0.2">
      <c r="DY26654" s="185" t="s">
        <v>215</v>
      </c>
    </row>
    <row r="26655" spans="129:129" x14ac:dyDescent="0.2">
      <c r="DY26655" s="185" t="s">
        <v>215</v>
      </c>
    </row>
    <row r="26656" spans="129:129" x14ac:dyDescent="0.2">
      <c r="DY26656" s="185" t="s">
        <v>215</v>
      </c>
    </row>
    <row r="26657" spans="129:129" x14ac:dyDescent="0.2">
      <c r="DY26657" s="185" t="s">
        <v>215</v>
      </c>
    </row>
    <row r="26658" spans="129:129" x14ac:dyDescent="0.2">
      <c r="DY26658" s="185" t="s">
        <v>215</v>
      </c>
    </row>
    <row r="26659" spans="129:129" x14ac:dyDescent="0.2">
      <c r="DY26659" s="185" t="s">
        <v>215</v>
      </c>
    </row>
    <row r="26660" spans="129:129" x14ac:dyDescent="0.2">
      <c r="DY26660" s="185" t="s">
        <v>215</v>
      </c>
    </row>
    <row r="26661" spans="129:129" x14ac:dyDescent="0.2">
      <c r="DY26661" s="185" t="s">
        <v>215</v>
      </c>
    </row>
    <row r="26662" spans="129:129" x14ac:dyDescent="0.2">
      <c r="DY26662" s="185" t="s">
        <v>215</v>
      </c>
    </row>
    <row r="26663" spans="129:129" x14ac:dyDescent="0.2">
      <c r="DY26663" s="185" t="s">
        <v>215</v>
      </c>
    </row>
    <row r="26664" spans="129:129" x14ac:dyDescent="0.2">
      <c r="DY26664" s="185" t="s">
        <v>215</v>
      </c>
    </row>
    <row r="26665" spans="129:129" x14ac:dyDescent="0.2">
      <c r="DY26665" s="185" t="s">
        <v>215</v>
      </c>
    </row>
    <row r="26666" spans="129:129" x14ac:dyDescent="0.2">
      <c r="DY26666" s="185" t="s">
        <v>215</v>
      </c>
    </row>
    <row r="26667" spans="129:129" x14ac:dyDescent="0.2">
      <c r="DY26667" s="185" t="s">
        <v>215</v>
      </c>
    </row>
    <row r="26668" spans="129:129" x14ac:dyDescent="0.2">
      <c r="DY26668" s="185" t="s">
        <v>215</v>
      </c>
    </row>
    <row r="26669" spans="129:129" x14ac:dyDescent="0.2">
      <c r="DY26669" s="185" t="s">
        <v>215</v>
      </c>
    </row>
    <row r="26670" spans="129:129" x14ac:dyDescent="0.2">
      <c r="DY26670" s="185" t="s">
        <v>215</v>
      </c>
    </row>
    <row r="26671" spans="129:129" x14ac:dyDescent="0.2">
      <c r="DY26671" s="185" t="s">
        <v>215</v>
      </c>
    </row>
    <row r="26672" spans="129:129" x14ac:dyDescent="0.2">
      <c r="DY26672" s="185" t="s">
        <v>215</v>
      </c>
    </row>
    <row r="26673" spans="129:129" x14ac:dyDescent="0.2">
      <c r="DY26673" s="185" t="s">
        <v>215</v>
      </c>
    </row>
    <row r="26674" spans="129:129" x14ac:dyDescent="0.2">
      <c r="DY26674" s="185" t="s">
        <v>215</v>
      </c>
    </row>
    <row r="26675" spans="129:129" x14ac:dyDescent="0.2">
      <c r="DY26675" s="185" t="s">
        <v>215</v>
      </c>
    </row>
    <row r="26676" spans="129:129" x14ac:dyDescent="0.2">
      <c r="DY26676" s="185" t="s">
        <v>215</v>
      </c>
    </row>
    <row r="26677" spans="129:129" x14ac:dyDescent="0.2">
      <c r="DY26677" s="185" t="s">
        <v>215</v>
      </c>
    </row>
    <row r="26678" spans="129:129" x14ac:dyDescent="0.2">
      <c r="DY26678" s="185" t="s">
        <v>215</v>
      </c>
    </row>
    <row r="26679" spans="129:129" x14ac:dyDescent="0.2">
      <c r="DY26679" s="185" t="s">
        <v>215</v>
      </c>
    </row>
    <row r="26680" spans="129:129" x14ac:dyDescent="0.2">
      <c r="DY26680" s="185" t="s">
        <v>215</v>
      </c>
    </row>
    <row r="26681" spans="129:129" x14ac:dyDescent="0.2">
      <c r="DY26681" s="185" t="s">
        <v>215</v>
      </c>
    </row>
    <row r="26682" spans="129:129" x14ac:dyDescent="0.2">
      <c r="DY26682" s="185" t="s">
        <v>215</v>
      </c>
    </row>
    <row r="26683" spans="129:129" x14ac:dyDescent="0.2">
      <c r="DY26683" s="185" t="s">
        <v>215</v>
      </c>
    </row>
    <row r="26684" spans="129:129" x14ac:dyDescent="0.2">
      <c r="DY26684" s="185" t="s">
        <v>215</v>
      </c>
    </row>
    <row r="26685" spans="129:129" x14ac:dyDescent="0.2">
      <c r="DY26685" s="185" t="s">
        <v>215</v>
      </c>
    </row>
    <row r="26686" spans="129:129" x14ac:dyDescent="0.2">
      <c r="DY26686" s="185" t="s">
        <v>215</v>
      </c>
    </row>
    <row r="26687" spans="129:129" x14ac:dyDescent="0.2">
      <c r="DY26687" s="185" t="s">
        <v>215</v>
      </c>
    </row>
    <row r="26688" spans="129:129" x14ac:dyDescent="0.2">
      <c r="DY26688" s="185" t="s">
        <v>215</v>
      </c>
    </row>
    <row r="26689" spans="129:129" x14ac:dyDescent="0.2">
      <c r="DY26689" s="185" t="s">
        <v>215</v>
      </c>
    </row>
    <row r="26690" spans="129:129" x14ac:dyDescent="0.2">
      <c r="DY26690" s="185" t="s">
        <v>215</v>
      </c>
    </row>
    <row r="26691" spans="129:129" x14ac:dyDescent="0.2">
      <c r="DY26691" s="185" t="s">
        <v>215</v>
      </c>
    </row>
    <row r="26692" spans="129:129" x14ac:dyDescent="0.2">
      <c r="DY26692" s="185" t="s">
        <v>215</v>
      </c>
    </row>
    <row r="26693" spans="129:129" x14ac:dyDescent="0.2">
      <c r="DY26693" s="185" t="s">
        <v>215</v>
      </c>
    </row>
    <row r="26694" spans="129:129" x14ac:dyDescent="0.2">
      <c r="DY26694" s="185" t="s">
        <v>215</v>
      </c>
    </row>
    <row r="26695" spans="129:129" x14ac:dyDescent="0.2">
      <c r="DY26695" s="185" t="s">
        <v>215</v>
      </c>
    </row>
    <row r="26696" spans="129:129" x14ac:dyDescent="0.2">
      <c r="DY26696" s="185" t="s">
        <v>215</v>
      </c>
    </row>
    <row r="26697" spans="129:129" x14ac:dyDescent="0.2">
      <c r="DY26697" s="185" t="s">
        <v>215</v>
      </c>
    </row>
    <row r="26698" spans="129:129" x14ac:dyDescent="0.2">
      <c r="DY26698" s="185" t="s">
        <v>215</v>
      </c>
    </row>
    <row r="26699" spans="129:129" x14ac:dyDescent="0.2">
      <c r="DY26699" s="185" t="s">
        <v>215</v>
      </c>
    </row>
    <row r="26700" spans="129:129" x14ac:dyDescent="0.2">
      <c r="DY26700" s="185" t="s">
        <v>215</v>
      </c>
    </row>
    <row r="26701" spans="129:129" x14ac:dyDescent="0.2">
      <c r="DY26701" s="185" t="s">
        <v>215</v>
      </c>
    </row>
    <row r="26702" spans="129:129" x14ac:dyDescent="0.2">
      <c r="DY26702" s="185" t="s">
        <v>215</v>
      </c>
    </row>
    <row r="26703" spans="129:129" x14ac:dyDescent="0.2">
      <c r="DY26703" s="185" t="s">
        <v>215</v>
      </c>
    </row>
    <row r="26704" spans="129:129" x14ac:dyDescent="0.2">
      <c r="DY26704" s="185" t="s">
        <v>215</v>
      </c>
    </row>
    <row r="26705" spans="129:129" x14ac:dyDescent="0.2">
      <c r="DY26705" s="185" t="s">
        <v>215</v>
      </c>
    </row>
    <row r="26706" spans="129:129" x14ac:dyDescent="0.2">
      <c r="DY26706" s="185" t="s">
        <v>215</v>
      </c>
    </row>
    <row r="26707" spans="129:129" x14ac:dyDescent="0.2">
      <c r="DY26707" s="185" t="s">
        <v>215</v>
      </c>
    </row>
    <row r="26708" spans="129:129" x14ac:dyDescent="0.2">
      <c r="DY26708" s="185" t="s">
        <v>215</v>
      </c>
    </row>
    <row r="26709" spans="129:129" x14ac:dyDescent="0.2">
      <c r="DY26709" s="185" t="s">
        <v>215</v>
      </c>
    </row>
    <row r="26710" spans="129:129" x14ac:dyDescent="0.2">
      <c r="DY26710" s="185" t="s">
        <v>215</v>
      </c>
    </row>
    <row r="26711" spans="129:129" x14ac:dyDescent="0.2">
      <c r="DY26711" s="185" t="s">
        <v>215</v>
      </c>
    </row>
    <row r="26712" spans="129:129" x14ac:dyDescent="0.2">
      <c r="DY26712" s="185" t="s">
        <v>215</v>
      </c>
    </row>
    <row r="26713" spans="129:129" x14ac:dyDescent="0.2">
      <c r="DY26713" s="185" t="s">
        <v>215</v>
      </c>
    </row>
    <row r="26714" spans="129:129" x14ac:dyDescent="0.2">
      <c r="DY26714" s="185" t="s">
        <v>215</v>
      </c>
    </row>
    <row r="26715" spans="129:129" x14ac:dyDescent="0.2">
      <c r="DY26715" s="185" t="s">
        <v>215</v>
      </c>
    </row>
    <row r="26716" spans="129:129" x14ac:dyDescent="0.2">
      <c r="DY26716" s="185" t="s">
        <v>215</v>
      </c>
    </row>
    <row r="26717" spans="129:129" x14ac:dyDescent="0.2">
      <c r="DY26717" s="185" t="s">
        <v>215</v>
      </c>
    </row>
    <row r="26718" spans="129:129" x14ac:dyDescent="0.2">
      <c r="DY26718" s="185" t="s">
        <v>215</v>
      </c>
    </row>
    <row r="26719" spans="129:129" x14ac:dyDescent="0.2">
      <c r="DY26719" s="185" t="s">
        <v>215</v>
      </c>
    </row>
    <row r="26720" spans="129:129" x14ac:dyDescent="0.2">
      <c r="DY26720" s="185" t="s">
        <v>215</v>
      </c>
    </row>
    <row r="26721" spans="129:129" x14ac:dyDescent="0.2">
      <c r="DY26721" s="185" t="s">
        <v>215</v>
      </c>
    </row>
    <row r="26722" spans="129:129" x14ac:dyDescent="0.2">
      <c r="DY26722" s="185" t="s">
        <v>215</v>
      </c>
    </row>
    <row r="26723" spans="129:129" x14ac:dyDescent="0.2">
      <c r="DY26723" s="185" t="s">
        <v>215</v>
      </c>
    </row>
    <row r="26724" spans="129:129" x14ac:dyDescent="0.2">
      <c r="DY26724" s="185" t="s">
        <v>215</v>
      </c>
    </row>
    <row r="26725" spans="129:129" x14ac:dyDescent="0.2">
      <c r="DY26725" s="185" t="s">
        <v>215</v>
      </c>
    </row>
    <row r="26726" spans="129:129" x14ac:dyDescent="0.2">
      <c r="DY26726" s="185" t="s">
        <v>215</v>
      </c>
    </row>
    <row r="26727" spans="129:129" x14ac:dyDescent="0.2">
      <c r="DY26727" s="185" t="s">
        <v>215</v>
      </c>
    </row>
    <row r="26728" spans="129:129" x14ac:dyDescent="0.2">
      <c r="DY26728" s="185" t="s">
        <v>215</v>
      </c>
    </row>
    <row r="26729" spans="129:129" x14ac:dyDescent="0.2">
      <c r="DY26729" s="185" t="s">
        <v>215</v>
      </c>
    </row>
    <row r="26730" spans="129:129" x14ac:dyDescent="0.2">
      <c r="DY26730" s="185" t="s">
        <v>215</v>
      </c>
    </row>
    <row r="26731" spans="129:129" x14ac:dyDescent="0.2">
      <c r="DY26731" s="185" t="s">
        <v>215</v>
      </c>
    </row>
    <row r="26732" spans="129:129" x14ac:dyDescent="0.2">
      <c r="DY26732" s="185" t="s">
        <v>215</v>
      </c>
    </row>
    <row r="26733" spans="129:129" x14ac:dyDescent="0.2">
      <c r="DY26733" s="185" t="s">
        <v>215</v>
      </c>
    </row>
    <row r="26734" spans="129:129" x14ac:dyDescent="0.2">
      <c r="DY26734" s="185" t="s">
        <v>215</v>
      </c>
    </row>
    <row r="26735" spans="129:129" x14ac:dyDescent="0.2">
      <c r="DY26735" s="185" t="s">
        <v>215</v>
      </c>
    </row>
    <row r="26736" spans="129:129" x14ac:dyDescent="0.2">
      <c r="DY26736" s="185" t="s">
        <v>215</v>
      </c>
    </row>
    <row r="26737" spans="129:129" x14ac:dyDescent="0.2">
      <c r="DY26737" s="185" t="s">
        <v>215</v>
      </c>
    </row>
    <row r="26738" spans="129:129" x14ac:dyDescent="0.2">
      <c r="DY26738" s="185" t="s">
        <v>215</v>
      </c>
    </row>
    <row r="26739" spans="129:129" x14ac:dyDescent="0.2">
      <c r="DY26739" s="185" t="s">
        <v>215</v>
      </c>
    </row>
    <row r="26740" spans="129:129" x14ac:dyDescent="0.2">
      <c r="DY26740" s="185" t="s">
        <v>215</v>
      </c>
    </row>
    <row r="26741" spans="129:129" x14ac:dyDescent="0.2">
      <c r="DY26741" s="185" t="s">
        <v>215</v>
      </c>
    </row>
    <row r="26742" spans="129:129" x14ac:dyDescent="0.2">
      <c r="DY26742" s="185" t="s">
        <v>215</v>
      </c>
    </row>
    <row r="26743" spans="129:129" x14ac:dyDescent="0.2">
      <c r="DY26743" s="185" t="s">
        <v>215</v>
      </c>
    </row>
    <row r="26744" spans="129:129" x14ac:dyDescent="0.2">
      <c r="DY26744" s="185" t="s">
        <v>215</v>
      </c>
    </row>
    <row r="26745" spans="129:129" x14ac:dyDescent="0.2">
      <c r="DY26745" s="185" t="s">
        <v>215</v>
      </c>
    </row>
    <row r="26746" spans="129:129" x14ac:dyDescent="0.2">
      <c r="DY26746" s="185" t="s">
        <v>215</v>
      </c>
    </row>
    <row r="26747" spans="129:129" x14ac:dyDescent="0.2">
      <c r="DY26747" s="185" t="s">
        <v>215</v>
      </c>
    </row>
    <row r="26748" spans="129:129" x14ac:dyDescent="0.2">
      <c r="DY26748" s="185" t="s">
        <v>215</v>
      </c>
    </row>
    <row r="26749" spans="129:129" x14ac:dyDescent="0.2">
      <c r="DY26749" s="185" t="s">
        <v>215</v>
      </c>
    </row>
    <row r="26750" spans="129:129" x14ac:dyDescent="0.2">
      <c r="DY26750" s="185" t="s">
        <v>215</v>
      </c>
    </row>
    <row r="26751" spans="129:129" x14ac:dyDescent="0.2">
      <c r="DY26751" s="185" t="s">
        <v>215</v>
      </c>
    </row>
    <row r="26752" spans="129:129" x14ac:dyDescent="0.2">
      <c r="DY26752" s="185" t="s">
        <v>215</v>
      </c>
    </row>
    <row r="26753" spans="129:129" x14ac:dyDescent="0.2">
      <c r="DY26753" s="185" t="s">
        <v>215</v>
      </c>
    </row>
    <row r="26754" spans="129:129" x14ac:dyDescent="0.2">
      <c r="DY26754" s="185" t="s">
        <v>215</v>
      </c>
    </row>
    <row r="26755" spans="129:129" x14ac:dyDescent="0.2">
      <c r="DY26755" s="185" t="s">
        <v>215</v>
      </c>
    </row>
    <row r="26756" spans="129:129" x14ac:dyDescent="0.2">
      <c r="DY26756" s="185" t="s">
        <v>215</v>
      </c>
    </row>
    <row r="26757" spans="129:129" x14ac:dyDescent="0.2">
      <c r="DY26757" s="185" t="s">
        <v>215</v>
      </c>
    </row>
    <row r="26758" spans="129:129" x14ac:dyDescent="0.2">
      <c r="DY26758" s="185" t="s">
        <v>215</v>
      </c>
    </row>
    <row r="26759" spans="129:129" x14ac:dyDescent="0.2">
      <c r="DY26759" s="185" t="s">
        <v>215</v>
      </c>
    </row>
    <row r="26760" spans="129:129" x14ac:dyDescent="0.2">
      <c r="DY26760" s="185" t="s">
        <v>215</v>
      </c>
    </row>
    <row r="26761" spans="129:129" x14ac:dyDescent="0.2">
      <c r="DY26761" s="185" t="s">
        <v>215</v>
      </c>
    </row>
    <row r="26762" spans="129:129" x14ac:dyDescent="0.2">
      <c r="DY26762" s="185" t="s">
        <v>215</v>
      </c>
    </row>
    <row r="26763" spans="129:129" x14ac:dyDescent="0.2">
      <c r="DY26763" s="185" t="s">
        <v>215</v>
      </c>
    </row>
    <row r="26764" spans="129:129" x14ac:dyDescent="0.2">
      <c r="DY26764" s="185" t="s">
        <v>215</v>
      </c>
    </row>
    <row r="26765" spans="129:129" x14ac:dyDescent="0.2">
      <c r="DY26765" s="185" t="s">
        <v>215</v>
      </c>
    </row>
    <row r="26766" spans="129:129" x14ac:dyDescent="0.2">
      <c r="DY26766" s="185" t="s">
        <v>215</v>
      </c>
    </row>
    <row r="26767" spans="129:129" x14ac:dyDescent="0.2">
      <c r="DY26767" s="185" t="s">
        <v>215</v>
      </c>
    </row>
    <row r="26768" spans="129:129" x14ac:dyDescent="0.2">
      <c r="DY26768" s="185" t="s">
        <v>215</v>
      </c>
    </row>
    <row r="26769" spans="129:129" x14ac:dyDescent="0.2">
      <c r="DY26769" s="185" t="s">
        <v>215</v>
      </c>
    </row>
    <row r="26770" spans="129:129" x14ac:dyDescent="0.2">
      <c r="DY26770" s="185" t="s">
        <v>215</v>
      </c>
    </row>
    <row r="26771" spans="129:129" x14ac:dyDescent="0.2">
      <c r="DY26771" s="185" t="s">
        <v>215</v>
      </c>
    </row>
    <row r="26772" spans="129:129" x14ac:dyDescent="0.2">
      <c r="DY26772" s="185" t="s">
        <v>215</v>
      </c>
    </row>
    <row r="26773" spans="129:129" x14ac:dyDescent="0.2">
      <c r="DY26773" s="185" t="s">
        <v>215</v>
      </c>
    </row>
    <row r="26774" spans="129:129" x14ac:dyDescent="0.2">
      <c r="DY26774" s="185" t="s">
        <v>215</v>
      </c>
    </row>
    <row r="26775" spans="129:129" x14ac:dyDescent="0.2">
      <c r="DY26775" s="185" t="s">
        <v>215</v>
      </c>
    </row>
    <row r="26776" spans="129:129" x14ac:dyDescent="0.2">
      <c r="DY26776" s="185" t="s">
        <v>215</v>
      </c>
    </row>
    <row r="26777" spans="129:129" x14ac:dyDescent="0.2">
      <c r="DY26777" s="185" t="s">
        <v>215</v>
      </c>
    </row>
    <row r="26778" spans="129:129" x14ac:dyDescent="0.2">
      <c r="DY26778" s="185" t="s">
        <v>215</v>
      </c>
    </row>
    <row r="26779" spans="129:129" x14ac:dyDescent="0.2">
      <c r="DY26779" s="185" t="s">
        <v>215</v>
      </c>
    </row>
    <row r="26780" spans="129:129" x14ac:dyDescent="0.2">
      <c r="DY26780" s="185" t="s">
        <v>215</v>
      </c>
    </row>
    <row r="26781" spans="129:129" x14ac:dyDescent="0.2">
      <c r="DY26781" s="185" t="s">
        <v>215</v>
      </c>
    </row>
    <row r="26782" spans="129:129" x14ac:dyDescent="0.2">
      <c r="DY26782" s="185" t="s">
        <v>215</v>
      </c>
    </row>
    <row r="26783" spans="129:129" x14ac:dyDescent="0.2">
      <c r="DY26783" s="185" t="s">
        <v>215</v>
      </c>
    </row>
    <row r="26784" spans="129:129" x14ac:dyDescent="0.2">
      <c r="DY26784" s="185" t="s">
        <v>215</v>
      </c>
    </row>
    <row r="26785" spans="129:129" x14ac:dyDescent="0.2">
      <c r="DY26785" s="185" t="s">
        <v>215</v>
      </c>
    </row>
    <row r="26786" spans="129:129" x14ac:dyDescent="0.2">
      <c r="DY26786" s="185" t="s">
        <v>215</v>
      </c>
    </row>
    <row r="26787" spans="129:129" x14ac:dyDescent="0.2">
      <c r="DY26787" s="185" t="s">
        <v>215</v>
      </c>
    </row>
    <row r="26788" spans="129:129" x14ac:dyDescent="0.2">
      <c r="DY26788" s="185" t="s">
        <v>215</v>
      </c>
    </row>
    <row r="26789" spans="129:129" x14ac:dyDescent="0.2">
      <c r="DY26789" s="185" t="s">
        <v>215</v>
      </c>
    </row>
    <row r="26790" spans="129:129" x14ac:dyDescent="0.2">
      <c r="DY26790" s="185" t="s">
        <v>215</v>
      </c>
    </row>
    <row r="26791" spans="129:129" x14ac:dyDescent="0.2">
      <c r="DY26791" s="185" t="s">
        <v>215</v>
      </c>
    </row>
    <row r="26792" spans="129:129" x14ac:dyDescent="0.2">
      <c r="DY26792" s="185" t="s">
        <v>215</v>
      </c>
    </row>
    <row r="26793" spans="129:129" x14ac:dyDescent="0.2">
      <c r="DY26793" s="185" t="s">
        <v>215</v>
      </c>
    </row>
    <row r="26794" spans="129:129" x14ac:dyDescent="0.2">
      <c r="DY26794" s="185" t="s">
        <v>215</v>
      </c>
    </row>
    <row r="26795" spans="129:129" x14ac:dyDescent="0.2">
      <c r="DY26795" s="185" t="s">
        <v>215</v>
      </c>
    </row>
    <row r="26796" spans="129:129" x14ac:dyDescent="0.2">
      <c r="DY26796" s="185" t="s">
        <v>215</v>
      </c>
    </row>
    <row r="26797" spans="129:129" x14ac:dyDescent="0.2">
      <c r="DY26797" s="185" t="s">
        <v>215</v>
      </c>
    </row>
    <row r="26798" spans="129:129" x14ac:dyDescent="0.2">
      <c r="DY26798" s="185" t="s">
        <v>215</v>
      </c>
    </row>
    <row r="26799" spans="129:129" x14ac:dyDescent="0.2">
      <c r="DY26799" s="185" t="s">
        <v>215</v>
      </c>
    </row>
    <row r="26800" spans="129:129" x14ac:dyDescent="0.2">
      <c r="DY26800" s="185" t="s">
        <v>215</v>
      </c>
    </row>
    <row r="26801" spans="129:129" x14ac:dyDescent="0.2">
      <c r="DY26801" s="185" t="s">
        <v>215</v>
      </c>
    </row>
    <row r="26802" spans="129:129" x14ac:dyDescent="0.2">
      <c r="DY26802" s="185" t="s">
        <v>215</v>
      </c>
    </row>
    <row r="26803" spans="129:129" x14ac:dyDescent="0.2">
      <c r="DY26803" s="185" t="s">
        <v>215</v>
      </c>
    </row>
    <row r="26804" spans="129:129" x14ac:dyDescent="0.2">
      <c r="DY26804" s="185" t="s">
        <v>215</v>
      </c>
    </row>
    <row r="26805" spans="129:129" x14ac:dyDescent="0.2">
      <c r="DY26805" s="185" t="s">
        <v>215</v>
      </c>
    </row>
    <row r="26806" spans="129:129" x14ac:dyDescent="0.2">
      <c r="DY26806" s="185" t="s">
        <v>215</v>
      </c>
    </row>
    <row r="26807" spans="129:129" x14ac:dyDescent="0.2">
      <c r="DY26807" s="185" t="s">
        <v>215</v>
      </c>
    </row>
    <row r="26808" spans="129:129" x14ac:dyDescent="0.2">
      <c r="DY26808" s="185" t="s">
        <v>215</v>
      </c>
    </row>
    <row r="26809" spans="129:129" x14ac:dyDescent="0.2">
      <c r="DY26809" s="185" t="s">
        <v>215</v>
      </c>
    </row>
    <row r="26810" spans="129:129" x14ac:dyDescent="0.2">
      <c r="DY26810" s="185" t="s">
        <v>215</v>
      </c>
    </row>
    <row r="26811" spans="129:129" x14ac:dyDescent="0.2">
      <c r="DY26811" s="185" t="s">
        <v>215</v>
      </c>
    </row>
    <row r="26812" spans="129:129" x14ac:dyDescent="0.2">
      <c r="DY26812" s="185" t="s">
        <v>215</v>
      </c>
    </row>
    <row r="26813" spans="129:129" x14ac:dyDescent="0.2">
      <c r="DY26813" s="185" t="s">
        <v>215</v>
      </c>
    </row>
    <row r="26814" spans="129:129" x14ac:dyDescent="0.2">
      <c r="DY26814" s="185" t="s">
        <v>215</v>
      </c>
    </row>
    <row r="26815" spans="129:129" x14ac:dyDescent="0.2">
      <c r="DY26815" s="185" t="s">
        <v>215</v>
      </c>
    </row>
    <row r="26816" spans="129:129" x14ac:dyDescent="0.2">
      <c r="DY26816" s="185" t="s">
        <v>215</v>
      </c>
    </row>
    <row r="26817" spans="129:129" x14ac:dyDescent="0.2">
      <c r="DY26817" s="185" t="s">
        <v>215</v>
      </c>
    </row>
    <row r="26818" spans="129:129" x14ac:dyDescent="0.2">
      <c r="DY26818" s="185" t="s">
        <v>215</v>
      </c>
    </row>
    <row r="26819" spans="129:129" x14ac:dyDescent="0.2">
      <c r="DY26819" s="185" t="s">
        <v>215</v>
      </c>
    </row>
    <row r="26820" spans="129:129" x14ac:dyDescent="0.2">
      <c r="DY26820" s="185" t="s">
        <v>215</v>
      </c>
    </row>
    <row r="26821" spans="129:129" x14ac:dyDescent="0.2">
      <c r="DY26821" s="185" t="s">
        <v>215</v>
      </c>
    </row>
    <row r="26822" spans="129:129" x14ac:dyDescent="0.2">
      <c r="DY26822" s="185" t="s">
        <v>215</v>
      </c>
    </row>
    <row r="26823" spans="129:129" x14ac:dyDescent="0.2">
      <c r="DY26823" s="185" t="s">
        <v>215</v>
      </c>
    </row>
    <row r="26824" spans="129:129" x14ac:dyDescent="0.2">
      <c r="DY26824" s="185" t="s">
        <v>215</v>
      </c>
    </row>
    <row r="26825" spans="129:129" x14ac:dyDescent="0.2">
      <c r="DY26825" s="185" t="s">
        <v>215</v>
      </c>
    </row>
    <row r="26826" spans="129:129" x14ac:dyDescent="0.2">
      <c r="DY26826" s="185" t="s">
        <v>215</v>
      </c>
    </row>
    <row r="26827" spans="129:129" x14ac:dyDescent="0.2">
      <c r="DY26827" s="185" t="s">
        <v>215</v>
      </c>
    </row>
    <row r="26828" spans="129:129" x14ac:dyDescent="0.2">
      <c r="DY26828" s="185" t="s">
        <v>215</v>
      </c>
    </row>
    <row r="26829" spans="129:129" x14ac:dyDescent="0.2">
      <c r="DY26829" s="185" t="s">
        <v>215</v>
      </c>
    </row>
    <row r="26830" spans="129:129" x14ac:dyDescent="0.2">
      <c r="DY26830" s="185" t="s">
        <v>215</v>
      </c>
    </row>
    <row r="26831" spans="129:129" x14ac:dyDescent="0.2">
      <c r="DY26831" s="185" t="s">
        <v>215</v>
      </c>
    </row>
    <row r="26832" spans="129:129" x14ac:dyDescent="0.2">
      <c r="DY26832" s="185" t="s">
        <v>215</v>
      </c>
    </row>
    <row r="26833" spans="129:129" x14ac:dyDescent="0.2">
      <c r="DY26833" s="185" t="s">
        <v>215</v>
      </c>
    </row>
    <row r="26834" spans="129:129" x14ac:dyDescent="0.2">
      <c r="DY26834" s="185" t="s">
        <v>215</v>
      </c>
    </row>
    <row r="26835" spans="129:129" x14ac:dyDescent="0.2">
      <c r="DY26835" s="185" t="s">
        <v>215</v>
      </c>
    </row>
    <row r="26836" spans="129:129" x14ac:dyDescent="0.2">
      <c r="DY26836" s="185" t="s">
        <v>215</v>
      </c>
    </row>
    <row r="26837" spans="129:129" x14ac:dyDescent="0.2">
      <c r="DY26837" s="185" t="s">
        <v>215</v>
      </c>
    </row>
    <row r="26838" spans="129:129" x14ac:dyDescent="0.2">
      <c r="DY26838" s="185" t="s">
        <v>215</v>
      </c>
    </row>
    <row r="26839" spans="129:129" x14ac:dyDescent="0.2">
      <c r="DY26839" s="185" t="s">
        <v>215</v>
      </c>
    </row>
    <row r="26840" spans="129:129" x14ac:dyDescent="0.2">
      <c r="DY26840" s="185" t="s">
        <v>215</v>
      </c>
    </row>
    <row r="26841" spans="129:129" x14ac:dyDescent="0.2">
      <c r="DY26841" s="185" t="s">
        <v>215</v>
      </c>
    </row>
    <row r="26842" spans="129:129" x14ac:dyDescent="0.2">
      <c r="DY26842" s="185" t="s">
        <v>215</v>
      </c>
    </row>
    <row r="26843" spans="129:129" x14ac:dyDescent="0.2">
      <c r="DY26843" s="185" t="s">
        <v>215</v>
      </c>
    </row>
    <row r="26844" spans="129:129" x14ac:dyDescent="0.2">
      <c r="DY26844" s="185" t="s">
        <v>215</v>
      </c>
    </row>
    <row r="26845" spans="129:129" x14ac:dyDescent="0.2">
      <c r="DY26845" s="185" t="s">
        <v>215</v>
      </c>
    </row>
    <row r="26846" spans="129:129" x14ac:dyDescent="0.2">
      <c r="DY26846" s="185" t="s">
        <v>215</v>
      </c>
    </row>
    <row r="26847" spans="129:129" x14ac:dyDescent="0.2">
      <c r="DY26847" s="185" t="s">
        <v>215</v>
      </c>
    </row>
    <row r="26848" spans="129:129" x14ac:dyDescent="0.2">
      <c r="DY26848" s="185" t="s">
        <v>215</v>
      </c>
    </row>
    <row r="26849" spans="129:129" x14ac:dyDescent="0.2">
      <c r="DY26849" s="185" t="s">
        <v>215</v>
      </c>
    </row>
    <row r="26850" spans="129:129" x14ac:dyDescent="0.2">
      <c r="DY26850" s="185" t="s">
        <v>215</v>
      </c>
    </row>
    <row r="26851" spans="129:129" x14ac:dyDescent="0.2">
      <c r="DY26851" s="185" t="s">
        <v>215</v>
      </c>
    </row>
    <row r="26852" spans="129:129" x14ac:dyDescent="0.2">
      <c r="DY26852" s="185" t="s">
        <v>215</v>
      </c>
    </row>
    <row r="26853" spans="129:129" x14ac:dyDescent="0.2">
      <c r="DY26853" s="185" t="s">
        <v>215</v>
      </c>
    </row>
    <row r="26854" spans="129:129" x14ac:dyDescent="0.2">
      <c r="DY26854" s="185" t="s">
        <v>215</v>
      </c>
    </row>
    <row r="26855" spans="129:129" x14ac:dyDescent="0.2">
      <c r="DY26855" s="185" t="s">
        <v>215</v>
      </c>
    </row>
    <row r="26856" spans="129:129" x14ac:dyDescent="0.2">
      <c r="DY26856" s="185" t="s">
        <v>215</v>
      </c>
    </row>
    <row r="26857" spans="129:129" x14ac:dyDescent="0.2">
      <c r="DY26857" s="185" t="s">
        <v>215</v>
      </c>
    </row>
    <row r="26858" spans="129:129" x14ac:dyDescent="0.2">
      <c r="DY26858" s="185" t="s">
        <v>215</v>
      </c>
    </row>
    <row r="26859" spans="129:129" x14ac:dyDescent="0.2">
      <c r="DY26859" s="185" t="s">
        <v>215</v>
      </c>
    </row>
    <row r="26860" spans="129:129" x14ac:dyDescent="0.2">
      <c r="DY26860" s="185" t="s">
        <v>215</v>
      </c>
    </row>
    <row r="26861" spans="129:129" x14ac:dyDescent="0.2">
      <c r="DY26861" s="185" t="s">
        <v>215</v>
      </c>
    </row>
    <row r="26862" spans="129:129" x14ac:dyDescent="0.2">
      <c r="DY26862" s="185" t="s">
        <v>215</v>
      </c>
    </row>
    <row r="26863" spans="129:129" x14ac:dyDescent="0.2">
      <c r="DY26863" s="185" t="s">
        <v>215</v>
      </c>
    </row>
    <row r="26864" spans="129:129" x14ac:dyDescent="0.2">
      <c r="DY26864" s="185" t="s">
        <v>215</v>
      </c>
    </row>
    <row r="26865" spans="129:129" x14ac:dyDescent="0.2">
      <c r="DY26865" s="185" t="s">
        <v>215</v>
      </c>
    </row>
    <row r="26866" spans="129:129" x14ac:dyDescent="0.2">
      <c r="DY26866" s="185" t="s">
        <v>215</v>
      </c>
    </row>
    <row r="26867" spans="129:129" x14ac:dyDescent="0.2">
      <c r="DY26867" s="185" t="s">
        <v>215</v>
      </c>
    </row>
    <row r="26868" spans="129:129" x14ac:dyDescent="0.2">
      <c r="DY26868" s="185" t="s">
        <v>215</v>
      </c>
    </row>
    <row r="26869" spans="129:129" x14ac:dyDescent="0.2">
      <c r="DY26869" s="185" t="s">
        <v>215</v>
      </c>
    </row>
    <row r="26870" spans="129:129" x14ac:dyDescent="0.2">
      <c r="DY26870" s="185" t="s">
        <v>215</v>
      </c>
    </row>
    <row r="26871" spans="129:129" x14ac:dyDescent="0.2">
      <c r="DY26871" s="185" t="s">
        <v>215</v>
      </c>
    </row>
    <row r="26872" spans="129:129" x14ac:dyDescent="0.2">
      <c r="DY26872" s="185" t="s">
        <v>215</v>
      </c>
    </row>
    <row r="26873" spans="129:129" x14ac:dyDescent="0.2">
      <c r="DY26873" s="185" t="s">
        <v>215</v>
      </c>
    </row>
    <row r="26874" spans="129:129" x14ac:dyDescent="0.2">
      <c r="DY26874" s="185" t="s">
        <v>215</v>
      </c>
    </row>
    <row r="26875" spans="129:129" x14ac:dyDescent="0.2">
      <c r="DY26875" s="185" t="s">
        <v>215</v>
      </c>
    </row>
    <row r="26876" spans="129:129" x14ac:dyDescent="0.2">
      <c r="DY26876" s="185" t="s">
        <v>215</v>
      </c>
    </row>
    <row r="26877" spans="129:129" x14ac:dyDescent="0.2">
      <c r="DY26877" s="185" t="s">
        <v>215</v>
      </c>
    </row>
    <row r="26878" spans="129:129" x14ac:dyDescent="0.2">
      <c r="DY26878" s="185" t="s">
        <v>215</v>
      </c>
    </row>
    <row r="26879" spans="129:129" x14ac:dyDescent="0.2">
      <c r="DY26879" s="185" t="s">
        <v>215</v>
      </c>
    </row>
    <row r="26880" spans="129:129" x14ac:dyDescent="0.2">
      <c r="DY26880" s="185" t="s">
        <v>215</v>
      </c>
    </row>
    <row r="26881" spans="129:129" x14ac:dyDescent="0.2">
      <c r="DY26881" s="185" t="s">
        <v>215</v>
      </c>
    </row>
    <row r="26882" spans="129:129" x14ac:dyDescent="0.2">
      <c r="DY26882" s="185" t="s">
        <v>215</v>
      </c>
    </row>
    <row r="26883" spans="129:129" x14ac:dyDescent="0.2">
      <c r="DY26883" s="185" t="s">
        <v>215</v>
      </c>
    </row>
    <row r="26884" spans="129:129" x14ac:dyDescent="0.2">
      <c r="DY26884" s="185" t="s">
        <v>215</v>
      </c>
    </row>
    <row r="26885" spans="129:129" x14ac:dyDescent="0.2">
      <c r="DY26885" s="185" t="s">
        <v>215</v>
      </c>
    </row>
    <row r="26886" spans="129:129" x14ac:dyDescent="0.2">
      <c r="DY26886" s="185" t="s">
        <v>215</v>
      </c>
    </row>
    <row r="26887" spans="129:129" x14ac:dyDescent="0.2">
      <c r="DY26887" s="185" t="s">
        <v>215</v>
      </c>
    </row>
    <row r="26888" spans="129:129" x14ac:dyDescent="0.2">
      <c r="DY26888" s="185" t="s">
        <v>215</v>
      </c>
    </row>
    <row r="26889" spans="129:129" x14ac:dyDescent="0.2">
      <c r="DY26889" s="185" t="s">
        <v>215</v>
      </c>
    </row>
    <row r="26890" spans="129:129" x14ac:dyDescent="0.2">
      <c r="DY26890" s="185" t="s">
        <v>215</v>
      </c>
    </row>
    <row r="26891" spans="129:129" x14ac:dyDescent="0.2">
      <c r="DY26891" s="185" t="s">
        <v>215</v>
      </c>
    </row>
    <row r="26892" spans="129:129" x14ac:dyDescent="0.2">
      <c r="DY26892" s="185" t="s">
        <v>215</v>
      </c>
    </row>
    <row r="26893" spans="129:129" x14ac:dyDescent="0.2">
      <c r="DY26893" s="185" t="s">
        <v>215</v>
      </c>
    </row>
    <row r="26894" spans="129:129" x14ac:dyDescent="0.2">
      <c r="DY26894" s="185" t="s">
        <v>215</v>
      </c>
    </row>
    <row r="26895" spans="129:129" x14ac:dyDescent="0.2">
      <c r="DY26895" s="185" t="s">
        <v>215</v>
      </c>
    </row>
    <row r="26896" spans="129:129" x14ac:dyDescent="0.2">
      <c r="DY26896" s="185" t="s">
        <v>215</v>
      </c>
    </row>
    <row r="26897" spans="129:129" x14ac:dyDescent="0.2">
      <c r="DY26897" s="185" t="s">
        <v>215</v>
      </c>
    </row>
    <row r="26898" spans="129:129" x14ac:dyDescent="0.2">
      <c r="DY26898" s="185" t="s">
        <v>215</v>
      </c>
    </row>
    <row r="26899" spans="129:129" x14ac:dyDescent="0.2">
      <c r="DY26899" s="185" t="s">
        <v>215</v>
      </c>
    </row>
    <row r="26900" spans="129:129" x14ac:dyDescent="0.2">
      <c r="DY26900" s="185" t="s">
        <v>215</v>
      </c>
    </row>
    <row r="26901" spans="129:129" x14ac:dyDescent="0.2">
      <c r="DY26901" s="185" t="s">
        <v>215</v>
      </c>
    </row>
    <row r="26902" spans="129:129" x14ac:dyDescent="0.2">
      <c r="DY26902" s="185" t="s">
        <v>215</v>
      </c>
    </row>
    <row r="26903" spans="129:129" x14ac:dyDescent="0.2">
      <c r="DY26903" s="185" t="s">
        <v>215</v>
      </c>
    </row>
    <row r="26904" spans="129:129" x14ac:dyDescent="0.2">
      <c r="DY26904" s="185" t="s">
        <v>215</v>
      </c>
    </row>
    <row r="26905" spans="129:129" x14ac:dyDescent="0.2">
      <c r="DY26905" s="185" t="s">
        <v>215</v>
      </c>
    </row>
    <row r="26906" spans="129:129" x14ac:dyDescent="0.2">
      <c r="DY26906" s="185" t="s">
        <v>215</v>
      </c>
    </row>
    <row r="26907" spans="129:129" x14ac:dyDescent="0.2">
      <c r="DY26907" s="185" t="s">
        <v>215</v>
      </c>
    </row>
    <row r="26908" spans="129:129" x14ac:dyDescent="0.2">
      <c r="DY26908" s="185" t="s">
        <v>215</v>
      </c>
    </row>
    <row r="26909" spans="129:129" x14ac:dyDescent="0.2">
      <c r="DY26909" s="185" t="s">
        <v>215</v>
      </c>
    </row>
    <row r="26910" spans="129:129" x14ac:dyDescent="0.2">
      <c r="DY26910" s="185" t="s">
        <v>215</v>
      </c>
    </row>
    <row r="26911" spans="129:129" x14ac:dyDescent="0.2">
      <c r="DY26911" s="185" t="s">
        <v>215</v>
      </c>
    </row>
    <row r="26912" spans="129:129" x14ac:dyDescent="0.2">
      <c r="DY26912" s="185" t="s">
        <v>215</v>
      </c>
    </row>
    <row r="26913" spans="129:129" x14ac:dyDescent="0.2">
      <c r="DY26913" s="185" t="s">
        <v>215</v>
      </c>
    </row>
    <row r="26914" spans="129:129" x14ac:dyDescent="0.2">
      <c r="DY26914" s="185" t="s">
        <v>215</v>
      </c>
    </row>
    <row r="26915" spans="129:129" x14ac:dyDescent="0.2">
      <c r="DY26915" s="185" t="s">
        <v>215</v>
      </c>
    </row>
    <row r="26916" spans="129:129" x14ac:dyDescent="0.2">
      <c r="DY26916" s="185" t="s">
        <v>215</v>
      </c>
    </row>
    <row r="26917" spans="129:129" x14ac:dyDescent="0.2">
      <c r="DY26917" s="185" t="s">
        <v>215</v>
      </c>
    </row>
    <row r="26918" spans="129:129" x14ac:dyDescent="0.2">
      <c r="DY26918" s="185" t="s">
        <v>215</v>
      </c>
    </row>
    <row r="26919" spans="129:129" x14ac:dyDescent="0.2">
      <c r="DY26919" s="185" t="s">
        <v>215</v>
      </c>
    </row>
    <row r="26920" spans="129:129" x14ac:dyDescent="0.2">
      <c r="DY26920" s="185" t="s">
        <v>215</v>
      </c>
    </row>
    <row r="26921" spans="129:129" x14ac:dyDescent="0.2">
      <c r="DY26921" s="185" t="s">
        <v>215</v>
      </c>
    </row>
    <row r="26922" spans="129:129" x14ac:dyDescent="0.2">
      <c r="DY26922" s="185" t="s">
        <v>215</v>
      </c>
    </row>
    <row r="26923" spans="129:129" x14ac:dyDescent="0.2">
      <c r="DY26923" s="185" t="s">
        <v>215</v>
      </c>
    </row>
    <row r="26924" spans="129:129" x14ac:dyDescent="0.2">
      <c r="DY26924" s="185" t="s">
        <v>215</v>
      </c>
    </row>
    <row r="26925" spans="129:129" x14ac:dyDescent="0.2">
      <c r="DY26925" s="185" t="s">
        <v>215</v>
      </c>
    </row>
    <row r="26926" spans="129:129" x14ac:dyDescent="0.2">
      <c r="DY26926" s="185" t="s">
        <v>215</v>
      </c>
    </row>
    <row r="26927" spans="129:129" x14ac:dyDescent="0.2">
      <c r="DY26927" s="185" t="s">
        <v>215</v>
      </c>
    </row>
    <row r="26928" spans="129:129" x14ac:dyDescent="0.2">
      <c r="DY26928" s="185" t="s">
        <v>215</v>
      </c>
    </row>
    <row r="26929" spans="129:129" x14ac:dyDescent="0.2">
      <c r="DY26929" s="185" t="s">
        <v>215</v>
      </c>
    </row>
    <row r="26930" spans="129:129" x14ac:dyDescent="0.2">
      <c r="DY26930" s="185" t="s">
        <v>215</v>
      </c>
    </row>
    <row r="26931" spans="129:129" x14ac:dyDescent="0.2">
      <c r="DY26931" s="185" t="s">
        <v>215</v>
      </c>
    </row>
    <row r="26932" spans="129:129" x14ac:dyDescent="0.2">
      <c r="DY26932" s="185" t="s">
        <v>215</v>
      </c>
    </row>
    <row r="26933" spans="129:129" x14ac:dyDescent="0.2">
      <c r="DY26933" s="185" t="s">
        <v>215</v>
      </c>
    </row>
    <row r="26934" spans="129:129" x14ac:dyDescent="0.2">
      <c r="DY26934" s="185" t="s">
        <v>215</v>
      </c>
    </row>
    <row r="26935" spans="129:129" x14ac:dyDescent="0.2">
      <c r="DY26935" s="185" t="s">
        <v>215</v>
      </c>
    </row>
    <row r="26936" spans="129:129" x14ac:dyDescent="0.2">
      <c r="DY26936" s="185" t="s">
        <v>215</v>
      </c>
    </row>
    <row r="26937" spans="129:129" x14ac:dyDescent="0.2">
      <c r="DY26937" s="185" t="s">
        <v>215</v>
      </c>
    </row>
    <row r="26938" spans="129:129" x14ac:dyDescent="0.2">
      <c r="DY26938" s="185" t="s">
        <v>215</v>
      </c>
    </row>
    <row r="26939" spans="129:129" x14ac:dyDescent="0.2">
      <c r="DY26939" s="185" t="s">
        <v>215</v>
      </c>
    </row>
    <row r="26940" spans="129:129" x14ac:dyDescent="0.2">
      <c r="DY26940" s="185" t="s">
        <v>215</v>
      </c>
    </row>
    <row r="26941" spans="129:129" x14ac:dyDescent="0.2">
      <c r="DY26941" s="185" t="s">
        <v>215</v>
      </c>
    </row>
    <row r="26942" spans="129:129" x14ac:dyDescent="0.2">
      <c r="DY26942" s="185" t="s">
        <v>215</v>
      </c>
    </row>
    <row r="26943" spans="129:129" x14ac:dyDescent="0.2">
      <c r="DY26943" s="185" t="s">
        <v>215</v>
      </c>
    </row>
    <row r="26944" spans="129:129" x14ac:dyDescent="0.2">
      <c r="DY26944" s="185" t="s">
        <v>215</v>
      </c>
    </row>
    <row r="26945" spans="129:129" x14ac:dyDescent="0.2">
      <c r="DY26945" s="185" t="s">
        <v>215</v>
      </c>
    </row>
    <row r="26946" spans="129:129" x14ac:dyDescent="0.2">
      <c r="DY26946" s="185" t="s">
        <v>215</v>
      </c>
    </row>
    <row r="26947" spans="129:129" x14ac:dyDescent="0.2">
      <c r="DY26947" s="185" t="s">
        <v>215</v>
      </c>
    </row>
    <row r="26948" spans="129:129" x14ac:dyDescent="0.2">
      <c r="DY26948" s="185" t="s">
        <v>215</v>
      </c>
    </row>
    <row r="26949" spans="129:129" x14ac:dyDescent="0.2">
      <c r="DY26949" s="185" t="s">
        <v>215</v>
      </c>
    </row>
    <row r="26950" spans="129:129" x14ac:dyDescent="0.2">
      <c r="DY26950" s="185" t="s">
        <v>215</v>
      </c>
    </row>
    <row r="26951" spans="129:129" x14ac:dyDescent="0.2">
      <c r="DY26951" s="185" t="s">
        <v>215</v>
      </c>
    </row>
    <row r="26952" spans="129:129" x14ac:dyDescent="0.2">
      <c r="DY26952" s="185" t="s">
        <v>215</v>
      </c>
    </row>
    <row r="26953" spans="129:129" x14ac:dyDescent="0.2">
      <c r="DY26953" s="185" t="s">
        <v>215</v>
      </c>
    </row>
    <row r="26954" spans="129:129" x14ac:dyDescent="0.2">
      <c r="DY26954" s="185" t="s">
        <v>215</v>
      </c>
    </row>
    <row r="26955" spans="129:129" x14ac:dyDescent="0.2">
      <c r="DY26955" s="185" t="s">
        <v>215</v>
      </c>
    </row>
    <row r="26956" spans="129:129" x14ac:dyDescent="0.2">
      <c r="DY26956" s="185" t="s">
        <v>215</v>
      </c>
    </row>
    <row r="26957" spans="129:129" x14ac:dyDescent="0.2">
      <c r="DY26957" s="185" t="s">
        <v>215</v>
      </c>
    </row>
    <row r="26958" spans="129:129" x14ac:dyDescent="0.2">
      <c r="DY26958" s="185" t="s">
        <v>215</v>
      </c>
    </row>
    <row r="26959" spans="129:129" x14ac:dyDescent="0.2">
      <c r="DY26959" s="185" t="s">
        <v>215</v>
      </c>
    </row>
    <row r="26960" spans="129:129" x14ac:dyDescent="0.2">
      <c r="DY26960" s="185" t="s">
        <v>215</v>
      </c>
    </row>
    <row r="26961" spans="129:129" x14ac:dyDescent="0.2">
      <c r="DY26961" s="185" t="s">
        <v>215</v>
      </c>
    </row>
    <row r="26962" spans="129:129" x14ac:dyDescent="0.2">
      <c r="DY26962" s="185" t="s">
        <v>215</v>
      </c>
    </row>
    <row r="26963" spans="129:129" x14ac:dyDescent="0.2">
      <c r="DY26963" s="185" t="s">
        <v>215</v>
      </c>
    </row>
    <row r="26964" spans="129:129" x14ac:dyDescent="0.2">
      <c r="DY26964" s="185" t="s">
        <v>215</v>
      </c>
    </row>
    <row r="26965" spans="129:129" x14ac:dyDescent="0.2">
      <c r="DY26965" s="185" t="s">
        <v>215</v>
      </c>
    </row>
    <row r="26966" spans="129:129" x14ac:dyDescent="0.2">
      <c r="DY26966" s="185" t="s">
        <v>215</v>
      </c>
    </row>
    <row r="26967" spans="129:129" x14ac:dyDescent="0.2">
      <c r="DY26967" s="185" t="s">
        <v>215</v>
      </c>
    </row>
    <row r="26968" spans="129:129" x14ac:dyDescent="0.2">
      <c r="DY26968" s="185" t="s">
        <v>215</v>
      </c>
    </row>
    <row r="26969" spans="129:129" x14ac:dyDescent="0.2">
      <c r="DY26969" s="185" t="s">
        <v>215</v>
      </c>
    </row>
    <row r="26970" spans="129:129" x14ac:dyDescent="0.2">
      <c r="DY26970" s="185" t="s">
        <v>215</v>
      </c>
    </row>
    <row r="26971" spans="129:129" x14ac:dyDescent="0.2">
      <c r="DY26971" s="185" t="s">
        <v>215</v>
      </c>
    </row>
    <row r="26972" spans="129:129" x14ac:dyDescent="0.2">
      <c r="DY26972" s="185" t="s">
        <v>215</v>
      </c>
    </row>
    <row r="26973" spans="129:129" x14ac:dyDescent="0.2">
      <c r="DY26973" s="185" t="s">
        <v>215</v>
      </c>
    </row>
    <row r="26974" spans="129:129" x14ac:dyDescent="0.2">
      <c r="DY26974" s="185" t="s">
        <v>215</v>
      </c>
    </row>
    <row r="26975" spans="129:129" x14ac:dyDescent="0.2">
      <c r="DY26975" s="185" t="s">
        <v>215</v>
      </c>
    </row>
    <row r="26976" spans="129:129" x14ac:dyDescent="0.2">
      <c r="DY26976" s="185" t="s">
        <v>215</v>
      </c>
    </row>
    <row r="26977" spans="129:129" x14ac:dyDescent="0.2">
      <c r="DY26977" s="185" t="s">
        <v>215</v>
      </c>
    </row>
    <row r="26978" spans="129:129" x14ac:dyDescent="0.2">
      <c r="DY26978" s="185" t="s">
        <v>215</v>
      </c>
    </row>
    <row r="26979" spans="129:129" x14ac:dyDescent="0.2">
      <c r="DY26979" s="185" t="s">
        <v>215</v>
      </c>
    </row>
    <row r="26980" spans="129:129" x14ac:dyDescent="0.2">
      <c r="DY26980" s="185" t="s">
        <v>215</v>
      </c>
    </row>
    <row r="26981" spans="129:129" x14ac:dyDescent="0.2">
      <c r="DY26981" s="185" t="s">
        <v>215</v>
      </c>
    </row>
    <row r="26982" spans="129:129" x14ac:dyDescent="0.2">
      <c r="DY26982" s="185" t="s">
        <v>215</v>
      </c>
    </row>
    <row r="26983" spans="129:129" x14ac:dyDescent="0.2">
      <c r="DY26983" s="185" t="s">
        <v>215</v>
      </c>
    </row>
    <row r="26984" spans="129:129" x14ac:dyDescent="0.2">
      <c r="DY26984" s="185" t="s">
        <v>215</v>
      </c>
    </row>
    <row r="26985" spans="129:129" x14ac:dyDescent="0.2">
      <c r="DY26985" s="185" t="s">
        <v>215</v>
      </c>
    </row>
    <row r="26986" spans="129:129" x14ac:dyDescent="0.2">
      <c r="DY26986" s="185" t="s">
        <v>215</v>
      </c>
    </row>
    <row r="26987" spans="129:129" x14ac:dyDescent="0.2">
      <c r="DY26987" s="185" t="s">
        <v>215</v>
      </c>
    </row>
    <row r="26988" spans="129:129" x14ac:dyDescent="0.2">
      <c r="DY26988" s="185" t="s">
        <v>215</v>
      </c>
    </row>
    <row r="26989" spans="129:129" x14ac:dyDescent="0.2">
      <c r="DY26989" s="185" t="s">
        <v>215</v>
      </c>
    </row>
    <row r="26990" spans="129:129" x14ac:dyDescent="0.2">
      <c r="DY26990" s="185" t="s">
        <v>215</v>
      </c>
    </row>
    <row r="26991" spans="129:129" x14ac:dyDescent="0.2">
      <c r="DY26991" s="185" t="s">
        <v>215</v>
      </c>
    </row>
    <row r="26992" spans="129:129" x14ac:dyDescent="0.2">
      <c r="DY26992" s="185" t="s">
        <v>215</v>
      </c>
    </row>
    <row r="26993" spans="129:129" x14ac:dyDescent="0.2">
      <c r="DY26993" s="185" t="s">
        <v>215</v>
      </c>
    </row>
    <row r="26994" spans="129:129" x14ac:dyDescent="0.2">
      <c r="DY26994" s="185" t="s">
        <v>215</v>
      </c>
    </row>
    <row r="26995" spans="129:129" x14ac:dyDescent="0.2">
      <c r="DY26995" s="185" t="s">
        <v>215</v>
      </c>
    </row>
    <row r="26996" spans="129:129" x14ac:dyDescent="0.2">
      <c r="DY26996" s="185" t="s">
        <v>215</v>
      </c>
    </row>
    <row r="26997" spans="129:129" x14ac:dyDescent="0.2">
      <c r="DY26997" s="185" t="s">
        <v>215</v>
      </c>
    </row>
    <row r="26998" spans="129:129" x14ac:dyDescent="0.2">
      <c r="DY26998" s="185" t="s">
        <v>215</v>
      </c>
    </row>
    <row r="26999" spans="129:129" x14ac:dyDescent="0.2">
      <c r="DY26999" s="185" t="s">
        <v>215</v>
      </c>
    </row>
    <row r="27000" spans="129:129" x14ac:dyDescent="0.2">
      <c r="DY27000" s="185" t="s">
        <v>215</v>
      </c>
    </row>
    <row r="27001" spans="129:129" x14ac:dyDescent="0.2">
      <c r="DY27001" s="185" t="s">
        <v>215</v>
      </c>
    </row>
    <row r="27002" spans="129:129" x14ac:dyDescent="0.2">
      <c r="DY27002" s="185" t="s">
        <v>215</v>
      </c>
    </row>
    <row r="27003" spans="129:129" x14ac:dyDescent="0.2">
      <c r="DY27003" s="185" t="s">
        <v>215</v>
      </c>
    </row>
    <row r="27004" spans="129:129" x14ac:dyDescent="0.2">
      <c r="DY27004" s="185" t="s">
        <v>215</v>
      </c>
    </row>
    <row r="27005" spans="129:129" x14ac:dyDescent="0.2">
      <c r="DY27005" s="185" t="s">
        <v>215</v>
      </c>
    </row>
    <row r="27006" spans="129:129" x14ac:dyDescent="0.2">
      <c r="DY27006" s="185" t="s">
        <v>215</v>
      </c>
    </row>
    <row r="27007" spans="129:129" x14ac:dyDescent="0.2">
      <c r="DY27007" s="185" t="s">
        <v>215</v>
      </c>
    </row>
    <row r="27008" spans="129:129" x14ac:dyDescent="0.2">
      <c r="DY27008" s="185" t="s">
        <v>215</v>
      </c>
    </row>
    <row r="27009" spans="129:129" x14ac:dyDescent="0.2">
      <c r="DY27009" s="185" t="s">
        <v>215</v>
      </c>
    </row>
    <row r="27010" spans="129:129" x14ac:dyDescent="0.2">
      <c r="DY27010" s="185" t="s">
        <v>215</v>
      </c>
    </row>
    <row r="27011" spans="129:129" x14ac:dyDescent="0.2">
      <c r="DY27011" s="185" t="s">
        <v>215</v>
      </c>
    </row>
    <row r="27012" spans="129:129" x14ac:dyDescent="0.2">
      <c r="DY27012" s="185" t="s">
        <v>215</v>
      </c>
    </row>
    <row r="27013" spans="129:129" x14ac:dyDescent="0.2">
      <c r="DY27013" s="185" t="s">
        <v>215</v>
      </c>
    </row>
    <row r="27014" spans="129:129" x14ac:dyDescent="0.2">
      <c r="DY27014" s="185" t="s">
        <v>215</v>
      </c>
    </row>
    <row r="27015" spans="129:129" x14ac:dyDescent="0.2">
      <c r="DY27015" s="185" t="s">
        <v>215</v>
      </c>
    </row>
    <row r="27016" spans="129:129" x14ac:dyDescent="0.2">
      <c r="DY27016" s="185" t="s">
        <v>215</v>
      </c>
    </row>
    <row r="27017" spans="129:129" x14ac:dyDescent="0.2">
      <c r="DY27017" s="185" t="s">
        <v>215</v>
      </c>
    </row>
    <row r="27018" spans="129:129" x14ac:dyDescent="0.2">
      <c r="DY27018" s="185" t="s">
        <v>215</v>
      </c>
    </row>
    <row r="27019" spans="129:129" x14ac:dyDescent="0.2">
      <c r="DY27019" s="185" t="s">
        <v>215</v>
      </c>
    </row>
    <row r="27020" spans="129:129" x14ac:dyDescent="0.2">
      <c r="DY27020" s="185" t="s">
        <v>215</v>
      </c>
    </row>
    <row r="27021" spans="129:129" x14ac:dyDescent="0.2">
      <c r="DY27021" s="185" t="s">
        <v>215</v>
      </c>
    </row>
    <row r="27022" spans="129:129" x14ac:dyDescent="0.2">
      <c r="DY27022" s="185" t="s">
        <v>215</v>
      </c>
    </row>
    <row r="27023" spans="129:129" x14ac:dyDescent="0.2">
      <c r="DY27023" s="185" t="s">
        <v>215</v>
      </c>
    </row>
    <row r="27024" spans="129:129" x14ac:dyDescent="0.2">
      <c r="DY27024" s="185" t="s">
        <v>215</v>
      </c>
    </row>
    <row r="27025" spans="129:129" x14ac:dyDescent="0.2">
      <c r="DY27025" s="185" t="s">
        <v>215</v>
      </c>
    </row>
    <row r="27026" spans="129:129" x14ac:dyDescent="0.2">
      <c r="DY27026" s="185" t="s">
        <v>215</v>
      </c>
    </row>
    <row r="27027" spans="129:129" x14ac:dyDescent="0.2">
      <c r="DY27027" s="185" t="s">
        <v>215</v>
      </c>
    </row>
    <row r="27028" spans="129:129" x14ac:dyDescent="0.2">
      <c r="DY27028" s="185" t="s">
        <v>215</v>
      </c>
    </row>
    <row r="27029" spans="129:129" x14ac:dyDescent="0.2">
      <c r="DY27029" s="185" t="s">
        <v>215</v>
      </c>
    </row>
    <row r="27030" spans="129:129" x14ac:dyDescent="0.2">
      <c r="DY27030" s="185" t="s">
        <v>215</v>
      </c>
    </row>
    <row r="27031" spans="129:129" x14ac:dyDescent="0.2">
      <c r="DY27031" s="185" t="s">
        <v>215</v>
      </c>
    </row>
    <row r="27032" spans="129:129" x14ac:dyDescent="0.2">
      <c r="DY27032" s="185" t="s">
        <v>215</v>
      </c>
    </row>
    <row r="27033" spans="129:129" x14ac:dyDescent="0.2">
      <c r="DY27033" s="185" t="s">
        <v>215</v>
      </c>
    </row>
    <row r="27034" spans="129:129" x14ac:dyDescent="0.2">
      <c r="DY27034" s="185" t="s">
        <v>215</v>
      </c>
    </row>
    <row r="27035" spans="129:129" x14ac:dyDescent="0.2">
      <c r="DY27035" s="185" t="s">
        <v>215</v>
      </c>
    </row>
    <row r="27036" spans="129:129" x14ac:dyDescent="0.2">
      <c r="DY27036" s="185" t="s">
        <v>215</v>
      </c>
    </row>
    <row r="27037" spans="129:129" x14ac:dyDescent="0.2">
      <c r="DY27037" s="185" t="s">
        <v>215</v>
      </c>
    </row>
    <row r="27038" spans="129:129" x14ac:dyDescent="0.2">
      <c r="DY27038" s="185" t="s">
        <v>215</v>
      </c>
    </row>
    <row r="27039" spans="129:129" x14ac:dyDescent="0.2">
      <c r="DY27039" s="185" t="s">
        <v>215</v>
      </c>
    </row>
    <row r="27040" spans="129:129" x14ac:dyDescent="0.2">
      <c r="DY27040" s="185" t="s">
        <v>215</v>
      </c>
    </row>
    <row r="27041" spans="129:129" x14ac:dyDescent="0.2">
      <c r="DY27041" s="185" t="s">
        <v>215</v>
      </c>
    </row>
    <row r="27042" spans="129:129" x14ac:dyDescent="0.2">
      <c r="DY27042" s="185" t="s">
        <v>215</v>
      </c>
    </row>
    <row r="27043" spans="129:129" x14ac:dyDescent="0.2">
      <c r="DY27043" s="185" t="s">
        <v>215</v>
      </c>
    </row>
    <row r="27044" spans="129:129" x14ac:dyDescent="0.2">
      <c r="DY27044" s="185" t="s">
        <v>215</v>
      </c>
    </row>
    <row r="27045" spans="129:129" x14ac:dyDescent="0.2">
      <c r="DY27045" s="185" t="s">
        <v>215</v>
      </c>
    </row>
    <row r="27046" spans="129:129" x14ac:dyDescent="0.2">
      <c r="DY27046" s="185" t="s">
        <v>215</v>
      </c>
    </row>
    <row r="27047" spans="129:129" x14ac:dyDescent="0.2">
      <c r="DY27047" s="185" t="s">
        <v>215</v>
      </c>
    </row>
    <row r="27048" spans="129:129" x14ac:dyDescent="0.2">
      <c r="DY27048" s="185" t="s">
        <v>215</v>
      </c>
    </row>
    <row r="27049" spans="129:129" x14ac:dyDescent="0.2">
      <c r="DY27049" s="185" t="s">
        <v>215</v>
      </c>
    </row>
    <row r="27050" spans="129:129" x14ac:dyDescent="0.2">
      <c r="DY27050" s="185" t="s">
        <v>215</v>
      </c>
    </row>
    <row r="27051" spans="129:129" x14ac:dyDescent="0.2">
      <c r="DY27051" s="185" t="s">
        <v>215</v>
      </c>
    </row>
    <row r="27052" spans="129:129" x14ac:dyDescent="0.2">
      <c r="DY27052" s="185" t="s">
        <v>215</v>
      </c>
    </row>
    <row r="27053" spans="129:129" x14ac:dyDescent="0.2">
      <c r="DY27053" s="185" t="s">
        <v>215</v>
      </c>
    </row>
    <row r="27054" spans="129:129" x14ac:dyDescent="0.2">
      <c r="DY27054" s="185" t="s">
        <v>215</v>
      </c>
    </row>
    <row r="27055" spans="129:129" x14ac:dyDescent="0.2">
      <c r="DY27055" s="185" t="s">
        <v>215</v>
      </c>
    </row>
    <row r="27056" spans="129:129" x14ac:dyDescent="0.2">
      <c r="DY27056" s="185" t="s">
        <v>215</v>
      </c>
    </row>
    <row r="27057" spans="129:129" x14ac:dyDescent="0.2">
      <c r="DY27057" s="185" t="s">
        <v>215</v>
      </c>
    </row>
    <row r="27058" spans="129:129" x14ac:dyDescent="0.2">
      <c r="DY27058" s="185" t="s">
        <v>215</v>
      </c>
    </row>
    <row r="27059" spans="129:129" x14ac:dyDescent="0.2">
      <c r="DY27059" s="185" t="s">
        <v>215</v>
      </c>
    </row>
    <row r="27060" spans="129:129" x14ac:dyDescent="0.2">
      <c r="DY27060" s="185" t="s">
        <v>215</v>
      </c>
    </row>
    <row r="27061" spans="129:129" x14ac:dyDescent="0.2">
      <c r="DY27061" s="185" t="s">
        <v>215</v>
      </c>
    </row>
    <row r="27062" spans="129:129" x14ac:dyDescent="0.2">
      <c r="DY27062" s="185" t="s">
        <v>215</v>
      </c>
    </row>
    <row r="27063" spans="129:129" x14ac:dyDescent="0.2">
      <c r="DY27063" s="185" t="s">
        <v>215</v>
      </c>
    </row>
    <row r="27064" spans="129:129" x14ac:dyDescent="0.2">
      <c r="DY27064" s="185" t="s">
        <v>215</v>
      </c>
    </row>
    <row r="27065" spans="129:129" x14ac:dyDescent="0.2">
      <c r="DY27065" s="185" t="s">
        <v>215</v>
      </c>
    </row>
    <row r="27066" spans="129:129" x14ac:dyDescent="0.2">
      <c r="DY27066" s="185" t="s">
        <v>215</v>
      </c>
    </row>
    <row r="27067" spans="129:129" x14ac:dyDescent="0.2">
      <c r="DY27067" s="185" t="s">
        <v>215</v>
      </c>
    </row>
    <row r="27068" spans="129:129" x14ac:dyDescent="0.2">
      <c r="DY27068" s="185" t="s">
        <v>215</v>
      </c>
    </row>
    <row r="27069" spans="129:129" x14ac:dyDescent="0.2">
      <c r="DY27069" s="185" t="s">
        <v>215</v>
      </c>
    </row>
    <row r="27070" spans="129:129" x14ac:dyDescent="0.2">
      <c r="DY27070" s="185" t="s">
        <v>215</v>
      </c>
    </row>
    <row r="27071" spans="129:129" x14ac:dyDescent="0.2">
      <c r="DY27071" s="185" t="s">
        <v>215</v>
      </c>
    </row>
    <row r="27072" spans="129:129" x14ac:dyDescent="0.2">
      <c r="DY27072" s="185" t="s">
        <v>215</v>
      </c>
    </row>
    <row r="27073" spans="129:129" x14ac:dyDescent="0.2">
      <c r="DY27073" s="185" t="s">
        <v>215</v>
      </c>
    </row>
    <row r="27074" spans="129:129" x14ac:dyDescent="0.2">
      <c r="DY27074" s="185" t="s">
        <v>215</v>
      </c>
    </row>
    <row r="27075" spans="129:129" x14ac:dyDescent="0.2">
      <c r="DY27075" s="185" t="s">
        <v>215</v>
      </c>
    </row>
    <row r="27076" spans="129:129" x14ac:dyDescent="0.2">
      <c r="DY27076" s="185" t="s">
        <v>215</v>
      </c>
    </row>
    <row r="27077" spans="129:129" x14ac:dyDescent="0.2">
      <c r="DY27077" s="185" t="s">
        <v>215</v>
      </c>
    </row>
    <row r="27078" spans="129:129" x14ac:dyDescent="0.2">
      <c r="DY27078" s="185" t="s">
        <v>215</v>
      </c>
    </row>
    <row r="27079" spans="129:129" x14ac:dyDescent="0.2">
      <c r="DY27079" s="185" t="s">
        <v>215</v>
      </c>
    </row>
    <row r="27080" spans="129:129" x14ac:dyDescent="0.2">
      <c r="DY27080" s="185" t="s">
        <v>215</v>
      </c>
    </row>
    <row r="27081" spans="129:129" x14ac:dyDescent="0.2">
      <c r="DY27081" s="185" t="s">
        <v>215</v>
      </c>
    </row>
    <row r="27082" spans="129:129" x14ac:dyDescent="0.2">
      <c r="DY27082" s="185" t="s">
        <v>215</v>
      </c>
    </row>
    <row r="27083" spans="129:129" x14ac:dyDescent="0.2">
      <c r="DY27083" s="185" t="s">
        <v>215</v>
      </c>
    </row>
    <row r="27084" spans="129:129" x14ac:dyDescent="0.2">
      <c r="DY27084" s="185" t="s">
        <v>215</v>
      </c>
    </row>
    <row r="27085" spans="129:129" x14ac:dyDescent="0.2">
      <c r="DY27085" s="185" t="s">
        <v>215</v>
      </c>
    </row>
    <row r="27086" spans="129:129" x14ac:dyDescent="0.2">
      <c r="DY27086" s="185" t="s">
        <v>215</v>
      </c>
    </row>
    <row r="27087" spans="129:129" x14ac:dyDescent="0.2">
      <c r="DY27087" s="185" t="s">
        <v>215</v>
      </c>
    </row>
    <row r="27088" spans="129:129" x14ac:dyDescent="0.2">
      <c r="DY27088" s="185" t="s">
        <v>215</v>
      </c>
    </row>
    <row r="27089" spans="129:129" x14ac:dyDescent="0.2">
      <c r="DY27089" s="185" t="s">
        <v>215</v>
      </c>
    </row>
    <row r="27090" spans="129:129" x14ac:dyDescent="0.2">
      <c r="DY27090" s="185" t="s">
        <v>215</v>
      </c>
    </row>
    <row r="27091" spans="129:129" x14ac:dyDescent="0.2">
      <c r="DY27091" s="185" t="s">
        <v>215</v>
      </c>
    </row>
    <row r="27092" spans="129:129" x14ac:dyDescent="0.2">
      <c r="DY27092" s="185" t="s">
        <v>215</v>
      </c>
    </row>
    <row r="27093" spans="129:129" x14ac:dyDescent="0.2">
      <c r="DY27093" s="185" t="s">
        <v>215</v>
      </c>
    </row>
    <row r="27094" spans="129:129" x14ac:dyDescent="0.2">
      <c r="DY27094" s="185" t="s">
        <v>215</v>
      </c>
    </row>
    <row r="27095" spans="129:129" x14ac:dyDescent="0.2">
      <c r="DY27095" s="185" t="s">
        <v>215</v>
      </c>
    </row>
    <row r="27096" spans="129:129" x14ac:dyDescent="0.2">
      <c r="DY27096" s="185" t="s">
        <v>215</v>
      </c>
    </row>
    <row r="27097" spans="129:129" x14ac:dyDescent="0.2">
      <c r="DY27097" s="185" t="s">
        <v>215</v>
      </c>
    </row>
    <row r="27098" spans="129:129" x14ac:dyDescent="0.2">
      <c r="DY27098" s="185" t="s">
        <v>215</v>
      </c>
    </row>
    <row r="27099" spans="129:129" x14ac:dyDescent="0.2">
      <c r="DY27099" s="185" t="s">
        <v>215</v>
      </c>
    </row>
    <row r="27100" spans="129:129" x14ac:dyDescent="0.2">
      <c r="DY27100" s="185" t="s">
        <v>215</v>
      </c>
    </row>
    <row r="27101" spans="129:129" x14ac:dyDescent="0.2">
      <c r="DY27101" s="185" t="s">
        <v>215</v>
      </c>
    </row>
    <row r="27102" spans="129:129" x14ac:dyDescent="0.2">
      <c r="DY27102" s="185" t="s">
        <v>215</v>
      </c>
    </row>
    <row r="27103" spans="129:129" x14ac:dyDescent="0.2">
      <c r="DY27103" s="185" t="s">
        <v>215</v>
      </c>
    </row>
    <row r="27104" spans="129:129" x14ac:dyDescent="0.2">
      <c r="DY27104" s="185" t="s">
        <v>215</v>
      </c>
    </row>
    <row r="27105" spans="129:129" x14ac:dyDescent="0.2">
      <c r="DY27105" s="185" t="s">
        <v>215</v>
      </c>
    </row>
    <row r="27106" spans="129:129" x14ac:dyDescent="0.2">
      <c r="DY27106" s="185" t="s">
        <v>215</v>
      </c>
    </row>
    <row r="27107" spans="129:129" x14ac:dyDescent="0.2">
      <c r="DY27107" s="185" t="s">
        <v>215</v>
      </c>
    </row>
    <row r="27108" spans="129:129" x14ac:dyDescent="0.2">
      <c r="DY27108" s="185" t="s">
        <v>215</v>
      </c>
    </row>
    <row r="27109" spans="129:129" x14ac:dyDescent="0.2">
      <c r="DY27109" s="185" t="s">
        <v>215</v>
      </c>
    </row>
    <row r="27110" spans="129:129" x14ac:dyDescent="0.2">
      <c r="DY27110" s="185" t="s">
        <v>215</v>
      </c>
    </row>
    <row r="27111" spans="129:129" x14ac:dyDescent="0.2">
      <c r="DY27111" s="185" t="s">
        <v>215</v>
      </c>
    </row>
    <row r="27112" spans="129:129" x14ac:dyDescent="0.2">
      <c r="DY27112" s="185" t="s">
        <v>215</v>
      </c>
    </row>
    <row r="27113" spans="129:129" x14ac:dyDescent="0.2">
      <c r="DY27113" s="185" t="s">
        <v>215</v>
      </c>
    </row>
    <row r="27114" spans="129:129" x14ac:dyDescent="0.2">
      <c r="DY27114" s="185" t="s">
        <v>215</v>
      </c>
    </row>
    <row r="27115" spans="129:129" x14ac:dyDescent="0.2">
      <c r="DY27115" s="185" t="s">
        <v>215</v>
      </c>
    </row>
    <row r="27116" spans="129:129" x14ac:dyDescent="0.2">
      <c r="DY27116" s="185" t="s">
        <v>215</v>
      </c>
    </row>
    <row r="27117" spans="129:129" x14ac:dyDescent="0.2">
      <c r="DY27117" s="185" t="s">
        <v>215</v>
      </c>
    </row>
    <row r="27118" spans="129:129" x14ac:dyDescent="0.2">
      <c r="DY27118" s="185" t="s">
        <v>215</v>
      </c>
    </row>
    <row r="27119" spans="129:129" x14ac:dyDescent="0.2">
      <c r="DY27119" s="185" t="s">
        <v>215</v>
      </c>
    </row>
    <row r="27120" spans="129:129" x14ac:dyDescent="0.2">
      <c r="DY27120" s="185" t="s">
        <v>215</v>
      </c>
    </row>
    <row r="27121" spans="129:129" x14ac:dyDescent="0.2">
      <c r="DY27121" s="185" t="s">
        <v>215</v>
      </c>
    </row>
    <row r="27122" spans="129:129" x14ac:dyDescent="0.2">
      <c r="DY27122" s="185" t="s">
        <v>215</v>
      </c>
    </row>
    <row r="27123" spans="129:129" x14ac:dyDescent="0.2">
      <c r="DY27123" s="185" t="s">
        <v>215</v>
      </c>
    </row>
    <row r="27124" spans="129:129" x14ac:dyDescent="0.2">
      <c r="DY27124" s="185" t="s">
        <v>215</v>
      </c>
    </row>
    <row r="27125" spans="129:129" x14ac:dyDescent="0.2">
      <c r="DY27125" s="185" t="s">
        <v>215</v>
      </c>
    </row>
    <row r="27126" spans="129:129" x14ac:dyDescent="0.2">
      <c r="DY27126" s="185" t="s">
        <v>215</v>
      </c>
    </row>
    <row r="27127" spans="129:129" x14ac:dyDescent="0.2">
      <c r="DY27127" s="185" t="s">
        <v>215</v>
      </c>
    </row>
    <row r="27128" spans="129:129" x14ac:dyDescent="0.2">
      <c r="DY27128" s="185" t="s">
        <v>215</v>
      </c>
    </row>
    <row r="27129" spans="129:129" x14ac:dyDescent="0.2">
      <c r="DY27129" s="185" t="s">
        <v>215</v>
      </c>
    </row>
    <row r="27130" spans="129:129" x14ac:dyDescent="0.2">
      <c r="DY27130" s="185" t="s">
        <v>215</v>
      </c>
    </row>
    <row r="27131" spans="129:129" x14ac:dyDescent="0.2">
      <c r="DY27131" s="185" t="s">
        <v>215</v>
      </c>
    </row>
    <row r="27132" spans="129:129" x14ac:dyDescent="0.2">
      <c r="DY27132" s="185" t="s">
        <v>215</v>
      </c>
    </row>
    <row r="27133" spans="129:129" x14ac:dyDescent="0.2">
      <c r="DY27133" s="185" t="s">
        <v>215</v>
      </c>
    </row>
    <row r="27134" spans="129:129" x14ac:dyDescent="0.2">
      <c r="DY27134" s="185" t="s">
        <v>215</v>
      </c>
    </row>
    <row r="27135" spans="129:129" x14ac:dyDescent="0.2">
      <c r="DY27135" s="185" t="s">
        <v>215</v>
      </c>
    </row>
    <row r="27136" spans="129:129" x14ac:dyDescent="0.2">
      <c r="DY27136" s="185" t="s">
        <v>215</v>
      </c>
    </row>
    <row r="27137" spans="129:129" x14ac:dyDescent="0.2">
      <c r="DY27137" s="185" t="s">
        <v>215</v>
      </c>
    </row>
    <row r="27138" spans="129:129" x14ac:dyDescent="0.2">
      <c r="DY27138" s="185" t="s">
        <v>215</v>
      </c>
    </row>
    <row r="27139" spans="129:129" x14ac:dyDescent="0.2">
      <c r="DY27139" s="185" t="s">
        <v>215</v>
      </c>
    </row>
    <row r="27140" spans="129:129" x14ac:dyDescent="0.2">
      <c r="DY27140" s="185" t="s">
        <v>215</v>
      </c>
    </row>
    <row r="27141" spans="129:129" x14ac:dyDescent="0.2">
      <c r="DY27141" s="185" t="s">
        <v>215</v>
      </c>
    </row>
    <row r="27142" spans="129:129" x14ac:dyDescent="0.2">
      <c r="DY27142" s="185" t="s">
        <v>215</v>
      </c>
    </row>
    <row r="27143" spans="129:129" x14ac:dyDescent="0.2">
      <c r="DY27143" s="185" t="s">
        <v>215</v>
      </c>
    </row>
    <row r="27144" spans="129:129" x14ac:dyDescent="0.2">
      <c r="DY27144" s="185" t="s">
        <v>215</v>
      </c>
    </row>
    <row r="27145" spans="129:129" x14ac:dyDescent="0.2">
      <c r="DY27145" s="185" t="s">
        <v>215</v>
      </c>
    </row>
    <row r="27146" spans="129:129" x14ac:dyDescent="0.2">
      <c r="DY27146" s="185" t="s">
        <v>215</v>
      </c>
    </row>
    <row r="27147" spans="129:129" x14ac:dyDescent="0.2">
      <c r="DY27147" s="185" t="s">
        <v>215</v>
      </c>
    </row>
    <row r="27148" spans="129:129" x14ac:dyDescent="0.2">
      <c r="DY27148" s="185" t="s">
        <v>215</v>
      </c>
    </row>
    <row r="27149" spans="129:129" x14ac:dyDescent="0.2">
      <c r="DY27149" s="185" t="s">
        <v>215</v>
      </c>
    </row>
    <row r="27150" spans="129:129" x14ac:dyDescent="0.2">
      <c r="DY27150" s="185" t="s">
        <v>215</v>
      </c>
    </row>
    <row r="27151" spans="129:129" x14ac:dyDescent="0.2">
      <c r="DY27151" s="185" t="s">
        <v>215</v>
      </c>
    </row>
    <row r="27152" spans="129:129" x14ac:dyDescent="0.2">
      <c r="DY27152" s="185" t="s">
        <v>215</v>
      </c>
    </row>
    <row r="27153" spans="129:129" x14ac:dyDescent="0.2">
      <c r="DY27153" s="185" t="s">
        <v>215</v>
      </c>
    </row>
    <row r="27154" spans="129:129" x14ac:dyDescent="0.2">
      <c r="DY27154" s="185" t="s">
        <v>215</v>
      </c>
    </row>
    <row r="27155" spans="129:129" x14ac:dyDescent="0.2">
      <c r="DY27155" s="185" t="s">
        <v>215</v>
      </c>
    </row>
    <row r="27156" spans="129:129" x14ac:dyDescent="0.2">
      <c r="DY27156" s="185" t="s">
        <v>215</v>
      </c>
    </row>
    <row r="27157" spans="129:129" x14ac:dyDescent="0.2">
      <c r="DY27157" s="185" t="s">
        <v>215</v>
      </c>
    </row>
    <row r="27158" spans="129:129" x14ac:dyDescent="0.2">
      <c r="DY27158" s="185" t="s">
        <v>215</v>
      </c>
    </row>
    <row r="27159" spans="129:129" x14ac:dyDescent="0.2">
      <c r="DY27159" s="185" t="s">
        <v>215</v>
      </c>
    </row>
    <row r="27160" spans="129:129" x14ac:dyDescent="0.2">
      <c r="DY27160" s="185" t="s">
        <v>215</v>
      </c>
    </row>
    <row r="27161" spans="129:129" x14ac:dyDescent="0.2">
      <c r="DY27161" s="185" t="s">
        <v>215</v>
      </c>
    </row>
    <row r="27162" spans="129:129" x14ac:dyDescent="0.2">
      <c r="DY27162" s="185" t="s">
        <v>215</v>
      </c>
    </row>
    <row r="27163" spans="129:129" x14ac:dyDescent="0.2">
      <c r="DY27163" s="185" t="s">
        <v>215</v>
      </c>
    </row>
    <row r="27164" spans="129:129" x14ac:dyDescent="0.2">
      <c r="DY27164" s="185" t="s">
        <v>215</v>
      </c>
    </row>
    <row r="27165" spans="129:129" x14ac:dyDescent="0.2">
      <c r="DY27165" s="185" t="s">
        <v>215</v>
      </c>
    </row>
    <row r="27166" spans="129:129" x14ac:dyDescent="0.2">
      <c r="DY27166" s="185" t="s">
        <v>215</v>
      </c>
    </row>
    <row r="27167" spans="129:129" x14ac:dyDescent="0.2">
      <c r="DY27167" s="185" t="s">
        <v>215</v>
      </c>
    </row>
    <row r="27168" spans="129:129" x14ac:dyDescent="0.2">
      <c r="DY27168" s="185" t="s">
        <v>215</v>
      </c>
    </row>
    <row r="27169" spans="129:129" x14ac:dyDescent="0.2">
      <c r="DY27169" s="185" t="s">
        <v>215</v>
      </c>
    </row>
    <row r="27170" spans="129:129" x14ac:dyDescent="0.2">
      <c r="DY27170" s="185" t="s">
        <v>215</v>
      </c>
    </row>
    <row r="27171" spans="129:129" x14ac:dyDescent="0.2">
      <c r="DY27171" s="185" t="s">
        <v>215</v>
      </c>
    </row>
    <row r="27172" spans="129:129" x14ac:dyDescent="0.2">
      <c r="DY27172" s="185" t="s">
        <v>215</v>
      </c>
    </row>
    <row r="27173" spans="129:129" x14ac:dyDescent="0.2">
      <c r="DY27173" s="185" t="s">
        <v>215</v>
      </c>
    </row>
    <row r="27174" spans="129:129" x14ac:dyDescent="0.2">
      <c r="DY27174" s="185" t="s">
        <v>215</v>
      </c>
    </row>
    <row r="27175" spans="129:129" x14ac:dyDescent="0.2">
      <c r="DY27175" s="185" t="s">
        <v>215</v>
      </c>
    </row>
    <row r="27176" spans="129:129" x14ac:dyDescent="0.2">
      <c r="DY27176" s="185" t="s">
        <v>215</v>
      </c>
    </row>
    <row r="27177" spans="129:129" x14ac:dyDescent="0.2">
      <c r="DY27177" s="185" t="s">
        <v>215</v>
      </c>
    </row>
    <row r="27178" spans="129:129" x14ac:dyDescent="0.2">
      <c r="DY27178" s="185" t="s">
        <v>215</v>
      </c>
    </row>
    <row r="27179" spans="129:129" x14ac:dyDescent="0.2">
      <c r="DY27179" s="185" t="s">
        <v>215</v>
      </c>
    </row>
    <row r="27180" spans="129:129" x14ac:dyDescent="0.2">
      <c r="DY27180" s="185" t="s">
        <v>215</v>
      </c>
    </row>
    <row r="27181" spans="129:129" x14ac:dyDescent="0.2">
      <c r="DY27181" s="185" t="s">
        <v>215</v>
      </c>
    </row>
    <row r="27182" spans="129:129" x14ac:dyDescent="0.2">
      <c r="DY27182" s="185" t="s">
        <v>215</v>
      </c>
    </row>
    <row r="27183" spans="129:129" x14ac:dyDescent="0.2">
      <c r="DY27183" s="185" t="s">
        <v>215</v>
      </c>
    </row>
    <row r="27184" spans="129:129" x14ac:dyDescent="0.2">
      <c r="DY27184" s="185" t="s">
        <v>215</v>
      </c>
    </row>
    <row r="27185" spans="129:129" x14ac:dyDescent="0.2">
      <c r="DY27185" s="185" t="s">
        <v>215</v>
      </c>
    </row>
    <row r="27186" spans="129:129" x14ac:dyDescent="0.2">
      <c r="DY27186" s="185" t="s">
        <v>215</v>
      </c>
    </row>
    <row r="27187" spans="129:129" x14ac:dyDescent="0.2">
      <c r="DY27187" s="185" t="s">
        <v>215</v>
      </c>
    </row>
    <row r="27188" spans="129:129" x14ac:dyDescent="0.2">
      <c r="DY27188" s="185" t="s">
        <v>215</v>
      </c>
    </row>
    <row r="27189" spans="129:129" x14ac:dyDescent="0.2">
      <c r="DY27189" s="185" t="s">
        <v>215</v>
      </c>
    </row>
    <row r="27190" spans="129:129" x14ac:dyDescent="0.2">
      <c r="DY27190" s="185" t="s">
        <v>215</v>
      </c>
    </row>
    <row r="27191" spans="129:129" x14ac:dyDescent="0.2">
      <c r="DY27191" s="185" t="s">
        <v>215</v>
      </c>
    </row>
    <row r="27192" spans="129:129" x14ac:dyDescent="0.2">
      <c r="DY27192" s="185" t="s">
        <v>215</v>
      </c>
    </row>
    <row r="27193" spans="129:129" x14ac:dyDescent="0.2">
      <c r="DY27193" s="185" t="s">
        <v>215</v>
      </c>
    </row>
    <row r="27194" spans="129:129" x14ac:dyDescent="0.2">
      <c r="DY27194" s="185" t="s">
        <v>215</v>
      </c>
    </row>
    <row r="27195" spans="129:129" x14ac:dyDescent="0.2">
      <c r="DY27195" s="185" t="s">
        <v>215</v>
      </c>
    </row>
    <row r="27196" spans="129:129" x14ac:dyDescent="0.2">
      <c r="DY27196" s="185" t="s">
        <v>215</v>
      </c>
    </row>
    <row r="27197" spans="129:129" x14ac:dyDescent="0.2">
      <c r="DY27197" s="185" t="s">
        <v>215</v>
      </c>
    </row>
    <row r="27198" spans="129:129" x14ac:dyDescent="0.2">
      <c r="DY27198" s="185" t="s">
        <v>215</v>
      </c>
    </row>
    <row r="27199" spans="129:129" x14ac:dyDescent="0.2">
      <c r="DY27199" s="185" t="s">
        <v>215</v>
      </c>
    </row>
    <row r="27200" spans="129:129" x14ac:dyDescent="0.2">
      <c r="DY27200" s="185" t="s">
        <v>215</v>
      </c>
    </row>
    <row r="27201" spans="129:129" x14ac:dyDescent="0.2">
      <c r="DY27201" s="185" t="s">
        <v>215</v>
      </c>
    </row>
    <row r="27202" spans="129:129" x14ac:dyDescent="0.2">
      <c r="DY27202" s="185" t="s">
        <v>215</v>
      </c>
    </row>
    <row r="27203" spans="129:129" x14ac:dyDescent="0.2">
      <c r="DY27203" s="185" t="s">
        <v>215</v>
      </c>
    </row>
    <row r="27204" spans="129:129" x14ac:dyDescent="0.2">
      <c r="DY27204" s="185" t="s">
        <v>215</v>
      </c>
    </row>
    <row r="27205" spans="129:129" x14ac:dyDescent="0.2">
      <c r="DY27205" s="185" t="s">
        <v>215</v>
      </c>
    </row>
    <row r="27206" spans="129:129" x14ac:dyDescent="0.2">
      <c r="DY27206" s="185" t="s">
        <v>215</v>
      </c>
    </row>
    <row r="27207" spans="129:129" x14ac:dyDescent="0.2">
      <c r="DY27207" s="185" t="s">
        <v>215</v>
      </c>
    </row>
    <row r="27208" spans="129:129" x14ac:dyDescent="0.2">
      <c r="DY27208" s="185" t="s">
        <v>215</v>
      </c>
    </row>
    <row r="27209" spans="129:129" x14ac:dyDescent="0.2">
      <c r="DY27209" s="185" t="s">
        <v>215</v>
      </c>
    </row>
    <row r="27210" spans="129:129" x14ac:dyDescent="0.2">
      <c r="DY27210" s="185" t="s">
        <v>215</v>
      </c>
    </row>
    <row r="27211" spans="129:129" x14ac:dyDescent="0.2">
      <c r="DY27211" s="185" t="s">
        <v>215</v>
      </c>
    </row>
    <row r="27212" spans="129:129" x14ac:dyDescent="0.2">
      <c r="DY27212" s="185" t="s">
        <v>215</v>
      </c>
    </row>
    <row r="27213" spans="129:129" x14ac:dyDescent="0.2">
      <c r="DY27213" s="185" t="s">
        <v>215</v>
      </c>
    </row>
    <row r="27214" spans="129:129" x14ac:dyDescent="0.2">
      <c r="DY27214" s="185" t="s">
        <v>215</v>
      </c>
    </row>
    <row r="27215" spans="129:129" x14ac:dyDescent="0.2">
      <c r="DY27215" s="185" t="s">
        <v>215</v>
      </c>
    </row>
    <row r="27216" spans="129:129" x14ac:dyDescent="0.2">
      <c r="DY27216" s="185" t="s">
        <v>215</v>
      </c>
    </row>
    <row r="27217" spans="129:129" x14ac:dyDescent="0.2">
      <c r="DY27217" s="185" t="s">
        <v>215</v>
      </c>
    </row>
    <row r="27218" spans="129:129" x14ac:dyDescent="0.2">
      <c r="DY27218" s="185" t="s">
        <v>215</v>
      </c>
    </row>
    <row r="27219" spans="129:129" x14ac:dyDescent="0.2">
      <c r="DY27219" s="185" t="s">
        <v>215</v>
      </c>
    </row>
    <row r="27220" spans="129:129" x14ac:dyDescent="0.2">
      <c r="DY27220" s="185" t="s">
        <v>215</v>
      </c>
    </row>
    <row r="27221" spans="129:129" x14ac:dyDescent="0.2">
      <c r="DY27221" s="185" t="s">
        <v>215</v>
      </c>
    </row>
    <row r="27222" spans="129:129" x14ac:dyDescent="0.2">
      <c r="DY27222" s="185" t="s">
        <v>215</v>
      </c>
    </row>
    <row r="27223" spans="129:129" x14ac:dyDescent="0.2">
      <c r="DY27223" s="185" t="s">
        <v>215</v>
      </c>
    </row>
    <row r="27224" spans="129:129" x14ac:dyDescent="0.2">
      <c r="DY27224" s="185" t="s">
        <v>215</v>
      </c>
    </row>
    <row r="27225" spans="129:129" x14ac:dyDescent="0.2">
      <c r="DY27225" s="185" t="s">
        <v>215</v>
      </c>
    </row>
    <row r="27226" spans="129:129" x14ac:dyDescent="0.2">
      <c r="DY27226" s="185" t="s">
        <v>215</v>
      </c>
    </row>
    <row r="27227" spans="129:129" x14ac:dyDescent="0.2">
      <c r="DY27227" s="185" t="s">
        <v>215</v>
      </c>
    </row>
    <row r="27228" spans="129:129" x14ac:dyDescent="0.2">
      <c r="DY27228" s="185" t="s">
        <v>215</v>
      </c>
    </row>
    <row r="27229" spans="129:129" x14ac:dyDescent="0.2">
      <c r="DY27229" s="185" t="s">
        <v>215</v>
      </c>
    </row>
    <row r="27230" spans="129:129" x14ac:dyDescent="0.2">
      <c r="DY27230" s="185" t="s">
        <v>215</v>
      </c>
    </row>
    <row r="27231" spans="129:129" x14ac:dyDescent="0.2">
      <c r="DY27231" s="185" t="s">
        <v>215</v>
      </c>
    </row>
    <row r="27232" spans="129:129" x14ac:dyDescent="0.2">
      <c r="DY27232" s="185" t="s">
        <v>215</v>
      </c>
    </row>
    <row r="27233" spans="129:129" x14ac:dyDescent="0.2">
      <c r="DY27233" s="185" t="s">
        <v>215</v>
      </c>
    </row>
    <row r="27234" spans="129:129" x14ac:dyDescent="0.2">
      <c r="DY27234" s="185" t="s">
        <v>215</v>
      </c>
    </row>
    <row r="27235" spans="129:129" x14ac:dyDescent="0.2">
      <c r="DY27235" s="185" t="s">
        <v>215</v>
      </c>
    </row>
    <row r="27236" spans="129:129" x14ac:dyDescent="0.2">
      <c r="DY27236" s="185" t="s">
        <v>215</v>
      </c>
    </row>
    <row r="27237" spans="129:129" x14ac:dyDescent="0.2">
      <c r="DY27237" s="185" t="s">
        <v>215</v>
      </c>
    </row>
    <row r="27238" spans="129:129" x14ac:dyDescent="0.2">
      <c r="DY27238" s="185" t="s">
        <v>215</v>
      </c>
    </row>
    <row r="27239" spans="129:129" x14ac:dyDescent="0.2">
      <c r="DY27239" s="185" t="s">
        <v>215</v>
      </c>
    </row>
    <row r="27240" spans="129:129" x14ac:dyDescent="0.2">
      <c r="DY27240" s="185" t="s">
        <v>215</v>
      </c>
    </row>
    <row r="27241" spans="129:129" x14ac:dyDescent="0.2">
      <c r="DY27241" s="185" t="s">
        <v>215</v>
      </c>
    </row>
    <row r="27242" spans="129:129" x14ac:dyDescent="0.2">
      <c r="DY27242" s="185" t="s">
        <v>215</v>
      </c>
    </row>
    <row r="27243" spans="129:129" x14ac:dyDescent="0.2">
      <c r="DY27243" s="185" t="s">
        <v>215</v>
      </c>
    </row>
    <row r="27244" spans="129:129" x14ac:dyDescent="0.2">
      <c r="DY27244" s="185" t="s">
        <v>215</v>
      </c>
    </row>
    <row r="27245" spans="129:129" x14ac:dyDescent="0.2">
      <c r="DY27245" s="185" t="s">
        <v>215</v>
      </c>
    </row>
    <row r="27246" spans="129:129" x14ac:dyDescent="0.2">
      <c r="DY27246" s="185" t="s">
        <v>215</v>
      </c>
    </row>
    <row r="27247" spans="129:129" x14ac:dyDescent="0.2">
      <c r="DY27247" s="185" t="s">
        <v>215</v>
      </c>
    </row>
    <row r="27248" spans="129:129" x14ac:dyDescent="0.2">
      <c r="DY27248" s="185" t="s">
        <v>215</v>
      </c>
    </row>
    <row r="27249" spans="129:129" x14ac:dyDescent="0.2">
      <c r="DY27249" s="185" t="s">
        <v>215</v>
      </c>
    </row>
    <row r="27250" spans="129:129" x14ac:dyDescent="0.2">
      <c r="DY27250" s="185" t="s">
        <v>215</v>
      </c>
    </row>
    <row r="27251" spans="129:129" x14ac:dyDescent="0.2">
      <c r="DY27251" s="185" t="s">
        <v>215</v>
      </c>
    </row>
    <row r="27252" spans="129:129" x14ac:dyDescent="0.2">
      <c r="DY27252" s="185" t="s">
        <v>215</v>
      </c>
    </row>
    <row r="27253" spans="129:129" x14ac:dyDescent="0.2">
      <c r="DY27253" s="185" t="s">
        <v>215</v>
      </c>
    </row>
    <row r="27254" spans="129:129" x14ac:dyDescent="0.2">
      <c r="DY27254" s="185" t="s">
        <v>215</v>
      </c>
    </row>
    <row r="27255" spans="129:129" x14ac:dyDescent="0.2">
      <c r="DY27255" s="185" t="s">
        <v>215</v>
      </c>
    </row>
    <row r="27256" spans="129:129" x14ac:dyDescent="0.2">
      <c r="DY27256" s="185" t="s">
        <v>215</v>
      </c>
    </row>
    <row r="27257" spans="129:129" x14ac:dyDescent="0.2">
      <c r="DY27257" s="185" t="s">
        <v>215</v>
      </c>
    </row>
    <row r="27258" spans="129:129" x14ac:dyDescent="0.2">
      <c r="DY27258" s="185" t="s">
        <v>215</v>
      </c>
    </row>
    <row r="27259" spans="129:129" x14ac:dyDescent="0.2">
      <c r="DY27259" s="185" t="s">
        <v>215</v>
      </c>
    </row>
    <row r="27260" spans="129:129" x14ac:dyDescent="0.2">
      <c r="DY27260" s="185" t="s">
        <v>215</v>
      </c>
    </row>
    <row r="27261" spans="129:129" x14ac:dyDescent="0.2">
      <c r="DY27261" s="185" t="s">
        <v>215</v>
      </c>
    </row>
    <row r="27262" spans="129:129" x14ac:dyDescent="0.2">
      <c r="DY27262" s="185" t="s">
        <v>215</v>
      </c>
    </row>
    <row r="27263" spans="129:129" x14ac:dyDescent="0.2">
      <c r="DY27263" s="185" t="s">
        <v>215</v>
      </c>
    </row>
    <row r="27264" spans="129:129" x14ac:dyDescent="0.2">
      <c r="DY27264" s="185" t="s">
        <v>215</v>
      </c>
    </row>
    <row r="27265" spans="129:129" x14ac:dyDescent="0.2">
      <c r="DY27265" s="185" t="s">
        <v>215</v>
      </c>
    </row>
    <row r="27266" spans="129:129" x14ac:dyDescent="0.2">
      <c r="DY27266" s="185" t="s">
        <v>215</v>
      </c>
    </row>
    <row r="27267" spans="129:129" x14ac:dyDescent="0.2">
      <c r="DY27267" s="185" t="s">
        <v>215</v>
      </c>
    </row>
    <row r="27268" spans="129:129" x14ac:dyDescent="0.2">
      <c r="DY27268" s="185" t="s">
        <v>215</v>
      </c>
    </row>
    <row r="27269" spans="129:129" x14ac:dyDescent="0.2">
      <c r="DY27269" s="185" t="s">
        <v>215</v>
      </c>
    </row>
    <row r="27270" spans="129:129" x14ac:dyDescent="0.2">
      <c r="DY27270" s="185" t="s">
        <v>215</v>
      </c>
    </row>
    <row r="27271" spans="129:129" x14ac:dyDescent="0.2">
      <c r="DY27271" s="185" t="s">
        <v>215</v>
      </c>
    </row>
    <row r="27272" spans="129:129" x14ac:dyDescent="0.2">
      <c r="DY27272" s="185" t="s">
        <v>215</v>
      </c>
    </row>
    <row r="27273" spans="129:129" x14ac:dyDescent="0.2">
      <c r="DY27273" s="185" t="s">
        <v>215</v>
      </c>
    </row>
    <row r="27274" spans="129:129" x14ac:dyDescent="0.2">
      <c r="DY27274" s="185" t="s">
        <v>215</v>
      </c>
    </row>
    <row r="27275" spans="129:129" x14ac:dyDescent="0.2">
      <c r="DY27275" s="185" t="s">
        <v>215</v>
      </c>
    </row>
    <row r="27276" spans="129:129" x14ac:dyDescent="0.2">
      <c r="DY27276" s="185" t="s">
        <v>215</v>
      </c>
    </row>
    <row r="27277" spans="129:129" x14ac:dyDescent="0.2">
      <c r="DY27277" s="185" t="s">
        <v>215</v>
      </c>
    </row>
    <row r="27278" spans="129:129" x14ac:dyDescent="0.2">
      <c r="DY27278" s="185" t="s">
        <v>215</v>
      </c>
    </row>
    <row r="27279" spans="129:129" x14ac:dyDescent="0.2">
      <c r="DY27279" s="185" t="s">
        <v>215</v>
      </c>
    </row>
    <row r="27280" spans="129:129" x14ac:dyDescent="0.2">
      <c r="DY27280" s="185" t="s">
        <v>215</v>
      </c>
    </row>
    <row r="27281" spans="129:129" x14ac:dyDescent="0.2">
      <c r="DY27281" s="185" t="s">
        <v>215</v>
      </c>
    </row>
    <row r="27282" spans="129:129" x14ac:dyDescent="0.2">
      <c r="DY27282" s="185" t="s">
        <v>215</v>
      </c>
    </row>
    <row r="27283" spans="129:129" x14ac:dyDescent="0.2">
      <c r="DY27283" s="185" t="s">
        <v>215</v>
      </c>
    </row>
    <row r="27284" spans="129:129" x14ac:dyDescent="0.2">
      <c r="DY27284" s="185" t="s">
        <v>215</v>
      </c>
    </row>
    <row r="27285" spans="129:129" x14ac:dyDescent="0.2">
      <c r="DY27285" s="185" t="s">
        <v>215</v>
      </c>
    </row>
    <row r="27286" spans="129:129" x14ac:dyDescent="0.2">
      <c r="DY27286" s="185" t="s">
        <v>215</v>
      </c>
    </row>
    <row r="27287" spans="129:129" x14ac:dyDescent="0.2">
      <c r="DY27287" s="185" t="s">
        <v>215</v>
      </c>
    </row>
    <row r="27288" spans="129:129" x14ac:dyDescent="0.2">
      <c r="DY27288" s="185" t="s">
        <v>215</v>
      </c>
    </row>
    <row r="27289" spans="129:129" x14ac:dyDescent="0.2">
      <c r="DY27289" s="185" t="s">
        <v>215</v>
      </c>
    </row>
    <row r="27290" spans="129:129" x14ac:dyDescent="0.2">
      <c r="DY27290" s="185" t="s">
        <v>215</v>
      </c>
    </row>
    <row r="27291" spans="129:129" x14ac:dyDescent="0.2">
      <c r="DY27291" s="185" t="s">
        <v>215</v>
      </c>
    </row>
    <row r="27292" spans="129:129" x14ac:dyDescent="0.2">
      <c r="DY27292" s="185" t="s">
        <v>215</v>
      </c>
    </row>
    <row r="27293" spans="129:129" x14ac:dyDescent="0.2">
      <c r="DY27293" s="185" t="s">
        <v>215</v>
      </c>
    </row>
    <row r="27294" spans="129:129" x14ac:dyDescent="0.2">
      <c r="DY27294" s="185" t="s">
        <v>215</v>
      </c>
    </row>
    <row r="27295" spans="129:129" x14ac:dyDescent="0.2">
      <c r="DY27295" s="185" t="s">
        <v>215</v>
      </c>
    </row>
    <row r="27296" spans="129:129" x14ac:dyDescent="0.2">
      <c r="DY27296" s="185" t="s">
        <v>215</v>
      </c>
    </row>
    <row r="27297" spans="129:129" x14ac:dyDescent="0.2">
      <c r="DY27297" s="185" t="s">
        <v>215</v>
      </c>
    </row>
    <row r="27298" spans="129:129" x14ac:dyDescent="0.2">
      <c r="DY27298" s="185" t="s">
        <v>215</v>
      </c>
    </row>
    <row r="27299" spans="129:129" x14ac:dyDescent="0.2">
      <c r="DY27299" s="185" t="s">
        <v>215</v>
      </c>
    </row>
    <row r="27300" spans="129:129" x14ac:dyDescent="0.2">
      <c r="DY27300" s="185" t="s">
        <v>215</v>
      </c>
    </row>
    <row r="27301" spans="129:129" x14ac:dyDescent="0.2">
      <c r="DY27301" s="185" t="s">
        <v>215</v>
      </c>
    </row>
    <row r="27302" spans="129:129" x14ac:dyDescent="0.2">
      <c r="DY27302" s="185" t="s">
        <v>215</v>
      </c>
    </row>
    <row r="27303" spans="129:129" x14ac:dyDescent="0.2">
      <c r="DY27303" s="185" t="s">
        <v>215</v>
      </c>
    </row>
    <row r="27304" spans="129:129" x14ac:dyDescent="0.2">
      <c r="DY27304" s="185" t="s">
        <v>215</v>
      </c>
    </row>
    <row r="27305" spans="129:129" x14ac:dyDescent="0.2">
      <c r="DY27305" s="185" t="s">
        <v>215</v>
      </c>
    </row>
    <row r="27306" spans="129:129" x14ac:dyDescent="0.2">
      <c r="DY27306" s="185" t="s">
        <v>215</v>
      </c>
    </row>
    <row r="27307" spans="129:129" x14ac:dyDescent="0.2">
      <c r="DY27307" s="185" t="s">
        <v>215</v>
      </c>
    </row>
    <row r="27308" spans="129:129" x14ac:dyDescent="0.2">
      <c r="DY27308" s="185" t="s">
        <v>215</v>
      </c>
    </row>
    <row r="27309" spans="129:129" x14ac:dyDescent="0.2">
      <c r="DY27309" s="185" t="s">
        <v>215</v>
      </c>
    </row>
    <row r="27310" spans="129:129" x14ac:dyDescent="0.2">
      <c r="DY27310" s="185" t="s">
        <v>215</v>
      </c>
    </row>
    <row r="27311" spans="129:129" x14ac:dyDescent="0.2">
      <c r="DY27311" s="185" t="s">
        <v>215</v>
      </c>
    </row>
    <row r="27312" spans="129:129" x14ac:dyDescent="0.2">
      <c r="DY27312" s="185" t="s">
        <v>215</v>
      </c>
    </row>
    <row r="27313" spans="129:129" x14ac:dyDescent="0.2">
      <c r="DY27313" s="185" t="s">
        <v>215</v>
      </c>
    </row>
    <row r="27314" spans="129:129" x14ac:dyDescent="0.2">
      <c r="DY27314" s="185" t="s">
        <v>215</v>
      </c>
    </row>
    <row r="27315" spans="129:129" x14ac:dyDescent="0.2">
      <c r="DY27315" s="185" t="s">
        <v>215</v>
      </c>
    </row>
    <row r="27316" spans="129:129" x14ac:dyDescent="0.2">
      <c r="DY27316" s="185" t="s">
        <v>215</v>
      </c>
    </row>
    <row r="27317" spans="129:129" x14ac:dyDescent="0.2">
      <c r="DY27317" s="185" t="s">
        <v>215</v>
      </c>
    </row>
    <row r="27318" spans="129:129" x14ac:dyDescent="0.2">
      <c r="DY27318" s="185" t="s">
        <v>215</v>
      </c>
    </row>
    <row r="27319" spans="129:129" x14ac:dyDescent="0.2">
      <c r="DY27319" s="185" t="s">
        <v>215</v>
      </c>
    </row>
    <row r="27320" spans="129:129" x14ac:dyDescent="0.2">
      <c r="DY27320" s="185" t="s">
        <v>215</v>
      </c>
    </row>
    <row r="27321" spans="129:129" x14ac:dyDescent="0.2">
      <c r="DY27321" s="185" t="s">
        <v>215</v>
      </c>
    </row>
    <row r="27322" spans="129:129" x14ac:dyDescent="0.2">
      <c r="DY27322" s="185" t="s">
        <v>215</v>
      </c>
    </row>
    <row r="27323" spans="129:129" x14ac:dyDescent="0.2">
      <c r="DY27323" s="185" t="s">
        <v>215</v>
      </c>
    </row>
    <row r="27324" spans="129:129" x14ac:dyDescent="0.2">
      <c r="DY27324" s="185" t="s">
        <v>215</v>
      </c>
    </row>
    <row r="27325" spans="129:129" x14ac:dyDescent="0.2">
      <c r="DY27325" s="185" t="s">
        <v>215</v>
      </c>
    </row>
    <row r="27326" spans="129:129" x14ac:dyDescent="0.2">
      <c r="DY27326" s="185" t="s">
        <v>215</v>
      </c>
    </row>
    <row r="27327" spans="129:129" x14ac:dyDescent="0.2">
      <c r="DY27327" s="185" t="s">
        <v>215</v>
      </c>
    </row>
    <row r="27328" spans="129:129" x14ac:dyDescent="0.2">
      <c r="DY27328" s="185" t="s">
        <v>215</v>
      </c>
    </row>
    <row r="27329" spans="129:129" x14ac:dyDescent="0.2">
      <c r="DY27329" s="185" t="s">
        <v>215</v>
      </c>
    </row>
    <row r="27330" spans="129:129" x14ac:dyDescent="0.2">
      <c r="DY27330" s="185" t="s">
        <v>215</v>
      </c>
    </row>
    <row r="27331" spans="129:129" x14ac:dyDescent="0.2">
      <c r="DY27331" s="185" t="s">
        <v>215</v>
      </c>
    </row>
    <row r="27332" spans="129:129" x14ac:dyDescent="0.2">
      <c r="DY27332" s="185" t="s">
        <v>215</v>
      </c>
    </row>
    <row r="27333" spans="129:129" x14ac:dyDescent="0.2">
      <c r="DY27333" s="185" t="s">
        <v>215</v>
      </c>
    </row>
    <row r="27334" spans="129:129" x14ac:dyDescent="0.2">
      <c r="DY27334" s="185" t="s">
        <v>215</v>
      </c>
    </row>
    <row r="27335" spans="129:129" x14ac:dyDescent="0.2">
      <c r="DY27335" s="185" t="s">
        <v>215</v>
      </c>
    </row>
    <row r="27336" spans="129:129" x14ac:dyDescent="0.2">
      <c r="DY27336" s="185" t="s">
        <v>215</v>
      </c>
    </row>
    <row r="27337" spans="129:129" x14ac:dyDescent="0.2">
      <c r="DY27337" s="185" t="s">
        <v>215</v>
      </c>
    </row>
    <row r="27338" spans="129:129" x14ac:dyDescent="0.2">
      <c r="DY27338" s="185" t="s">
        <v>215</v>
      </c>
    </row>
    <row r="27339" spans="129:129" x14ac:dyDescent="0.2">
      <c r="DY27339" s="185" t="s">
        <v>215</v>
      </c>
    </row>
    <row r="27340" spans="129:129" x14ac:dyDescent="0.2">
      <c r="DY27340" s="185" t="s">
        <v>215</v>
      </c>
    </row>
    <row r="27341" spans="129:129" x14ac:dyDescent="0.2">
      <c r="DY27341" s="185" t="s">
        <v>215</v>
      </c>
    </row>
    <row r="27342" spans="129:129" x14ac:dyDescent="0.2">
      <c r="DY27342" s="185" t="s">
        <v>215</v>
      </c>
    </row>
    <row r="27343" spans="129:129" x14ac:dyDescent="0.2">
      <c r="DY27343" s="185" t="s">
        <v>215</v>
      </c>
    </row>
    <row r="27344" spans="129:129" x14ac:dyDescent="0.2">
      <c r="DY27344" s="185" t="s">
        <v>215</v>
      </c>
    </row>
    <row r="27345" spans="129:129" x14ac:dyDescent="0.2">
      <c r="DY27345" s="185" t="s">
        <v>215</v>
      </c>
    </row>
    <row r="27346" spans="129:129" x14ac:dyDescent="0.2">
      <c r="DY27346" s="185" t="s">
        <v>215</v>
      </c>
    </row>
    <row r="27347" spans="129:129" x14ac:dyDescent="0.2">
      <c r="DY27347" s="185" t="s">
        <v>215</v>
      </c>
    </row>
    <row r="27348" spans="129:129" x14ac:dyDescent="0.2">
      <c r="DY27348" s="185" t="s">
        <v>215</v>
      </c>
    </row>
    <row r="27349" spans="129:129" x14ac:dyDescent="0.2">
      <c r="DY27349" s="185" t="s">
        <v>215</v>
      </c>
    </row>
    <row r="27350" spans="129:129" x14ac:dyDescent="0.2">
      <c r="DY27350" s="185" t="s">
        <v>215</v>
      </c>
    </row>
    <row r="27351" spans="129:129" x14ac:dyDescent="0.2">
      <c r="DY27351" s="185" t="s">
        <v>215</v>
      </c>
    </row>
    <row r="27352" spans="129:129" x14ac:dyDescent="0.2">
      <c r="DY27352" s="185" t="s">
        <v>215</v>
      </c>
    </row>
    <row r="27353" spans="129:129" x14ac:dyDescent="0.2">
      <c r="DY27353" s="185" t="s">
        <v>215</v>
      </c>
    </row>
    <row r="27354" spans="129:129" x14ac:dyDescent="0.2">
      <c r="DY27354" s="185" t="s">
        <v>215</v>
      </c>
    </row>
    <row r="27355" spans="129:129" x14ac:dyDescent="0.2">
      <c r="DY27355" s="185" t="s">
        <v>215</v>
      </c>
    </row>
    <row r="27356" spans="129:129" x14ac:dyDescent="0.2">
      <c r="DY27356" s="185" t="s">
        <v>215</v>
      </c>
    </row>
    <row r="27357" spans="129:129" x14ac:dyDescent="0.2">
      <c r="DY27357" s="185" t="s">
        <v>215</v>
      </c>
    </row>
    <row r="27358" spans="129:129" x14ac:dyDescent="0.2">
      <c r="DY27358" s="185" t="s">
        <v>215</v>
      </c>
    </row>
    <row r="27359" spans="129:129" x14ac:dyDescent="0.2">
      <c r="DY27359" s="185" t="s">
        <v>215</v>
      </c>
    </row>
    <row r="27360" spans="129:129" x14ac:dyDescent="0.2">
      <c r="DY27360" s="185" t="s">
        <v>215</v>
      </c>
    </row>
    <row r="27361" spans="129:129" x14ac:dyDescent="0.2">
      <c r="DY27361" s="185" t="s">
        <v>215</v>
      </c>
    </row>
    <row r="27362" spans="129:129" x14ac:dyDescent="0.2">
      <c r="DY27362" s="185" t="s">
        <v>215</v>
      </c>
    </row>
    <row r="27363" spans="129:129" x14ac:dyDescent="0.2">
      <c r="DY27363" s="185" t="s">
        <v>215</v>
      </c>
    </row>
    <row r="27364" spans="129:129" x14ac:dyDescent="0.2">
      <c r="DY27364" s="185" t="s">
        <v>215</v>
      </c>
    </row>
    <row r="27365" spans="129:129" x14ac:dyDescent="0.2">
      <c r="DY27365" s="185" t="s">
        <v>215</v>
      </c>
    </row>
    <row r="27366" spans="129:129" x14ac:dyDescent="0.2">
      <c r="DY27366" s="185" t="s">
        <v>215</v>
      </c>
    </row>
    <row r="27367" spans="129:129" x14ac:dyDescent="0.2">
      <c r="DY27367" s="185" t="s">
        <v>215</v>
      </c>
    </row>
    <row r="27368" spans="129:129" x14ac:dyDescent="0.2">
      <c r="DY27368" s="185" t="s">
        <v>215</v>
      </c>
    </row>
    <row r="27369" spans="129:129" x14ac:dyDescent="0.2">
      <c r="DY27369" s="185" t="s">
        <v>215</v>
      </c>
    </row>
    <row r="27370" spans="129:129" x14ac:dyDescent="0.2">
      <c r="DY27370" s="185" t="s">
        <v>215</v>
      </c>
    </row>
    <row r="27371" spans="129:129" x14ac:dyDescent="0.2">
      <c r="DY27371" s="185" t="s">
        <v>215</v>
      </c>
    </row>
    <row r="27372" spans="129:129" x14ac:dyDescent="0.2">
      <c r="DY27372" s="185" t="s">
        <v>215</v>
      </c>
    </row>
    <row r="27373" spans="129:129" x14ac:dyDescent="0.2">
      <c r="DY27373" s="185" t="s">
        <v>215</v>
      </c>
    </row>
    <row r="27374" spans="129:129" x14ac:dyDescent="0.2">
      <c r="DY27374" s="185" t="s">
        <v>215</v>
      </c>
    </row>
    <row r="27375" spans="129:129" x14ac:dyDescent="0.2">
      <c r="DY27375" s="185" t="s">
        <v>215</v>
      </c>
    </row>
    <row r="27376" spans="129:129" x14ac:dyDescent="0.2">
      <c r="DY27376" s="185" t="s">
        <v>215</v>
      </c>
    </row>
    <row r="27377" spans="129:129" x14ac:dyDescent="0.2">
      <c r="DY27377" s="185" t="s">
        <v>215</v>
      </c>
    </row>
    <row r="27378" spans="129:129" x14ac:dyDescent="0.2">
      <c r="DY27378" s="185" t="s">
        <v>215</v>
      </c>
    </row>
    <row r="27379" spans="129:129" x14ac:dyDescent="0.2">
      <c r="DY27379" s="185" t="s">
        <v>215</v>
      </c>
    </row>
    <row r="27380" spans="129:129" x14ac:dyDescent="0.2">
      <c r="DY27380" s="185" t="s">
        <v>215</v>
      </c>
    </row>
    <row r="27381" spans="129:129" x14ac:dyDescent="0.2">
      <c r="DY27381" s="185" t="s">
        <v>215</v>
      </c>
    </row>
    <row r="27382" spans="129:129" x14ac:dyDescent="0.2">
      <c r="DY27382" s="185" t="s">
        <v>215</v>
      </c>
    </row>
    <row r="27383" spans="129:129" x14ac:dyDescent="0.2">
      <c r="DY27383" s="185" t="s">
        <v>215</v>
      </c>
    </row>
    <row r="27384" spans="129:129" x14ac:dyDescent="0.2">
      <c r="DY27384" s="185" t="s">
        <v>215</v>
      </c>
    </row>
    <row r="27385" spans="129:129" x14ac:dyDescent="0.2">
      <c r="DY27385" s="185" t="s">
        <v>215</v>
      </c>
    </row>
    <row r="27386" spans="129:129" x14ac:dyDescent="0.2">
      <c r="DY27386" s="185" t="s">
        <v>215</v>
      </c>
    </row>
    <row r="27387" spans="129:129" x14ac:dyDescent="0.2">
      <c r="DY27387" s="185" t="s">
        <v>215</v>
      </c>
    </row>
    <row r="27388" spans="129:129" x14ac:dyDescent="0.2">
      <c r="DY27388" s="185" t="s">
        <v>215</v>
      </c>
    </row>
    <row r="27389" spans="129:129" x14ac:dyDescent="0.2">
      <c r="DY27389" s="185" t="s">
        <v>215</v>
      </c>
    </row>
    <row r="27390" spans="129:129" x14ac:dyDescent="0.2">
      <c r="DY27390" s="185" t="s">
        <v>215</v>
      </c>
    </row>
    <row r="27391" spans="129:129" x14ac:dyDescent="0.2">
      <c r="DY27391" s="185" t="s">
        <v>215</v>
      </c>
    </row>
    <row r="27392" spans="129:129" x14ac:dyDescent="0.2">
      <c r="DY27392" s="185" t="s">
        <v>215</v>
      </c>
    </row>
    <row r="27393" spans="129:129" x14ac:dyDescent="0.2">
      <c r="DY27393" s="185" t="s">
        <v>215</v>
      </c>
    </row>
    <row r="27394" spans="129:129" x14ac:dyDescent="0.2">
      <c r="DY27394" s="185" t="s">
        <v>215</v>
      </c>
    </row>
    <row r="27395" spans="129:129" x14ac:dyDescent="0.2">
      <c r="DY27395" s="185" t="s">
        <v>215</v>
      </c>
    </row>
    <row r="27396" spans="129:129" x14ac:dyDescent="0.2">
      <c r="DY27396" s="185" t="s">
        <v>215</v>
      </c>
    </row>
    <row r="27397" spans="129:129" x14ac:dyDescent="0.2">
      <c r="DY27397" s="185" t="s">
        <v>215</v>
      </c>
    </row>
    <row r="27398" spans="129:129" x14ac:dyDescent="0.2">
      <c r="DY27398" s="185" t="s">
        <v>215</v>
      </c>
    </row>
    <row r="27399" spans="129:129" x14ac:dyDescent="0.2">
      <c r="DY27399" s="185" t="s">
        <v>215</v>
      </c>
    </row>
    <row r="27400" spans="129:129" x14ac:dyDescent="0.2">
      <c r="DY27400" s="185" t="s">
        <v>215</v>
      </c>
    </row>
    <row r="27401" spans="129:129" x14ac:dyDescent="0.2">
      <c r="DY27401" s="185" t="s">
        <v>215</v>
      </c>
    </row>
    <row r="27402" spans="129:129" x14ac:dyDescent="0.2">
      <c r="DY27402" s="185" t="s">
        <v>215</v>
      </c>
    </row>
    <row r="27403" spans="129:129" x14ac:dyDescent="0.2">
      <c r="DY27403" s="185" t="s">
        <v>215</v>
      </c>
    </row>
    <row r="27404" spans="129:129" x14ac:dyDescent="0.2">
      <c r="DY27404" s="185" t="s">
        <v>215</v>
      </c>
    </row>
    <row r="27405" spans="129:129" x14ac:dyDescent="0.2">
      <c r="DY27405" s="185" t="s">
        <v>215</v>
      </c>
    </row>
    <row r="27406" spans="129:129" x14ac:dyDescent="0.2">
      <c r="DY27406" s="185" t="s">
        <v>215</v>
      </c>
    </row>
    <row r="27407" spans="129:129" x14ac:dyDescent="0.2">
      <c r="DY27407" s="185" t="s">
        <v>215</v>
      </c>
    </row>
    <row r="27408" spans="129:129" x14ac:dyDescent="0.2">
      <c r="DY27408" s="185" t="s">
        <v>215</v>
      </c>
    </row>
    <row r="27409" spans="129:129" x14ac:dyDescent="0.2">
      <c r="DY27409" s="185" t="s">
        <v>215</v>
      </c>
    </row>
    <row r="27410" spans="129:129" x14ac:dyDescent="0.2">
      <c r="DY27410" s="185" t="s">
        <v>215</v>
      </c>
    </row>
    <row r="27411" spans="129:129" x14ac:dyDescent="0.2">
      <c r="DY27411" s="185" t="s">
        <v>215</v>
      </c>
    </row>
    <row r="27412" spans="129:129" x14ac:dyDescent="0.2">
      <c r="DY27412" s="185" t="s">
        <v>215</v>
      </c>
    </row>
    <row r="27413" spans="129:129" x14ac:dyDescent="0.2">
      <c r="DY27413" s="185" t="s">
        <v>215</v>
      </c>
    </row>
    <row r="27414" spans="129:129" x14ac:dyDescent="0.2">
      <c r="DY27414" s="185" t="s">
        <v>215</v>
      </c>
    </row>
    <row r="27415" spans="129:129" x14ac:dyDescent="0.2">
      <c r="DY27415" s="185" t="s">
        <v>215</v>
      </c>
    </row>
    <row r="27416" spans="129:129" x14ac:dyDescent="0.2">
      <c r="DY27416" s="185" t="s">
        <v>215</v>
      </c>
    </row>
    <row r="27417" spans="129:129" x14ac:dyDescent="0.2">
      <c r="DY27417" s="185" t="s">
        <v>215</v>
      </c>
    </row>
    <row r="27418" spans="129:129" x14ac:dyDescent="0.2">
      <c r="DY27418" s="185" t="s">
        <v>215</v>
      </c>
    </row>
    <row r="27419" spans="129:129" x14ac:dyDescent="0.2">
      <c r="DY27419" s="185" t="s">
        <v>215</v>
      </c>
    </row>
    <row r="27420" spans="129:129" x14ac:dyDescent="0.2">
      <c r="DY27420" s="185" t="s">
        <v>215</v>
      </c>
    </row>
    <row r="27421" spans="129:129" x14ac:dyDescent="0.2">
      <c r="DY27421" s="185" t="s">
        <v>215</v>
      </c>
    </row>
    <row r="27422" spans="129:129" x14ac:dyDescent="0.2">
      <c r="DY27422" s="185" t="s">
        <v>215</v>
      </c>
    </row>
    <row r="27423" spans="129:129" x14ac:dyDescent="0.2">
      <c r="DY27423" s="185" t="s">
        <v>215</v>
      </c>
    </row>
    <row r="27424" spans="129:129" x14ac:dyDescent="0.2">
      <c r="DY27424" s="185" t="s">
        <v>215</v>
      </c>
    </row>
    <row r="27425" spans="129:129" x14ac:dyDescent="0.2">
      <c r="DY27425" s="185" t="s">
        <v>215</v>
      </c>
    </row>
    <row r="27426" spans="129:129" x14ac:dyDescent="0.2">
      <c r="DY27426" s="185" t="s">
        <v>215</v>
      </c>
    </row>
    <row r="27427" spans="129:129" x14ac:dyDescent="0.2">
      <c r="DY27427" s="185" t="s">
        <v>215</v>
      </c>
    </row>
    <row r="27428" spans="129:129" x14ac:dyDescent="0.2">
      <c r="DY27428" s="185" t="s">
        <v>215</v>
      </c>
    </row>
    <row r="27429" spans="129:129" x14ac:dyDescent="0.2">
      <c r="DY27429" s="185" t="s">
        <v>215</v>
      </c>
    </row>
    <row r="27430" spans="129:129" x14ac:dyDescent="0.2">
      <c r="DY27430" s="185" t="s">
        <v>215</v>
      </c>
    </row>
    <row r="27431" spans="129:129" x14ac:dyDescent="0.2">
      <c r="DY27431" s="185" t="s">
        <v>215</v>
      </c>
    </row>
    <row r="27432" spans="129:129" x14ac:dyDescent="0.2">
      <c r="DY27432" s="185" t="s">
        <v>215</v>
      </c>
    </row>
    <row r="27433" spans="129:129" x14ac:dyDescent="0.2">
      <c r="DY27433" s="185" t="s">
        <v>215</v>
      </c>
    </row>
    <row r="27434" spans="129:129" x14ac:dyDescent="0.2">
      <c r="DY27434" s="185" t="s">
        <v>215</v>
      </c>
    </row>
    <row r="27435" spans="129:129" x14ac:dyDescent="0.2">
      <c r="DY27435" s="185" t="s">
        <v>215</v>
      </c>
    </row>
    <row r="27436" spans="129:129" x14ac:dyDescent="0.2">
      <c r="DY27436" s="185" t="s">
        <v>215</v>
      </c>
    </row>
    <row r="27437" spans="129:129" x14ac:dyDescent="0.2">
      <c r="DY27437" s="185" t="s">
        <v>215</v>
      </c>
    </row>
    <row r="27438" spans="129:129" x14ac:dyDescent="0.2">
      <c r="DY27438" s="185" t="s">
        <v>215</v>
      </c>
    </row>
    <row r="27439" spans="129:129" x14ac:dyDescent="0.2">
      <c r="DY27439" s="185" t="s">
        <v>215</v>
      </c>
    </row>
    <row r="27440" spans="129:129" x14ac:dyDescent="0.2">
      <c r="DY27440" s="185" t="s">
        <v>215</v>
      </c>
    </row>
    <row r="27441" spans="129:129" x14ac:dyDescent="0.2">
      <c r="DY27441" s="185" t="s">
        <v>215</v>
      </c>
    </row>
    <row r="27442" spans="129:129" x14ac:dyDescent="0.2">
      <c r="DY27442" s="185" t="s">
        <v>215</v>
      </c>
    </row>
    <row r="27443" spans="129:129" x14ac:dyDescent="0.2">
      <c r="DY27443" s="185" t="s">
        <v>215</v>
      </c>
    </row>
    <row r="27444" spans="129:129" x14ac:dyDescent="0.2">
      <c r="DY27444" s="185" t="s">
        <v>215</v>
      </c>
    </row>
    <row r="27445" spans="129:129" x14ac:dyDescent="0.2">
      <c r="DY27445" s="185" t="s">
        <v>215</v>
      </c>
    </row>
    <row r="27446" spans="129:129" x14ac:dyDescent="0.2">
      <c r="DY27446" s="185" t="s">
        <v>215</v>
      </c>
    </row>
    <row r="27447" spans="129:129" x14ac:dyDescent="0.2">
      <c r="DY27447" s="185" t="s">
        <v>215</v>
      </c>
    </row>
    <row r="27448" spans="129:129" x14ac:dyDescent="0.2">
      <c r="DY27448" s="185" t="s">
        <v>215</v>
      </c>
    </row>
    <row r="27449" spans="129:129" x14ac:dyDescent="0.2">
      <c r="DY27449" s="185" t="s">
        <v>215</v>
      </c>
    </row>
    <row r="27450" spans="129:129" x14ac:dyDescent="0.2">
      <c r="DY27450" s="185" t="s">
        <v>215</v>
      </c>
    </row>
    <row r="27451" spans="129:129" x14ac:dyDescent="0.2">
      <c r="DY27451" s="185" t="s">
        <v>215</v>
      </c>
    </row>
    <row r="27452" spans="129:129" x14ac:dyDescent="0.2">
      <c r="DY27452" s="185" t="s">
        <v>215</v>
      </c>
    </row>
    <row r="27453" spans="129:129" x14ac:dyDescent="0.2">
      <c r="DY27453" s="185" t="s">
        <v>215</v>
      </c>
    </row>
    <row r="27454" spans="129:129" x14ac:dyDescent="0.2">
      <c r="DY27454" s="185" t="s">
        <v>215</v>
      </c>
    </row>
    <row r="27455" spans="129:129" x14ac:dyDescent="0.2">
      <c r="DY27455" s="185" t="s">
        <v>215</v>
      </c>
    </row>
    <row r="27456" spans="129:129" x14ac:dyDescent="0.2">
      <c r="DY27456" s="185" t="s">
        <v>215</v>
      </c>
    </row>
    <row r="27457" spans="129:129" x14ac:dyDescent="0.2">
      <c r="DY27457" s="185" t="s">
        <v>215</v>
      </c>
    </row>
    <row r="27458" spans="129:129" x14ac:dyDescent="0.2">
      <c r="DY27458" s="185" t="s">
        <v>215</v>
      </c>
    </row>
    <row r="27459" spans="129:129" x14ac:dyDescent="0.2">
      <c r="DY27459" s="185" t="s">
        <v>215</v>
      </c>
    </row>
    <row r="27460" spans="129:129" x14ac:dyDescent="0.2">
      <c r="DY27460" s="185" t="s">
        <v>215</v>
      </c>
    </row>
    <row r="27461" spans="129:129" x14ac:dyDescent="0.2">
      <c r="DY27461" s="185" t="s">
        <v>215</v>
      </c>
    </row>
    <row r="27462" spans="129:129" x14ac:dyDescent="0.2">
      <c r="DY27462" s="185" t="s">
        <v>215</v>
      </c>
    </row>
    <row r="27463" spans="129:129" x14ac:dyDescent="0.2">
      <c r="DY27463" s="185" t="s">
        <v>215</v>
      </c>
    </row>
    <row r="27464" spans="129:129" x14ac:dyDescent="0.2">
      <c r="DY27464" s="185" t="s">
        <v>215</v>
      </c>
    </row>
    <row r="27465" spans="129:129" x14ac:dyDescent="0.2">
      <c r="DY27465" s="185" t="s">
        <v>215</v>
      </c>
    </row>
    <row r="27466" spans="129:129" x14ac:dyDescent="0.2">
      <c r="DY27466" s="185" t="s">
        <v>215</v>
      </c>
    </row>
    <row r="27467" spans="129:129" x14ac:dyDescent="0.2">
      <c r="DY27467" s="185" t="s">
        <v>215</v>
      </c>
    </row>
    <row r="27468" spans="129:129" x14ac:dyDescent="0.2">
      <c r="DY27468" s="185" t="s">
        <v>215</v>
      </c>
    </row>
    <row r="27469" spans="129:129" x14ac:dyDescent="0.2">
      <c r="DY27469" s="185" t="s">
        <v>215</v>
      </c>
    </row>
    <row r="27470" spans="129:129" x14ac:dyDescent="0.2">
      <c r="DY27470" s="185" t="s">
        <v>215</v>
      </c>
    </row>
    <row r="27471" spans="129:129" x14ac:dyDescent="0.2">
      <c r="DY27471" s="185" t="s">
        <v>215</v>
      </c>
    </row>
    <row r="27472" spans="129:129" x14ac:dyDescent="0.2">
      <c r="DY27472" s="185" t="s">
        <v>215</v>
      </c>
    </row>
    <row r="27473" spans="129:129" x14ac:dyDescent="0.2">
      <c r="DY27473" s="185" t="s">
        <v>215</v>
      </c>
    </row>
    <row r="27474" spans="129:129" x14ac:dyDescent="0.2">
      <c r="DY27474" s="185" t="s">
        <v>215</v>
      </c>
    </row>
    <row r="27475" spans="129:129" x14ac:dyDescent="0.2">
      <c r="DY27475" s="185" t="s">
        <v>215</v>
      </c>
    </row>
    <row r="27476" spans="129:129" x14ac:dyDescent="0.2">
      <c r="DY27476" s="185" t="s">
        <v>215</v>
      </c>
    </row>
    <row r="27477" spans="129:129" x14ac:dyDescent="0.2">
      <c r="DY27477" s="185" t="s">
        <v>215</v>
      </c>
    </row>
    <row r="27478" spans="129:129" x14ac:dyDescent="0.2">
      <c r="DY27478" s="185" t="s">
        <v>215</v>
      </c>
    </row>
    <row r="27479" spans="129:129" x14ac:dyDescent="0.2">
      <c r="DY27479" s="185" t="s">
        <v>215</v>
      </c>
    </row>
    <row r="27480" spans="129:129" x14ac:dyDescent="0.2">
      <c r="DY27480" s="185" t="s">
        <v>215</v>
      </c>
    </row>
    <row r="27481" spans="129:129" x14ac:dyDescent="0.2">
      <c r="DY27481" s="185" t="s">
        <v>215</v>
      </c>
    </row>
    <row r="27482" spans="129:129" x14ac:dyDescent="0.2">
      <c r="DY27482" s="185" t="s">
        <v>215</v>
      </c>
    </row>
    <row r="27483" spans="129:129" x14ac:dyDescent="0.2">
      <c r="DY27483" s="185" t="s">
        <v>215</v>
      </c>
    </row>
    <row r="27484" spans="129:129" x14ac:dyDescent="0.2">
      <c r="DY27484" s="185" t="s">
        <v>215</v>
      </c>
    </row>
    <row r="27485" spans="129:129" x14ac:dyDescent="0.2">
      <c r="DY27485" s="185" t="s">
        <v>215</v>
      </c>
    </row>
    <row r="27486" spans="129:129" x14ac:dyDescent="0.2">
      <c r="DY27486" s="185" t="s">
        <v>215</v>
      </c>
    </row>
    <row r="27487" spans="129:129" x14ac:dyDescent="0.2">
      <c r="DY27487" s="185" t="s">
        <v>215</v>
      </c>
    </row>
    <row r="27488" spans="129:129" x14ac:dyDescent="0.2">
      <c r="DY27488" s="185" t="s">
        <v>215</v>
      </c>
    </row>
    <row r="27489" spans="129:129" x14ac:dyDescent="0.2">
      <c r="DY27489" s="185" t="s">
        <v>215</v>
      </c>
    </row>
    <row r="27490" spans="129:129" x14ac:dyDescent="0.2">
      <c r="DY27490" s="185" t="s">
        <v>215</v>
      </c>
    </row>
    <row r="27491" spans="129:129" x14ac:dyDescent="0.2">
      <c r="DY27491" s="185" t="s">
        <v>215</v>
      </c>
    </row>
    <row r="27492" spans="129:129" x14ac:dyDescent="0.2">
      <c r="DY27492" s="185" t="s">
        <v>215</v>
      </c>
    </row>
    <row r="27493" spans="129:129" x14ac:dyDescent="0.2">
      <c r="DY27493" s="185" t="s">
        <v>215</v>
      </c>
    </row>
    <row r="27494" spans="129:129" x14ac:dyDescent="0.2">
      <c r="DY27494" s="185" t="s">
        <v>215</v>
      </c>
    </row>
    <row r="27495" spans="129:129" x14ac:dyDescent="0.2">
      <c r="DY27495" s="185" t="s">
        <v>215</v>
      </c>
    </row>
    <row r="27496" spans="129:129" x14ac:dyDescent="0.2">
      <c r="DY27496" s="185" t="s">
        <v>215</v>
      </c>
    </row>
    <row r="27497" spans="129:129" x14ac:dyDescent="0.2">
      <c r="DY27497" s="185" t="s">
        <v>215</v>
      </c>
    </row>
    <row r="27498" spans="129:129" x14ac:dyDescent="0.2">
      <c r="DY27498" s="185" t="s">
        <v>215</v>
      </c>
    </row>
    <row r="27499" spans="129:129" x14ac:dyDescent="0.2">
      <c r="DY27499" s="185" t="s">
        <v>215</v>
      </c>
    </row>
    <row r="27500" spans="129:129" x14ac:dyDescent="0.2">
      <c r="DY27500" s="185" t="s">
        <v>215</v>
      </c>
    </row>
    <row r="27501" spans="129:129" x14ac:dyDescent="0.2">
      <c r="DY27501" s="185" t="s">
        <v>215</v>
      </c>
    </row>
    <row r="27502" spans="129:129" x14ac:dyDescent="0.2">
      <c r="DY27502" s="185" t="s">
        <v>215</v>
      </c>
    </row>
    <row r="27503" spans="129:129" x14ac:dyDescent="0.2">
      <c r="DY27503" s="185" t="s">
        <v>215</v>
      </c>
    </row>
    <row r="27504" spans="129:129" x14ac:dyDescent="0.2">
      <c r="DY27504" s="185" t="s">
        <v>215</v>
      </c>
    </row>
    <row r="27505" spans="129:129" x14ac:dyDescent="0.2">
      <c r="DY27505" s="185" t="s">
        <v>215</v>
      </c>
    </row>
    <row r="27506" spans="129:129" x14ac:dyDescent="0.2">
      <c r="DY27506" s="185" t="s">
        <v>215</v>
      </c>
    </row>
    <row r="27507" spans="129:129" x14ac:dyDescent="0.2">
      <c r="DY27507" s="185" t="s">
        <v>215</v>
      </c>
    </row>
    <row r="27508" spans="129:129" x14ac:dyDescent="0.2">
      <c r="DY27508" s="185" t="s">
        <v>215</v>
      </c>
    </row>
    <row r="27509" spans="129:129" x14ac:dyDescent="0.2">
      <c r="DY27509" s="185" t="s">
        <v>215</v>
      </c>
    </row>
    <row r="27510" spans="129:129" x14ac:dyDescent="0.2">
      <c r="DY27510" s="185" t="s">
        <v>215</v>
      </c>
    </row>
    <row r="27511" spans="129:129" x14ac:dyDescent="0.2">
      <c r="DY27511" s="185" t="s">
        <v>215</v>
      </c>
    </row>
    <row r="27512" spans="129:129" x14ac:dyDescent="0.2">
      <c r="DY27512" s="185" t="s">
        <v>215</v>
      </c>
    </row>
    <row r="27513" spans="129:129" x14ac:dyDescent="0.2">
      <c r="DY27513" s="185" t="s">
        <v>215</v>
      </c>
    </row>
    <row r="27514" spans="129:129" x14ac:dyDescent="0.2">
      <c r="DY27514" s="185" t="s">
        <v>215</v>
      </c>
    </row>
    <row r="27515" spans="129:129" x14ac:dyDescent="0.2">
      <c r="DY27515" s="185" t="s">
        <v>215</v>
      </c>
    </row>
    <row r="27516" spans="129:129" x14ac:dyDescent="0.2">
      <c r="DY27516" s="185" t="s">
        <v>215</v>
      </c>
    </row>
    <row r="27517" spans="129:129" x14ac:dyDescent="0.2">
      <c r="DY27517" s="185" t="s">
        <v>215</v>
      </c>
    </row>
    <row r="27518" spans="129:129" x14ac:dyDescent="0.2">
      <c r="DY27518" s="185" t="s">
        <v>215</v>
      </c>
    </row>
    <row r="27519" spans="129:129" x14ac:dyDescent="0.2">
      <c r="DY27519" s="185" t="s">
        <v>215</v>
      </c>
    </row>
    <row r="27520" spans="129:129" x14ac:dyDescent="0.2">
      <c r="DY27520" s="185" t="s">
        <v>215</v>
      </c>
    </row>
    <row r="27521" spans="129:129" x14ac:dyDescent="0.2">
      <c r="DY27521" s="185" t="s">
        <v>215</v>
      </c>
    </row>
    <row r="27522" spans="129:129" x14ac:dyDescent="0.2">
      <c r="DY27522" s="185" t="s">
        <v>215</v>
      </c>
    </row>
    <row r="27523" spans="129:129" x14ac:dyDescent="0.2">
      <c r="DY27523" s="185" t="s">
        <v>215</v>
      </c>
    </row>
    <row r="27524" spans="129:129" x14ac:dyDescent="0.2">
      <c r="DY27524" s="185" t="s">
        <v>215</v>
      </c>
    </row>
    <row r="27525" spans="129:129" x14ac:dyDescent="0.2">
      <c r="DY27525" s="185" t="s">
        <v>215</v>
      </c>
    </row>
    <row r="27526" spans="129:129" x14ac:dyDescent="0.2">
      <c r="DY27526" s="185" t="s">
        <v>215</v>
      </c>
    </row>
    <row r="27527" spans="129:129" x14ac:dyDescent="0.2">
      <c r="DY27527" s="185" t="s">
        <v>215</v>
      </c>
    </row>
    <row r="27528" spans="129:129" x14ac:dyDescent="0.2">
      <c r="DY27528" s="185" t="s">
        <v>215</v>
      </c>
    </row>
    <row r="27529" spans="129:129" x14ac:dyDescent="0.2">
      <c r="DY27529" s="185" t="s">
        <v>215</v>
      </c>
    </row>
    <row r="27530" spans="129:129" x14ac:dyDescent="0.2">
      <c r="DY27530" s="185" t="s">
        <v>215</v>
      </c>
    </row>
    <row r="27531" spans="129:129" x14ac:dyDescent="0.2">
      <c r="DY27531" s="185" t="s">
        <v>215</v>
      </c>
    </row>
    <row r="27532" spans="129:129" x14ac:dyDescent="0.2">
      <c r="DY27532" s="185" t="s">
        <v>215</v>
      </c>
    </row>
    <row r="27533" spans="129:129" x14ac:dyDescent="0.2">
      <c r="DY27533" s="185" t="s">
        <v>215</v>
      </c>
    </row>
    <row r="27534" spans="129:129" x14ac:dyDescent="0.2">
      <c r="DY27534" s="185" t="s">
        <v>215</v>
      </c>
    </row>
    <row r="27535" spans="129:129" x14ac:dyDescent="0.2">
      <c r="DY27535" s="185" t="s">
        <v>215</v>
      </c>
    </row>
    <row r="27536" spans="129:129" x14ac:dyDescent="0.2">
      <c r="DY27536" s="185" t="s">
        <v>215</v>
      </c>
    </row>
    <row r="27537" spans="129:129" x14ac:dyDescent="0.2">
      <c r="DY27537" s="185" t="s">
        <v>215</v>
      </c>
    </row>
    <row r="27538" spans="129:129" x14ac:dyDescent="0.2">
      <c r="DY27538" s="185" t="s">
        <v>215</v>
      </c>
    </row>
    <row r="27539" spans="129:129" x14ac:dyDescent="0.2">
      <c r="DY27539" s="185" t="s">
        <v>215</v>
      </c>
    </row>
    <row r="27540" spans="129:129" x14ac:dyDescent="0.2">
      <c r="DY27540" s="185" t="s">
        <v>215</v>
      </c>
    </row>
    <row r="27541" spans="129:129" x14ac:dyDescent="0.2">
      <c r="DY27541" s="185" t="s">
        <v>215</v>
      </c>
    </row>
    <row r="27542" spans="129:129" x14ac:dyDescent="0.2">
      <c r="DY27542" s="185" t="s">
        <v>215</v>
      </c>
    </row>
    <row r="27543" spans="129:129" x14ac:dyDescent="0.2">
      <c r="DY27543" s="185" t="s">
        <v>215</v>
      </c>
    </row>
    <row r="27544" spans="129:129" x14ac:dyDescent="0.2">
      <c r="DY27544" s="185" t="s">
        <v>215</v>
      </c>
    </row>
    <row r="27545" spans="129:129" x14ac:dyDescent="0.2">
      <c r="DY27545" s="185" t="s">
        <v>215</v>
      </c>
    </row>
    <row r="27546" spans="129:129" x14ac:dyDescent="0.2">
      <c r="DY27546" s="185" t="s">
        <v>215</v>
      </c>
    </row>
    <row r="27547" spans="129:129" x14ac:dyDescent="0.2">
      <c r="DY27547" s="185" t="s">
        <v>215</v>
      </c>
    </row>
    <row r="27548" spans="129:129" x14ac:dyDescent="0.2">
      <c r="DY27548" s="185" t="s">
        <v>215</v>
      </c>
    </row>
    <row r="27549" spans="129:129" x14ac:dyDescent="0.2">
      <c r="DY27549" s="185" t="s">
        <v>215</v>
      </c>
    </row>
    <row r="27550" spans="129:129" x14ac:dyDescent="0.2">
      <c r="DY27550" s="185" t="s">
        <v>215</v>
      </c>
    </row>
    <row r="27551" spans="129:129" x14ac:dyDescent="0.2">
      <c r="DY27551" s="185" t="s">
        <v>215</v>
      </c>
    </row>
    <row r="27552" spans="129:129" x14ac:dyDescent="0.2">
      <c r="DY27552" s="185" t="s">
        <v>215</v>
      </c>
    </row>
    <row r="27553" spans="129:129" x14ac:dyDescent="0.2">
      <c r="DY27553" s="185" t="s">
        <v>215</v>
      </c>
    </row>
    <row r="27554" spans="129:129" x14ac:dyDescent="0.2">
      <c r="DY27554" s="185" t="s">
        <v>215</v>
      </c>
    </row>
    <row r="27555" spans="129:129" x14ac:dyDescent="0.2">
      <c r="DY27555" s="185" t="s">
        <v>215</v>
      </c>
    </row>
    <row r="27556" spans="129:129" x14ac:dyDescent="0.2">
      <c r="DY27556" s="185" t="s">
        <v>215</v>
      </c>
    </row>
    <row r="27557" spans="129:129" x14ac:dyDescent="0.2">
      <c r="DY27557" s="185" t="s">
        <v>215</v>
      </c>
    </row>
    <row r="27558" spans="129:129" x14ac:dyDescent="0.2">
      <c r="DY27558" s="185" t="s">
        <v>215</v>
      </c>
    </row>
    <row r="27559" spans="129:129" x14ac:dyDescent="0.2">
      <c r="DY27559" s="185" t="s">
        <v>215</v>
      </c>
    </row>
    <row r="27560" spans="129:129" x14ac:dyDescent="0.2">
      <c r="DY27560" s="185" t="s">
        <v>215</v>
      </c>
    </row>
    <row r="27561" spans="129:129" x14ac:dyDescent="0.2">
      <c r="DY27561" s="185" t="s">
        <v>215</v>
      </c>
    </row>
    <row r="27562" spans="129:129" x14ac:dyDescent="0.2">
      <c r="DY27562" s="185" t="s">
        <v>215</v>
      </c>
    </row>
    <row r="27563" spans="129:129" x14ac:dyDescent="0.2">
      <c r="DY27563" s="185" t="s">
        <v>215</v>
      </c>
    </row>
    <row r="27564" spans="129:129" x14ac:dyDescent="0.2">
      <c r="DY27564" s="185" t="s">
        <v>215</v>
      </c>
    </row>
    <row r="27565" spans="129:129" x14ac:dyDescent="0.2">
      <c r="DY27565" s="185" t="s">
        <v>215</v>
      </c>
    </row>
    <row r="27566" spans="129:129" x14ac:dyDescent="0.2">
      <c r="DY27566" s="185" t="s">
        <v>215</v>
      </c>
    </row>
    <row r="27567" spans="129:129" x14ac:dyDescent="0.2">
      <c r="DY27567" s="185" t="s">
        <v>215</v>
      </c>
    </row>
    <row r="27568" spans="129:129" x14ac:dyDescent="0.2">
      <c r="DY27568" s="185" t="s">
        <v>215</v>
      </c>
    </row>
    <row r="27569" spans="129:129" x14ac:dyDescent="0.2">
      <c r="DY27569" s="185" t="s">
        <v>215</v>
      </c>
    </row>
    <row r="27570" spans="129:129" x14ac:dyDescent="0.2">
      <c r="DY27570" s="185" t="s">
        <v>215</v>
      </c>
    </row>
    <row r="27571" spans="129:129" x14ac:dyDescent="0.2">
      <c r="DY27571" s="185" t="s">
        <v>215</v>
      </c>
    </row>
    <row r="27572" spans="129:129" x14ac:dyDescent="0.2">
      <c r="DY27572" s="185" t="s">
        <v>215</v>
      </c>
    </row>
    <row r="27573" spans="129:129" x14ac:dyDescent="0.2">
      <c r="DY27573" s="185" t="s">
        <v>215</v>
      </c>
    </row>
    <row r="27574" spans="129:129" x14ac:dyDescent="0.2">
      <c r="DY27574" s="185" t="s">
        <v>215</v>
      </c>
    </row>
    <row r="27575" spans="129:129" x14ac:dyDescent="0.2">
      <c r="DY27575" s="185" t="s">
        <v>215</v>
      </c>
    </row>
    <row r="27576" spans="129:129" x14ac:dyDescent="0.2">
      <c r="DY27576" s="185" t="s">
        <v>215</v>
      </c>
    </row>
    <row r="27577" spans="129:129" x14ac:dyDescent="0.2">
      <c r="DY27577" s="185" t="s">
        <v>215</v>
      </c>
    </row>
    <row r="27578" spans="129:129" x14ac:dyDescent="0.2">
      <c r="DY27578" s="185" t="s">
        <v>215</v>
      </c>
    </row>
    <row r="27579" spans="129:129" x14ac:dyDescent="0.2">
      <c r="DY27579" s="185" t="s">
        <v>215</v>
      </c>
    </row>
    <row r="27580" spans="129:129" x14ac:dyDescent="0.2">
      <c r="DY27580" s="185" t="s">
        <v>215</v>
      </c>
    </row>
    <row r="27581" spans="129:129" x14ac:dyDescent="0.2">
      <c r="DY27581" s="185" t="s">
        <v>215</v>
      </c>
    </row>
    <row r="27582" spans="129:129" x14ac:dyDescent="0.2">
      <c r="DY27582" s="185" t="s">
        <v>215</v>
      </c>
    </row>
    <row r="27583" spans="129:129" x14ac:dyDescent="0.2">
      <c r="DY27583" s="185" t="s">
        <v>215</v>
      </c>
    </row>
    <row r="27584" spans="129:129" x14ac:dyDescent="0.2">
      <c r="DY27584" s="185" t="s">
        <v>215</v>
      </c>
    </row>
    <row r="27585" spans="129:129" x14ac:dyDescent="0.2">
      <c r="DY27585" s="185" t="s">
        <v>215</v>
      </c>
    </row>
    <row r="27586" spans="129:129" x14ac:dyDescent="0.2">
      <c r="DY27586" s="185" t="s">
        <v>215</v>
      </c>
    </row>
    <row r="27587" spans="129:129" x14ac:dyDescent="0.2">
      <c r="DY27587" s="185" t="s">
        <v>215</v>
      </c>
    </row>
    <row r="27588" spans="129:129" x14ac:dyDescent="0.2">
      <c r="DY27588" s="185" t="s">
        <v>215</v>
      </c>
    </row>
    <row r="27589" spans="129:129" x14ac:dyDescent="0.2">
      <c r="DY27589" s="185" t="s">
        <v>215</v>
      </c>
    </row>
    <row r="27590" spans="129:129" x14ac:dyDescent="0.2">
      <c r="DY27590" s="185" t="s">
        <v>215</v>
      </c>
    </row>
    <row r="27591" spans="129:129" x14ac:dyDescent="0.2">
      <c r="DY27591" s="185" t="s">
        <v>215</v>
      </c>
    </row>
    <row r="27592" spans="129:129" x14ac:dyDescent="0.2">
      <c r="DY27592" s="185" t="s">
        <v>215</v>
      </c>
    </row>
    <row r="27593" spans="129:129" x14ac:dyDescent="0.2">
      <c r="DY27593" s="185" t="s">
        <v>215</v>
      </c>
    </row>
    <row r="27594" spans="129:129" x14ac:dyDescent="0.2">
      <c r="DY27594" s="185" t="s">
        <v>215</v>
      </c>
    </row>
    <row r="27595" spans="129:129" x14ac:dyDescent="0.2">
      <c r="DY27595" s="185" t="s">
        <v>215</v>
      </c>
    </row>
    <row r="27596" spans="129:129" x14ac:dyDescent="0.2">
      <c r="DY27596" s="185" t="s">
        <v>215</v>
      </c>
    </row>
    <row r="27597" spans="129:129" x14ac:dyDescent="0.2">
      <c r="DY27597" s="185" t="s">
        <v>215</v>
      </c>
    </row>
    <row r="27598" spans="129:129" x14ac:dyDescent="0.2">
      <c r="DY27598" s="185" t="s">
        <v>215</v>
      </c>
    </row>
    <row r="27599" spans="129:129" x14ac:dyDescent="0.2">
      <c r="DY27599" s="185" t="s">
        <v>215</v>
      </c>
    </row>
    <row r="27600" spans="129:129" x14ac:dyDescent="0.2">
      <c r="DY27600" s="185" t="s">
        <v>215</v>
      </c>
    </row>
    <row r="27601" spans="129:129" x14ac:dyDescent="0.2">
      <c r="DY27601" s="185" t="s">
        <v>215</v>
      </c>
    </row>
    <row r="27602" spans="129:129" x14ac:dyDescent="0.2">
      <c r="DY27602" s="185" t="s">
        <v>215</v>
      </c>
    </row>
    <row r="27603" spans="129:129" x14ac:dyDescent="0.2">
      <c r="DY27603" s="185" t="s">
        <v>215</v>
      </c>
    </row>
    <row r="27604" spans="129:129" x14ac:dyDescent="0.2">
      <c r="DY27604" s="185" t="s">
        <v>215</v>
      </c>
    </row>
    <row r="27605" spans="129:129" x14ac:dyDescent="0.2">
      <c r="DY27605" s="185" t="s">
        <v>215</v>
      </c>
    </row>
    <row r="27606" spans="129:129" x14ac:dyDescent="0.2">
      <c r="DY27606" s="185" t="s">
        <v>215</v>
      </c>
    </row>
    <row r="27607" spans="129:129" x14ac:dyDescent="0.2">
      <c r="DY27607" s="185" t="s">
        <v>215</v>
      </c>
    </row>
    <row r="27608" spans="129:129" x14ac:dyDescent="0.2">
      <c r="DY27608" s="185" t="s">
        <v>215</v>
      </c>
    </row>
    <row r="27609" spans="129:129" x14ac:dyDescent="0.2">
      <c r="DY27609" s="185" t="s">
        <v>215</v>
      </c>
    </row>
    <row r="27610" spans="129:129" x14ac:dyDescent="0.2">
      <c r="DY27610" s="185" t="s">
        <v>215</v>
      </c>
    </row>
    <row r="27611" spans="129:129" x14ac:dyDescent="0.2">
      <c r="DY27611" s="185" t="s">
        <v>215</v>
      </c>
    </row>
    <row r="27612" spans="129:129" x14ac:dyDescent="0.2">
      <c r="DY27612" s="185" t="s">
        <v>215</v>
      </c>
    </row>
    <row r="27613" spans="129:129" x14ac:dyDescent="0.2">
      <c r="DY27613" s="185" t="s">
        <v>215</v>
      </c>
    </row>
    <row r="27614" spans="129:129" x14ac:dyDescent="0.2">
      <c r="DY27614" s="185" t="s">
        <v>215</v>
      </c>
    </row>
    <row r="27615" spans="129:129" x14ac:dyDescent="0.2">
      <c r="DY27615" s="185" t="s">
        <v>215</v>
      </c>
    </row>
    <row r="27616" spans="129:129" x14ac:dyDescent="0.2">
      <c r="DY27616" s="185" t="s">
        <v>215</v>
      </c>
    </row>
    <row r="27617" spans="129:129" x14ac:dyDescent="0.2">
      <c r="DY27617" s="185" t="s">
        <v>215</v>
      </c>
    </row>
    <row r="27618" spans="129:129" x14ac:dyDescent="0.2">
      <c r="DY27618" s="185" t="s">
        <v>215</v>
      </c>
    </row>
    <row r="27619" spans="129:129" x14ac:dyDescent="0.2">
      <c r="DY27619" s="185" t="s">
        <v>215</v>
      </c>
    </row>
    <row r="27620" spans="129:129" x14ac:dyDescent="0.2">
      <c r="DY27620" s="185" t="s">
        <v>215</v>
      </c>
    </row>
    <row r="27621" spans="129:129" x14ac:dyDescent="0.2">
      <c r="DY27621" s="185" t="s">
        <v>215</v>
      </c>
    </row>
    <row r="27622" spans="129:129" x14ac:dyDescent="0.2">
      <c r="DY27622" s="185" t="s">
        <v>215</v>
      </c>
    </row>
    <row r="27623" spans="129:129" x14ac:dyDescent="0.2">
      <c r="DY27623" s="185" t="s">
        <v>215</v>
      </c>
    </row>
    <row r="27624" spans="129:129" x14ac:dyDescent="0.2">
      <c r="DY27624" s="185" t="s">
        <v>215</v>
      </c>
    </row>
    <row r="27625" spans="129:129" x14ac:dyDescent="0.2">
      <c r="DY27625" s="185" t="s">
        <v>215</v>
      </c>
    </row>
    <row r="27626" spans="129:129" x14ac:dyDescent="0.2">
      <c r="DY27626" s="185" t="s">
        <v>215</v>
      </c>
    </row>
    <row r="27627" spans="129:129" x14ac:dyDescent="0.2">
      <c r="DY27627" s="185" t="s">
        <v>215</v>
      </c>
    </row>
    <row r="27628" spans="129:129" x14ac:dyDescent="0.2">
      <c r="DY27628" s="185" t="s">
        <v>215</v>
      </c>
    </row>
    <row r="27629" spans="129:129" x14ac:dyDescent="0.2">
      <c r="DY27629" s="185" t="s">
        <v>215</v>
      </c>
    </row>
    <row r="27630" spans="129:129" x14ac:dyDescent="0.2">
      <c r="DY27630" s="185" t="s">
        <v>215</v>
      </c>
    </row>
    <row r="27631" spans="129:129" x14ac:dyDescent="0.2">
      <c r="DY27631" s="185" t="s">
        <v>215</v>
      </c>
    </row>
    <row r="27632" spans="129:129" x14ac:dyDescent="0.2">
      <c r="DY27632" s="185" t="s">
        <v>215</v>
      </c>
    </row>
    <row r="27633" spans="129:129" x14ac:dyDescent="0.2">
      <c r="DY27633" s="185" t="s">
        <v>215</v>
      </c>
    </row>
    <row r="27634" spans="129:129" x14ac:dyDescent="0.2">
      <c r="DY27634" s="185" t="s">
        <v>215</v>
      </c>
    </row>
    <row r="27635" spans="129:129" x14ac:dyDescent="0.2">
      <c r="DY27635" s="185" t="s">
        <v>215</v>
      </c>
    </row>
    <row r="27636" spans="129:129" x14ac:dyDescent="0.2">
      <c r="DY27636" s="185" t="s">
        <v>215</v>
      </c>
    </row>
    <row r="27637" spans="129:129" x14ac:dyDescent="0.2">
      <c r="DY27637" s="185" t="s">
        <v>215</v>
      </c>
    </row>
    <row r="27638" spans="129:129" x14ac:dyDescent="0.2">
      <c r="DY27638" s="185" t="s">
        <v>215</v>
      </c>
    </row>
    <row r="27639" spans="129:129" x14ac:dyDescent="0.2">
      <c r="DY27639" s="185" t="s">
        <v>215</v>
      </c>
    </row>
    <row r="27640" spans="129:129" x14ac:dyDescent="0.2">
      <c r="DY27640" s="185" t="s">
        <v>215</v>
      </c>
    </row>
    <row r="27641" spans="129:129" x14ac:dyDescent="0.2">
      <c r="DY27641" s="185" t="s">
        <v>215</v>
      </c>
    </row>
    <row r="27642" spans="129:129" x14ac:dyDescent="0.2">
      <c r="DY27642" s="185" t="s">
        <v>215</v>
      </c>
    </row>
    <row r="27643" spans="129:129" x14ac:dyDescent="0.2">
      <c r="DY27643" s="185" t="s">
        <v>215</v>
      </c>
    </row>
    <row r="27644" spans="129:129" x14ac:dyDescent="0.2">
      <c r="DY27644" s="185" t="s">
        <v>215</v>
      </c>
    </row>
    <row r="27645" spans="129:129" x14ac:dyDescent="0.2">
      <c r="DY27645" s="185" t="s">
        <v>215</v>
      </c>
    </row>
    <row r="27646" spans="129:129" x14ac:dyDescent="0.2">
      <c r="DY27646" s="185" t="s">
        <v>215</v>
      </c>
    </row>
    <row r="27647" spans="129:129" x14ac:dyDescent="0.2">
      <c r="DY27647" s="185" t="s">
        <v>215</v>
      </c>
    </row>
    <row r="27648" spans="129:129" x14ac:dyDescent="0.2">
      <c r="DY27648" s="185" t="s">
        <v>215</v>
      </c>
    </row>
    <row r="27649" spans="129:129" x14ac:dyDescent="0.2">
      <c r="DY27649" s="185" t="s">
        <v>215</v>
      </c>
    </row>
    <row r="27650" spans="129:129" x14ac:dyDescent="0.2">
      <c r="DY27650" s="185" t="s">
        <v>215</v>
      </c>
    </row>
    <row r="27651" spans="129:129" x14ac:dyDescent="0.2">
      <c r="DY27651" s="185" t="s">
        <v>215</v>
      </c>
    </row>
    <row r="27652" spans="129:129" x14ac:dyDescent="0.2">
      <c r="DY27652" s="185" t="s">
        <v>215</v>
      </c>
    </row>
    <row r="27653" spans="129:129" x14ac:dyDescent="0.2">
      <c r="DY27653" s="185" t="s">
        <v>215</v>
      </c>
    </row>
    <row r="27654" spans="129:129" x14ac:dyDescent="0.2">
      <c r="DY27654" s="185" t="s">
        <v>215</v>
      </c>
    </row>
    <row r="27655" spans="129:129" x14ac:dyDescent="0.2">
      <c r="DY27655" s="185" t="s">
        <v>215</v>
      </c>
    </row>
    <row r="27656" spans="129:129" x14ac:dyDescent="0.2">
      <c r="DY27656" s="185" t="s">
        <v>215</v>
      </c>
    </row>
    <row r="27657" spans="129:129" x14ac:dyDescent="0.2">
      <c r="DY27657" s="185" t="s">
        <v>215</v>
      </c>
    </row>
    <row r="27658" spans="129:129" x14ac:dyDescent="0.2">
      <c r="DY27658" s="185" t="s">
        <v>215</v>
      </c>
    </row>
    <row r="27659" spans="129:129" x14ac:dyDescent="0.2">
      <c r="DY27659" s="185" t="s">
        <v>215</v>
      </c>
    </row>
    <row r="27660" spans="129:129" x14ac:dyDescent="0.2">
      <c r="DY27660" s="185" t="s">
        <v>215</v>
      </c>
    </row>
    <row r="27661" spans="129:129" x14ac:dyDescent="0.2">
      <c r="DY27661" s="185" t="s">
        <v>215</v>
      </c>
    </row>
    <row r="27662" spans="129:129" x14ac:dyDescent="0.2">
      <c r="DY27662" s="185" t="s">
        <v>215</v>
      </c>
    </row>
    <row r="27663" spans="129:129" x14ac:dyDescent="0.2">
      <c r="DY27663" s="185" t="s">
        <v>215</v>
      </c>
    </row>
    <row r="27664" spans="129:129" x14ac:dyDescent="0.2">
      <c r="DY27664" s="185" t="s">
        <v>215</v>
      </c>
    </row>
    <row r="27665" spans="129:129" x14ac:dyDescent="0.2">
      <c r="DY27665" s="185" t="s">
        <v>215</v>
      </c>
    </row>
    <row r="27666" spans="129:129" x14ac:dyDescent="0.2">
      <c r="DY27666" s="185" t="s">
        <v>215</v>
      </c>
    </row>
    <row r="27667" spans="129:129" x14ac:dyDescent="0.2">
      <c r="DY27667" s="185" t="s">
        <v>215</v>
      </c>
    </row>
    <row r="27668" spans="129:129" x14ac:dyDescent="0.2">
      <c r="DY27668" s="185" t="s">
        <v>215</v>
      </c>
    </row>
    <row r="27669" spans="129:129" x14ac:dyDescent="0.2">
      <c r="DY27669" s="185" t="s">
        <v>215</v>
      </c>
    </row>
    <row r="27670" spans="129:129" x14ac:dyDescent="0.2">
      <c r="DY27670" s="185" t="s">
        <v>215</v>
      </c>
    </row>
    <row r="27671" spans="129:129" x14ac:dyDescent="0.2">
      <c r="DY27671" s="185" t="s">
        <v>215</v>
      </c>
    </row>
    <row r="27672" spans="129:129" x14ac:dyDescent="0.2">
      <c r="DY27672" s="185" t="s">
        <v>215</v>
      </c>
    </row>
    <row r="27673" spans="129:129" x14ac:dyDescent="0.2">
      <c r="DY27673" s="185" t="s">
        <v>215</v>
      </c>
    </row>
    <row r="27674" spans="129:129" x14ac:dyDescent="0.2">
      <c r="DY27674" s="185" t="s">
        <v>215</v>
      </c>
    </row>
    <row r="27675" spans="129:129" x14ac:dyDescent="0.2">
      <c r="DY27675" s="185" t="s">
        <v>215</v>
      </c>
    </row>
    <row r="27676" spans="129:129" x14ac:dyDescent="0.2">
      <c r="DY27676" s="185" t="s">
        <v>215</v>
      </c>
    </row>
    <row r="27677" spans="129:129" x14ac:dyDescent="0.2">
      <c r="DY27677" s="185" t="s">
        <v>215</v>
      </c>
    </row>
    <row r="27678" spans="129:129" x14ac:dyDescent="0.2">
      <c r="DY27678" s="185" t="s">
        <v>215</v>
      </c>
    </row>
    <row r="27679" spans="129:129" x14ac:dyDescent="0.2">
      <c r="DY27679" s="185" t="s">
        <v>215</v>
      </c>
    </row>
    <row r="27680" spans="129:129" x14ac:dyDescent="0.2">
      <c r="DY27680" s="185" t="s">
        <v>215</v>
      </c>
    </row>
    <row r="27681" spans="129:129" x14ac:dyDescent="0.2">
      <c r="DY27681" s="185" t="s">
        <v>215</v>
      </c>
    </row>
    <row r="27682" spans="129:129" x14ac:dyDescent="0.2">
      <c r="DY27682" s="185" t="s">
        <v>215</v>
      </c>
    </row>
    <row r="27683" spans="129:129" x14ac:dyDescent="0.2">
      <c r="DY27683" s="185" t="s">
        <v>215</v>
      </c>
    </row>
    <row r="27684" spans="129:129" x14ac:dyDescent="0.2">
      <c r="DY27684" s="185" t="s">
        <v>215</v>
      </c>
    </row>
    <row r="27685" spans="129:129" x14ac:dyDescent="0.2">
      <c r="DY27685" s="185" t="s">
        <v>215</v>
      </c>
    </row>
    <row r="27686" spans="129:129" x14ac:dyDescent="0.2">
      <c r="DY27686" s="185" t="s">
        <v>215</v>
      </c>
    </row>
    <row r="27687" spans="129:129" x14ac:dyDescent="0.2">
      <c r="DY27687" s="185" t="s">
        <v>215</v>
      </c>
    </row>
    <row r="27688" spans="129:129" x14ac:dyDescent="0.2">
      <c r="DY27688" s="185" t="s">
        <v>215</v>
      </c>
    </row>
    <row r="27689" spans="129:129" x14ac:dyDescent="0.2">
      <c r="DY27689" s="185" t="s">
        <v>215</v>
      </c>
    </row>
    <row r="27690" spans="129:129" x14ac:dyDescent="0.2">
      <c r="DY27690" s="185" t="s">
        <v>215</v>
      </c>
    </row>
    <row r="27691" spans="129:129" x14ac:dyDescent="0.2">
      <c r="DY27691" s="185" t="s">
        <v>215</v>
      </c>
    </row>
    <row r="27692" spans="129:129" x14ac:dyDescent="0.2">
      <c r="DY27692" s="185" t="s">
        <v>215</v>
      </c>
    </row>
    <row r="27693" spans="129:129" x14ac:dyDescent="0.2">
      <c r="DY27693" s="185" t="s">
        <v>215</v>
      </c>
    </row>
    <row r="27694" spans="129:129" x14ac:dyDescent="0.2">
      <c r="DY27694" s="185" t="s">
        <v>215</v>
      </c>
    </row>
    <row r="27695" spans="129:129" x14ac:dyDescent="0.2">
      <c r="DY27695" s="185" t="s">
        <v>215</v>
      </c>
    </row>
    <row r="27696" spans="129:129" x14ac:dyDescent="0.2">
      <c r="DY27696" s="185" t="s">
        <v>215</v>
      </c>
    </row>
    <row r="27697" spans="129:129" x14ac:dyDescent="0.2">
      <c r="DY27697" s="185" t="s">
        <v>215</v>
      </c>
    </row>
    <row r="27698" spans="129:129" x14ac:dyDescent="0.2">
      <c r="DY27698" s="185" t="s">
        <v>215</v>
      </c>
    </row>
    <row r="27699" spans="129:129" x14ac:dyDescent="0.2">
      <c r="DY27699" s="185" t="s">
        <v>215</v>
      </c>
    </row>
    <row r="27700" spans="129:129" x14ac:dyDescent="0.2">
      <c r="DY27700" s="185" t="s">
        <v>215</v>
      </c>
    </row>
    <row r="27701" spans="129:129" x14ac:dyDescent="0.2">
      <c r="DY27701" s="185" t="s">
        <v>215</v>
      </c>
    </row>
    <row r="27702" spans="129:129" x14ac:dyDescent="0.2">
      <c r="DY27702" s="185" t="s">
        <v>215</v>
      </c>
    </row>
    <row r="27703" spans="129:129" x14ac:dyDescent="0.2">
      <c r="DY27703" s="185" t="s">
        <v>215</v>
      </c>
    </row>
    <row r="27704" spans="129:129" x14ac:dyDescent="0.2">
      <c r="DY27704" s="185" t="s">
        <v>215</v>
      </c>
    </row>
    <row r="27705" spans="129:129" x14ac:dyDescent="0.2">
      <c r="DY27705" s="185" t="s">
        <v>215</v>
      </c>
    </row>
    <row r="27706" spans="129:129" x14ac:dyDescent="0.2">
      <c r="DY27706" s="185" t="s">
        <v>215</v>
      </c>
    </row>
    <row r="27707" spans="129:129" x14ac:dyDescent="0.2">
      <c r="DY27707" s="185" t="s">
        <v>215</v>
      </c>
    </row>
    <row r="27708" spans="129:129" x14ac:dyDescent="0.2">
      <c r="DY27708" s="185" t="s">
        <v>215</v>
      </c>
    </row>
    <row r="27709" spans="129:129" x14ac:dyDescent="0.2">
      <c r="DY27709" s="185" t="s">
        <v>215</v>
      </c>
    </row>
    <row r="27710" spans="129:129" x14ac:dyDescent="0.2">
      <c r="DY27710" s="185" t="s">
        <v>215</v>
      </c>
    </row>
    <row r="27711" spans="129:129" x14ac:dyDescent="0.2">
      <c r="DY27711" s="185" t="s">
        <v>215</v>
      </c>
    </row>
    <row r="27712" spans="129:129" x14ac:dyDescent="0.2">
      <c r="DY27712" s="185" t="s">
        <v>215</v>
      </c>
    </row>
    <row r="27713" spans="129:129" x14ac:dyDescent="0.2">
      <c r="DY27713" s="185" t="s">
        <v>215</v>
      </c>
    </row>
    <row r="27714" spans="129:129" x14ac:dyDescent="0.2">
      <c r="DY27714" s="185" t="s">
        <v>215</v>
      </c>
    </row>
    <row r="27715" spans="129:129" x14ac:dyDescent="0.2">
      <c r="DY27715" s="185" t="s">
        <v>215</v>
      </c>
    </row>
    <row r="27716" spans="129:129" x14ac:dyDescent="0.2">
      <c r="DY27716" s="185" t="s">
        <v>215</v>
      </c>
    </row>
    <row r="27717" spans="129:129" x14ac:dyDescent="0.2">
      <c r="DY27717" s="185" t="s">
        <v>215</v>
      </c>
    </row>
    <row r="27718" spans="129:129" x14ac:dyDescent="0.2">
      <c r="DY27718" s="185" t="s">
        <v>215</v>
      </c>
    </row>
    <row r="27719" spans="129:129" x14ac:dyDescent="0.2">
      <c r="DY27719" s="185" t="s">
        <v>215</v>
      </c>
    </row>
    <row r="27720" spans="129:129" x14ac:dyDescent="0.2">
      <c r="DY27720" s="185" t="s">
        <v>215</v>
      </c>
    </row>
    <row r="27721" spans="129:129" x14ac:dyDescent="0.2">
      <c r="DY27721" s="185" t="s">
        <v>215</v>
      </c>
    </row>
    <row r="27722" spans="129:129" x14ac:dyDescent="0.2">
      <c r="DY27722" s="185" t="s">
        <v>215</v>
      </c>
    </row>
    <row r="27723" spans="129:129" x14ac:dyDescent="0.2">
      <c r="DY27723" s="185" t="s">
        <v>215</v>
      </c>
    </row>
    <row r="27724" spans="129:129" x14ac:dyDescent="0.2">
      <c r="DY27724" s="185" t="s">
        <v>215</v>
      </c>
    </row>
    <row r="27725" spans="129:129" x14ac:dyDescent="0.2">
      <c r="DY27725" s="185" t="s">
        <v>215</v>
      </c>
    </row>
    <row r="27726" spans="129:129" x14ac:dyDescent="0.2">
      <c r="DY27726" s="185" t="s">
        <v>215</v>
      </c>
    </row>
    <row r="27727" spans="129:129" x14ac:dyDescent="0.2">
      <c r="DY27727" s="185" t="s">
        <v>215</v>
      </c>
    </row>
    <row r="27728" spans="129:129" x14ac:dyDescent="0.2">
      <c r="DY27728" s="185" t="s">
        <v>215</v>
      </c>
    </row>
    <row r="27729" spans="129:129" x14ac:dyDescent="0.2">
      <c r="DY27729" s="185" t="s">
        <v>215</v>
      </c>
    </row>
    <row r="27730" spans="129:129" x14ac:dyDescent="0.2">
      <c r="DY27730" s="185" t="s">
        <v>215</v>
      </c>
    </row>
    <row r="27731" spans="129:129" x14ac:dyDescent="0.2">
      <c r="DY27731" s="185" t="s">
        <v>215</v>
      </c>
    </row>
    <row r="27732" spans="129:129" x14ac:dyDescent="0.2">
      <c r="DY27732" s="185" t="s">
        <v>215</v>
      </c>
    </row>
    <row r="27733" spans="129:129" x14ac:dyDescent="0.2">
      <c r="DY27733" s="185" t="s">
        <v>215</v>
      </c>
    </row>
    <row r="27734" spans="129:129" x14ac:dyDescent="0.2">
      <c r="DY27734" s="185" t="s">
        <v>215</v>
      </c>
    </row>
    <row r="27735" spans="129:129" x14ac:dyDescent="0.2">
      <c r="DY27735" s="185" t="s">
        <v>215</v>
      </c>
    </row>
    <row r="27736" spans="129:129" x14ac:dyDescent="0.2">
      <c r="DY27736" s="185" t="s">
        <v>215</v>
      </c>
    </row>
    <row r="27737" spans="129:129" x14ac:dyDescent="0.2">
      <c r="DY27737" s="185" t="s">
        <v>215</v>
      </c>
    </row>
    <row r="27738" spans="129:129" x14ac:dyDescent="0.2">
      <c r="DY27738" s="185" t="s">
        <v>215</v>
      </c>
    </row>
    <row r="27739" spans="129:129" x14ac:dyDescent="0.2">
      <c r="DY27739" s="185" t="s">
        <v>215</v>
      </c>
    </row>
    <row r="27740" spans="129:129" x14ac:dyDescent="0.2">
      <c r="DY27740" s="185" t="s">
        <v>215</v>
      </c>
    </row>
    <row r="27741" spans="129:129" x14ac:dyDescent="0.2">
      <c r="DY27741" s="185" t="s">
        <v>215</v>
      </c>
    </row>
    <row r="27742" spans="129:129" x14ac:dyDescent="0.2">
      <c r="DY27742" s="185" t="s">
        <v>215</v>
      </c>
    </row>
    <row r="27743" spans="129:129" x14ac:dyDescent="0.2">
      <c r="DY27743" s="185" t="s">
        <v>215</v>
      </c>
    </row>
    <row r="27744" spans="129:129" x14ac:dyDescent="0.2">
      <c r="DY27744" s="185" t="s">
        <v>215</v>
      </c>
    </row>
    <row r="27745" spans="129:129" x14ac:dyDescent="0.2">
      <c r="DY27745" s="185" t="s">
        <v>215</v>
      </c>
    </row>
    <row r="27746" spans="129:129" x14ac:dyDescent="0.2">
      <c r="DY27746" s="185" t="s">
        <v>215</v>
      </c>
    </row>
    <row r="27747" spans="129:129" x14ac:dyDescent="0.2">
      <c r="DY27747" s="185" t="s">
        <v>215</v>
      </c>
    </row>
    <row r="27748" spans="129:129" x14ac:dyDescent="0.2">
      <c r="DY27748" s="185" t="s">
        <v>215</v>
      </c>
    </row>
    <row r="27749" spans="129:129" x14ac:dyDescent="0.2">
      <c r="DY27749" s="185" t="s">
        <v>215</v>
      </c>
    </row>
    <row r="27750" spans="129:129" x14ac:dyDescent="0.2">
      <c r="DY27750" s="185" t="s">
        <v>215</v>
      </c>
    </row>
    <row r="27751" spans="129:129" x14ac:dyDescent="0.2">
      <c r="DY27751" s="185" t="s">
        <v>215</v>
      </c>
    </row>
    <row r="27752" spans="129:129" x14ac:dyDescent="0.2">
      <c r="DY27752" s="185" t="s">
        <v>215</v>
      </c>
    </row>
    <row r="27753" spans="129:129" x14ac:dyDescent="0.2">
      <c r="DY27753" s="185" t="s">
        <v>215</v>
      </c>
    </row>
    <row r="27754" spans="129:129" x14ac:dyDescent="0.2">
      <c r="DY27754" s="185" t="s">
        <v>215</v>
      </c>
    </row>
    <row r="27755" spans="129:129" x14ac:dyDescent="0.2">
      <c r="DY27755" s="185" t="s">
        <v>215</v>
      </c>
    </row>
    <row r="27756" spans="129:129" x14ac:dyDescent="0.2">
      <c r="DY27756" s="185" t="s">
        <v>215</v>
      </c>
    </row>
    <row r="27757" spans="129:129" x14ac:dyDescent="0.2">
      <c r="DY27757" s="185" t="s">
        <v>215</v>
      </c>
    </row>
    <row r="27758" spans="129:129" x14ac:dyDescent="0.2">
      <c r="DY27758" s="185" t="s">
        <v>215</v>
      </c>
    </row>
    <row r="27759" spans="129:129" x14ac:dyDescent="0.2">
      <c r="DY27759" s="185" t="s">
        <v>215</v>
      </c>
    </row>
    <row r="27760" spans="129:129" x14ac:dyDescent="0.2">
      <c r="DY27760" s="185" t="s">
        <v>215</v>
      </c>
    </row>
    <row r="27761" spans="129:129" x14ac:dyDescent="0.2">
      <c r="DY27761" s="185" t="s">
        <v>215</v>
      </c>
    </row>
    <row r="27762" spans="129:129" x14ac:dyDescent="0.2">
      <c r="DY27762" s="185" t="s">
        <v>215</v>
      </c>
    </row>
    <row r="27763" spans="129:129" x14ac:dyDescent="0.2">
      <c r="DY27763" s="185" t="s">
        <v>215</v>
      </c>
    </row>
    <row r="27764" spans="129:129" x14ac:dyDescent="0.2">
      <c r="DY27764" s="185" t="s">
        <v>215</v>
      </c>
    </row>
    <row r="27765" spans="129:129" x14ac:dyDescent="0.2">
      <c r="DY27765" s="185" t="s">
        <v>215</v>
      </c>
    </row>
    <row r="27766" spans="129:129" x14ac:dyDescent="0.2">
      <c r="DY27766" s="185" t="s">
        <v>215</v>
      </c>
    </row>
    <row r="27767" spans="129:129" x14ac:dyDescent="0.2">
      <c r="DY27767" s="185" t="s">
        <v>215</v>
      </c>
    </row>
    <row r="27768" spans="129:129" x14ac:dyDescent="0.2">
      <c r="DY27768" s="185" t="s">
        <v>215</v>
      </c>
    </row>
    <row r="27769" spans="129:129" x14ac:dyDescent="0.2">
      <c r="DY27769" s="185" t="s">
        <v>215</v>
      </c>
    </row>
    <row r="27770" spans="129:129" x14ac:dyDescent="0.2">
      <c r="DY27770" s="185" t="s">
        <v>215</v>
      </c>
    </row>
    <row r="27771" spans="129:129" x14ac:dyDescent="0.2">
      <c r="DY27771" s="185" t="s">
        <v>215</v>
      </c>
    </row>
    <row r="27772" spans="129:129" x14ac:dyDescent="0.2">
      <c r="DY27772" s="185" t="s">
        <v>215</v>
      </c>
    </row>
    <row r="27773" spans="129:129" x14ac:dyDescent="0.2">
      <c r="DY27773" s="185" t="s">
        <v>215</v>
      </c>
    </row>
    <row r="27774" spans="129:129" x14ac:dyDescent="0.2">
      <c r="DY27774" s="185" t="s">
        <v>215</v>
      </c>
    </row>
    <row r="27775" spans="129:129" x14ac:dyDescent="0.2">
      <c r="DY27775" s="185" t="s">
        <v>215</v>
      </c>
    </row>
    <row r="27776" spans="129:129" x14ac:dyDescent="0.2">
      <c r="DY27776" s="185" t="s">
        <v>215</v>
      </c>
    </row>
    <row r="27777" spans="129:129" x14ac:dyDescent="0.2">
      <c r="DY27777" s="185" t="s">
        <v>215</v>
      </c>
    </row>
    <row r="27778" spans="129:129" x14ac:dyDescent="0.2">
      <c r="DY27778" s="185" t="s">
        <v>215</v>
      </c>
    </row>
    <row r="27779" spans="129:129" x14ac:dyDescent="0.2">
      <c r="DY27779" s="185" t="s">
        <v>215</v>
      </c>
    </row>
    <row r="27780" spans="129:129" x14ac:dyDescent="0.2">
      <c r="DY27780" s="185" t="s">
        <v>215</v>
      </c>
    </row>
    <row r="27781" spans="129:129" x14ac:dyDescent="0.2">
      <c r="DY27781" s="185" t="s">
        <v>215</v>
      </c>
    </row>
    <row r="27782" spans="129:129" x14ac:dyDescent="0.2">
      <c r="DY27782" s="185" t="s">
        <v>215</v>
      </c>
    </row>
    <row r="27783" spans="129:129" x14ac:dyDescent="0.2">
      <c r="DY27783" s="185" t="s">
        <v>215</v>
      </c>
    </row>
    <row r="27784" spans="129:129" x14ac:dyDescent="0.2">
      <c r="DY27784" s="185" t="s">
        <v>215</v>
      </c>
    </row>
    <row r="27785" spans="129:129" x14ac:dyDescent="0.2">
      <c r="DY27785" s="185" t="s">
        <v>215</v>
      </c>
    </row>
    <row r="27786" spans="129:129" x14ac:dyDescent="0.2">
      <c r="DY27786" s="185" t="s">
        <v>215</v>
      </c>
    </row>
    <row r="27787" spans="129:129" x14ac:dyDescent="0.2">
      <c r="DY27787" s="185" t="s">
        <v>215</v>
      </c>
    </row>
    <row r="27788" spans="129:129" x14ac:dyDescent="0.2">
      <c r="DY27788" s="185" t="s">
        <v>215</v>
      </c>
    </row>
    <row r="27789" spans="129:129" x14ac:dyDescent="0.2">
      <c r="DY27789" s="185" t="s">
        <v>215</v>
      </c>
    </row>
    <row r="27790" spans="129:129" x14ac:dyDescent="0.2">
      <c r="DY27790" s="185" t="s">
        <v>215</v>
      </c>
    </row>
    <row r="27791" spans="129:129" x14ac:dyDescent="0.2">
      <c r="DY27791" s="185" t="s">
        <v>215</v>
      </c>
    </row>
    <row r="27792" spans="129:129" x14ac:dyDescent="0.2">
      <c r="DY27792" s="185" t="s">
        <v>215</v>
      </c>
    </row>
    <row r="27793" spans="129:129" x14ac:dyDescent="0.2">
      <c r="DY27793" s="185" t="s">
        <v>215</v>
      </c>
    </row>
    <row r="27794" spans="129:129" x14ac:dyDescent="0.2">
      <c r="DY27794" s="185" t="s">
        <v>215</v>
      </c>
    </row>
    <row r="27795" spans="129:129" x14ac:dyDescent="0.2">
      <c r="DY27795" s="185" t="s">
        <v>215</v>
      </c>
    </row>
    <row r="27796" spans="129:129" x14ac:dyDescent="0.2">
      <c r="DY27796" s="185" t="s">
        <v>215</v>
      </c>
    </row>
    <row r="27797" spans="129:129" x14ac:dyDescent="0.2">
      <c r="DY27797" s="185" t="s">
        <v>215</v>
      </c>
    </row>
    <row r="27798" spans="129:129" x14ac:dyDescent="0.2">
      <c r="DY27798" s="185" t="s">
        <v>215</v>
      </c>
    </row>
    <row r="27799" spans="129:129" x14ac:dyDescent="0.2">
      <c r="DY27799" s="185" t="s">
        <v>215</v>
      </c>
    </row>
    <row r="27800" spans="129:129" x14ac:dyDescent="0.2">
      <c r="DY27800" s="185" t="s">
        <v>215</v>
      </c>
    </row>
    <row r="27801" spans="129:129" x14ac:dyDescent="0.2">
      <c r="DY27801" s="185" t="s">
        <v>215</v>
      </c>
    </row>
    <row r="27802" spans="129:129" x14ac:dyDescent="0.2">
      <c r="DY27802" s="185" t="s">
        <v>215</v>
      </c>
    </row>
    <row r="27803" spans="129:129" x14ac:dyDescent="0.2">
      <c r="DY27803" s="185" t="s">
        <v>215</v>
      </c>
    </row>
    <row r="27804" spans="129:129" x14ac:dyDescent="0.2">
      <c r="DY27804" s="185" t="s">
        <v>215</v>
      </c>
    </row>
    <row r="27805" spans="129:129" x14ac:dyDescent="0.2">
      <c r="DY27805" s="185" t="s">
        <v>215</v>
      </c>
    </row>
    <row r="27806" spans="129:129" x14ac:dyDescent="0.2">
      <c r="DY27806" s="185" t="s">
        <v>215</v>
      </c>
    </row>
    <row r="27807" spans="129:129" x14ac:dyDescent="0.2">
      <c r="DY27807" s="185" t="s">
        <v>215</v>
      </c>
    </row>
    <row r="27808" spans="129:129" x14ac:dyDescent="0.2">
      <c r="DY27808" s="185" t="s">
        <v>215</v>
      </c>
    </row>
    <row r="27809" spans="129:129" x14ac:dyDescent="0.2">
      <c r="DY27809" s="185" t="s">
        <v>215</v>
      </c>
    </row>
    <row r="27810" spans="129:129" x14ac:dyDescent="0.2">
      <c r="DY27810" s="185" t="s">
        <v>215</v>
      </c>
    </row>
    <row r="27811" spans="129:129" x14ac:dyDescent="0.2">
      <c r="DY27811" s="185" t="s">
        <v>215</v>
      </c>
    </row>
    <row r="27812" spans="129:129" x14ac:dyDescent="0.2">
      <c r="DY27812" s="185" t="s">
        <v>215</v>
      </c>
    </row>
    <row r="27813" spans="129:129" x14ac:dyDescent="0.2">
      <c r="DY27813" s="185" t="s">
        <v>215</v>
      </c>
    </row>
    <row r="27814" spans="129:129" x14ac:dyDescent="0.2">
      <c r="DY27814" s="185" t="s">
        <v>215</v>
      </c>
    </row>
    <row r="27815" spans="129:129" x14ac:dyDescent="0.2">
      <c r="DY27815" s="185" t="s">
        <v>215</v>
      </c>
    </row>
    <row r="27816" spans="129:129" x14ac:dyDescent="0.2">
      <c r="DY27816" s="185" t="s">
        <v>215</v>
      </c>
    </row>
    <row r="27817" spans="129:129" x14ac:dyDescent="0.2">
      <c r="DY27817" s="185" t="s">
        <v>215</v>
      </c>
    </row>
    <row r="27818" spans="129:129" x14ac:dyDescent="0.2">
      <c r="DY27818" s="185" t="s">
        <v>215</v>
      </c>
    </row>
    <row r="27819" spans="129:129" x14ac:dyDescent="0.2">
      <c r="DY27819" s="185" t="s">
        <v>215</v>
      </c>
    </row>
    <row r="27820" spans="129:129" x14ac:dyDescent="0.2">
      <c r="DY27820" s="185" t="s">
        <v>215</v>
      </c>
    </row>
    <row r="27821" spans="129:129" x14ac:dyDescent="0.2">
      <c r="DY27821" s="185" t="s">
        <v>215</v>
      </c>
    </row>
    <row r="27822" spans="129:129" x14ac:dyDescent="0.2">
      <c r="DY27822" s="185" t="s">
        <v>215</v>
      </c>
    </row>
    <row r="27823" spans="129:129" x14ac:dyDescent="0.2">
      <c r="DY27823" s="185" t="s">
        <v>215</v>
      </c>
    </row>
    <row r="27824" spans="129:129" x14ac:dyDescent="0.2">
      <c r="DY27824" s="185" t="s">
        <v>215</v>
      </c>
    </row>
    <row r="27825" spans="129:129" x14ac:dyDescent="0.2">
      <c r="DY27825" s="185" t="s">
        <v>215</v>
      </c>
    </row>
    <row r="27826" spans="129:129" x14ac:dyDescent="0.2">
      <c r="DY27826" s="185" t="s">
        <v>215</v>
      </c>
    </row>
    <row r="27827" spans="129:129" x14ac:dyDescent="0.2">
      <c r="DY27827" s="185" t="s">
        <v>215</v>
      </c>
    </row>
    <row r="27828" spans="129:129" x14ac:dyDescent="0.2">
      <c r="DY27828" s="185" t="s">
        <v>215</v>
      </c>
    </row>
    <row r="27829" spans="129:129" x14ac:dyDescent="0.2">
      <c r="DY27829" s="185" t="s">
        <v>215</v>
      </c>
    </row>
    <row r="27830" spans="129:129" x14ac:dyDescent="0.2">
      <c r="DY27830" s="185" t="s">
        <v>215</v>
      </c>
    </row>
    <row r="27831" spans="129:129" x14ac:dyDescent="0.2">
      <c r="DY27831" s="185" t="s">
        <v>215</v>
      </c>
    </row>
    <row r="27832" spans="129:129" x14ac:dyDescent="0.2">
      <c r="DY27832" s="185" t="s">
        <v>215</v>
      </c>
    </row>
    <row r="27833" spans="129:129" x14ac:dyDescent="0.2">
      <c r="DY27833" s="185" t="s">
        <v>215</v>
      </c>
    </row>
    <row r="27834" spans="129:129" x14ac:dyDescent="0.2">
      <c r="DY27834" s="185" t="s">
        <v>215</v>
      </c>
    </row>
    <row r="27835" spans="129:129" x14ac:dyDescent="0.2">
      <c r="DY27835" s="185" t="s">
        <v>215</v>
      </c>
    </row>
    <row r="27836" spans="129:129" x14ac:dyDescent="0.2">
      <c r="DY27836" s="185" t="s">
        <v>215</v>
      </c>
    </row>
    <row r="27837" spans="129:129" x14ac:dyDescent="0.2">
      <c r="DY27837" s="185" t="s">
        <v>215</v>
      </c>
    </row>
    <row r="27838" spans="129:129" x14ac:dyDescent="0.2">
      <c r="DY27838" s="185" t="s">
        <v>215</v>
      </c>
    </row>
    <row r="27839" spans="129:129" x14ac:dyDescent="0.2">
      <c r="DY27839" s="185" t="s">
        <v>215</v>
      </c>
    </row>
    <row r="27840" spans="129:129" x14ac:dyDescent="0.2">
      <c r="DY27840" s="185" t="s">
        <v>215</v>
      </c>
    </row>
    <row r="27841" spans="129:129" x14ac:dyDescent="0.2">
      <c r="DY27841" s="185" t="s">
        <v>215</v>
      </c>
    </row>
    <row r="27842" spans="129:129" x14ac:dyDescent="0.2">
      <c r="DY27842" s="185" t="s">
        <v>215</v>
      </c>
    </row>
    <row r="27843" spans="129:129" x14ac:dyDescent="0.2">
      <c r="DY27843" s="185" t="s">
        <v>215</v>
      </c>
    </row>
    <row r="27844" spans="129:129" x14ac:dyDescent="0.2">
      <c r="DY27844" s="185" t="s">
        <v>215</v>
      </c>
    </row>
    <row r="27845" spans="129:129" x14ac:dyDescent="0.2">
      <c r="DY27845" s="185" t="s">
        <v>215</v>
      </c>
    </row>
    <row r="27846" spans="129:129" x14ac:dyDescent="0.2">
      <c r="DY27846" s="185" t="s">
        <v>215</v>
      </c>
    </row>
    <row r="27847" spans="129:129" x14ac:dyDescent="0.2">
      <c r="DY27847" s="185" t="s">
        <v>215</v>
      </c>
    </row>
    <row r="27848" spans="129:129" x14ac:dyDescent="0.2">
      <c r="DY27848" s="185" t="s">
        <v>215</v>
      </c>
    </row>
    <row r="27849" spans="129:129" x14ac:dyDescent="0.2">
      <c r="DY27849" s="185" t="s">
        <v>215</v>
      </c>
    </row>
    <row r="27850" spans="129:129" x14ac:dyDescent="0.2">
      <c r="DY27850" s="185" t="s">
        <v>215</v>
      </c>
    </row>
    <row r="27851" spans="129:129" x14ac:dyDescent="0.2">
      <c r="DY27851" s="185" t="s">
        <v>215</v>
      </c>
    </row>
    <row r="27852" spans="129:129" x14ac:dyDescent="0.2">
      <c r="DY27852" s="185" t="s">
        <v>215</v>
      </c>
    </row>
    <row r="27853" spans="129:129" x14ac:dyDescent="0.2">
      <c r="DY27853" s="185" t="s">
        <v>215</v>
      </c>
    </row>
    <row r="27854" spans="129:129" x14ac:dyDescent="0.2">
      <c r="DY27854" s="185" t="s">
        <v>215</v>
      </c>
    </row>
    <row r="27855" spans="129:129" x14ac:dyDescent="0.2">
      <c r="DY27855" s="185" t="s">
        <v>215</v>
      </c>
    </row>
    <row r="27856" spans="129:129" x14ac:dyDescent="0.2">
      <c r="DY27856" s="185" t="s">
        <v>215</v>
      </c>
    </row>
    <row r="27857" spans="129:129" x14ac:dyDescent="0.2">
      <c r="DY27857" s="185" t="s">
        <v>215</v>
      </c>
    </row>
    <row r="27858" spans="129:129" x14ac:dyDescent="0.2">
      <c r="DY27858" s="185" t="s">
        <v>215</v>
      </c>
    </row>
    <row r="27859" spans="129:129" x14ac:dyDescent="0.2">
      <c r="DY27859" s="185" t="s">
        <v>215</v>
      </c>
    </row>
    <row r="27860" spans="129:129" x14ac:dyDescent="0.2">
      <c r="DY27860" s="185" t="s">
        <v>215</v>
      </c>
    </row>
    <row r="27861" spans="129:129" x14ac:dyDescent="0.2">
      <c r="DY27861" s="185" t="s">
        <v>215</v>
      </c>
    </row>
    <row r="27862" spans="129:129" x14ac:dyDescent="0.2">
      <c r="DY27862" s="185" t="s">
        <v>215</v>
      </c>
    </row>
    <row r="27863" spans="129:129" x14ac:dyDescent="0.2">
      <c r="DY27863" s="185" t="s">
        <v>215</v>
      </c>
    </row>
    <row r="27864" spans="129:129" x14ac:dyDescent="0.2">
      <c r="DY27864" s="185" t="s">
        <v>215</v>
      </c>
    </row>
    <row r="27865" spans="129:129" x14ac:dyDescent="0.2">
      <c r="DY27865" s="185" t="s">
        <v>215</v>
      </c>
    </row>
    <row r="27866" spans="129:129" x14ac:dyDescent="0.2">
      <c r="DY27866" s="185" t="s">
        <v>215</v>
      </c>
    </row>
    <row r="27867" spans="129:129" x14ac:dyDescent="0.2">
      <c r="DY27867" s="185" t="s">
        <v>215</v>
      </c>
    </row>
    <row r="27868" spans="129:129" x14ac:dyDescent="0.2">
      <c r="DY27868" s="185" t="s">
        <v>215</v>
      </c>
    </row>
    <row r="27869" spans="129:129" x14ac:dyDescent="0.2">
      <c r="DY27869" s="185" t="s">
        <v>215</v>
      </c>
    </row>
    <row r="27870" spans="129:129" x14ac:dyDescent="0.2">
      <c r="DY27870" s="185" t="s">
        <v>215</v>
      </c>
    </row>
    <row r="27871" spans="129:129" x14ac:dyDescent="0.2">
      <c r="DY27871" s="185" t="s">
        <v>215</v>
      </c>
    </row>
    <row r="27872" spans="129:129" x14ac:dyDescent="0.2">
      <c r="DY27872" s="185" t="s">
        <v>215</v>
      </c>
    </row>
    <row r="27873" spans="129:129" x14ac:dyDescent="0.2">
      <c r="DY27873" s="185" t="s">
        <v>215</v>
      </c>
    </row>
    <row r="27874" spans="129:129" x14ac:dyDescent="0.2">
      <c r="DY27874" s="185" t="s">
        <v>215</v>
      </c>
    </row>
    <row r="27875" spans="129:129" x14ac:dyDescent="0.2">
      <c r="DY27875" s="185" t="s">
        <v>215</v>
      </c>
    </row>
    <row r="27876" spans="129:129" x14ac:dyDescent="0.2">
      <c r="DY27876" s="185" t="s">
        <v>215</v>
      </c>
    </row>
    <row r="27877" spans="129:129" x14ac:dyDescent="0.2">
      <c r="DY27877" s="185" t="s">
        <v>215</v>
      </c>
    </row>
    <row r="27878" spans="129:129" x14ac:dyDescent="0.2">
      <c r="DY27878" s="185" t="s">
        <v>215</v>
      </c>
    </row>
    <row r="27879" spans="129:129" x14ac:dyDescent="0.2">
      <c r="DY27879" s="185" t="s">
        <v>215</v>
      </c>
    </row>
    <row r="27880" spans="129:129" x14ac:dyDescent="0.2">
      <c r="DY27880" s="185" t="s">
        <v>215</v>
      </c>
    </row>
    <row r="27881" spans="129:129" x14ac:dyDescent="0.2">
      <c r="DY27881" s="185" t="s">
        <v>215</v>
      </c>
    </row>
    <row r="27882" spans="129:129" x14ac:dyDescent="0.2">
      <c r="DY27882" s="185" t="s">
        <v>215</v>
      </c>
    </row>
    <row r="27883" spans="129:129" x14ac:dyDescent="0.2">
      <c r="DY27883" s="185" t="s">
        <v>215</v>
      </c>
    </row>
    <row r="27884" spans="129:129" x14ac:dyDescent="0.2">
      <c r="DY27884" s="185" t="s">
        <v>215</v>
      </c>
    </row>
    <row r="27885" spans="129:129" x14ac:dyDescent="0.2">
      <c r="DY27885" s="185" t="s">
        <v>215</v>
      </c>
    </row>
    <row r="27886" spans="129:129" x14ac:dyDescent="0.2">
      <c r="DY27886" s="185" t="s">
        <v>215</v>
      </c>
    </row>
    <row r="27887" spans="129:129" x14ac:dyDescent="0.2">
      <c r="DY27887" s="185" t="s">
        <v>215</v>
      </c>
    </row>
    <row r="27888" spans="129:129" x14ac:dyDescent="0.2">
      <c r="DY27888" s="185" t="s">
        <v>215</v>
      </c>
    </row>
    <row r="27889" spans="129:129" x14ac:dyDescent="0.2">
      <c r="DY27889" s="185" t="s">
        <v>215</v>
      </c>
    </row>
    <row r="27890" spans="129:129" x14ac:dyDescent="0.2">
      <c r="DY27890" s="185" t="s">
        <v>215</v>
      </c>
    </row>
    <row r="27891" spans="129:129" x14ac:dyDescent="0.2">
      <c r="DY27891" s="185" t="s">
        <v>215</v>
      </c>
    </row>
    <row r="27892" spans="129:129" x14ac:dyDescent="0.2">
      <c r="DY27892" s="185" t="s">
        <v>215</v>
      </c>
    </row>
    <row r="27893" spans="129:129" x14ac:dyDescent="0.2">
      <c r="DY27893" s="185" t="s">
        <v>215</v>
      </c>
    </row>
    <row r="27894" spans="129:129" x14ac:dyDescent="0.2">
      <c r="DY27894" s="185" t="s">
        <v>215</v>
      </c>
    </row>
    <row r="27895" spans="129:129" x14ac:dyDescent="0.2">
      <c r="DY27895" s="185" t="s">
        <v>215</v>
      </c>
    </row>
    <row r="27896" spans="129:129" x14ac:dyDescent="0.2">
      <c r="DY27896" s="185" t="s">
        <v>215</v>
      </c>
    </row>
    <row r="27897" spans="129:129" x14ac:dyDescent="0.2">
      <c r="DY27897" s="185" t="s">
        <v>215</v>
      </c>
    </row>
    <row r="27898" spans="129:129" x14ac:dyDescent="0.2">
      <c r="DY27898" s="185" t="s">
        <v>215</v>
      </c>
    </row>
    <row r="27899" spans="129:129" x14ac:dyDescent="0.2">
      <c r="DY27899" s="185" t="s">
        <v>215</v>
      </c>
    </row>
    <row r="27900" spans="129:129" x14ac:dyDescent="0.2">
      <c r="DY27900" s="185" t="s">
        <v>215</v>
      </c>
    </row>
    <row r="27901" spans="129:129" x14ac:dyDescent="0.2">
      <c r="DY27901" s="185" t="s">
        <v>215</v>
      </c>
    </row>
    <row r="27902" spans="129:129" x14ac:dyDescent="0.2">
      <c r="DY27902" s="185" t="s">
        <v>215</v>
      </c>
    </row>
    <row r="27903" spans="129:129" x14ac:dyDescent="0.2">
      <c r="DY27903" s="185" t="s">
        <v>215</v>
      </c>
    </row>
    <row r="27904" spans="129:129" x14ac:dyDescent="0.2">
      <c r="DY27904" s="185" t="s">
        <v>215</v>
      </c>
    </row>
    <row r="27905" spans="129:129" x14ac:dyDescent="0.2">
      <c r="DY27905" s="185" t="s">
        <v>215</v>
      </c>
    </row>
    <row r="27906" spans="129:129" x14ac:dyDescent="0.2">
      <c r="DY27906" s="185" t="s">
        <v>215</v>
      </c>
    </row>
    <row r="27907" spans="129:129" x14ac:dyDescent="0.2">
      <c r="DY27907" s="185" t="s">
        <v>215</v>
      </c>
    </row>
    <row r="27908" spans="129:129" x14ac:dyDescent="0.2">
      <c r="DY27908" s="185" t="s">
        <v>215</v>
      </c>
    </row>
    <row r="27909" spans="129:129" x14ac:dyDescent="0.2">
      <c r="DY27909" s="185" t="s">
        <v>215</v>
      </c>
    </row>
    <row r="27910" spans="129:129" x14ac:dyDescent="0.2">
      <c r="DY27910" s="185" t="s">
        <v>215</v>
      </c>
    </row>
    <row r="27911" spans="129:129" x14ac:dyDescent="0.2">
      <c r="DY27911" s="185" t="s">
        <v>215</v>
      </c>
    </row>
    <row r="27912" spans="129:129" x14ac:dyDescent="0.2">
      <c r="DY27912" s="185" t="s">
        <v>215</v>
      </c>
    </row>
    <row r="27913" spans="129:129" x14ac:dyDescent="0.2">
      <c r="DY27913" s="185" t="s">
        <v>215</v>
      </c>
    </row>
    <row r="27914" spans="129:129" x14ac:dyDescent="0.2">
      <c r="DY27914" s="185" t="s">
        <v>215</v>
      </c>
    </row>
    <row r="27915" spans="129:129" x14ac:dyDescent="0.2">
      <c r="DY27915" s="185" t="s">
        <v>215</v>
      </c>
    </row>
    <row r="27916" spans="129:129" x14ac:dyDescent="0.2">
      <c r="DY27916" s="185" t="s">
        <v>215</v>
      </c>
    </row>
    <row r="27917" spans="129:129" x14ac:dyDescent="0.2">
      <c r="DY27917" s="185" t="s">
        <v>215</v>
      </c>
    </row>
    <row r="27918" spans="129:129" x14ac:dyDescent="0.2">
      <c r="DY27918" s="185" t="s">
        <v>215</v>
      </c>
    </row>
    <row r="27919" spans="129:129" x14ac:dyDescent="0.2">
      <c r="DY27919" s="185" t="s">
        <v>215</v>
      </c>
    </row>
    <row r="27920" spans="129:129" x14ac:dyDescent="0.2">
      <c r="DY27920" s="185" t="s">
        <v>215</v>
      </c>
    </row>
    <row r="27921" spans="129:129" x14ac:dyDescent="0.2">
      <c r="DY27921" s="185" t="s">
        <v>215</v>
      </c>
    </row>
    <row r="27922" spans="129:129" x14ac:dyDescent="0.2">
      <c r="DY27922" s="185" t="s">
        <v>215</v>
      </c>
    </row>
    <row r="27923" spans="129:129" x14ac:dyDescent="0.2">
      <c r="DY27923" s="185" t="s">
        <v>215</v>
      </c>
    </row>
    <row r="27924" spans="129:129" x14ac:dyDescent="0.2">
      <c r="DY27924" s="185" t="s">
        <v>215</v>
      </c>
    </row>
    <row r="27925" spans="129:129" x14ac:dyDescent="0.2">
      <c r="DY27925" s="185" t="s">
        <v>215</v>
      </c>
    </row>
    <row r="27926" spans="129:129" x14ac:dyDescent="0.2">
      <c r="DY27926" s="185" t="s">
        <v>215</v>
      </c>
    </row>
    <row r="27927" spans="129:129" x14ac:dyDescent="0.2">
      <c r="DY27927" s="185" t="s">
        <v>215</v>
      </c>
    </row>
    <row r="27928" spans="129:129" x14ac:dyDescent="0.2">
      <c r="DY27928" s="185" t="s">
        <v>215</v>
      </c>
    </row>
    <row r="27929" spans="129:129" x14ac:dyDescent="0.2">
      <c r="DY27929" s="185" t="s">
        <v>215</v>
      </c>
    </row>
    <row r="27930" spans="129:129" x14ac:dyDescent="0.2">
      <c r="DY27930" s="185" t="s">
        <v>215</v>
      </c>
    </row>
    <row r="27931" spans="129:129" x14ac:dyDescent="0.2">
      <c r="DY27931" s="185" t="s">
        <v>215</v>
      </c>
    </row>
    <row r="27932" spans="129:129" x14ac:dyDescent="0.2">
      <c r="DY27932" s="185" t="s">
        <v>215</v>
      </c>
    </row>
    <row r="27933" spans="129:129" x14ac:dyDescent="0.2">
      <c r="DY27933" s="185" t="s">
        <v>215</v>
      </c>
    </row>
    <row r="27934" spans="129:129" x14ac:dyDescent="0.2">
      <c r="DY27934" s="185" t="s">
        <v>215</v>
      </c>
    </row>
    <row r="27935" spans="129:129" x14ac:dyDescent="0.2">
      <c r="DY27935" s="185" t="s">
        <v>215</v>
      </c>
    </row>
    <row r="27936" spans="129:129" x14ac:dyDescent="0.2">
      <c r="DY27936" s="185" t="s">
        <v>215</v>
      </c>
    </row>
    <row r="27937" spans="129:129" x14ac:dyDescent="0.2">
      <c r="DY27937" s="185" t="s">
        <v>215</v>
      </c>
    </row>
    <row r="27938" spans="129:129" x14ac:dyDescent="0.2">
      <c r="DY27938" s="185" t="s">
        <v>215</v>
      </c>
    </row>
    <row r="27939" spans="129:129" x14ac:dyDescent="0.2">
      <c r="DY27939" s="185" t="s">
        <v>215</v>
      </c>
    </row>
    <row r="27940" spans="129:129" x14ac:dyDescent="0.2">
      <c r="DY27940" s="185" t="s">
        <v>215</v>
      </c>
    </row>
    <row r="27941" spans="129:129" x14ac:dyDescent="0.2">
      <c r="DY27941" s="185" t="s">
        <v>215</v>
      </c>
    </row>
    <row r="27942" spans="129:129" x14ac:dyDescent="0.2">
      <c r="DY27942" s="185" t="s">
        <v>215</v>
      </c>
    </row>
    <row r="27943" spans="129:129" x14ac:dyDescent="0.2">
      <c r="DY27943" s="185" t="s">
        <v>215</v>
      </c>
    </row>
    <row r="27944" spans="129:129" x14ac:dyDescent="0.2">
      <c r="DY27944" s="185" t="s">
        <v>215</v>
      </c>
    </row>
    <row r="27945" spans="129:129" x14ac:dyDescent="0.2">
      <c r="DY27945" s="185" t="s">
        <v>215</v>
      </c>
    </row>
    <row r="27946" spans="129:129" x14ac:dyDescent="0.2">
      <c r="DY27946" s="185" t="s">
        <v>215</v>
      </c>
    </row>
    <row r="27947" spans="129:129" x14ac:dyDescent="0.2">
      <c r="DY27947" s="185" t="s">
        <v>215</v>
      </c>
    </row>
    <row r="27948" spans="129:129" x14ac:dyDescent="0.2">
      <c r="DY27948" s="185" t="s">
        <v>215</v>
      </c>
    </row>
    <row r="27949" spans="129:129" x14ac:dyDescent="0.2">
      <c r="DY27949" s="185" t="s">
        <v>215</v>
      </c>
    </row>
    <row r="27950" spans="129:129" x14ac:dyDescent="0.2">
      <c r="DY27950" s="185" t="s">
        <v>215</v>
      </c>
    </row>
    <row r="27951" spans="129:129" x14ac:dyDescent="0.2">
      <c r="DY27951" s="185" t="s">
        <v>215</v>
      </c>
    </row>
    <row r="27952" spans="129:129" x14ac:dyDescent="0.2">
      <c r="DY27952" s="185" t="s">
        <v>215</v>
      </c>
    </row>
    <row r="27953" spans="129:129" x14ac:dyDescent="0.2">
      <c r="DY27953" s="185" t="s">
        <v>215</v>
      </c>
    </row>
    <row r="27954" spans="129:129" x14ac:dyDescent="0.2">
      <c r="DY27954" s="185" t="s">
        <v>215</v>
      </c>
    </row>
    <row r="27955" spans="129:129" x14ac:dyDescent="0.2">
      <c r="DY27955" s="185" t="s">
        <v>215</v>
      </c>
    </row>
    <row r="27956" spans="129:129" x14ac:dyDescent="0.2">
      <c r="DY27956" s="185" t="s">
        <v>215</v>
      </c>
    </row>
    <row r="27957" spans="129:129" x14ac:dyDescent="0.2">
      <c r="DY27957" s="185" t="s">
        <v>215</v>
      </c>
    </row>
    <row r="27958" spans="129:129" x14ac:dyDescent="0.2">
      <c r="DY27958" s="185" t="s">
        <v>215</v>
      </c>
    </row>
    <row r="27959" spans="129:129" x14ac:dyDescent="0.2">
      <c r="DY27959" s="185" t="s">
        <v>215</v>
      </c>
    </row>
    <row r="27960" spans="129:129" x14ac:dyDescent="0.2">
      <c r="DY27960" s="185" t="s">
        <v>215</v>
      </c>
    </row>
    <row r="27961" spans="129:129" x14ac:dyDescent="0.2">
      <c r="DY27961" s="185" t="s">
        <v>215</v>
      </c>
    </row>
    <row r="27962" spans="129:129" x14ac:dyDescent="0.2">
      <c r="DY27962" s="185" t="s">
        <v>215</v>
      </c>
    </row>
    <row r="27963" spans="129:129" x14ac:dyDescent="0.2">
      <c r="DY27963" s="185" t="s">
        <v>215</v>
      </c>
    </row>
    <row r="27964" spans="129:129" x14ac:dyDescent="0.2">
      <c r="DY27964" s="185" t="s">
        <v>215</v>
      </c>
    </row>
    <row r="27965" spans="129:129" x14ac:dyDescent="0.2">
      <c r="DY27965" s="185" t="s">
        <v>215</v>
      </c>
    </row>
    <row r="27966" spans="129:129" x14ac:dyDescent="0.2">
      <c r="DY27966" s="185" t="s">
        <v>215</v>
      </c>
    </row>
    <row r="27967" spans="129:129" x14ac:dyDescent="0.2">
      <c r="DY27967" s="185" t="s">
        <v>215</v>
      </c>
    </row>
    <row r="27968" spans="129:129" x14ac:dyDescent="0.2">
      <c r="DY27968" s="185" t="s">
        <v>215</v>
      </c>
    </row>
    <row r="27969" spans="129:129" x14ac:dyDescent="0.2">
      <c r="DY27969" s="185" t="s">
        <v>215</v>
      </c>
    </row>
    <row r="27970" spans="129:129" x14ac:dyDescent="0.2">
      <c r="DY27970" s="185" t="s">
        <v>215</v>
      </c>
    </row>
    <row r="27971" spans="129:129" x14ac:dyDescent="0.2">
      <c r="DY27971" s="185" t="s">
        <v>215</v>
      </c>
    </row>
    <row r="27972" spans="129:129" x14ac:dyDescent="0.2">
      <c r="DY27972" s="185" t="s">
        <v>215</v>
      </c>
    </row>
    <row r="27973" spans="129:129" x14ac:dyDescent="0.2">
      <c r="DY27973" s="185" t="s">
        <v>215</v>
      </c>
    </row>
    <row r="27974" spans="129:129" x14ac:dyDescent="0.2">
      <c r="DY27974" s="185" t="s">
        <v>215</v>
      </c>
    </row>
    <row r="27975" spans="129:129" x14ac:dyDescent="0.2">
      <c r="DY27975" s="185" t="s">
        <v>215</v>
      </c>
    </row>
    <row r="27976" spans="129:129" x14ac:dyDescent="0.2">
      <c r="DY27976" s="185" t="s">
        <v>215</v>
      </c>
    </row>
    <row r="27977" spans="129:129" x14ac:dyDescent="0.2">
      <c r="DY27977" s="185" t="s">
        <v>215</v>
      </c>
    </row>
    <row r="27978" spans="129:129" x14ac:dyDescent="0.2">
      <c r="DY27978" s="185" t="s">
        <v>215</v>
      </c>
    </row>
    <row r="27979" spans="129:129" x14ac:dyDescent="0.2">
      <c r="DY27979" s="185" t="s">
        <v>215</v>
      </c>
    </row>
    <row r="27980" spans="129:129" x14ac:dyDescent="0.2">
      <c r="DY27980" s="185" t="s">
        <v>215</v>
      </c>
    </row>
    <row r="27981" spans="129:129" x14ac:dyDescent="0.2">
      <c r="DY27981" s="185" t="s">
        <v>215</v>
      </c>
    </row>
    <row r="27982" spans="129:129" x14ac:dyDescent="0.2">
      <c r="DY27982" s="185" t="s">
        <v>215</v>
      </c>
    </row>
    <row r="27983" spans="129:129" x14ac:dyDescent="0.2">
      <c r="DY27983" s="185" t="s">
        <v>215</v>
      </c>
    </row>
    <row r="27984" spans="129:129" x14ac:dyDescent="0.2">
      <c r="DY27984" s="185" t="s">
        <v>215</v>
      </c>
    </row>
    <row r="27985" spans="129:129" x14ac:dyDescent="0.2">
      <c r="DY27985" s="185" t="s">
        <v>215</v>
      </c>
    </row>
    <row r="27986" spans="129:129" x14ac:dyDescent="0.2">
      <c r="DY27986" s="185" t="s">
        <v>215</v>
      </c>
    </row>
    <row r="27987" spans="129:129" x14ac:dyDescent="0.2">
      <c r="DY27987" s="185" t="s">
        <v>215</v>
      </c>
    </row>
    <row r="27988" spans="129:129" x14ac:dyDescent="0.2">
      <c r="DY27988" s="185" t="s">
        <v>215</v>
      </c>
    </row>
    <row r="27989" spans="129:129" x14ac:dyDescent="0.2">
      <c r="DY27989" s="185" t="s">
        <v>215</v>
      </c>
    </row>
    <row r="27990" spans="129:129" x14ac:dyDescent="0.2">
      <c r="DY27990" s="185" t="s">
        <v>215</v>
      </c>
    </row>
    <row r="27991" spans="129:129" x14ac:dyDescent="0.2">
      <c r="DY27991" s="185" t="s">
        <v>215</v>
      </c>
    </row>
    <row r="27992" spans="129:129" x14ac:dyDescent="0.2">
      <c r="DY27992" s="185" t="s">
        <v>215</v>
      </c>
    </row>
    <row r="27993" spans="129:129" x14ac:dyDescent="0.2">
      <c r="DY27993" s="185" t="s">
        <v>215</v>
      </c>
    </row>
    <row r="27994" spans="129:129" x14ac:dyDescent="0.2">
      <c r="DY27994" s="185" t="s">
        <v>215</v>
      </c>
    </row>
    <row r="27995" spans="129:129" x14ac:dyDescent="0.2">
      <c r="DY27995" s="185" t="s">
        <v>215</v>
      </c>
    </row>
    <row r="27996" spans="129:129" x14ac:dyDescent="0.2">
      <c r="DY27996" s="185" t="s">
        <v>215</v>
      </c>
    </row>
    <row r="27997" spans="129:129" x14ac:dyDescent="0.2">
      <c r="DY27997" s="185" t="s">
        <v>215</v>
      </c>
    </row>
    <row r="27998" spans="129:129" x14ac:dyDescent="0.2">
      <c r="DY27998" s="185" t="s">
        <v>215</v>
      </c>
    </row>
    <row r="27999" spans="129:129" x14ac:dyDescent="0.2">
      <c r="DY27999" s="185" t="s">
        <v>215</v>
      </c>
    </row>
    <row r="28000" spans="129:129" x14ac:dyDescent="0.2">
      <c r="DY28000" s="185" t="s">
        <v>215</v>
      </c>
    </row>
    <row r="28001" spans="129:129" x14ac:dyDescent="0.2">
      <c r="DY28001" s="185" t="s">
        <v>215</v>
      </c>
    </row>
    <row r="28002" spans="129:129" x14ac:dyDescent="0.2">
      <c r="DY28002" s="185" t="s">
        <v>215</v>
      </c>
    </row>
    <row r="28003" spans="129:129" x14ac:dyDescent="0.2">
      <c r="DY28003" s="185" t="s">
        <v>215</v>
      </c>
    </row>
    <row r="28004" spans="129:129" x14ac:dyDescent="0.2">
      <c r="DY28004" s="185" t="s">
        <v>215</v>
      </c>
    </row>
    <row r="28005" spans="129:129" x14ac:dyDescent="0.2">
      <c r="DY28005" s="185" t="s">
        <v>215</v>
      </c>
    </row>
    <row r="28006" spans="129:129" x14ac:dyDescent="0.2">
      <c r="DY28006" s="185" t="s">
        <v>215</v>
      </c>
    </row>
    <row r="28007" spans="129:129" x14ac:dyDescent="0.2">
      <c r="DY28007" s="185" t="s">
        <v>215</v>
      </c>
    </row>
    <row r="28008" spans="129:129" x14ac:dyDescent="0.2">
      <c r="DY28008" s="185" t="s">
        <v>215</v>
      </c>
    </row>
    <row r="28009" spans="129:129" x14ac:dyDescent="0.2">
      <c r="DY28009" s="185" t="s">
        <v>215</v>
      </c>
    </row>
    <row r="28010" spans="129:129" x14ac:dyDescent="0.2">
      <c r="DY28010" s="185" t="s">
        <v>215</v>
      </c>
    </row>
    <row r="28011" spans="129:129" x14ac:dyDescent="0.2">
      <c r="DY28011" s="185" t="s">
        <v>215</v>
      </c>
    </row>
    <row r="28012" spans="129:129" x14ac:dyDescent="0.2">
      <c r="DY28012" s="185" t="s">
        <v>215</v>
      </c>
    </row>
    <row r="28013" spans="129:129" x14ac:dyDescent="0.2">
      <c r="DY28013" s="185" t="s">
        <v>215</v>
      </c>
    </row>
    <row r="28014" spans="129:129" x14ac:dyDescent="0.2">
      <c r="DY28014" s="185" t="s">
        <v>215</v>
      </c>
    </row>
    <row r="28015" spans="129:129" x14ac:dyDescent="0.2">
      <c r="DY28015" s="185" t="s">
        <v>215</v>
      </c>
    </row>
    <row r="28016" spans="129:129" x14ac:dyDescent="0.2">
      <c r="DY28016" s="185" t="s">
        <v>215</v>
      </c>
    </row>
    <row r="28017" spans="129:129" x14ac:dyDescent="0.2">
      <c r="DY28017" s="185" t="s">
        <v>215</v>
      </c>
    </row>
    <row r="28018" spans="129:129" x14ac:dyDescent="0.2">
      <c r="DY28018" s="185" t="s">
        <v>215</v>
      </c>
    </row>
    <row r="28019" spans="129:129" x14ac:dyDescent="0.2">
      <c r="DY28019" s="185" t="s">
        <v>215</v>
      </c>
    </row>
    <row r="28020" spans="129:129" x14ac:dyDescent="0.2">
      <c r="DY28020" s="185" t="s">
        <v>215</v>
      </c>
    </row>
    <row r="28021" spans="129:129" x14ac:dyDescent="0.2">
      <c r="DY28021" s="185" t="s">
        <v>215</v>
      </c>
    </row>
    <row r="28022" spans="129:129" x14ac:dyDescent="0.2">
      <c r="DY28022" s="185" t="s">
        <v>215</v>
      </c>
    </row>
    <row r="28023" spans="129:129" x14ac:dyDescent="0.2">
      <c r="DY28023" s="185" t="s">
        <v>215</v>
      </c>
    </row>
    <row r="28024" spans="129:129" x14ac:dyDescent="0.2">
      <c r="DY28024" s="185" t="s">
        <v>215</v>
      </c>
    </row>
    <row r="28025" spans="129:129" x14ac:dyDescent="0.2">
      <c r="DY28025" s="185" t="s">
        <v>215</v>
      </c>
    </row>
    <row r="28026" spans="129:129" x14ac:dyDescent="0.2">
      <c r="DY28026" s="185" t="s">
        <v>215</v>
      </c>
    </row>
    <row r="28027" spans="129:129" x14ac:dyDescent="0.2">
      <c r="DY28027" s="185" t="s">
        <v>215</v>
      </c>
    </row>
    <row r="28028" spans="129:129" x14ac:dyDescent="0.2">
      <c r="DY28028" s="185" t="s">
        <v>215</v>
      </c>
    </row>
    <row r="28029" spans="129:129" x14ac:dyDescent="0.2">
      <c r="DY28029" s="185" t="s">
        <v>215</v>
      </c>
    </row>
    <row r="28030" spans="129:129" x14ac:dyDescent="0.2">
      <c r="DY28030" s="185" t="s">
        <v>215</v>
      </c>
    </row>
    <row r="28031" spans="129:129" x14ac:dyDescent="0.2">
      <c r="DY28031" s="185" t="s">
        <v>215</v>
      </c>
    </row>
    <row r="28032" spans="129:129" x14ac:dyDescent="0.2">
      <c r="DY28032" s="185" t="s">
        <v>215</v>
      </c>
    </row>
    <row r="28033" spans="129:129" x14ac:dyDescent="0.2">
      <c r="DY28033" s="185" t="s">
        <v>215</v>
      </c>
    </row>
    <row r="28034" spans="129:129" x14ac:dyDescent="0.2">
      <c r="DY28034" s="185" t="s">
        <v>215</v>
      </c>
    </row>
    <row r="28035" spans="129:129" x14ac:dyDescent="0.2">
      <c r="DY28035" s="185" t="s">
        <v>215</v>
      </c>
    </row>
    <row r="28036" spans="129:129" x14ac:dyDescent="0.2">
      <c r="DY28036" s="185" t="s">
        <v>215</v>
      </c>
    </row>
    <row r="28037" spans="129:129" x14ac:dyDescent="0.2">
      <c r="DY28037" s="185" t="s">
        <v>215</v>
      </c>
    </row>
    <row r="28038" spans="129:129" x14ac:dyDescent="0.2">
      <c r="DY28038" s="185" t="s">
        <v>215</v>
      </c>
    </row>
    <row r="28039" spans="129:129" x14ac:dyDescent="0.2">
      <c r="DY28039" s="185" t="s">
        <v>215</v>
      </c>
    </row>
    <row r="28040" spans="129:129" x14ac:dyDescent="0.2">
      <c r="DY28040" s="185" t="s">
        <v>215</v>
      </c>
    </row>
    <row r="28041" spans="129:129" x14ac:dyDescent="0.2">
      <c r="DY28041" s="185" t="s">
        <v>215</v>
      </c>
    </row>
    <row r="28042" spans="129:129" x14ac:dyDescent="0.2">
      <c r="DY28042" s="185" t="s">
        <v>215</v>
      </c>
    </row>
    <row r="28043" spans="129:129" x14ac:dyDescent="0.2">
      <c r="DY28043" s="185" t="s">
        <v>215</v>
      </c>
    </row>
    <row r="28044" spans="129:129" x14ac:dyDescent="0.2">
      <c r="DY28044" s="185" t="s">
        <v>215</v>
      </c>
    </row>
    <row r="28045" spans="129:129" x14ac:dyDescent="0.2">
      <c r="DY28045" s="185" t="s">
        <v>215</v>
      </c>
    </row>
    <row r="28046" spans="129:129" x14ac:dyDescent="0.2">
      <c r="DY28046" s="185" t="s">
        <v>215</v>
      </c>
    </row>
    <row r="28047" spans="129:129" x14ac:dyDescent="0.2">
      <c r="DY28047" s="185" t="s">
        <v>215</v>
      </c>
    </row>
    <row r="28048" spans="129:129" x14ac:dyDescent="0.2">
      <c r="DY28048" s="185" t="s">
        <v>215</v>
      </c>
    </row>
    <row r="28049" spans="129:129" x14ac:dyDescent="0.2">
      <c r="DY28049" s="185" t="s">
        <v>215</v>
      </c>
    </row>
    <row r="28050" spans="129:129" x14ac:dyDescent="0.2">
      <c r="DY28050" s="185" t="s">
        <v>215</v>
      </c>
    </row>
    <row r="28051" spans="129:129" x14ac:dyDescent="0.2">
      <c r="DY28051" s="185" t="s">
        <v>215</v>
      </c>
    </row>
    <row r="28052" spans="129:129" x14ac:dyDescent="0.2">
      <c r="DY28052" s="185" t="s">
        <v>215</v>
      </c>
    </row>
    <row r="28053" spans="129:129" x14ac:dyDescent="0.2">
      <c r="DY28053" s="185" t="s">
        <v>215</v>
      </c>
    </row>
    <row r="28054" spans="129:129" x14ac:dyDescent="0.2">
      <c r="DY28054" s="185" t="s">
        <v>215</v>
      </c>
    </row>
    <row r="28055" spans="129:129" x14ac:dyDescent="0.2">
      <c r="DY28055" s="185" t="s">
        <v>215</v>
      </c>
    </row>
    <row r="28056" spans="129:129" x14ac:dyDescent="0.2">
      <c r="DY28056" s="185" t="s">
        <v>215</v>
      </c>
    </row>
    <row r="28057" spans="129:129" x14ac:dyDescent="0.2">
      <c r="DY28057" s="185" t="s">
        <v>215</v>
      </c>
    </row>
    <row r="28058" spans="129:129" x14ac:dyDescent="0.2">
      <c r="DY28058" s="185" t="s">
        <v>215</v>
      </c>
    </row>
    <row r="28059" spans="129:129" x14ac:dyDescent="0.2">
      <c r="DY28059" s="185" t="s">
        <v>215</v>
      </c>
    </row>
    <row r="28060" spans="129:129" x14ac:dyDescent="0.2">
      <c r="DY28060" s="185" t="s">
        <v>215</v>
      </c>
    </row>
    <row r="28061" spans="129:129" x14ac:dyDescent="0.2">
      <c r="DY28061" s="185" t="s">
        <v>215</v>
      </c>
    </row>
    <row r="28062" spans="129:129" x14ac:dyDescent="0.2">
      <c r="DY28062" s="185" t="s">
        <v>215</v>
      </c>
    </row>
    <row r="28063" spans="129:129" x14ac:dyDescent="0.2">
      <c r="DY28063" s="185" t="s">
        <v>215</v>
      </c>
    </row>
    <row r="28064" spans="129:129" x14ac:dyDescent="0.2">
      <c r="DY28064" s="185" t="s">
        <v>215</v>
      </c>
    </row>
    <row r="28065" spans="129:129" x14ac:dyDescent="0.2">
      <c r="DY28065" s="185" t="s">
        <v>215</v>
      </c>
    </row>
    <row r="28066" spans="129:129" x14ac:dyDescent="0.2">
      <c r="DY28066" s="185" t="s">
        <v>215</v>
      </c>
    </row>
    <row r="28067" spans="129:129" x14ac:dyDescent="0.2">
      <c r="DY28067" s="185" t="s">
        <v>215</v>
      </c>
    </row>
    <row r="28068" spans="129:129" x14ac:dyDescent="0.2">
      <c r="DY28068" s="185" t="s">
        <v>215</v>
      </c>
    </row>
    <row r="28069" spans="129:129" x14ac:dyDescent="0.2">
      <c r="DY28069" s="185" t="s">
        <v>215</v>
      </c>
    </row>
    <row r="28070" spans="129:129" x14ac:dyDescent="0.2">
      <c r="DY28070" s="185" t="s">
        <v>215</v>
      </c>
    </row>
    <row r="28071" spans="129:129" x14ac:dyDescent="0.2">
      <c r="DY28071" s="185" t="s">
        <v>215</v>
      </c>
    </row>
    <row r="28072" spans="129:129" x14ac:dyDescent="0.2">
      <c r="DY28072" s="185" t="s">
        <v>215</v>
      </c>
    </row>
    <row r="28073" spans="129:129" x14ac:dyDescent="0.2">
      <c r="DY28073" s="185" t="s">
        <v>215</v>
      </c>
    </row>
    <row r="28074" spans="129:129" x14ac:dyDescent="0.2">
      <c r="DY28074" s="185" t="s">
        <v>215</v>
      </c>
    </row>
    <row r="28075" spans="129:129" x14ac:dyDescent="0.2">
      <c r="DY28075" s="185" t="s">
        <v>215</v>
      </c>
    </row>
    <row r="28076" spans="129:129" x14ac:dyDescent="0.2">
      <c r="DY28076" s="185" t="s">
        <v>215</v>
      </c>
    </row>
    <row r="28077" spans="129:129" x14ac:dyDescent="0.2">
      <c r="DY28077" s="185" t="s">
        <v>215</v>
      </c>
    </row>
    <row r="28078" spans="129:129" x14ac:dyDescent="0.2">
      <c r="DY28078" s="185" t="s">
        <v>215</v>
      </c>
    </row>
    <row r="28079" spans="129:129" x14ac:dyDescent="0.2">
      <c r="DY28079" s="185" t="s">
        <v>215</v>
      </c>
    </row>
    <row r="28080" spans="129:129" x14ac:dyDescent="0.2">
      <c r="DY28080" s="185" t="s">
        <v>215</v>
      </c>
    </row>
    <row r="28081" spans="129:129" x14ac:dyDescent="0.2">
      <c r="DY28081" s="185" t="s">
        <v>215</v>
      </c>
    </row>
    <row r="28082" spans="129:129" x14ac:dyDescent="0.2">
      <c r="DY28082" s="185" t="s">
        <v>215</v>
      </c>
    </row>
    <row r="28083" spans="129:129" x14ac:dyDescent="0.2">
      <c r="DY28083" s="185" t="s">
        <v>215</v>
      </c>
    </row>
    <row r="28084" spans="129:129" x14ac:dyDescent="0.2">
      <c r="DY28084" s="185" t="s">
        <v>215</v>
      </c>
    </row>
    <row r="28085" spans="129:129" x14ac:dyDescent="0.2">
      <c r="DY28085" s="185" t="s">
        <v>215</v>
      </c>
    </row>
    <row r="28086" spans="129:129" x14ac:dyDescent="0.2">
      <c r="DY28086" s="185" t="s">
        <v>215</v>
      </c>
    </row>
    <row r="28087" spans="129:129" x14ac:dyDescent="0.2">
      <c r="DY28087" s="185" t="s">
        <v>215</v>
      </c>
    </row>
    <row r="28088" spans="129:129" x14ac:dyDescent="0.2">
      <c r="DY28088" s="185" t="s">
        <v>215</v>
      </c>
    </row>
    <row r="28089" spans="129:129" x14ac:dyDescent="0.2">
      <c r="DY28089" s="185" t="s">
        <v>215</v>
      </c>
    </row>
    <row r="28090" spans="129:129" x14ac:dyDescent="0.2">
      <c r="DY28090" s="185" t="s">
        <v>215</v>
      </c>
    </row>
    <row r="28091" spans="129:129" x14ac:dyDescent="0.2">
      <c r="DY28091" s="185" t="s">
        <v>215</v>
      </c>
    </row>
    <row r="28092" spans="129:129" x14ac:dyDescent="0.2">
      <c r="DY28092" s="185" t="s">
        <v>215</v>
      </c>
    </row>
    <row r="28093" spans="129:129" x14ac:dyDescent="0.2">
      <c r="DY28093" s="185" t="s">
        <v>215</v>
      </c>
    </row>
    <row r="28094" spans="129:129" x14ac:dyDescent="0.2">
      <c r="DY28094" s="185" t="s">
        <v>215</v>
      </c>
    </row>
    <row r="28095" spans="129:129" x14ac:dyDescent="0.2">
      <c r="DY28095" s="185" t="s">
        <v>215</v>
      </c>
    </row>
    <row r="28096" spans="129:129" x14ac:dyDescent="0.2">
      <c r="DY28096" s="185" t="s">
        <v>215</v>
      </c>
    </row>
    <row r="28097" spans="129:129" x14ac:dyDescent="0.2">
      <c r="DY28097" s="185" t="s">
        <v>215</v>
      </c>
    </row>
    <row r="28098" spans="129:129" x14ac:dyDescent="0.2">
      <c r="DY28098" s="185" t="s">
        <v>215</v>
      </c>
    </row>
    <row r="28099" spans="129:129" x14ac:dyDescent="0.2">
      <c r="DY28099" s="185" t="s">
        <v>215</v>
      </c>
    </row>
    <row r="28100" spans="129:129" x14ac:dyDescent="0.2">
      <c r="DY28100" s="185" t="s">
        <v>215</v>
      </c>
    </row>
    <row r="28101" spans="129:129" x14ac:dyDescent="0.2">
      <c r="DY28101" s="185" t="s">
        <v>215</v>
      </c>
    </row>
    <row r="28102" spans="129:129" x14ac:dyDescent="0.2">
      <c r="DY28102" s="185" t="s">
        <v>215</v>
      </c>
    </row>
    <row r="28103" spans="129:129" x14ac:dyDescent="0.2">
      <c r="DY28103" s="185" t="s">
        <v>215</v>
      </c>
    </row>
    <row r="28104" spans="129:129" x14ac:dyDescent="0.2">
      <c r="DY28104" s="185" t="s">
        <v>215</v>
      </c>
    </row>
    <row r="28105" spans="129:129" x14ac:dyDescent="0.2">
      <c r="DY28105" s="185" t="s">
        <v>215</v>
      </c>
    </row>
    <row r="28106" spans="129:129" x14ac:dyDescent="0.2">
      <c r="DY28106" s="185" t="s">
        <v>215</v>
      </c>
    </row>
    <row r="28107" spans="129:129" x14ac:dyDescent="0.2">
      <c r="DY28107" s="185" t="s">
        <v>215</v>
      </c>
    </row>
    <row r="28108" spans="129:129" x14ac:dyDescent="0.2">
      <c r="DY28108" s="185" t="s">
        <v>215</v>
      </c>
    </row>
    <row r="28109" spans="129:129" x14ac:dyDescent="0.2">
      <c r="DY28109" s="185" t="s">
        <v>215</v>
      </c>
    </row>
    <row r="28110" spans="129:129" x14ac:dyDescent="0.2">
      <c r="DY28110" s="185" t="s">
        <v>215</v>
      </c>
    </row>
    <row r="28111" spans="129:129" x14ac:dyDescent="0.2">
      <c r="DY28111" s="185" t="s">
        <v>215</v>
      </c>
    </row>
    <row r="28112" spans="129:129" x14ac:dyDescent="0.2">
      <c r="DY28112" s="185" t="s">
        <v>215</v>
      </c>
    </row>
    <row r="28113" spans="129:129" x14ac:dyDescent="0.2">
      <c r="DY28113" s="185" t="s">
        <v>215</v>
      </c>
    </row>
    <row r="28114" spans="129:129" x14ac:dyDescent="0.2">
      <c r="DY28114" s="185" t="s">
        <v>215</v>
      </c>
    </row>
    <row r="28115" spans="129:129" x14ac:dyDescent="0.2">
      <c r="DY28115" s="185" t="s">
        <v>215</v>
      </c>
    </row>
    <row r="28116" spans="129:129" x14ac:dyDescent="0.2">
      <c r="DY28116" s="185" t="s">
        <v>215</v>
      </c>
    </row>
    <row r="28117" spans="129:129" x14ac:dyDescent="0.2">
      <c r="DY28117" s="185" t="s">
        <v>215</v>
      </c>
    </row>
    <row r="28118" spans="129:129" x14ac:dyDescent="0.2">
      <c r="DY28118" s="185" t="s">
        <v>215</v>
      </c>
    </row>
    <row r="28119" spans="129:129" x14ac:dyDescent="0.2">
      <c r="DY28119" s="185" t="s">
        <v>215</v>
      </c>
    </row>
    <row r="28120" spans="129:129" x14ac:dyDescent="0.2">
      <c r="DY28120" s="185" t="s">
        <v>215</v>
      </c>
    </row>
    <row r="28121" spans="129:129" x14ac:dyDescent="0.2">
      <c r="DY28121" s="185" t="s">
        <v>215</v>
      </c>
    </row>
    <row r="28122" spans="129:129" x14ac:dyDescent="0.2">
      <c r="DY28122" s="185" t="s">
        <v>215</v>
      </c>
    </row>
    <row r="28123" spans="129:129" x14ac:dyDescent="0.2">
      <c r="DY28123" s="185" t="s">
        <v>215</v>
      </c>
    </row>
    <row r="28124" spans="129:129" x14ac:dyDescent="0.2">
      <c r="DY28124" s="185" t="s">
        <v>215</v>
      </c>
    </row>
    <row r="28125" spans="129:129" x14ac:dyDescent="0.2">
      <c r="DY28125" s="185" t="s">
        <v>215</v>
      </c>
    </row>
    <row r="28126" spans="129:129" x14ac:dyDescent="0.2">
      <c r="DY28126" s="185" t="s">
        <v>215</v>
      </c>
    </row>
    <row r="28127" spans="129:129" x14ac:dyDescent="0.2">
      <c r="DY28127" s="185" t="s">
        <v>215</v>
      </c>
    </row>
    <row r="28128" spans="129:129" x14ac:dyDescent="0.2">
      <c r="DY28128" s="185" t="s">
        <v>215</v>
      </c>
    </row>
    <row r="28129" spans="129:129" x14ac:dyDescent="0.2">
      <c r="DY28129" s="185" t="s">
        <v>215</v>
      </c>
    </row>
    <row r="28130" spans="129:129" x14ac:dyDescent="0.2">
      <c r="DY28130" s="185" t="s">
        <v>215</v>
      </c>
    </row>
    <row r="28131" spans="129:129" x14ac:dyDescent="0.2">
      <c r="DY28131" s="185" t="s">
        <v>215</v>
      </c>
    </row>
    <row r="28132" spans="129:129" x14ac:dyDescent="0.2">
      <c r="DY28132" s="185" t="s">
        <v>215</v>
      </c>
    </row>
    <row r="28133" spans="129:129" x14ac:dyDescent="0.2">
      <c r="DY28133" s="185" t="s">
        <v>215</v>
      </c>
    </row>
    <row r="28134" spans="129:129" x14ac:dyDescent="0.2">
      <c r="DY28134" s="185" t="s">
        <v>215</v>
      </c>
    </row>
    <row r="28135" spans="129:129" x14ac:dyDescent="0.2">
      <c r="DY28135" s="185" t="s">
        <v>215</v>
      </c>
    </row>
    <row r="28136" spans="129:129" x14ac:dyDescent="0.2">
      <c r="DY28136" s="185" t="s">
        <v>215</v>
      </c>
    </row>
    <row r="28137" spans="129:129" x14ac:dyDescent="0.2">
      <c r="DY28137" s="185" t="s">
        <v>215</v>
      </c>
    </row>
    <row r="28138" spans="129:129" x14ac:dyDescent="0.2">
      <c r="DY28138" s="185" t="s">
        <v>215</v>
      </c>
    </row>
    <row r="28139" spans="129:129" x14ac:dyDescent="0.2">
      <c r="DY28139" s="185" t="s">
        <v>215</v>
      </c>
    </row>
    <row r="28140" spans="129:129" x14ac:dyDescent="0.2">
      <c r="DY28140" s="185" t="s">
        <v>215</v>
      </c>
    </row>
    <row r="28141" spans="129:129" x14ac:dyDescent="0.2">
      <c r="DY28141" s="185" t="s">
        <v>215</v>
      </c>
    </row>
    <row r="28142" spans="129:129" x14ac:dyDescent="0.2">
      <c r="DY28142" s="185" t="s">
        <v>215</v>
      </c>
    </row>
    <row r="28143" spans="129:129" x14ac:dyDescent="0.2">
      <c r="DY28143" s="185" t="s">
        <v>215</v>
      </c>
    </row>
    <row r="28144" spans="129:129" x14ac:dyDescent="0.2">
      <c r="DY28144" s="185" t="s">
        <v>215</v>
      </c>
    </row>
    <row r="28145" spans="129:129" x14ac:dyDescent="0.2">
      <c r="DY28145" s="185" t="s">
        <v>215</v>
      </c>
    </row>
    <row r="28146" spans="129:129" x14ac:dyDescent="0.2">
      <c r="DY28146" s="185" t="s">
        <v>215</v>
      </c>
    </row>
    <row r="28147" spans="129:129" x14ac:dyDescent="0.2">
      <c r="DY28147" s="185" t="s">
        <v>215</v>
      </c>
    </row>
    <row r="28148" spans="129:129" x14ac:dyDescent="0.2">
      <c r="DY28148" s="185" t="s">
        <v>215</v>
      </c>
    </row>
    <row r="28149" spans="129:129" x14ac:dyDescent="0.2">
      <c r="DY28149" s="185" t="s">
        <v>215</v>
      </c>
    </row>
    <row r="28150" spans="129:129" x14ac:dyDescent="0.2">
      <c r="DY28150" s="185" t="s">
        <v>215</v>
      </c>
    </row>
    <row r="28151" spans="129:129" x14ac:dyDescent="0.2">
      <c r="DY28151" s="185" t="s">
        <v>215</v>
      </c>
    </row>
    <row r="28152" spans="129:129" x14ac:dyDescent="0.2">
      <c r="DY28152" s="185" t="s">
        <v>215</v>
      </c>
    </row>
    <row r="28153" spans="129:129" x14ac:dyDescent="0.2">
      <c r="DY28153" s="185" t="s">
        <v>215</v>
      </c>
    </row>
    <row r="28154" spans="129:129" x14ac:dyDescent="0.2">
      <c r="DY28154" s="185" t="s">
        <v>215</v>
      </c>
    </row>
    <row r="28155" spans="129:129" x14ac:dyDescent="0.2">
      <c r="DY28155" s="185" t="s">
        <v>215</v>
      </c>
    </row>
    <row r="28156" spans="129:129" x14ac:dyDescent="0.2">
      <c r="DY28156" s="185" t="s">
        <v>215</v>
      </c>
    </row>
    <row r="28157" spans="129:129" x14ac:dyDescent="0.2">
      <c r="DY28157" s="185" t="s">
        <v>215</v>
      </c>
    </row>
    <row r="28158" spans="129:129" x14ac:dyDescent="0.2">
      <c r="DY28158" s="185" t="s">
        <v>215</v>
      </c>
    </row>
    <row r="28159" spans="129:129" x14ac:dyDescent="0.2">
      <c r="DY28159" s="185" t="s">
        <v>215</v>
      </c>
    </row>
    <row r="28160" spans="129:129" x14ac:dyDescent="0.2">
      <c r="DY28160" s="185" t="s">
        <v>215</v>
      </c>
    </row>
    <row r="28161" spans="129:129" x14ac:dyDescent="0.2">
      <c r="DY28161" s="185" t="s">
        <v>215</v>
      </c>
    </row>
    <row r="28162" spans="129:129" x14ac:dyDescent="0.2">
      <c r="DY28162" s="185" t="s">
        <v>215</v>
      </c>
    </row>
    <row r="28163" spans="129:129" x14ac:dyDescent="0.2">
      <c r="DY28163" s="185" t="s">
        <v>215</v>
      </c>
    </row>
    <row r="28164" spans="129:129" x14ac:dyDescent="0.2">
      <c r="DY28164" s="185" t="s">
        <v>215</v>
      </c>
    </row>
    <row r="28165" spans="129:129" x14ac:dyDescent="0.2">
      <c r="DY28165" s="185" t="s">
        <v>215</v>
      </c>
    </row>
    <row r="28166" spans="129:129" x14ac:dyDescent="0.2">
      <c r="DY28166" s="185" t="s">
        <v>215</v>
      </c>
    </row>
    <row r="28167" spans="129:129" x14ac:dyDescent="0.2">
      <c r="DY28167" s="185" t="s">
        <v>215</v>
      </c>
    </row>
    <row r="28168" spans="129:129" x14ac:dyDescent="0.2">
      <c r="DY28168" s="185" t="s">
        <v>215</v>
      </c>
    </row>
    <row r="28169" spans="129:129" x14ac:dyDescent="0.2">
      <c r="DY28169" s="185" t="s">
        <v>215</v>
      </c>
    </row>
    <row r="28170" spans="129:129" x14ac:dyDescent="0.2">
      <c r="DY28170" s="185" t="s">
        <v>215</v>
      </c>
    </row>
    <row r="28171" spans="129:129" x14ac:dyDescent="0.2">
      <c r="DY28171" s="185" t="s">
        <v>215</v>
      </c>
    </row>
    <row r="28172" spans="129:129" x14ac:dyDescent="0.2">
      <c r="DY28172" s="185" t="s">
        <v>215</v>
      </c>
    </row>
    <row r="28173" spans="129:129" x14ac:dyDescent="0.2">
      <c r="DY28173" s="185" t="s">
        <v>215</v>
      </c>
    </row>
    <row r="28174" spans="129:129" x14ac:dyDescent="0.2">
      <c r="DY28174" s="185" t="s">
        <v>215</v>
      </c>
    </row>
    <row r="28175" spans="129:129" x14ac:dyDescent="0.2">
      <c r="DY28175" s="185" t="s">
        <v>215</v>
      </c>
    </row>
    <row r="28176" spans="129:129" x14ac:dyDescent="0.2">
      <c r="DY28176" s="185" t="s">
        <v>215</v>
      </c>
    </row>
    <row r="28177" spans="129:129" x14ac:dyDescent="0.2">
      <c r="DY28177" s="185" t="s">
        <v>215</v>
      </c>
    </row>
    <row r="28178" spans="129:129" x14ac:dyDescent="0.2">
      <c r="DY28178" s="185" t="s">
        <v>215</v>
      </c>
    </row>
    <row r="28179" spans="129:129" x14ac:dyDescent="0.2">
      <c r="DY28179" s="185" t="s">
        <v>215</v>
      </c>
    </row>
    <row r="28180" spans="129:129" x14ac:dyDescent="0.2">
      <c r="DY28180" s="185" t="s">
        <v>215</v>
      </c>
    </row>
    <row r="28181" spans="129:129" x14ac:dyDescent="0.2">
      <c r="DY28181" s="185" t="s">
        <v>215</v>
      </c>
    </row>
    <row r="28182" spans="129:129" x14ac:dyDescent="0.2">
      <c r="DY28182" s="185" t="s">
        <v>215</v>
      </c>
    </row>
    <row r="28183" spans="129:129" x14ac:dyDescent="0.2">
      <c r="DY28183" s="185" t="s">
        <v>215</v>
      </c>
    </row>
    <row r="28184" spans="129:129" x14ac:dyDescent="0.2">
      <c r="DY28184" s="185" t="s">
        <v>215</v>
      </c>
    </row>
    <row r="28185" spans="129:129" x14ac:dyDescent="0.2">
      <c r="DY28185" s="185" t="s">
        <v>215</v>
      </c>
    </row>
    <row r="28186" spans="129:129" x14ac:dyDescent="0.2">
      <c r="DY28186" s="185" t="s">
        <v>215</v>
      </c>
    </row>
    <row r="28187" spans="129:129" x14ac:dyDescent="0.2">
      <c r="DY28187" s="185" t="s">
        <v>215</v>
      </c>
    </row>
    <row r="28188" spans="129:129" x14ac:dyDescent="0.2">
      <c r="DY28188" s="185" t="s">
        <v>215</v>
      </c>
    </row>
    <row r="28189" spans="129:129" x14ac:dyDescent="0.2">
      <c r="DY28189" s="185" t="s">
        <v>215</v>
      </c>
    </row>
    <row r="28190" spans="129:129" x14ac:dyDescent="0.2">
      <c r="DY28190" s="185" t="s">
        <v>215</v>
      </c>
    </row>
    <row r="28191" spans="129:129" x14ac:dyDescent="0.2">
      <c r="DY28191" s="185" t="s">
        <v>215</v>
      </c>
    </row>
    <row r="28192" spans="129:129" x14ac:dyDescent="0.2">
      <c r="DY28192" s="185" t="s">
        <v>215</v>
      </c>
    </row>
    <row r="28193" spans="129:129" x14ac:dyDescent="0.2">
      <c r="DY28193" s="185" t="s">
        <v>215</v>
      </c>
    </row>
    <row r="28194" spans="129:129" x14ac:dyDescent="0.2">
      <c r="DY28194" s="185" t="s">
        <v>215</v>
      </c>
    </row>
    <row r="28195" spans="129:129" x14ac:dyDescent="0.2">
      <c r="DY28195" s="185" t="s">
        <v>215</v>
      </c>
    </row>
    <row r="28196" spans="129:129" x14ac:dyDescent="0.2">
      <c r="DY28196" s="185" t="s">
        <v>215</v>
      </c>
    </row>
    <row r="28197" spans="129:129" x14ac:dyDescent="0.2">
      <c r="DY28197" s="185" t="s">
        <v>215</v>
      </c>
    </row>
    <row r="28198" spans="129:129" x14ac:dyDescent="0.2">
      <c r="DY28198" s="185" t="s">
        <v>215</v>
      </c>
    </row>
    <row r="28199" spans="129:129" x14ac:dyDescent="0.2">
      <c r="DY28199" s="185" t="s">
        <v>215</v>
      </c>
    </row>
    <row r="28200" spans="129:129" x14ac:dyDescent="0.2">
      <c r="DY28200" s="185" t="s">
        <v>215</v>
      </c>
    </row>
    <row r="28201" spans="129:129" x14ac:dyDescent="0.2">
      <c r="DY28201" s="185" t="s">
        <v>215</v>
      </c>
    </row>
    <row r="28202" spans="129:129" x14ac:dyDescent="0.2">
      <c r="DY28202" s="185" t="s">
        <v>215</v>
      </c>
    </row>
    <row r="28203" spans="129:129" x14ac:dyDescent="0.2">
      <c r="DY28203" s="185" t="s">
        <v>215</v>
      </c>
    </row>
    <row r="28204" spans="129:129" x14ac:dyDescent="0.2">
      <c r="DY28204" s="185" t="s">
        <v>215</v>
      </c>
    </row>
    <row r="28205" spans="129:129" x14ac:dyDescent="0.2">
      <c r="DY28205" s="185" t="s">
        <v>215</v>
      </c>
    </row>
    <row r="28206" spans="129:129" x14ac:dyDescent="0.2">
      <c r="DY28206" s="185" t="s">
        <v>215</v>
      </c>
    </row>
    <row r="28207" spans="129:129" x14ac:dyDescent="0.2">
      <c r="DY28207" s="185" t="s">
        <v>215</v>
      </c>
    </row>
    <row r="28208" spans="129:129" x14ac:dyDescent="0.2">
      <c r="DY28208" s="185" t="s">
        <v>215</v>
      </c>
    </row>
    <row r="28209" spans="129:129" x14ac:dyDescent="0.2">
      <c r="DY28209" s="185" t="s">
        <v>215</v>
      </c>
    </row>
    <row r="28210" spans="129:129" x14ac:dyDescent="0.2">
      <c r="DY28210" s="185" t="s">
        <v>215</v>
      </c>
    </row>
    <row r="28211" spans="129:129" x14ac:dyDescent="0.2">
      <c r="DY28211" s="185" t="s">
        <v>215</v>
      </c>
    </row>
    <row r="28212" spans="129:129" x14ac:dyDescent="0.2">
      <c r="DY28212" s="185" t="s">
        <v>215</v>
      </c>
    </row>
    <row r="28213" spans="129:129" x14ac:dyDescent="0.2">
      <c r="DY28213" s="185" t="s">
        <v>215</v>
      </c>
    </row>
    <row r="28214" spans="129:129" x14ac:dyDescent="0.2">
      <c r="DY28214" s="185" t="s">
        <v>215</v>
      </c>
    </row>
    <row r="28215" spans="129:129" x14ac:dyDescent="0.2">
      <c r="DY28215" s="185" t="s">
        <v>215</v>
      </c>
    </row>
    <row r="28216" spans="129:129" x14ac:dyDescent="0.2">
      <c r="DY28216" s="185" t="s">
        <v>215</v>
      </c>
    </row>
    <row r="28217" spans="129:129" x14ac:dyDescent="0.2">
      <c r="DY28217" s="185" t="s">
        <v>215</v>
      </c>
    </row>
    <row r="28218" spans="129:129" x14ac:dyDescent="0.2">
      <c r="DY28218" s="185" t="s">
        <v>215</v>
      </c>
    </row>
    <row r="28219" spans="129:129" x14ac:dyDescent="0.2">
      <c r="DY28219" s="185" t="s">
        <v>215</v>
      </c>
    </row>
    <row r="28220" spans="129:129" x14ac:dyDescent="0.2">
      <c r="DY28220" s="185" t="s">
        <v>215</v>
      </c>
    </row>
    <row r="28221" spans="129:129" x14ac:dyDescent="0.2">
      <c r="DY28221" s="185" t="s">
        <v>215</v>
      </c>
    </row>
    <row r="28222" spans="129:129" x14ac:dyDescent="0.2">
      <c r="DY28222" s="185" t="s">
        <v>215</v>
      </c>
    </row>
    <row r="28223" spans="129:129" x14ac:dyDescent="0.2">
      <c r="DY28223" s="185" t="s">
        <v>215</v>
      </c>
    </row>
    <row r="28224" spans="129:129" x14ac:dyDescent="0.2">
      <c r="DY28224" s="185" t="s">
        <v>215</v>
      </c>
    </row>
    <row r="28225" spans="129:129" x14ac:dyDescent="0.2">
      <c r="DY28225" s="185" t="s">
        <v>215</v>
      </c>
    </row>
    <row r="28226" spans="129:129" x14ac:dyDescent="0.2">
      <c r="DY28226" s="185" t="s">
        <v>215</v>
      </c>
    </row>
    <row r="28227" spans="129:129" x14ac:dyDescent="0.2">
      <c r="DY28227" s="185" t="s">
        <v>215</v>
      </c>
    </row>
    <row r="28228" spans="129:129" x14ac:dyDescent="0.2">
      <c r="DY28228" s="185" t="s">
        <v>215</v>
      </c>
    </row>
    <row r="28229" spans="129:129" x14ac:dyDescent="0.2">
      <c r="DY28229" s="185" t="s">
        <v>215</v>
      </c>
    </row>
    <row r="28230" spans="129:129" x14ac:dyDescent="0.2">
      <c r="DY28230" s="185" t="s">
        <v>215</v>
      </c>
    </row>
    <row r="28231" spans="129:129" x14ac:dyDescent="0.2">
      <c r="DY28231" s="185" t="s">
        <v>215</v>
      </c>
    </row>
    <row r="28232" spans="129:129" x14ac:dyDescent="0.2">
      <c r="DY28232" s="185" t="s">
        <v>215</v>
      </c>
    </row>
    <row r="28233" spans="129:129" x14ac:dyDescent="0.2">
      <c r="DY28233" s="185" t="s">
        <v>215</v>
      </c>
    </row>
    <row r="28234" spans="129:129" x14ac:dyDescent="0.2">
      <c r="DY28234" s="185" t="s">
        <v>215</v>
      </c>
    </row>
    <row r="28235" spans="129:129" x14ac:dyDescent="0.2">
      <c r="DY28235" s="185" t="s">
        <v>215</v>
      </c>
    </row>
    <row r="28236" spans="129:129" x14ac:dyDescent="0.2">
      <c r="DY28236" s="185" t="s">
        <v>215</v>
      </c>
    </row>
    <row r="28237" spans="129:129" x14ac:dyDescent="0.2">
      <c r="DY28237" s="185" t="s">
        <v>215</v>
      </c>
    </row>
    <row r="28238" spans="129:129" x14ac:dyDescent="0.2">
      <c r="DY28238" s="185" t="s">
        <v>215</v>
      </c>
    </row>
    <row r="28239" spans="129:129" x14ac:dyDescent="0.2">
      <c r="DY28239" s="185" t="s">
        <v>215</v>
      </c>
    </row>
    <row r="28240" spans="129:129" x14ac:dyDescent="0.2">
      <c r="DY28240" s="185" t="s">
        <v>215</v>
      </c>
    </row>
    <row r="28241" spans="129:129" x14ac:dyDescent="0.2">
      <c r="DY28241" s="185" t="s">
        <v>215</v>
      </c>
    </row>
    <row r="28242" spans="129:129" x14ac:dyDescent="0.2">
      <c r="DY28242" s="185" t="s">
        <v>215</v>
      </c>
    </row>
    <row r="28243" spans="129:129" x14ac:dyDescent="0.2">
      <c r="DY28243" s="185" t="s">
        <v>215</v>
      </c>
    </row>
    <row r="28244" spans="129:129" x14ac:dyDescent="0.2">
      <c r="DY28244" s="185" t="s">
        <v>215</v>
      </c>
    </row>
    <row r="28245" spans="129:129" x14ac:dyDescent="0.2">
      <c r="DY28245" s="185" t="s">
        <v>215</v>
      </c>
    </row>
    <row r="28246" spans="129:129" x14ac:dyDescent="0.2">
      <c r="DY28246" s="185" t="s">
        <v>215</v>
      </c>
    </row>
    <row r="28247" spans="129:129" x14ac:dyDescent="0.2">
      <c r="DY28247" s="185" t="s">
        <v>215</v>
      </c>
    </row>
    <row r="28248" spans="129:129" x14ac:dyDescent="0.2">
      <c r="DY28248" s="185" t="s">
        <v>215</v>
      </c>
    </row>
    <row r="28249" spans="129:129" x14ac:dyDescent="0.2">
      <c r="DY28249" s="185" t="s">
        <v>215</v>
      </c>
    </row>
    <row r="28250" spans="129:129" x14ac:dyDescent="0.2">
      <c r="DY28250" s="185" t="s">
        <v>215</v>
      </c>
    </row>
    <row r="28251" spans="129:129" x14ac:dyDescent="0.2">
      <c r="DY28251" s="185" t="s">
        <v>215</v>
      </c>
    </row>
    <row r="28252" spans="129:129" x14ac:dyDescent="0.2">
      <c r="DY28252" s="185" t="s">
        <v>215</v>
      </c>
    </row>
    <row r="28253" spans="129:129" x14ac:dyDescent="0.2">
      <c r="DY28253" s="185" t="s">
        <v>215</v>
      </c>
    </row>
    <row r="28254" spans="129:129" x14ac:dyDescent="0.2">
      <c r="DY28254" s="185" t="s">
        <v>215</v>
      </c>
    </row>
    <row r="28255" spans="129:129" x14ac:dyDescent="0.2">
      <c r="DY28255" s="185" t="s">
        <v>215</v>
      </c>
    </row>
    <row r="28256" spans="129:129" x14ac:dyDescent="0.2">
      <c r="DY28256" s="185" t="s">
        <v>215</v>
      </c>
    </row>
    <row r="28257" spans="129:129" x14ac:dyDescent="0.2">
      <c r="DY28257" s="185" t="s">
        <v>215</v>
      </c>
    </row>
    <row r="28258" spans="129:129" x14ac:dyDescent="0.2">
      <c r="DY28258" s="185" t="s">
        <v>215</v>
      </c>
    </row>
    <row r="28259" spans="129:129" x14ac:dyDescent="0.2">
      <c r="DY28259" s="185" t="s">
        <v>215</v>
      </c>
    </row>
    <row r="28260" spans="129:129" x14ac:dyDescent="0.2">
      <c r="DY28260" s="185" t="s">
        <v>215</v>
      </c>
    </row>
    <row r="28261" spans="129:129" x14ac:dyDescent="0.2">
      <c r="DY28261" s="185" t="s">
        <v>215</v>
      </c>
    </row>
    <row r="28262" spans="129:129" x14ac:dyDescent="0.2">
      <c r="DY28262" s="185" t="s">
        <v>215</v>
      </c>
    </row>
    <row r="28263" spans="129:129" x14ac:dyDescent="0.2">
      <c r="DY28263" s="185" t="s">
        <v>215</v>
      </c>
    </row>
    <row r="28264" spans="129:129" x14ac:dyDescent="0.2">
      <c r="DY28264" s="185" t="s">
        <v>215</v>
      </c>
    </row>
    <row r="28265" spans="129:129" x14ac:dyDescent="0.2">
      <c r="DY28265" s="185" t="s">
        <v>215</v>
      </c>
    </row>
    <row r="28266" spans="129:129" x14ac:dyDescent="0.2">
      <c r="DY28266" s="185" t="s">
        <v>215</v>
      </c>
    </row>
    <row r="28267" spans="129:129" x14ac:dyDescent="0.2">
      <c r="DY28267" s="185" t="s">
        <v>215</v>
      </c>
    </row>
    <row r="28268" spans="129:129" x14ac:dyDescent="0.2">
      <c r="DY28268" s="185" t="s">
        <v>215</v>
      </c>
    </row>
    <row r="28269" spans="129:129" x14ac:dyDescent="0.2">
      <c r="DY28269" s="185" t="s">
        <v>215</v>
      </c>
    </row>
    <row r="28270" spans="129:129" x14ac:dyDescent="0.2">
      <c r="DY28270" s="185" t="s">
        <v>215</v>
      </c>
    </row>
    <row r="28271" spans="129:129" x14ac:dyDescent="0.2">
      <c r="DY28271" s="185" t="s">
        <v>215</v>
      </c>
    </row>
    <row r="28272" spans="129:129" x14ac:dyDescent="0.2">
      <c r="DY28272" s="185" t="s">
        <v>215</v>
      </c>
    </row>
    <row r="28273" spans="129:129" x14ac:dyDescent="0.2">
      <c r="DY28273" s="185" t="s">
        <v>215</v>
      </c>
    </row>
    <row r="28274" spans="129:129" x14ac:dyDescent="0.2">
      <c r="DY28274" s="185" t="s">
        <v>215</v>
      </c>
    </row>
    <row r="28275" spans="129:129" x14ac:dyDescent="0.2">
      <c r="DY28275" s="185" t="s">
        <v>215</v>
      </c>
    </row>
    <row r="28276" spans="129:129" x14ac:dyDescent="0.2">
      <c r="DY28276" s="185" t="s">
        <v>215</v>
      </c>
    </row>
    <row r="28277" spans="129:129" x14ac:dyDescent="0.2">
      <c r="DY28277" s="185" t="s">
        <v>215</v>
      </c>
    </row>
    <row r="28278" spans="129:129" x14ac:dyDescent="0.2">
      <c r="DY28278" s="185" t="s">
        <v>215</v>
      </c>
    </row>
    <row r="28279" spans="129:129" x14ac:dyDescent="0.2">
      <c r="DY28279" s="185" t="s">
        <v>215</v>
      </c>
    </row>
    <row r="28280" spans="129:129" x14ac:dyDescent="0.2">
      <c r="DY28280" s="185" t="s">
        <v>215</v>
      </c>
    </row>
    <row r="28281" spans="129:129" x14ac:dyDescent="0.2">
      <c r="DY28281" s="185" t="s">
        <v>215</v>
      </c>
    </row>
    <row r="28282" spans="129:129" x14ac:dyDescent="0.2">
      <c r="DY28282" s="185" t="s">
        <v>215</v>
      </c>
    </row>
    <row r="28283" spans="129:129" x14ac:dyDescent="0.2">
      <c r="DY28283" s="185" t="s">
        <v>215</v>
      </c>
    </row>
    <row r="28284" spans="129:129" x14ac:dyDescent="0.2">
      <c r="DY28284" s="185" t="s">
        <v>215</v>
      </c>
    </row>
    <row r="28285" spans="129:129" x14ac:dyDescent="0.2">
      <c r="DY28285" s="185" t="s">
        <v>215</v>
      </c>
    </row>
    <row r="28286" spans="129:129" x14ac:dyDescent="0.2">
      <c r="DY28286" s="185" t="s">
        <v>215</v>
      </c>
    </row>
    <row r="28287" spans="129:129" x14ac:dyDescent="0.2">
      <c r="DY28287" s="185" t="s">
        <v>215</v>
      </c>
    </row>
    <row r="28288" spans="129:129" x14ac:dyDescent="0.2">
      <c r="DY28288" s="185" t="s">
        <v>215</v>
      </c>
    </row>
    <row r="28289" spans="129:129" x14ac:dyDescent="0.2">
      <c r="DY28289" s="185" t="s">
        <v>215</v>
      </c>
    </row>
    <row r="28290" spans="129:129" x14ac:dyDescent="0.2">
      <c r="DY28290" s="185" t="s">
        <v>215</v>
      </c>
    </row>
    <row r="28291" spans="129:129" x14ac:dyDescent="0.2">
      <c r="DY28291" s="185" t="s">
        <v>215</v>
      </c>
    </row>
    <row r="28292" spans="129:129" x14ac:dyDescent="0.2">
      <c r="DY28292" s="185" t="s">
        <v>215</v>
      </c>
    </row>
    <row r="28293" spans="129:129" x14ac:dyDescent="0.2">
      <c r="DY28293" s="185" t="s">
        <v>215</v>
      </c>
    </row>
    <row r="28294" spans="129:129" x14ac:dyDescent="0.2">
      <c r="DY28294" s="185" t="s">
        <v>215</v>
      </c>
    </row>
    <row r="28295" spans="129:129" x14ac:dyDescent="0.2">
      <c r="DY28295" s="185" t="s">
        <v>215</v>
      </c>
    </row>
    <row r="28296" spans="129:129" x14ac:dyDescent="0.2">
      <c r="DY28296" s="185" t="s">
        <v>215</v>
      </c>
    </row>
    <row r="28297" spans="129:129" x14ac:dyDescent="0.2">
      <c r="DY28297" s="185" t="s">
        <v>215</v>
      </c>
    </row>
    <row r="28298" spans="129:129" x14ac:dyDescent="0.2">
      <c r="DY28298" s="185" t="s">
        <v>215</v>
      </c>
    </row>
    <row r="28299" spans="129:129" x14ac:dyDescent="0.2">
      <c r="DY28299" s="185" t="s">
        <v>215</v>
      </c>
    </row>
    <row r="28300" spans="129:129" x14ac:dyDescent="0.2">
      <c r="DY28300" s="185" t="s">
        <v>215</v>
      </c>
    </row>
    <row r="28301" spans="129:129" x14ac:dyDescent="0.2">
      <c r="DY28301" s="185" t="s">
        <v>215</v>
      </c>
    </row>
    <row r="28302" spans="129:129" x14ac:dyDescent="0.2">
      <c r="DY28302" s="185" t="s">
        <v>215</v>
      </c>
    </row>
    <row r="28303" spans="129:129" x14ac:dyDescent="0.2">
      <c r="DY28303" s="185" t="s">
        <v>215</v>
      </c>
    </row>
    <row r="28304" spans="129:129" x14ac:dyDescent="0.2">
      <c r="DY28304" s="185" t="s">
        <v>215</v>
      </c>
    </row>
    <row r="28305" spans="129:129" x14ac:dyDescent="0.2">
      <c r="DY28305" s="185" t="s">
        <v>215</v>
      </c>
    </row>
    <row r="28306" spans="129:129" x14ac:dyDescent="0.2">
      <c r="DY28306" s="185" t="s">
        <v>215</v>
      </c>
    </row>
    <row r="28307" spans="129:129" x14ac:dyDescent="0.2">
      <c r="DY28307" s="185" t="s">
        <v>215</v>
      </c>
    </row>
    <row r="28308" spans="129:129" x14ac:dyDescent="0.2">
      <c r="DY28308" s="185" t="s">
        <v>215</v>
      </c>
    </row>
    <row r="28309" spans="129:129" x14ac:dyDescent="0.2">
      <c r="DY28309" s="185" t="s">
        <v>215</v>
      </c>
    </row>
    <row r="28310" spans="129:129" x14ac:dyDescent="0.2">
      <c r="DY28310" s="185" t="s">
        <v>215</v>
      </c>
    </row>
    <row r="28311" spans="129:129" x14ac:dyDescent="0.2">
      <c r="DY28311" s="185" t="s">
        <v>215</v>
      </c>
    </row>
    <row r="28312" spans="129:129" x14ac:dyDescent="0.2">
      <c r="DY28312" s="185" t="s">
        <v>215</v>
      </c>
    </row>
    <row r="28313" spans="129:129" x14ac:dyDescent="0.2">
      <c r="DY28313" s="185" t="s">
        <v>215</v>
      </c>
    </row>
    <row r="28314" spans="129:129" x14ac:dyDescent="0.2">
      <c r="DY28314" s="185" t="s">
        <v>215</v>
      </c>
    </row>
    <row r="28315" spans="129:129" x14ac:dyDescent="0.2">
      <c r="DY28315" s="185" t="s">
        <v>215</v>
      </c>
    </row>
    <row r="28316" spans="129:129" x14ac:dyDescent="0.2">
      <c r="DY28316" s="185" t="s">
        <v>215</v>
      </c>
    </row>
    <row r="28317" spans="129:129" x14ac:dyDescent="0.2">
      <c r="DY28317" s="185" t="s">
        <v>215</v>
      </c>
    </row>
    <row r="28318" spans="129:129" x14ac:dyDescent="0.2">
      <c r="DY28318" s="185" t="s">
        <v>215</v>
      </c>
    </row>
    <row r="28319" spans="129:129" x14ac:dyDescent="0.2">
      <c r="DY28319" s="185" t="s">
        <v>215</v>
      </c>
    </row>
    <row r="28320" spans="129:129" x14ac:dyDescent="0.2">
      <c r="DY28320" s="185" t="s">
        <v>215</v>
      </c>
    </row>
    <row r="28321" spans="129:129" x14ac:dyDescent="0.2">
      <c r="DY28321" s="185" t="s">
        <v>215</v>
      </c>
    </row>
    <row r="28322" spans="129:129" x14ac:dyDescent="0.2">
      <c r="DY28322" s="185" t="s">
        <v>215</v>
      </c>
    </row>
    <row r="28323" spans="129:129" x14ac:dyDescent="0.2">
      <c r="DY28323" s="185" t="s">
        <v>215</v>
      </c>
    </row>
    <row r="28324" spans="129:129" x14ac:dyDescent="0.2">
      <c r="DY28324" s="185" t="s">
        <v>215</v>
      </c>
    </row>
    <row r="28325" spans="129:129" x14ac:dyDescent="0.2">
      <c r="DY28325" s="185" t="s">
        <v>215</v>
      </c>
    </row>
    <row r="28326" spans="129:129" x14ac:dyDescent="0.2">
      <c r="DY28326" s="185" t="s">
        <v>215</v>
      </c>
    </row>
    <row r="28327" spans="129:129" x14ac:dyDescent="0.2">
      <c r="DY28327" s="185" t="s">
        <v>215</v>
      </c>
    </row>
    <row r="28328" spans="129:129" x14ac:dyDescent="0.2">
      <c r="DY28328" s="185" t="s">
        <v>215</v>
      </c>
    </row>
    <row r="28329" spans="129:129" x14ac:dyDescent="0.2">
      <c r="DY28329" s="185" t="s">
        <v>215</v>
      </c>
    </row>
    <row r="28330" spans="129:129" x14ac:dyDescent="0.2">
      <c r="DY28330" s="185" t="s">
        <v>215</v>
      </c>
    </row>
    <row r="28331" spans="129:129" x14ac:dyDescent="0.2">
      <c r="DY28331" s="185" t="s">
        <v>215</v>
      </c>
    </row>
    <row r="28332" spans="129:129" x14ac:dyDescent="0.2">
      <c r="DY28332" s="185" t="s">
        <v>215</v>
      </c>
    </row>
    <row r="28333" spans="129:129" x14ac:dyDescent="0.2">
      <c r="DY28333" s="185" t="s">
        <v>215</v>
      </c>
    </row>
    <row r="28334" spans="129:129" x14ac:dyDescent="0.2">
      <c r="DY28334" s="185" t="s">
        <v>215</v>
      </c>
    </row>
    <row r="28335" spans="129:129" x14ac:dyDescent="0.2">
      <c r="DY28335" s="185" t="s">
        <v>215</v>
      </c>
    </row>
    <row r="28336" spans="129:129" x14ac:dyDescent="0.2">
      <c r="DY28336" s="185" t="s">
        <v>215</v>
      </c>
    </row>
    <row r="28337" spans="129:129" x14ac:dyDescent="0.2">
      <c r="DY28337" s="185" t="s">
        <v>215</v>
      </c>
    </row>
    <row r="28338" spans="129:129" x14ac:dyDescent="0.2">
      <c r="DY28338" s="185" t="s">
        <v>215</v>
      </c>
    </row>
    <row r="28339" spans="129:129" x14ac:dyDescent="0.2">
      <c r="DY28339" s="185" t="s">
        <v>215</v>
      </c>
    </row>
    <row r="28340" spans="129:129" x14ac:dyDescent="0.2">
      <c r="DY28340" s="185" t="s">
        <v>215</v>
      </c>
    </row>
    <row r="28341" spans="129:129" x14ac:dyDescent="0.2">
      <c r="DY28341" s="185" t="s">
        <v>215</v>
      </c>
    </row>
    <row r="28342" spans="129:129" x14ac:dyDescent="0.2">
      <c r="DY28342" s="185" t="s">
        <v>215</v>
      </c>
    </row>
    <row r="28343" spans="129:129" x14ac:dyDescent="0.2">
      <c r="DY28343" s="185" t="s">
        <v>215</v>
      </c>
    </row>
    <row r="28344" spans="129:129" x14ac:dyDescent="0.2">
      <c r="DY28344" s="185" t="s">
        <v>215</v>
      </c>
    </row>
    <row r="28345" spans="129:129" x14ac:dyDescent="0.2">
      <c r="DY28345" s="185" t="s">
        <v>215</v>
      </c>
    </row>
    <row r="28346" spans="129:129" x14ac:dyDescent="0.2">
      <c r="DY28346" s="185" t="s">
        <v>215</v>
      </c>
    </row>
    <row r="28347" spans="129:129" x14ac:dyDescent="0.2">
      <c r="DY28347" s="185" t="s">
        <v>215</v>
      </c>
    </row>
    <row r="28348" spans="129:129" x14ac:dyDescent="0.2">
      <c r="DY28348" s="185" t="s">
        <v>215</v>
      </c>
    </row>
    <row r="28349" spans="129:129" x14ac:dyDescent="0.2">
      <c r="DY28349" s="185" t="s">
        <v>215</v>
      </c>
    </row>
    <row r="28350" spans="129:129" x14ac:dyDescent="0.2">
      <c r="DY28350" s="185" t="s">
        <v>215</v>
      </c>
    </row>
    <row r="28351" spans="129:129" x14ac:dyDescent="0.2">
      <c r="DY28351" s="185" t="s">
        <v>215</v>
      </c>
    </row>
    <row r="28352" spans="129:129" x14ac:dyDescent="0.2">
      <c r="DY28352" s="185" t="s">
        <v>215</v>
      </c>
    </row>
    <row r="28353" spans="129:129" x14ac:dyDescent="0.2">
      <c r="DY28353" s="185" t="s">
        <v>215</v>
      </c>
    </row>
    <row r="28354" spans="129:129" x14ac:dyDescent="0.2">
      <c r="DY28354" s="185" t="s">
        <v>215</v>
      </c>
    </row>
    <row r="28355" spans="129:129" x14ac:dyDescent="0.2">
      <c r="DY28355" s="185" t="s">
        <v>215</v>
      </c>
    </row>
    <row r="28356" spans="129:129" x14ac:dyDescent="0.2">
      <c r="DY28356" s="185" t="s">
        <v>215</v>
      </c>
    </row>
    <row r="28357" spans="129:129" x14ac:dyDescent="0.2">
      <c r="DY28357" s="185" t="s">
        <v>215</v>
      </c>
    </row>
    <row r="28358" spans="129:129" x14ac:dyDescent="0.2">
      <c r="DY28358" s="185" t="s">
        <v>215</v>
      </c>
    </row>
    <row r="28359" spans="129:129" x14ac:dyDescent="0.2">
      <c r="DY28359" s="185" t="s">
        <v>215</v>
      </c>
    </row>
    <row r="28360" spans="129:129" x14ac:dyDescent="0.2">
      <c r="DY28360" s="185" t="s">
        <v>215</v>
      </c>
    </row>
    <row r="28361" spans="129:129" x14ac:dyDescent="0.2">
      <c r="DY28361" s="185" t="s">
        <v>215</v>
      </c>
    </row>
    <row r="28362" spans="129:129" x14ac:dyDescent="0.2">
      <c r="DY28362" s="185" t="s">
        <v>215</v>
      </c>
    </row>
    <row r="28363" spans="129:129" x14ac:dyDescent="0.2">
      <c r="DY28363" s="185" t="s">
        <v>215</v>
      </c>
    </row>
    <row r="28364" spans="129:129" x14ac:dyDescent="0.2">
      <c r="DY28364" s="185" t="s">
        <v>215</v>
      </c>
    </row>
    <row r="28365" spans="129:129" x14ac:dyDescent="0.2">
      <c r="DY28365" s="185" t="s">
        <v>215</v>
      </c>
    </row>
    <row r="28366" spans="129:129" x14ac:dyDescent="0.2">
      <c r="DY28366" s="185" t="s">
        <v>215</v>
      </c>
    </row>
    <row r="28367" spans="129:129" x14ac:dyDescent="0.2">
      <c r="DY28367" s="185" t="s">
        <v>215</v>
      </c>
    </row>
    <row r="28368" spans="129:129" x14ac:dyDescent="0.2">
      <c r="DY28368" s="185" t="s">
        <v>215</v>
      </c>
    </row>
    <row r="28369" spans="129:129" x14ac:dyDescent="0.2">
      <c r="DY28369" s="185" t="s">
        <v>215</v>
      </c>
    </row>
    <row r="28370" spans="129:129" x14ac:dyDescent="0.2">
      <c r="DY28370" s="185" t="s">
        <v>215</v>
      </c>
    </row>
    <row r="28371" spans="129:129" x14ac:dyDescent="0.2">
      <c r="DY28371" s="185" t="s">
        <v>215</v>
      </c>
    </row>
    <row r="28372" spans="129:129" x14ac:dyDescent="0.2">
      <c r="DY28372" s="185" t="s">
        <v>215</v>
      </c>
    </row>
    <row r="28373" spans="129:129" x14ac:dyDescent="0.2">
      <c r="DY28373" s="185" t="s">
        <v>215</v>
      </c>
    </row>
    <row r="28374" spans="129:129" x14ac:dyDescent="0.2">
      <c r="DY28374" s="185" t="s">
        <v>215</v>
      </c>
    </row>
    <row r="28375" spans="129:129" x14ac:dyDescent="0.2">
      <c r="DY28375" s="185" t="s">
        <v>215</v>
      </c>
    </row>
    <row r="28376" spans="129:129" x14ac:dyDescent="0.2">
      <c r="DY28376" s="185" t="s">
        <v>215</v>
      </c>
    </row>
    <row r="28377" spans="129:129" x14ac:dyDescent="0.2">
      <c r="DY28377" s="185" t="s">
        <v>215</v>
      </c>
    </row>
    <row r="28378" spans="129:129" x14ac:dyDescent="0.2">
      <c r="DY28378" s="185" t="s">
        <v>215</v>
      </c>
    </row>
    <row r="28379" spans="129:129" x14ac:dyDescent="0.2">
      <c r="DY28379" s="185" t="s">
        <v>215</v>
      </c>
    </row>
    <row r="28380" spans="129:129" x14ac:dyDescent="0.2">
      <c r="DY28380" s="185" t="s">
        <v>215</v>
      </c>
    </row>
    <row r="28381" spans="129:129" x14ac:dyDescent="0.2">
      <c r="DY28381" s="185" t="s">
        <v>215</v>
      </c>
    </row>
    <row r="28382" spans="129:129" x14ac:dyDescent="0.2">
      <c r="DY28382" s="185" t="s">
        <v>215</v>
      </c>
    </row>
    <row r="28383" spans="129:129" x14ac:dyDescent="0.2">
      <c r="DY28383" s="185" t="s">
        <v>215</v>
      </c>
    </row>
    <row r="28384" spans="129:129" x14ac:dyDescent="0.2">
      <c r="DY28384" s="185" t="s">
        <v>215</v>
      </c>
    </row>
    <row r="28385" spans="129:129" x14ac:dyDescent="0.2">
      <c r="DY28385" s="185" t="s">
        <v>215</v>
      </c>
    </row>
    <row r="28386" spans="129:129" x14ac:dyDescent="0.2">
      <c r="DY28386" s="185" t="s">
        <v>215</v>
      </c>
    </row>
    <row r="28387" spans="129:129" x14ac:dyDescent="0.2">
      <c r="DY28387" s="185" t="s">
        <v>215</v>
      </c>
    </row>
    <row r="28388" spans="129:129" x14ac:dyDescent="0.2">
      <c r="DY28388" s="185" t="s">
        <v>215</v>
      </c>
    </row>
    <row r="28389" spans="129:129" x14ac:dyDescent="0.2">
      <c r="DY28389" s="185" t="s">
        <v>215</v>
      </c>
    </row>
    <row r="28390" spans="129:129" x14ac:dyDescent="0.2">
      <c r="DY28390" s="185" t="s">
        <v>215</v>
      </c>
    </row>
    <row r="28391" spans="129:129" x14ac:dyDescent="0.2">
      <c r="DY28391" s="185" t="s">
        <v>215</v>
      </c>
    </row>
    <row r="28392" spans="129:129" x14ac:dyDescent="0.2">
      <c r="DY28392" s="185" t="s">
        <v>215</v>
      </c>
    </row>
    <row r="28393" spans="129:129" x14ac:dyDescent="0.2">
      <c r="DY28393" s="185" t="s">
        <v>215</v>
      </c>
    </row>
    <row r="28394" spans="129:129" x14ac:dyDescent="0.2">
      <c r="DY28394" s="185" t="s">
        <v>215</v>
      </c>
    </row>
    <row r="28395" spans="129:129" x14ac:dyDescent="0.2">
      <c r="DY28395" s="185" t="s">
        <v>215</v>
      </c>
    </row>
    <row r="28396" spans="129:129" x14ac:dyDescent="0.2">
      <c r="DY28396" s="185" t="s">
        <v>215</v>
      </c>
    </row>
    <row r="28397" spans="129:129" x14ac:dyDescent="0.2">
      <c r="DY28397" s="185" t="s">
        <v>215</v>
      </c>
    </row>
    <row r="28398" spans="129:129" x14ac:dyDescent="0.2">
      <c r="DY28398" s="185" t="s">
        <v>215</v>
      </c>
    </row>
    <row r="28399" spans="129:129" x14ac:dyDescent="0.2">
      <c r="DY28399" s="185" t="s">
        <v>215</v>
      </c>
    </row>
    <row r="28400" spans="129:129" x14ac:dyDescent="0.2">
      <c r="DY28400" s="185" t="s">
        <v>215</v>
      </c>
    </row>
    <row r="28401" spans="129:129" x14ac:dyDescent="0.2">
      <c r="DY28401" s="185" t="s">
        <v>215</v>
      </c>
    </row>
    <row r="28402" spans="129:129" x14ac:dyDescent="0.2">
      <c r="DY28402" s="185" t="s">
        <v>215</v>
      </c>
    </row>
    <row r="28403" spans="129:129" x14ac:dyDescent="0.2">
      <c r="DY28403" s="185" t="s">
        <v>215</v>
      </c>
    </row>
    <row r="28404" spans="129:129" x14ac:dyDescent="0.2">
      <c r="DY28404" s="185" t="s">
        <v>215</v>
      </c>
    </row>
    <row r="28405" spans="129:129" x14ac:dyDescent="0.2">
      <c r="DY28405" s="185" t="s">
        <v>215</v>
      </c>
    </row>
    <row r="28406" spans="129:129" x14ac:dyDescent="0.2">
      <c r="DY28406" s="185" t="s">
        <v>215</v>
      </c>
    </row>
    <row r="28407" spans="129:129" x14ac:dyDescent="0.2">
      <c r="DY28407" s="185" t="s">
        <v>215</v>
      </c>
    </row>
    <row r="28408" spans="129:129" x14ac:dyDescent="0.2">
      <c r="DY28408" s="185" t="s">
        <v>215</v>
      </c>
    </row>
    <row r="28409" spans="129:129" x14ac:dyDescent="0.2">
      <c r="DY28409" s="185" t="s">
        <v>215</v>
      </c>
    </row>
    <row r="28410" spans="129:129" x14ac:dyDescent="0.2">
      <c r="DY28410" s="185" t="s">
        <v>215</v>
      </c>
    </row>
    <row r="28411" spans="129:129" x14ac:dyDescent="0.2">
      <c r="DY28411" s="185" t="s">
        <v>215</v>
      </c>
    </row>
    <row r="28412" spans="129:129" x14ac:dyDescent="0.2">
      <c r="DY28412" s="185" t="s">
        <v>215</v>
      </c>
    </row>
    <row r="28413" spans="129:129" x14ac:dyDescent="0.2">
      <c r="DY28413" s="185" t="s">
        <v>215</v>
      </c>
    </row>
    <row r="28414" spans="129:129" x14ac:dyDescent="0.2">
      <c r="DY28414" s="185" t="s">
        <v>215</v>
      </c>
    </row>
    <row r="28415" spans="129:129" x14ac:dyDescent="0.2">
      <c r="DY28415" s="185" t="s">
        <v>215</v>
      </c>
    </row>
    <row r="28416" spans="129:129" x14ac:dyDescent="0.2">
      <c r="DY28416" s="185" t="s">
        <v>215</v>
      </c>
    </row>
    <row r="28417" spans="129:129" x14ac:dyDescent="0.2">
      <c r="DY28417" s="185" t="s">
        <v>215</v>
      </c>
    </row>
    <row r="28418" spans="129:129" x14ac:dyDescent="0.2">
      <c r="DY28418" s="185" t="s">
        <v>215</v>
      </c>
    </row>
    <row r="28419" spans="129:129" x14ac:dyDescent="0.2">
      <c r="DY28419" s="185" t="s">
        <v>215</v>
      </c>
    </row>
    <row r="28420" spans="129:129" x14ac:dyDescent="0.2">
      <c r="DY28420" s="185" t="s">
        <v>215</v>
      </c>
    </row>
    <row r="28421" spans="129:129" x14ac:dyDescent="0.2">
      <c r="DY28421" s="185" t="s">
        <v>215</v>
      </c>
    </row>
    <row r="28422" spans="129:129" x14ac:dyDescent="0.2">
      <c r="DY28422" s="185" t="s">
        <v>215</v>
      </c>
    </row>
    <row r="28423" spans="129:129" x14ac:dyDescent="0.2">
      <c r="DY28423" s="185" t="s">
        <v>215</v>
      </c>
    </row>
    <row r="28424" spans="129:129" x14ac:dyDescent="0.2">
      <c r="DY28424" s="185" t="s">
        <v>215</v>
      </c>
    </row>
    <row r="28425" spans="129:129" x14ac:dyDescent="0.2">
      <c r="DY28425" s="185" t="s">
        <v>215</v>
      </c>
    </row>
    <row r="28426" spans="129:129" x14ac:dyDescent="0.2">
      <c r="DY28426" s="185" t="s">
        <v>215</v>
      </c>
    </row>
    <row r="28427" spans="129:129" x14ac:dyDescent="0.2">
      <c r="DY28427" s="185" t="s">
        <v>215</v>
      </c>
    </row>
    <row r="28428" spans="129:129" x14ac:dyDescent="0.2">
      <c r="DY28428" s="185" t="s">
        <v>215</v>
      </c>
    </row>
    <row r="28429" spans="129:129" x14ac:dyDescent="0.2">
      <c r="DY28429" s="185" t="s">
        <v>215</v>
      </c>
    </row>
    <row r="28430" spans="129:129" x14ac:dyDescent="0.2">
      <c r="DY28430" s="185" t="s">
        <v>215</v>
      </c>
    </row>
    <row r="28431" spans="129:129" x14ac:dyDescent="0.2">
      <c r="DY28431" s="185" t="s">
        <v>215</v>
      </c>
    </row>
    <row r="28432" spans="129:129" x14ac:dyDescent="0.2">
      <c r="DY28432" s="185" t="s">
        <v>215</v>
      </c>
    </row>
    <row r="28433" spans="129:129" x14ac:dyDescent="0.2">
      <c r="DY28433" s="185" t="s">
        <v>215</v>
      </c>
    </row>
    <row r="28434" spans="129:129" x14ac:dyDescent="0.2">
      <c r="DY28434" s="185" t="s">
        <v>215</v>
      </c>
    </row>
    <row r="28435" spans="129:129" x14ac:dyDescent="0.2">
      <c r="DY28435" s="185" t="s">
        <v>215</v>
      </c>
    </row>
    <row r="28436" spans="129:129" x14ac:dyDescent="0.2">
      <c r="DY28436" s="185" t="s">
        <v>215</v>
      </c>
    </row>
    <row r="28437" spans="129:129" x14ac:dyDescent="0.2">
      <c r="DY28437" s="185" t="s">
        <v>215</v>
      </c>
    </row>
    <row r="28438" spans="129:129" x14ac:dyDescent="0.2">
      <c r="DY28438" s="185" t="s">
        <v>215</v>
      </c>
    </row>
    <row r="28439" spans="129:129" x14ac:dyDescent="0.2">
      <c r="DY28439" s="185" t="s">
        <v>215</v>
      </c>
    </row>
    <row r="28440" spans="129:129" x14ac:dyDescent="0.2">
      <c r="DY28440" s="185" t="s">
        <v>215</v>
      </c>
    </row>
    <row r="28441" spans="129:129" x14ac:dyDescent="0.2">
      <c r="DY28441" s="185" t="s">
        <v>215</v>
      </c>
    </row>
    <row r="28442" spans="129:129" x14ac:dyDescent="0.2">
      <c r="DY28442" s="185" t="s">
        <v>215</v>
      </c>
    </row>
    <row r="28443" spans="129:129" x14ac:dyDescent="0.2">
      <c r="DY28443" s="185" t="s">
        <v>215</v>
      </c>
    </row>
    <row r="28444" spans="129:129" x14ac:dyDescent="0.2">
      <c r="DY28444" s="185" t="s">
        <v>215</v>
      </c>
    </row>
    <row r="28445" spans="129:129" x14ac:dyDescent="0.2">
      <c r="DY28445" s="185" t="s">
        <v>215</v>
      </c>
    </row>
    <row r="28446" spans="129:129" x14ac:dyDescent="0.2">
      <c r="DY28446" s="185" t="s">
        <v>215</v>
      </c>
    </row>
    <row r="28447" spans="129:129" x14ac:dyDescent="0.2">
      <c r="DY28447" s="185" t="s">
        <v>215</v>
      </c>
    </row>
    <row r="28448" spans="129:129" x14ac:dyDescent="0.2">
      <c r="DY28448" s="185" t="s">
        <v>215</v>
      </c>
    </row>
    <row r="28449" spans="129:129" x14ac:dyDescent="0.2">
      <c r="DY28449" s="185" t="s">
        <v>215</v>
      </c>
    </row>
    <row r="28450" spans="129:129" x14ac:dyDescent="0.2">
      <c r="DY28450" s="185" t="s">
        <v>215</v>
      </c>
    </row>
    <row r="28451" spans="129:129" x14ac:dyDescent="0.2">
      <c r="DY28451" s="185" t="s">
        <v>215</v>
      </c>
    </row>
    <row r="28452" spans="129:129" x14ac:dyDescent="0.2">
      <c r="DY28452" s="185" t="s">
        <v>215</v>
      </c>
    </row>
    <row r="28453" spans="129:129" x14ac:dyDescent="0.2">
      <c r="DY28453" s="185" t="s">
        <v>215</v>
      </c>
    </row>
    <row r="28454" spans="129:129" x14ac:dyDescent="0.2">
      <c r="DY28454" s="185" t="s">
        <v>215</v>
      </c>
    </row>
    <row r="28455" spans="129:129" x14ac:dyDescent="0.2">
      <c r="DY28455" s="185" t="s">
        <v>215</v>
      </c>
    </row>
    <row r="28456" spans="129:129" x14ac:dyDescent="0.2">
      <c r="DY28456" s="185" t="s">
        <v>215</v>
      </c>
    </row>
    <row r="28457" spans="129:129" x14ac:dyDescent="0.2">
      <c r="DY28457" s="185" t="s">
        <v>215</v>
      </c>
    </row>
    <row r="28458" spans="129:129" x14ac:dyDescent="0.2">
      <c r="DY28458" s="185" t="s">
        <v>215</v>
      </c>
    </row>
    <row r="28459" spans="129:129" x14ac:dyDescent="0.2">
      <c r="DY28459" s="185" t="s">
        <v>215</v>
      </c>
    </row>
    <row r="28460" spans="129:129" x14ac:dyDescent="0.2">
      <c r="DY28460" s="185" t="s">
        <v>215</v>
      </c>
    </row>
    <row r="28461" spans="129:129" x14ac:dyDescent="0.2">
      <c r="DY28461" s="185" t="s">
        <v>215</v>
      </c>
    </row>
    <row r="28462" spans="129:129" x14ac:dyDescent="0.2">
      <c r="DY28462" s="185" t="s">
        <v>215</v>
      </c>
    </row>
    <row r="28463" spans="129:129" x14ac:dyDescent="0.2">
      <c r="DY28463" s="185" t="s">
        <v>215</v>
      </c>
    </row>
    <row r="28464" spans="129:129" x14ac:dyDescent="0.2">
      <c r="DY28464" s="185" t="s">
        <v>215</v>
      </c>
    </row>
    <row r="28465" spans="129:129" x14ac:dyDescent="0.2">
      <c r="DY28465" s="185" t="s">
        <v>215</v>
      </c>
    </row>
    <row r="28466" spans="129:129" x14ac:dyDescent="0.2">
      <c r="DY28466" s="185" t="s">
        <v>215</v>
      </c>
    </row>
    <row r="28467" spans="129:129" x14ac:dyDescent="0.2">
      <c r="DY28467" s="185" t="s">
        <v>215</v>
      </c>
    </row>
    <row r="28468" spans="129:129" x14ac:dyDescent="0.2">
      <c r="DY28468" s="185" t="s">
        <v>215</v>
      </c>
    </row>
    <row r="28469" spans="129:129" x14ac:dyDescent="0.2">
      <c r="DY28469" s="185" t="s">
        <v>215</v>
      </c>
    </row>
    <row r="28470" spans="129:129" x14ac:dyDescent="0.2">
      <c r="DY28470" s="185" t="s">
        <v>215</v>
      </c>
    </row>
    <row r="28471" spans="129:129" x14ac:dyDescent="0.2">
      <c r="DY28471" s="185" t="s">
        <v>215</v>
      </c>
    </row>
    <row r="28472" spans="129:129" x14ac:dyDescent="0.2">
      <c r="DY28472" s="185" t="s">
        <v>215</v>
      </c>
    </row>
    <row r="28473" spans="129:129" x14ac:dyDescent="0.2">
      <c r="DY28473" s="185" t="s">
        <v>215</v>
      </c>
    </row>
    <row r="28474" spans="129:129" x14ac:dyDescent="0.2">
      <c r="DY28474" s="185" t="s">
        <v>215</v>
      </c>
    </row>
    <row r="28475" spans="129:129" x14ac:dyDescent="0.2">
      <c r="DY28475" s="185" t="s">
        <v>215</v>
      </c>
    </row>
    <row r="28476" spans="129:129" x14ac:dyDescent="0.2">
      <c r="DY28476" s="185" t="s">
        <v>215</v>
      </c>
    </row>
    <row r="28477" spans="129:129" x14ac:dyDescent="0.2">
      <c r="DY28477" s="185" t="s">
        <v>215</v>
      </c>
    </row>
    <row r="28478" spans="129:129" x14ac:dyDescent="0.2">
      <c r="DY28478" s="185" t="s">
        <v>215</v>
      </c>
    </row>
    <row r="28479" spans="129:129" x14ac:dyDescent="0.2">
      <c r="DY28479" s="185" t="s">
        <v>215</v>
      </c>
    </row>
    <row r="28480" spans="129:129" x14ac:dyDescent="0.2">
      <c r="DY28480" s="185" t="s">
        <v>215</v>
      </c>
    </row>
    <row r="28481" spans="129:129" x14ac:dyDescent="0.2">
      <c r="DY28481" s="185" t="s">
        <v>215</v>
      </c>
    </row>
    <row r="28482" spans="129:129" x14ac:dyDescent="0.2">
      <c r="DY28482" s="185" t="s">
        <v>215</v>
      </c>
    </row>
    <row r="28483" spans="129:129" x14ac:dyDescent="0.2">
      <c r="DY28483" s="185" t="s">
        <v>215</v>
      </c>
    </row>
    <row r="28484" spans="129:129" x14ac:dyDescent="0.2">
      <c r="DY28484" s="185" t="s">
        <v>215</v>
      </c>
    </row>
    <row r="28485" spans="129:129" x14ac:dyDescent="0.2">
      <c r="DY28485" s="185" t="s">
        <v>215</v>
      </c>
    </row>
    <row r="28486" spans="129:129" x14ac:dyDescent="0.2">
      <c r="DY28486" s="185" t="s">
        <v>215</v>
      </c>
    </row>
    <row r="28487" spans="129:129" x14ac:dyDescent="0.2">
      <c r="DY28487" s="185" t="s">
        <v>215</v>
      </c>
    </row>
    <row r="28488" spans="129:129" x14ac:dyDescent="0.2">
      <c r="DY28488" s="185" t="s">
        <v>215</v>
      </c>
    </row>
    <row r="28489" spans="129:129" x14ac:dyDescent="0.2">
      <c r="DY28489" s="185" t="s">
        <v>215</v>
      </c>
    </row>
    <row r="28490" spans="129:129" x14ac:dyDescent="0.2">
      <c r="DY28490" s="185" t="s">
        <v>215</v>
      </c>
    </row>
    <row r="28491" spans="129:129" x14ac:dyDescent="0.2">
      <c r="DY28491" s="185" t="s">
        <v>215</v>
      </c>
    </row>
    <row r="28492" spans="129:129" x14ac:dyDescent="0.2">
      <c r="DY28492" s="185" t="s">
        <v>215</v>
      </c>
    </row>
    <row r="28493" spans="129:129" x14ac:dyDescent="0.2">
      <c r="DY28493" s="185" t="s">
        <v>215</v>
      </c>
    </row>
    <row r="28494" spans="129:129" x14ac:dyDescent="0.2">
      <c r="DY28494" s="185" t="s">
        <v>215</v>
      </c>
    </row>
    <row r="28495" spans="129:129" x14ac:dyDescent="0.2">
      <c r="DY28495" s="185" t="s">
        <v>215</v>
      </c>
    </row>
    <row r="28496" spans="129:129" x14ac:dyDescent="0.2">
      <c r="DY28496" s="185" t="s">
        <v>215</v>
      </c>
    </row>
    <row r="28497" spans="129:129" x14ac:dyDescent="0.2">
      <c r="DY28497" s="185" t="s">
        <v>215</v>
      </c>
    </row>
    <row r="28498" spans="129:129" x14ac:dyDescent="0.2">
      <c r="DY28498" s="185" t="s">
        <v>215</v>
      </c>
    </row>
    <row r="28499" spans="129:129" x14ac:dyDescent="0.2">
      <c r="DY28499" s="185" t="s">
        <v>215</v>
      </c>
    </row>
    <row r="28500" spans="129:129" x14ac:dyDescent="0.2">
      <c r="DY28500" s="185" t="s">
        <v>215</v>
      </c>
    </row>
    <row r="28501" spans="129:129" x14ac:dyDescent="0.2">
      <c r="DY28501" s="185" t="s">
        <v>215</v>
      </c>
    </row>
    <row r="28502" spans="129:129" x14ac:dyDescent="0.2">
      <c r="DY28502" s="185" t="s">
        <v>215</v>
      </c>
    </row>
    <row r="28503" spans="129:129" x14ac:dyDescent="0.2">
      <c r="DY28503" s="185" t="s">
        <v>215</v>
      </c>
    </row>
    <row r="28504" spans="129:129" x14ac:dyDescent="0.2">
      <c r="DY28504" s="185" t="s">
        <v>215</v>
      </c>
    </row>
    <row r="28505" spans="129:129" x14ac:dyDescent="0.2">
      <c r="DY28505" s="185" t="s">
        <v>215</v>
      </c>
    </row>
    <row r="28506" spans="129:129" x14ac:dyDescent="0.2">
      <c r="DY28506" s="185" t="s">
        <v>215</v>
      </c>
    </row>
    <row r="28507" spans="129:129" x14ac:dyDescent="0.2">
      <c r="DY28507" s="185" t="s">
        <v>215</v>
      </c>
    </row>
    <row r="28508" spans="129:129" x14ac:dyDescent="0.2">
      <c r="DY28508" s="185" t="s">
        <v>215</v>
      </c>
    </row>
    <row r="28509" spans="129:129" x14ac:dyDescent="0.2">
      <c r="DY28509" s="185" t="s">
        <v>215</v>
      </c>
    </row>
    <row r="28510" spans="129:129" x14ac:dyDescent="0.2">
      <c r="DY28510" s="185" t="s">
        <v>215</v>
      </c>
    </row>
    <row r="28511" spans="129:129" x14ac:dyDescent="0.2">
      <c r="DY28511" s="185" t="s">
        <v>215</v>
      </c>
    </row>
    <row r="28512" spans="129:129" x14ac:dyDescent="0.2">
      <c r="DY28512" s="185" t="s">
        <v>215</v>
      </c>
    </row>
    <row r="28513" spans="129:129" x14ac:dyDescent="0.2">
      <c r="DY28513" s="185" t="s">
        <v>215</v>
      </c>
    </row>
    <row r="28514" spans="129:129" x14ac:dyDescent="0.2">
      <c r="DY28514" s="185" t="s">
        <v>215</v>
      </c>
    </row>
    <row r="28515" spans="129:129" x14ac:dyDescent="0.2">
      <c r="DY28515" s="185" t="s">
        <v>215</v>
      </c>
    </row>
    <row r="28516" spans="129:129" x14ac:dyDescent="0.2">
      <c r="DY28516" s="185" t="s">
        <v>215</v>
      </c>
    </row>
    <row r="28517" spans="129:129" x14ac:dyDescent="0.2">
      <c r="DY28517" s="185" t="s">
        <v>215</v>
      </c>
    </row>
    <row r="28518" spans="129:129" x14ac:dyDescent="0.2">
      <c r="DY28518" s="185" t="s">
        <v>215</v>
      </c>
    </row>
    <row r="28519" spans="129:129" x14ac:dyDescent="0.2">
      <c r="DY28519" s="185" t="s">
        <v>215</v>
      </c>
    </row>
    <row r="28520" spans="129:129" x14ac:dyDescent="0.2">
      <c r="DY28520" s="185" t="s">
        <v>215</v>
      </c>
    </row>
    <row r="28521" spans="129:129" x14ac:dyDescent="0.2">
      <c r="DY28521" s="185" t="s">
        <v>215</v>
      </c>
    </row>
    <row r="28522" spans="129:129" x14ac:dyDescent="0.2">
      <c r="DY28522" s="185" t="s">
        <v>215</v>
      </c>
    </row>
    <row r="28523" spans="129:129" x14ac:dyDescent="0.2">
      <c r="DY28523" s="185" t="s">
        <v>215</v>
      </c>
    </row>
    <row r="28524" spans="129:129" x14ac:dyDescent="0.2">
      <c r="DY28524" s="185" t="s">
        <v>215</v>
      </c>
    </row>
    <row r="28525" spans="129:129" x14ac:dyDescent="0.2">
      <c r="DY28525" s="185" t="s">
        <v>215</v>
      </c>
    </row>
    <row r="28526" spans="129:129" x14ac:dyDescent="0.2">
      <c r="DY28526" s="185" t="s">
        <v>215</v>
      </c>
    </row>
    <row r="28527" spans="129:129" x14ac:dyDescent="0.2">
      <c r="DY28527" s="185" t="s">
        <v>215</v>
      </c>
    </row>
    <row r="28528" spans="129:129" x14ac:dyDescent="0.2">
      <c r="DY28528" s="185" t="s">
        <v>215</v>
      </c>
    </row>
    <row r="28529" spans="129:129" x14ac:dyDescent="0.2">
      <c r="DY28529" s="185" t="s">
        <v>215</v>
      </c>
    </row>
    <row r="28530" spans="129:129" x14ac:dyDescent="0.2">
      <c r="DY28530" s="185" t="s">
        <v>215</v>
      </c>
    </row>
    <row r="28531" spans="129:129" x14ac:dyDescent="0.2">
      <c r="DY28531" s="185" t="s">
        <v>215</v>
      </c>
    </row>
    <row r="28532" spans="129:129" x14ac:dyDescent="0.2">
      <c r="DY28532" s="185" t="s">
        <v>215</v>
      </c>
    </row>
    <row r="28533" spans="129:129" x14ac:dyDescent="0.2">
      <c r="DY28533" s="185" t="s">
        <v>215</v>
      </c>
    </row>
    <row r="28534" spans="129:129" x14ac:dyDescent="0.2">
      <c r="DY28534" s="185" t="s">
        <v>215</v>
      </c>
    </row>
    <row r="28535" spans="129:129" x14ac:dyDescent="0.2">
      <c r="DY28535" s="185" t="s">
        <v>215</v>
      </c>
    </row>
    <row r="28536" spans="129:129" x14ac:dyDescent="0.2">
      <c r="DY28536" s="185" t="s">
        <v>215</v>
      </c>
    </row>
    <row r="28537" spans="129:129" x14ac:dyDescent="0.2">
      <c r="DY28537" s="185" t="s">
        <v>215</v>
      </c>
    </row>
    <row r="28538" spans="129:129" x14ac:dyDescent="0.2">
      <c r="DY28538" s="185" t="s">
        <v>215</v>
      </c>
    </row>
    <row r="28539" spans="129:129" x14ac:dyDescent="0.2">
      <c r="DY28539" s="185" t="s">
        <v>215</v>
      </c>
    </row>
    <row r="28540" spans="129:129" x14ac:dyDescent="0.2">
      <c r="DY28540" s="185" t="s">
        <v>215</v>
      </c>
    </row>
    <row r="28541" spans="129:129" x14ac:dyDescent="0.2">
      <c r="DY28541" s="185" t="s">
        <v>215</v>
      </c>
    </row>
    <row r="28542" spans="129:129" x14ac:dyDescent="0.2">
      <c r="DY28542" s="185" t="s">
        <v>215</v>
      </c>
    </row>
    <row r="28543" spans="129:129" x14ac:dyDescent="0.2">
      <c r="DY28543" s="185" t="s">
        <v>215</v>
      </c>
    </row>
    <row r="28544" spans="129:129" x14ac:dyDescent="0.2">
      <c r="DY28544" s="185" t="s">
        <v>215</v>
      </c>
    </row>
    <row r="28545" spans="129:129" x14ac:dyDescent="0.2">
      <c r="DY28545" s="185" t="s">
        <v>215</v>
      </c>
    </row>
    <row r="28546" spans="129:129" x14ac:dyDescent="0.2">
      <c r="DY28546" s="185" t="s">
        <v>215</v>
      </c>
    </row>
    <row r="28547" spans="129:129" x14ac:dyDescent="0.2">
      <c r="DY28547" s="185" t="s">
        <v>215</v>
      </c>
    </row>
    <row r="28548" spans="129:129" x14ac:dyDescent="0.2">
      <c r="DY28548" s="185" t="s">
        <v>215</v>
      </c>
    </row>
    <row r="28549" spans="129:129" x14ac:dyDescent="0.2">
      <c r="DY28549" s="185" t="s">
        <v>215</v>
      </c>
    </row>
    <row r="28550" spans="129:129" x14ac:dyDescent="0.2">
      <c r="DY28550" s="185" t="s">
        <v>215</v>
      </c>
    </row>
    <row r="28551" spans="129:129" x14ac:dyDescent="0.2">
      <c r="DY28551" s="185" t="s">
        <v>215</v>
      </c>
    </row>
    <row r="28552" spans="129:129" x14ac:dyDescent="0.2">
      <c r="DY28552" s="185" t="s">
        <v>215</v>
      </c>
    </row>
    <row r="28553" spans="129:129" x14ac:dyDescent="0.2">
      <c r="DY28553" s="185" t="s">
        <v>215</v>
      </c>
    </row>
    <row r="28554" spans="129:129" x14ac:dyDescent="0.2">
      <c r="DY28554" s="185" t="s">
        <v>215</v>
      </c>
    </row>
    <row r="28555" spans="129:129" x14ac:dyDescent="0.2">
      <c r="DY28555" s="185" t="s">
        <v>215</v>
      </c>
    </row>
    <row r="28556" spans="129:129" x14ac:dyDescent="0.2">
      <c r="DY28556" s="185" t="s">
        <v>215</v>
      </c>
    </row>
    <row r="28557" spans="129:129" x14ac:dyDescent="0.2">
      <c r="DY28557" s="185" t="s">
        <v>215</v>
      </c>
    </row>
    <row r="28558" spans="129:129" x14ac:dyDescent="0.2">
      <c r="DY28558" s="185" t="s">
        <v>215</v>
      </c>
    </row>
    <row r="28559" spans="129:129" x14ac:dyDescent="0.2">
      <c r="DY28559" s="185" t="s">
        <v>215</v>
      </c>
    </row>
    <row r="28560" spans="129:129" x14ac:dyDescent="0.2">
      <c r="DY28560" s="185" t="s">
        <v>215</v>
      </c>
    </row>
    <row r="28561" spans="129:129" x14ac:dyDescent="0.2">
      <c r="DY28561" s="185" t="s">
        <v>215</v>
      </c>
    </row>
    <row r="28562" spans="129:129" x14ac:dyDescent="0.2">
      <c r="DY28562" s="185" t="s">
        <v>215</v>
      </c>
    </row>
    <row r="28563" spans="129:129" x14ac:dyDescent="0.2">
      <c r="DY28563" s="185" t="s">
        <v>215</v>
      </c>
    </row>
    <row r="28564" spans="129:129" x14ac:dyDescent="0.2">
      <c r="DY28564" s="185" t="s">
        <v>215</v>
      </c>
    </row>
    <row r="28565" spans="129:129" x14ac:dyDescent="0.2">
      <c r="DY28565" s="185" t="s">
        <v>215</v>
      </c>
    </row>
    <row r="28566" spans="129:129" x14ac:dyDescent="0.2">
      <c r="DY28566" s="185" t="s">
        <v>215</v>
      </c>
    </row>
    <row r="28567" spans="129:129" x14ac:dyDescent="0.2">
      <c r="DY28567" s="185" t="s">
        <v>215</v>
      </c>
    </row>
    <row r="28568" spans="129:129" x14ac:dyDescent="0.2">
      <c r="DY28568" s="185" t="s">
        <v>215</v>
      </c>
    </row>
    <row r="28569" spans="129:129" x14ac:dyDescent="0.2">
      <c r="DY28569" s="185" t="s">
        <v>215</v>
      </c>
    </row>
    <row r="28570" spans="129:129" x14ac:dyDescent="0.2">
      <c r="DY28570" s="185" t="s">
        <v>215</v>
      </c>
    </row>
    <row r="28571" spans="129:129" x14ac:dyDescent="0.2">
      <c r="DY28571" s="185" t="s">
        <v>215</v>
      </c>
    </row>
    <row r="28572" spans="129:129" x14ac:dyDescent="0.2">
      <c r="DY28572" s="185" t="s">
        <v>215</v>
      </c>
    </row>
    <row r="28573" spans="129:129" x14ac:dyDescent="0.2">
      <c r="DY28573" s="185" t="s">
        <v>215</v>
      </c>
    </row>
    <row r="28574" spans="129:129" x14ac:dyDescent="0.2">
      <c r="DY28574" s="185" t="s">
        <v>215</v>
      </c>
    </row>
    <row r="28575" spans="129:129" x14ac:dyDescent="0.2">
      <c r="DY28575" s="185" t="s">
        <v>215</v>
      </c>
    </row>
    <row r="28576" spans="129:129" x14ac:dyDescent="0.2">
      <c r="DY28576" s="185" t="s">
        <v>215</v>
      </c>
    </row>
    <row r="28577" spans="129:129" x14ac:dyDescent="0.2">
      <c r="DY28577" s="185" t="s">
        <v>215</v>
      </c>
    </row>
    <row r="28578" spans="129:129" x14ac:dyDescent="0.2">
      <c r="DY28578" s="185" t="s">
        <v>215</v>
      </c>
    </row>
    <row r="28579" spans="129:129" x14ac:dyDescent="0.2">
      <c r="DY28579" s="185" t="s">
        <v>215</v>
      </c>
    </row>
    <row r="28580" spans="129:129" x14ac:dyDescent="0.2">
      <c r="DY28580" s="185" t="s">
        <v>215</v>
      </c>
    </row>
    <row r="28581" spans="129:129" x14ac:dyDescent="0.2">
      <c r="DY28581" s="185" t="s">
        <v>215</v>
      </c>
    </row>
    <row r="28582" spans="129:129" x14ac:dyDescent="0.2">
      <c r="DY28582" s="185" t="s">
        <v>215</v>
      </c>
    </row>
    <row r="28583" spans="129:129" x14ac:dyDescent="0.2">
      <c r="DY28583" s="185" t="s">
        <v>215</v>
      </c>
    </row>
    <row r="28584" spans="129:129" x14ac:dyDescent="0.2">
      <c r="DY28584" s="185" t="s">
        <v>215</v>
      </c>
    </row>
    <row r="28585" spans="129:129" x14ac:dyDescent="0.2">
      <c r="DY28585" s="185" t="s">
        <v>215</v>
      </c>
    </row>
    <row r="28586" spans="129:129" x14ac:dyDescent="0.2">
      <c r="DY28586" s="185" t="s">
        <v>215</v>
      </c>
    </row>
    <row r="28587" spans="129:129" x14ac:dyDescent="0.2">
      <c r="DY28587" s="185" t="s">
        <v>215</v>
      </c>
    </row>
    <row r="28588" spans="129:129" x14ac:dyDescent="0.2">
      <c r="DY28588" s="185" t="s">
        <v>215</v>
      </c>
    </row>
    <row r="28589" spans="129:129" x14ac:dyDescent="0.2">
      <c r="DY28589" s="185" t="s">
        <v>215</v>
      </c>
    </row>
    <row r="28590" spans="129:129" x14ac:dyDescent="0.2">
      <c r="DY28590" s="185" t="s">
        <v>215</v>
      </c>
    </row>
    <row r="28591" spans="129:129" x14ac:dyDescent="0.2">
      <c r="DY28591" s="185" t="s">
        <v>215</v>
      </c>
    </row>
    <row r="28592" spans="129:129" x14ac:dyDescent="0.2">
      <c r="DY28592" s="185" t="s">
        <v>215</v>
      </c>
    </row>
    <row r="28593" spans="129:129" x14ac:dyDescent="0.2">
      <c r="DY28593" s="185" t="s">
        <v>215</v>
      </c>
    </row>
    <row r="28594" spans="129:129" x14ac:dyDescent="0.2">
      <c r="DY28594" s="185" t="s">
        <v>215</v>
      </c>
    </row>
    <row r="28595" spans="129:129" x14ac:dyDescent="0.2">
      <c r="DY28595" s="185" t="s">
        <v>215</v>
      </c>
    </row>
    <row r="28596" spans="129:129" x14ac:dyDescent="0.2">
      <c r="DY28596" s="185" t="s">
        <v>215</v>
      </c>
    </row>
    <row r="28597" spans="129:129" x14ac:dyDescent="0.2">
      <c r="DY28597" s="185" t="s">
        <v>215</v>
      </c>
    </row>
    <row r="28598" spans="129:129" x14ac:dyDescent="0.2">
      <c r="DY28598" s="185" t="s">
        <v>215</v>
      </c>
    </row>
    <row r="28599" spans="129:129" x14ac:dyDescent="0.2">
      <c r="DY28599" s="185" t="s">
        <v>215</v>
      </c>
    </row>
    <row r="28600" spans="129:129" x14ac:dyDescent="0.2">
      <c r="DY28600" s="185" t="s">
        <v>215</v>
      </c>
    </row>
    <row r="28601" spans="129:129" x14ac:dyDescent="0.2">
      <c r="DY28601" s="185" t="s">
        <v>215</v>
      </c>
    </row>
    <row r="28602" spans="129:129" x14ac:dyDescent="0.2">
      <c r="DY28602" s="185" t="s">
        <v>215</v>
      </c>
    </row>
    <row r="28603" spans="129:129" x14ac:dyDescent="0.2">
      <c r="DY28603" s="185" t="s">
        <v>215</v>
      </c>
    </row>
    <row r="28604" spans="129:129" x14ac:dyDescent="0.2">
      <c r="DY28604" s="185" t="s">
        <v>215</v>
      </c>
    </row>
    <row r="28605" spans="129:129" x14ac:dyDescent="0.2">
      <c r="DY28605" s="185" t="s">
        <v>215</v>
      </c>
    </row>
    <row r="28606" spans="129:129" x14ac:dyDescent="0.2">
      <c r="DY28606" s="185" t="s">
        <v>215</v>
      </c>
    </row>
    <row r="28607" spans="129:129" x14ac:dyDescent="0.2">
      <c r="DY28607" s="185" t="s">
        <v>215</v>
      </c>
    </row>
    <row r="28608" spans="129:129" x14ac:dyDescent="0.2">
      <c r="DY28608" s="185" t="s">
        <v>215</v>
      </c>
    </row>
    <row r="28609" spans="129:129" x14ac:dyDescent="0.2">
      <c r="DY28609" s="185" t="s">
        <v>215</v>
      </c>
    </row>
    <row r="28610" spans="129:129" x14ac:dyDescent="0.2">
      <c r="DY28610" s="185" t="s">
        <v>215</v>
      </c>
    </row>
    <row r="28611" spans="129:129" x14ac:dyDescent="0.2">
      <c r="DY28611" s="185" t="s">
        <v>215</v>
      </c>
    </row>
    <row r="28612" spans="129:129" x14ac:dyDescent="0.2">
      <c r="DY28612" s="185" t="s">
        <v>215</v>
      </c>
    </row>
    <row r="28613" spans="129:129" x14ac:dyDescent="0.2">
      <c r="DY28613" s="185" t="s">
        <v>215</v>
      </c>
    </row>
    <row r="28614" spans="129:129" x14ac:dyDescent="0.2">
      <c r="DY28614" s="185" t="s">
        <v>215</v>
      </c>
    </row>
    <row r="28615" spans="129:129" x14ac:dyDescent="0.2">
      <c r="DY28615" s="185" t="s">
        <v>215</v>
      </c>
    </row>
    <row r="28616" spans="129:129" x14ac:dyDescent="0.2">
      <c r="DY28616" s="185" t="s">
        <v>215</v>
      </c>
    </row>
    <row r="28617" spans="129:129" x14ac:dyDescent="0.2">
      <c r="DY28617" s="185" t="s">
        <v>215</v>
      </c>
    </row>
    <row r="28618" spans="129:129" x14ac:dyDescent="0.2">
      <c r="DY28618" s="185" t="s">
        <v>215</v>
      </c>
    </row>
    <row r="28619" spans="129:129" x14ac:dyDescent="0.2">
      <c r="DY28619" s="185" t="s">
        <v>215</v>
      </c>
    </row>
    <row r="28620" spans="129:129" x14ac:dyDescent="0.2">
      <c r="DY28620" s="185" t="s">
        <v>215</v>
      </c>
    </row>
    <row r="28621" spans="129:129" x14ac:dyDescent="0.2">
      <c r="DY28621" s="185" t="s">
        <v>215</v>
      </c>
    </row>
    <row r="28622" spans="129:129" x14ac:dyDescent="0.2">
      <c r="DY28622" s="185" t="s">
        <v>215</v>
      </c>
    </row>
    <row r="28623" spans="129:129" x14ac:dyDescent="0.2">
      <c r="DY28623" s="185" t="s">
        <v>215</v>
      </c>
    </row>
    <row r="28624" spans="129:129" x14ac:dyDescent="0.2">
      <c r="DY28624" s="185" t="s">
        <v>215</v>
      </c>
    </row>
    <row r="28625" spans="129:129" x14ac:dyDescent="0.2">
      <c r="DY28625" s="185" t="s">
        <v>215</v>
      </c>
    </row>
    <row r="28626" spans="129:129" x14ac:dyDescent="0.2">
      <c r="DY28626" s="185" t="s">
        <v>215</v>
      </c>
    </row>
    <row r="28627" spans="129:129" x14ac:dyDescent="0.2">
      <c r="DY28627" s="185" t="s">
        <v>215</v>
      </c>
    </row>
    <row r="28628" spans="129:129" x14ac:dyDescent="0.2">
      <c r="DY28628" s="185" t="s">
        <v>215</v>
      </c>
    </row>
    <row r="28629" spans="129:129" x14ac:dyDescent="0.2">
      <c r="DY28629" s="185" t="s">
        <v>215</v>
      </c>
    </row>
    <row r="28630" spans="129:129" x14ac:dyDescent="0.2">
      <c r="DY28630" s="185" t="s">
        <v>215</v>
      </c>
    </row>
    <row r="28631" spans="129:129" x14ac:dyDescent="0.2">
      <c r="DY28631" s="185" t="s">
        <v>215</v>
      </c>
    </row>
    <row r="28632" spans="129:129" x14ac:dyDescent="0.2">
      <c r="DY28632" s="185" t="s">
        <v>215</v>
      </c>
    </row>
    <row r="28633" spans="129:129" x14ac:dyDescent="0.2">
      <c r="DY28633" s="185" t="s">
        <v>215</v>
      </c>
    </row>
    <row r="28634" spans="129:129" x14ac:dyDescent="0.2">
      <c r="DY28634" s="185" t="s">
        <v>215</v>
      </c>
    </row>
    <row r="28635" spans="129:129" x14ac:dyDescent="0.2">
      <c r="DY28635" s="185" t="s">
        <v>215</v>
      </c>
    </row>
    <row r="28636" spans="129:129" x14ac:dyDescent="0.2">
      <c r="DY28636" s="185" t="s">
        <v>215</v>
      </c>
    </row>
    <row r="28637" spans="129:129" x14ac:dyDescent="0.2">
      <c r="DY28637" s="185" t="s">
        <v>215</v>
      </c>
    </row>
    <row r="28638" spans="129:129" x14ac:dyDescent="0.2">
      <c r="DY28638" s="185" t="s">
        <v>215</v>
      </c>
    </row>
    <row r="28639" spans="129:129" x14ac:dyDescent="0.2">
      <c r="DY28639" s="185" t="s">
        <v>215</v>
      </c>
    </row>
    <row r="28640" spans="129:129" x14ac:dyDescent="0.2">
      <c r="DY28640" s="185" t="s">
        <v>215</v>
      </c>
    </row>
    <row r="28641" spans="129:129" x14ac:dyDescent="0.2">
      <c r="DY28641" s="185" t="s">
        <v>215</v>
      </c>
    </row>
    <row r="28642" spans="129:129" x14ac:dyDescent="0.2">
      <c r="DY28642" s="185" t="s">
        <v>215</v>
      </c>
    </row>
    <row r="28643" spans="129:129" x14ac:dyDescent="0.2">
      <c r="DY28643" s="185" t="s">
        <v>215</v>
      </c>
    </row>
    <row r="28644" spans="129:129" x14ac:dyDescent="0.2">
      <c r="DY28644" s="185" t="s">
        <v>215</v>
      </c>
    </row>
    <row r="28645" spans="129:129" x14ac:dyDescent="0.2">
      <c r="DY28645" s="185" t="s">
        <v>215</v>
      </c>
    </row>
    <row r="28646" spans="129:129" x14ac:dyDescent="0.2">
      <c r="DY28646" s="185" t="s">
        <v>215</v>
      </c>
    </row>
    <row r="28647" spans="129:129" x14ac:dyDescent="0.2">
      <c r="DY28647" s="185" t="s">
        <v>215</v>
      </c>
    </row>
    <row r="28648" spans="129:129" x14ac:dyDescent="0.2">
      <c r="DY28648" s="185" t="s">
        <v>215</v>
      </c>
    </row>
    <row r="28649" spans="129:129" x14ac:dyDescent="0.2">
      <c r="DY28649" s="185" t="s">
        <v>215</v>
      </c>
    </row>
    <row r="28650" spans="129:129" x14ac:dyDescent="0.2">
      <c r="DY28650" s="185" t="s">
        <v>215</v>
      </c>
    </row>
    <row r="28651" spans="129:129" x14ac:dyDescent="0.2">
      <c r="DY28651" s="185" t="s">
        <v>215</v>
      </c>
    </row>
    <row r="28652" spans="129:129" x14ac:dyDescent="0.2">
      <c r="DY28652" s="185" t="s">
        <v>215</v>
      </c>
    </row>
    <row r="28653" spans="129:129" x14ac:dyDescent="0.2">
      <c r="DY28653" s="185" t="s">
        <v>215</v>
      </c>
    </row>
    <row r="28654" spans="129:129" x14ac:dyDescent="0.2">
      <c r="DY28654" s="185" t="s">
        <v>215</v>
      </c>
    </row>
    <row r="28655" spans="129:129" x14ac:dyDescent="0.2">
      <c r="DY28655" s="185" t="s">
        <v>215</v>
      </c>
    </row>
    <row r="28656" spans="129:129" x14ac:dyDescent="0.2">
      <c r="DY28656" s="185" t="s">
        <v>215</v>
      </c>
    </row>
    <row r="28657" spans="129:129" x14ac:dyDescent="0.2">
      <c r="DY28657" s="185" t="s">
        <v>215</v>
      </c>
    </row>
    <row r="28658" spans="129:129" x14ac:dyDescent="0.2">
      <c r="DY28658" s="185" t="s">
        <v>215</v>
      </c>
    </row>
    <row r="28659" spans="129:129" x14ac:dyDescent="0.2">
      <c r="DY28659" s="185" t="s">
        <v>215</v>
      </c>
    </row>
    <row r="28660" spans="129:129" x14ac:dyDescent="0.2">
      <c r="DY28660" s="185" t="s">
        <v>215</v>
      </c>
    </row>
    <row r="28661" spans="129:129" x14ac:dyDescent="0.2">
      <c r="DY28661" s="185" t="s">
        <v>215</v>
      </c>
    </row>
    <row r="28662" spans="129:129" x14ac:dyDescent="0.2">
      <c r="DY28662" s="185" t="s">
        <v>215</v>
      </c>
    </row>
    <row r="28663" spans="129:129" x14ac:dyDescent="0.2">
      <c r="DY28663" s="185" t="s">
        <v>215</v>
      </c>
    </row>
    <row r="28664" spans="129:129" x14ac:dyDescent="0.2">
      <c r="DY28664" s="185" t="s">
        <v>215</v>
      </c>
    </row>
    <row r="28665" spans="129:129" x14ac:dyDescent="0.2">
      <c r="DY28665" s="185" t="s">
        <v>215</v>
      </c>
    </row>
    <row r="28666" spans="129:129" x14ac:dyDescent="0.2">
      <c r="DY28666" s="185" t="s">
        <v>215</v>
      </c>
    </row>
    <row r="28667" spans="129:129" x14ac:dyDescent="0.2">
      <c r="DY28667" s="185" t="s">
        <v>215</v>
      </c>
    </row>
    <row r="28668" spans="129:129" x14ac:dyDescent="0.2">
      <c r="DY28668" s="185" t="s">
        <v>215</v>
      </c>
    </row>
    <row r="28669" spans="129:129" x14ac:dyDescent="0.2">
      <c r="DY28669" s="185" t="s">
        <v>215</v>
      </c>
    </row>
    <row r="28670" spans="129:129" x14ac:dyDescent="0.2">
      <c r="DY28670" s="185" t="s">
        <v>215</v>
      </c>
    </row>
    <row r="28671" spans="129:129" x14ac:dyDescent="0.2">
      <c r="DY28671" s="185" t="s">
        <v>215</v>
      </c>
    </row>
    <row r="28672" spans="129:129" x14ac:dyDescent="0.2">
      <c r="DY28672" s="185" t="s">
        <v>215</v>
      </c>
    </row>
    <row r="28673" spans="129:129" x14ac:dyDescent="0.2">
      <c r="DY28673" s="185" t="s">
        <v>215</v>
      </c>
    </row>
    <row r="28674" spans="129:129" x14ac:dyDescent="0.2">
      <c r="DY28674" s="185" t="s">
        <v>215</v>
      </c>
    </row>
    <row r="28675" spans="129:129" x14ac:dyDescent="0.2">
      <c r="DY28675" s="185" t="s">
        <v>215</v>
      </c>
    </row>
    <row r="28676" spans="129:129" x14ac:dyDescent="0.2">
      <c r="DY28676" s="185" t="s">
        <v>215</v>
      </c>
    </row>
    <row r="28677" spans="129:129" x14ac:dyDescent="0.2">
      <c r="DY28677" s="185" t="s">
        <v>215</v>
      </c>
    </row>
    <row r="28678" spans="129:129" x14ac:dyDescent="0.2">
      <c r="DY28678" s="185" t="s">
        <v>215</v>
      </c>
    </row>
    <row r="28679" spans="129:129" x14ac:dyDescent="0.2">
      <c r="DY28679" s="185" t="s">
        <v>215</v>
      </c>
    </row>
    <row r="28680" spans="129:129" x14ac:dyDescent="0.2">
      <c r="DY28680" s="185" t="s">
        <v>215</v>
      </c>
    </row>
    <row r="28681" spans="129:129" x14ac:dyDescent="0.2">
      <c r="DY28681" s="185" t="s">
        <v>215</v>
      </c>
    </row>
    <row r="28682" spans="129:129" x14ac:dyDescent="0.2">
      <c r="DY28682" s="185" t="s">
        <v>215</v>
      </c>
    </row>
    <row r="28683" spans="129:129" x14ac:dyDescent="0.2">
      <c r="DY28683" s="185" t="s">
        <v>215</v>
      </c>
    </row>
    <row r="28684" spans="129:129" x14ac:dyDescent="0.2">
      <c r="DY28684" s="185" t="s">
        <v>215</v>
      </c>
    </row>
    <row r="28685" spans="129:129" x14ac:dyDescent="0.2">
      <c r="DY28685" s="185" t="s">
        <v>215</v>
      </c>
    </row>
    <row r="28686" spans="129:129" x14ac:dyDescent="0.2">
      <c r="DY28686" s="185" t="s">
        <v>215</v>
      </c>
    </row>
    <row r="28687" spans="129:129" x14ac:dyDescent="0.2">
      <c r="DY28687" s="185" t="s">
        <v>215</v>
      </c>
    </row>
    <row r="28688" spans="129:129" x14ac:dyDescent="0.2">
      <c r="DY28688" s="185" t="s">
        <v>215</v>
      </c>
    </row>
    <row r="28689" spans="129:129" x14ac:dyDescent="0.2">
      <c r="DY28689" s="185" t="s">
        <v>215</v>
      </c>
    </row>
    <row r="28690" spans="129:129" x14ac:dyDescent="0.2">
      <c r="DY28690" s="185" t="s">
        <v>215</v>
      </c>
    </row>
    <row r="28691" spans="129:129" x14ac:dyDescent="0.2">
      <c r="DY28691" s="185" t="s">
        <v>215</v>
      </c>
    </row>
    <row r="28692" spans="129:129" x14ac:dyDescent="0.2">
      <c r="DY28692" s="185" t="s">
        <v>215</v>
      </c>
    </row>
    <row r="28693" spans="129:129" x14ac:dyDescent="0.2">
      <c r="DY28693" s="185" t="s">
        <v>215</v>
      </c>
    </row>
    <row r="28694" spans="129:129" x14ac:dyDescent="0.2">
      <c r="DY28694" s="185" t="s">
        <v>215</v>
      </c>
    </row>
    <row r="28695" spans="129:129" x14ac:dyDescent="0.2">
      <c r="DY28695" s="185" t="s">
        <v>215</v>
      </c>
    </row>
    <row r="28696" spans="129:129" x14ac:dyDescent="0.2">
      <c r="DY28696" s="185" t="s">
        <v>215</v>
      </c>
    </row>
    <row r="28697" spans="129:129" x14ac:dyDescent="0.2">
      <c r="DY28697" s="185" t="s">
        <v>215</v>
      </c>
    </row>
    <row r="28698" spans="129:129" x14ac:dyDescent="0.2">
      <c r="DY28698" s="185" t="s">
        <v>215</v>
      </c>
    </row>
    <row r="28699" spans="129:129" x14ac:dyDescent="0.2">
      <c r="DY28699" s="185" t="s">
        <v>215</v>
      </c>
    </row>
    <row r="28700" spans="129:129" x14ac:dyDescent="0.2">
      <c r="DY28700" s="185" t="s">
        <v>215</v>
      </c>
    </row>
    <row r="28701" spans="129:129" x14ac:dyDescent="0.2">
      <c r="DY28701" s="185" t="s">
        <v>215</v>
      </c>
    </row>
    <row r="28702" spans="129:129" x14ac:dyDescent="0.2">
      <c r="DY28702" s="185" t="s">
        <v>215</v>
      </c>
    </row>
    <row r="28703" spans="129:129" x14ac:dyDescent="0.2">
      <c r="DY28703" s="185" t="s">
        <v>215</v>
      </c>
    </row>
    <row r="28704" spans="129:129" x14ac:dyDescent="0.2">
      <c r="DY28704" s="185" t="s">
        <v>215</v>
      </c>
    </row>
    <row r="28705" spans="129:129" x14ac:dyDescent="0.2">
      <c r="DY28705" s="185" t="s">
        <v>215</v>
      </c>
    </row>
    <row r="28706" spans="129:129" x14ac:dyDescent="0.2">
      <c r="DY28706" s="185" t="s">
        <v>215</v>
      </c>
    </row>
    <row r="28707" spans="129:129" x14ac:dyDescent="0.2">
      <c r="DY28707" s="185" t="s">
        <v>215</v>
      </c>
    </row>
    <row r="28708" spans="129:129" x14ac:dyDescent="0.2">
      <c r="DY28708" s="185" t="s">
        <v>215</v>
      </c>
    </row>
    <row r="28709" spans="129:129" x14ac:dyDescent="0.2">
      <c r="DY28709" s="185" t="s">
        <v>215</v>
      </c>
    </row>
    <row r="28710" spans="129:129" x14ac:dyDescent="0.2">
      <c r="DY28710" s="185" t="s">
        <v>215</v>
      </c>
    </row>
    <row r="28711" spans="129:129" x14ac:dyDescent="0.2">
      <c r="DY28711" s="185" t="s">
        <v>215</v>
      </c>
    </row>
    <row r="28712" spans="129:129" x14ac:dyDescent="0.2">
      <c r="DY28712" s="185" t="s">
        <v>215</v>
      </c>
    </row>
    <row r="28713" spans="129:129" x14ac:dyDescent="0.2">
      <c r="DY28713" s="185" t="s">
        <v>215</v>
      </c>
    </row>
    <row r="28714" spans="129:129" x14ac:dyDescent="0.2">
      <c r="DY28714" s="185" t="s">
        <v>215</v>
      </c>
    </row>
    <row r="28715" spans="129:129" x14ac:dyDescent="0.2">
      <c r="DY28715" s="185" t="s">
        <v>215</v>
      </c>
    </row>
    <row r="28716" spans="129:129" x14ac:dyDescent="0.2">
      <c r="DY28716" s="185" t="s">
        <v>215</v>
      </c>
    </row>
    <row r="28717" spans="129:129" x14ac:dyDescent="0.2">
      <c r="DY28717" s="185" t="s">
        <v>215</v>
      </c>
    </row>
    <row r="28718" spans="129:129" x14ac:dyDescent="0.2">
      <c r="DY28718" s="185" t="s">
        <v>215</v>
      </c>
    </row>
    <row r="28719" spans="129:129" x14ac:dyDescent="0.2">
      <c r="DY28719" s="185" t="s">
        <v>215</v>
      </c>
    </row>
    <row r="28720" spans="129:129" x14ac:dyDescent="0.2">
      <c r="DY28720" s="185" t="s">
        <v>215</v>
      </c>
    </row>
    <row r="28721" spans="129:129" x14ac:dyDescent="0.2">
      <c r="DY28721" s="185" t="s">
        <v>215</v>
      </c>
    </row>
    <row r="28722" spans="129:129" x14ac:dyDescent="0.2">
      <c r="DY28722" s="185" t="s">
        <v>215</v>
      </c>
    </row>
    <row r="28723" spans="129:129" x14ac:dyDescent="0.2">
      <c r="DY28723" s="185" t="s">
        <v>215</v>
      </c>
    </row>
    <row r="28724" spans="129:129" x14ac:dyDescent="0.2">
      <c r="DY28724" s="185" t="s">
        <v>215</v>
      </c>
    </row>
    <row r="28725" spans="129:129" x14ac:dyDescent="0.2">
      <c r="DY28725" s="185" t="s">
        <v>215</v>
      </c>
    </row>
    <row r="28726" spans="129:129" x14ac:dyDescent="0.2">
      <c r="DY28726" s="185" t="s">
        <v>215</v>
      </c>
    </row>
    <row r="28727" spans="129:129" x14ac:dyDescent="0.2">
      <c r="DY28727" s="185" t="s">
        <v>215</v>
      </c>
    </row>
    <row r="28728" spans="129:129" x14ac:dyDescent="0.2">
      <c r="DY28728" s="185" t="s">
        <v>215</v>
      </c>
    </row>
    <row r="28729" spans="129:129" x14ac:dyDescent="0.2">
      <c r="DY28729" s="185" t="s">
        <v>215</v>
      </c>
    </row>
    <row r="28730" spans="129:129" x14ac:dyDescent="0.2">
      <c r="DY28730" s="185" t="s">
        <v>215</v>
      </c>
    </row>
    <row r="28731" spans="129:129" x14ac:dyDescent="0.2">
      <c r="DY28731" s="185" t="s">
        <v>215</v>
      </c>
    </row>
    <row r="28732" spans="129:129" x14ac:dyDescent="0.2">
      <c r="DY28732" s="185" t="s">
        <v>215</v>
      </c>
    </row>
    <row r="28733" spans="129:129" x14ac:dyDescent="0.2">
      <c r="DY28733" s="185" t="s">
        <v>215</v>
      </c>
    </row>
    <row r="28734" spans="129:129" x14ac:dyDescent="0.2">
      <c r="DY28734" s="185" t="s">
        <v>215</v>
      </c>
    </row>
    <row r="28735" spans="129:129" x14ac:dyDescent="0.2">
      <c r="DY28735" s="185" t="s">
        <v>215</v>
      </c>
    </row>
    <row r="28736" spans="129:129" x14ac:dyDescent="0.2">
      <c r="DY28736" s="185" t="s">
        <v>215</v>
      </c>
    </row>
    <row r="28737" spans="129:129" x14ac:dyDescent="0.2">
      <c r="DY28737" s="185" t="s">
        <v>215</v>
      </c>
    </row>
    <row r="28738" spans="129:129" x14ac:dyDescent="0.2">
      <c r="DY28738" s="185" t="s">
        <v>215</v>
      </c>
    </row>
    <row r="28739" spans="129:129" x14ac:dyDescent="0.2">
      <c r="DY28739" s="185" t="s">
        <v>215</v>
      </c>
    </row>
    <row r="28740" spans="129:129" x14ac:dyDescent="0.2">
      <c r="DY28740" s="185" t="s">
        <v>215</v>
      </c>
    </row>
    <row r="28741" spans="129:129" x14ac:dyDescent="0.2">
      <c r="DY28741" s="185" t="s">
        <v>215</v>
      </c>
    </row>
    <row r="28742" spans="129:129" x14ac:dyDescent="0.2">
      <c r="DY28742" s="185" t="s">
        <v>215</v>
      </c>
    </row>
    <row r="28743" spans="129:129" x14ac:dyDescent="0.2">
      <c r="DY28743" s="185" t="s">
        <v>215</v>
      </c>
    </row>
    <row r="28744" spans="129:129" x14ac:dyDescent="0.2">
      <c r="DY28744" s="185" t="s">
        <v>215</v>
      </c>
    </row>
    <row r="28745" spans="129:129" x14ac:dyDescent="0.2">
      <c r="DY28745" s="185" t="s">
        <v>215</v>
      </c>
    </row>
    <row r="28746" spans="129:129" x14ac:dyDescent="0.2">
      <c r="DY28746" s="185" t="s">
        <v>215</v>
      </c>
    </row>
    <row r="28747" spans="129:129" x14ac:dyDescent="0.2">
      <c r="DY28747" s="185" t="s">
        <v>215</v>
      </c>
    </row>
    <row r="28748" spans="129:129" x14ac:dyDescent="0.2">
      <c r="DY28748" s="185" t="s">
        <v>215</v>
      </c>
    </row>
    <row r="28749" spans="129:129" x14ac:dyDescent="0.2">
      <c r="DY28749" s="185" t="s">
        <v>215</v>
      </c>
    </row>
    <row r="28750" spans="129:129" x14ac:dyDescent="0.2">
      <c r="DY28750" s="185" t="s">
        <v>215</v>
      </c>
    </row>
    <row r="28751" spans="129:129" x14ac:dyDescent="0.2">
      <c r="DY28751" s="185" t="s">
        <v>215</v>
      </c>
    </row>
    <row r="28752" spans="129:129" x14ac:dyDescent="0.2">
      <c r="DY28752" s="185" t="s">
        <v>215</v>
      </c>
    </row>
    <row r="28753" spans="129:129" x14ac:dyDescent="0.2">
      <c r="DY28753" s="185" t="s">
        <v>215</v>
      </c>
    </row>
    <row r="28754" spans="129:129" x14ac:dyDescent="0.2">
      <c r="DY28754" s="185" t="s">
        <v>215</v>
      </c>
    </row>
    <row r="28755" spans="129:129" x14ac:dyDescent="0.2">
      <c r="DY28755" s="185" t="s">
        <v>215</v>
      </c>
    </row>
    <row r="28756" spans="129:129" x14ac:dyDescent="0.2">
      <c r="DY28756" s="185" t="s">
        <v>215</v>
      </c>
    </row>
    <row r="28757" spans="129:129" x14ac:dyDescent="0.2">
      <c r="DY28757" s="185" t="s">
        <v>215</v>
      </c>
    </row>
    <row r="28758" spans="129:129" x14ac:dyDescent="0.2">
      <c r="DY28758" s="185" t="s">
        <v>215</v>
      </c>
    </row>
    <row r="28759" spans="129:129" x14ac:dyDescent="0.2">
      <c r="DY28759" s="185" t="s">
        <v>215</v>
      </c>
    </row>
    <row r="28760" spans="129:129" x14ac:dyDescent="0.2">
      <c r="DY28760" s="185" t="s">
        <v>215</v>
      </c>
    </row>
    <row r="28761" spans="129:129" x14ac:dyDescent="0.2">
      <c r="DY28761" s="185" t="s">
        <v>215</v>
      </c>
    </row>
    <row r="28762" spans="129:129" x14ac:dyDescent="0.2">
      <c r="DY28762" s="185" t="s">
        <v>215</v>
      </c>
    </row>
    <row r="28763" spans="129:129" x14ac:dyDescent="0.2">
      <c r="DY28763" s="185" t="s">
        <v>215</v>
      </c>
    </row>
    <row r="28764" spans="129:129" x14ac:dyDescent="0.2">
      <c r="DY28764" s="185" t="s">
        <v>215</v>
      </c>
    </row>
    <row r="28765" spans="129:129" x14ac:dyDescent="0.2">
      <c r="DY28765" s="185" t="s">
        <v>215</v>
      </c>
    </row>
    <row r="28766" spans="129:129" x14ac:dyDescent="0.2">
      <c r="DY28766" s="185" t="s">
        <v>215</v>
      </c>
    </row>
    <row r="28767" spans="129:129" x14ac:dyDescent="0.2">
      <c r="DY28767" s="185" t="s">
        <v>215</v>
      </c>
    </row>
    <row r="28768" spans="129:129" x14ac:dyDescent="0.2">
      <c r="DY28768" s="185" t="s">
        <v>215</v>
      </c>
    </row>
    <row r="28769" spans="129:129" x14ac:dyDescent="0.2">
      <c r="DY28769" s="185" t="s">
        <v>215</v>
      </c>
    </row>
    <row r="28770" spans="129:129" x14ac:dyDescent="0.2">
      <c r="DY28770" s="185" t="s">
        <v>215</v>
      </c>
    </row>
    <row r="28771" spans="129:129" x14ac:dyDescent="0.2">
      <c r="DY28771" s="185" t="s">
        <v>215</v>
      </c>
    </row>
    <row r="28772" spans="129:129" x14ac:dyDescent="0.2">
      <c r="DY28772" s="185" t="s">
        <v>215</v>
      </c>
    </row>
    <row r="28773" spans="129:129" x14ac:dyDescent="0.2">
      <c r="DY28773" s="185" t="s">
        <v>215</v>
      </c>
    </row>
    <row r="28774" spans="129:129" x14ac:dyDescent="0.2">
      <c r="DY28774" s="185" t="s">
        <v>215</v>
      </c>
    </row>
    <row r="28775" spans="129:129" x14ac:dyDescent="0.2">
      <c r="DY28775" s="185" t="s">
        <v>215</v>
      </c>
    </row>
    <row r="28776" spans="129:129" x14ac:dyDescent="0.2">
      <c r="DY28776" s="185" t="s">
        <v>215</v>
      </c>
    </row>
    <row r="28777" spans="129:129" x14ac:dyDescent="0.2">
      <c r="DY28777" s="185" t="s">
        <v>215</v>
      </c>
    </row>
    <row r="28778" spans="129:129" x14ac:dyDescent="0.2">
      <c r="DY28778" s="185" t="s">
        <v>215</v>
      </c>
    </row>
    <row r="28779" spans="129:129" x14ac:dyDescent="0.2">
      <c r="DY28779" s="185" t="s">
        <v>215</v>
      </c>
    </row>
    <row r="28780" spans="129:129" x14ac:dyDescent="0.2">
      <c r="DY28780" s="185" t="s">
        <v>215</v>
      </c>
    </row>
    <row r="28781" spans="129:129" x14ac:dyDescent="0.2">
      <c r="DY28781" s="185" t="s">
        <v>215</v>
      </c>
    </row>
    <row r="28782" spans="129:129" x14ac:dyDescent="0.2">
      <c r="DY28782" s="185" t="s">
        <v>215</v>
      </c>
    </row>
    <row r="28783" spans="129:129" x14ac:dyDescent="0.2">
      <c r="DY28783" s="185" t="s">
        <v>215</v>
      </c>
    </row>
    <row r="28784" spans="129:129" x14ac:dyDescent="0.2">
      <c r="DY28784" s="185" t="s">
        <v>215</v>
      </c>
    </row>
    <row r="28785" spans="129:129" x14ac:dyDescent="0.2">
      <c r="DY28785" s="185" t="s">
        <v>215</v>
      </c>
    </row>
    <row r="28786" spans="129:129" x14ac:dyDescent="0.2">
      <c r="DY28786" s="185" t="s">
        <v>215</v>
      </c>
    </row>
    <row r="28787" spans="129:129" x14ac:dyDescent="0.2">
      <c r="DY28787" s="185" t="s">
        <v>215</v>
      </c>
    </row>
    <row r="28788" spans="129:129" x14ac:dyDescent="0.2">
      <c r="DY28788" s="185" t="s">
        <v>215</v>
      </c>
    </row>
    <row r="28789" spans="129:129" x14ac:dyDescent="0.2">
      <c r="DY28789" s="185" t="s">
        <v>215</v>
      </c>
    </row>
    <row r="28790" spans="129:129" x14ac:dyDescent="0.2">
      <c r="DY28790" s="185" t="s">
        <v>215</v>
      </c>
    </row>
    <row r="28791" spans="129:129" x14ac:dyDescent="0.2">
      <c r="DY28791" s="185" t="s">
        <v>215</v>
      </c>
    </row>
    <row r="28792" spans="129:129" x14ac:dyDescent="0.2">
      <c r="DY28792" s="185" t="s">
        <v>215</v>
      </c>
    </row>
    <row r="28793" spans="129:129" x14ac:dyDescent="0.2">
      <c r="DY28793" s="185" t="s">
        <v>215</v>
      </c>
    </row>
    <row r="28794" spans="129:129" x14ac:dyDescent="0.2">
      <c r="DY28794" s="185" t="s">
        <v>215</v>
      </c>
    </row>
    <row r="28795" spans="129:129" x14ac:dyDescent="0.2">
      <c r="DY28795" s="185" t="s">
        <v>215</v>
      </c>
    </row>
    <row r="28796" spans="129:129" x14ac:dyDescent="0.2">
      <c r="DY28796" s="185" t="s">
        <v>215</v>
      </c>
    </row>
    <row r="28797" spans="129:129" x14ac:dyDescent="0.2">
      <c r="DY28797" s="185" t="s">
        <v>215</v>
      </c>
    </row>
    <row r="28798" spans="129:129" x14ac:dyDescent="0.2">
      <c r="DY28798" s="185" t="s">
        <v>215</v>
      </c>
    </row>
    <row r="28799" spans="129:129" x14ac:dyDescent="0.2">
      <c r="DY28799" s="185" t="s">
        <v>215</v>
      </c>
    </row>
    <row r="28800" spans="129:129" x14ac:dyDescent="0.2">
      <c r="DY28800" s="185" t="s">
        <v>215</v>
      </c>
    </row>
    <row r="28801" spans="129:129" x14ac:dyDescent="0.2">
      <c r="DY28801" s="185" t="s">
        <v>215</v>
      </c>
    </row>
    <row r="28802" spans="129:129" x14ac:dyDescent="0.2">
      <c r="DY28802" s="185" t="s">
        <v>215</v>
      </c>
    </row>
    <row r="28803" spans="129:129" x14ac:dyDescent="0.2">
      <c r="DY28803" s="185" t="s">
        <v>215</v>
      </c>
    </row>
    <row r="28804" spans="129:129" x14ac:dyDescent="0.2">
      <c r="DY28804" s="185" t="s">
        <v>215</v>
      </c>
    </row>
    <row r="28805" spans="129:129" x14ac:dyDescent="0.2">
      <c r="DY28805" s="185" t="s">
        <v>215</v>
      </c>
    </row>
    <row r="28806" spans="129:129" x14ac:dyDescent="0.2">
      <c r="DY28806" s="185" t="s">
        <v>215</v>
      </c>
    </row>
    <row r="28807" spans="129:129" x14ac:dyDescent="0.2">
      <c r="DY28807" s="185" t="s">
        <v>215</v>
      </c>
    </row>
    <row r="28808" spans="129:129" x14ac:dyDescent="0.2">
      <c r="DY28808" s="185" t="s">
        <v>215</v>
      </c>
    </row>
    <row r="28809" spans="129:129" x14ac:dyDescent="0.2">
      <c r="DY28809" s="185" t="s">
        <v>215</v>
      </c>
    </row>
    <row r="28810" spans="129:129" x14ac:dyDescent="0.2">
      <c r="DY28810" s="185" t="s">
        <v>215</v>
      </c>
    </row>
    <row r="28811" spans="129:129" x14ac:dyDescent="0.2">
      <c r="DY28811" s="185" t="s">
        <v>215</v>
      </c>
    </row>
    <row r="28812" spans="129:129" x14ac:dyDescent="0.2">
      <c r="DY28812" s="185" t="s">
        <v>215</v>
      </c>
    </row>
    <row r="28813" spans="129:129" x14ac:dyDescent="0.2">
      <c r="DY28813" s="185" t="s">
        <v>215</v>
      </c>
    </row>
    <row r="28814" spans="129:129" x14ac:dyDescent="0.2">
      <c r="DY28814" s="185" t="s">
        <v>215</v>
      </c>
    </row>
    <row r="28815" spans="129:129" x14ac:dyDescent="0.2">
      <c r="DY28815" s="185" t="s">
        <v>215</v>
      </c>
    </row>
    <row r="28816" spans="129:129" x14ac:dyDescent="0.2">
      <c r="DY28816" s="185" t="s">
        <v>215</v>
      </c>
    </row>
    <row r="28817" spans="129:129" x14ac:dyDescent="0.2">
      <c r="DY28817" s="185" t="s">
        <v>215</v>
      </c>
    </row>
    <row r="28818" spans="129:129" x14ac:dyDescent="0.2">
      <c r="DY28818" s="185" t="s">
        <v>215</v>
      </c>
    </row>
    <row r="28819" spans="129:129" x14ac:dyDescent="0.2">
      <c r="DY28819" s="185" t="s">
        <v>215</v>
      </c>
    </row>
    <row r="28820" spans="129:129" x14ac:dyDescent="0.2">
      <c r="DY28820" s="185" t="s">
        <v>215</v>
      </c>
    </row>
    <row r="28821" spans="129:129" x14ac:dyDescent="0.2">
      <c r="DY28821" s="185" t="s">
        <v>215</v>
      </c>
    </row>
    <row r="28822" spans="129:129" x14ac:dyDescent="0.2">
      <c r="DY28822" s="185" t="s">
        <v>215</v>
      </c>
    </row>
    <row r="28823" spans="129:129" x14ac:dyDescent="0.2">
      <c r="DY28823" s="185" t="s">
        <v>215</v>
      </c>
    </row>
    <row r="28824" spans="129:129" x14ac:dyDescent="0.2">
      <c r="DY28824" s="185" t="s">
        <v>215</v>
      </c>
    </row>
    <row r="28825" spans="129:129" x14ac:dyDescent="0.2">
      <c r="DY28825" s="185" t="s">
        <v>215</v>
      </c>
    </row>
    <row r="28826" spans="129:129" x14ac:dyDescent="0.2">
      <c r="DY28826" s="185" t="s">
        <v>215</v>
      </c>
    </row>
    <row r="28827" spans="129:129" x14ac:dyDescent="0.2">
      <c r="DY28827" s="185" t="s">
        <v>215</v>
      </c>
    </row>
    <row r="28828" spans="129:129" x14ac:dyDescent="0.2">
      <c r="DY28828" s="185" t="s">
        <v>215</v>
      </c>
    </row>
    <row r="28829" spans="129:129" x14ac:dyDescent="0.2">
      <c r="DY28829" s="185" t="s">
        <v>215</v>
      </c>
    </row>
    <row r="28830" spans="129:129" x14ac:dyDescent="0.2">
      <c r="DY28830" s="185" t="s">
        <v>215</v>
      </c>
    </row>
    <row r="28831" spans="129:129" x14ac:dyDescent="0.2">
      <c r="DY28831" s="185" t="s">
        <v>215</v>
      </c>
    </row>
    <row r="28832" spans="129:129" x14ac:dyDescent="0.2">
      <c r="DY28832" s="185" t="s">
        <v>215</v>
      </c>
    </row>
    <row r="28833" spans="129:129" x14ac:dyDescent="0.2">
      <c r="DY28833" s="185" t="s">
        <v>215</v>
      </c>
    </row>
    <row r="28834" spans="129:129" x14ac:dyDescent="0.2">
      <c r="DY28834" s="185" t="s">
        <v>215</v>
      </c>
    </row>
    <row r="28835" spans="129:129" x14ac:dyDescent="0.2">
      <c r="DY28835" s="185" t="s">
        <v>215</v>
      </c>
    </row>
    <row r="28836" spans="129:129" x14ac:dyDescent="0.2">
      <c r="DY28836" s="185" t="s">
        <v>215</v>
      </c>
    </row>
    <row r="28837" spans="129:129" x14ac:dyDescent="0.2">
      <c r="DY28837" s="185" t="s">
        <v>215</v>
      </c>
    </row>
    <row r="28838" spans="129:129" x14ac:dyDescent="0.2">
      <c r="DY28838" s="185" t="s">
        <v>215</v>
      </c>
    </row>
    <row r="28839" spans="129:129" x14ac:dyDescent="0.2">
      <c r="DY28839" s="185" t="s">
        <v>215</v>
      </c>
    </row>
    <row r="28840" spans="129:129" x14ac:dyDescent="0.2">
      <c r="DY28840" s="185" t="s">
        <v>215</v>
      </c>
    </row>
    <row r="28841" spans="129:129" x14ac:dyDescent="0.2">
      <c r="DY28841" s="185" t="s">
        <v>215</v>
      </c>
    </row>
    <row r="28842" spans="129:129" x14ac:dyDescent="0.2">
      <c r="DY28842" s="185" t="s">
        <v>215</v>
      </c>
    </row>
    <row r="28843" spans="129:129" x14ac:dyDescent="0.2">
      <c r="DY28843" s="185" t="s">
        <v>215</v>
      </c>
    </row>
    <row r="28844" spans="129:129" x14ac:dyDescent="0.2">
      <c r="DY28844" s="185" t="s">
        <v>215</v>
      </c>
    </row>
    <row r="28845" spans="129:129" x14ac:dyDescent="0.2">
      <c r="DY28845" s="185" t="s">
        <v>215</v>
      </c>
    </row>
    <row r="28846" spans="129:129" x14ac:dyDescent="0.2">
      <c r="DY28846" s="185" t="s">
        <v>215</v>
      </c>
    </row>
    <row r="28847" spans="129:129" x14ac:dyDescent="0.2">
      <c r="DY28847" s="185" t="s">
        <v>215</v>
      </c>
    </row>
    <row r="28848" spans="129:129" x14ac:dyDescent="0.2">
      <c r="DY28848" s="185" t="s">
        <v>215</v>
      </c>
    </row>
    <row r="28849" spans="129:129" x14ac:dyDescent="0.2">
      <c r="DY28849" s="185" t="s">
        <v>215</v>
      </c>
    </row>
    <row r="28850" spans="129:129" x14ac:dyDescent="0.2">
      <c r="DY28850" s="185" t="s">
        <v>215</v>
      </c>
    </row>
    <row r="28851" spans="129:129" x14ac:dyDescent="0.2">
      <c r="DY28851" s="185" t="s">
        <v>215</v>
      </c>
    </row>
    <row r="28852" spans="129:129" x14ac:dyDescent="0.2">
      <c r="DY28852" s="185" t="s">
        <v>215</v>
      </c>
    </row>
    <row r="28853" spans="129:129" x14ac:dyDescent="0.2">
      <c r="DY28853" s="185" t="s">
        <v>215</v>
      </c>
    </row>
    <row r="28854" spans="129:129" x14ac:dyDescent="0.2">
      <c r="DY28854" s="185" t="s">
        <v>215</v>
      </c>
    </row>
    <row r="28855" spans="129:129" x14ac:dyDescent="0.2">
      <c r="DY28855" s="185" t="s">
        <v>215</v>
      </c>
    </row>
    <row r="28856" spans="129:129" x14ac:dyDescent="0.2">
      <c r="DY28856" s="185" t="s">
        <v>215</v>
      </c>
    </row>
    <row r="28857" spans="129:129" x14ac:dyDescent="0.2">
      <c r="DY28857" s="185" t="s">
        <v>215</v>
      </c>
    </row>
    <row r="28858" spans="129:129" x14ac:dyDescent="0.2">
      <c r="DY28858" s="185" t="s">
        <v>215</v>
      </c>
    </row>
    <row r="28859" spans="129:129" x14ac:dyDescent="0.2">
      <c r="DY28859" s="185" t="s">
        <v>215</v>
      </c>
    </row>
    <row r="28860" spans="129:129" x14ac:dyDescent="0.2">
      <c r="DY28860" s="185" t="s">
        <v>215</v>
      </c>
    </row>
    <row r="28861" spans="129:129" x14ac:dyDescent="0.2">
      <c r="DY28861" s="185" t="s">
        <v>215</v>
      </c>
    </row>
    <row r="28862" spans="129:129" x14ac:dyDescent="0.2">
      <c r="DY28862" s="185" t="s">
        <v>215</v>
      </c>
    </row>
    <row r="28863" spans="129:129" x14ac:dyDescent="0.2">
      <c r="DY28863" s="185" t="s">
        <v>215</v>
      </c>
    </row>
    <row r="28864" spans="129:129" x14ac:dyDescent="0.2">
      <c r="DY28864" s="185" t="s">
        <v>215</v>
      </c>
    </row>
    <row r="28865" spans="129:129" x14ac:dyDescent="0.2">
      <c r="DY28865" s="185" t="s">
        <v>215</v>
      </c>
    </row>
    <row r="28866" spans="129:129" x14ac:dyDescent="0.2">
      <c r="DY28866" s="185" t="s">
        <v>215</v>
      </c>
    </row>
    <row r="28867" spans="129:129" x14ac:dyDescent="0.2">
      <c r="DY28867" s="185" t="s">
        <v>215</v>
      </c>
    </row>
    <row r="28868" spans="129:129" x14ac:dyDescent="0.2">
      <c r="DY28868" s="185" t="s">
        <v>215</v>
      </c>
    </row>
    <row r="28869" spans="129:129" x14ac:dyDescent="0.2">
      <c r="DY28869" s="185" t="s">
        <v>215</v>
      </c>
    </row>
    <row r="28870" spans="129:129" x14ac:dyDescent="0.2">
      <c r="DY28870" s="185" t="s">
        <v>215</v>
      </c>
    </row>
    <row r="28871" spans="129:129" x14ac:dyDescent="0.2">
      <c r="DY28871" s="185" t="s">
        <v>215</v>
      </c>
    </row>
    <row r="28872" spans="129:129" x14ac:dyDescent="0.2">
      <c r="DY28872" s="185" t="s">
        <v>215</v>
      </c>
    </row>
    <row r="28873" spans="129:129" x14ac:dyDescent="0.2">
      <c r="DY28873" s="185" t="s">
        <v>215</v>
      </c>
    </row>
    <row r="28874" spans="129:129" x14ac:dyDescent="0.2">
      <c r="DY28874" s="185" t="s">
        <v>215</v>
      </c>
    </row>
    <row r="28875" spans="129:129" x14ac:dyDescent="0.2">
      <c r="DY28875" s="185" t="s">
        <v>215</v>
      </c>
    </row>
    <row r="28876" spans="129:129" x14ac:dyDescent="0.2">
      <c r="DY28876" s="185" t="s">
        <v>215</v>
      </c>
    </row>
    <row r="28877" spans="129:129" x14ac:dyDescent="0.2">
      <c r="DY28877" s="185" t="s">
        <v>215</v>
      </c>
    </row>
    <row r="28878" spans="129:129" x14ac:dyDescent="0.2">
      <c r="DY28878" s="185" t="s">
        <v>215</v>
      </c>
    </row>
    <row r="28879" spans="129:129" x14ac:dyDescent="0.2">
      <c r="DY28879" s="185" t="s">
        <v>215</v>
      </c>
    </row>
    <row r="28880" spans="129:129" x14ac:dyDescent="0.2">
      <c r="DY28880" s="185" t="s">
        <v>215</v>
      </c>
    </row>
    <row r="28881" spans="129:129" x14ac:dyDescent="0.2">
      <c r="DY28881" s="185" t="s">
        <v>215</v>
      </c>
    </row>
    <row r="28882" spans="129:129" x14ac:dyDescent="0.2">
      <c r="DY28882" s="185" t="s">
        <v>215</v>
      </c>
    </row>
    <row r="28883" spans="129:129" x14ac:dyDescent="0.2">
      <c r="DY28883" s="185" t="s">
        <v>215</v>
      </c>
    </row>
    <row r="28884" spans="129:129" x14ac:dyDescent="0.2">
      <c r="DY28884" s="185" t="s">
        <v>215</v>
      </c>
    </row>
    <row r="28885" spans="129:129" x14ac:dyDescent="0.2">
      <c r="DY28885" s="185" t="s">
        <v>215</v>
      </c>
    </row>
    <row r="28886" spans="129:129" x14ac:dyDescent="0.2">
      <c r="DY28886" s="185" t="s">
        <v>215</v>
      </c>
    </row>
    <row r="28887" spans="129:129" x14ac:dyDescent="0.2">
      <c r="DY28887" s="185" t="s">
        <v>215</v>
      </c>
    </row>
    <row r="28888" spans="129:129" x14ac:dyDescent="0.2">
      <c r="DY28888" s="185" t="s">
        <v>215</v>
      </c>
    </row>
    <row r="28889" spans="129:129" x14ac:dyDescent="0.2">
      <c r="DY28889" s="185" t="s">
        <v>215</v>
      </c>
    </row>
    <row r="28890" spans="129:129" x14ac:dyDescent="0.2">
      <c r="DY28890" s="185" t="s">
        <v>215</v>
      </c>
    </row>
    <row r="28891" spans="129:129" x14ac:dyDescent="0.2">
      <c r="DY28891" s="185" t="s">
        <v>215</v>
      </c>
    </row>
    <row r="28892" spans="129:129" x14ac:dyDescent="0.2">
      <c r="DY28892" s="185" t="s">
        <v>215</v>
      </c>
    </row>
    <row r="28893" spans="129:129" x14ac:dyDescent="0.2">
      <c r="DY28893" s="185" t="s">
        <v>215</v>
      </c>
    </row>
    <row r="28894" spans="129:129" x14ac:dyDescent="0.2">
      <c r="DY28894" s="185" t="s">
        <v>215</v>
      </c>
    </row>
    <row r="28895" spans="129:129" x14ac:dyDescent="0.2">
      <c r="DY28895" s="185" t="s">
        <v>215</v>
      </c>
    </row>
    <row r="28896" spans="129:129" x14ac:dyDescent="0.2">
      <c r="DY28896" s="185" t="s">
        <v>215</v>
      </c>
    </row>
    <row r="28897" spans="129:129" x14ac:dyDescent="0.2">
      <c r="DY28897" s="185" t="s">
        <v>215</v>
      </c>
    </row>
    <row r="28898" spans="129:129" x14ac:dyDescent="0.2">
      <c r="DY28898" s="185" t="s">
        <v>215</v>
      </c>
    </row>
    <row r="28899" spans="129:129" x14ac:dyDescent="0.2">
      <c r="DY28899" s="185" t="s">
        <v>215</v>
      </c>
    </row>
    <row r="28900" spans="129:129" x14ac:dyDescent="0.2">
      <c r="DY28900" s="185" t="s">
        <v>215</v>
      </c>
    </row>
    <row r="28901" spans="129:129" x14ac:dyDescent="0.2">
      <c r="DY28901" s="185" t="s">
        <v>215</v>
      </c>
    </row>
    <row r="28902" spans="129:129" x14ac:dyDescent="0.2">
      <c r="DY28902" s="185" t="s">
        <v>215</v>
      </c>
    </row>
    <row r="28903" spans="129:129" x14ac:dyDescent="0.2">
      <c r="DY28903" s="185" t="s">
        <v>215</v>
      </c>
    </row>
    <row r="28904" spans="129:129" x14ac:dyDescent="0.2">
      <c r="DY28904" s="185" t="s">
        <v>215</v>
      </c>
    </row>
    <row r="28905" spans="129:129" x14ac:dyDescent="0.2">
      <c r="DY28905" s="185" t="s">
        <v>215</v>
      </c>
    </row>
    <row r="28906" spans="129:129" x14ac:dyDescent="0.2">
      <c r="DY28906" s="185" t="s">
        <v>215</v>
      </c>
    </row>
    <row r="28907" spans="129:129" x14ac:dyDescent="0.2">
      <c r="DY28907" s="185" t="s">
        <v>215</v>
      </c>
    </row>
    <row r="28908" spans="129:129" x14ac:dyDescent="0.2">
      <c r="DY28908" s="185" t="s">
        <v>215</v>
      </c>
    </row>
    <row r="28909" spans="129:129" x14ac:dyDescent="0.2">
      <c r="DY28909" s="185" t="s">
        <v>215</v>
      </c>
    </row>
    <row r="28910" spans="129:129" x14ac:dyDescent="0.2">
      <c r="DY28910" s="185" t="s">
        <v>215</v>
      </c>
    </row>
    <row r="28911" spans="129:129" x14ac:dyDescent="0.2">
      <c r="DY28911" s="185" t="s">
        <v>215</v>
      </c>
    </row>
    <row r="28912" spans="129:129" x14ac:dyDescent="0.2">
      <c r="DY28912" s="185" t="s">
        <v>215</v>
      </c>
    </row>
    <row r="28913" spans="129:129" x14ac:dyDescent="0.2">
      <c r="DY28913" s="185" t="s">
        <v>215</v>
      </c>
    </row>
    <row r="28914" spans="129:129" x14ac:dyDescent="0.2">
      <c r="DY28914" s="185" t="s">
        <v>215</v>
      </c>
    </row>
    <row r="28915" spans="129:129" x14ac:dyDescent="0.2">
      <c r="DY28915" s="185" t="s">
        <v>215</v>
      </c>
    </row>
    <row r="28916" spans="129:129" x14ac:dyDescent="0.2">
      <c r="DY28916" s="185" t="s">
        <v>215</v>
      </c>
    </row>
    <row r="28917" spans="129:129" x14ac:dyDescent="0.2">
      <c r="DY28917" s="185" t="s">
        <v>215</v>
      </c>
    </row>
    <row r="28918" spans="129:129" x14ac:dyDescent="0.2">
      <c r="DY28918" s="185" t="s">
        <v>215</v>
      </c>
    </row>
    <row r="28919" spans="129:129" x14ac:dyDescent="0.2">
      <c r="DY28919" s="185" t="s">
        <v>215</v>
      </c>
    </row>
    <row r="28920" spans="129:129" x14ac:dyDescent="0.2">
      <c r="DY28920" s="185" t="s">
        <v>215</v>
      </c>
    </row>
    <row r="28921" spans="129:129" x14ac:dyDescent="0.2">
      <c r="DY28921" s="185" t="s">
        <v>215</v>
      </c>
    </row>
    <row r="28922" spans="129:129" x14ac:dyDescent="0.2">
      <c r="DY28922" s="185" t="s">
        <v>215</v>
      </c>
    </row>
    <row r="28923" spans="129:129" x14ac:dyDescent="0.2">
      <c r="DY28923" s="185" t="s">
        <v>215</v>
      </c>
    </row>
    <row r="28924" spans="129:129" x14ac:dyDescent="0.2">
      <c r="DY28924" s="185" t="s">
        <v>215</v>
      </c>
    </row>
    <row r="28925" spans="129:129" x14ac:dyDescent="0.2">
      <c r="DY28925" s="185" t="s">
        <v>215</v>
      </c>
    </row>
    <row r="28926" spans="129:129" x14ac:dyDescent="0.2">
      <c r="DY28926" s="185" t="s">
        <v>215</v>
      </c>
    </row>
    <row r="28927" spans="129:129" x14ac:dyDescent="0.2">
      <c r="DY28927" s="185" t="s">
        <v>215</v>
      </c>
    </row>
    <row r="28928" spans="129:129" x14ac:dyDescent="0.2">
      <c r="DY28928" s="185" t="s">
        <v>215</v>
      </c>
    </row>
    <row r="28929" spans="129:129" x14ac:dyDescent="0.2">
      <c r="DY28929" s="185" t="s">
        <v>215</v>
      </c>
    </row>
    <row r="28930" spans="129:129" x14ac:dyDescent="0.2">
      <c r="DY28930" s="185" t="s">
        <v>215</v>
      </c>
    </row>
    <row r="28931" spans="129:129" x14ac:dyDescent="0.2">
      <c r="DY28931" s="185" t="s">
        <v>215</v>
      </c>
    </row>
    <row r="28932" spans="129:129" x14ac:dyDescent="0.2">
      <c r="DY28932" s="185" t="s">
        <v>215</v>
      </c>
    </row>
    <row r="28933" spans="129:129" x14ac:dyDescent="0.2">
      <c r="DY28933" s="185" t="s">
        <v>215</v>
      </c>
    </row>
    <row r="28934" spans="129:129" x14ac:dyDescent="0.2">
      <c r="DY28934" s="185" t="s">
        <v>215</v>
      </c>
    </row>
    <row r="28935" spans="129:129" x14ac:dyDescent="0.2">
      <c r="DY28935" s="185" t="s">
        <v>215</v>
      </c>
    </row>
    <row r="28936" spans="129:129" x14ac:dyDescent="0.2">
      <c r="DY28936" s="185" t="s">
        <v>215</v>
      </c>
    </row>
    <row r="28937" spans="129:129" x14ac:dyDescent="0.2">
      <c r="DY28937" s="185" t="s">
        <v>215</v>
      </c>
    </row>
    <row r="28938" spans="129:129" x14ac:dyDescent="0.2">
      <c r="DY28938" s="185" t="s">
        <v>215</v>
      </c>
    </row>
    <row r="28939" spans="129:129" x14ac:dyDescent="0.2">
      <c r="DY28939" s="185" t="s">
        <v>215</v>
      </c>
    </row>
    <row r="28940" spans="129:129" x14ac:dyDescent="0.2">
      <c r="DY28940" s="185" t="s">
        <v>215</v>
      </c>
    </row>
    <row r="28941" spans="129:129" x14ac:dyDescent="0.2">
      <c r="DY28941" s="185" t="s">
        <v>215</v>
      </c>
    </row>
    <row r="28942" spans="129:129" x14ac:dyDescent="0.2">
      <c r="DY28942" s="185" t="s">
        <v>215</v>
      </c>
    </row>
    <row r="28943" spans="129:129" x14ac:dyDescent="0.2">
      <c r="DY28943" s="185" t="s">
        <v>215</v>
      </c>
    </row>
    <row r="28944" spans="129:129" x14ac:dyDescent="0.2">
      <c r="DY28944" s="185" t="s">
        <v>215</v>
      </c>
    </row>
    <row r="28945" spans="129:129" x14ac:dyDescent="0.2">
      <c r="DY28945" s="185" t="s">
        <v>215</v>
      </c>
    </row>
    <row r="28946" spans="129:129" x14ac:dyDescent="0.2">
      <c r="DY28946" s="185" t="s">
        <v>215</v>
      </c>
    </row>
    <row r="28947" spans="129:129" x14ac:dyDescent="0.2">
      <c r="DY28947" s="185" t="s">
        <v>215</v>
      </c>
    </row>
    <row r="28948" spans="129:129" x14ac:dyDescent="0.2">
      <c r="DY28948" s="185" t="s">
        <v>215</v>
      </c>
    </row>
    <row r="28949" spans="129:129" x14ac:dyDescent="0.2">
      <c r="DY28949" s="185" t="s">
        <v>215</v>
      </c>
    </row>
    <row r="28950" spans="129:129" x14ac:dyDescent="0.2">
      <c r="DY28950" s="185" t="s">
        <v>215</v>
      </c>
    </row>
    <row r="28951" spans="129:129" x14ac:dyDescent="0.2">
      <c r="DY28951" s="185" t="s">
        <v>215</v>
      </c>
    </row>
    <row r="28952" spans="129:129" x14ac:dyDescent="0.2">
      <c r="DY28952" s="185" t="s">
        <v>215</v>
      </c>
    </row>
    <row r="28953" spans="129:129" x14ac:dyDescent="0.2">
      <c r="DY28953" s="185" t="s">
        <v>215</v>
      </c>
    </row>
    <row r="28954" spans="129:129" x14ac:dyDescent="0.2">
      <c r="DY28954" s="185" t="s">
        <v>215</v>
      </c>
    </row>
    <row r="28955" spans="129:129" x14ac:dyDescent="0.2">
      <c r="DY28955" s="185" t="s">
        <v>215</v>
      </c>
    </row>
    <row r="28956" spans="129:129" x14ac:dyDescent="0.2">
      <c r="DY28956" s="185" t="s">
        <v>215</v>
      </c>
    </row>
    <row r="28957" spans="129:129" x14ac:dyDescent="0.2">
      <c r="DY28957" s="185" t="s">
        <v>215</v>
      </c>
    </row>
    <row r="28958" spans="129:129" x14ac:dyDescent="0.2">
      <c r="DY28958" s="185" t="s">
        <v>215</v>
      </c>
    </row>
    <row r="28959" spans="129:129" x14ac:dyDescent="0.2">
      <c r="DY28959" s="185" t="s">
        <v>215</v>
      </c>
    </row>
    <row r="28960" spans="129:129" x14ac:dyDescent="0.2">
      <c r="DY28960" s="185" t="s">
        <v>215</v>
      </c>
    </row>
    <row r="28961" spans="129:129" x14ac:dyDescent="0.2">
      <c r="DY28961" s="185" t="s">
        <v>215</v>
      </c>
    </row>
    <row r="28962" spans="129:129" x14ac:dyDescent="0.2">
      <c r="DY28962" s="185" t="s">
        <v>215</v>
      </c>
    </row>
    <row r="28963" spans="129:129" x14ac:dyDescent="0.2">
      <c r="DY28963" s="185" t="s">
        <v>215</v>
      </c>
    </row>
    <row r="28964" spans="129:129" x14ac:dyDescent="0.2">
      <c r="DY28964" s="185" t="s">
        <v>215</v>
      </c>
    </row>
    <row r="28965" spans="129:129" x14ac:dyDescent="0.2">
      <c r="DY28965" s="185" t="s">
        <v>215</v>
      </c>
    </row>
    <row r="28966" spans="129:129" x14ac:dyDescent="0.2">
      <c r="DY28966" s="185" t="s">
        <v>215</v>
      </c>
    </row>
    <row r="28967" spans="129:129" x14ac:dyDescent="0.2">
      <c r="DY28967" s="185" t="s">
        <v>215</v>
      </c>
    </row>
    <row r="28968" spans="129:129" x14ac:dyDescent="0.2">
      <c r="DY28968" s="185" t="s">
        <v>215</v>
      </c>
    </row>
    <row r="28969" spans="129:129" x14ac:dyDescent="0.2">
      <c r="DY28969" s="185" t="s">
        <v>215</v>
      </c>
    </row>
    <row r="28970" spans="129:129" x14ac:dyDescent="0.2">
      <c r="DY28970" s="185" t="s">
        <v>215</v>
      </c>
    </row>
    <row r="28971" spans="129:129" x14ac:dyDescent="0.2">
      <c r="DY28971" s="185" t="s">
        <v>215</v>
      </c>
    </row>
    <row r="28972" spans="129:129" x14ac:dyDescent="0.2">
      <c r="DY28972" s="185" t="s">
        <v>215</v>
      </c>
    </row>
    <row r="28973" spans="129:129" x14ac:dyDescent="0.2">
      <c r="DY28973" s="185" t="s">
        <v>215</v>
      </c>
    </row>
    <row r="28974" spans="129:129" x14ac:dyDescent="0.2">
      <c r="DY28974" s="185" t="s">
        <v>215</v>
      </c>
    </row>
    <row r="28975" spans="129:129" x14ac:dyDescent="0.2">
      <c r="DY28975" s="185" t="s">
        <v>215</v>
      </c>
    </row>
    <row r="28976" spans="129:129" x14ac:dyDescent="0.2">
      <c r="DY28976" s="185" t="s">
        <v>215</v>
      </c>
    </row>
    <row r="28977" spans="129:129" x14ac:dyDescent="0.2">
      <c r="DY28977" s="185" t="s">
        <v>215</v>
      </c>
    </row>
    <row r="28978" spans="129:129" x14ac:dyDescent="0.2">
      <c r="DY28978" s="185" t="s">
        <v>215</v>
      </c>
    </row>
    <row r="28979" spans="129:129" x14ac:dyDescent="0.2">
      <c r="DY28979" s="185" t="s">
        <v>215</v>
      </c>
    </row>
    <row r="28980" spans="129:129" x14ac:dyDescent="0.2">
      <c r="DY28980" s="185" t="s">
        <v>215</v>
      </c>
    </row>
    <row r="28981" spans="129:129" x14ac:dyDescent="0.2">
      <c r="DY28981" s="185" t="s">
        <v>215</v>
      </c>
    </row>
    <row r="28982" spans="129:129" x14ac:dyDescent="0.2">
      <c r="DY28982" s="185" t="s">
        <v>215</v>
      </c>
    </row>
    <row r="28983" spans="129:129" x14ac:dyDescent="0.2">
      <c r="DY28983" s="185" t="s">
        <v>215</v>
      </c>
    </row>
    <row r="28984" spans="129:129" x14ac:dyDescent="0.2">
      <c r="DY28984" s="185" t="s">
        <v>215</v>
      </c>
    </row>
    <row r="28985" spans="129:129" x14ac:dyDescent="0.2">
      <c r="DY28985" s="185" t="s">
        <v>215</v>
      </c>
    </row>
    <row r="28986" spans="129:129" x14ac:dyDescent="0.2">
      <c r="DY28986" s="185" t="s">
        <v>215</v>
      </c>
    </row>
    <row r="28987" spans="129:129" x14ac:dyDescent="0.2">
      <c r="DY28987" s="185" t="s">
        <v>215</v>
      </c>
    </row>
    <row r="28988" spans="129:129" x14ac:dyDescent="0.2">
      <c r="DY28988" s="185" t="s">
        <v>215</v>
      </c>
    </row>
    <row r="28989" spans="129:129" x14ac:dyDescent="0.2">
      <c r="DY28989" s="185" t="s">
        <v>215</v>
      </c>
    </row>
    <row r="28990" spans="129:129" x14ac:dyDescent="0.2">
      <c r="DY28990" s="185" t="s">
        <v>215</v>
      </c>
    </row>
    <row r="28991" spans="129:129" x14ac:dyDescent="0.2">
      <c r="DY28991" s="185" t="s">
        <v>215</v>
      </c>
    </row>
    <row r="28992" spans="129:129" x14ac:dyDescent="0.2">
      <c r="DY28992" s="185" t="s">
        <v>215</v>
      </c>
    </row>
    <row r="28993" spans="129:129" x14ac:dyDescent="0.2">
      <c r="DY28993" s="185" t="s">
        <v>215</v>
      </c>
    </row>
    <row r="28994" spans="129:129" x14ac:dyDescent="0.2">
      <c r="DY28994" s="185" t="s">
        <v>215</v>
      </c>
    </row>
    <row r="28995" spans="129:129" x14ac:dyDescent="0.2">
      <c r="DY28995" s="185" t="s">
        <v>215</v>
      </c>
    </row>
    <row r="28996" spans="129:129" x14ac:dyDescent="0.2">
      <c r="DY28996" s="185" t="s">
        <v>215</v>
      </c>
    </row>
    <row r="28997" spans="129:129" x14ac:dyDescent="0.2">
      <c r="DY28997" s="185" t="s">
        <v>215</v>
      </c>
    </row>
    <row r="28998" spans="129:129" x14ac:dyDescent="0.2">
      <c r="DY28998" s="185" t="s">
        <v>215</v>
      </c>
    </row>
    <row r="28999" spans="129:129" x14ac:dyDescent="0.2">
      <c r="DY28999" s="185" t="s">
        <v>215</v>
      </c>
    </row>
    <row r="29000" spans="129:129" x14ac:dyDescent="0.2">
      <c r="DY29000" s="185" t="s">
        <v>215</v>
      </c>
    </row>
    <row r="29001" spans="129:129" x14ac:dyDescent="0.2">
      <c r="DY29001" s="185" t="s">
        <v>215</v>
      </c>
    </row>
    <row r="29002" spans="129:129" x14ac:dyDescent="0.2">
      <c r="DY29002" s="185" t="s">
        <v>215</v>
      </c>
    </row>
    <row r="29003" spans="129:129" x14ac:dyDescent="0.2">
      <c r="DY29003" s="185" t="s">
        <v>215</v>
      </c>
    </row>
    <row r="29004" spans="129:129" x14ac:dyDescent="0.2">
      <c r="DY29004" s="185" t="s">
        <v>215</v>
      </c>
    </row>
    <row r="29005" spans="129:129" x14ac:dyDescent="0.2">
      <c r="DY29005" s="185" t="s">
        <v>215</v>
      </c>
    </row>
    <row r="29006" spans="129:129" x14ac:dyDescent="0.2">
      <c r="DY29006" s="185" t="s">
        <v>215</v>
      </c>
    </row>
    <row r="29007" spans="129:129" x14ac:dyDescent="0.2">
      <c r="DY29007" s="185" t="s">
        <v>215</v>
      </c>
    </row>
    <row r="29008" spans="129:129" x14ac:dyDescent="0.2">
      <c r="DY29008" s="185" t="s">
        <v>215</v>
      </c>
    </row>
    <row r="29009" spans="129:129" x14ac:dyDescent="0.2">
      <c r="DY29009" s="185" t="s">
        <v>215</v>
      </c>
    </row>
    <row r="29010" spans="129:129" x14ac:dyDescent="0.2">
      <c r="DY29010" s="185" t="s">
        <v>215</v>
      </c>
    </row>
    <row r="29011" spans="129:129" x14ac:dyDescent="0.2">
      <c r="DY29011" s="185" t="s">
        <v>215</v>
      </c>
    </row>
    <row r="29012" spans="129:129" x14ac:dyDescent="0.2">
      <c r="DY29012" s="185" t="s">
        <v>215</v>
      </c>
    </row>
    <row r="29013" spans="129:129" x14ac:dyDescent="0.2">
      <c r="DY29013" s="185" t="s">
        <v>215</v>
      </c>
    </row>
    <row r="29014" spans="129:129" x14ac:dyDescent="0.2">
      <c r="DY29014" s="185" t="s">
        <v>215</v>
      </c>
    </row>
    <row r="29015" spans="129:129" x14ac:dyDescent="0.2">
      <c r="DY29015" s="185" t="s">
        <v>215</v>
      </c>
    </row>
    <row r="29016" spans="129:129" x14ac:dyDescent="0.2">
      <c r="DY29016" s="185" t="s">
        <v>215</v>
      </c>
    </row>
    <row r="29017" spans="129:129" x14ac:dyDescent="0.2">
      <c r="DY29017" s="185" t="s">
        <v>215</v>
      </c>
    </row>
    <row r="29018" spans="129:129" x14ac:dyDescent="0.2">
      <c r="DY29018" s="185" t="s">
        <v>215</v>
      </c>
    </row>
    <row r="29019" spans="129:129" x14ac:dyDescent="0.2">
      <c r="DY29019" s="185" t="s">
        <v>215</v>
      </c>
    </row>
    <row r="29020" spans="129:129" x14ac:dyDescent="0.2">
      <c r="DY29020" s="185" t="s">
        <v>215</v>
      </c>
    </row>
    <row r="29021" spans="129:129" x14ac:dyDescent="0.2">
      <c r="DY29021" s="185" t="s">
        <v>215</v>
      </c>
    </row>
    <row r="29022" spans="129:129" x14ac:dyDescent="0.2">
      <c r="DY29022" s="185" t="s">
        <v>215</v>
      </c>
    </row>
    <row r="29023" spans="129:129" x14ac:dyDescent="0.2">
      <c r="DY29023" s="185" t="s">
        <v>215</v>
      </c>
    </row>
    <row r="29024" spans="129:129" x14ac:dyDescent="0.2">
      <c r="DY29024" s="185" t="s">
        <v>215</v>
      </c>
    </row>
    <row r="29025" spans="129:129" x14ac:dyDescent="0.2">
      <c r="DY29025" s="185" t="s">
        <v>215</v>
      </c>
    </row>
    <row r="29026" spans="129:129" x14ac:dyDescent="0.2">
      <c r="DY29026" s="185" t="s">
        <v>215</v>
      </c>
    </row>
    <row r="29027" spans="129:129" x14ac:dyDescent="0.2">
      <c r="DY29027" s="185" t="s">
        <v>215</v>
      </c>
    </row>
    <row r="29028" spans="129:129" x14ac:dyDescent="0.2">
      <c r="DY29028" s="185" t="s">
        <v>215</v>
      </c>
    </row>
    <row r="29029" spans="129:129" x14ac:dyDescent="0.2">
      <c r="DY29029" s="185" t="s">
        <v>215</v>
      </c>
    </row>
    <row r="29030" spans="129:129" x14ac:dyDescent="0.2">
      <c r="DY29030" s="185" t="s">
        <v>215</v>
      </c>
    </row>
    <row r="29031" spans="129:129" x14ac:dyDescent="0.2">
      <c r="DY29031" s="185" t="s">
        <v>215</v>
      </c>
    </row>
    <row r="29032" spans="129:129" x14ac:dyDescent="0.2">
      <c r="DY29032" s="185" t="s">
        <v>215</v>
      </c>
    </row>
    <row r="29033" spans="129:129" x14ac:dyDescent="0.2">
      <c r="DY29033" s="185" t="s">
        <v>215</v>
      </c>
    </row>
    <row r="29034" spans="129:129" x14ac:dyDescent="0.2">
      <c r="DY29034" s="185" t="s">
        <v>215</v>
      </c>
    </row>
    <row r="29035" spans="129:129" x14ac:dyDescent="0.2">
      <c r="DY29035" s="185" t="s">
        <v>215</v>
      </c>
    </row>
    <row r="29036" spans="129:129" x14ac:dyDescent="0.2">
      <c r="DY29036" s="185" t="s">
        <v>215</v>
      </c>
    </row>
    <row r="29037" spans="129:129" x14ac:dyDescent="0.2">
      <c r="DY29037" s="185" t="s">
        <v>215</v>
      </c>
    </row>
    <row r="29038" spans="129:129" x14ac:dyDescent="0.2">
      <c r="DY29038" s="185" t="s">
        <v>215</v>
      </c>
    </row>
    <row r="29039" spans="129:129" x14ac:dyDescent="0.2">
      <c r="DY29039" s="185" t="s">
        <v>215</v>
      </c>
    </row>
    <row r="29040" spans="129:129" x14ac:dyDescent="0.2">
      <c r="DY29040" s="185" t="s">
        <v>215</v>
      </c>
    </row>
    <row r="29041" spans="129:129" x14ac:dyDescent="0.2">
      <c r="DY29041" s="185" t="s">
        <v>215</v>
      </c>
    </row>
    <row r="29042" spans="129:129" x14ac:dyDescent="0.2">
      <c r="DY29042" s="185" t="s">
        <v>215</v>
      </c>
    </row>
    <row r="29043" spans="129:129" x14ac:dyDescent="0.2">
      <c r="DY29043" s="185" t="s">
        <v>215</v>
      </c>
    </row>
    <row r="29044" spans="129:129" x14ac:dyDescent="0.2">
      <c r="DY29044" s="185" t="s">
        <v>215</v>
      </c>
    </row>
    <row r="29045" spans="129:129" x14ac:dyDescent="0.2">
      <c r="DY29045" s="185" t="s">
        <v>215</v>
      </c>
    </row>
    <row r="29046" spans="129:129" x14ac:dyDescent="0.2">
      <c r="DY29046" s="185" t="s">
        <v>215</v>
      </c>
    </row>
    <row r="29047" spans="129:129" x14ac:dyDescent="0.2">
      <c r="DY29047" s="185" t="s">
        <v>215</v>
      </c>
    </row>
    <row r="29048" spans="129:129" x14ac:dyDescent="0.2">
      <c r="DY29048" s="185" t="s">
        <v>215</v>
      </c>
    </row>
    <row r="29049" spans="129:129" x14ac:dyDescent="0.2">
      <c r="DY29049" s="185" t="s">
        <v>215</v>
      </c>
    </row>
    <row r="29050" spans="129:129" x14ac:dyDescent="0.2">
      <c r="DY29050" s="185" t="s">
        <v>215</v>
      </c>
    </row>
    <row r="29051" spans="129:129" x14ac:dyDescent="0.2">
      <c r="DY29051" s="185" t="s">
        <v>215</v>
      </c>
    </row>
    <row r="29052" spans="129:129" x14ac:dyDescent="0.2">
      <c r="DY29052" s="185" t="s">
        <v>215</v>
      </c>
    </row>
    <row r="29053" spans="129:129" x14ac:dyDescent="0.2">
      <c r="DY29053" s="185" t="s">
        <v>215</v>
      </c>
    </row>
    <row r="29054" spans="129:129" x14ac:dyDescent="0.2">
      <c r="DY29054" s="185" t="s">
        <v>215</v>
      </c>
    </row>
    <row r="29055" spans="129:129" x14ac:dyDescent="0.2">
      <c r="DY29055" s="185" t="s">
        <v>215</v>
      </c>
    </row>
    <row r="29056" spans="129:129" x14ac:dyDescent="0.2">
      <c r="DY29056" s="185" t="s">
        <v>215</v>
      </c>
    </row>
    <row r="29057" spans="129:129" x14ac:dyDescent="0.2">
      <c r="DY29057" s="185" t="s">
        <v>215</v>
      </c>
    </row>
    <row r="29058" spans="129:129" x14ac:dyDescent="0.2">
      <c r="DY29058" s="185" t="s">
        <v>215</v>
      </c>
    </row>
    <row r="29059" spans="129:129" x14ac:dyDescent="0.2">
      <c r="DY29059" s="185" t="s">
        <v>215</v>
      </c>
    </row>
    <row r="29060" spans="129:129" x14ac:dyDescent="0.2">
      <c r="DY29060" s="185" t="s">
        <v>215</v>
      </c>
    </row>
    <row r="29061" spans="129:129" x14ac:dyDescent="0.2">
      <c r="DY29061" s="185" t="s">
        <v>215</v>
      </c>
    </row>
    <row r="29062" spans="129:129" x14ac:dyDescent="0.2">
      <c r="DY29062" s="185" t="s">
        <v>215</v>
      </c>
    </row>
    <row r="29063" spans="129:129" x14ac:dyDescent="0.2">
      <c r="DY29063" s="185" t="s">
        <v>215</v>
      </c>
    </row>
    <row r="29064" spans="129:129" x14ac:dyDescent="0.2">
      <c r="DY29064" s="185" t="s">
        <v>215</v>
      </c>
    </row>
    <row r="29065" spans="129:129" x14ac:dyDescent="0.2">
      <c r="DY29065" s="185" t="s">
        <v>215</v>
      </c>
    </row>
    <row r="29066" spans="129:129" x14ac:dyDescent="0.2">
      <c r="DY29066" s="185" t="s">
        <v>215</v>
      </c>
    </row>
    <row r="29067" spans="129:129" x14ac:dyDescent="0.2">
      <c r="DY29067" s="185" t="s">
        <v>215</v>
      </c>
    </row>
    <row r="29068" spans="129:129" x14ac:dyDescent="0.2">
      <c r="DY29068" s="185" t="s">
        <v>215</v>
      </c>
    </row>
    <row r="29069" spans="129:129" x14ac:dyDescent="0.2">
      <c r="DY29069" s="185" t="s">
        <v>215</v>
      </c>
    </row>
    <row r="29070" spans="129:129" x14ac:dyDescent="0.2">
      <c r="DY29070" s="185" t="s">
        <v>215</v>
      </c>
    </row>
    <row r="29071" spans="129:129" x14ac:dyDescent="0.2">
      <c r="DY29071" s="185" t="s">
        <v>215</v>
      </c>
    </row>
    <row r="29072" spans="129:129" x14ac:dyDescent="0.2">
      <c r="DY29072" s="185" t="s">
        <v>215</v>
      </c>
    </row>
    <row r="29073" spans="129:129" x14ac:dyDescent="0.2">
      <c r="DY29073" s="185" t="s">
        <v>215</v>
      </c>
    </row>
    <row r="29074" spans="129:129" x14ac:dyDescent="0.2">
      <c r="DY29074" s="185" t="s">
        <v>215</v>
      </c>
    </row>
    <row r="29075" spans="129:129" x14ac:dyDescent="0.2">
      <c r="DY29075" s="185" t="s">
        <v>215</v>
      </c>
    </row>
    <row r="29076" spans="129:129" x14ac:dyDescent="0.2">
      <c r="DY29076" s="185" t="s">
        <v>215</v>
      </c>
    </row>
    <row r="29077" spans="129:129" x14ac:dyDescent="0.2">
      <c r="DY29077" s="185" t="s">
        <v>215</v>
      </c>
    </row>
    <row r="29078" spans="129:129" x14ac:dyDescent="0.2">
      <c r="DY29078" s="185" t="s">
        <v>215</v>
      </c>
    </row>
    <row r="29079" spans="129:129" x14ac:dyDescent="0.2">
      <c r="DY29079" s="185" t="s">
        <v>215</v>
      </c>
    </row>
    <row r="29080" spans="129:129" x14ac:dyDescent="0.2">
      <c r="DY29080" s="185" t="s">
        <v>215</v>
      </c>
    </row>
    <row r="29081" spans="129:129" x14ac:dyDescent="0.2">
      <c r="DY29081" s="185" t="s">
        <v>215</v>
      </c>
    </row>
    <row r="29082" spans="129:129" x14ac:dyDescent="0.2">
      <c r="DY29082" s="185" t="s">
        <v>215</v>
      </c>
    </row>
    <row r="29083" spans="129:129" x14ac:dyDescent="0.2">
      <c r="DY29083" s="185" t="s">
        <v>215</v>
      </c>
    </row>
    <row r="29084" spans="129:129" x14ac:dyDescent="0.2">
      <c r="DY29084" s="185" t="s">
        <v>215</v>
      </c>
    </row>
    <row r="29085" spans="129:129" x14ac:dyDescent="0.2">
      <c r="DY29085" s="185" t="s">
        <v>215</v>
      </c>
    </row>
    <row r="29086" spans="129:129" x14ac:dyDescent="0.2">
      <c r="DY29086" s="185" t="s">
        <v>215</v>
      </c>
    </row>
    <row r="29087" spans="129:129" x14ac:dyDescent="0.2">
      <c r="DY29087" s="185" t="s">
        <v>215</v>
      </c>
    </row>
    <row r="29088" spans="129:129" x14ac:dyDescent="0.2">
      <c r="DY29088" s="185" t="s">
        <v>215</v>
      </c>
    </row>
    <row r="29089" spans="129:129" x14ac:dyDescent="0.2">
      <c r="DY29089" s="185" t="s">
        <v>215</v>
      </c>
    </row>
    <row r="29090" spans="129:129" x14ac:dyDescent="0.2">
      <c r="DY29090" s="185" t="s">
        <v>215</v>
      </c>
    </row>
    <row r="29091" spans="129:129" x14ac:dyDescent="0.2">
      <c r="DY29091" s="185" t="s">
        <v>215</v>
      </c>
    </row>
    <row r="29092" spans="129:129" x14ac:dyDescent="0.2">
      <c r="DY29092" s="185" t="s">
        <v>215</v>
      </c>
    </row>
    <row r="29093" spans="129:129" x14ac:dyDescent="0.2">
      <c r="DY29093" s="185" t="s">
        <v>215</v>
      </c>
    </row>
    <row r="29094" spans="129:129" x14ac:dyDescent="0.2">
      <c r="DY29094" s="185" t="s">
        <v>215</v>
      </c>
    </row>
    <row r="29095" spans="129:129" x14ac:dyDescent="0.2">
      <c r="DY29095" s="185" t="s">
        <v>215</v>
      </c>
    </row>
    <row r="29096" spans="129:129" x14ac:dyDescent="0.2">
      <c r="DY29096" s="185" t="s">
        <v>215</v>
      </c>
    </row>
    <row r="29097" spans="129:129" x14ac:dyDescent="0.2">
      <c r="DY29097" s="185" t="s">
        <v>215</v>
      </c>
    </row>
    <row r="29098" spans="129:129" x14ac:dyDescent="0.2">
      <c r="DY29098" s="185" t="s">
        <v>215</v>
      </c>
    </row>
    <row r="29099" spans="129:129" x14ac:dyDescent="0.2">
      <c r="DY29099" s="185" t="s">
        <v>215</v>
      </c>
    </row>
    <row r="29100" spans="129:129" x14ac:dyDescent="0.2">
      <c r="DY29100" s="185" t="s">
        <v>215</v>
      </c>
    </row>
    <row r="29101" spans="129:129" x14ac:dyDescent="0.2">
      <c r="DY29101" s="185" t="s">
        <v>215</v>
      </c>
    </row>
    <row r="29102" spans="129:129" x14ac:dyDescent="0.2">
      <c r="DY29102" s="185" t="s">
        <v>215</v>
      </c>
    </row>
    <row r="29103" spans="129:129" x14ac:dyDescent="0.2">
      <c r="DY29103" s="185" t="s">
        <v>215</v>
      </c>
    </row>
    <row r="29104" spans="129:129" x14ac:dyDescent="0.2">
      <c r="DY29104" s="185" t="s">
        <v>215</v>
      </c>
    </row>
    <row r="29105" spans="129:129" x14ac:dyDescent="0.2">
      <c r="DY29105" s="185" t="s">
        <v>215</v>
      </c>
    </row>
    <row r="29106" spans="129:129" x14ac:dyDescent="0.2">
      <c r="DY29106" s="185" t="s">
        <v>215</v>
      </c>
    </row>
    <row r="29107" spans="129:129" x14ac:dyDescent="0.2">
      <c r="DY29107" s="185" t="s">
        <v>215</v>
      </c>
    </row>
    <row r="29108" spans="129:129" x14ac:dyDescent="0.2">
      <c r="DY29108" s="185" t="s">
        <v>215</v>
      </c>
    </row>
    <row r="29109" spans="129:129" x14ac:dyDescent="0.2">
      <c r="DY29109" s="185" t="s">
        <v>215</v>
      </c>
    </row>
    <row r="29110" spans="129:129" x14ac:dyDescent="0.2">
      <c r="DY29110" s="185" t="s">
        <v>215</v>
      </c>
    </row>
    <row r="29111" spans="129:129" x14ac:dyDescent="0.2">
      <c r="DY29111" s="185" t="s">
        <v>215</v>
      </c>
    </row>
    <row r="29112" spans="129:129" x14ac:dyDescent="0.2">
      <c r="DY29112" s="185" t="s">
        <v>215</v>
      </c>
    </row>
    <row r="29113" spans="129:129" x14ac:dyDescent="0.2">
      <c r="DY29113" s="185" t="s">
        <v>215</v>
      </c>
    </row>
    <row r="29114" spans="129:129" x14ac:dyDescent="0.2">
      <c r="DY29114" s="185" t="s">
        <v>215</v>
      </c>
    </row>
    <row r="29115" spans="129:129" x14ac:dyDescent="0.2">
      <c r="DY29115" s="185" t="s">
        <v>215</v>
      </c>
    </row>
    <row r="29116" spans="129:129" x14ac:dyDescent="0.2">
      <c r="DY29116" s="185" t="s">
        <v>215</v>
      </c>
    </row>
    <row r="29117" spans="129:129" x14ac:dyDescent="0.2">
      <c r="DY29117" s="185" t="s">
        <v>215</v>
      </c>
    </row>
    <row r="29118" spans="129:129" x14ac:dyDescent="0.2">
      <c r="DY29118" s="185" t="s">
        <v>215</v>
      </c>
    </row>
    <row r="29119" spans="129:129" x14ac:dyDescent="0.2">
      <c r="DY29119" s="185" t="s">
        <v>215</v>
      </c>
    </row>
    <row r="29120" spans="129:129" x14ac:dyDescent="0.2">
      <c r="DY29120" s="185" t="s">
        <v>215</v>
      </c>
    </row>
    <row r="29121" spans="129:129" x14ac:dyDescent="0.2">
      <c r="DY29121" s="185" t="s">
        <v>215</v>
      </c>
    </row>
    <row r="29122" spans="129:129" x14ac:dyDescent="0.2">
      <c r="DY29122" s="185" t="s">
        <v>215</v>
      </c>
    </row>
    <row r="29123" spans="129:129" x14ac:dyDescent="0.2">
      <c r="DY29123" s="185" t="s">
        <v>215</v>
      </c>
    </row>
    <row r="29124" spans="129:129" x14ac:dyDescent="0.2">
      <c r="DY29124" s="185" t="s">
        <v>215</v>
      </c>
    </row>
    <row r="29125" spans="129:129" x14ac:dyDescent="0.2">
      <c r="DY29125" s="185" t="s">
        <v>215</v>
      </c>
    </row>
    <row r="29126" spans="129:129" x14ac:dyDescent="0.2">
      <c r="DY29126" s="185" t="s">
        <v>215</v>
      </c>
    </row>
    <row r="29127" spans="129:129" x14ac:dyDescent="0.2">
      <c r="DY29127" s="185" t="s">
        <v>215</v>
      </c>
    </row>
    <row r="29128" spans="129:129" x14ac:dyDescent="0.2">
      <c r="DY29128" s="185" t="s">
        <v>215</v>
      </c>
    </row>
    <row r="29129" spans="129:129" x14ac:dyDescent="0.2">
      <c r="DY29129" s="185" t="s">
        <v>215</v>
      </c>
    </row>
    <row r="29130" spans="129:129" x14ac:dyDescent="0.2">
      <c r="DY29130" s="185" t="s">
        <v>215</v>
      </c>
    </row>
    <row r="29131" spans="129:129" x14ac:dyDescent="0.2">
      <c r="DY29131" s="185" t="s">
        <v>215</v>
      </c>
    </row>
    <row r="29132" spans="129:129" x14ac:dyDescent="0.2">
      <c r="DY29132" s="185" t="s">
        <v>215</v>
      </c>
    </row>
    <row r="29133" spans="129:129" x14ac:dyDescent="0.2">
      <c r="DY29133" s="185" t="s">
        <v>215</v>
      </c>
    </row>
    <row r="29134" spans="129:129" x14ac:dyDescent="0.2">
      <c r="DY29134" s="185" t="s">
        <v>215</v>
      </c>
    </row>
    <row r="29135" spans="129:129" x14ac:dyDescent="0.2">
      <c r="DY29135" s="185" t="s">
        <v>215</v>
      </c>
    </row>
    <row r="29136" spans="129:129" x14ac:dyDescent="0.2">
      <c r="DY29136" s="185" t="s">
        <v>215</v>
      </c>
    </row>
    <row r="29137" spans="129:129" x14ac:dyDescent="0.2">
      <c r="DY29137" s="185" t="s">
        <v>215</v>
      </c>
    </row>
    <row r="29138" spans="129:129" x14ac:dyDescent="0.2">
      <c r="DY29138" s="185" t="s">
        <v>215</v>
      </c>
    </row>
    <row r="29139" spans="129:129" x14ac:dyDescent="0.2">
      <c r="DY29139" s="185" t="s">
        <v>215</v>
      </c>
    </row>
    <row r="29140" spans="129:129" x14ac:dyDescent="0.2">
      <c r="DY29140" s="185" t="s">
        <v>215</v>
      </c>
    </row>
    <row r="29141" spans="129:129" x14ac:dyDescent="0.2">
      <c r="DY29141" s="185" t="s">
        <v>215</v>
      </c>
    </row>
    <row r="29142" spans="129:129" x14ac:dyDescent="0.2">
      <c r="DY29142" s="185" t="s">
        <v>215</v>
      </c>
    </row>
    <row r="29143" spans="129:129" x14ac:dyDescent="0.2">
      <c r="DY29143" s="185" t="s">
        <v>215</v>
      </c>
    </row>
    <row r="29144" spans="129:129" x14ac:dyDescent="0.2">
      <c r="DY29144" s="185" t="s">
        <v>215</v>
      </c>
    </row>
    <row r="29145" spans="129:129" x14ac:dyDescent="0.2">
      <c r="DY29145" s="185" t="s">
        <v>215</v>
      </c>
    </row>
    <row r="29146" spans="129:129" x14ac:dyDescent="0.2">
      <c r="DY29146" s="185" t="s">
        <v>215</v>
      </c>
    </row>
    <row r="29147" spans="129:129" x14ac:dyDescent="0.2">
      <c r="DY29147" s="185" t="s">
        <v>215</v>
      </c>
    </row>
    <row r="29148" spans="129:129" x14ac:dyDescent="0.2">
      <c r="DY29148" s="185" t="s">
        <v>215</v>
      </c>
    </row>
    <row r="29149" spans="129:129" x14ac:dyDescent="0.2">
      <c r="DY29149" s="185" t="s">
        <v>215</v>
      </c>
    </row>
    <row r="29150" spans="129:129" x14ac:dyDescent="0.2">
      <c r="DY29150" s="185" t="s">
        <v>215</v>
      </c>
    </row>
    <row r="29151" spans="129:129" x14ac:dyDescent="0.2">
      <c r="DY29151" s="185" t="s">
        <v>215</v>
      </c>
    </row>
    <row r="29152" spans="129:129" x14ac:dyDescent="0.2">
      <c r="DY29152" s="185" t="s">
        <v>215</v>
      </c>
    </row>
    <row r="29153" spans="129:129" x14ac:dyDescent="0.2">
      <c r="DY29153" s="185" t="s">
        <v>215</v>
      </c>
    </row>
    <row r="29154" spans="129:129" x14ac:dyDescent="0.2">
      <c r="DY29154" s="185" t="s">
        <v>215</v>
      </c>
    </row>
    <row r="29155" spans="129:129" x14ac:dyDescent="0.2">
      <c r="DY29155" s="185" t="s">
        <v>215</v>
      </c>
    </row>
    <row r="29156" spans="129:129" x14ac:dyDescent="0.2">
      <c r="DY29156" s="185" t="s">
        <v>215</v>
      </c>
    </row>
    <row r="29157" spans="129:129" x14ac:dyDescent="0.2">
      <c r="DY29157" s="185" t="s">
        <v>215</v>
      </c>
    </row>
    <row r="29158" spans="129:129" x14ac:dyDescent="0.2">
      <c r="DY29158" s="185" t="s">
        <v>215</v>
      </c>
    </row>
    <row r="29159" spans="129:129" x14ac:dyDescent="0.2">
      <c r="DY29159" s="185" t="s">
        <v>215</v>
      </c>
    </row>
    <row r="29160" spans="129:129" x14ac:dyDescent="0.2">
      <c r="DY29160" s="185" t="s">
        <v>215</v>
      </c>
    </row>
    <row r="29161" spans="129:129" x14ac:dyDescent="0.2">
      <c r="DY29161" s="185" t="s">
        <v>215</v>
      </c>
    </row>
    <row r="29162" spans="129:129" x14ac:dyDescent="0.2">
      <c r="DY29162" s="185" t="s">
        <v>215</v>
      </c>
    </row>
    <row r="29163" spans="129:129" x14ac:dyDescent="0.2">
      <c r="DY29163" s="185" t="s">
        <v>215</v>
      </c>
    </row>
    <row r="29164" spans="129:129" x14ac:dyDescent="0.2">
      <c r="DY29164" s="185" t="s">
        <v>215</v>
      </c>
    </row>
    <row r="29165" spans="129:129" x14ac:dyDescent="0.2">
      <c r="DY29165" s="185" t="s">
        <v>215</v>
      </c>
    </row>
    <row r="29166" spans="129:129" x14ac:dyDescent="0.2">
      <c r="DY29166" s="185" t="s">
        <v>215</v>
      </c>
    </row>
    <row r="29167" spans="129:129" x14ac:dyDescent="0.2">
      <c r="DY29167" s="185" t="s">
        <v>215</v>
      </c>
    </row>
    <row r="29168" spans="129:129" x14ac:dyDescent="0.2">
      <c r="DY29168" s="185" t="s">
        <v>215</v>
      </c>
    </row>
    <row r="29169" spans="129:129" x14ac:dyDescent="0.2">
      <c r="DY29169" s="185" t="s">
        <v>215</v>
      </c>
    </row>
    <row r="29170" spans="129:129" x14ac:dyDescent="0.2">
      <c r="DY29170" s="185" t="s">
        <v>215</v>
      </c>
    </row>
    <row r="29171" spans="129:129" x14ac:dyDescent="0.2">
      <c r="DY29171" s="185" t="s">
        <v>215</v>
      </c>
    </row>
    <row r="29172" spans="129:129" x14ac:dyDescent="0.2">
      <c r="DY29172" s="185" t="s">
        <v>215</v>
      </c>
    </row>
    <row r="29173" spans="129:129" x14ac:dyDescent="0.2">
      <c r="DY29173" s="185" t="s">
        <v>215</v>
      </c>
    </row>
    <row r="29174" spans="129:129" x14ac:dyDescent="0.2">
      <c r="DY29174" s="185" t="s">
        <v>215</v>
      </c>
    </row>
    <row r="29175" spans="129:129" x14ac:dyDescent="0.2">
      <c r="DY29175" s="185" t="s">
        <v>215</v>
      </c>
    </row>
    <row r="29176" spans="129:129" x14ac:dyDescent="0.2">
      <c r="DY29176" s="185" t="s">
        <v>215</v>
      </c>
    </row>
    <row r="29177" spans="129:129" x14ac:dyDescent="0.2">
      <c r="DY29177" s="185" t="s">
        <v>215</v>
      </c>
    </row>
    <row r="29178" spans="129:129" x14ac:dyDescent="0.2">
      <c r="DY29178" s="185" t="s">
        <v>215</v>
      </c>
    </row>
    <row r="29179" spans="129:129" x14ac:dyDescent="0.2">
      <c r="DY29179" s="185" t="s">
        <v>215</v>
      </c>
    </row>
    <row r="29180" spans="129:129" x14ac:dyDescent="0.2">
      <c r="DY29180" s="185" t="s">
        <v>215</v>
      </c>
    </row>
    <row r="29181" spans="129:129" x14ac:dyDescent="0.2">
      <c r="DY29181" s="185" t="s">
        <v>215</v>
      </c>
    </row>
    <row r="29182" spans="129:129" x14ac:dyDescent="0.2">
      <c r="DY29182" s="185" t="s">
        <v>215</v>
      </c>
    </row>
    <row r="29183" spans="129:129" x14ac:dyDescent="0.2">
      <c r="DY29183" s="185" t="s">
        <v>215</v>
      </c>
    </row>
    <row r="29184" spans="129:129" x14ac:dyDescent="0.2">
      <c r="DY29184" s="185" t="s">
        <v>215</v>
      </c>
    </row>
    <row r="29185" spans="129:129" x14ac:dyDescent="0.2">
      <c r="DY29185" s="185" t="s">
        <v>215</v>
      </c>
    </row>
    <row r="29186" spans="129:129" x14ac:dyDescent="0.2">
      <c r="DY29186" s="185" t="s">
        <v>215</v>
      </c>
    </row>
    <row r="29187" spans="129:129" x14ac:dyDescent="0.2">
      <c r="DY29187" s="185" t="s">
        <v>215</v>
      </c>
    </row>
    <row r="29188" spans="129:129" x14ac:dyDescent="0.2">
      <c r="DY29188" s="185" t="s">
        <v>215</v>
      </c>
    </row>
    <row r="29189" spans="129:129" x14ac:dyDescent="0.2">
      <c r="DY29189" s="185" t="s">
        <v>215</v>
      </c>
    </row>
    <row r="29190" spans="129:129" x14ac:dyDescent="0.2">
      <c r="DY29190" s="185" t="s">
        <v>215</v>
      </c>
    </row>
    <row r="29191" spans="129:129" x14ac:dyDescent="0.2">
      <c r="DY29191" s="185" t="s">
        <v>215</v>
      </c>
    </row>
    <row r="29192" spans="129:129" x14ac:dyDescent="0.2">
      <c r="DY29192" s="185" t="s">
        <v>215</v>
      </c>
    </row>
    <row r="29193" spans="129:129" x14ac:dyDescent="0.2">
      <c r="DY29193" s="185" t="s">
        <v>215</v>
      </c>
    </row>
    <row r="29194" spans="129:129" x14ac:dyDescent="0.2">
      <c r="DY29194" s="185" t="s">
        <v>215</v>
      </c>
    </row>
    <row r="29195" spans="129:129" x14ac:dyDescent="0.2">
      <c r="DY29195" s="185" t="s">
        <v>215</v>
      </c>
    </row>
    <row r="29196" spans="129:129" x14ac:dyDescent="0.2">
      <c r="DY29196" s="185" t="s">
        <v>215</v>
      </c>
    </row>
    <row r="29197" spans="129:129" x14ac:dyDescent="0.2">
      <c r="DY29197" s="185" t="s">
        <v>215</v>
      </c>
    </row>
    <row r="29198" spans="129:129" x14ac:dyDescent="0.2">
      <c r="DY29198" s="185" t="s">
        <v>215</v>
      </c>
    </row>
    <row r="29199" spans="129:129" x14ac:dyDescent="0.2">
      <c r="DY29199" s="185" t="s">
        <v>215</v>
      </c>
    </row>
    <row r="29200" spans="129:129" x14ac:dyDescent="0.2">
      <c r="DY29200" s="185" t="s">
        <v>215</v>
      </c>
    </row>
    <row r="29201" spans="129:129" x14ac:dyDescent="0.2">
      <c r="DY29201" s="185" t="s">
        <v>215</v>
      </c>
    </row>
    <row r="29202" spans="129:129" x14ac:dyDescent="0.2">
      <c r="DY29202" s="185" t="s">
        <v>215</v>
      </c>
    </row>
    <row r="29203" spans="129:129" x14ac:dyDescent="0.2">
      <c r="DY29203" s="185" t="s">
        <v>215</v>
      </c>
    </row>
    <row r="29204" spans="129:129" x14ac:dyDescent="0.2">
      <c r="DY29204" s="185" t="s">
        <v>215</v>
      </c>
    </row>
    <row r="29205" spans="129:129" x14ac:dyDescent="0.2">
      <c r="DY29205" s="185" t="s">
        <v>215</v>
      </c>
    </row>
    <row r="29206" spans="129:129" x14ac:dyDescent="0.2">
      <c r="DY29206" s="185" t="s">
        <v>215</v>
      </c>
    </row>
    <row r="29207" spans="129:129" x14ac:dyDescent="0.2">
      <c r="DY29207" s="185" t="s">
        <v>215</v>
      </c>
    </row>
    <row r="29208" spans="129:129" x14ac:dyDescent="0.2">
      <c r="DY29208" s="185" t="s">
        <v>215</v>
      </c>
    </row>
    <row r="29209" spans="129:129" x14ac:dyDescent="0.2">
      <c r="DY29209" s="185" t="s">
        <v>215</v>
      </c>
    </row>
    <row r="29210" spans="129:129" x14ac:dyDescent="0.2">
      <c r="DY29210" s="185" t="s">
        <v>215</v>
      </c>
    </row>
    <row r="29211" spans="129:129" x14ac:dyDescent="0.2">
      <c r="DY29211" s="185" t="s">
        <v>215</v>
      </c>
    </row>
    <row r="29212" spans="129:129" x14ac:dyDescent="0.2">
      <c r="DY29212" s="185" t="s">
        <v>215</v>
      </c>
    </row>
    <row r="29213" spans="129:129" x14ac:dyDescent="0.2">
      <c r="DY29213" s="185" t="s">
        <v>215</v>
      </c>
    </row>
    <row r="29214" spans="129:129" x14ac:dyDescent="0.2">
      <c r="DY29214" s="185" t="s">
        <v>215</v>
      </c>
    </row>
    <row r="29215" spans="129:129" x14ac:dyDescent="0.2">
      <c r="DY29215" s="185" t="s">
        <v>215</v>
      </c>
    </row>
    <row r="29216" spans="129:129" x14ac:dyDescent="0.2">
      <c r="DY29216" s="185" t="s">
        <v>215</v>
      </c>
    </row>
    <row r="29217" spans="129:129" x14ac:dyDescent="0.2">
      <c r="DY29217" s="185" t="s">
        <v>215</v>
      </c>
    </row>
    <row r="29218" spans="129:129" x14ac:dyDescent="0.2">
      <c r="DY29218" s="185" t="s">
        <v>215</v>
      </c>
    </row>
    <row r="29219" spans="129:129" x14ac:dyDescent="0.2">
      <c r="DY29219" s="185" t="s">
        <v>215</v>
      </c>
    </row>
    <row r="29220" spans="129:129" x14ac:dyDescent="0.2">
      <c r="DY29220" s="185" t="s">
        <v>215</v>
      </c>
    </row>
    <row r="29221" spans="129:129" x14ac:dyDescent="0.2">
      <c r="DY29221" s="185" t="s">
        <v>215</v>
      </c>
    </row>
    <row r="29222" spans="129:129" x14ac:dyDescent="0.2">
      <c r="DY29222" s="185" t="s">
        <v>215</v>
      </c>
    </row>
    <row r="29223" spans="129:129" x14ac:dyDescent="0.2">
      <c r="DY29223" s="185" t="s">
        <v>215</v>
      </c>
    </row>
    <row r="29224" spans="129:129" x14ac:dyDescent="0.2">
      <c r="DY29224" s="185" t="s">
        <v>215</v>
      </c>
    </row>
    <row r="29225" spans="129:129" x14ac:dyDescent="0.2">
      <c r="DY29225" s="185" t="s">
        <v>215</v>
      </c>
    </row>
    <row r="29226" spans="129:129" x14ac:dyDescent="0.2">
      <c r="DY29226" s="185" t="s">
        <v>215</v>
      </c>
    </row>
    <row r="29227" spans="129:129" x14ac:dyDescent="0.2">
      <c r="DY29227" s="185" t="s">
        <v>215</v>
      </c>
    </row>
    <row r="29228" spans="129:129" x14ac:dyDescent="0.2">
      <c r="DY29228" s="185" t="s">
        <v>215</v>
      </c>
    </row>
    <row r="29229" spans="129:129" x14ac:dyDescent="0.2">
      <c r="DY29229" s="185" t="s">
        <v>215</v>
      </c>
    </row>
    <row r="29230" spans="129:129" x14ac:dyDescent="0.2">
      <c r="DY29230" s="185" t="s">
        <v>215</v>
      </c>
    </row>
    <row r="29231" spans="129:129" x14ac:dyDescent="0.2">
      <c r="DY29231" s="185" t="s">
        <v>215</v>
      </c>
    </row>
    <row r="29232" spans="129:129" x14ac:dyDescent="0.2">
      <c r="DY29232" s="185" t="s">
        <v>215</v>
      </c>
    </row>
    <row r="29233" spans="129:129" x14ac:dyDescent="0.2">
      <c r="DY29233" s="185" t="s">
        <v>215</v>
      </c>
    </row>
    <row r="29234" spans="129:129" x14ac:dyDescent="0.2">
      <c r="DY29234" s="185" t="s">
        <v>215</v>
      </c>
    </row>
    <row r="29235" spans="129:129" x14ac:dyDescent="0.2">
      <c r="DY29235" s="185" t="s">
        <v>215</v>
      </c>
    </row>
    <row r="29236" spans="129:129" x14ac:dyDescent="0.2">
      <c r="DY29236" s="185" t="s">
        <v>215</v>
      </c>
    </row>
    <row r="29237" spans="129:129" x14ac:dyDescent="0.2">
      <c r="DY29237" s="185" t="s">
        <v>215</v>
      </c>
    </row>
    <row r="29238" spans="129:129" x14ac:dyDescent="0.2">
      <c r="DY29238" s="185" t="s">
        <v>215</v>
      </c>
    </row>
    <row r="29239" spans="129:129" x14ac:dyDescent="0.2">
      <c r="DY29239" s="185" t="s">
        <v>215</v>
      </c>
    </row>
    <row r="29240" spans="129:129" x14ac:dyDescent="0.2">
      <c r="DY29240" s="185" t="s">
        <v>215</v>
      </c>
    </row>
    <row r="29241" spans="129:129" x14ac:dyDescent="0.2">
      <c r="DY29241" s="185" t="s">
        <v>215</v>
      </c>
    </row>
    <row r="29242" spans="129:129" x14ac:dyDescent="0.2">
      <c r="DY29242" s="185" t="s">
        <v>215</v>
      </c>
    </row>
    <row r="29243" spans="129:129" x14ac:dyDescent="0.2">
      <c r="DY29243" s="185" t="s">
        <v>215</v>
      </c>
    </row>
    <row r="29244" spans="129:129" x14ac:dyDescent="0.2">
      <c r="DY29244" s="185" t="s">
        <v>215</v>
      </c>
    </row>
    <row r="29245" spans="129:129" x14ac:dyDescent="0.2">
      <c r="DY29245" s="185" t="s">
        <v>215</v>
      </c>
    </row>
    <row r="29246" spans="129:129" x14ac:dyDescent="0.2">
      <c r="DY29246" s="185" t="s">
        <v>215</v>
      </c>
    </row>
    <row r="29247" spans="129:129" x14ac:dyDescent="0.2">
      <c r="DY29247" s="185" t="s">
        <v>215</v>
      </c>
    </row>
    <row r="29248" spans="129:129" x14ac:dyDescent="0.2">
      <c r="DY29248" s="185" t="s">
        <v>215</v>
      </c>
    </row>
    <row r="29249" spans="129:129" x14ac:dyDescent="0.2">
      <c r="DY29249" s="185" t="s">
        <v>215</v>
      </c>
    </row>
    <row r="29250" spans="129:129" x14ac:dyDescent="0.2">
      <c r="DY29250" s="185" t="s">
        <v>215</v>
      </c>
    </row>
    <row r="29251" spans="129:129" x14ac:dyDescent="0.2">
      <c r="DY29251" s="185" t="s">
        <v>215</v>
      </c>
    </row>
    <row r="29252" spans="129:129" x14ac:dyDescent="0.2">
      <c r="DY29252" s="185" t="s">
        <v>215</v>
      </c>
    </row>
    <row r="29253" spans="129:129" x14ac:dyDescent="0.2">
      <c r="DY29253" s="185" t="s">
        <v>215</v>
      </c>
    </row>
    <row r="29254" spans="129:129" x14ac:dyDescent="0.2">
      <c r="DY29254" s="185" t="s">
        <v>215</v>
      </c>
    </row>
    <row r="29255" spans="129:129" x14ac:dyDescent="0.2">
      <c r="DY29255" s="185" t="s">
        <v>215</v>
      </c>
    </row>
    <row r="29256" spans="129:129" x14ac:dyDescent="0.2">
      <c r="DY29256" s="185" t="s">
        <v>215</v>
      </c>
    </row>
    <row r="29257" spans="129:129" x14ac:dyDescent="0.2">
      <c r="DY29257" s="185" t="s">
        <v>215</v>
      </c>
    </row>
    <row r="29258" spans="129:129" x14ac:dyDescent="0.2">
      <c r="DY29258" s="185" t="s">
        <v>215</v>
      </c>
    </row>
    <row r="29259" spans="129:129" x14ac:dyDescent="0.2">
      <c r="DY29259" s="185" t="s">
        <v>215</v>
      </c>
    </row>
    <row r="29260" spans="129:129" x14ac:dyDescent="0.2">
      <c r="DY29260" s="185" t="s">
        <v>215</v>
      </c>
    </row>
    <row r="29261" spans="129:129" x14ac:dyDescent="0.2">
      <c r="DY29261" s="185" t="s">
        <v>215</v>
      </c>
    </row>
    <row r="29262" spans="129:129" x14ac:dyDescent="0.2">
      <c r="DY29262" s="185" t="s">
        <v>215</v>
      </c>
    </row>
    <row r="29263" spans="129:129" x14ac:dyDescent="0.2">
      <c r="DY29263" s="185" t="s">
        <v>215</v>
      </c>
    </row>
    <row r="29264" spans="129:129" x14ac:dyDescent="0.2">
      <c r="DY29264" s="185" t="s">
        <v>215</v>
      </c>
    </row>
    <row r="29265" spans="129:129" x14ac:dyDescent="0.2">
      <c r="DY29265" s="185" t="s">
        <v>215</v>
      </c>
    </row>
    <row r="29266" spans="129:129" x14ac:dyDescent="0.2">
      <c r="DY29266" s="185" t="s">
        <v>215</v>
      </c>
    </row>
    <row r="29267" spans="129:129" x14ac:dyDescent="0.2">
      <c r="DY29267" s="185" t="s">
        <v>215</v>
      </c>
    </row>
    <row r="29268" spans="129:129" x14ac:dyDescent="0.2">
      <c r="DY29268" s="185" t="s">
        <v>215</v>
      </c>
    </row>
    <row r="29269" spans="129:129" x14ac:dyDescent="0.2">
      <c r="DY29269" s="185" t="s">
        <v>215</v>
      </c>
    </row>
    <row r="29270" spans="129:129" x14ac:dyDescent="0.2">
      <c r="DY29270" s="185" t="s">
        <v>215</v>
      </c>
    </row>
    <row r="29271" spans="129:129" x14ac:dyDescent="0.2">
      <c r="DY29271" s="185" t="s">
        <v>215</v>
      </c>
    </row>
    <row r="29272" spans="129:129" x14ac:dyDescent="0.2">
      <c r="DY29272" s="185" t="s">
        <v>215</v>
      </c>
    </row>
    <row r="29273" spans="129:129" x14ac:dyDescent="0.2">
      <c r="DY29273" s="185" t="s">
        <v>215</v>
      </c>
    </row>
    <row r="29274" spans="129:129" x14ac:dyDescent="0.2">
      <c r="DY29274" s="185" t="s">
        <v>215</v>
      </c>
    </row>
    <row r="29275" spans="129:129" x14ac:dyDescent="0.2">
      <c r="DY29275" s="185" t="s">
        <v>215</v>
      </c>
    </row>
    <row r="29276" spans="129:129" x14ac:dyDescent="0.2">
      <c r="DY29276" s="185" t="s">
        <v>215</v>
      </c>
    </row>
    <row r="29277" spans="129:129" x14ac:dyDescent="0.2">
      <c r="DY29277" s="185" t="s">
        <v>215</v>
      </c>
    </row>
    <row r="29278" spans="129:129" x14ac:dyDescent="0.2">
      <c r="DY29278" s="185" t="s">
        <v>215</v>
      </c>
    </row>
    <row r="29279" spans="129:129" x14ac:dyDescent="0.2">
      <c r="DY29279" s="185" t="s">
        <v>215</v>
      </c>
    </row>
    <row r="29280" spans="129:129" x14ac:dyDescent="0.2">
      <c r="DY29280" s="185" t="s">
        <v>215</v>
      </c>
    </row>
    <row r="29281" spans="129:129" x14ac:dyDescent="0.2">
      <c r="DY29281" s="185" t="s">
        <v>215</v>
      </c>
    </row>
    <row r="29282" spans="129:129" x14ac:dyDescent="0.2">
      <c r="DY29282" s="185" t="s">
        <v>215</v>
      </c>
    </row>
    <row r="29283" spans="129:129" x14ac:dyDescent="0.2">
      <c r="DY29283" s="185" t="s">
        <v>215</v>
      </c>
    </row>
    <row r="29284" spans="129:129" x14ac:dyDescent="0.2">
      <c r="DY29284" s="185" t="s">
        <v>215</v>
      </c>
    </row>
    <row r="29285" spans="129:129" x14ac:dyDescent="0.2">
      <c r="DY29285" s="185" t="s">
        <v>215</v>
      </c>
    </row>
    <row r="29286" spans="129:129" x14ac:dyDescent="0.2">
      <c r="DY29286" s="185" t="s">
        <v>215</v>
      </c>
    </row>
    <row r="29287" spans="129:129" x14ac:dyDescent="0.2">
      <c r="DY29287" s="185" t="s">
        <v>215</v>
      </c>
    </row>
    <row r="29288" spans="129:129" x14ac:dyDescent="0.2">
      <c r="DY29288" s="185" t="s">
        <v>215</v>
      </c>
    </row>
    <row r="29289" spans="129:129" x14ac:dyDescent="0.2">
      <c r="DY29289" s="185" t="s">
        <v>215</v>
      </c>
    </row>
    <row r="29290" spans="129:129" x14ac:dyDescent="0.2">
      <c r="DY29290" s="185" t="s">
        <v>215</v>
      </c>
    </row>
    <row r="29291" spans="129:129" x14ac:dyDescent="0.2">
      <c r="DY29291" s="185" t="s">
        <v>215</v>
      </c>
    </row>
    <row r="29292" spans="129:129" x14ac:dyDescent="0.2">
      <c r="DY29292" s="185" t="s">
        <v>215</v>
      </c>
    </row>
    <row r="29293" spans="129:129" x14ac:dyDescent="0.2">
      <c r="DY29293" s="185" t="s">
        <v>215</v>
      </c>
    </row>
    <row r="29294" spans="129:129" x14ac:dyDescent="0.2">
      <c r="DY29294" s="185" t="s">
        <v>215</v>
      </c>
    </row>
    <row r="29295" spans="129:129" x14ac:dyDescent="0.2">
      <c r="DY29295" s="185" t="s">
        <v>215</v>
      </c>
    </row>
    <row r="29296" spans="129:129" x14ac:dyDescent="0.2">
      <c r="DY29296" s="185" t="s">
        <v>215</v>
      </c>
    </row>
    <row r="29297" spans="129:129" x14ac:dyDescent="0.2">
      <c r="DY29297" s="185" t="s">
        <v>215</v>
      </c>
    </row>
    <row r="29298" spans="129:129" x14ac:dyDescent="0.2">
      <c r="DY29298" s="185" t="s">
        <v>215</v>
      </c>
    </row>
    <row r="29299" spans="129:129" x14ac:dyDescent="0.2">
      <c r="DY29299" s="185" t="s">
        <v>215</v>
      </c>
    </row>
    <row r="29300" spans="129:129" x14ac:dyDescent="0.2">
      <c r="DY29300" s="185" t="s">
        <v>215</v>
      </c>
    </row>
    <row r="29301" spans="129:129" x14ac:dyDescent="0.2">
      <c r="DY29301" s="185" t="s">
        <v>215</v>
      </c>
    </row>
    <row r="29302" spans="129:129" x14ac:dyDescent="0.2">
      <c r="DY29302" s="185" t="s">
        <v>215</v>
      </c>
    </row>
    <row r="29303" spans="129:129" x14ac:dyDescent="0.2">
      <c r="DY29303" s="185" t="s">
        <v>215</v>
      </c>
    </row>
    <row r="29304" spans="129:129" x14ac:dyDescent="0.2">
      <c r="DY29304" s="185" t="s">
        <v>215</v>
      </c>
    </row>
    <row r="29305" spans="129:129" x14ac:dyDescent="0.2">
      <c r="DY29305" s="185" t="s">
        <v>215</v>
      </c>
    </row>
    <row r="29306" spans="129:129" x14ac:dyDescent="0.2">
      <c r="DY29306" s="185" t="s">
        <v>215</v>
      </c>
    </row>
    <row r="29307" spans="129:129" x14ac:dyDescent="0.2">
      <c r="DY29307" s="185" t="s">
        <v>215</v>
      </c>
    </row>
    <row r="29308" spans="129:129" x14ac:dyDescent="0.2">
      <c r="DY29308" s="185" t="s">
        <v>215</v>
      </c>
    </row>
    <row r="29309" spans="129:129" x14ac:dyDescent="0.2">
      <c r="DY29309" s="185" t="s">
        <v>215</v>
      </c>
    </row>
    <row r="29310" spans="129:129" x14ac:dyDescent="0.2">
      <c r="DY29310" s="185" t="s">
        <v>215</v>
      </c>
    </row>
    <row r="29311" spans="129:129" x14ac:dyDescent="0.2">
      <c r="DY29311" s="185" t="s">
        <v>215</v>
      </c>
    </row>
    <row r="29312" spans="129:129" x14ac:dyDescent="0.2">
      <c r="DY29312" s="185" t="s">
        <v>215</v>
      </c>
    </row>
    <row r="29313" spans="129:129" x14ac:dyDescent="0.2">
      <c r="DY29313" s="185" t="s">
        <v>215</v>
      </c>
    </row>
    <row r="29314" spans="129:129" x14ac:dyDescent="0.2">
      <c r="DY29314" s="185" t="s">
        <v>215</v>
      </c>
    </row>
    <row r="29315" spans="129:129" x14ac:dyDescent="0.2">
      <c r="DY29315" s="185" t="s">
        <v>215</v>
      </c>
    </row>
    <row r="29316" spans="129:129" x14ac:dyDescent="0.2">
      <c r="DY29316" s="185" t="s">
        <v>215</v>
      </c>
    </row>
    <row r="29317" spans="129:129" x14ac:dyDescent="0.2">
      <c r="DY29317" s="185" t="s">
        <v>215</v>
      </c>
    </row>
    <row r="29318" spans="129:129" x14ac:dyDescent="0.2">
      <c r="DY29318" s="185" t="s">
        <v>215</v>
      </c>
    </row>
    <row r="29319" spans="129:129" x14ac:dyDescent="0.2">
      <c r="DY29319" s="185" t="s">
        <v>215</v>
      </c>
    </row>
    <row r="29320" spans="129:129" x14ac:dyDescent="0.2">
      <c r="DY29320" s="185" t="s">
        <v>215</v>
      </c>
    </row>
    <row r="29321" spans="129:129" x14ac:dyDescent="0.2">
      <c r="DY29321" s="185" t="s">
        <v>215</v>
      </c>
    </row>
    <row r="29322" spans="129:129" x14ac:dyDescent="0.2">
      <c r="DY29322" s="185" t="s">
        <v>215</v>
      </c>
    </row>
    <row r="29323" spans="129:129" x14ac:dyDescent="0.2">
      <c r="DY29323" s="185" t="s">
        <v>215</v>
      </c>
    </row>
    <row r="29324" spans="129:129" x14ac:dyDescent="0.2">
      <c r="DY29324" s="185" t="s">
        <v>215</v>
      </c>
    </row>
    <row r="29325" spans="129:129" x14ac:dyDescent="0.2">
      <c r="DY29325" s="185" t="s">
        <v>215</v>
      </c>
    </row>
    <row r="29326" spans="129:129" x14ac:dyDescent="0.2">
      <c r="DY29326" s="185" t="s">
        <v>215</v>
      </c>
    </row>
    <row r="29327" spans="129:129" x14ac:dyDescent="0.2">
      <c r="DY29327" s="185" t="s">
        <v>215</v>
      </c>
    </row>
    <row r="29328" spans="129:129" x14ac:dyDescent="0.2">
      <c r="DY29328" s="185" t="s">
        <v>215</v>
      </c>
    </row>
    <row r="29329" spans="129:129" x14ac:dyDescent="0.2">
      <c r="DY29329" s="185" t="s">
        <v>215</v>
      </c>
    </row>
    <row r="29330" spans="129:129" x14ac:dyDescent="0.2">
      <c r="DY29330" s="185" t="s">
        <v>215</v>
      </c>
    </row>
    <row r="29331" spans="129:129" x14ac:dyDescent="0.2">
      <c r="DY29331" s="185" t="s">
        <v>215</v>
      </c>
    </row>
    <row r="29332" spans="129:129" x14ac:dyDescent="0.2">
      <c r="DY29332" s="185" t="s">
        <v>215</v>
      </c>
    </row>
    <row r="29333" spans="129:129" x14ac:dyDescent="0.2">
      <c r="DY29333" s="185" t="s">
        <v>215</v>
      </c>
    </row>
    <row r="29334" spans="129:129" x14ac:dyDescent="0.2">
      <c r="DY29334" s="185" t="s">
        <v>215</v>
      </c>
    </row>
    <row r="29335" spans="129:129" x14ac:dyDescent="0.2">
      <c r="DY29335" s="185" t="s">
        <v>215</v>
      </c>
    </row>
    <row r="29336" spans="129:129" x14ac:dyDescent="0.2">
      <c r="DY29336" s="185" t="s">
        <v>215</v>
      </c>
    </row>
    <row r="29337" spans="129:129" x14ac:dyDescent="0.2">
      <c r="DY29337" s="185" t="s">
        <v>215</v>
      </c>
    </row>
    <row r="29338" spans="129:129" x14ac:dyDescent="0.2">
      <c r="DY29338" s="185" t="s">
        <v>215</v>
      </c>
    </row>
    <row r="29339" spans="129:129" x14ac:dyDescent="0.2">
      <c r="DY29339" s="185" t="s">
        <v>215</v>
      </c>
    </row>
    <row r="29340" spans="129:129" x14ac:dyDescent="0.2">
      <c r="DY29340" s="185" t="s">
        <v>215</v>
      </c>
    </row>
    <row r="29341" spans="129:129" x14ac:dyDescent="0.2">
      <c r="DY29341" s="185" t="s">
        <v>215</v>
      </c>
    </row>
    <row r="29342" spans="129:129" x14ac:dyDescent="0.2">
      <c r="DY29342" s="185" t="s">
        <v>215</v>
      </c>
    </row>
    <row r="29343" spans="129:129" x14ac:dyDescent="0.2">
      <c r="DY29343" s="185" t="s">
        <v>215</v>
      </c>
    </row>
    <row r="29344" spans="129:129" x14ac:dyDescent="0.2">
      <c r="DY29344" s="185" t="s">
        <v>215</v>
      </c>
    </row>
    <row r="29345" spans="129:129" x14ac:dyDescent="0.2">
      <c r="DY29345" s="185" t="s">
        <v>215</v>
      </c>
    </row>
    <row r="29346" spans="129:129" x14ac:dyDescent="0.2">
      <c r="DY29346" s="185" t="s">
        <v>215</v>
      </c>
    </row>
    <row r="29347" spans="129:129" x14ac:dyDescent="0.2">
      <c r="DY29347" s="185" t="s">
        <v>215</v>
      </c>
    </row>
    <row r="29348" spans="129:129" x14ac:dyDescent="0.2">
      <c r="DY29348" s="185" t="s">
        <v>215</v>
      </c>
    </row>
    <row r="29349" spans="129:129" x14ac:dyDescent="0.2">
      <c r="DY29349" s="185" t="s">
        <v>215</v>
      </c>
    </row>
    <row r="29350" spans="129:129" x14ac:dyDescent="0.2">
      <c r="DY29350" s="185" t="s">
        <v>215</v>
      </c>
    </row>
    <row r="29351" spans="129:129" x14ac:dyDescent="0.2">
      <c r="DY29351" s="185" t="s">
        <v>215</v>
      </c>
    </row>
    <row r="29352" spans="129:129" x14ac:dyDescent="0.2">
      <c r="DY29352" s="185" t="s">
        <v>215</v>
      </c>
    </row>
    <row r="29353" spans="129:129" x14ac:dyDescent="0.2">
      <c r="DY29353" s="185" t="s">
        <v>215</v>
      </c>
    </row>
    <row r="29354" spans="129:129" x14ac:dyDescent="0.2">
      <c r="DY29354" s="185" t="s">
        <v>215</v>
      </c>
    </row>
    <row r="29355" spans="129:129" x14ac:dyDescent="0.2">
      <c r="DY29355" s="185" t="s">
        <v>215</v>
      </c>
    </row>
    <row r="29356" spans="129:129" x14ac:dyDescent="0.2">
      <c r="DY29356" s="185" t="s">
        <v>215</v>
      </c>
    </row>
    <row r="29357" spans="129:129" x14ac:dyDescent="0.2">
      <c r="DY29357" s="185" t="s">
        <v>215</v>
      </c>
    </row>
    <row r="29358" spans="129:129" x14ac:dyDescent="0.2">
      <c r="DY29358" s="185" t="s">
        <v>215</v>
      </c>
    </row>
    <row r="29359" spans="129:129" x14ac:dyDescent="0.2">
      <c r="DY29359" s="185" t="s">
        <v>215</v>
      </c>
    </row>
    <row r="29360" spans="129:129" x14ac:dyDescent="0.2">
      <c r="DY29360" s="185" t="s">
        <v>215</v>
      </c>
    </row>
    <row r="29361" spans="129:129" x14ac:dyDescent="0.2">
      <c r="DY29361" s="185" t="s">
        <v>215</v>
      </c>
    </row>
    <row r="29362" spans="129:129" x14ac:dyDescent="0.2">
      <c r="DY29362" s="185" t="s">
        <v>215</v>
      </c>
    </row>
    <row r="29363" spans="129:129" x14ac:dyDescent="0.2">
      <c r="DY29363" s="185" t="s">
        <v>215</v>
      </c>
    </row>
    <row r="29364" spans="129:129" x14ac:dyDescent="0.2">
      <c r="DY29364" s="185" t="s">
        <v>215</v>
      </c>
    </row>
    <row r="29365" spans="129:129" x14ac:dyDescent="0.2">
      <c r="DY29365" s="185" t="s">
        <v>215</v>
      </c>
    </row>
    <row r="29366" spans="129:129" x14ac:dyDescent="0.2">
      <c r="DY29366" s="185" t="s">
        <v>215</v>
      </c>
    </row>
    <row r="29367" spans="129:129" x14ac:dyDescent="0.2">
      <c r="DY29367" s="185" t="s">
        <v>215</v>
      </c>
    </row>
    <row r="29368" spans="129:129" x14ac:dyDescent="0.2">
      <c r="DY29368" s="185" t="s">
        <v>215</v>
      </c>
    </row>
    <row r="29369" spans="129:129" x14ac:dyDescent="0.2">
      <c r="DY29369" s="185" t="s">
        <v>215</v>
      </c>
    </row>
    <row r="29370" spans="129:129" x14ac:dyDescent="0.2">
      <c r="DY29370" s="185" t="s">
        <v>215</v>
      </c>
    </row>
    <row r="29371" spans="129:129" x14ac:dyDescent="0.2">
      <c r="DY29371" s="185" t="s">
        <v>215</v>
      </c>
    </row>
    <row r="29372" spans="129:129" x14ac:dyDescent="0.2">
      <c r="DY29372" s="185" t="s">
        <v>215</v>
      </c>
    </row>
    <row r="29373" spans="129:129" x14ac:dyDescent="0.2">
      <c r="DY29373" s="185" t="s">
        <v>215</v>
      </c>
    </row>
    <row r="29374" spans="129:129" x14ac:dyDescent="0.2">
      <c r="DY29374" s="185" t="s">
        <v>215</v>
      </c>
    </row>
    <row r="29375" spans="129:129" x14ac:dyDescent="0.2">
      <c r="DY29375" s="185" t="s">
        <v>215</v>
      </c>
    </row>
    <row r="29376" spans="129:129" x14ac:dyDescent="0.2">
      <c r="DY29376" s="185" t="s">
        <v>215</v>
      </c>
    </row>
    <row r="29377" spans="129:129" x14ac:dyDescent="0.2">
      <c r="DY29377" s="185" t="s">
        <v>215</v>
      </c>
    </row>
    <row r="29378" spans="129:129" x14ac:dyDescent="0.2">
      <c r="DY29378" s="185" t="s">
        <v>215</v>
      </c>
    </row>
    <row r="29379" spans="129:129" x14ac:dyDescent="0.2">
      <c r="DY29379" s="185" t="s">
        <v>215</v>
      </c>
    </row>
    <row r="29380" spans="129:129" x14ac:dyDescent="0.2">
      <c r="DY29380" s="185" t="s">
        <v>215</v>
      </c>
    </row>
    <row r="29381" spans="129:129" x14ac:dyDescent="0.2">
      <c r="DY29381" s="185" t="s">
        <v>215</v>
      </c>
    </row>
    <row r="29382" spans="129:129" x14ac:dyDescent="0.2">
      <c r="DY29382" s="185" t="s">
        <v>215</v>
      </c>
    </row>
    <row r="29383" spans="129:129" x14ac:dyDescent="0.2">
      <c r="DY29383" s="185" t="s">
        <v>215</v>
      </c>
    </row>
    <row r="29384" spans="129:129" x14ac:dyDescent="0.2">
      <c r="DY29384" s="185" t="s">
        <v>215</v>
      </c>
    </row>
    <row r="29385" spans="129:129" x14ac:dyDescent="0.2">
      <c r="DY29385" s="185" t="s">
        <v>215</v>
      </c>
    </row>
    <row r="29386" spans="129:129" x14ac:dyDescent="0.2">
      <c r="DY29386" s="185" t="s">
        <v>215</v>
      </c>
    </row>
    <row r="29387" spans="129:129" x14ac:dyDescent="0.2">
      <c r="DY29387" s="185" t="s">
        <v>215</v>
      </c>
    </row>
    <row r="29388" spans="129:129" x14ac:dyDescent="0.2">
      <c r="DY29388" s="185" t="s">
        <v>215</v>
      </c>
    </row>
    <row r="29389" spans="129:129" x14ac:dyDescent="0.2">
      <c r="DY29389" s="185" t="s">
        <v>215</v>
      </c>
    </row>
    <row r="29390" spans="129:129" x14ac:dyDescent="0.2">
      <c r="DY29390" s="185" t="s">
        <v>215</v>
      </c>
    </row>
    <row r="29391" spans="129:129" x14ac:dyDescent="0.2">
      <c r="DY29391" s="185" t="s">
        <v>215</v>
      </c>
    </row>
    <row r="29392" spans="129:129" x14ac:dyDescent="0.2">
      <c r="DY29392" s="185" t="s">
        <v>215</v>
      </c>
    </row>
    <row r="29393" spans="129:129" x14ac:dyDescent="0.2">
      <c r="DY29393" s="185" t="s">
        <v>215</v>
      </c>
    </row>
    <row r="29394" spans="129:129" x14ac:dyDescent="0.2">
      <c r="DY29394" s="185" t="s">
        <v>215</v>
      </c>
    </row>
    <row r="29395" spans="129:129" x14ac:dyDescent="0.2">
      <c r="DY29395" s="185" t="s">
        <v>215</v>
      </c>
    </row>
    <row r="29396" spans="129:129" x14ac:dyDescent="0.2">
      <c r="DY29396" s="185" t="s">
        <v>215</v>
      </c>
    </row>
    <row r="29397" spans="129:129" x14ac:dyDescent="0.2">
      <c r="DY29397" s="185" t="s">
        <v>215</v>
      </c>
    </row>
    <row r="29398" spans="129:129" x14ac:dyDescent="0.2">
      <c r="DY29398" s="185" t="s">
        <v>215</v>
      </c>
    </row>
    <row r="29399" spans="129:129" x14ac:dyDescent="0.2">
      <c r="DY29399" s="185" t="s">
        <v>215</v>
      </c>
    </row>
    <row r="29400" spans="129:129" x14ac:dyDescent="0.2">
      <c r="DY29400" s="185" t="s">
        <v>215</v>
      </c>
    </row>
    <row r="29401" spans="129:129" x14ac:dyDescent="0.2">
      <c r="DY29401" s="185" t="s">
        <v>215</v>
      </c>
    </row>
    <row r="29402" spans="129:129" x14ac:dyDescent="0.2">
      <c r="DY29402" s="185" t="s">
        <v>215</v>
      </c>
    </row>
    <row r="29403" spans="129:129" x14ac:dyDescent="0.2">
      <c r="DY29403" s="185" t="s">
        <v>215</v>
      </c>
    </row>
    <row r="29404" spans="129:129" x14ac:dyDescent="0.2">
      <c r="DY29404" s="185" t="s">
        <v>215</v>
      </c>
    </row>
    <row r="29405" spans="129:129" x14ac:dyDescent="0.2">
      <c r="DY29405" s="185" t="s">
        <v>215</v>
      </c>
    </row>
    <row r="29406" spans="129:129" x14ac:dyDescent="0.2">
      <c r="DY29406" s="185" t="s">
        <v>215</v>
      </c>
    </row>
    <row r="29407" spans="129:129" x14ac:dyDescent="0.2">
      <c r="DY29407" s="185" t="s">
        <v>215</v>
      </c>
    </row>
    <row r="29408" spans="129:129" x14ac:dyDescent="0.2">
      <c r="DY29408" s="185" t="s">
        <v>215</v>
      </c>
    </row>
    <row r="29409" spans="129:129" x14ac:dyDescent="0.2">
      <c r="DY29409" s="185" t="s">
        <v>215</v>
      </c>
    </row>
    <row r="29410" spans="129:129" x14ac:dyDescent="0.2">
      <c r="DY29410" s="185" t="s">
        <v>215</v>
      </c>
    </row>
    <row r="29411" spans="129:129" x14ac:dyDescent="0.2">
      <c r="DY29411" s="185" t="s">
        <v>215</v>
      </c>
    </row>
    <row r="29412" spans="129:129" x14ac:dyDescent="0.2">
      <c r="DY29412" s="185" t="s">
        <v>215</v>
      </c>
    </row>
    <row r="29413" spans="129:129" x14ac:dyDescent="0.2">
      <c r="DY29413" s="185" t="s">
        <v>215</v>
      </c>
    </row>
    <row r="29414" spans="129:129" x14ac:dyDescent="0.2">
      <c r="DY29414" s="185" t="s">
        <v>215</v>
      </c>
    </row>
    <row r="29415" spans="129:129" x14ac:dyDescent="0.2">
      <c r="DY29415" s="185" t="s">
        <v>215</v>
      </c>
    </row>
    <row r="29416" spans="129:129" x14ac:dyDescent="0.2">
      <c r="DY29416" s="185" t="s">
        <v>215</v>
      </c>
    </row>
    <row r="29417" spans="129:129" x14ac:dyDescent="0.2">
      <c r="DY29417" s="185" t="s">
        <v>215</v>
      </c>
    </row>
    <row r="29418" spans="129:129" x14ac:dyDescent="0.2">
      <c r="DY29418" s="185" t="s">
        <v>215</v>
      </c>
    </row>
    <row r="29419" spans="129:129" x14ac:dyDescent="0.2">
      <c r="DY29419" s="185" t="s">
        <v>215</v>
      </c>
    </row>
    <row r="29420" spans="129:129" x14ac:dyDescent="0.2">
      <c r="DY29420" s="185" t="s">
        <v>215</v>
      </c>
    </row>
    <row r="29421" spans="129:129" x14ac:dyDescent="0.2">
      <c r="DY29421" s="185" t="s">
        <v>215</v>
      </c>
    </row>
    <row r="29422" spans="129:129" x14ac:dyDescent="0.2">
      <c r="DY29422" s="185" t="s">
        <v>215</v>
      </c>
    </row>
    <row r="29423" spans="129:129" x14ac:dyDescent="0.2">
      <c r="DY29423" s="185" t="s">
        <v>215</v>
      </c>
    </row>
    <row r="29424" spans="129:129" x14ac:dyDescent="0.2">
      <c r="DY29424" s="185" t="s">
        <v>215</v>
      </c>
    </row>
    <row r="29425" spans="129:129" x14ac:dyDescent="0.2">
      <c r="DY29425" s="185" t="s">
        <v>215</v>
      </c>
    </row>
    <row r="29426" spans="129:129" x14ac:dyDescent="0.2">
      <c r="DY29426" s="185" t="s">
        <v>215</v>
      </c>
    </row>
    <row r="29427" spans="129:129" x14ac:dyDescent="0.2">
      <c r="DY29427" s="185" t="s">
        <v>215</v>
      </c>
    </row>
    <row r="29428" spans="129:129" x14ac:dyDescent="0.2">
      <c r="DY29428" s="185" t="s">
        <v>215</v>
      </c>
    </row>
    <row r="29429" spans="129:129" x14ac:dyDescent="0.2">
      <c r="DY29429" s="185" t="s">
        <v>215</v>
      </c>
    </row>
    <row r="29430" spans="129:129" x14ac:dyDescent="0.2">
      <c r="DY29430" s="185" t="s">
        <v>215</v>
      </c>
    </row>
    <row r="29431" spans="129:129" x14ac:dyDescent="0.2">
      <c r="DY29431" s="185" t="s">
        <v>215</v>
      </c>
    </row>
    <row r="29432" spans="129:129" x14ac:dyDescent="0.2">
      <c r="DY29432" s="185" t="s">
        <v>215</v>
      </c>
    </row>
    <row r="29433" spans="129:129" x14ac:dyDescent="0.2">
      <c r="DY29433" s="185" t="s">
        <v>215</v>
      </c>
    </row>
    <row r="29434" spans="129:129" x14ac:dyDescent="0.2">
      <c r="DY29434" s="185" t="s">
        <v>215</v>
      </c>
    </row>
    <row r="29435" spans="129:129" x14ac:dyDescent="0.2">
      <c r="DY29435" s="185" t="s">
        <v>215</v>
      </c>
    </row>
    <row r="29436" spans="129:129" x14ac:dyDescent="0.2">
      <c r="DY29436" s="185" t="s">
        <v>215</v>
      </c>
    </row>
    <row r="29437" spans="129:129" x14ac:dyDescent="0.2">
      <c r="DY29437" s="185" t="s">
        <v>215</v>
      </c>
    </row>
    <row r="29438" spans="129:129" x14ac:dyDescent="0.2">
      <c r="DY29438" s="185" t="s">
        <v>215</v>
      </c>
    </row>
    <row r="29439" spans="129:129" x14ac:dyDescent="0.2">
      <c r="DY29439" s="185" t="s">
        <v>215</v>
      </c>
    </row>
    <row r="29440" spans="129:129" x14ac:dyDescent="0.2">
      <c r="DY29440" s="185" t="s">
        <v>215</v>
      </c>
    </row>
    <row r="29441" spans="129:129" x14ac:dyDescent="0.2">
      <c r="DY29441" s="185" t="s">
        <v>215</v>
      </c>
    </row>
    <row r="29442" spans="129:129" x14ac:dyDescent="0.2">
      <c r="DY29442" s="185" t="s">
        <v>215</v>
      </c>
    </row>
    <row r="29443" spans="129:129" x14ac:dyDescent="0.2">
      <c r="DY29443" s="185" t="s">
        <v>215</v>
      </c>
    </row>
    <row r="29444" spans="129:129" x14ac:dyDescent="0.2">
      <c r="DY29444" s="185" t="s">
        <v>215</v>
      </c>
    </row>
    <row r="29445" spans="129:129" x14ac:dyDescent="0.2">
      <c r="DY29445" s="185" t="s">
        <v>215</v>
      </c>
    </row>
    <row r="29446" spans="129:129" x14ac:dyDescent="0.2">
      <c r="DY29446" s="185" t="s">
        <v>215</v>
      </c>
    </row>
    <row r="29447" spans="129:129" x14ac:dyDescent="0.2">
      <c r="DY29447" s="185" t="s">
        <v>215</v>
      </c>
    </row>
    <row r="29448" spans="129:129" x14ac:dyDescent="0.2">
      <c r="DY29448" s="185" t="s">
        <v>215</v>
      </c>
    </row>
    <row r="29449" spans="129:129" x14ac:dyDescent="0.2">
      <c r="DY29449" s="185" t="s">
        <v>215</v>
      </c>
    </row>
    <row r="29450" spans="129:129" x14ac:dyDescent="0.2">
      <c r="DY29450" s="185" t="s">
        <v>215</v>
      </c>
    </row>
    <row r="29451" spans="129:129" x14ac:dyDescent="0.2">
      <c r="DY29451" s="185" t="s">
        <v>215</v>
      </c>
    </row>
    <row r="29452" spans="129:129" x14ac:dyDescent="0.2">
      <c r="DY29452" s="185" t="s">
        <v>215</v>
      </c>
    </row>
    <row r="29453" spans="129:129" x14ac:dyDescent="0.2">
      <c r="DY29453" s="185" t="s">
        <v>215</v>
      </c>
    </row>
    <row r="29454" spans="129:129" x14ac:dyDescent="0.2">
      <c r="DY29454" s="185" t="s">
        <v>215</v>
      </c>
    </row>
    <row r="29455" spans="129:129" x14ac:dyDescent="0.2">
      <c r="DY29455" s="185" t="s">
        <v>215</v>
      </c>
    </row>
    <row r="29456" spans="129:129" x14ac:dyDescent="0.2">
      <c r="DY29456" s="185" t="s">
        <v>215</v>
      </c>
    </row>
    <row r="29457" spans="129:129" x14ac:dyDescent="0.2">
      <c r="DY29457" s="185" t="s">
        <v>215</v>
      </c>
    </row>
    <row r="29458" spans="129:129" x14ac:dyDescent="0.2">
      <c r="DY29458" s="185" t="s">
        <v>215</v>
      </c>
    </row>
    <row r="29459" spans="129:129" x14ac:dyDescent="0.2">
      <c r="DY29459" s="185" t="s">
        <v>215</v>
      </c>
    </row>
    <row r="29460" spans="129:129" x14ac:dyDescent="0.2">
      <c r="DY29460" s="185" t="s">
        <v>215</v>
      </c>
    </row>
    <row r="29461" spans="129:129" x14ac:dyDescent="0.2">
      <c r="DY29461" s="185" t="s">
        <v>215</v>
      </c>
    </row>
    <row r="29462" spans="129:129" x14ac:dyDescent="0.2">
      <c r="DY29462" s="185" t="s">
        <v>215</v>
      </c>
    </row>
    <row r="29463" spans="129:129" x14ac:dyDescent="0.2">
      <c r="DY29463" s="185" t="s">
        <v>215</v>
      </c>
    </row>
    <row r="29464" spans="129:129" x14ac:dyDescent="0.2">
      <c r="DY29464" s="185" t="s">
        <v>215</v>
      </c>
    </row>
    <row r="29465" spans="129:129" x14ac:dyDescent="0.2">
      <c r="DY29465" s="185" t="s">
        <v>215</v>
      </c>
    </row>
    <row r="29466" spans="129:129" x14ac:dyDescent="0.2">
      <c r="DY29466" s="185" t="s">
        <v>215</v>
      </c>
    </row>
    <row r="29467" spans="129:129" x14ac:dyDescent="0.2">
      <c r="DY29467" s="185" t="s">
        <v>215</v>
      </c>
    </row>
    <row r="29468" spans="129:129" x14ac:dyDescent="0.2">
      <c r="DY29468" s="185" t="s">
        <v>215</v>
      </c>
    </row>
    <row r="29469" spans="129:129" x14ac:dyDescent="0.2">
      <c r="DY29469" s="185" t="s">
        <v>215</v>
      </c>
    </row>
    <row r="29470" spans="129:129" x14ac:dyDescent="0.2">
      <c r="DY29470" s="185" t="s">
        <v>215</v>
      </c>
    </row>
    <row r="29471" spans="129:129" x14ac:dyDescent="0.2">
      <c r="DY29471" s="185" t="s">
        <v>215</v>
      </c>
    </row>
    <row r="29472" spans="129:129" x14ac:dyDescent="0.2">
      <c r="DY29472" s="185" t="s">
        <v>215</v>
      </c>
    </row>
    <row r="29473" spans="129:129" x14ac:dyDescent="0.2">
      <c r="DY29473" s="185" t="s">
        <v>215</v>
      </c>
    </row>
    <row r="29474" spans="129:129" x14ac:dyDescent="0.2">
      <c r="DY29474" s="185" t="s">
        <v>215</v>
      </c>
    </row>
    <row r="29475" spans="129:129" x14ac:dyDescent="0.2">
      <c r="DY29475" s="185" t="s">
        <v>215</v>
      </c>
    </row>
    <row r="29476" spans="129:129" x14ac:dyDescent="0.2">
      <c r="DY29476" s="185" t="s">
        <v>215</v>
      </c>
    </row>
    <row r="29477" spans="129:129" x14ac:dyDescent="0.2">
      <c r="DY29477" s="185" t="s">
        <v>215</v>
      </c>
    </row>
    <row r="29478" spans="129:129" x14ac:dyDescent="0.2">
      <c r="DY29478" s="185" t="s">
        <v>215</v>
      </c>
    </row>
    <row r="29479" spans="129:129" x14ac:dyDescent="0.2">
      <c r="DY29479" s="185" t="s">
        <v>215</v>
      </c>
    </row>
    <row r="29480" spans="129:129" x14ac:dyDescent="0.2">
      <c r="DY29480" s="185" t="s">
        <v>215</v>
      </c>
    </row>
    <row r="29481" spans="129:129" x14ac:dyDescent="0.2">
      <c r="DY29481" s="185" t="s">
        <v>215</v>
      </c>
    </row>
    <row r="29482" spans="129:129" x14ac:dyDescent="0.2">
      <c r="DY29482" s="185" t="s">
        <v>215</v>
      </c>
    </row>
    <row r="29483" spans="129:129" x14ac:dyDescent="0.2">
      <c r="DY29483" s="185" t="s">
        <v>215</v>
      </c>
    </row>
    <row r="29484" spans="129:129" x14ac:dyDescent="0.2">
      <c r="DY29484" s="185" t="s">
        <v>215</v>
      </c>
    </row>
    <row r="29485" spans="129:129" x14ac:dyDescent="0.2">
      <c r="DY29485" s="185" t="s">
        <v>215</v>
      </c>
    </row>
    <row r="29486" spans="129:129" x14ac:dyDescent="0.2">
      <c r="DY29486" s="185" t="s">
        <v>215</v>
      </c>
    </row>
    <row r="29487" spans="129:129" x14ac:dyDescent="0.2">
      <c r="DY29487" s="185" t="s">
        <v>215</v>
      </c>
    </row>
    <row r="29488" spans="129:129" x14ac:dyDescent="0.2">
      <c r="DY29488" s="185" t="s">
        <v>215</v>
      </c>
    </row>
    <row r="29489" spans="129:129" x14ac:dyDescent="0.2">
      <c r="DY29489" s="185" t="s">
        <v>215</v>
      </c>
    </row>
    <row r="29490" spans="129:129" x14ac:dyDescent="0.2">
      <c r="DY29490" s="185" t="s">
        <v>215</v>
      </c>
    </row>
    <row r="29491" spans="129:129" x14ac:dyDescent="0.2">
      <c r="DY29491" s="185" t="s">
        <v>215</v>
      </c>
    </row>
    <row r="29492" spans="129:129" x14ac:dyDescent="0.2">
      <c r="DY29492" s="185" t="s">
        <v>215</v>
      </c>
    </row>
    <row r="29493" spans="129:129" x14ac:dyDescent="0.2">
      <c r="DY29493" s="185" t="s">
        <v>215</v>
      </c>
    </row>
    <row r="29494" spans="129:129" x14ac:dyDescent="0.2">
      <c r="DY29494" s="185" t="s">
        <v>215</v>
      </c>
    </row>
    <row r="29495" spans="129:129" x14ac:dyDescent="0.2">
      <c r="DY29495" s="185" t="s">
        <v>215</v>
      </c>
    </row>
    <row r="29496" spans="129:129" x14ac:dyDescent="0.2">
      <c r="DY29496" s="185" t="s">
        <v>215</v>
      </c>
    </row>
    <row r="29497" spans="129:129" x14ac:dyDescent="0.2">
      <c r="DY29497" s="185" t="s">
        <v>215</v>
      </c>
    </row>
    <row r="29498" spans="129:129" x14ac:dyDescent="0.2">
      <c r="DY29498" s="185" t="s">
        <v>215</v>
      </c>
    </row>
    <row r="29499" spans="129:129" x14ac:dyDescent="0.2">
      <c r="DY29499" s="185" t="s">
        <v>215</v>
      </c>
    </row>
    <row r="29500" spans="129:129" x14ac:dyDescent="0.2">
      <c r="DY29500" s="185" t="s">
        <v>215</v>
      </c>
    </row>
    <row r="29501" spans="129:129" x14ac:dyDescent="0.2">
      <c r="DY29501" s="185" t="s">
        <v>215</v>
      </c>
    </row>
    <row r="29502" spans="129:129" x14ac:dyDescent="0.2">
      <c r="DY29502" s="185" t="s">
        <v>215</v>
      </c>
    </row>
    <row r="29503" spans="129:129" x14ac:dyDescent="0.2">
      <c r="DY29503" s="185" t="s">
        <v>215</v>
      </c>
    </row>
    <row r="29504" spans="129:129" x14ac:dyDescent="0.2">
      <c r="DY29504" s="185" t="s">
        <v>215</v>
      </c>
    </row>
    <row r="29505" spans="129:129" x14ac:dyDescent="0.2">
      <c r="DY29505" s="185" t="s">
        <v>215</v>
      </c>
    </row>
    <row r="29506" spans="129:129" x14ac:dyDescent="0.2">
      <c r="DY29506" s="185" t="s">
        <v>215</v>
      </c>
    </row>
    <row r="29507" spans="129:129" x14ac:dyDescent="0.2">
      <c r="DY29507" s="185" t="s">
        <v>215</v>
      </c>
    </row>
    <row r="29508" spans="129:129" x14ac:dyDescent="0.2">
      <c r="DY29508" s="185" t="s">
        <v>215</v>
      </c>
    </row>
    <row r="29509" spans="129:129" x14ac:dyDescent="0.2">
      <c r="DY29509" s="185" t="s">
        <v>215</v>
      </c>
    </row>
    <row r="29510" spans="129:129" x14ac:dyDescent="0.2">
      <c r="DY29510" s="185" t="s">
        <v>215</v>
      </c>
    </row>
    <row r="29511" spans="129:129" x14ac:dyDescent="0.2">
      <c r="DY29511" s="185" t="s">
        <v>215</v>
      </c>
    </row>
    <row r="29512" spans="129:129" x14ac:dyDescent="0.2">
      <c r="DY29512" s="185" t="s">
        <v>215</v>
      </c>
    </row>
    <row r="29513" spans="129:129" x14ac:dyDescent="0.2">
      <c r="DY29513" s="185" t="s">
        <v>215</v>
      </c>
    </row>
    <row r="29514" spans="129:129" x14ac:dyDescent="0.2">
      <c r="DY29514" s="185" t="s">
        <v>215</v>
      </c>
    </row>
    <row r="29515" spans="129:129" x14ac:dyDescent="0.2">
      <c r="DY29515" s="185" t="s">
        <v>215</v>
      </c>
    </row>
    <row r="29516" spans="129:129" x14ac:dyDescent="0.2">
      <c r="DY29516" s="185" t="s">
        <v>215</v>
      </c>
    </row>
    <row r="29517" spans="129:129" x14ac:dyDescent="0.2">
      <c r="DY29517" s="185" t="s">
        <v>215</v>
      </c>
    </row>
    <row r="29518" spans="129:129" x14ac:dyDescent="0.2">
      <c r="DY29518" s="185" t="s">
        <v>215</v>
      </c>
    </row>
    <row r="29519" spans="129:129" x14ac:dyDescent="0.2">
      <c r="DY29519" s="185" t="s">
        <v>215</v>
      </c>
    </row>
    <row r="29520" spans="129:129" x14ac:dyDescent="0.2">
      <c r="DY29520" s="185" t="s">
        <v>215</v>
      </c>
    </row>
    <row r="29521" spans="129:129" x14ac:dyDescent="0.2">
      <c r="DY29521" s="185" t="s">
        <v>215</v>
      </c>
    </row>
    <row r="29522" spans="129:129" x14ac:dyDescent="0.2">
      <c r="DY29522" s="185" t="s">
        <v>215</v>
      </c>
    </row>
    <row r="29523" spans="129:129" x14ac:dyDescent="0.2">
      <c r="DY29523" s="185" t="s">
        <v>215</v>
      </c>
    </row>
    <row r="29524" spans="129:129" x14ac:dyDescent="0.2">
      <c r="DY29524" s="185" t="s">
        <v>215</v>
      </c>
    </row>
    <row r="29525" spans="129:129" x14ac:dyDescent="0.2">
      <c r="DY29525" s="185" t="s">
        <v>215</v>
      </c>
    </row>
    <row r="29526" spans="129:129" x14ac:dyDescent="0.2">
      <c r="DY29526" s="185" t="s">
        <v>215</v>
      </c>
    </row>
    <row r="29527" spans="129:129" x14ac:dyDescent="0.2">
      <c r="DY29527" s="185" t="s">
        <v>215</v>
      </c>
    </row>
    <row r="29528" spans="129:129" x14ac:dyDescent="0.2">
      <c r="DY29528" s="185" t="s">
        <v>215</v>
      </c>
    </row>
    <row r="29529" spans="129:129" x14ac:dyDescent="0.2">
      <c r="DY29529" s="185" t="s">
        <v>215</v>
      </c>
    </row>
    <row r="29530" spans="129:129" x14ac:dyDescent="0.2">
      <c r="DY29530" s="185" t="s">
        <v>215</v>
      </c>
    </row>
    <row r="29531" spans="129:129" x14ac:dyDescent="0.2">
      <c r="DY29531" s="185" t="s">
        <v>215</v>
      </c>
    </row>
    <row r="29532" spans="129:129" x14ac:dyDescent="0.2">
      <c r="DY29532" s="185" t="s">
        <v>215</v>
      </c>
    </row>
    <row r="29533" spans="129:129" x14ac:dyDescent="0.2">
      <c r="DY29533" s="185" t="s">
        <v>215</v>
      </c>
    </row>
    <row r="29534" spans="129:129" x14ac:dyDescent="0.2">
      <c r="DY29534" s="185" t="s">
        <v>215</v>
      </c>
    </row>
    <row r="29535" spans="129:129" x14ac:dyDescent="0.2">
      <c r="DY29535" s="185" t="s">
        <v>215</v>
      </c>
    </row>
    <row r="29536" spans="129:129" x14ac:dyDescent="0.2">
      <c r="DY29536" s="185" t="s">
        <v>215</v>
      </c>
    </row>
    <row r="29537" spans="129:129" x14ac:dyDescent="0.2">
      <c r="DY29537" s="185" t="s">
        <v>215</v>
      </c>
    </row>
    <row r="29538" spans="129:129" x14ac:dyDescent="0.2">
      <c r="DY29538" s="185" t="s">
        <v>215</v>
      </c>
    </row>
    <row r="29539" spans="129:129" x14ac:dyDescent="0.2">
      <c r="DY29539" s="185" t="s">
        <v>215</v>
      </c>
    </row>
    <row r="29540" spans="129:129" x14ac:dyDescent="0.2">
      <c r="DY29540" s="185" t="s">
        <v>215</v>
      </c>
    </row>
    <row r="29541" spans="129:129" x14ac:dyDescent="0.2">
      <c r="DY29541" s="185" t="s">
        <v>215</v>
      </c>
    </row>
    <row r="29542" spans="129:129" x14ac:dyDescent="0.2">
      <c r="DY29542" s="185" t="s">
        <v>215</v>
      </c>
    </row>
    <row r="29543" spans="129:129" x14ac:dyDescent="0.2">
      <c r="DY29543" s="185" t="s">
        <v>215</v>
      </c>
    </row>
    <row r="29544" spans="129:129" x14ac:dyDescent="0.2">
      <c r="DY29544" s="185" t="s">
        <v>215</v>
      </c>
    </row>
    <row r="29545" spans="129:129" x14ac:dyDescent="0.2">
      <c r="DY29545" s="185" t="s">
        <v>215</v>
      </c>
    </row>
    <row r="29546" spans="129:129" x14ac:dyDescent="0.2">
      <c r="DY29546" s="185" t="s">
        <v>215</v>
      </c>
    </row>
    <row r="29547" spans="129:129" x14ac:dyDescent="0.2">
      <c r="DY29547" s="185" t="s">
        <v>215</v>
      </c>
    </row>
    <row r="29548" spans="129:129" x14ac:dyDescent="0.2">
      <c r="DY29548" s="185" t="s">
        <v>215</v>
      </c>
    </row>
    <row r="29549" spans="129:129" x14ac:dyDescent="0.2">
      <c r="DY29549" s="185" t="s">
        <v>215</v>
      </c>
    </row>
    <row r="29550" spans="129:129" x14ac:dyDescent="0.2">
      <c r="DY29550" s="185" t="s">
        <v>215</v>
      </c>
    </row>
    <row r="29551" spans="129:129" x14ac:dyDescent="0.2">
      <c r="DY29551" s="185" t="s">
        <v>215</v>
      </c>
    </row>
    <row r="29552" spans="129:129" x14ac:dyDescent="0.2">
      <c r="DY29552" s="185" t="s">
        <v>215</v>
      </c>
    </row>
    <row r="29553" spans="129:129" x14ac:dyDescent="0.2">
      <c r="DY29553" s="185" t="s">
        <v>215</v>
      </c>
    </row>
    <row r="29554" spans="129:129" x14ac:dyDescent="0.2">
      <c r="DY29554" s="185" t="s">
        <v>215</v>
      </c>
    </row>
    <row r="29555" spans="129:129" x14ac:dyDescent="0.2">
      <c r="DY29555" s="185" t="s">
        <v>215</v>
      </c>
    </row>
    <row r="29556" spans="129:129" x14ac:dyDescent="0.2">
      <c r="DY29556" s="185" t="s">
        <v>215</v>
      </c>
    </row>
    <row r="29557" spans="129:129" x14ac:dyDescent="0.2">
      <c r="DY29557" s="185" t="s">
        <v>215</v>
      </c>
    </row>
    <row r="29558" spans="129:129" x14ac:dyDescent="0.2">
      <c r="DY29558" s="185" t="s">
        <v>215</v>
      </c>
    </row>
    <row r="29559" spans="129:129" x14ac:dyDescent="0.2">
      <c r="DY29559" s="185" t="s">
        <v>215</v>
      </c>
    </row>
    <row r="29560" spans="129:129" x14ac:dyDescent="0.2">
      <c r="DY29560" s="185" t="s">
        <v>215</v>
      </c>
    </row>
    <row r="29561" spans="129:129" x14ac:dyDescent="0.2">
      <c r="DY29561" s="185" t="s">
        <v>215</v>
      </c>
    </row>
    <row r="29562" spans="129:129" x14ac:dyDescent="0.2">
      <c r="DY29562" s="185" t="s">
        <v>215</v>
      </c>
    </row>
    <row r="29563" spans="129:129" x14ac:dyDescent="0.2">
      <c r="DY29563" s="185" t="s">
        <v>215</v>
      </c>
    </row>
    <row r="29564" spans="129:129" x14ac:dyDescent="0.2">
      <c r="DY29564" s="185" t="s">
        <v>215</v>
      </c>
    </row>
    <row r="29565" spans="129:129" x14ac:dyDescent="0.2">
      <c r="DY29565" s="185" t="s">
        <v>215</v>
      </c>
    </row>
    <row r="29566" spans="129:129" x14ac:dyDescent="0.2">
      <c r="DY29566" s="185" t="s">
        <v>215</v>
      </c>
    </row>
    <row r="29567" spans="129:129" x14ac:dyDescent="0.2">
      <c r="DY29567" s="185" t="s">
        <v>215</v>
      </c>
    </row>
    <row r="29568" spans="129:129" x14ac:dyDescent="0.2">
      <c r="DY29568" s="185" t="s">
        <v>215</v>
      </c>
    </row>
    <row r="29569" spans="129:129" x14ac:dyDescent="0.2">
      <c r="DY29569" s="185" t="s">
        <v>215</v>
      </c>
    </row>
    <row r="29570" spans="129:129" x14ac:dyDescent="0.2">
      <c r="DY29570" s="185" t="s">
        <v>215</v>
      </c>
    </row>
    <row r="29571" spans="129:129" x14ac:dyDescent="0.2">
      <c r="DY29571" s="185" t="s">
        <v>215</v>
      </c>
    </row>
    <row r="29572" spans="129:129" x14ac:dyDescent="0.2">
      <c r="DY29572" s="185" t="s">
        <v>215</v>
      </c>
    </row>
    <row r="29573" spans="129:129" x14ac:dyDescent="0.2">
      <c r="DY29573" s="185" t="s">
        <v>215</v>
      </c>
    </row>
    <row r="29574" spans="129:129" x14ac:dyDescent="0.2">
      <c r="DY29574" s="185" t="s">
        <v>215</v>
      </c>
    </row>
    <row r="29575" spans="129:129" x14ac:dyDescent="0.2">
      <c r="DY29575" s="185" t="s">
        <v>215</v>
      </c>
    </row>
    <row r="29576" spans="129:129" x14ac:dyDescent="0.2">
      <c r="DY29576" s="185" t="s">
        <v>215</v>
      </c>
    </row>
    <row r="29577" spans="129:129" x14ac:dyDescent="0.2">
      <c r="DY29577" s="185" t="s">
        <v>215</v>
      </c>
    </row>
    <row r="29578" spans="129:129" x14ac:dyDescent="0.2">
      <c r="DY29578" s="185" t="s">
        <v>215</v>
      </c>
    </row>
    <row r="29579" spans="129:129" x14ac:dyDescent="0.2">
      <c r="DY29579" s="185" t="s">
        <v>215</v>
      </c>
    </row>
    <row r="29580" spans="129:129" x14ac:dyDescent="0.2">
      <c r="DY29580" s="185" t="s">
        <v>215</v>
      </c>
    </row>
    <row r="29581" spans="129:129" x14ac:dyDescent="0.2">
      <c r="DY29581" s="185" t="s">
        <v>215</v>
      </c>
    </row>
    <row r="29582" spans="129:129" x14ac:dyDescent="0.2">
      <c r="DY29582" s="185" t="s">
        <v>215</v>
      </c>
    </row>
    <row r="29583" spans="129:129" x14ac:dyDescent="0.2">
      <c r="DY29583" s="185" t="s">
        <v>215</v>
      </c>
    </row>
    <row r="29584" spans="129:129" x14ac:dyDescent="0.2">
      <c r="DY29584" s="185" t="s">
        <v>215</v>
      </c>
    </row>
    <row r="29585" spans="129:129" x14ac:dyDescent="0.2">
      <c r="DY29585" s="185" t="s">
        <v>215</v>
      </c>
    </row>
    <row r="29586" spans="129:129" x14ac:dyDescent="0.2">
      <c r="DY29586" s="185" t="s">
        <v>215</v>
      </c>
    </row>
    <row r="29587" spans="129:129" x14ac:dyDescent="0.2">
      <c r="DY29587" s="185" t="s">
        <v>215</v>
      </c>
    </row>
    <row r="29588" spans="129:129" x14ac:dyDescent="0.2">
      <c r="DY29588" s="185" t="s">
        <v>215</v>
      </c>
    </row>
    <row r="29589" spans="129:129" x14ac:dyDescent="0.2">
      <c r="DY29589" s="185" t="s">
        <v>215</v>
      </c>
    </row>
    <row r="29590" spans="129:129" x14ac:dyDescent="0.2">
      <c r="DY29590" s="185" t="s">
        <v>215</v>
      </c>
    </row>
    <row r="29591" spans="129:129" x14ac:dyDescent="0.2">
      <c r="DY29591" s="185" t="s">
        <v>215</v>
      </c>
    </row>
    <row r="29592" spans="129:129" x14ac:dyDescent="0.2">
      <c r="DY29592" s="185" t="s">
        <v>215</v>
      </c>
    </row>
    <row r="29593" spans="129:129" x14ac:dyDescent="0.2">
      <c r="DY29593" s="185" t="s">
        <v>215</v>
      </c>
    </row>
    <row r="29594" spans="129:129" x14ac:dyDescent="0.2">
      <c r="DY29594" s="185" t="s">
        <v>215</v>
      </c>
    </row>
    <row r="29595" spans="129:129" x14ac:dyDescent="0.2">
      <c r="DY29595" s="185" t="s">
        <v>215</v>
      </c>
    </row>
    <row r="29596" spans="129:129" x14ac:dyDescent="0.2">
      <c r="DY29596" s="185" t="s">
        <v>215</v>
      </c>
    </row>
    <row r="29597" spans="129:129" x14ac:dyDescent="0.2">
      <c r="DY29597" s="185" t="s">
        <v>215</v>
      </c>
    </row>
    <row r="29598" spans="129:129" x14ac:dyDescent="0.2">
      <c r="DY29598" s="185" t="s">
        <v>215</v>
      </c>
    </row>
    <row r="29599" spans="129:129" x14ac:dyDescent="0.2">
      <c r="DY29599" s="185" t="s">
        <v>215</v>
      </c>
    </row>
    <row r="29600" spans="129:129" x14ac:dyDescent="0.2">
      <c r="DY29600" s="185" t="s">
        <v>215</v>
      </c>
    </row>
    <row r="29601" spans="129:129" x14ac:dyDescent="0.2">
      <c r="DY29601" s="185" t="s">
        <v>215</v>
      </c>
    </row>
    <row r="29602" spans="129:129" x14ac:dyDescent="0.2">
      <c r="DY29602" s="185" t="s">
        <v>215</v>
      </c>
    </row>
    <row r="29603" spans="129:129" x14ac:dyDescent="0.2">
      <c r="DY29603" s="185" t="s">
        <v>215</v>
      </c>
    </row>
    <row r="29604" spans="129:129" x14ac:dyDescent="0.2">
      <c r="DY29604" s="185" t="s">
        <v>215</v>
      </c>
    </row>
    <row r="29605" spans="129:129" x14ac:dyDescent="0.2">
      <c r="DY29605" s="185" t="s">
        <v>215</v>
      </c>
    </row>
    <row r="29606" spans="129:129" x14ac:dyDescent="0.2">
      <c r="DY29606" s="185" t="s">
        <v>215</v>
      </c>
    </row>
    <row r="29607" spans="129:129" x14ac:dyDescent="0.2">
      <c r="DY29607" s="185" t="s">
        <v>215</v>
      </c>
    </row>
    <row r="29608" spans="129:129" x14ac:dyDescent="0.2">
      <c r="DY29608" s="185" t="s">
        <v>215</v>
      </c>
    </row>
    <row r="29609" spans="129:129" x14ac:dyDescent="0.2">
      <c r="DY29609" s="185" t="s">
        <v>215</v>
      </c>
    </row>
    <row r="29610" spans="129:129" x14ac:dyDescent="0.2">
      <c r="DY29610" s="185" t="s">
        <v>215</v>
      </c>
    </row>
    <row r="29611" spans="129:129" x14ac:dyDescent="0.2">
      <c r="DY29611" s="185" t="s">
        <v>215</v>
      </c>
    </row>
    <row r="29612" spans="129:129" x14ac:dyDescent="0.2">
      <c r="DY29612" s="185" t="s">
        <v>215</v>
      </c>
    </row>
    <row r="29613" spans="129:129" x14ac:dyDescent="0.2">
      <c r="DY29613" s="185" t="s">
        <v>215</v>
      </c>
    </row>
    <row r="29614" spans="129:129" x14ac:dyDescent="0.2">
      <c r="DY29614" s="185" t="s">
        <v>215</v>
      </c>
    </row>
    <row r="29615" spans="129:129" x14ac:dyDescent="0.2">
      <c r="DY29615" s="185" t="s">
        <v>215</v>
      </c>
    </row>
    <row r="29616" spans="129:129" x14ac:dyDescent="0.2">
      <c r="DY29616" s="185" t="s">
        <v>215</v>
      </c>
    </row>
    <row r="29617" spans="129:129" x14ac:dyDescent="0.2">
      <c r="DY29617" s="185" t="s">
        <v>215</v>
      </c>
    </row>
    <row r="29618" spans="129:129" x14ac:dyDescent="0.2">
      <c r="DY29618" s="185" t="s">
        <v>215</v>
      </c>
    </row>
    <row r="29619" spans="129:129" x14ac:dyDescent="0.2">
      <c r="DY29619" s="185" t="s">
        <v>215</v>
      </c>
    </row>
    <row r="29620" spans="129:129" x14ac:dyDescent="0.2">
      <c r="DY29620" s="185" t="s">
        <v>215</v>
      </c>
    </row>
    <row r="29621" spans="129:129" x14ac:dyDescent="0.2">
      <c r="DY29621" s="185" t="s">
        <v>215</v>
      </c>
    </row>
    <row r="29622" spans="129:129" x14ac:dyDescent="0.2">
      <c r="DY29622" s="185" t="s">
        <v>215</v>
      </c>
    </row>
    <row r="29623" spans="129:129" x14ac:dyDescent="0.2">
      <c r="DY29623" s="185" t="s">
        <v>215</v>
      </c>
    </row>
    <row r="29624" spans="129:129" x14ac:dyDescent="0.2">
      <c r="DY29624" s="185" t="s">
        <v>215</v>
      </c>
    </row>
    <row r="29625" spans="129:129" x14ac:dyDescent="0.2">
      <c r="DY29625" s="185" t="s">
        <v>215</v>
      </c>
    </row>
    <row r="29626" spans="129:129" x14ac:dyDescent="0.2">
      <c r="DY29626" s="185" t="s">
        <v>215</v>
      </c>
    </row>
    <row r="29627" spans="129:129" x14ac:dyDescent="0.2">
      <c r="DY29627" s="185" t="s">
        <v>215</v>
      </c>
    </row>
    <row r="29628" spans="129:129" x14ac:dyDescent="0.2">
      <c r="DY29628" s="185" t="s">
        <v>215</v>
      </c>
    </row>
    <row r="29629" spans="129:129" x14ac:dyDescent="0.2">
      <c r="DY29629" s="185" t="s">
        <v>215</v>
      </c>
    </row>
    <row r="29630" spans="129:129" x14ac:dyDescent="0.2">
      <c r="DY29630" s="185" t="s">
        <v>215</v>
      </c>
    </row>
    <row r="29631" spans="129:129" x14ac:dyDescent="0.2">
      <c r="DY29631" s="185" t="s">
        <v>215</v>
      </c>
    </row>
    <row r="29632" spans="129:129" x14ac:dyDescent="0.2">
      <c r="DY29632" s="185" t="s">
        <v>215</v>
      </c>
    </row>
    <row r="29633" spans="129:129" x14ac:dyDescent="0.2">
      <c r="DY29633" s="185" t="s">
        <v>215</v>
      </c>
    </row>
    <row r="29634" spans="129:129" x14ac:dyDescent="0.2">
      <c r="DY29634" s="185" t="s">
        <v>215</v>
      </c>
    </row>
    <row r="29635" spans="129:129" x14ac:dyDescent="0.2">
      <c r="DY29635" s="185" t="s">
        <v>215</v>
      </c>
    </row>
    <row r="29636" spans="129:129" x14ac:dyDescent="0.2">
      <c r="DY29636" s="185" t="s">
        <v>215</v>
      </c>
    </row>
    <row r="29637" spans="129:129" x14ac:dyDescent="0.2">
      <c r="DY29637" s="185" t="s">
        <v>215</v>
      </c>
    </row>
    <row r="29638" spans="129:129" x14ac:dyDescent="0.2">
      <c r="DY29638" s="185" t="s">
        <v>215</v>
      </c>
    </row>
    <row r="29639" spans="129:129" x14ac:dyDescent="0.2">
      <c r="DY29639" s="185" t="s">
        <v>215</v>
      </c>
    </row>
    <row r="29640" spans="129:129" x14ac:dyDescent="0.2">
      <c r="DY29640" s="185" t="s">
        <v>215</v>
      </c>
    </row>
    <row r="29641" spans="129:129" x14ac:dyDescent="0.2">
      <c r="DY29641" s="185" t="s">
        <v>215</v>
      </c>
    </row>
    <row r="29642" spans="129:129" x14ac:dyDescent="0.2">
      <c r="DY29642" s="185" t="s">
        <v>215</v>
      </c>
    </row>
    <row r="29643" spans="129:129" x14ac:dyDescent="0.2">
      <c r="DY29643" s="185" t="s">
        <v>215</v>
      </c>
    </row>
    <row r="29644" spans="129:129" x14ac:dyDescent="0.2">
      <c r="DY29644" s="185" t="s">
        <v>215</v>
      </c>
    </row>
    <row r="29645" spans="129:129" x14ac:dyDescent="0.2">
      <c r="DY29645" s="185" t="s">
        <v>215</v>
      </c>
    </row>
    <row r="29646" spans="129:129" x14ac:dyDescent="0.2">
      <c r="DY29646" s="185" t="s">
        <v>215</v>
      </c>
    </row>
    <row r="29647" spans="129:129" x14ac:dyDescent="0.2">
      <c r="DY29647" s="185" t="s">
        <v>215</v>
      </c>
    </row>
    <row r="29648" spans="129:129" x14ac:dyDescent="0.2">
      <c r="DY29648" s="185" t="s">
        <v>215</v>
      </c>
    </row>
    <row r="29649" spans="129:129" x14ac:dyDescent="0.2">
      <c r="DY29649" s="185" t="s">
        <v>215</v>
      </c>
    </row>
    <row r="29650" spans="129:129" x14ac:dyDescent="0.2">
      <c r="DY29650" s="185" t="s">
        <v>215</v>
      </c>
    </row>
    <row r="29651" spans="129:129" x14ac:dyDescent="0.2">
      <c r="DY29651" s="185" t="s">
        <v>215</v>
      </c>
    </row>
    <row r="29652" spans="129:129" x14ac:dyDescent="0.2">
      <c r="DY29652" s="185" t="s">
        <v>215</v>
      </c>
    </row>
    <row r="29653" spans="129:129" x14ac:dyDescent="0.2">
      <c r="DY29653" s="185" t="s">
        <v>215</v>
      </c>
    </row>
    <row r="29654" spans="129:129" x14ac:dyDescent="0.2">
      <c r="DY29654" s="185" t="s">
        <v>215</v>
      </c>
    </row>
    <row r="29655" spans="129:129" x14ac:dyDescent="0.2">
      <c r="DY29655" s="185" t="s">
        <v>215</v>
      </c>
    </row>
    <row r="29656" spans="129:129" x14ac:dyDescent="0.2">
      <c r="DY29656" s="185" t="s">
        <v>215</v>
      </c>
    </row>
    <row r="29657" spans="129:129" x14ac:dyDescent="0.2">
      <c r="DY29657" s="185" t="s">
        <v>215</v>
      </c>
    </row>
    <row r="29658" spans="129:129" x14ac:dyDescent="0.2">
      <c r="DY29658" s="185" t="s">
        <v>215</v>
      </c>
    </row>
    <row r="29659" spans="129:129" x14ac:dyDescent="0.2">
      <c r="DY29659" s="185" t="s">
        <v>215</v>
      </c>
    </row>
    <row r="29660" spans="129:129" x14ac:dyDescent="0.2">
      <c r="DY29660" s="185" t="s">
        <v>215</v>
      </c>
    </row>
    <row r="29661" spans="129:129" x14ac:dyDescent="0.2">
      <c r="DY29661" s="185" t="s">
        <v>215</v>
      </c>
    </row>
    <row r="29662" spans="129:129" x14ac:dyDescent="0.2">
      <c r="DY29662" s="185" t="s">
        <v>215</v>
      </c>
    </row>
    <row r="29663" spans="129:129" x14ac:dyDescent="0.2">
      <c r="DY29663" s="185" t="s">
        <v>215</v>
      </c>
    </row>
    <row r="29664" spans="129:129" x14ac:dyDescent="0.2">
      <c r="DY29664" s="185" t="s">
        <v>215</v>
      </c>
    </row>
    <row r="29665" spans="129:129" x14ac:dyDescent="0.2">
      <c r="DY29665" s="185" t="s">
        <v>215</v>
      </c>
    </row>
    <row r="29666" spans="129:129" x14ac:dyDescent="0.2">
      <c r="DY29666" s="185" t="s">
        <v>215</v>
      </c>
    </row>
    <row r="29667" spans="129:129" x14ac:dyDescent="0.2">
      <c r="DY29667" s="185" t="s">
        <v>215</v>
      </c>
    </row>
    <row r="29668" spans="129:129" x14ac:dyDescent="0.2">
      <c r="DY29668" s="185" t="s">
        <v>215</v>
      </c>
    </row>
    <row r="29669" spans="129:129" x14ac:dyDescent="0.2">
      <c r="DY29669" s="185" t="s">
        <v>215</v>
      </c>
    </row>
    <row r="29670" spans="129:129" x14ac:dyDescent="0.2">
      <c r="DY29670" s="185" t="s">
        <v>215</v>
      </c>
    </row>
    <row r="29671" spans="129:129" x14ac:dyDescent="0.2">
      <c r="DY29671" s="185" t="s">
        <v>215</v>
      </c>
    </row>
    <row r="29672" spans="129:129" x14ac:dyDescent="0.2">
      <c r="DY29672" s="185" t="s">
        <v>215</v>
      </c>
    </row>
    <row r="29673" spans="129:129" x14ac:dyDescent="0.2">
      <c r="DY29673" s="185" t="s">
        <v>215</v>
      </c>
    </row>
    <row r="29674" spans="129:129" x14ac:dyDescent="0.2">
      <c r="DY29674" s="185" t="s">
        <v>215</v>
      </c>
    </row>
    <row r="29675" spans="129:129" x14ac:dyDescent="0.2">
      <c r="DY29675" s="185" t="s">
        <v>215</v>
      </c>
    </row>
    <row r="29676" spans="129:129" x14ac:dyDescent="0.2">
      <c r="DY29676" s="185" t="s">
        <v>215</v>
      </c>
    </row>
    <row r="29677" spans="129:129" x14ac:dyDescent="0.2">
      <c r="DY29677" s="185" t="s">
        <v>215</v>
      </c>
    </row>
    <row r="29678" spans="129:129" x14ac:dyDescent="0.2">
      <c r="DY29678" s="185" t="s">
        <v>215</v>
      </c>
    </row>
    <row r="29679" spans="129:129" x14ac:dyDescent="0.2">
      <c r="DY29679" s="185" t="s">
        <v>215</v>
      </c>
    </row>
    <row r="29680" spans="129:129" x14ac:dyDescent="0.2">
      <c r="DY29680" s="185" t="s">
        <v>215</v>
      </c>
    </row>
    <row r="29681" spans="129:129" x14ac:dyDescent="0.2">
      <c r="DY29681" s="185" t="s">
        <v>215</v>
      </c>
    </row>
    <row r="29682" spans="129:129" x14ac:dyDescent="0.2">
      <c r="DY29682" s="185" t="s">
        <v>215</v>
      </c>
    </row>
    <row r="29683" spans="129:129" x14ac:dyDescent="0.2">
      <c r="DY29683" s="185" t="s">
        <v>215</v>
      </c>
    </row>
    <row r="29684" spans="129:129" x14ac:dyDescent="0.2">
      <c r="DY29684" s="185" t="s">
        <v>215</v>
      </c>
    </row>
    <row r="29685" spans="129:129" x14ac:dyDescent="0.2">
      <c r="DY29685" s="185" t="s">
        <v>215</v>
      </c>
    </row>
    <row r="29686" spans="129:129" x14ac:dyDescent="0.2">
      <c r="DY29686" s="185" t="s">
        <v>215</v>
      </c>
    </row>
    <row r="29687" spans="129:129" x14ac:dyDescent="0.2">
      <c r="DY29687" s="185" t="s">
        <v>215</v>
      </c>
    </row>
    <row r="29688" spans="129:129" x14ac:dyDescent="0.2">
      <c r="DY29688" s="185" t="s">
        <v>215</v>
      </c>
    </row>
    <row r="29689" spans="129:129" x14ac:dyDescent="0.2">
      <c r="DY29689" s="185" t="s">
        <v>215</v>
      </c>
    </row>
    <row r="29690" spans="129:129" x14ac:dyDescent="0.2">
      <c r="DY29690" s="185" t="s">
        <v>215</v>
      </c>
    </row>
    <row r="29691" spans="129:129" x14ac:dyDescent="0.2">
      <c r="DY29691" s="185" t="s">
        <v>215</v>
      </c>
    </row>
    <row r="29692" spans="129:129" x14ac:dyDescent="0.2">
      <c r="DY29692" s="185" t="s">
        <v>215</v>
      </c>
    </row>
    <row r="29693" spans="129:129" x14ac:dyDescent="0.2">
      <c r="DY29693" s="185" t="s">
        <v>215</v>
      </c>
    </row>
    <row r="29694" spans="129:129" x14ac:dyDescent="0.2">
      <c r="DY29694" s="185" t="s">
        <v>215</v>
      </c>
    </row>
    <row r="29695" spans="129:129" x14ac:dyDescent="0.2">
      <c r="DY29695" s="185" t="s">
        <v>215</v>
      </c>
    </row>
    <row r="29696" spans="129:129" x14ac:dyDescent="0.2">
      <c r="DY29696" s="185" t="s">
        <v>215</v>
      </c>
    </row>
    <row r="29697" spans="129:129" x14ac:dyDescent="0.2">
      <c r="DY29697" s="185" t="s">
        <v>215</v>
      </c>
    </row>
    <row r="29698" spans="129:129" x14ac:dyDescent="0.2">
      <c r="DY29698" s="185" t="s">
        <v>215</v>
      </c>
    </row>
    <row r="29699" spans="129:129" x14ac:dyDescent="0.2">
      <c r="DY29699" s="185" t="s">
        <v>215</v>
      </c>
    </row>
    <row r="29700" spans="129:129" x14ac:dyDescent="0.2">
      <c r="DY29700" s="185" t="s">
        <v>215</v>
      </c>
    </row>
    <row r="29701" spans="129:129" x14ac:dyDescent="0.2">
      <c r="DY29701" s="185" t="s">
        <v>215</v>
      </c>
    </row>
    <row r="29702" spans="129:129" x14ac:dyDescent="0.2">
      <c r="DY29702" s="185" t="s">
        <v>215</v>
      </c>
    </row>
    <row r="29703" spans="129:129" x14ac:dyDescent="0.2">
      <c r="DY29703" s="185" t="s">
        <v>215</v>
      </c>
    </row>
    <row r="29704" spans="129:129" x14ac:dyDescent="0.2">
      <c r="DY29704" s="185" t="s">
        <v>215</v>
      </c>
    </row>
    <row r="29705" spans="129:129" x14ac:dyDescent="0.2">
      <c r="DY29705" s="185" t="s">
        <v>215</v>
      </c>
    </row>
    <row r="29706" spans="129:129" x14ac:dyDescent="0.2">
      <c r="DY29706" s="185" t="s">
        <v>215</v>
      </c>
    </row>
    <row r="29707" spans="129:129" x14ac:dyDescent="0.2">
      <c r="DY29707" s="185" t="s">
        <v>215</v>
      </c>
    </row>
    <row r="29708" spans="129:129" x14ac:dyDescent="0.2">
      <c r="DY29708" s="185" t="s">
        <v>215</v>
      </c>
    </row>
    <row r="29709" spans="129:129" x14ac:dyDescent="0.2">
      <c r="DY29709" s="185" t="s">
        <v>215</v>
      </c>
    </row>
    <row r="29710" spans="129:129" x14ac:dyDescent="0.2">
      <c r="DY29710" s="185" t="s">
        <v>215</v>
      </c>
    </row>
    <row r="29711" spans="129:129" x14ac:dyDescent="0.2">
      <c r="DY29711" s="185" t="s">
        <v>215</v>
      </c>
    </row>
    <row r="29712" spans="129:129" x14ac:dyDescent="0.2">
      <c r="DY29712" s="185" t="s">
        <v>215</v>
      </c>
    </row>
    <row r="29713" spans="129:129" x14ac:dyDescent="0.2">
      <c r="DY29713" s="185" t="s">
        <v>215</v>
      </c>
    </row>
    <row r="29714" spans="129:129" x14ac:dyDescent="0.2">
      <c r="DY29714" s="185" t="s">
        <v>215</v>
      </c>
    </row>
    <row r="29715" spans="129:129" x14ac:dyDescent="0.2">
      <c r="DY29715" s="185" t="s">
        <v>215</v>
      </c>
    </row>
    <row r="29716" spans="129:129" x14ac:dyDescent="0.2">
      <c r="DY29716" s="185" t="s">
        <v>215</v>
      </c>
    </row>
    <row r="29717" spans="129:129" x14ac:dyDescent="0.2">
      <c r="DY29717" s="185" t="s">
        <v>215</v>
      </c>
    </row>
    <row r="29718" spans="129:129" x14ac:dyDescent="0.2">
      <c r="DY29718" s="185" t="s">
        <v>215</v>
      </c>
    </row>
    <row r="29719" spans="129:129" x14ac:dyDescent="0.2">
      <c r="DY29719" s="185" t="s">
        <v>215</v>
      </c>
    </row>
    <row r="29720" spans="129:129" x14ac:dyDescent="0.2">
      <c r="DY29720" s="185" t="s">
        <v>215</v>
      </c>
    </row>
    <row r="29721" spans="129:129" x14ac:dyDescent="0.2">
      <c r="DY29721" s="185" t="s">
        <v>215</v>
      </c>
    </row>
    <row r="29722" spans="129:129" x14ac:dyDescent="0.2">
      <c r="DY29722" s="185" t="s">
        <v>215</v>
      </c>
    </row>
    <row r="29723" spans="129:129" x14ac:dyDescent="0.2">
      <c r="DY29723" s="185" t="s">
        <v>215</v>
      </c>
    </row>
    <row r="29724" spans="129:129" x14ac:dyDescent="0.2">
      <c r="DY29724" s="185" t="s">
        <v>215</v>
      </c>
    </row>
    <row r="29725" spans="129:129" x14ac:dyDescent="0.2">
      <c r="DY29725" s="185" t="s">
        <v>215</v>
      </c>
    </row>
    <row r="29726" spans="129:129" x14ac:dyDescent="0.2">
      <c r="DY29726" s="185" t="s">
        <v>215</v>
      </c>
    </row>
    <row r="29727" spans="129:129" x14ac:dyDescent="0.2">
      <c r="DY29727" s="185" t="s">
        <v>215</v>
      </c>
    </row>
    <row r="29728" spans="129:129" x14ac:dyDescent="0.2">
      <c r="DY29728" s="185" t="s">
        <v>215</v>
      </c>
    </row>
    <row r="29729" spans="129:129" x14ac:dyDescent="0.2">
      <c r="DY29729" s="185" t="s">
        <v>215</v>
      </c>
    </row>
    <row r="29730" spans="129:129" x14ac:dyDescent="0.2">
      <c r="DY29730" s="185" t="s">
        <v>215</v>
      </c>
    </row>
    <row r="29731" spans="129:129" x14ac:dyDescent="0.2">
      <c r="DY29731" s="185" t="s">
        <v>215</v>
      </c>
    </row>
    <row r="29732" spans="129:129" x14ac:dyDescent="0.2">
      <c r="DY29732" s="185" t="s">
        <v>215</v>
      </c>
    </row>
    <row r="29733" spans="129:129" x14ac:dyDescent="0.2">
      <c r="DY29733" s="185" t="s">
        <v>215</v>
      </c>
    </row>
    <row r="29734" spans="129:129" x14ac:dyDescent="0.2">
      <c r="DY29734" s="185" t="s">
        <v>215</v>
      </c>
    </row>
    <row r="29735" spans="129:129" x14ac:dyDescent="0.2">
      <c r="DY29735" s="185" t="s">
        <v>215</v>
      </c>
    </row>
    <row r="29736" spans="129:129" x14ac:dyDescent="0.2">
      <c r="DY29736" s="185" t="s">
        <v>215</v>
      </c>
    </row>
    <row r="29737" spans="129:129" x14ac:dyDescent="0.2">
      <c r="DY29737" s="185" t="s">
        <v>215</v>
      </c>
    </row>
    <row r="29738" spans="129:129" x14ac:dyDescent="0.2">
      <c r="DY29738" s="185" t="s">
        <v>215</v>
      </c>
    </row>
    <row r="29739" spans="129:129" x14ac:dyDescent="0.2">
      <c r="DY29739" s="185" t="s">
        <v>215</v>
      </c>
    </row>
    <row r="29740" spans="129:129" x14ac:dyDescent="0.2">
      <c r="DY29740" s="185" t="s">
        <v>215</v>
      </c>
    </row>
    <row r="29741" spans="129:129" x14ac:dyDescent="0.2">
      <c r="DY29741" s="185" t="s">
        <v>215</v>
      </c>
    </row>
    <row r="29742" spans="129:129" x14ac:dyDescent="0.2">
      <c r="DY29742" s="185" t="s">
        <v>215</v>
      </c>
    </row>
    <row r="29743" spans="129:129" x14ac:dyDescent="0.2">
      <c r="DY29743" s="185" t="s">
        <v>215</v>
      </c>
    </row>
    <row r="29744" spans="129:129" x14ac:dyDescent="0.2">
      <c r="DY29744" s="185" t="s">
        <v>215</v>
      </c>
    </row>
    <row r="29745" spans="129:129" x14ac:dyDescent="0.2">
      <c r="DY29745" s="185" t="s">
        <v>215</v>
      </c>
    </row>
    <row r="29746" spans="129:129" x14ac:dyDescent="0.2">
      <c r="DY29746" s="185" t="s">
        <v>215</v>
      </c>
    </row>
    <row r="29747" spans="129:129" x14ac:dyDescent="0.2">
      <c r="DY29747" s="185" t="s">
        <v>215</v>
      </c>
    </row>
    <row r="29748" spans="129:129" x14ac:dyDescent="0.2">
      <c r="DY29748" s="185" t="s">
        <v>215</v>
      </c>
    </row>
    <row r="29749" spans="129:129" x14ac:dyDescent="0.2">
      <c r="DY29749" s="185" t="s">
        <v>215</v>
      </c>
    </row>
    <row r="29750" spans="129:129" x14ac:dyDescent="0.2">
      <c r="DY29750" s="185" t="s">
        <v>215</v>
      </c>
    </row>
    <row r="29751" spans="129:129" x14ac:dyDescent="0.2">
      <c r="DY29751" s="185" t="s">
        <v>215</v>
      </c>
    </row>
    <row r="29752" spans="129:129" x14ac:dyDescent="0.2">
      <c r="DY29752" s="185" t="s">
        <v>215</v>
      </c>
    </row>
    <row r="29753" spans="129:129" x14ac:dyDescent="0.2">
      <c r="DY29753" s="185" t="s">
        <v>215</v>
      </c>
    </row>
    <row r="29754" spans="129:129" x14ac:dyDescent="0.2">
      <c r="DY29754" s="185" t="s">
        <v>215</v>
      </c>
    </row>
    <row r="29755" spans="129:129" x14ac:dyDescent="0.2">
      <c r="DY29755" s="185" t="s">
        <v>215</v>
      </c>
    </row>
    <row r="29756" spans="129:129" x14ac:dyDescent="0.2">
      <c r="DY29756" s="185" t="s">
        <v>215</v>
      </c>
    </row>
    <row r="29757" spans="129:129" x14ac:dyDescent="0.2">
      <c r="DY29757" s="185" t="s">
        <v>215</v>
      </c>
    </row>
    <row r="29758" spans="129:129" x14ac:dyDescent="0.2">
      <c r="DY29758" s="185" t="s">
        <v>215</v>
      </c>
    </row>
    <row r="29759" spans="129:129" x14ac:dyDescent="0.2">
      <c r="DY29759" s="185" t="s">
        <v>215</v>
      </c>
    </row>
    <row r="29760" spans="129:129" x14ac:dyDescent="0.2">
      <c r="DY29760" s="185" t="s">
        <v>215</v>
      </c>
    </row>
    <row r="29761" spans="129:129" x14ac:dyDescent="0.2">
      <c r="DY29761" s="185" t="s">
        <v>215</v>
      </c>
    </row>
    <row r="29762" spans="129:129" x14ac:dyDescent="0.2">
      <c r="DY29762" s="185" t="s">
        <v>215</v>
      </c>
    </row>
    <row r="29763" spans="129:129" x14ac:dyDescent="0.2">
      <c r="DY29763" s="185" t="s">
        <v>215</v>
      </c>
    </row>
    <row r="29764" spans="129:129" x14ac:dyDescent="0.2">
      <c r="DY29764" s="185" t="s">
        <v>215</v>
      </c>
    </row>
    <row r="29765" spans="129:129" x14ac:dyDescent="0.2">
      <c r="DY29765" s="185" t="s">
        <v>215</v>
      </c>
    </row>
    <row r="29766" spans="129:129" x14ac:dyDescent="0.2">
      <c r="DY29766" s="185" t="s">
        <v>215</v>
      </c>
    </row>
    <row r="29767" spans="129:129" x14ac:dyDescent="0.2">
      <c r="DY29767" s="185" t="s">
        <v>215</v>
      </c>
    </row>
    <row r="29768" spans="129:129" x14ac:dyDescent="0.2">
      <c r="DY29768" s="185" t="s">
        <v>215</v>
      </c>
    </row>
    <row r="29769" spans="129:129" x14ac:dyDescent="0.2">
      <c r="DY29769" s="185" t="s">
        <v>215</v>
      </c>
    </row>
    <row r="29770" spans="129:129" x14ac:dyDescent="0.2">
      <c r="DY29770" s="185" t="s">
        <v>215</v>
      </c>
    </row>
    <row r="29771" spans="129:129" x14ac:dyDescent="0.2">
      <c r="DY29771" s="185" t="s">
        <v>215</v>
      </c>
    </row>
    <row r="29772" spans="129:129" x14ac:dyDescent="0.2">
      <c r="DY29772" s="185" t="s">
        <v>215</v>
      </c>
    </row>
    <row r="29773" spans="129:129" x14ac:dyDescent="0.2">
      <c r="DY29773" s="185" t="s">
        <v>215</v>
      </c>
    </row>
    <row r="29774" spans="129:129" x14ac:dyDescent="0.2">
      <c r="DY29774" s="185" t="s">
        <v>215</v>
      </c>
    </row>
    <row r="29775" spans="129:129" x14ac:dyDescent="0.2">
      <c r="DY29775" s="185" t="s">
        <v>215</v>
      </c>
    </row>
    <row r="29776" spans="129:129" x14ac:dyDescent="0.2">
      <c r="DY29776" s="185" t="s">
        <v>215</v>
      </c>
    </row>
    <row r="29777" spans="129:129" x14ac:dyDescent="0.2">
      <c r="DY29777" s="185" t="s">
        <v>215</v>
      </c>
    </row>
    <row r="29778" spans="129:129" x14ac:dyDescent="0.2">
      <c r="DY29778" s="185" t="s">
        <v>215</v>
      </c>
    </row>
    <row r="29779" spans="129:129" x14ac:dyDescent="0.2">
      <c r="DY29779" s="185" t="s">
        <v>215</v>
      </c>
    </row>
    <row r="29780" spans="129:129" x14ac:dyDescent="0.2">
      <c r="DY29780" s="185" t="s">
        <v>215</v>
      </c>
    </row>
    <row r="29781" spans="129:129" x14ac:dyDescent="0.2">
      <c r="DY29781" s="185" t="s">
        <v>215</v>
      </c>
    </row>
    <row r="29782" spans="129:129" x14ac:dyDescent="0.2">
      <c r="DY29782" s="185" t="s">
        <v>215</v>
      </c>
    </row>
    <row r="29783" spans="129:129" x14ac:dyDescent="0.2">
      <c r="DY29783" s="185" t="s">
        <v>215</v>
      </c>
    </row>
    <row r="29784" spans="129:129" x14ac:dyDescent="0.2">
      <c r="DY29784" s="185" t="s">
        <v>215</v>
      </c>
    </row>
    <row r="29785" spans="129:129" x14ac:dyDescent="0.2">
      <c r="DY29785" s="185" t="s">
        <v>215</v>
      </c>
    </row>
    <row r="29786" spans="129:129" x14ac:dyDescent="0.2">
      <c r="DY29786" s="185" t="s">
        <v>215</v>
      </c>
    </row>
    <row r="29787" spans="129:129" x14ac:dyDescent="0.2">
      <c r="DY29787" s="185" t="s">
        <v>215</v>
      </c>
    </row>
    <row r="29788" spans="129:129" x14ac:dyDescent="0.2">
      <c r="DY29788" s="185" t="s">
        <v>215</v>
      </c>
    </row>
    <row r="29789" spans="129:129" x14ac:dyDescent="0.2">
      <c r="DY29789" s="185" t="s">
        <v>215</v>
      </c>
    </row>
    <row r="29790" spans="129:129" x14ac:dyDescent="0.2">
      <c r="DY29790" s="185" t="s">
        <v>215</v>
      </c>
    </row>
    <row r="29791" spans="129:129" x14ac:dyDescent="0.2">
      <c r="DY29791" s="185" t="s">
        <v>215</v>
      </c>
    </row>
    <row r="29792" spans="129:129" x14ac:dyDescent="0.2">
      <c r="DY29792" s="185" t="s">
        <v>215</v>
      </c>
    </row>
    <row r="29793" spans="129:129" x14ac:dyDescent="0.2">
      <c r="DY29793" s="185" t="s">
        <v>215</v>
      </c>
    </row>
    <row r="29794" spans="129:129" x14ac:dyDescent="0.2">
      <c r="DY29794" s="185" t="s">
        <v>215</v>
      </c>
    </row>
    <row r="29795" spans="129:129" x14ac:dyDescent="0.2">
      <c r="DY29795" s="185" t="s">
        <v>215</v>
      </c>
    </row>
    <row r="29796" spans="129:129" x14ac:dyDescent="0.2">
      <c r="DY29796" s="185" t="s">
        <v>215</v>
      </c>
    </row>
    <row r="29797" spans="129:129" x14ac:dyDescent="0.2">
      <c r="DY29797" s="185" t="s">
        <v>215</v>
      </c>
    </row>
    <row r="29798" spans="129:129" x14ac:dyDescent="0.2">
      <c r="DY29798" s="185" t="s">
        <v>215</v>
      </c>
    </row>
    <row r="29799" spans="129:129" x14ac:dyDescent="0.2">
      <c r="DY29799" s="185" t="s">
        <v>215</v>
      </c>
    </row>
    <row r="29800" spans="129:129" x14ac:dyDescent="0.2">
      <c r="DY29800" s="185" t="s">
        <v>215</v>
      </c>
    </row>
    <row r="29801" spans="129:129" x14ac:dyDescent="0.2">
      <c r="DY29801" s="185" t="s">
        <v>215</v>
      </c>
    </row>
    <row r="29802" spans="129:129" x14ac:dyDescent="0.2">
      <c r="DY29802" s="185" t="s">
        <v>215</v>
      </c>
    </row>
    <row r="29803" spans="129:129" x14ac:dyDescent="0.2">
      <c r="DY29803" s="185" t="s">
        <v>215</v>
      </c>
    </row>
    <row r="29804" spans="129:129" x14ac:dyDescent="0.2">
      <c r="DY29804" s="185" t="s">
        <v>215</v>
      </c>
    </row>
    <row r="29805" spans="129:129" x14ac:dyDescent="0.2">
      <c r="DY29805" s="185" t="s">
        <v>215</v>
      </c>
    </row>
    <row r="29806" spans="129:129" x14ac:dyDescent="0.2">
      <c r="DY29806" s="185" t="s">
        <v>215</v>
      </c>
    </row>
    <row r="29807" spans="129:129" x14ac:dyDescent="0.2">
      <c r="DY29807" s="185" t="s">
        <v>215</v>
      </c>
    </row>
    <row r="29808" spans="129:129" x14ac:dyDescent="0.2">
      <c r="DY29808" s="185" t="s">
        <v>215</v>
      </c>
    </row>
    <row r="29809" spans="129:129" x14ac:dyDescent="0.2">
      <c r="DY29809" s="185" t="s">
        <v>215</v>
      </c>
    </row>
    <row r="29810" spans="129:129" x14ac:dyDescent="0.2">
      <c r="DY29810" s="185" t="s">
        <v>215</v>
      </c>
    </row>
    <row r="29811" spans="129:129" x14ac:dyDescent="0.2">
      <c r="DY29811" s="185" t="s">
        <v>215</v>
      </c>
    </row>
    <row r="29812" spans="129:129" x14ac:dyDescent="0.2">
      <c r="DY29812" s="185" t="s">
        <v>215</v>
      </c>
    </row>
    <row r="29813" spans="129:129" x14ac:dyDescent="0.2">
      <c r="DY29813" s="185" t="s">
        <v>215</v>
      </c>
    </row>
    <row r="29814" spans="129:129" x14ac:dyDescent="0.2">
      <c r="DY29814" s="185" t="s">
        <v>215</v>
      </c>
    </row>
    <row r="29815" spans="129:129" x14ac:dyDescent="0.2">
      <c r="DY29815" s="185" t="s">
        <v>215</v>
      </c>
    </row>
    <row r="29816" spans="129:129" x14ac:dyDescent="0.2">
      <c r="DY29816" s="185" t="s">
        <v>215</v>
      </c>
    </row>
    <row r="29817" spans="129:129" x14ac:dyDescent="0.2">
      <c r="DY29817" s="185" t="s">
        <v>215</v>
      </c>
    </row>
    <row r="29818" spans="129:129" x14ac:dyDescent="0.2">
      <c r="DY29818" s="185" t="s">
        <v>215</v>
      </c>
    </row>
    <row r="29819" spans="129:129" x14ac:dyDescent="0.2">
      <c r="DY29819" s="185" t="s">
        <v>215</v>
      </c>
    </row>
    <row r="29820" spans="129:129" x14ac:dyDescent="0.2">
      <c r="DY29820" s="185" t="s">
        <v>215</v>
      </c>
    </row>
    <row r="29821" spans="129:129" x14ac:dyDescent="0.2">
      <c r="DY29821" s="185" t="s">
        <v>215</v>
      </c>
    </row>
    <row r="29822" spans="129:129" x14ac:dyDescent="0.2">
      <c r="DY29822" s="185" t="s">
        <v>215</v>
      </c>
    </row>
    <row r="29823" spans="129:129" x14ac:dyDescent="0.2">
      <c r="DY29823" s="185" t="s">
        <v>215</v>
      </c>
    </row>
    <row r="29824" spans="129:129" x14ac:dyDescent="0.2">
      <c r="DY29824" s="185" t="s">
        <v>215</v>
      </c>
    </row>
    <row r="29825" spans="129:129" x14ac:dyDescent="0.2">
      <c r="DY29825" s="185" t="s">
        <v>215</v>
      </c>
    </row>
    <row r="29826" spans="129:129" x14ac:dyDescent="0.2">
      <c r="DY29826" s="185" t="s">
        <v>215</v>
      </c>
    </row>
    <row r="29827" spans="129:129" x14ac:dyDescent="0.2">
      <c r="DY29827" s="185" t="s">
        <v>215</v>
      </c>
    </row>
    <row r="29828" spans="129:129" x14ac:dyDescent="0.2">
      <c r="DY29828" s="185" t="s">
        <v>215</v>
      </c>
    </row>
    <row r="29829" spans="129:129" x14ac:dyDescent="0.2">
      <c r="DY29829" s="185" t="s">
        <v>215</v>
      </c>
    </row>
    <row r="29830" spans="129:129" x14ac:dyDescent="0.2">
      <c r="DY29830" s="185" t="s">
        <v>215</v>
      </c>
    </row>
    <row r="29831" spans="129:129" x14ac:dyDescent="0.2">
      <c r="DY29831" s="185" t="s">
        <v>215</v>
      </c>
    </row>
    <row r="29832" spans="129:129" x14ac:dyDescent="0.2">
      <c r="DY29832" s="185" t="s">
        <v>215</v>
      </c>
    </row>
    <row r="29833" spans="129:129" x14ac:dyDescent="0.2">
      <c r="DY29833" s="185" t="s">
        <v>215</v>
      </c>
    </row>
    <row r="29834" spans="129:129" x14ac:dyDescent="0.2">
      <c r="DY29834" s="185" t="s">
        <v>215</v>
      </c>
    </row>
    <row r="29835" spans="129:129" x14ac:dyDescent="0.2">
      <c r="DY29835" s="185" t="s">
        <v>215</v>
      </c>
    </row>
    <row r="29836" spans="129:129" x14ac:dyDescent="0.2">
      <c r="DY29836" s="185" t="s">
        <v>215</v>
      </c>
    </row>
    <row r="29837" spans="129:129" x14ac:dyDescent="0.2">
      <c r="DY29837" s="185" t="s">
        <v>215</v>
      </c>
    </row>
    <row r="29838" spans="129:129" x14ac:dyDescent="0.2">
      <c r="DY29838" s="185" t="s">
        <v>215</v>
      </c>
    </row>
    <row r="29839" spans="129:129" x14ac:dyDescent="0.2">
      <c r="DY29839" s="185" t="s">
        <v>215</v>
      </c>
    </row>
    <row r="29840" spans="129:129" x14ac:dyDescent="0.2">
      <c r="DY29840" s="185" t="s">
        <v>215</v>
      </c>
    </row>
    <row r="29841" spans="129:129" x14ac:dyDescent="0.2">
      <c r="DY29841" s="185" t="s">
        <v>215</v>
      </c>
    </row>
    <row r="29842" spans="129:129" x14ac:dyDescent="0.2">
      <c r="DY29842" s="185" t="s">
        <v>215</v>
      </c>
    </row>
    <row r="29843" spans="129:129" x14ac:dyDescent="0.2">
      <c r="DY29843" s="185" t="s">
        <v>215</v>
      </c>
    </row>
    <row r="29844" spans="129:129" x14ac:dyDescent="0.2">
      <c r="DY29844" s="185" t="s">
        <v>215</v>
      </c>
    </row>
    <row r="29845" spans="129:129" x14ac:dyDescent="0.2">
      <c r="DY29845" s="185" t="s">
        <v>215</v>
      </c>
    </row>
    <row r="29846" spans="129:129" x14ac:dyDescent="0.2">
      <c r="DY29846" s="185" t="s">
        <v>215</v>
      </c>
    </row>
    <row r="29847" spans="129:129" x14ac:dyDescent="0.2">
      <c r="DY29847" s="185" t="s">
        <v>215</v>
      </c>
    </row>
    <row r="29848" spans="129:129" x14ac:dyDescent="0.2">
      <c r="DY29848" s="185" t="s">
        <v>215</v>
      </c>
    </row>
    <row r="29849" spans="129:129" x14ac:dyDescent="0.2">
      <c r="DY29849" s="185" t="s">
        <v>215</v>
      </c>
    </row>
    <row r="29850" spans="129:129" x14ac:dyDescent="0.2">
      <c r="DY29850" s="185" t="s">
        <v>215</v>
      </c>
    </row>
    <row r="29851" spans="129:129" x14ac:dyDescent="0.2">
      <c r="DY29851" s="185" t="s">
        <v>215</v>
      </c>
    </row>
    <row r="29852" spans="129:129" x14ac:dyDescent="0.2">
      <c r="DY29852" s="185" t="s">
        <v>215</v>
      </c>
    </row>
    <row r="29853" spans="129:129" x14ac:dyDescent="0.2">
      <c r="DY29853" s="185" t="s">
        <v>215</v>
      </c>
    </row>
    <row r="29854" spans="129:129" x14ac:dyDescent="0.2">
      <c r="DY29854" s="185" t="s">
        <v>215</v>
      </c>
    </row>
    <row r="29855" spans="129:129" x14ac:dyDescent="0.2">
      <c r="DY29855" s="185" t="s">
        <v>215</v>
      </c>
    </row>
    <row r="29856" spans="129:129" x14ac:dyDescent="0.2">
      <c r="DY29856" s="185" t="s">
        <v>215</v>
      </c>
    </row>
    <row r="29857" spans="129:129" x14ac:dyDescent="0.2">
      <c r="DY29857" s="185" t="s">
        <v>215</v>
      </c>
    </row>
    <row r="29858" spans="129:129" x14ac:dyDescent="0.2">
      <c r="DY29858" s="185" t="s">
        <v>215</v>
      </c>
    </row>
    <row r="29859" spans="129:129" x14ac:dyDescent="0.2">
      <c r="DY29859" s="185" t="s">
        <v>215</v>
      </c>
    </row>
    <row r="29860" spans="129:129" x14ac:dyDescent="0.2">
      <c r="DY29860" s="185" t="s">
        <v>215</v>
      </c>
    </row>
    <row r="29861" spans="129:129" x14ac:dyDescent="0.2">
      <c r="DY29861" s="185" t="s">
        <v>215</v>
      </c>
    </row>
    <row r="29862" spans="129:129" x14ac:dyDescent="0.2">
      <c r="DY29862" s="185" t="s">
        <v>215</v>
      </c>
    </row>
    <row r="29863" spans="129:129" x14ac:dyDescent="0.2">
      <c r="DY29863" s="185" t="s">
        <v>215</v>
      </c>
    </row>
    <row r="29864" spans="129:129" x14ac:dyDescent="0.2">
      <c r="DY29864" s="185" t="s">
        <v>215</v>
      </c>
    </row>
    <row r="29865" spans="129:129" x14ac:dyDescent="0.2">
      <c r="DY29865" s="185" t="s">
        <v>215</v>
      </c>
    </row>
    <row r="29866" spans="129:129" x14ac:dyDescent="0.2">
      <c r="DY29866" s="185" t="s">
        <v>215</v>
      </c>
    </row>
    <row r="29867" spans="129:129" x14ac:dyDescent="0.2">
      <c r="DY29867" s="185" t="s">
        <v>215</v>
      </c>
    </row>
    <row r="29868" spans="129:129" x14ac:dyDescent="0.2">
      <c r="DY29868" s="185" t="s">
        <v>215</v>
      </c>
    </row>
    <row r="29869" spans="129:129" x14ac:dyDescent="0.2">
      <c r="DY29869" s="185" t="s">
        <v>215</v>
      </c>
    </row>
    <row r="29870" spans="129:129" x14ac:dyDescent="0.2">
      <c r="DY29870" s="185" t="s">
        <v>215</v>
      </c>
    </row>
    <row r="29871" spans="129:129" x14ac:dyDescent="0.2">
      <c r="DY29871" s="185" t="s">
        <v>215</v>
      </c>
    </row>
    <row r="29872" spans="129:129" x14ac:dyDescent="0.2">
      <c r="DY29872" s="185" t="s">
        <v>215</v>
      </c>
    </row>
    <row r="29873" spans="129:129" x14ac:dyDescent="0.2">
      <c r="DY29873" s="185" t="s">
        <v>215</v>
      </c>
    </row>
    <row r="29874" spans="129:129" x14ac:dyDescent="0.2">
      <c r="DY29874" s="185" t="s">
        <v>215</v>
      </c>
    </row>
    <row r="29875" spans="129:129" x14ac:dyDescent="0.2">
      <c r="DY29875" s="185" t="s">
        <v>215</v>
      </c>
    </row>
    <row r="29876" spans="129:129" x14ac:dyDescent="0.2">
      <c r="DY29876" s="185" t="s">
        <v>215</v>
      </c>
    </row>
    <row r="29877" spans="129:129" x14ac:dyDescent="0.2">
      <c r="DY29877" s="185" t="s">
        <v>215</v>
      </c>
    </row>
    <row r="29878" spans="129:129" x14ac:dyDescent="0.2">
      <c r="DY29878" s="185" t="s">
        <v>215</v>
      </c>
    </row>
    <row r="29879" spans="129:129" x14ac:dyDescent="0.2">
      <c r="DY29879" s="185" t="s">
        <v>215</v>
      </c>
    </row>
    <row r="29880" spans="129:129" x14ac:dyDescent="0.2">
      <c r="DY29880" s="185" t="s">
        <v>215</v>
      </c>
    </row>
    <row r="29881" spans="129:129" x14ac:dyDescent="0.2">
      <c r="DY29881" s="185" t="s">
        <v>215</v>
      </c>
    </row>
    <row r="29882" spans="129:129" x14ac:dyDescent="0.2">
      <c r="DY29882" s="185" t="s">
        <v>215</v>
      </c>
    </row>
    <row r="29883" spans="129:129" x14ac:dyDescent="0.2">
      <c r="DY29883" s="185" t="s">
        <v>215</v>
      </c>
    </row>
    <row r="29884" spans="129:129" x14ac:dyDescent="0.2">
      <c r="DY29884" s="185" t="s">
        <v>215</v>
      </c>
    </row>
    <row r="29885" spans="129:129" x14ac:dyDescent="0.2">
      <c r="DY29885" s="185" t="s">
        <v>215</v>
      </c>
    </row>
    <row r="29886" spans="129:129" x14ac:dyDescent="0.2">
      <c r="DY29886" s="185" t="s">
        <v>215</v>
      </c>
    </row>
    <row r="29887" spans="129:129" x14ac:dyDescent="0.2">
      <c r="DY29887" s="185" t="s">
        <v>215</v>
      </c>
    </row>
    <row r="29888" spans="129:129" x14ac:dyDescent="0.2">
      <c r="DY29888" s="185" t="s">
        <v>215</v>
      </c>
    </row>
    <row r="29889" spans="129:129" x14ac:dyDescent="0.2">
      <c r="DY29889" s="185" t="s">
        <v>215</v>
      </c>
    </row>
    <row r="29890" spans="129:129" x14ac:dyDescent="0.2">
      <c r="DY29890" s="185" t="s">
        <v>215</v>
      </c>
    </row>
    <row r="29891" spans="129:129" x14ac:dyDescent="0.2">
      <c r="DY29891" s="185" t="s">
        <v>215</v>
      </c>
    </row>
    <row r="29892" spans="129:129" x14ac:dyDescent="0.2">
      <c r="DY29892" s="185" t="s">
        <v>215</v>
      </c>
    </row>
    <row r="29893" spans="129:129" x14ac:dyDescent="0.2">
      <c r="DY29893" s="185" t="s">
        <v>215</v>
      </c>
    </row>
    <row r="29894" spans="129:129" x14ac:dyDescent="0.2">
      <c r="DY29894" s="185" t="s">
        <v>215</v>
      </c>
    </row>
    <row r="29895" spans="129:129" x14ac:dyDescent="0.2">
      <c r="DY29895" s="185" t="s">
        <v>215</v>
      </c>
    </row>
    <row r="29896" spans="129:129" x14ac:dyDescent="0.2">
      <c r="DY29896" s="185" t="s">
        <v>215</v>
      </c>
    </row>
    <row r="29897" spans="129:129" x14ac:dyDescent="0.2">
      <c r="DY29897" s="185" t="s">
        <v>215</v>
      </c>
    </row>
    <row r="29898" spans="129:129" x14ac:dyDescent="0.2">
      <c r="DY29898" s="185" t="s">
        <v>215</v>
      </c>
    </row>
    <row r="29899" spans="129:129" x14ac:dyDescent="0.2">
      <c r="DY29899" s="185" t="s">
        <v>215</v>
      </c>
    </row>
    <row r="29900" spans="129:129" x14ac:dyDescent="0.2">
      <c r="DY29900" s="185" t="s">
        <v>215</v>
      </c>
    </row>
    <row r="29901" spans="129:129" x14ac:dyDescent="0.2">
      <c r="DY29901" s="185" t="s">
        <v>215</v>
      </c>
    </row>
    <row r="29902" spans="129:129" x14ac:dyDescent="0.2">
      <c r="DY29902" s="185" t="s">
        <v>215</v>
      </c>
    </row>
    <row r="29903" spans="129:129" x14ac:dyDescent="0.2">
      <c r="DY29903" s="185" t="s">
        <v>215</v>
      </c>
    </row>
    <row r="29904" spans="129:129" x14ac:dyDescent="0.2">
      <c r="DY29904" s="185" t="s">
        <v>215</v>
      </c>
    </row>
    <row r="29905" spans="129:129" x14ac:dyDescent="0.2">
      <c r="DY29905" s="185" t="s">
        <v>215</v>
      </c>
    </row>
    <row r="29906" spans="129:129" x14ac:dyDescent="0.2">
      <c r="DY29906" s="185" t="s">
        <v>215</v>
      </c>
    </row>
    <row r="29907" spans="129:129" x14ac:dyDescent="0.2">
      <c r="DY29907" s="185" t="s">
        <v>215</v>
      </c>
    </row>
    <row r="29908" spans="129:129" x14ac:dyDescent="0.2">
      <c r="DY29908" s="185" t="s">
        <v>215</v>
      </c>
    </row>
    <row r="29909" spans="129:129" x14ac:dyDescent="0.2">
      <c r="DY29909" s="185" t="s">
        <v>215</v>
      </c>
    </row>
    <row r="29910" spans="129:129" x14ac:dyDescent="0.2">
      <c r="DY29910" s="185" t="s">
        <v>215</v>
      </c>
    </row>
    <row r="29911" spans="129:129" x14ac:dyDescent="0.2">
      <c r="DY29911" s="185" t="s">
        <v>215</v>
      </c>
    </row>
    <row r="29912" spans="129:129" x14ac:dyDescent="0.2">
      <c r="DY29912" s="185" t="s">
        <v>215</v>
      </c>
    </row>
    <row r="29913" spans="129:129" x14ac:dyDescent="0.2">
      <c r="DY29913" s="185" t="s">
        <v>215</v>
      </c>
    </row>
    <row r="29914" spans="129:129" x14ac:dyDescent="0.2">
      <c r="DY29914" s="185" t="s">
        <v>215</v>
      </c>
    </row>
    <row r="29915" spans="129:129" x14ac:dyDescent="0.2">
      <c r="DY29915" s="185" t="s">
        <v>215</v>
      </c>
    </row>
    <row r="29916" spans="129:129" x14ac:dyDescent="0.2">
      <c r="DY29916" s="185" t="s">
        <v>215</v>
      </c>
    </row>
    <row r="29917" spans="129:129" x14ac:dyDescent="0.2">
      <c r="DY29917" s="185" t="s">
        <v>215</v>
      </c>
    </row>
    <row r="29918" spans="129:129" x14ac:dyDescent="0.2">
      <c r="DY29918" s="185" t="s">
        <v>215</v>
      </c>
    </row>
    <row r="29919" spans="129:129" x14ac:dyDescent="0.2">
      <c r="DY29919" s="185" t="s">
        <v>215</v>
      </c>
    </row>
    <row r="29920" spans="129:129" x14ac:dyDescent="0.2">
      <c r="DY29920" s="185" t="s">
        <v>215</v>
      </c>
    </row>
    <row r="29921" spans="129:129" x14ac:dyDescent="0.2">
      <c r="DY29921" s="185" t="s">
        <v>215</v>
      </c>
    </row>
    <row r="29922" spans="129:129" x14ac:dyDescent="0.2">
      <c r="DY29922" s="185" t="s">
        <v>215</v>
      </c>
    </row>
    <row r="29923" spans="129:129" x14ac:dyDescent="0.2">
      <c r="DY29923" s="185" t="s">
        <v>215</v>
      </c>
    </row>
    <row r="29924" spans="129:129" x14ac:dyDescent="0.2">
      <c r="DY29924" s="185" t="s">
        <v>215</v>
      </c>
    </row>
    <row r="29925" spans="129:129" x14ac:dyDescent="0.2">
      <c r="DY29925" s="185" t="s">
        <v>215</v>
      </c>
    </row>
    <row r="29926" spans="129:129" x14ac:dyDescent="0.2">
      <c r="DY29926" s="185" t="s">
        <v>215</v>
      </c>
    </row>
    <row r="29927" spans="129:129" x14ac:dyDescent="0.2">
      <c r="DY29927" s="185" t="s">
        <v>215</v>
      </c>
    </row>
    <row r="29928" spans="129:129" x14ac:dyDescent="0.2">
      <c r="DY29928" s="185" t="s">
        <v>215</v>
      </c>
    </row>
    <row r="29929" spans="129:129" x14ac:dyDescent="0.2">
      <c r="DY29929" s="185" t="s">
        <v>215</v>
      </c>
    </row>
    <row r="29930" spans="129:129" x14ac:dyDescent="0.2">
      <c r="DY29930" s="185" t="s">
        <v>215</v>
      </c>
    </row>
    <row r="29931" spans="129:129" x14ac:dyDescent="0.2">
      <c r="DY29931" s="185" t="s">
        <v>215</v>
      </c>
    </row>
    <row r="29932" spans="129:129" x14ac:dyDescent="0.2">
      <c r="DY29932" s="185" t="s">
        <v>215</v>
      </c>
    </row>
    <row r="29933" spans="129:129" x14ac:dyDescent="0.2">
      <c r="DY29933" s="185" t="s">
        <v>215</v>
      </c>
    </row>
    <row r="29934" spans="129:129" x14ac:dyDescent="0.2">
      <c r="DY29934" s="185" t="s">
        <v>215</v>
      </c>
    </row>
    <row r="29935" spans="129:129" x14ac:dyDescent="0.2">
      <c r="DY29935" s="185" t="s">
        <v>215</v>
      </c>
    </row>
    <row r="29936" spans="129:129" x14ac:dyDescent="0.2">
      <c r="DY29936" s="185" t="s">
        <v>215</v>
      </c>
    </row>
    <row r="29937" spans="129:129" x14ac:dyDescent="0.2">
      <c r="DY29937" s="185" t="s">
        <v>215</v>
      </c>
    </row>
    <row r="29938" spans="129:129" x14ac:dyDescent="0.2">
      <c r="DY29938" s="185" t="s">
        <v>215</v>
      </c>
    </row>
    <row r="29939" spans="129:129" x14ac:dyDescent="0.2">
      <c r="DY29939" s="185" t="s">
        <v>215</v>
      </c>
    </row>
    <row r="29940" spans="129:129" x14ac:dyDescent="0.2">
      <c r="DY29940" s="185" t="s">
        <v>215</v>
      </c>
    </row>
    <row r="29941" spans="129:129" x14ac:dyDescent="0.2">
      <c r="DY29941" s="185" t="s">
        <v>215</v>
      </c>
    </row>
    <row r="29942" spans="129:129" x14ac:dyDescent="0.2">
      <c r="DY29942" s="185" t="s">
        <v>215</v>
      </c>
    </row>
    <row r="29943" spans="129:129" x14ac:dyDescent="0.2">
      <c r="DY29943" s="185" t="s">
        <v>215</v>
      </c>
    </row>
    <row r="29944" spans="129:129" x14ac:dyDescent="0.2">
      <c r="DY29944" s="185" t="s">
        <v>215</v>
      </c>
    </row>
    <row r="29945" spans="129:129" x14ac:dyDescent="0.2">
      <c r="DY29945" s="185" t="s">
        <v>215</v>
      </c>
    </row>
    <row r="29946" spans="129:129" x14ac:dyDescent="0.2">
      <c r="DY29946" s="185" t="s">
        <v>215</v>
      </c>
    </row>
    <row r="29947" spans="129:129" x14ac:dyDescent="0.2">
      <c r="DY29947" s="185" t="s">
        <v>215</v>
      </c>
    </row>
    <row r="29948" spans="129:129" x14ac:dyDescent="0.2">
      <c r="DY29948" s="185" t="s">
        <v>215</v>
      </c>
    </row>
    <row r="29949" spans="129:129" x14ac:dyDescent="0.2">
      <c r="DY29949" s="185" t="s">
        <v>215</v>
      </c>
    </row>
    <row r="29950" spans="129:129" x14ac:dyDescent="0.2">
      <c r="DY29950" s="185" t="s">
        <v>215</v>
      </c>
    </row>
    <row r="29951" spans="129:129" x14ac:dyDescent="0.2">
      <c r="DY29951" s="185" t="s">
        <v>215</v>
      </c>
    </row>
    <row r="29952" spans="129:129" x14ac:dyDescent="0.2">
      <c r="DY29952" s="185" t="s">
        <v>215</v>
      </c>
    </row>
    <row r="29953" spans="129:129" x14ac:dyDescent="0.2">
      <c r="DY29953" s="185" t="s">
        <v>215</v>
      </c>
    </row>
    <row r="29954" spans="129:129" x14ac:dyDescent="0.2">
      <c r="DY29954" s="185" t="s">
        <v>215</v>
      </c>
    </row>
    <row r="29955" spans="129:129" x14ac:dyDescent="0.2">
      <c r="DY29955" s="185" t="s">
        <v>215</v>
      </c>
    </row>
    <row r="29956" spans="129:129" x14ac:dyDescent="0.2">
      <c r="DY29956" s="185" t="s">
        <v>215</v>
      </c>
    </row>
    <row r="29957" spans="129:129" x14ac:dyDescent="0.2">
      <c r="DY29957" s="185" t="s">
        <v>215</v>
      </c>
    </row>
    <row r="29958" spans="129:129" x14ac:dyDescent="0.2">
      <c r="DY29958" s="185" t="s">
        <v>215</v>
      </c>
    </row>
    <row r="29959" spans="129:129" x14ac:dyDescent="0.2">
      <c r="DY29959" s="185" t="s">
        <v>215</v>
      </c>
    </row>
    <row r="29960" spans="129:129" x14ac:dyDescent="0.2">
      <c r="DY29960" s="185" t="s">
        <v>215</v>
      </c>
    </row>
    <row r="29961" spans="129:129" x14ac:dyDescent="0.2">
      <c r="DY29961" s="185" t="s">
        <v>215</v>
      </c>
    </row>
    <row r="29962" spans="129:129" x14ac:dyDescent="0.2">
      <c r="DY29962" s="185" t="s">
        <v>215</v>
      </c>
    </row>
    <row r="29963" spans="129:129" x14ac:dyDescent="0.2">
      <c r="DY29963" s="185" t="s">
        <v>215</v>
      </c>
    </row>
    <row r="29964" spans="129:129" x14ac:dyDescent="0.2">
      <c r="DY29964" s="185" t="s">
        <v>215</v>
      </c>
    </row>
    <row r="29965" spans="129:129" x14ac:dyDescent="0.2">
      <c r="DY29965" s="185" t="s">
        <v>215</v>
      </c>
    </row>
    <row r="29966" spans="129:129" x14ac:dyDescent="0.2">
      <c r="DY29966" s="185" t="s">
        <v>215</v>
      </c>
    </row>
    <row r="29967" spans="129:129" x14ac:dyDescent="0.2">
      <c r="DY29967" s="185" t="s">
        <v>215</v>
      </c>
    </row>
    <row r="29968" spans="129:129" x14ac:dyDescent="0.2">
      <c r="DY29968" s="185" t="s">
        <v>215</v>
      </c>
    </row>
    <row r="29969" spans="129:129" x14ac:dyDescent="0.2">
      <c r="DY29969" s="185" t="s">
        <v>215</v>
      </c>
    </row>
    <row r="29970" spans="129:129" x14ac:dyDescent="0.2">
      <c r="DY29970" s="185" t="s">
        <v>215</v>
      </c>
    </row>
    <row r="29971" spans="129:129" x14ac:dyDescent="0.2">
      <c r="DY29971" s="185" t="s">
        <v>215</v>
      </c>
    </row>
    <row r="29972" spans="129:129" x14ac:dyDescent="0.2">
      <c r="DY29972" s="185" t="s">
        <v>215</v>
      </c>
    </row>
    <row r="29973" spans="129:129" x14ac:dyDescent="0.2">
      <c r="DY29973" s="185" t="s">
        <v>215</v>
      </c>
    </row>
    <row r="29974" spans="129:129" x14ac:dyDescent="0.2">
      <c r="DY29974" s="185" t="s">
        <v>215</v>
      </c>
    </row>
    <row r="29975" spans="129:129" x14ac:dyDescent="0.2">
      <c r="DY29975" s="185" t="s">
        <v>215</v>
      </c>
    </row>
    <row r="29976" spans="129:129" x14ac:dyDescent="0.2">
      <c r="DY29976" s="185" t="s">
        <v>215</v>
      </c>
    </row>
    <row r="29977" spans="129:129" x14ac:dyDescent="0.2">
      <c r="DY29977" s="185" t="s">
        <v>215</v>
      </c>
    </row>
    <row r="29978" spans="129:129" x14ac:dyDescent="0.2">
      <c r="DY29978" s="185" t="s">
        <v>215</v>
      </c>
    </row>
    <row r="29979" spans="129:129" x14ac:dyDescent="0.2">
      <c r="DY29979" s="185" t="s">
        <v>215</v>
      </c>
    </row>
    <row r="29980" spans="129:129" x14ac:dyDescent="0.2">
      <c r="DY29980" s="185" t="s">
        <v>215</v>
      </c>
    </row>
    <row r="29981" spans="129:129" x14ac:dyDescent="0.2">
      <c r="DY29981" s="185" t="s">
        <v>215</v>
      </c>
    </row>
    <row r="29982" spans="129:129" x14ac:dyDescent="0.2">
      <c r="DY29982" s="185" t="s">
        <v>215</v>
      </c>
    </row>
    <row r="29983" spans="129:129" x14ac:dyDescent="0.2">
      <c r="DY29983" s="185" t="s">
        <v>215</v>
      </c>
    </row>
    <row r="29984" spans="129:129" x14ac:dyDescent="0.2">
      <c r="DY29984" s="185" t="s">
        <v>215</v>
      </c>
    </row>
    <row r="29985" spans="129:129" x14ac:dyDescent="0.2">
      <c r="DY29985" s="185" t="s">
        <v>215</v>
      </c>
    </row>
    <row r="29986" spans="129:129" x14ac:dyDescent="0.2">
      <c r="DY29986" s="185" t="s">
        <v>215</v>
      </c>
    </row>
    <row r="29987" spans="129:129" x14ac:dyDescent="0.2">
      <c r="DY29987" s="185" t="s">
        <v>215</v>
      </c>
    </row>
    <row r="29988" spans="129:129" x14ac:dyDescent="0.2">
      <c r="DY29988" s="185" t="s">
        <v>215</v>
      </c>
    </row>
    <row r="29989" spans="129:129" x14ac:dyDescent="0.2">
      <c r="DY29989" s="185" t="s">
        <v>215</v>
      </c>
    </row>
    <row r="29990" spans="129:129" x14ac:dyDescent="0.2">
      <c r="DY29990" s="185" t="s">
        <v>215</v>
      </c>
    </row>
    <row r="29991" spans="129:129" x14ac:dyDescent="0.2">
      <c r="DY29991" s="185" t="s">
        <v>215</v>
      </c>
    </row>
    <row r="29992" spans="129:129" x14ac:dyDescent="0.2">
      <c r="DY29992" s="185" t="s">
        <v>215</v>
      </c>
    </row>
    <row r="29993" spans="129:129" x14ac:dyDescent="0.2">
      <c r="DY29993" s="185" t="s">
        <v>215</v>
      </c>
    </row>
    <row r="29994" spans="129:129" x14ac:dyDescent="0.2">
      <c r="DY29994" s="185" t="s">
        <v>215</v>
      </c>
    </row>
    <row r="29995" spans="129:129" x14ac:dyDescent="0.2">
      <c r="DY29995" s="185" t="s">
        <v>215</v>
      </c>
    </row>
    <row r="29996" spans="129:129" x14ac:dyDescent="0.2">
      <c r="DY29996" s="185" t="s">
        <v>215</v>
      </c>
    </row>
    <row r="29997" spans="129:129" x14ac:dyDescent="0.2">
      <c r="DY29997" s="185" t="s">
        <v>215</v>
      </c>
    </row>
    <row r="29998" spans="129:129" x14ac:dyDescent="0.2">
      <c r="DY29998" s="185" t="s">
        <v>215</v>
      </c>
    </row>
    <row r="29999" spans="129:129" x14ac:dyDescent="0.2">
      <c r="DY29999" s="185" t="s">
        <v>215</v>
      </c>
    </row>
    <row r="30000" spans="129:129" x14ac:dyDescent="0.2">
      <c r="DY30000" s="185" t="s">
        <v>215</v>
      </c>
    </row>
    <row r="30001" spans="129:129" x14ac:dyDescent="0.2">
      <c r="DY30001" s="185" t="s">
        <v>215</v>
      </c>
    </row>
    <row r="30002" spans="129:129" x14ac:dyDescent="0.2">
      <c r="DY30002" s="185" t="s">
        <v>215</v>
      </c>
    </row>
    <row r="30003" spans="129:129" x14ac:dyDescent="0.2">
      <c r="DY30003" s="185" t="s">
        <v>215</v>
      </c>
    </row>
    <row r="30004" spans="129:129" x14ac:dyDescent="0.2">
      <c r="DY30004" s="185" t="s">
        <v>215</v>
      </c>
    </row>
    <row r="30005" spans="129:129" x14ac:dyDescent="0.2">
      <c r="DY30005" s="185" t="s">
        <v>215</v>
      </c>
    </row>
    <row r="30006" spans="129:129" x14ac:dyDescent="0.2">
      <c r="DY30006" s="185" t="s">
        <v>215</v>
      </c>
    </row>
    <row r="30007" spans="129:129" x14ac:dyDescent="0.2">
      <c r="DY30007" s="185" t="s">
        <v>215</v>
      </c>
    </row>
    <row r="30008" spans="129:129" x14ac:dyDescent="0.2">
      <c r="DY30008" s="185" t="s">
        <v>215</v>
      </c>
    </row>
    <row r="30009" spans="129:129" x14ac:dyDescent="0.2">
      <c r="DY30009" s="185" t="s">
        <v>215</v>
      </c>
    </row>
    <row r="30010" spans="129:129" x14ac:dyDescent="0.2">
      <c r="DY30010" s="185" t="s">
        <v>215</v>
      </c>
    </row>
    <row r="30011" spans="129:129" x14ac:dyDescent="0.2">
      <c r="DY30011" s="185" t="s">
        <v>215</v>
      </c>
    </row>
    <row r="30012" spans="129:129" x14ac:dyDescent="0.2">
      <c r="DY30012" s="185" t="s">
        <v>215</v>
      </c>
    </row>
    <row r="30013" spans="129:129" x14ac:dyDescent="0.2">
      <c r="DY30013" s="185" t="s">
        <v>215</v>
      </c>
    </row>
    <row r="30014" spans="129:129" x14ac:dyDescent="0.2">
      <c r="DY30014" s="185" t="s">
        <v>215</v>
      </c>
    </row>
    <row r="30015" spans="129:129" x14ac:dyDescent="0.2">
      <c r="DY30015" s="185" t="s">
        <v>215</v>
      </c>
    </row>
    <row r="30016" spans="129:129" x14ac:dyDescent="0.2">
      <c r="DY30016" s="185" t="s">
        <v>215</v>
      </c>
    </row>
    <row r="30017" spans="129:129" x14ac:dyDescent="0.2">
      <c r="DY30017" s="185" t="s">
        <v>215</v>
      </c>
    </row>
    <row r="30018" spans="129:129" x14ac:dyDescent="0.2">
      <c r="DY30018" s="185" t="s">
        <v>215</v>
      </c>
    </row>
    <row r="30019" spans="129:129" x14ac:dyDescent="0.2">
      <c r="DY30019" s="185" t="s">
        <v>215</v>
      </c>
    </row>
    <row r="30020" spans="129:129" x14ac:dyDescent="0.2">
      <c r="DY30020" s="185" t="s">
        <v>215</v>
      </c>
    </row>
    <row r="30021" spans="129:129" x14ac:dyDescent="0.2">
      <c r="DY30021" s="185" t="s">
        <v>215</v>
      </c>
    </row>
    <row r="30022" spans="129:129" x14ac:dyDescent="0.2">
      <c r="DY30022" s="185" t="s">
        <v>215</v>
      </c>
    </row>
    <row r="30023" spans="129:129" x14ac:dyDescent="0.2">
      <c r="DY30023" s="185" t="s">
        <v>215</v>
      </c>
    </row>
    <row r="30024" spans="129:129" x14ac:dyDescent="0.2">
      <c r="DY30024" s="185" t="s">
        <v>215</v>
      </c>
    </row>
    <row r="30025" spans="129:129" x14ac:dyDescent="0.2">
      <c r="DY30025" s="185" t="s">
        <v>215</v>
      </c>
    </row>
    <row r="30026" spans="129:129" x14ac:dyDescent="0.2">
      <c r="DY30026" s="185" t="s">
        <v>215</v>
      </c>
    </row>
    <row r="30027" spans="129:129" x14ac:dyDescent="0.2">
      <c r="DY30027" s="185" t="s">
        <v>215</v>
      </c>
    </row>
    <row r="30028" spans="129:129" x14ac:dyDescent="0.2">
      <c r="DY30028" s="185" t="s">
        <v>215</v>
      </c>
    </row>
    <row r="30029" spans="129:129" x14ac:dyDescent="0.2">
      <c r="DY30029" s="185" t="s">
        <v>215</v>
      </c>
    </row>
    <row r="30030" spans="129:129" x14ac:dyDescent="0.2">
      <c r="DY30030" s="185" t="s">
        <v>215</v>
      </c>
    </row>
    <row r="30031" spans="129:129" x14ac:dyDescent="0.2">
      <c r="DY30031" s="185" t="s">
        <v>215</v>
      </c>
    </row>
    <row r="30032" spans="129:129" x14ac:dyDescent="0.2">
      <c r="DY30032" s="185" t="s">
        <v>215</v>
      </c>
    </row>
    <row r="30033" spans="129:129" x14ac:dyDescent="0.2">
      <c r="DY30033" s="185" t="s">
        <v>215</v>
      </c>
    </row>
    <row r="30034" spans="129:129" x14ac:dyDescent="0.2">
      <c r="DY30034" s="185" t="s">
        <v>215</v>
      </c>
    </row>
    <row r="30035" spans="129:129" x14ac:dyDescent="0.2">
      <c r="DY30035" s="185" t="s">
        <v>215</v>
      </c>
    </row>
    <row r="30036" spans="129:129" x14ac:dyDescent="0.2">
      <c r="DY30036" s="185" t="s">
        <v>215</v>
      </c>
    </row>
    <row r="30037" spans="129:129" x14ac:dyDescent="0.2">
      <c r="DY30037" s="185" t="s">
        <v>215</v>
      </c>
    </row>
    <row r="30038" spans="129:129" x14ac:dyDescent="0.2">
      <c r="DY30038" s="185" t="s">
        <v>215</v>
      </c>
    </row>
    <row r="30039" spans="129:129" x14ac:dyDescent="0.2">
      <c r="DY30039" s="185" t="s">
        <v>215</v>
      </c>
    </row>
    <row r="30040" spans="129:129" x14ac:dyDescent="0.2">
      <c r="DY30040" s="185" t="s">
        <v>215</v>
      </c>
    </row>
    <row r="30041" spans="129:129" x14ac:dyDescent="0.2">
      <c r="DY30041" s="185" t="s">
        <v>215</v>
      </c>
    </row>
    <row r="30042" spans="129:129" x14ac:dyDescent="0.2">
      <c r="DY30042" s="185" t="s">
        <v>215</v>
      </c>
    </row>
    <row r="30043" spans="129:129" x14ac:dyDescent="0.2">
      <c r="DY30043" s="185" t="s">
        <v>215</v>
      </c>
    </row>
    <row r="30044" spans="129:129" x14ac:dyDescent="0.2">
      <c r="DY30044" s="185" t="s">
        <v>215</v>
      </c>
    </row>
    <row r="30045" spans="129:129" x14ac:dyDescent="0.2">
      <c r="DY30045" s="185" t="s">
        <v>215</v>
      </c>
    </row>
    <row r="30046" spans="129:129" x14ac:dyDescent="0.2">
      <c r="DY30046" s="185" t="s">
        <v>215</v>
      </c>
    </row>
    <row r="30047" spans="129:129" x14ac:dyDescent="0.2">
      <c r="DY30047" s="185" t="s">
        <v>215</v>
      </c>
    </row>
    <row r="30048" spans="129:129" x14ac:dyDescent="0.2">
      <c r="DY30048" s="185" t="s">
        <v>215</v>
      </c>
    </row>
    <row r="30049" spans="129:129" x14ac:dyDescent="0.2">
      <c r="DY30049" s="185" t="s">
        <v>215</v>
      </c>
    </row>
    <row r="30050" spans="129:129" x14ac:dyDescent="0.2">
      <c r="DY30050" s="185" t="s">
        <v>215</v>
      </c>
    </row>
    <row r="30051" spans="129:129" x14ac:dyDescent="0.2">
      <c r="DY30051" s="185" t="s">
        <v>215</v>
      </c>
    </row>
    <row r="30052" spans="129:129" x14ac:dyDescent="0.2">
      <c r="DY30052" s="185" t="s">
        <v>215</v>
      </c>
    </row>
    <row r="30053" spans="129:129" x14ac:dyDescent="0.2">
      <c r="DY30053" s="185" t="s">
        <v>215</v>
      </c>
    </row>
    <row r="30054" spans="129:129" x14ac:dyDescent="0.2">
      <c r="DY30054" s="185" t="s">
        <v>215</v>
      </c>
    </row>
    <row r="30055" spans="129:129" x14ac:dyDescent="0.2">
      <c r="DY30055" s="185" t="s">
        <v>215</v>
      </c>
    </row>
    <row r="30056" spans="129:129" x14ac:dyDescent="0.2">
      <c r="DY30056" s="185" t="s">
        <v>215</v>
      </c>
    </row>
    <row r="30057" spans="129:129" x14ac:dyDescent="0.2">
      <c r="DY30057" s="185" t="s">
        <v>215</v>
      </c>
    </row>
    <row r="30058" spans="129:129" x14ac:dyDescent="0.2">
      <c r="DY30058" s="185" t="s">
        <v>215</v>
      </c>
    </row>
    <row r="30059" spans="129:129" x14ac:dyDescent="0.2">
      <c r="DY30059" s="185" t="s">
        <v>215</v>
      </c>
    </row>
    <row r="30060" spans="129:129" x14ac:dyDescent="0.2">
      <c r="DY30060" s="185" t="s">
        <v>215</v>
      </c>
    </row>
    <row r="30061" spans="129:129" x14ac:dyDescent="0.2">
      <c r="DY30061" s="185" t="s">
        <v>215</v>
      </c>
    </row>
    <row r="30062" spans="129:129" x14ac:dyDescent="0.2">
      <c r="DY30062" s="185" t="s">
        <v>215</v>
      </c>
    </row>
    <row r="30063" spans="129:129" x14ac:dyDescent="0.2">
      <c r="DY30063" s="185" t="s">
        <v>215</v>
      </c>
    </row>
    <row r="30064" spans="129:129" x14ac:dyDescent="0.2">
      <c r="DY30064" s="185" t="s">
        <v>215</v>
      </c>
    </row>
    <row r="30065" spans="129:129" x14ac:dyDescent="0.2">
      <c r="DY30065" s="185" t="s">
        <v>215</v>
      </c>
    </row>
    <row r="30066" spans="129:129" x14ac:dyDescent="0.2">
      <c r="DY30066" s="185" t="s">
        <v>215</v>
      </c>
    </row>
    <row r="30067" spans="129:129" x14ac:dyDescent="0.2">
      <c r="DY30067" s="185" t="s">
        <v>215</v>
      </c>
    </row>
    <row r="30068" spans="129:129" x14ac:dyDescent="0.2">
      <c r="DY30068" s="185" t="s">
        <v>215</v>
      </c>
    </row>
    <row r="30069" spans="129:129" x14ac:dyDescent="0.2">
      <c r="DY30069" s="185" t="s">
        <v>215</v>
      </c>
    </row>
    <row r="30070" spans="129:129" x14ac:dyDescent="0.2">
      <c r="DY30070" s="185" t="s">
        <v>215</v>
      </c>
    </row>
    <row r="30071" spans="129:129" x14ac:dyDescent="0.2">
      <c r="DY30071" s="185" t="s">
        <v>215</v>
      </c>
    </row>
    <row r="30072" spans="129:129" x14ac:dyDescent="0.2">
      <c r="DY30072" s="185" t="s">
        <v>215</v>
      </c>
    </row>
    <row r="30073" spans="129:129" x14ac:dyDescent="0.2">
      <c r="DY30073" s="185" t="s">
        <v>215</v>
      </c>
    </row>
    <row r="30074" spans="129:129" x14ac:dyDescent="0.2">
      <c r="DY30074" s="185" t="s">
        <v>215</v>
      </c>
    </row>
    <row r="30075" spans="129:129" x14ac:dyDescent="0.2">
      <c r="DY30075" s="185" t="s">
        <v>215</v>
      </c>
    </row>
    <row r="30076" spans="129:129" x14ac:dyDescent="0.2">
      <c r="DY30076" s="185" t="s">
        <v>215</v>
      </c>
    </row>
    <row r="30077" spans="129:129" x14ac:dyDescent="0.2">
      <c r="DY30077" s="185" t="s">
        <v>215</v>
      </c>
    </row>
    <row r="30078" spans="129:129" x14ac:dyDescent="0.2">
      <c r="DY30078" s="185" t="s">
        <v>215</v>
      </c>
    </row>
    <row r="30079" spans="129:129" x14ac:dyDescent="0.2">
      <c r="DY30079" s="185" t="s">
        <v>215</v>
      </c>
    </row>
    <row r="30080" spans="129:129" x14ac:dyDescent="0.2">
      <c r="DY30080" s="185" t="s">
        <v>215</v>
      </c>
    </row>
    <row r="30081" spans="129:129" x14ac:dyDescent="0.2">
      <c r="DY30081" s="185" t="s">
        <v>215</v>
      </c>
    </row>
    <row r="30082" spans="129:129" x14ac:dyDescent="0.2">
      <c r="DY30082" s="185" t="s">
        <v>215</v>
      </c>
    </row>
    <row r="30083" spans="129:129" x14ac:dyDescent="0.2">
      <c r="DY30083" s="185" t="s">
        <v>215</v>
      </c>
    </row>
    <row r="30084" spans="129:129" x14ac:dyDescent="0.2">
      <c r="DY30084" s="185" t="s">
        <v>215</v>
      </c>
    </row>
    <row r="30085" spans="129:129" x14ac:dyDescent="0.2">
      <c r="DY30085" s="185" t="s">
        <v>215</v>
      </c>
    </row>
    <row r="30086" spans="129:129" x14ac:dyDescent="0.2">
      <c r="DY30086" s="185" t="s">
        <v>215</v>
      </c>
    </row>
    <row r="30087" spans="129:129" x14ac:dyDescent="0.2">
      <c r="DY30087" s="185" t="s">
        <v>215</v>
      </c>
    </row>
    <row r="30088" spans="129:129" x14ac:dyDescent="0.2">
      <c r="DY30088" s="185" t="s">
        <v>215</v>
      </c>
    </row>
    <row r="30089" spans="129:129" x14ac:dyDescent="0.2">
      <c r="DY30089" s="185" t="s">
        <v>215</v>
      </c>
    </row>
    <row r="30090" spans="129:129" x14ac:dyDescent="0.2">
      <c r="DY30090" s="185" t="s">
        <v>215</v>
      </c>
    </row>
    <row r="30091" spans="129:129" x14ac:dyDescent="0.2">
      <c r="DY30091" s="185" t="s">
        <v>215</v>
      </c>
    </row>
    <row r="30092" spans="129:129" x14ac:dyDescent="0.2">
      <c r="DY30092" s="185" t="s">
        <v>215</v>
      </c>
    </row>
    <row r="30093" spans="129:129" x14ac:dyDescent="0.2">
      <c r="DY30093" s="185" t="s">
        <v>215</v>
      </c>
    </row>
    <row r="30094" spans="129:129" x14ac:dyDescent="0.2">
      <c r="DY30094" s="185" t="s">
        <v>215</v>
      </c>
    </row>
    <row r="30095" spans="129:129" x14ac:dyDescent="0.2">
      <c r="DY30095" s="185" t="s">
        <v>215</v>
      </c>
    </row>
    <row r="30096" spans="129:129" x14ac:dyDescent="0.2">
      <c r="DY30096" s="185" t="s">
        <v>215</v>
      </c>
    </row>
    <row r="30097" spans="129:129" x14ac:dyDescent="0.2">
      <c r="DY30097" s="185" t="s">
        <v>215</v>
      </c>
    </row>
    <row r="30098" spans="129:129" x14ac:dyDescent="0.2">
      <c r="DY30098" s="185" t="s">
        <v>215</v>
      </c>
    </row>
    <row r="30099" spans="129:129" x14ac:dyDescent="0.2">
      <c r="DY30099" s="185" t="s">
        <v>215</v>
      </c>
    </row>
    <row r="30100" spans="129:129" x14ac:dyDescent="0.2">
      <c r="DY30100" s="185" t="s">
        <v>215</v>
      </c>
    </row>
    <row r="30101" spans="129:129" x14ac:dyDescent="0.2">
      <c r="DY30101" s="185" t="s">
        <v>215</v>
      </c>
    </row>
    <row r="30102" spans="129:129" x14ac:dyDescent="0.2">
      <c r="DY30102" s="185" t="s">
        <v>215</v>
      </c>
    </row>
    <row r="30103" spans="129:129" x14ac:dyDescent="0.2">
      <c r="DY30103" s="185" t="s">
        <v>215</v>
      </c>
    </row>
    <row r="30104" spans="129:129" x14ac:dyDescent="0.2">
      <c r="DY30104" s="185" t="s">
        <v>215</v>
      </c>
    </row>
    <row r="30105" spans="129:129" x14ac:dyDescent="0.2">
      <c r="DY30105" s="185" t="s">
        <v>215</v>
      </c>
    </row>
    <row r="30106" spans="129:129" x14ac:dyDescent="0.2">
      <c r="DY30106" s="185" t="s">
        <v>215</v>
      </c>
    </row>
    <row r="30107" spans="129:129" x14ac:dyDescent="0.2">
      <c r="DY30107" s="185" t="s">
        <v>215</v>
      </c>
    </row>
    <row r="30108" spans="129:129" x14ac:dyDescent="0.2">
      <c r="DY30108" s="185" t="s">
        <v>215</v>
      </c>
    </row>
    <row r="30109" spans="129:129" x14ac:dyDescent="0.2">
      <c r="DY30109" s="185" t="s">
        <v>215</v>
      </c>
    </row>
    <row r="30110" spans="129:129" x14ac:dyDescent="0.2">
      <c r="DY30110" s="185" t="s">
        <v>215</v>
      </c>
    </row>
    <row r="30111" spans="129:129" x14ac:dyDescent="0.2">
      <c r="DY30111" s="185" t="s">
        <v>215</v>
      </c>
    </row>
    <row r="30112" spans="129:129" x14ac:dyDescent="0.2">
      <c r="DY30112" s="185" t="s">
        <v>215</v>
      </c>
    </row>
    <row r="30113" spans="129:129" x14ac:dyDescent="0.2">
      <c r="DY30113" s="185" t="s">
        <v>215</v>
      </c>
    </row>
    <row r="30114" spans="129:129" x14ac:dyDescent="0.2">
      <c r="DY30114" s="185" t="s">
        <v>215</v>
      </c>
    </row>
    <row r="30115" spans="129:129" x14ac:dyDescent="0.2">
      <c r="DY30115" s="185" t="s">
        <v>215</v>
      </c>
    </row>
    <row r="30116" spans="129:129" x14ac:dyDescent="0.2">
      <c r="DY30116" s="185" t="s">
        <v>215</v>
      </c>
    </row>
    <row r="30117" spans="129:129" x14ac:dyDescent="0.2">
      <c r="DY30117" s="185" t="s">
        <v>215</v>
      </c>
    </row>
    <row r="30118" spans="129:129" x14ac:dyDescent="0.2">
      <c r="DY30118" s="185" t="s">
        <v>215</v>
      </c>
    </row>
    <row r="30119" spans="129:129" x14ac:dyDescent="0.2">
      <c r="DY30119" s="185" t="s">
        <v>215</v>
      </c>
    </row>
    <row r="30120" spans="129:129" x14ac:dyDescent="0.2">
      <c r="DY30120" s="185" t="s">
        <v>215</v>
      </c>
    </row>
    <row r="30121" spans="129:129" x14ac:dyDescent="0.2">
      <c r="DY30121" s="185" t="s">
        <v>215</v>
      </c>
    </row>
    <row r="30122" spans="129:129" x14ac:dyDescent="0.2">
      <c r="DY30122" s="185" t="s">
        <v>215</v>
      </c>
    </row>
    <row r="30123" spans="129:129" x14ac:dyDescent="0.2">
      <c r="DY30123" s="185" t="s">
        <v>215</v>
      </c>
    </row>
    <row r="30124" spans="129:129" x14ac:dyDescent="0.2">
      <c r="DY30124" s="185" t="s">
        <v>215</v>
      </c>
    </row>
    <row r="30125" spans="129:129" x14ac:dyDescent="0.2">
      <c r="DY30125" s="185" t="s">
        <v>215</v>
      </c>
    </row>
    <row r="30126" spans="129:129" x14ac:dyDescent="0.2">
      <c r="DY30126" s="185" t="s">
        <v>215</v>
      </c>
    </row>
    <row r="30127" spans="129:129" x14ac:dyDescent="0.2">
      <c r="DY30127" s="185" t="s">
        <v>215</v>
      </c>
    </row>
    <row r="30128" spans="129:129" x14ac:dyDescent="0.2">
      <c r="DY30128" s="185" t="s">
        <v>215</v>
      </c>
    </row>
    <row r="30129" spans="129:129" x14ac:dyDescent="0.2">
      <c r="DY30129" s="185" t="s">
        <v>215</v>
      </c>
    </row>
    <row r="30130" spans="129:129" x14ac:dyDescent="0.2">
      <c r="DY30130" s="185" t="s">
        <v>215</v>
      </c>
    </row>
    <row r="30131" spans="129:129" x14ac:dyDescent="0.2">
      <c r="DY30131" s="185" t="s">
        <v>215</v>
      </c>
    </row>
    <row r="30132" spans="129:129" x14ac:dyDescent="0.2">
      <c r="DY30132" s="185" t="s">
        <v>215</v>
      </c>
    </row>
    <row r="30133" spans="129:129" x14ac:dyDescent="0.2">
      <c r="DY30133" s="185" t="s">
        <v>215</v>
      </c>
    </row>
    <row r="30134" spans="129:129" x14ac:dyDescent="0.2">
      <c r="DY30134" s="185" t="s">
        <v>215</v>
      </c>
    </row>
    <row r="30135" spans="129:129" x14ac:dyDescent="0.2">
      <c r="DY30135" s="185" t="s">
        <v>215</v>
      </c>
    </row>
    <row r="30136" spans="129:129" x14ac:dyDescent="0.2">
      <c r="DY30136" s="185" t="s">
        <v>215</v>
      </c>
    </row>
    <row r="30137" spans="129:129" x14ac:dyDescent="0.2">
      <c r="DY30137" s="185" t="s">
        <v>215</v>
      </c>
    </row>
    <row r="30138" spans="129:129" x14ac:dyDescent="0.2">
      <c r="DY30138" s="185" t="s">
        <v>215</v>
      </c>
    </row>
    <row r="30139" spans="129:129" x14ac:dyDescent="0.2">
      <c r="DY30139" s="185" t="s">
        <v>215</v>
      </c>
    </row>
    <row r="30140" spans="129:129" x14ac:dyDescent="0.2">
      <c r="DY30140" s="185" t="s">
        <v>215</v>
      </c>
    </row>
    <row r="30141" spans="129:129" x14ac:dyDescent="0.2">
      <c r="DY30141" s="185" t="s">
        <v>215</v>
      </c>
    </row>
    <row r="30142" spans="129:129" x14ac:dyDescent="0.2">
      <c r="DY30142" s="185" t="s">
        <v>215</v>
      </c>
    </row>
    <row r="30143" spans="129:129" x14ac:dyDescent="0.2">
      <c r="DY30143" s="185" t="s">
        <v>215</v>
      </c>
    </row>
    <row r="30144" spans="129:129" x14ac:dyDescent="0.2">
      <c r="DY30144" s="185" t="s">
        <v>215</v>
      </c>
    </row>
    <row r="30145" spans="129:129" x14ac:dyDescent="0.2">
      <c r="DY30145" s="185" t="s">
        <v>215</v>
      </c>
    </row>
    <row r="30146" spans="129:129" x14ac:dyDescent="0.2">
      <c r="DY30146" s="185" t="s">
        <v>215</v>
      </c>
    </row>
    <row r="30147" spans="129:129" x14ac:dyDescent="0.2">
      <c r="DY30147" s="185" t="s">
        <v>215</v>
      </c>
    </row>
    <row r="30148" spans="129:129" x14ac:dyDescent="0.2">
      <c r="DY30148" s="185" t="s">
        <v>215</v>
      </c>
    </row>
    <row r="30149" spans="129:129" x14ac:dyDescent="0.2">
      <c r="DY30149" s="185" t="s">
        <v>215</v>
      </c>
    </row>
    <row r="30150" spans="129:129" x14ac:dyDescent="0.2">
      <c r="DY30150" s="185" t="s">
        <v>215</v>
      </c>
    </row>
    <row r="30151" spans="129:129" x14ac:dyDescent="0.2">
      <c r="DY30151" s="185" t="s">
        <v>215</v>
      </c>
    </row>
    <row r="30152" spans="129:129" x14ac:dyDescent="0.2">
      <c r="DY30152" s="185" t="s">
        <v>215</v>
      </c>
    </row>
    <row r="30153" spans="129:129" x14ac:dyDescent="0.2">
      <c r="DY30153" s="185" t="s">
        <v>215</v>
      </c>
    </row>
    <row r="30154" spans="129:129" x14ac:dyDescent="0.2">
      <c r="DY30154" s="185" t="s">
        <v>215</v>
      </c>
    </row>
    <row r="30155" spans="129:129" x14ac:dyDescent="0.2">
      <c r="DY30155" s="185" t="s">
        <v>215</v>
      </c>
    </row>
    <row r="30156" spans="129:129" x14ac:dyDescent="0.2">
      <c r="DY30156" s="185" t="s">
        <v>215</v>
      </c>
    </row>
    <row r="30157" spans="129:129" x14ac:dyDescent="0.2">
      <c r="DY30157" s="185" t="s">
        <v>215</v>
      </c>
    </row>
    <row r="30158" spans="129:129" x14ac:dyDescent="0.2">
      <c r="DY30158" s="185" t="s">
        <v>215</v>
      </c>
    </row>
    <row r="30159" spans="129:129" x14ac:dyDescent="0.2">
      <c r="DY30159" s="185" t="s">
        <v>215</v>
      </c>
    </row>
    <row r="30160" spans="129:129" x14ac:dyDescent="0.2">
      <c r="DY30160" s="185" t="s">
        <v>215</v>
      </c>
    </row>
    <row r="30161" spans="129:129" x14ac:dyDescent="0.2">
      <c r="DY30161" s="185" t="s">
        <v>215</v>
      </c>
    </row>
    <row r="30162" spans="129:129" x14ac:dyDescent="0.2">
      <c r="DY30162" s="185" t="s">
        <v>215</v>
      </c>
    </row>
    <row r="30163" spans="129:129" x14ac:dyDescent="0.2">
      <c r="DY30163" s="185" t="s">
        <v>215</v>
      </c>
    </row>
    <row r="30164" spans="129:129" x14ac:dyDescent="0.2">
      <c r="DY30164" s="185" t="s">
        <v>215</v>
      </c>
    </row>
    <row r="30165" spans="129:129" x14ac:dyDescent="0.2">
      <c r="DY30165" s="185" t="s">
        <v>215</v>
      </c>
    </row>
    <row r="30166" spans="129:129" x14ac:dyDescent="0.2">
      <c r="DY30166" s="185" t="s">
        <v>215</v>
      </c>
    </row>
    <row r="30167" spans="129:129" x14ac:dyDescent="0.2">
      <c r="DY30167" s="185" t="s">
        <v>215</v>
      </c>
    </row>
    <row r="30168" spans="129:129" x14ac:dyDescent="0.2">
      <c r="DY30168" s="185" t="s">
        <v>215</v>
      </c>
    </row>
    <row r="30169" spans="129:129" x14ac:dyDescent="0.2">
      <c r="DY30169" s="185" t="s">
        <v>215</v>
      </c>
    </row>
    <row r="30170" spans="129:129" x14ac:dyDescent="0.2">
      <c r="DY30170" s="185" t="s">
        <v>215</v>
      </c>
    </row>
    <row r="30171" spans="129:129" x14ac:dyDescent="0.2">
      <c r="DY30171" s="185" t="s">
        <v>215</v>
      </c>
    </row>
    <row r="30172" spans="129:129" x14ac:dyDescent="0.2">
      <c r="DY30172" s="185" t="s">
        <v>215</v>
      </c>
    </row>
    <row r="30173" spans="129:129" x14ac:dyDescent="0.2">
      <c r="DY30173" s="185" t="s">
        <v>215</v>
      </c>
    </row>
    <row r="30174" spans="129:129" x14ac:dyDescent="0.2">
      <c r="DY30174" s="185" t="s">
        <v>215</v>
      </c>
    </row>
    <row r="30175" spans="129:129" x14ac:dyDescent="0.2">
      <c r="DY30175" s="185" t="s">
        <v>215</v>
      </c>
    </row>
    <row r="30176" spans="129:129" x14ac:dyDescent="0.2">
      <c r="DY30176" s="185" t="s">
        <v>215</v>
      </c>
    </row>
    <row r="30177" spans="129:129" x14ac:dyDescent="0.2">
      <c r="DY30177" s="185" t="s">
        <v>215</v>
      </c>
    </row>
    <row r="30178" spans="129:129" x14ac:dyDescent="0.2">
      <c r="DY30178" s="185" t="s">
        <v>215</v>
      </c>
    </row>
    <row r="30179" spans="129:129" x14ac:dyDescent="0.2">
      <c r="DY30179" s="185" t="s">
        <v>215</v>
      </c>
    </row>
    <row r="30180" spans="129:129" x14ac:dyDescent="0.2">
      <c r="DY30180" s="185" t="s">
        <v>215</v>
      </c>
    </row>
    <row r="30181" spans="129:129" x14ac:dyDescent="0.2">
      <c r="DY30181" s="185" t="s">
        <v>215</v>
      </c>
    </row>
    <row r="30182" spans="129:129" x14ac:dyDescent="0.2">
      <c r="DY30182" s="185" t="s">
        <v>215</v>
      </c>
    </row>
    <row r="30183" spans="129:129" x14ac:dyDescent="0.2">
      <c r="DY30183" s="185" t="s">
        <v>215</v>
      </c>
    </row>
    <row r="30184" spans="129:129" x14ac:dyDescent="0.2">
      <c r="DY30184" s="185" t="s">
        <v>215</v>
      </c>
    </row>
    <row r="30185" spans="129:129" x14ac:dyDescent="0.2">
      <c r="DY30185" s="185" t="s">
        <v>215</v>
      </c>
    </row>
    <row r="30186" spans="129:129" x14ac:dyDescent="0.2">
      <c r="DY30186" s="185" t="s">
        <v>215</v>
      </c>
    </row>
    <row r="30187" spans="129:129" x14ac:dyDescent="0.2">
      <c r="DY30187" s="185" t="s">
        <v>215</v>
      </c>
    </row>
    <row r="30188" spans="129:129" x14ac:dyDescent="0.2">
      <c r="DY30188" s="185" t="s">
        <v>215</v>
      </c>
    </row>
    <row r="30189" spans="129:129" x14ac:dyDescent="0.2">
      <c r="DY30189" s="185" t="s">
        <v>215</v>
      </c>
    </row>
    <row r="30190" spans="129:129" x14ac:dyDescent="0.2">
      <c r="DY30190" s="185" t="s">
        <v>215</v>
      </c>
    </row>
    <row r="30191" spans="129:129" x14ac:dyDescent="0.2">
      <c r="DY30191" s="185" t="s">
        <v>215</v>
      </c>
    </row>
    <row r="30192" spans="129:129" x14ac:dyDescent="0.2">
      <c r="DY30192" s="185" t="s">
        <v>215</v>
      </c>
    </row>
    <row r="30193" spans="129:129" x14ac:dyDescent="0.2">
      <c r="DY30193" s="185" t="s">
        <v>215</v>
      </c>
    </row>
    <row r="30194" spans="129:129" x14ac:dyDescent="0.2">
      <c r="DY30194" s="185" t="s">
        <v>215</v>
      </c>
    </row>
    <row r="30195" spans="129:129" x14ac:dyDescent="0.2">
      <c r="DY30195" s="185" t="s">
        <v>215</v>
      </c>
    </row>
    <row r="30196" spans="129:129" x14ac:dyDescent="0.2">
      <c r="DY30196" s="185" t="s">
        <v>215</v>
      </c>
    </row>
    <row r="30197" spans="129:129" x14ac:dyDescent="0.2">
      <c r="DY30197" s="185" t="s">
        <v>215</v>
      </c>
    </row>
    <row r="30198" spans="129:129" x14ac:dyDescent="0.2">
      <c r="DY30198" s="185" t="s">
        <v>215</v>
      </c>
    </row>
    <row r="30199" spans="129:129" x14ac:dyDescent="0.2">
      <c r="DY30199" s="185" t="s">
        <v>215</v>
      </c>
    </row>
    <row r="30200" spans="129:129" x14ac:dyDescent="0.2">
      <c r="DY30200" s="185" t="s">
        <v>215</v>
      </c>
    </row>
    <row r="30201" spans="129:129" x14ac:dyDescent="0.2">
      <c r="DY30201" s="185" t="s">
        <v>215</v>
      </c>
    </row>
    <row r="30202" spans="129:129" x14ac:dyDescent="0.2">
      <c r="DY30202" s="185" t="s">
        <v>215</v>
      </c>
    </row>
    <row r="30203" spans="129:129" x14ac:dyDescent="0.2">
      <c r="DY30203" s="185" t="s">
        <v>215</v>
      </c>
    </row>
    <row r="30204" spans="129:129" x14ac:dyDescent="0.2">
      <c r="DY30204" s="185" t="s">
        <v>215</v>
      </c>
    </row>
    <row r="30205" spans="129:129" x14ac:dyDescent="0.2">
      <c r="DY30205" s="185" t="s">
        <v>215</v>
      </c>
    </row>
    <row r="30206" spans="129:129" x14ac:dyDescent="0.2">
      <c r="DY30206" s="185" t="s">
        <v>215</v>
      </c>
    </row>
    <row r="30207" spans="129:129" x14ac:dyDescent="0.2">
      <c r="DY30207" s="185" t="s">
        <v>215</v>
      </c>
    </row>
    <row r="30208" spans="129:129" x14ac:dyDescent="0.2">
      <c r="DY30208" s="185" t="s">
        <v>215</v>
      </c>
    </row>
    <row r="30209" spans="129:129" x14ac:dyDescent="0.2">
      <c r="DY30209" s="185" t="s">
        <v>215</v>
      </c>
    </row>
    <row r="30210" spans="129:129" x14ac:dyDescent="0.2">
      <c r="DY30210" s="185" t="s">
        <v>215</v>
      </c>
    </row>
    <row r="30211" spans="129:129" x14ac:dyDescent="0.2">
      <c r="DY30211" s="185" t="s">
        <v>215</v>
      </c>
    </row>
    <row r="30212" spans="129:129" x14ac:dyDescent="0.2">
      <c r="DY30212" s="185" t="s">
        <v>215</v>
      </c>
    </row>
    <row r="30213" spans="129:129" x14ac:dyDescent="0.2">
      <c r="DY30213" s="185" t="s">
        <v>215</v>
      </c>
    </row>
    <row r="30214" spans="129:129" x14ac:dyDescent="0.2">
      <c r="DY30214" s="185" t="s">
        <v>215</v>
      </c>
    </row>
    <row r="30215" spans="129:129" x14ac:dyDescent="0.2">
      <c r="DY30215" s="185" t="s">
        <v>215</v>
      </c>
    </row>
    <row r="30216" spans="129:129" x14ac:dyDescent="0.2">
      <c r="DY30216" s="185" t="s">
        <v>215</v>
      </c>
    </row>
    <row r="30217" spans="129:129" x14ac:dyDescent="0.2">
      <c r="DY30217" s="185" t="s">
        <v>215</v>
      </c>
    </row>
    <row r="30218" spans="129:129" x14ac:dyDescent="0.2">
      <c r="DY30218" s="185" t="s">
        <v>215</v>
      </c>
    </row>
    <row r="30219" spans="129:129" x14ac:dyDescent="0.2">
      <c r="DY30219" s="185" t="s">
        <v>215</v>
      </c>
    </row>
    <row r="30220" spans="129:129" x14ac:dyDescent="0.2">
      <c r="DY30220" s="185" t="s">
        <v>215</v>
      </c>
    </row>
    <row r="30221" spans="129:129" x14ac:dyDescent="0.2">
      <c r="DY30221" s="185" t="s">
        <v>215</v>
      </c>
    </row>
    <row r="30222" spans="129:129" x14ac:dyDescent="0.2">
      <c r="DY30222" s="185" t="s">
        <v>215</v>
      </c>
    </row>
    <row r="30223" spans="129:129" x14ac:dyDescent="0.2">
      <c r="DY30223" s="185" t="s">
        <v>215</v>
      </c>
    </row>
    <row r="30224" spans="129:129" x14ac:dyDescent="0.2">
      <c r="DY30224" s="185" t="s">
        <v>215</v>
      </c>
    </row>
    <row r="30225" spans="129:129" x14ac:dyDescent="0.2">
      <c r="DY30225" s="185" t="s">
        <v>215</v>
      </c>
    </row>
    <row r="30226" spans="129:129" x14ac:dyDescent="0.2">
      <c r="DY30226" s="185" t="s">
        <v>215</v>
      </c>
    </row>
    <row r="30227" spans="129:129" x14ac:dyDescent="0.2">
      <c r="DY30227" s="185" t="s">
        <v>215</v>
      </c>
    </row>
    <row r="30228" spans="129:129" x14ac:dyDescent="0.2">
      <c r="DY30228" s="185" t="s">
        <v>215</v>
      </c>
    </row>
    <row r="30229" spans="129:129" x14ac:dyDescent="0.2">
      <c r="DY30229" s="185" t="s">
        <v>215</v>
      </c>
    </row>
    <row r="30230" spans="129:129" x14ac:dyDescent="0.2">
      <c r="DY30230" s="185" t="s">
        <v>215</v>
      </c>
    </row>
    <row r="30231" spans="129:129" x14ac:dyDescent="0.2">
      <c r="DY30231" s="185" t="s">
        <v>215</v>
      </c>
    </row>
    <row r="30232" spans="129:129" x14ac:dyDescent="0.2">
      <c r="DY30232" s="185" t="s">
        <v>215</v>
      </c>
    </row>
    <row r="30233" spans="129:129" x14ac:dyDescent="0.2">
      <c r="DY30233" s="185" t="s">
        <v>215</v>
      </c>
    </row>
    <row r="30234" spans="129:129" x14ac:dyDescent="0.2">
      <c r="DY30234" s="185" t="s">
        <v>215</v>
      </c>
    </row>
    <row r="30235" spans="129:129" x14ac:dyDescent="0.2">
      <c r="DY30235" s="185" t="s">
        <v>215</v>
      </c>
    </row>
    <row r="30236" spans="129:129" x14ac:dyDescent="0.2">
      <c r="DY30236" s="185" t="s">
        <v>215</v>
      </c>
    </row>
    <row r="30237" spans="129:129" x14ac:dyDescent="0.2">
      <c r="DY30237" s="185" t="s">
        <v>215</v>
      </c>
    </row>
    <row r="30238" spans="129:129" x14ac:dyDescent="0.2">
      <c r="DY30238" s="185" t="s">
        <v>215</v>
      </c>
    </row>
    <row r="30239" spans="129:129" x14ac:dyDescent="0.2">
      <c r="DY30239" s="185" t="s">
        <v>215</v>
      </c>
    </row>
    <row r="30240" spans="129:129" x14ac:dyDescent="0.2">
      <c r="DY30240" s="185" t="s">
        <v>215</v>
      </c>
    </row>
    <row r="30241" spans="129:129" x14ac:dyDescent="0.2">
      <c r="DY30241" s="185" t="s">
        <v>215</v>
      </c>
    </row>
    <row r="30242" spans="129:129" x14ac:dyDescent="0.2">
      <c r="DY30242" s="185" t="s">
        <v>215</v>
      </c>
    </row>
    <row r="30243" spans="129:129" x14ac:dyDescent="0.2">
      <c r="DY30243" s="185" t="s">
        <v>215</v>
      </c>
    </row>
    <row r="30244" spans="129:129" x14ac:dyDescent="0.2">
      <c r="DY30244" s="185" t="s">
        <v>215</v>
      </c>
    </row>
    <row r="30245" spans="129:129" x14ac:dyDescent="0.2">
      <c r="DY30245" s="185" t="s">
        <v>215</v>
      </c>
    </row>
    <row r="30246" spans="129:129" x14ac:dyDescent="0.2">
      <c r="DY30246" s="185" t="s">
        <v>215</v>
      </c>
    </row>
    <row r="30247" spans="129:129" x14ac:dyDescent="0.2">
      <c r="DY30247" s="185" t="s">
        <v>215</v>
      </c>
    </row>
    <row r="30248" spans="129:129" x14ac:dyDescent="0.2">
      <c r="DY30248" s="185" t="s">
        <v>215</v>
      </c>
    </row>
    <row r="30249" spans="129:129" x14ac:dyDescent="0.2">
      <c r="DY30249" s="185" t="s">
        <v>215</v>
      </c>
    </row>
    <row r="30250" spans="129:129" x14ac:dyDescent="0.2">
      <c r="DY30250" s="185" t="s">
        <v>215</v>
      </c>
    </row>
    <row r="30251" spans="129:129" x14ac:dyDescent="0.2">
      <c r="DY30251" s="185" t="s">
        <v>215</v>
      </c>
    </row>
    <row r="30252" spans="129:129" x14ac:dyDescent="0.2">
      <c r="DY30252" s="185" t="s">
        <v>215</v>
      </c>
    </row>
    <row r="30253" spans="129:129" x14ac:dyDescent="0.2">
      <c r="DY30253" s="185" t="s">
        <v>215</v>
      </c>
    </row>
    <row r="30254" spans="129:129" x14ac:dyDescent="0.2">
      <c r="DY30254" s="185" t="s">
        <v>215</v>
      </c>
    </row>
    <row r="30255" spans="129:129" x14ac:dyDescent="0.2">
      <c r="DY30255" s="185" t="s">
        <v>215</v>
      </c>
    </row>
    <row r="30256" spans="129:129" x14ac:dyDescent="0.2">
      <c r="DY30256" s="185" t="s">
        <v>215</v>
      </c>
    </row>
    <row r="30257" spans="129:129" x14ac:dyDescent="0.2">
      <c r="DY30257" s="185" t="s">
        <v>215</v>
      </c>
    </row>
    <row r="30258" spans="129:129" x14ac:dyDescent="0.2">
      <c r="DY30258" s="185" t="s">
        <v>215</v>
      </c>
    </row>
    <row r="30259" spans="129:129" x14ac:dyDescent="0.2">
      <c r="DY30259" s="185" t="s">
        <v>215</v>
      </c>
    </row>
    <row r="30260" spans="129:129" x14ac:dyDescent="0.2">
      <c r="DY30260" s="185" t="s">
        <v>215</v>
      </c>
    </row>
    <row r="30261" spans="129:129" x14ac:dyDescent="0.2">
      <c r="DY30261" s="185" t="s">
        <v>215</v>
      </c>
    </row>
    <row r="30262" spans="129:129" x14ac:dyDescent="0.2">
      <c r="DY30262" s="185" t="s">
        <v>215</v>
      </c>
    </row>
    <row r="30263" spans="129:129" x14ac:dyDescent="0.2">
      <c r="DY30263" s="185" t="s">
        <v>215</v>
      </c>
    </row>
    <row r="30264" spans="129:129" x14ac:dyDescent="0.2">
      <c r="DY30264" s="185" t="s">
        <v>215</v>
      </c>
    </row>
    <row r="30265" spans="129:129" x14ac:dyDescent="0.2">
      <c r="DY30265" s="185" t="s">
        <v>215</v>
      </c>
    </row>
    <row r="30266" spans="129:129" x14ac:dyDescent="0.2">
      <c r="DY30266" s="185" t="s">
        <v>215</v>
      </c>
    </row>
    <row r="30267" spans="129:129" x14ac:dyDescent="0.2">
      <c r="DY30267" s="185" t="s">
        <v>215</v>
      </c>
    </row>
    <row r="30268" spans="129:129" x14ac:dyDescent="0.2">
      <c r="DY30268" s="185" t="s">
        <v>215</v>
      </c>
    </row>
    <row r="30269" spans="129:129" x14ac:dyDescent="0.2">
      <c r="DY30269" s="185" t="s">
        <v>215</v>
      </c>
    </row>
    <row r="30270" spans="129:129" x14ac:dyDescent="0.2">
      <c r="DY30270" s="185" t="s">
        <v>215</v>
      </c>
    </row>
    <row r="30271" spans="129:129" x14ac:dyDescent="0.2">
      <c r="DY30271" s="185" t="s">
        <v>215</v>
      </c>
    </row>
    <row r="30272" spans="129:129" x14ac:dyDescent="0.2">
      <c r="DY30272" s="185" t="s">
        <v>215</v>
      </c>
    </row>
    <row r="30273" spans="129:129" x14ac:dyDescent="0.2">
      <c r="DY30273" s="185" t="s">
        <v>215</v>
      </c>
    </row>
    <row r="30274" spans="129:129" x14ac:dyDescent="0.2">
      <c r="DY30274" s="185" t="s">
        <v>215</v>
      </c>
    </row>
    <row r="30275" spans="129:129" x14ac:dyDescent="0.2">
      <c r="DY30275" s="185" t="s">
        <v>215</v>
      </c>
    </row>
    <row r="30276" spans="129:129" x14ac:dyDescent="0.2">
      <c r="DY30276" s="185" t="s">
        <v>215</v>
      </c>
    </row>
    <row r="30277" spans="129:129" x14ac:dyDescent="0.2">
      <c r="DY30277" s="185" t="s">
        <v>215</v>
      </c>
    </row>
    <row r="30278" spans="129:129" x14ac:dyDescent="0.2">
      <c r="DY30278" s="185" t="s">
        <v>215</v>
      </c>
    </row>
    <row r="30279" spans="129:129" x14ac:dyDescent="0.2">
      <c r="DY30279" s="185" t="s">
        <v>215</v>
      </c>
    </row>
    <row r="30280" spans="129:129" x14ac:dyDescent="0.2">
      <c r="DY30280" s="185" t="s">
        <v>215</v>
      </c>
    </row>
    <row r="30281" spans="129:129" x14ac:dyDescent="0.2">
      <c r="DY30281" s="185" t="s">
        <v>215</v>
      </c>
    </row>
    <row r="30282" spans="129:129" x14ac:dyDescent="0.2">
      <c r="DY30282" s="185" t="s">
        <v>215</v>
      </c>
    </row>
    <row r="30283" spans="129:129" x14ac:dyDescent="0.2">
      <c r="DY30283" s="185" t="s">
        <v>215</v>
      </c>
    </row>
    <row r="30284" spans="129:129" x14ac:dyDescent="0.2">
      <c r="DY30284" s="185" t="s">
        <v>215</v>
      </c>
    </row>
    <row r="30285" spans="129:129" x14ac:dyDescent="0.2">
      <c r="DY30285" s="185" t="s">
        <v>215</v>
      </c>
    </row>
    <row r="30286" spans="129:129" x14ac:dyDescent="0.2">
      <c r="DY30286" s="185" t="s">
        <v>215</v>
      </c>
    </row>
    <row r="30287" spans="129:129" x14ac:dyDescent="0.2">
      <c r="DY30287" s="185" t="s">
        <v>215</v>
      </c>
    </row>
    <row r="30288" spans="129:129" x14ac:dyDescent="0.2">
      <c r="DY30288" s="185" t="s">
        <v>215</v>
      </c>
    </row>
    <row r="30289" spans="129:129" x14ac:dyDescent="0.2">
      <c r="DY30289" s="185" t="s">
        <v>215</v>
      </c>
    </row>
    <row r="30290" spans="129:129" x14ac:dyDescent="0.2">
      <c r="DY30290" s="185" t="s">
        <v>215</v>
      </c>
    </row>
    <row r="30291" spans="129:129" x14ac:dyDescent="0.2">
      <c r="DY30291" s="185" t="s">
        <v>215</v>
      </c>
    </row>
    <row r="30292" spans="129:129" x14ac:dyDescent="0.2">
      <c r="DY30292" s="185" t="s">
        <v>215</v>
      </c>
    </row>
    <row r="30293" spans="129:129" x14ac:dyDescent="0.2">
      <c r="DY30293" s="185" t="s">
        <v>215</v>
      </c>
    </row>
    <row r="30294" spans="129:129" x14ac:dyDescent="0.2">
      <c r="DY30294" s="185" t="s">
        <v>215</v>
      </c>
    </row>
    <row r="30295" spans="129:129" x14ac:dyDescent="0.2">
      <c r="DY30295" s="185" t="s">
        <v>215</v>
      </c>
    </row>
    <row r="30296" spans="129:129" x14ac:dyDescent="0.2">
      <c r="DY30296" s="185" t="s">
        <v>215</v>
      </c>
    </row>
    <row r="30297" spans="129:129" x14ac:dyDescent="0.2">
      <c r="DY30297" s="185" t="s">
        <v>215</v>
      </c>
    </row>
    <row r="30298" spans="129:129" x14ac:dyDescent="0.2">
      <c r="DY30298" s="185" t="s">
        <v>215</v>
      </c>
    </row>
    <row r="30299" spans="129:129" x14ac:dyDescent="0.2">
      <c r="DY30299" s="185" t="s">
        <v>215</v>
      </c>
    </row>
    <row r="30300" spans="129:129" x14ac:dyDescent="0.2">
      <c r="DY30300" s="185" t="s">
        <v>215</v>
      </c>
    </row>
    <row r="30301" spans="129:129" x14ac:dyDescent="0.2">
      <c r="DY30301" s="185" t="s">
        <v>215</v>
      </c>
    </row>
    <row r="30302" spans="129:129" x14ac:dyDescent="0.2">
      <c r="DY30302" s="185" t="s">
        <v>215</v>
      </c>
    </row>
    <row r="30303" spans="129:129" x14ac:dyDescent="0.2">
      <c r="DY30303" s="185" t="s">
        <v>215</v>
      </c>
    </row>
    <row r="30304" spans="129:129" x14ac:dyDescent="0.2">
      <c r="DY30304" s="185" t="s">
        <v>215</v>
      </c>
    </row>
    <row r="30305" spans="129:129" x14ac:dyDescent="0.2">
      <c r="DY30305" s="185" t="s">
        <v>215</v>
      </c>
    </row>
    <row r="30306" spans="129:129" x14ac:dyDescent="0.2">
      <c r="DY30306" s="185" t="s">
        <v>215</v>
      </c>
    </row>
    <row r="30307" spans="129:129" x14ac:dyDescent="0.2">
      <c r="DY30307" s="185" t="s">
        <v>215</v>
      </c>
    </row>
    <row r="30308" spans="129:129" x14ac:dyDescent="0.2">
      <c r="DY30308" s="185" t="s">
        <v>215</v>
      </c>
    </row>
    <row r="30309" spans="129:129" x14ac:dyDescent="0.2">
      <c r="DY30309" s="185" t="s">
        <v>215</v>
      </c>
    </row>
    <row r="30310" spans="129:129" x14ac:dyDescent="0.2">
      <c r="DY30310" s="185" t="s">
        <v>215</v>
      </c>
    </row>
    <row r="30311" spans="129:129" x14ac:dyDescent="0.2">
      <c r="DY30311" s="185" t="s">
        <v>215</v>
      </c>
    </row>
    <row r="30312" spans="129:129" x14ac:dyDescent="0.2">
      <c r="DY30312" s="185" t="s">
        <v>215</v>
      </c>
    </row>
    <row r="30313" spans="129:129" x14ac:dyDescent="0.2">
      <c r="DY30313" s="185" t="s">
        <v>215</v>
      </c>
    </row>
    <row r="30314" spans="129:129" x14ac:dyDescent="0.2">
      <c r="DY30314" s="185" t="s">
        <v>215</v>
      </c>
    </row>
    <row r="30315" spans="129:129" x14ac:dyDescent="0.2">
      <c r="DY30315" s="185" t="s">
        <v>215</v>
      </c>
    </row>
    <row r="30316" spans="129:129" x14ac:dyDescent="0.2">
      <c r="DY30316" s="185" t="s">
        <v>215</v>
      </c>
    </row>
    <row r="30317" spans="129:129" x14ac:dyDescent="0.2">
      <c r="DY30317" s="185" t="s">
        <v>215</v>
      </c>
    </row>
    <row r="30318" spans="129:129" x14ac:dyDescent="0.2">
      <c r="DY30318" s="185" t="s">
        <v>215</v>
      </c>
    </row>
    <row r="30319" spans="129:129" x14ac:dyDescent="0.2">
      <c r="DY30319" s="185" t="s">
        <v>215</v>
      </c>
    </row>
    <row r="30320" spans="129:129" x14ac:dyDescent="0.2">
      <c r="DY30320" s="185" t="s">
        <v>215</v>
      </c>
    </row>
    <row r="30321" spans="129:129" x14ac:dyDescent="0.2">
      <c r="DY30321" s="185" t="s">
        <v>215</v>
      </c>
    </row>
    <row r="30322" spans="129:129" x14ac:dyDescent="0.2">
      <c r="DY30322" s="185" t="s">
        <v>215</v>
      </c>
    </row>
    <row r="30323" spans="129:129" x14ac:dyDescent="0.2">
      <c r="DY30323" s="185" t="s">
        <v>215</v>
      </c>
    </row>
    <row r="30324" spans="129:129" x14ac:dyDescent="0.2">
      <c r="DY30324" s="185" t="s">
        <v>215</v>
      </c>
    </row>
    <row r="30325" spans="129:129" x14ac:dyDescent="0.2">
      <c r="DY30325" s="185" t="s">
        <v>215</v>
      </c>
    </row>
    <row r="30326" spans="129:129" x14ac:dyDescent="0.2">
      <c r="DY30326" s="185" t="s">
        <v>215</v>
      </c>
    </row>
    <row r="30327" spans="129:129" x14ac:dyDescent="0.2">
      <c r="DY30327" s="185" t="s">
        <v>215</v>
      </c>
    </row>
    <row r="30328" spans="129:129" x14ac:dyDescent="0.2">
      <c r="DY30328" s="185" t="s">
        <v>215</v>
      </c>
    </row>
    <row r="30329" spans="129:129" x14ac:dyDescent="0.2">
      <c r="DY30329" s="185" t="s">
        <v>215</v>
      </c>
    </row>
    <row r="30330" spans="129:129" x14ac:dyDescent="0.2">
      <c r="DY30330" s="185" t="s">
        <v>215</v>
      </c>
    </row>
    <row r="30331" spans="129:129" x14ac:dyDescent="0.2">
      <c r="DY30331" s="185" t="s">
        <v>215</v>
      </c>
    </row>
    <row r="30332" spans="129:129" x14ac:dyDescent="0.2">
      <c r="DY30332" s="185" t="s">
        <v>215</v>
      </c>
    </row>
    <row r="30333" spans="129:129" x14ac:dyDescent="0.2">
      <c r="DY30333" s="185" t="s">
        <v>215</v>
      </c>
    </row>
    <row r="30334" spans="129:129" x14ac:dyDescent="0.2">
      <c r="DY30334" s="185" t="s">
        <v>215</v>
      </c>
    </row>
    <row r="30335" spans="129:129" x14ac:dyDescent="0.2">
      <c r="DY30335" s="185" t="s">
        <v>215</v>
      </c>
    </row>
    <row r="30336" spans="129:129" x14ac:dyDescent="0.2">
      <c r="DY30336" s="185" t="s">
        <v>215</v>
      </c>
    </row>
    <row r="30337" spans="129:129" x14ac:dyDescent="0.2">
      <c r="DY30337" s="185" t="s">
        <v>215</v>
      </c>
    </row>
    <row r="30338" spans="129:129" x14ac:dyDescent="0.2">
      <c r="DY30338" s="185" t="s">
        <v>215</v>
      </c>
    </row>
    <row r="30339" spans="129:129" x14ac:dyDescent="0.2">
      <c r="DY30339" s="185" t="s">
        <v>215</v>
      </c>
    </row>
    <row r="30340" spans="129:129" x14ac:dyDescent="0.2">
      <c r="DY30340" s="185" t="s">
        <v>215</v>
      </c>
    </row>
    <row r="30341" spans="129:129" x14ac:dyDescent="0.2">
      <c r="DY30341" s="185" t="s">
        <v>215</v>
      </c>
    </row>
    <row r="30342" spans="129:129" x14ac:dyDescent="0.2">
      <c r="DY30342" s="185" t="s">
        <v>215</v>
      </c>
    </row>
    <row r="30343" spans="129:129" x14ac:dyDescent="0.2">
      <c r="DY30343" s="185" t="s">
        <v>215</v>
      </c>
    </row>
    <row r="30344" spans="129:129" x14ac:dyDescent="0.2">
      <c r="DY30344" s="185" t="s">
        <v>215</v>
      </c>
    </row>
    <row r="30345" spans="129:129" x14ac:dyDescent="0.2">
      <c r="DY30345" s="185" t="s">
        <v>215</v>
      </c>
    </row>
    <row r="30346" spans="129:129" x14ac:dyDescent="0.2">
      <c r="DY30346" s="185" t="s">
        <v>215</v>
      </c>
    </row>
    <row r="30347" spans="129:129" x14ac:dyDescent="0.2">
      <c r="DY30347" s="185" t="s">
        <v>215</v>
      </c>
    </row>
    <row r="30348" spans="129:129" x14ac:dyDescent="0.2">
      <c r="DY30348" s="185" t="s">
        <v>215</v>
      </c>
    </row>
    <row r="30349" spans="129:129" x14ac:dyDescent="0.2">
      <c r="DY30349" s="185" t="s">
        <v>215</v>
      </c>
    </row>
    <row r="30350" spans="129:129" x14ac:dyDescent="0.2">
      <c r="DY30350" s="185" t="s">
        <v>215</v>
      </c>
    </row>
    <row r="30351" spans="129:129" x14ac:dyDescent="0.2">
      <c r="DY30351" s="185" t="s">
        <v>215</v>
      </c>
    </row>
    <row r="30352" spans="129:129" x14ac:dyDescent="0.2">
      <c r="DY30352" s="185" t="s">
        <v>215</v>
      </c>
    </row>
    <row r="30353" spans="129:129" x14ac:dyDescent="0.2">
      <c r="DY30353" s="185" t="s">
        <v>215</v>
      </c>
    </row>
    <row r="30354" spans="129:129" x14ac:dyDescent="0.2">
      <c r="DY30354" s="185" t="s">
        <v>215</v>
      </c>
    </row>
    <row r="30355" spans="129:129" x14ac:dyDescent="0.2">
      <c r="DY30355" s="185" t="s">
        <v>215</v>
      </c>
    </row>
    <row r="30356" spans="129:129" x14ac:dyDescent="0.2">
      <c r="DY30356" s="185" t="s">
        <v>215</v>
      </c>
    </row>
    <row r="30357" spans="129:129" x14ac:dyDescent="0.2">
      <c r="DY30357" s="185" t="s">
        <v>215</v>
      </c>
    </row>
    <row r="30358" spans="129:129" x14ac:dyDescent="0.2">
      <c r="DY30358" s="185" t="s">
        <v>215</v>
      </c>
    </row>
    <row r="30359" spans="129:129" x14ac:dyDescent="0.2">
      <c r="DY30359" s="185" t="s">
        <v>215</v>
      </c>
    </row>
    <row r="30360" spans="129:129" x14ac:dyDescent="0.2">
      <c r="DY30360" s="185" t="s">
        <v>215</v>
      </c>
    </row>
    <row r="30361" spans="129:129" x14ac:dyDescent="0.2">
      <c r="DY30361" s="185" t="s">
        <v>215</v>
      </c>
    </row>
    <row r="30362" spans="129:129" x14ac:dyDescent="0.2">
      <c r="DY30362" s="185" t="s">
        <v>215</v>
      </c>
    </row>
    <row r="30363" spans="129:129" x14ac:dyDescent="0.2">
      <c r="DY30363" s="185" t="s">
        <v>215</v>
      </c>
    </row>
    <row r="30364" spans="129:129" x14ac:dyDescent="0.2">
      <c r="DY30364" s="185" t="s">
        <v>215</v>
      </c>
    </row>
    <row r="30365" spans="129:129" x14ac:dyDescent="0.2">
      <c r="DY30365" s="185" t="s">
        <v>215</v>
      </c>
    </row>
    <row r="30366" spans="129:129" x14ac:dyDescent="0.2">
      <c r="DY30366" s="185" t="s">
        <v>215</v>
      </c>
    </row>
    <row r="30367" spans="129:129" x14ac:dyDescent="0.2">
      <c r="DY30367" s="185" t="s">
        <v>215</v>
      </c>
    </row>
    <row r="30368" spans="129:129" x14ac:dyDescent="0.2">
      <c r="DY30368" s="185" t="s">
        <v>215</v>
      </c>
    </row>
    <row r="30369" spans="129:129" x14ac:dyDescent="0.2">
      <c r="DY30369" s="185" t="s">
        <v>215</v>
      </c>
    </row>
    <row r="30370" spans="129:129" x14ac:dyDescent="0.2">
      <c r="DY30370" s="185" t="s">
        <v>215</v>
      </c>
    </row>
    <row r="30371" spans="129:129" x14ac:dyDescent="0.2">
      <c r="DY30371" s="185" t="s">
        <v>215</v>
      </c>
    </row>
    <row r="30372" spans="129:129" x14ac:dyDescent="0.2">
      <c r="DY30372" s="185" t="s">
        <v>215</v>
      </c>
    </row>
    <row r="30373" spans="129:129" x14ac:dyDescent="0.2">
      <c r="DY30373" s="185" t="s">
        <v>215</v>
      </c>
    </row>
    <row r="30374" spans="129:129" x14ac:dyDescent="0.2">
      <c r="DY30374" s="185" t="s">
        <v>215</v>
      </c>
    </row>
    <row r="30375" spans="129:129" x14ac:dyDescent="0.2">
      <c r="DY30375" s="185" t="s">
        <v>215</v>
      </c>
    </row>
    <row r="30376" spans="129:129" x14ac:dyDescent="0.2">
      <c r="DY30376" s="185" t="s">
        <v>215</v>
      </c>
    </row>
    <row r="30377" spans="129:129" x14ac:dyDescent="0.2">
      <c r="DY30377" s="185" t="s">
        <v>215</v>
      </c>
    </row>
    <row r="30378" spans="129:129" x14ac:dyDescent="0.2">
      <c r="DY30378" s="185" t="s">
        <v>215</v>
      </c>
    </row>
    <row r="30379" spans="129:129" x14ac:dyDescent="0.2">
      <c r="DY30379" s="185" t="s">
        <v>215</v>
      </c>
    </row>
    <row r="30380" spans="129:129" x14ac:dyDescent="0.2">
      <c r="DY30380" s="185" t="s">
        <v>215</v>
      </c>
    </row>
    <row r="30381" spans="129:129" x14ac:dyDescent="0.2">
      <c r="DY30381" s="185" t="s">
        <v>215</v>
      </c>
    </row>
    <row r="30382" spans="129:129" x14ac:dyDescent="0.2">
      <c r="DY30382" s="185" t="s">
        <v>215</v>
      </c>
    </row>
    <row r="30383" spans="129:129" x14ac:dyDescent="0.2">
      <c r="DY30383" s="185" t="s">
        <v>215</v>
      </c>
    </row>
    <row r="30384" spans="129:129" x14ac:dyDescent="0.2">
      <c r="DY30384" s="185" t="s">
        <v>215</v>
      </c>
    </row>
    <row r="30385" spans="129:129" x14ac:dyDescent="0.2">
      <c r="DY30385" s="185" t="s">
        <v>215</v>
      </c>
    </row>
    <row r="30386" spans="129:129" x14ac:dyDescent="0.2">
      <c r="DY30386" s="185" t="s">
        <v>215</v>
      </c>
    </row>
    <row r="30387" spans="129:129" x14ac:dyDescent="0.2">
      <c r="DY30387" s="185" t="s">
        <v>215</v>
      </c>
    </row>
    <row r="30388" spans="129:129" x14ac:dyDescent="0.2">
      <c r="DY30388" s="185" t="s">
        <v>215</v>
      </c>
    </row>
    <row r="30389" spans="129:129" x14ac:dyDescent="0.2">
      <c r="DY30389" s="185" t="s">
        <v>215</v>
      </c>
    </row>
    <row r="30390" spans="129:129" x14ac:dyDescent="0.2">
      <c r="DY30390" s="185" t="s">
        <v>215</v>
      </c>
    </row>
    <row r="30391" spans="129:129" x14ac:dyDescent="0.2">
      <c r="DY30391" s="185" t="s">
        <v>215</v>
      </c>
    </row>
    <row r="30392" spans="129:129" x14ac:dyDescent="0.2">
      <c r="DY30392" s="185" t="s">
        <v>215</v>
      </c>
    </row>
    <row r="30393" spans="129:129" x14ac:dyDescent="0.2">
      <c r="DY30393" s="185" t="s">
        <v>215</v>
      </c>
    </row>
    <row r="30394" spans="129:129" x14ac:dyDescent="0.2">
      <c r="DY30394" s="185" t="s">
        <v>215</v>
      </c>
    </row>
    <row r="30395" spans="129:129" x14ac:dyDescent="0.2">
      <c r="DY30395" s="185" t="s">
        <v>215</v>
      </c>
    </row>
    <row r="30396" spans="129:129" x14ac:dyDescent="0.2">
      <c r="DY30396" s="185" t="s">
        <v>215</v>
      </c>
    </row>
    <row r="30397" spans="129:129" x14ac:dyDescent="0.2">
      <c r="DY30397" s="185" t="s">
        <v>215</v>
      </c>
    </row>
    <row r="30398" spans="129:129" x14ac:dyDescent="0.2">
      <c r="DY30398" s="185" t="s">
        <v>215</v>
      </c>
    </row>
    <row r="30399" spans="129:129" x14ac:dyDescent="0.2">
      <c r="DY30399" s="185" t="s">
        <v>215</v>
      </c>
    </row>
    <row r="30400" spans="129:129" x14ac:dyDescent="0.2">
      <c r="DY30400" s="185" t="s">
        <v>215</v>
      </c>
    </row>
    <row r="30401" spans="129:129" x14ac:dyDescent="0.2">
      <c r="DY30401" s="185" t="s">
        <v>215</v>
      </c>
    </row>
    <row r="30402" spans="129:129" x14ac:dyDescent="0.2">
      <c r="DY30402" s="185" t="s">
        <v>215</v>
      </c>
    </row>
    <row r="30403" spans="129:129" x14ac:dyDescent="0.2">
      <c r="DY30403" s="185" t="s">
        <v>215</v>
      </c>
    </row>
    <row r="30404" spans="129:129" x14ac:dyDescent="0.2">
      <c r="DY30404" s="185" t="s">
        <v>215</v>
      </c>
    </row>
    <row r="30405" spans="129:129" x14ac:dyDescent="0.2">
      <c r="DY30405" s="185" t="s">
        <v>215</v>
      </c>
    </row>
    <row r="30406" spans="129:129" x14ac:dyDescent="0.2">
      <c r="DY30406" s="185" t="s">
        <v>215</v>
      </c>
    </row>
    <row r="30407" spans="129:129" x14ac:dyDescent="0.2">
      <c r="DY30407" s="185" t="s">
        <v>215</v>
      </c>
    </row>
    <row r="30408" spans="129:129" x14ac:dyDescent="0.2">
      <c r="DY30408" s="185" t="s">
        <v>215</v>
      </c>
    </row>
    <row r="30409" spans="129:129" x14ac:dyDescent="0.2">
      <c r="DY30409" s="185" t="s">
        <v>215</v>
      </c>
    </row>
    <row r="30410" spans="129:129" x14ac:dyDescent="0.2">
      <c r="DY30410" s="185" t="s">
        <v>215</v>
      </c>
    </row>
    <row r="30411" spans="129:129" x14ac:dyDescent="0.2">
      <c r="DY30411" s="185" t="s">
        <v>215</v>
      </c>
    </row>
    <row r="30412" spans="129:129" x14ac:dyDescent="0.2">
      <c r="DY30412" s="185" t="s">
        <v>215</v>
      </c>
    </row>
    <row r="30413" spans="129:129" x14ac:dyDescent="0.2">
      <c r="DY30413" s="185" t="s">
        <v>215</v>
      </c>
    </row>
    <row r="30414" spans="129:129" x14ac:dyDescent="0.2">
      <c r="DY30414" s="185" t="s">
        <v>215</v>
      </c>
    </row>
    <row r="30415" spans="129:129" x14ac:dyDescent="0.2">
      <c r="DY30415" s="185" t="s">
        <v>215</v>
      </c>
    </row>
    <row r="30416" spans="129:129" x14ac:dyDescent="0.2">
      <c r="DY30416" s="185" t="s">
        <v>215</v>
      </c>
    </row>
    <row r="30417" spans="129:129" x14ac:dyDescent="0.2">
      <c r="DY30417" s="185" t="s">
        <v>215</v>
      </c>
    </row>
    <row r="30418" spans="129:129" x14ac:dyDescent="0.2">
      <c r="DY30418" s="185" t="s">
        <v>215</v>
      </c>
    </row>
    <row r="30419" spans="129:129" x14ac:dyDescent="0.2">
      <c r="DY30419" s="185" t="s">
        <v>215</v>
      </c>
    </row>
    <row r="30420" spans="129:129" x14ac:dyDescent="0.2">
      <c r="DY30420" s="185" t="s">
        <v>215</v>
      </c>
    </row>
    <row r="30421" spans="129:129" x14ac:dyDescent="0.2">
      <c r="DY30421" s="185" t="s">
        <v>215</v>
      </c>
    </row>
    <row r="30422" spans="129:129" x14ac:dyDescent="0.2">
      <c r="DY30422" s="185" t="s">
        <v>215</v>
      </c>
    </row>
    <row r="30423" spans="129:129" x14ac:dyDescent="0.2">
      <c r="DY30423" s="185" t="s">
        <v>215</v>
      </c>
    </row>
    <row r="30424" spans="129:129" x14ac:dyDescent="0.2">
      <c r="DY30424" s="185" t="s">
        <v>215</v>
      </c>
    </row>
    <row r="30425" spans="129:129" x14ac:dyDescent="0.2">
      <c r="DY30425" s="185" t="s">
        <v>215</v>
      </c>
    </row>
    <row r="30426" spans="129:129" x14ac:dyDescent="0.2">
      <c r="DY30426" s="185" t="s">
        <v>215</v>
      </c>
    </row>
    <row r="30427" spans="129:129" x14ac:dyDescent="0.2">
      <c r="DY30427" s="185" t="s">
        <v>215</v>
      </c>
    </row>
    <row r="30428" spans="129:129" x14ac:dyDescent="0.2">
      <c r="DY30428" s="185" t="s">
        <v>215</v>
      </c>
    </row>
    <row r="30429" spans="129:129" x14ac:dyDescent="0.2">
      <c r="DY30429" s="185" t="s">
        <v>215</v>
      </c>
    </row>
    <row r="30430" spans="129:129" x14ac:dyDescent="0.2">
      <c r="DY30430" s="185" t="s">
        <v>215</v>
      </c>
    </row>
    <row r="30431" spans="129:129" x14ac:dyDescent="0.2">
      <c r="DY30431" s="185" t="s">
        <v>215</v>
      </c>
    </row>
    <row r="30432" spans="129:129" x14ac:dyDescent="0.2">
      <c r="DY30432" s="185" t="s">
        <v>215</v>
      </c>
    </row>
    <row r="30433" spans="129:129" x14ac:dyDescent="0.2">
      <c r="DY30433" s="185" t="s">
        <v>215</v>
      </c>
    </row>
    <row r="30434" spans="129:129" x14ac:dyDescent="0.2">
      <c r="DY30434" s="185" t="s">
        <v>215</v>
      </c>
    </row>
    <row r="30435" spans="129:129" x14ac:dyDescent="0.2">
      <c r="DY30435" s="185" t="s">
        <v>215</v>
      </c>
    </row>
    <row r="30436" spans="129:129" x14ac:dyDescent="0.2">
      <c r="DY30436" s="185" t="s">
        <v>215</v>
      </c>
    </row>
    <row r="30437" spans="129:129" x14ac:dyDescent="0.2">
      <c r="DY30437" s="185" t="s">
        <v>215</v>
      </c>
    </row>
    <row r="30438" spans="129:129" x14ac:dyDescent="0.2">
      <c r="DY30438" s="185" t="s">
        <v>215</v>
      </c>
    </row>
    <row r="30439" spans="129:129" x14ac:dyDescent="0.2">
      <c r="DY30439" s="185" t="s">
        <v>215</v>
      </c>
    </row>
    <row r="30440" spans="129:129" x14ac:dyDescent="0.2">
      <c r="DY30440" s="185" t="s">
        <v>215</v>
      </c>
    </row>
    <row r="30441" spans="129:129" x14ac:dyDescent="0.2">
      <c r="DY30441" s="185" t="s">
        <v>215</v>
      </c>
    </row>
    <row r="30442" spans="129:129" x14ac:dyDescent="0.2">
      <c r="DY30442" s="185" t="s">
        <v>215</v>
      </c>
    </row>
    <row r="30443" spans="129:129" x14ac:dyDescent="0.2">
      <c r="DY30443" s="185" t="s">
        <v>215</v>
      </c>
    </row>
    <row r="30444" spans="129:129" x14ac:dyDescent="0.2">
      <c r="DY30444" s="185" t="s">
        <v>215</v>
      </c>
    </row>
    <row r="30445" spans="129:129" x14ac:dyDescent="0.2">
      <c r="DY30445" s="185" t="s">
        <v>215</v>
      </c>
    </row>
    <row r="30446" spans="129:129" x14ac:dyDescent="0.2">
      <c r="DY30446" s="185" t="s">
        <v>215</v>
      </c>
    </row>
    <row r="30447" spans="129:129" x14ac:dyDescent="0.2">
      <c r="DY30447" s="185" t="s">
        <v>215</v>
      </c>
    </row>
    <row r="30448" spans="129:129" x14ac:dyDescent="0.2">
      <c r="DY30448" s="185" t="s">
        <v>215</v>
      </c>
    </row>
    <row r="30449" spans="129:129" x14ac:dyDescent="0.2">
      <c r="DY30449" s="185" t="s">
        <v>215</v>
      </c>
    </row>
    <row r="30450" spans="129:129" x14ac:dyDescent="0.2">
      <c r="DY30450" s="185" t="s">
        <v>215</v>
      </c>
    </row>
    <row r="30451" spans="129:129" x14ac:dyDescent="0.2">
      <c r="DY30451" s="185" t="s">
        <v>215</v>
      </c>
    </row>
    <row r="30452" spans="129:129" x14ac:dyDescent="0.2">
      <c r="DY30452" s="185" t="s">
        <v>215</v>
      </c>
    </row>
    <row r="30453" spans="129:129" x14ac:dyDescent="0.2">
      <c r="DY30453" s="185" t="s">
        <v>215</v>
      </c>
    </row>
    <row r="30454" spans="129:129" x14ac:dyDescent="0.2">
      <c r="DY30454" s="185" t="s">
        <v>215</v>
      </c>
    </row>
    <row r="30455" spans="129:129" x14ac:dyDescent="0.2">
      <c r="DY30455" s="185" t="s">
        <v>215</v>
      </c>
    </row>
    <row r="30456" spans="129:129" x14ac:dyDescent="0.2">
      <c r="DY30456" s="185" t="s">
        <v>215</v>
      </c>
    </row>
    <row r="30457" spans="129:129" x14ac:dyDescent="0.2">
      <c r="DY30457" s="185" t="s">
        <v>215</v>
      </c>
    </row>
    <row r="30458" spans="129:129" x14ac:dyDescent="0.2">
      <c r="DY30458" s="185" t="s">
        <v>215</v>
      </c>
    </row>
    <row r="30459" spans="129:129" x14ac:dyDescent="0.2">
      <c r="DY30459" s="185" t="s">
        <v>215</v>
      </c>
    </row>
    <row r="30460" spans="129:129" x14ac:dyDescent="0.2">
      <c r="DY30460" s="185" t="s">
        <v>215</v>
      </c>
    </row>
    <row r="30461" spans="129:129" x14ac:dyDescent="0.2">
      <c r="DY30461" s="185" t="s">
        <v>215</v>
      </c>
    </row>
    <row r="30462" spans="129:129" x14ac:dyDescent="0.2">
      <c r="DY30462" s="185" t="s">
        <v>215</v>
      </c>
    </row>
    <row r="30463" spans="129:129" x14ac:dyDescent="0.2">
      <c r="DY30463" s="185" t="s">
        <v>215</v>
      </c>
    </row>
    <row r="30464" spans="129:129" x14ac:dyDescent="0.2">
      <c r="DY30464" s="185" t="s">
        <v>215</v>
      </c>
    </row>
    <row r="30465" spans="129:129" x14ac:dyDescent="0.2">
      <c r="DY30465" s="185" t="s">
        <v>215</v>
      </c>
    </row>
    <row r="30466" spans="129:129" x14ac:dyDescent="0.2">
      <c r="DY30466" s="185" t="s">
        <v>215</v>
      </c>
    </row>
    <row r="30467" spans="129:129" x14ac:dyDescent="0.2">
      <c r="DY30467" s="185" t="s">
        <v>215</v>
      </c>
    </row>
    <row r="30468" spans="129:129" x14ac:dyDescent="0.2">
      <c r="DY30468" s="185" t="s">
        <v>215</v>
      </c>
    </row>
    <row r="30469" spans="129:129" x14ac:dyDescent="0.2">
      <c r="DY30469" s="185" t="s">
        <v>215</v>
      </c>
    </row>
    <row r="30470" spans="129:129" x14ac:dyDescent="0.2">
      <c r="DY30470" s="185" t="s">
        <v>215</v>
      </c>
    </row>
    <row r="30471" spans="129:129" x14ac:dyDescent="0.2">
      <c r="DY30471" s="185" t="s">
        <v>215</v>
      </c>
    </row>
    <row r="30472" spans="129:129" x14ac:dyDescent="0.2">
      <c r="DY30472" s="185" t="s">
        <v>215</v>
      </c>
    </row>
    <row r="30473" spans="129:129" x14ac:dyDescent="0.2">
      <c r="DY30473" s="185" t="s">
        <v>215</v>
      </c>
    </row>
    <row r="30474" spans="129:129" x14ac:dyDescent="0.2">
      <c r="DY30474" s="185" t="s">
        <v>215</v>
      </c>
    </row>
    <row r="30475" spans="129:129" x14ac:dyDescent="0.2">
      <c r="DY30475" s="185" t="s">
        <v>215</v>
      </c>
    </row>
    <row r="30476" spans="129:129" x14ac:dyDescent="0.2">
      <c r="DY30476" s="185" t="s">
        <v>215</v>
      </c>
    </row>
    <row r="30477" spans="129:129" x14ac:dyDescent="0.2">
      <c r="DY30477" s="185" t="s">
        <v>215</v>
      </c>
    </row>
    <row r="30478" spans="129:129" x14ac:dyDescent="0.2">
      <c r="DY30478" s="185" t="s">
        <v>215</v>
      </c>
    </row>
    <row r="30479" spans="129:129" x14ac:dyDescent="0.2">
      <c r="DY30479" s="185" t="s">
        <v>215</v>
      </c>
    </row>
    <row r="30480" spans="129:129" x14ac:dyDescent="0.2">
      <c r="DY30480" s="185" t="s">
        <v>215</v>
      </c>
    </row>
    <row r="30481" spans="129:129" x14ac:dyDescent="0.2">
      <c r="DY30481" s="185" t="s">
        <v>215</v>
      </c>
    </row>
    <row r="30482" spans="129:129" x14ac:dyDescent="0.2">
      <c r="DY30482" s="185" t="s">
        <v>215</v>
      </c>
    </row>
    <row r="30483" spans="129:129" x14ac:dyDescent="0.2">
      <c r="DY30483" s="185" t="s">
        <v>215</v>
      </c>
    </row>
    <row r="30484" spans="129:129" x14ac:dyDescent="0.2">
      <c r="DY30484" s="185" t="s">
        <v>215</v>
      </c>
    </row>
    <row r="30485" spans="129:129" x14ac:dyDescent="0.2">
      <c r="DY30485" s="185" t="s">
        <v>215</v>
      </c>
    </row>
    <row r="30486" spans="129:129" x14ac:dyDescent="0.2">
      <c r="DY30486" s="185" t="s">
        <v>215</v>
      </c>
    </row>
    <row r="30487" spans="129:129" x14ac:dyDescent="0.2">
      <c r="DY30487" s="185" t="s">
        <v>215</v>
      </c>
    </row>
    <row r="30488" spans="129:129" x14ac:dyDescent="0.2">
      <c r="DY30488" s="185" t="s">
        <v>215</v>
      </c>
    </row>
    <row r="30489" spans="129:129" x14ac:dyDescent="0.2">
      <c r="DY30489" s="185" t="s">
        <v>215</v>
      </c>
    </row>
    <row r="30490" spans="129:129" x14ac:dyDescent="0.2">
      <c r="DY30490" s="185" t="s">
        <v>215</v>
      </c>
    </row>
    <row r="30491" spans="129:129" x14ac:dyDescent="0.2">
      <c r="DY30491" s="185" t="s">
        <v>215</v>
      </c>
    </row>
    <row r="30492" spans="129:129" x14ac:dyDescent="0.2">
      <c r="DY30492" s="185" t="s">
        <v>215</v>
      </c>
    </row>
    <row r="30493" spans="129:129" x14ac:dyDescent="0.2">
      <c r="DY30493" s="185" t="s">
        <v>215</v>
      </c>
    </row>
    <row r="30494" spans="129:129" x14ac:dyDescent="0.2">
      <c r="DY30494" s="185" t="s">
        <v>215</v>
      </c>
    </row>
    <row r="30495" spans="129:129" x14ac:dyDescent="0.2">
      <c r="DY30495" s="185" t="s">
        <v>215</v>
      </c>
    </row>
    <row r="30496" spans="129:129" x14ac:dyDescent="0.2">
      <c r="DY30496" s="185" t="s">
        <v>215</v>
      </c>
    </row>
    <row r="30497" spans="129:129" x14ac:dyDescent="0.2">
      <c r="DY30497" s="185" t="s">
        <v>215</v>
      </c>
    </row>
    <row r="30498" spans="129:129" x14ac:dyDescent="0.2">
      <c r="DY30498" s="185" t="s">
        <v>215</v>
      </c>
    </row>
    <row r="30499" spans="129:129" x14ac:dyDescent="0.2">
      <c r="DY30499" s="185" t="s">
        <v>215</v>
      </c>
    </row>
    <row r="30500" spans="129:129" x14ac:dyDescent="0.2">
      <c r="DY30500" s="185" t="s">
        <v>215</v>
      </c>
    </row>
    <row r="30501" spans="129:129" x14ac:dyDescent="0.2">
      <c r="DY30501" s="185" t="s">
        <v>215</v>
      </c>
    </row>
    <row r="30502" spans="129:129" x14ac:dyDescent="0.2">
      <c r="DY30502" s="185" t="s">
        <v>215</v>
      </c>
    </row>
    <row r="30503" spans="129:129" x14ac:dyDescent="0.2">
      <c r="DY30503" s="185" t="s">
        <v>215</v>
      </c>
    </row>
    <row r="30504" spans="129:129" x14ac:dyDescent="0.2">
      <c r="DY30504" s="185" t="s">
        <v>215</v>
      </c>
    </row>
    <row r="30505" spans="129:129" x14ac:dyDescent="0.2">
      <c r="DY30505" s="185" t="s">
        <v>215</v>
      </c>
    </row>
    <row r="30506" spans="129:129" x14ac:dyDescent="0.2">
      <c r="DY30506" s="185" t="s">
        <v>215</v>
      </c>
    </row>
    <row r="30507" spans="129:129" x14ac:dyDescent="0.2">
      <c r="DY30507" s="185" t="s">
        <v>215</v>
      </c>
    </row>
    <row r="30508" spans="129:129" x14ac:dyDescent="0.2">
      <c r="DY30508" s="185" t="s">
        <v>215</v>
      </c>
    </row>
    <row r="30509" spans="129:129" x14ac:dyDescent="0.2">
      <c r="DY30509" s="185" t="s">
        <v>215</v>
      </c>
    </row>
    <row r="30510" spans="129:129" x14ac:dyDescent="0.2">
      <c r="DY30510" s="185" t="s">
        <v>215</v>
      </c>
    </row>
    <row r="30511" spans="129:129" x14ac:dyDescent="0.2">
      <c r="DY30511" s="185" t="s">
        <v>215</v>
      </c>
    </row>
    <row r="30512" spans="129:129" x14ac:dyDescent="0.2">
      <c r="DY30512" s="185" t="s">
        <v>215</v>
      </c>
    </row>
    <row r="30513" spans="129:129" x14ac:dyDescent="0.2">
      <c r="DY30513" s="185" t="s">
        <v>215</v>
      </c>
    </row>
    <row r="30514" spans="129:129" x14ac:dyDescent="0.2">
      <c r="DY30514" s="185" t="s">
        <v>215</v>
      </c>
    </row>
    <row r="30515" spans="129:129" x14ac:dyDescent="0.2">
      <c r="DY30515" s="185" t="s">
        <v>215</v>
      </c>
    </row>
    <row r="30516" spans="129:129" x14ac:dyDescent="0.2">
      <c r="DY30516" s="185" t="s">
        <v>215</v>
      </c>
    </row>
    <row r="30517" spans="129:129" x14ac:dyDescent="0.2">
      <c r="DY30517" s="185" t="s">
        <v>215</v>
      </c>
    </row>
    <row r="30518" spans="129:129" x14ac:dyDescent="0.2">
      <c r="DY30518" s="185" t="s">
        <v>215</v>
      </c>
    </row>
    <row r="30519" spans="129:129" x14ac:dyDescent="0.2">
      <c r="DY30519" s="185" t="s">
        <v>215</v>
      </c>
    </row>
    <row r="30520" spans="129:129" x14ac:dyDescent="0.2">
      <c r="DY30520" s="185" t="s">
        <v>215</v>
      </c>
    </row>
    <row r="30521" spans="129:129" x14ac:dyDescent="0.2">
      <c r="DY30521" s="185" t="s">
        <v>215</v>
      </c>
    </row>
    <row r="30522" spans="129:129" x14ac:dyDescent="0.2">
      <c r="DY30522" s="185" t="s">
        <v>215</v>
      </c>
    </row>
    <row r="30523" spans="129:129" x14ac:dyDescent="0.2">
      <c r="DY30523" s="185" t="s">
        <v>215</v>
      </c>
    </row>
    <row r="30524" spans="129:129" x14ac:dyDescent="0.2">
      <c r="DY30524" s="185" t="s">
        <v>215</v>
      </c>
    </row>
    <row r="30525" spans="129:129" x14ac:dyDescent="0.2">
      <c r="DY30525" s="185" t="s">
        <v>215</v>
      </c>
    </row>
    <row r="30526" spans="129:129" x14ac:dyDescent="0.2">
      <c r="DY30526" s="185" t="s">
        <v>215</v>
      </c>
    </row>
    <row r="30527" spans="129:129" x14ac:dyDescent="0.2">
      <c r="DY30527" s="185" t="s">
        <v>215</v>
      </c>
    </row>
    <row r="30528" spans="129:129" x14ac:dyDescent="0.2">
      <c r="DY30528" s="185" t="s">
        <v>215</v>
      </c>
    </row>
    <row r="30529" spans="129:129" x14ac:dyDescent="0.2">
      <c r="DY30529" s="185" t="s">
        <v>215</v>
      </c>
    </row>
    <row r="30530" spans="129:129" x14ac:dyDescent="0.2">
      <c r="DY30530" s="185" t="s">
        <v>215</v>
      </c>
    </row>
    <row r="30531" spans="129:129" x14ac:dyDescent="0.2">
      <c r="DY30531" s="185" t="s">
        <v>215</v>
      </c>
    </row>
    <row r="30532" spans="129:129" x14ac:dyDescent="0.2">
      <c r="DY30532" s="185" t="s">
        <v>215</v>
      </c>
    </row>
    <row r="30533" spans="129:129" x14ac:dyDescent="0.2">
      <c r="DY30533" s="185" t="s">
        <v>215</v>
      </c>
    </row>
    <row r="30534" spans="129:129" x14ac:dyDescent="0.2">
      <c r="DY30534" s="185" t="s">
        <v>215</v>
      </c>
    </row>
    <row r="30535" spans="129:129" x14ac:dyDescent="0.2">
      <c r="DY30535" s="185" t="s">
        <v>215</v>
      </c>
    </row>
    <row r="30536" spans="129:129" x14ac:dyDescent="0.2">
      <c r="DY30536" s="185" t="s">
        <v>215</v>
      </c>
    </row>
    <row r="30537" spans="129:129" x14ac:dyDescent="0.2">
      <c r="DY30537" s="185" t="s">
        <v>215</v>
      </c>
    </row>
    <row r="30538" spans="129:129" x14ac:dyDescent="0.2">
      <c r="DY30538" s="185" t="s">
        <v>215</v>
      </c>
    </row>
    <row r="30539" spans="129:129" x14ac:dyDescent="0.2">
      <c r="DY30539" s="185" t="s">
        <v>215</v>
      </c>
    </row>
    <row r="30540" spans="129:129" x14ac:dyDescent="0.2">
      <c r="DY30540" s="185" t="s">
        <v>215</v>
      </c>
    </row>
    <row r="30541" spans="129:129" x14ac:dyDescent="0.2">
      <c r="DY30541" s="185" t="s">
        <v>215</v>
      </c>
    </row>
    <row r="30542" spans="129:129" x14ac:dyDescent="0.2">
      <c r="DY30542" s="185" t="s">
        <v>215</v>
      </c>
    </row>
    <row r="30543" spans="129:129" x14ac:dyDescent="0.2">
      <c r="DY30543" s="185" t="s">
        <v>215</v>
      </c>
    </row>
    <row r="30544" spans="129:129" x14ac:dyDescent="0.2">
      <c r="DY30544" s="185" t="s">
        <v>215</v>
      </c>
    </row>
    <row r="30545" spans="129:129" x14ac:dyDescent="0.2">
      <c r="DY30545" s="185" t="s">
        <v>215</v>
      </c>
    </row>
    <row r="30546" spans="129:129" x14ac:dyDescent="0.2">
      <c r="DY30546" s="185" t="s">
        <v>215</v>
      </c>
    </row>
    <row r="30547" spans="129:129" x14ac:dyDescent="0.2">
      <c r="DY30547" s="185" t="s">
        <v>215</v>
      </c>
    </row>
    <row r="30548" spans="129:129" x14ac:dyDescent="0.2">
      <c r="DY30548" s="185" t="s">
        <v>215</v>
      </c>
    </row>
    <row r="30549" spans="129:129" x14ac:dyDescent="0.2">
      <c r="DY30549" s="185" t="s">
        <v>215</v>
      </c>
    </row>
    <row r="30550" spans="129:129" x14ac:dyDescent="0.2">
      <c r="DY30550" s="185" t="s">
        <v>215</v>
      </c>
    </row>
    <row r="30551" spans="129:129" x14ac:dyDescent="0.2">
      <c r="DY30551" s="185" t="s">
        <v>215</v>
      </c>
    </row>
    <row r="30552" spans="129:129" x14ac:dyDescent="0.2">
      <c r="DY30552" s="185" t="s">
        <v>215</v>
      </c>
    </row>
    <row r="30553" spans="129:129" x14ac:dyDescent="0.2">
      <c r="DY30553" s="185" t="s">
        <v>215</v>
      </c>
    </row>
    <row r="30554" spans="129:129" x14ac:dyDescent="0.2">
      <c r="DY30554" s="185" t="s">
        <v>215</v>
      </c>
    </row>
    <row r="30555" spans="129:129" x14ac:dyDescent="0.2">
      <c r="DY30555" s="185" t="s">
        <v>215</v>
      </c>
    </row>
    <row r="30556" spans="129:129" x14ac:dyDescent="0.2">
      <c r="DY30556" s="185" t="s">
        <v>215</v>
      </c>
    </row>
    <row r="30557" spans="129:129" x14ac:dyDescent="0.2">
      <c r="DY30557" s="185" t="s">
        <v>215</v>
      </c>
    </row>
    <row r="30558" spans="129:129" x14ac:dyDescent="0.2">
      <c r="DY30558" s="185" t="s">
        <v>215</v>
      </c>
    </row>
    <row r="30559" spans="129:129" x14ac:dyDescent="0.2">
      <c r="DY30559" s="185" t="s">
        <v>215</v>
      </c>
    </row>
    <row r="30560" spans="129:129" x14ac:dyDescent="0.2">
      <c r="DY30560" s="185" t="s">
        <v>215</v>
      </c>
    </row>
    <row r="30561" spans="129:129" x14ac:dyDescent="0.2">
      <c r="DY30561" s="185" t="s">
        <v>215</v>
      </c>
    </row>
    <row r="30562" spans="129:129" x14ac:dyDescent="0.2">
      <c r="DY30562" s="185" t="s">
        <v>215</v>
      </c>
    </row>
    <row r="30563" spans="129:129" x14ac:dyDescent="0.2">
      <c r="DY30563" s="185" t="s">
        <v>215</v>
      </c>
    </row>
    <row r="30564" spans="129:129" x14ac:dyDescent="0.2">
      <c r="DY30564" s="185" t="s">
        <v>215</v>
      </c>
    </row>
    <row r="30565" spans="129:129" x14ac:dyDescent="0.2">
      <c r="DY30565" s="185" t="s">
        <v>215</v>
      </c>
    </row>
    <row r="30566" spans="129:129" x14ac:dyDescent="0.2">
      <c r="DY30566" s="185" t="s">
        <v>215</v>
      </c>
    </row>
    <row r="30567" spans="129:129" x14ac:dyDescent="0.2">
      <c r="DY30567" s="185" t="s">
        <v>215</v>
      </c>
    </row>
    <row r="30568" spans="129:129" x14ac:dyDescent="0.2">
      <c r="DY30568" s="185" t="s">
        <v>215</v>
      </c>
    </row>
    <row r="30569" spans="129:129" x14ac:dyDescent="0.2">
      <c r="DY30569" s="185" t="s">
        <v>215</v>
      </c>
    </row>
    <row r="30570" spans="129:129" x14ac:dyDescent="0.2">
      <c r="DY30570" s="185" t="s">
        <v>215</v>
      </c>
    </row>
    <row r="30571" spans="129:129" x14ac:dyDescent="0.2">
      <c r="DY30571" s="185" t="s">
        <v>215</v>
      </c>
    </row>
    <row r="30572" spans="129:129" x14ac:dyDescent="0.2">
      <c r="DY30572" s="185" t="s">
        <v>215</v>
      </c>
    </row>
    <row r="30573" spans="129:129" x14ac:dyDescent="0.2">
      <c r="DY30573" s="185" t="s">
        <v>215</v>
      </c>
    </row>
    <row r="30574" spans="129:129" x14ac:dyDescent="0.2">
      <c r="DY30574" s="185" t="s">
        <v>215</v>
      </c>
    </row>
    <row r="30575" spans="129:129" x14ac:dyDescent="0.2">
      <c r="DY30575" s="185" t="s">
        <v>215</v>
      </c>
    </row>
    <row r="30576" spans="129:129" x14ac:dyDescent="0.2">
      <c r="DY30576" s="185" t="s">
        <v>215</v>
      </c>
    </row>
    <row r="30577" spans="129:129" x14ac:dyDescent="0.2">
      <c r="DY30577" s="185" t="s">
        <v>215</v>
      </c>
    </row>
    <row r="30578" spans="129:129" x14ac:dyDescent="0.2">
      <c r="DY30578" s="185" t="s">
        <v>215</v>
      </c>
    </row>
    <row r="30579" spans="129:129" x14ac:dyDescent="0.2">
      <c r="DY30579" s="185" t="s">
        <v>215</v>
      </c>
    </row>
    <row r="30580" spans="129:129" x14ac:dyDescent="0.2">
      <c r="DY30580" s="185" t="s">
        <v>215</v>
      </c>
    </row>
    <row r="30581" spans="129:129" x14ac:dyDescent="0.2">
      <c r="DY30581" s="185" t="s">
        <v>215</v>
      </c>
    </row>
    <row r="30582" spans="129:129" x14ac:dyDescent="0.2">
      <c r="DY30582" s="185" t="s">
        <v>215</v>
      </c>
    </row>
    <row r="30583" spans="129:129" x14ac:dyDescent="0.2">
      <c r="DY30583" s="185" t="s">
        <v>215</v>
      </c>
    </row>
    <row r="30584" spans="129:129" x14ac:dyDescent="0.2">
      <c r="DY30584" s="185" t="s">
        <v>215</v>
      </c>
    </row>
    <row r="30585" spans="129:129" x14ac:dyDescent="0.2">
      <c r="DY30585" s="185" t="s">
        <v>215</v>
      </c>
    </row>
    <row r="30586" spans="129:129" x14ac:dyDescent="0.2">
      <c r="DY30586" s="185" t="s">
        <v>215</v>
      </c>
    </row>
    <row r="30587" spans="129:129" x14ac:dyDescent="0.2">
      <c r="DY30587" s="185" t="s">
        <v>215</v>
      </c>
    </row>
    <row r="30588" spans="129:129" x14ac:dyDescent="0.2">
      <c r="DY30588" s="185" t="s">
        <v>215</v>
      </c>
    </row>
    <row r="30589" spans="129:129" x14ac:dyDescent="0.2">
      <c r="DY30589" s="185" t="s">
        <v>215</v>
      </c>
    </row>
    <row r="30590" spans="129:129" x14ac:dyDescent="0.2">
      <c r="DY30590" s="185" t="s">
        <v>215</v>
      </c>
    </row>
    <row r="30591" spans="129:129" x14ac:dyDescent="0.2">
      <c r="DY30591" s="185" t="s">
        <v>215</v>
      </c>
    </row>
    <row r="30592" spans="129:129" x14ac:dyDescent="0.2">
      <c r="DY30592" s="185" t="s">
        <v>215</v>
      </c>
    </row>
    <row r="30593" spans="129:129" x14ac:dyDescent="0.2">
      <c r="DY30593" s="185" t="s">
        <v>215</v>
      </c>
    </row>
    <row r="30594" spans="129:129" x14ac:dyDescent="0.2">
      <c r="DY30594" s="185" t="s">
        <v>215</v>
      </c>
    </row>
    <row r="30595" spans="129:129" x14ac:dyDescent="0.2">
      <c r="DY30595" s="185" t="s">
        <v>215</v>
      </c>
    </row>
    <row r="30596" spans="129:129" x14ac:dyDescent="0.2">
      <c r="DY30596" s="185" t="s">
        <v>215</v>
      </c>
    </row>
    <row r="30597" spans="129:129" x14ac:dyDescent="0.2">
      <c r="DY30597" s="185" t="s">
        <v>215</v>
      </c>
    </row>
    <row r="30598" spans="129:129" x14ac:dyDescent="0.2">
      <c r="DY30598" s="185" t="s">
        <v>215</v>
      </c>
    </row>
    <row r="30599" spans="129:129" x14ac:dyDescent="0.2">
      <c r="DY30599" s="185" t="s">
        <v>215</v>
      </c>
    </row>
    <row r="30600" spans="129:129" x14ac:dyDescent="0.2">
      <c r="DY30600" s="185" t="s">
        <v>215</v>
      </c>
    </row>
    <row r="30601" spans="129:129" x14ac:dyDescent="0.2">
      <c r="DY30601" s="185" t="s">
        <v>215</v>
      </c>
    </row>
    <row r="30602" spans="129:129" x14ac:dyDescent="0.2">
      <c r="DY30602" s="185" t="s">
        <v>215</v>
      </c>
    </row>
    <row r="30603" spans="129:129" x14ac:dyDescent="0.2">
      <c r="DY30603" s="185" t="s">
        <v>215</v>
      </c>
    </row>
    <row r="30604" spans="129:129" x14ac:dyDescent="0.2">
      <c r="DY30604" s="185" t="s">
        <v>215</v>
      </c>
    </row>
    <row r="30605" spans="129:129" x14ac:dyDescent="0.2">
      <c r="DY30605" s="185" t="s">
        <v>215</v>
      </c>
    </row>
    <row r="30606" spans="129:129" x14ac:dyDescent="0.2">
      <c r="DY30606" s="185" t="s">
        <v>215</v>
      </c>
    </row>
    <row r="30607" spans="129:129" x14ac:dyDescent="0.2">
      <c r="DY30607" s="185" t="s">
        <v>215</v>
      </c>
    </row>
    <row r="30608" spans="129:129" x14ac:dyDescent="0.2">
      <c r="DY30608" s="185" t="s">
        <v>215</v>
      </c>
    </row>
    <row r="30609" spans="129:129" x14ac:dyDescent="0.2">
      <c r="DY30609" s="185" t="s">
        <v>215</v>
      </c>
    </row>
    <row r="30610" spans="129:129" x14ac:dyDescent="0.2">
      <c r="DY30610" s="185" t="s">
        <v>215</v>
      </c>
    </row>
    <row r="30611" spans="129:129" x14ac:dyDescent="0.2">
      <c r="DY30611" s="185" t="s">
        <v>215</v>
      </c>
    </row>
    <row r="30612" spans="129:129" x14ac:dyDescent="0.2">
      <c r="DY30612" s="185" t="s">
        <v>215</v>
      </c>
    </row>
    <row r="30613" spans="129:129" x14ac:dyDescent="0.2">
      <c r="DY30613" s="185" t="s">
        <v>215</v>
      </c>
    </row>
    <row r="30614" spans="129:129" x14ac:dyDescent="0.2">
      <c r="DY30614" s="185" t="s">
        <v>215</v>
      </c>
    </row>
    <row r="30615" spans="129:129" x14ac:dyDescent="0.2">
      <c r="DY30615" s="185" t="s">
        <v>215</v>
      </c>
    </row>
    <row r="30616" spans="129:129" x14ac:dyDescent="0.2">
      <c r="DY30616" s="185" t="s">
        <v>215</v>
      </c>
    </row>
    <row r="30617" spans="129:129" x14ac:dyDescent="0.2">
      <c r="DY30617" s="185" t="s">
        <v>215</v>
      </c>
    </row>
    <row r="30618" spans="129:129" x14ac:dyDescent="0.2">
      <c r="DY30618" s="185" t="s">
        <v>215</v>
      </c>
    </row>
    <row r="30619" spans="129:129" x14ac:dyDescent="0.2">
      <c r="DY30619" s="185" t="s">
        <v>215</v>
      </c>
    </row>
    <row r="30620" spans="129:129" x14ac:dyDescent="0.2">
      <c r="DY30620" s="185" t="s">
        <v>215</v>
      </c>
    </row>
    <row r="30621" spans="129:129" x14ac:dyDescent="0.2">
      <c r="DY30621" s="185" t="s">
        <v>215</v>
      </c>
    </row>
    <row r="30622" spans="129:129" x14ac:dyDescent="0.2">
      <c r="DY30622" s="185" t="s">
        <v>215</v>
      </c>
    </row>
    <row r="30623" spans="129:129" x14ac:dyDescent="0.2">
      <c r="DY30623" s="185" t="s">
        <v>215</v>
      </c>
    </row>
    <row r="30624" spans="129:129" x14ac:dyDescent="0.2">
      <c r="DY30624" s="185" t="s">
        <v>215</v>
      </c>
    </row>
    <row r="30625" spans="129:129" x14ac:dyDescent="0.2">
      <c r="DY30625" s="185" t="s">
        <v>215</v>
      </c>
    </row>
    <row r="30626" spans="129:129" x14ac:dyDescent="0.2">
      <c r="DY30626" s="185" t="s">
        <v>215</v>
      </c>
    </row>
    <row r="30627" spans="129:129" x14ac:dyDescent="0.2">
      <c r="DY30627" s="185" t="s">
        <v>215</v>
      </c>
    </row>
    <row r="30628" spans="129:129" x14ac:dyDescent="0.2">
      <c r="DY30628" s="185" t="s">
        <v>215</v>
      </c>
    </row>
    <row r="30629" spans="129:129" x14ac:dyDescent="0.2">
      <c r="DY30629" s="185" t="s">
        <v>215</v>
      </c>
    </row>
    <row r="30630" spans="129:129" x14ac:dyDescent="0.2">
      <c r="DY30630" s="185" t="s">
        <v>215</v>
      </c>
    </row>
    <row r="30631" spans="129:129" x14ac:dyDescent="0.2">
      <c r="DY30631" s="185" t="s">
        <v>215</v>
      </c>
    </row>
    <row r="30632" spans="129:129" x14ac:dyDescent="0.2">
      <c r="DY30632" s="185" t="s">
        <v>215</v>
      </c>
    </row>
    <row r="30633" spans="129:129" x14ac:dyDescent="0.2">
      <c r="DY30633" s="185" t="s">
        <v>215</v>
      </c>
    </row>
    <row r="30634" spans="129:129" x14ac:dyDescent="0.2">
      <c r="DY30634" s="185" t="s">
        <v>215</v>
      </c>
    </row>
    <row r="30635" spans="129:129" x14ac:dyDescent="0.2">
      <c r="DY30635" s="185" t="s">
        <v>215</v>
      </c>
    </row>
    <row r="30636" spans="129:129" x14ac:dyDescent="0.2">
      <c r="DY30636" s="185" t="s">
        <v>215</v>
      </c>
    </row>
    <row r="30637" spans="129:129" x14ac:dyDescent="0.2">
      <c r="DY30637" s="185" t="s">
        <v>215</v>
      </c>
    </row>
    <row r="30638" spans="129:129" x14ac:dyDescent="0.2">
      <c r="DY30638" s="185" t="s">
        <v>215</v>
      </c>
    </row>
    <row r="30639" spans="129:129" x14ac:dyDescent="0.2">
      <c r="DY30639" s="185" t="s">
        <v>215</v>
      </c>
    </row>
    <row r="30640" spans="129:129" x14ac:dyDescent="0.2">
      <c r="DY30640" s="185" t="s">
        <v>215</v>
      </c>
    </row>
    <row r="30641" spans="129:129" x14ac:dyDescent="0.2">
      <c r="DY30641" s="185" t="s">
        <v>215</v>
      </c>
    </row>
    <row r="30642" spans="129:129" x14ac:dyDescent="0.2">
      <c r="DY30642" s="185" t="s">
        <v>215</v>
      </c>
    </row>
    <row r="30643" spans="129:129" x14ac:dyDescent="0.2">
      <c r="DY30643" s="185" t="s">
        <v>215</v>
      </c>
    </row>
    <row r="30644" spans="129:129" x14ac:dyDescent="0.2">
      <c r="DY30644" s="185" t="s">
        <v>215</v>
      </c>
    </row>
    <row r="30645" spans="129:129" x14ac:dyDescent="0.2">
      <c r="DY30645" s="185" t="s">
        <v>215</v>
      </c>
    </row>
    <row r="30646" spans="129:129" x14ac:dyDescent="0.2">
      <c r="DY30646" s="185" t="s">
        <v>215</v>
      </c>
    </row>
    <row r="30647" spans="129:129" x14ac:dyDescent="0.2">
      <c r="DY30647" s="185" t="s">
        <v>215</v>
      </c>
    </row>
    <row r="30648" spans="129:129" x14ac:dyDescent="0.2">
      <c r="DY30648" s="185" t="s">
        <v>215</v>
      </c>
    </row>
    <row r="30649" spans="129:129" x14ac:dyDescent="0.2">
      <c r="DY30649" s="185" t="s">
        <v>215</v>
      </c>
    </row>
    <row r="30650" spans="129:129" x14ac:dyDescent="0.2">
      <c r="DY30650" s="185" t="s">
        <v>215</v>
      </c>
    </row>
    <row r="30651" spans="129:129" x14ac:dyDescent="0.2">
      <c r="DY30651" s="185" t="s">
        <v>215</v>
      </c>
    </row>
    <row r="30652" spans="129:129" x14ac:dyDescent="0.2">
      <c r="DY30652" s="185" t="s">
        <v>215</v>
      </c>
    </row>
    <row r="30653" spans="129:129" x14ac:dyDescent="0.2">
      <c r="DY30653" s="185" t="s">
        <v>215</v>
      </c>
    </row>
    <row r="30654" spans="129:129" x14ac:dyDescent="0.2">
      <c r="DY30654" s="185" t="s">
        <v>215</v>
      </c>
    </row>
    <row r="30655" spans="129:129" x14ac:dyDescent="0.2">
      <c r="DY30655" s="185" t="s">
        <v>215</v>
      </c>
    </row>
    <row r="30656" spans="129:129" x14ac:dyDescent="0.2">
      <c r="DY30656" s="185" t="s">
        <v>215</v>
      </c>
    </row>
    <row r="30657" spans="129:129" x14ac:dyDescent="0.2">
      <c r="DY30657" s="185" t="s">
        <v>215</v>
      </c>
    </row>
    <row r="30658" spans="129:129" x14ac:dyDescent="0.2">
      <c r="DY30658" s="185" t="s">
        <v>215</v>
      </c>
    </row>
    <row r="30659" spans="129:129" x14ac:dyDescent="0.2">
      <c r="DY30659" s="185" t="s">
        <v>215</v>
      </c>
    </row>
    <row r="30660" spans="129:129" x14ac:dyDescent="0.2">
      <c r="DY30660" s="185" t="s">
        <v>215</v>
      </c>
    </row>
    <row r="30661" spans="129:129" x14ac:dyDescent="0.2">
      <c r="DY30661" s="185" t="s">
        <v>215</v>
      </c>
    </row>
    <row r="30662" spans="129:129" x14ac:dyDescent="0.2">
      <c r="DY30662" s="185" t="s">
        <v>215</v>
      </c>
    </row>
    <row r="30663" spans="129:129" x14ac:dyDescent="0.2">
      <c r="DY30663" s="185" t="s">
        <v>215</v>
      </c>
    </row>
    <row r="30664" spans="129:129" x14ac:dyDescent="0.2">
      <c r="DY30664" s="185" t="s">
        <v>215</v>
      </c>
    </row>
    <row r="30665" spans="129:129" x14ac:dyDescent="0.2">
      <c r="DY30665" s="185" t="s">
        <v>215</v>
      </c>
    </row>
    <row r="30666" spans="129:129" x14ac:dyDescent="0.2">
      <c r="DY30666" s="185" t="s">
        <v>215</v>
      </c>
    </row>
    <row r="30667" spans="129:129" x14ac:dyDescent="0.2">
      <c r="DY30667" s="185" t="s">
        <v>215</v>
      </c>
    </row>
    <row r="30668" spans="129:129" x14ac:dyDescent="0.2">
      <c r="DY30668" s="185" t="s">
        <v>215</v>
      </c>
    </row>
    <row r="30669" spans="129:129" x14ac:dyDescent="0.2">
      <c r="DY30669" s="185" t="s">
        <v>215</v>
      </c>
    </row>
    <row r="30670" spans="129:129" x14ac:dyDescent="0.2">
      <c r="DY30670" s="185" t="s">
        <v>215</v>
      </c>
    </row>
    <row r="30671" spans="129:129" x14ac:dyDescent="0.2">
      <c r="DY30671" s="185" t="s">
        <v>215</v>
      </c>
    </row>
    <row r="30672" spans="129:129" x14ac:dyDescent="0.2">
      <c r="DY30672" s="185" t="s">
        <v>215</v>
      </c>
    </row>
    <row r="30673" spans="129:129" x14ac:dyDescent="0.2">
      <c r="DY30673" s="185" t="s">
        <v>215</v>
      </c>
    </row>
    <row r="30674" spans="129:129" x14ac:dyDescent="0.2">
      <c r="DY30674" s="185" t="s">
        <v>215</v>
      </c>
    </row>
    <row r="30675" spans="129:129" x14ac:dyDescent="0.2">
      <c r="DY30675" s="185" t="s">
        <v>215</v>
      </c>
    </row>
    <row r="30676" spans="129:129" x14ac:dyDescent="0.2">
      <c r="DY30676" s="185" t="s">
        <v>215</v>
      </c>
    </row>
    <row r="30677" spans="129:129" x14ac:dyDescent="0.2">
      <c r="DY30677" s="185" t="s">
        <v>215</v>
      </c>
    </row>
    <row r="30678" spans="129:129" x14ac:dyDescent="0.2">
      <c r="DY30678" s="185" t="s">
        <v>215</v>
      </c>
    </row>
    <row r="30679" spans="129:129" x14ac:dyDescent="0.2">
      <c r="DY30679" s="185" t="s">
        <v>215</v>
      </c>
    </row>
    <row r="30680" spans="129:129" x14ac:dyDescent="0.2">
      <c r="DY30680" s="185" t="s">
        <v>215</v>
      </c>
    </row>
    <row r="30681" spans="129:129" x14ac:dyDescent="0.2">
      <c r="DY30681" s="185" t="s">
        <v>215</v>
      </c>
    </row>
    <row r="30682" spans="129:129" x14ac:dyDescent="0.2">
      <c r="DY30682" s="185" t="s">
        <v>215</v>
      </c>
    </row>
    <row r="30683" spans="129:129" x14ac:dyDescent="0.2">
      <c r="DY30683" s="185" t="s">
        <v>215</v>
      </c>
    </row>
    <row r="30684" spans="129:129" x14ac:dyDescent="0.2">
      <c r="DY30684" s="185" t="s">
        <v>215</v>
      </c>
    </row>
    <row r="30685" spans="129:129" x14ac:dyDescent="0.2">
      <c r="DY30685" s="185" t="s">
        <v>215</v>
      </c>
    </row>
    <row r="30686" spans="129:129" x14ac:dyDescent="0.2">
      <c r="DY30686" s="185" t="s">
        <v>215</v>
      </c>
    </row>
    <row r="30687" spans="129:129" x14ac:dyDescent="0.2">
      <c r="DY30687" s="185" t="s">
        <v>215</v>
      </c>
    </row>
    <row r="30688" spans="129:129" x14ac:dyDescent="0.2">
      <c r="DY30688" s="185" t="s">
        <v>215</v>
      </c>
    </row>
    <row r="30689" spans="129:129" x14ac:dyDescent="0.2">
      <c r="DY30689" s="185" t="s">
        <v>215</v>
      </c>
    </row>
    <row r="30690" spans="129:129" x14ac:dyDescent="0.2">
      <c r="DY30690" s="185" t="s">
        <v>215</v>
      </c>
    </row>
    <row r="30691" spans="129:129" x14ac:dyDescent="0.2">
      <c r="DY30691" s="185" t="s">
        <v>215</v>
      </c>
    </row>
    <row r="30692" spans="129:129" x14ac:dyDescent="0.2">
      <c r="DY30692" s="185" t="s">
        <v>215</v>
      </c>
    </row>
    <row r="30693" spans="129:129" x14ac:dyDescent="0.2">
      <c r="DY30693" s="185" t="s">
        <v>215</v>
      </c>
    </row>
    <row r="30694" spans="129:129" x14ac:dyDescent="0.2">
      <c r="DY30694" s="185" t="s">
        <v>215</v>
      </c>
    </row>
    <row r="30695" spans="129:129" x14ac:dyDescent="0.2">
      <c r="DY30695" s="185" t="s">
        <v>215</v>
      </c>
    </row>
    <row r="30696" spans="129:129" x14ac:dyDescent="0.2">
      <c r="DY30696" s="185" t="s">
        <v>215</v>
      </c>
    </row>
    <row r="30697" spans="129:129" x14ac:dyDescent="0.2">
      <c r="DY30697" s="185" t="s">
        <v>215</v>
      </c>
    </row>
    <row r="30698" spans="129:129" x14ac:dyDescent="0.2">
      <c r="DY30698" s="185" t="s">
        <v>215</v>
      </c>
    </row>
    <row r="30699" spans="129:129" x14ac:dyDescent="0.2">
      <c r="DY30699" s="185" t="s">
        <v>215</v>
      </c>
    </row>
    <row r="30700" spans="129:129" x14ac:dyDescent="0.2">
      <c r="DY30700" s="185" t="s">
        <v>215</v>
      </c>
    </row>
    <row r="30701" spans="129:129" x14ac:dyDescent="0.2">
      <c r="DY30701" s="185" t="s">
        <v>215</v>
      </c>
    </row>
    <row r="30702" spans="129:129" x14ac:dyDescent="0.2">
      <c r="DY30702" s="185" t="s">
        <v>215</v>
      </c>
    </row>
    <row r="30703" spans="129:129" x14ac:dyDescent="0.2">
      <c r="DY30703" s="185" t="s">
        <v>215</v>
      </c>
    </row>
    <row r="30704" spans="129:129" x14ac:dyDescent="0.2">
      <c r="DY30704" s="185" t="s">
        <v>215</v>
      </c>
    </row>
    <row r="30705" spans="129:129" x14ac:dyDescent="0.2">
      <c r="DY30705" s="185" t="s">
        <v>215</v>
      </c>
    </row>
    <row r="30706" spans="129:129" x14ac:dyDescent="0.2">
      <c r="DY30706" s="185" t="s">
        <v>215</v>
      </c>
    </row>
    <row r="30707" spans="129:129" x14ac:dyDescent="0.2">
      <c r="DY30707" s="185" t="s">
        <v>215</v>
      </c>
    </row>
    <row r="30708" spans="129:129" x14ac:dyDescent="0.2">
      <c r="DY30708" s="185" t="s">
        <v>215</v>
      </c>
    </row>
    <row r="30709" spans="129:129" x14ac:dyDescent="0.2">
      <c r="DY30709" s="185" t="s">
        <v>215</v>
      </c>
    </row>
    <row r="30710" spans="129:129" x14ac:dyDescent="0.2">
      <c r="DY30710" s="185" t="s">
        <v>215</v>
      </c>
    </row>
    <row r="30711" spans="129:129" x14ac:dyDescent="0.2">
      <c r="DY30711" s="185" t="s">
        <v>215</v>
      </c>
    </row>
    <row r="30712" spans="129:129" x14ac:dyDescent="0.2">
      <c r="DY30712" s="185" t="s">
        <v>215</v>
      </c>
    </row>
    <row r="30713" spans="129:129" x14ac:dyDescent="0.2">
      <c r="DY30713" s="185" t="s">
        <v>215</v>
      </c>
    </row>
    <row r="30714" spans="129:129" x14ac:dyDescent="0.2">
      <c r="DY30714" s="185" t="s">
        <v>215</v>
      </c>
    </row>
    <row r="30715" spans="129:129" x14ac:dyDescent="0.2">
      <c r="DY30715" s="185" t="s">
        <v>215</v>
      </c>
    </row>
    <row r="30716" spans="129:129" x14ac:dyDescent="0.2">
      <c r="DY30716" s="185" t="s">
        <v>215</v>
      </c>
    </row>
    <row r="30717" spans="129:129" x14ac:dyDescent="0.2">
      <c r="DY30717" s="185" t="s">
        <v>215</v>
      </c>
    </row>
    <row r="30718" spans="129:129" x14ac:dyDescent="0.2">
      <c r="DY30718" s="185" t="s">
        <v>215</v>
      </c>
    </row>
    <row r="30719" spans="129:129" x14ac:dyDescent="0.2">
      <c r="DY30719" s="185" t="s">
        <v>215</v>
      </c>
    </row>
    <row r="30720" spans="129:129" x14ac:dyDescent="0.2">
      <c r="DY30720" s="185" t="s">
        <v>215</v>
      </c>
    </row>
    <row r="30721" spans="129:129" x14ac:dyDescent="0.2">
      <c r="DY30721" s="185" t="s">
        <v>215</v>
      </c>
    </row>
    <row r="30722" spans="129:129" x14ac:dyDescent="0.2">
      <c r="DY30722" s="185" t="s">
        <v>215</v>
      </c>
    </row>
    <row r="30723" spans="129:129" x14ac:dyDescent="0.2">
      <c r="DY30723" s="185" t="s">
        <v>215</v>
      </c>
    </row>
    <row r="30724" spans="129:129" x14ac:dyDescent="0.2">
      <c r="DY30724" s="185" t="s">
        <v>215</v>
      </c>
    </row>
    <row r="30725" spans="129:129" x14ac:dyDescent="0.2">
      <c r="DY30725" s="185" t="s">
        <v>215</v>
      </c>
    </row>
    <row r="30726" spans="129:129" x14ac:dyDescent="0.2">
      <c r="DY30726" s="185" t="s">
        <v>215</v>
      </c>
    </row>
    <row r="30727" spans="129:129" x14ac:dyDescent="0.2">
      <c r="DY30727" s="185" t="s">
        <v>215</v>
      </c>
    </row>
    <row r="30728" spans="129:129" x14ac:dyDescent="0.2">
      <c r="DY30728" s="185" t="s">
        <v>215</v>
      </c>
    </row>
    <row r="30729" spans="129:129" x14ac:dyDescent="0.2">
      <c r="DY30729" s="185" t="s">
        <v>215</v>
      </c>
    </row>
    <row r="30730" spans="129:129" x14ac:dyDescent="0.2">
      <c r="DY30730" s="185" t="s">
        <v>215</v>
      </c>
    </row>
    <row r="30731" spans="129:129" x14ac:dyDescent="0.2">
      <c r="DY30731" s="185" t="s">
        <v>215</v>
      </c>
    </row>
    <row r="30732" spans="129:129" x14ac:dyDescent="0.2">
      <c r="DY30732" s="185" t="s">
        <v>215</v>
      </c>
    </row>
    <row r="30733" spans="129:129" x14ac:dyDescent="0.2">
      <c r="DY30733" s="185" t="s">
        <v>215</v>
      </c>
    </row>
    <row r="30734" spans="129:129" x14ac:dyDescent="0.2">
      <c r="DY30734" s="185" t="s">
        <v>215</v>
      </c>
    </row>
    <row r="30735" spans="129:129" x14ac:dyDescent="0.2">
      <c r="DY30735" s="185" t="s">
        <v>215</v>
      </c>
    </row>
    <row r="30736" spans="129:129" x14ac:dyDescent="0.2">
      <c r="DY30736" s="185" t="s">
        <v>215</v>
      </c>
    </row>
    <row r="30737" spans="129:129" x14ac:dyDescent="0.2">
      <c r="DY30737" s="185" t="s">
        <v>215</v>
      </c>
    </row>
    <row r="30738" spans="129:129" x14ac:dyDescent="0.2">
      <c r="DY30738" s="185" t="s">
        <v>215</v>
      </c>
    </row>
    <row r="30739" spans="129:129" x14ac:dyDescent="0.2">
      <c r="DY30739" s="185" t="s">
        <v>215</v>
      </c>
    </row>
    <row r="30740" spans="129:129" x14ac:dyDescent="0.2">
      <c r="DY30740" s="185" t="s">
        <v>215</v>
      </c>
    </row>
    <row r="30741" spans="129:129" x14ac:dyDescent="0.2">
      <c r="DY30741" s="185" t="s">
        <v>215</v>
      </c>
    </row>
    <row r="30742" spans="129:129" x14ac:dyDescent="0.2">
      <c r="DY30742" s="185" t="s">
        <v>215</v>
      </c>
    </row>
    <row r="30743" spans="129:129" x14ac:dyDescent="0.2">
      <c r="DY30743" s="185" t="s">
        <v>215</v>
      </c>
    </row>
    <row r="30744" spans="129:129" x14ac:dyDescent="0.2">
      <c r="DY30744" s="185" t="s">
        <v>215</v>
      </c>
    </row>
    <row r="30745" spans="129:129" x14ac:dyDescent="0.2">
      <c r="DY30745" s="185" t="s">
        <v>215</v>
      </c>
    </row>
    <row r="30746" spans="129:129" x14ac:dyDescent="0.2">
      <c r="DY30746" s="185" t="s">
        <v>215</v>
      </c>
    </row>
    <row r="30747" spans="129:129" x14ac:dyDescent="0.2">
      <c r="DY30747" s="185" t="s">
        <v>215</v>
      </c>
    </row>
    <row r="30748" spans="129:129" x14ac:dyDescent="0.2">
      <c r="DY30748" s="185" t="s">
        <v>215</v>
      </c>
    </row>
    <row r="30749" spans="129:129" x14ac:dyDescent="0.2">
      <c r="DY30749" s="185" t="s">
        <v>215</v>
      </c>
    </row>
    <row r="30750" spans="129:129" x14ac:dyDescent="0.2">
      <c r="DY30750" s="185" t="s">
        <v>215</v>
      </c>
    </row>
    <row r="30751" spans="129:129" x14ac:dyDescent="0.2">
      <c r="DY30751" s="185" t="s">
        <v>215</v>
      </c>
    </row>
    <row r="30752" spans="129:129" x14ac:dyDescent="0.2">
      <c r="DY30752" s="185" t="s">
        <v>215</v>
      </c>
    </row>
    <row r="30753" spans="129:129" x14ac:dyDescent="0.2">
      <c r="DY30753" s="185" t="s">
        <v>215</v>
      </c>
    </row>
    <row r="30754" spans="129:129" x14ac:dyDescent="0.2">
      <c r="DY30754" s="185" t="s">
        <v>215</v>
      </c>
    </row>
    <row r="30755" spans="129:129" x14ac:dyDescent="0.2">
      <c r="DY30755" s="185" t="s">
        <v>215</v>
      </c>
    </row>
    <row r="30756" spans="129:129" x14ac:dyDescent="0.2">
      <c r="DY30756" s="185" t="s">
        <v>215</v>
      </c>
    </row>
    <row r="30757" spans="129:129" x14ac:dyDescent="0.2">
      <c r="DY30757" s="185" t="s">
        <v>215</v>
      </c>
    </row>
    <row r="30758" spans="129:129" x14ac:dyDescent="0.2">
      <c r="DY30758" s="185" t="s">
        <v>215</v>
      </c>
    </row>
    <row r="30759" spans="129:129" x14ac:dyDescent="0.2">
      <c r="DY30759" s="185" t="s">
        <v>215</v>
      </c>
    </row>
    <row r="30760" spans="129:129" x14ac:dyDescent="0.2">
      <c r="DY30760" s="185" t="s">
        <v>215</v>
      </c>
    </row>
    <row r="30761" spans="129:129" x14ac:dyDescent="0.2">
      <c r="DY30761" s="185" t="s">
        <v>215</v>
      </c>
    </row>
    <row r="30762" spans="129:129" x14ac:dyDescent="0.2">
      <c r="DY30762" s="185" t="s">
        <v>215</v>
      </c>
    </row>
    <row r="30763" spans="129:129" x14ac:dyDescent="0.2">
      <c r="DY30763" s="185" t="s">
        <v>215</v>
      </c>
    </row>
    <row r="30764" spans="129:129" x14ac:dyDescent="0.2">
      <c r="DY30764" s="185" t="s">
        <v>215</v>
      </c>
    </row>
    <row r="30765" spans="129:129" x14ac:dyDescent="0.2">
      <c r="DY30765" s="185" t="s">
        <v>215</v>
      </c>
    </row>
    <row r="30766" spans="129:129" x14ac:dyDescent="0.2">
      <c r="DY30766" s="185" t="s">
        <v>215</v>
      </c>
    </row>
    <row r="30767" spans="129:129" x14ac:dyDescent="0.2">
      <c r="DY30767" s="185" t="s">
        <v>215</v>
      </c>
    </row>
    <row r="30768" spans="129:129" x14ac:dyDescent="0.2">
      <c r="DY30768" s="185" t="s">
        <v>215</v>
      </c>
    </row>
    <row r="30769" spans="129:129" x14ac:dyDescent="0.2">
      <c r="DY30769" s="185" t="s">
        <v>215</v>
      </c>
    </row>
    <row r="30770" spans="129:129" x14ac:dyDescent="0.2">
      <c r="DY30770" s="185" t="s">
        <v>215</v>
      </c>
    </row>
    <row r="30771" spans="129:129" x14ac:dyDescent="0.2">
      <c r="DY30771" s="185" t="s">
        <v>215</v>
      </c>
    </row>
    <row r="30772" spans="129:129" x14ac:dyDescent="0.2">
      <c r="DY30772" s="185" t="s">
        <v>215</v>
      </c>
    </row>
    <row r="30773" spans="129:129" x14ac:dyDescent="0.2">
      <c r="DY30773" s="185" t="s">
        <v>215</v>
      </c>
    </row>
    <row r="30774" spans="129:129" x14ac:dyDescent="0.2">
      <c r="DY30774" s="185" t="s">
        <v>215</v>
      </c>
    </row>
    <row r="30775" spans="129:129" x14ac:dyDescent="0.2">
      <c r="DY30775" s="185" t="s">
        <v>215</v>
      </c>
    </row>
    <row r="30776" spans="129:129" x14ac:dyDescent="0.2">
      <c r="DY30776" s="185" t="s">
        <v>215</v>
      </c>
    </row>
    <row r="30777" spans="129:129" x14ac:dyDescent="0.2">
      <c r="DY30777" s="185" t="s">
        <v>215</v>
      </c>
    </row>
    <row r="30778" spans="129:129" x14ac:dyDescent="0.2">
      <c r="DY30778" s="185" t="s">
        <v>215</v>
      </c>
    </row>
    <row r="30779" spans="129:129" x14ac:dyDescent="0.2">
      <c r="DY30779" s="185" t="s">
        <v>215</v>
      </c>
    </row>
    <row r="30780" spans="129:129" x14ac:dyDescent="0.2">
      <c r="DY30780" s="185" t="s">
        <v>215</v>
      </c>
    </row>
    <row r="30781" spans="129:129" x14ac:dyDescent="0.2">
      <c r="DY30781" s="185" t="s">
        <v>215</v>
      </c>
    </row>
    <row r="30782" spans="129:129" x14ac:dyDescent="0.2">
      <c r="DY30782" s="185" t="s">
        <v>215</v>
      </c>
    </row>
    <row r="30783" spans="129:129" x14ac:dyDescent="0.2">
      <c r="DY30783" s="185" t="s">
        <v>215</v>
      </c>
    </row>
    <row r="30784" spans="129:129" x14ac:dyDescent="0.2">
      <c r="DY30784" s="185" t="s">
        <v>215</v>
      </c>
    </row>
    <row r="30785" spans="129:129" x14ac:dyDescent="0.2">
      <c r="DY30785" s="185" t="s">
        <v>215</v>
      </c>
    </row>
    <row r="30786" spans="129:129" x14ac:dyDescent="0.2">
      <c r="DY30786" s="185" t="s">
        <v>215</v>
      </c>
    </row>
    <row r="30787" spans="129:129" x14ac:dyDescent="0.2">
      <c r="DY30787" s="185" t="s">
        <v>215</v>
      </c>
    </row>
    <row r="30788" spans="129:129" x14ac:dyDescent="0.2">
      <c r="DY30788" s="185" t="s">
        <v>215</v>
      </c>
    </row>
    <row r="30789" spans="129:129" x14ac:dyDescent="0.2">
      <c r="DY30789" s="185" t="s">
        <v>215</v>
      </c>
    </row>
    <row r="30790" spans="129:129" x14ac:dyDescent="0.2">
      <c r="DY30790" s="185" t="s">
        <v>215</v>
      </c>
    </row>
    <row r="30791" spans="129:129" x14ac:dyDescent="0.2">
      <c r="DY30791" s="185" t="s">
        <v>215</v>
      </c>
    </row>
    <row r="30792" spans="129:129" x14ac:dyDescent="0.2">
      <c r="DY30792" s="185" t="s">
        <v>215</v>
      </c>
    </row>
    <row r="30793" spans="129:129" x14ac:dyDescent="0.2">
      <c r="DY30793" s="185" t="s">
        <v>215</v>
      </c>
    </row>
    <row r="30794" spans="129:129" x14ac:dyDescent="0.2">
      <c r="DY30794" s="185" t="s">
        <v>215</v>
      </c>
    </row>
    <row r="30795" spans="129:129" x14ac:dyDescent="0.2">
      <c r="DY30795" s="185" t="s">
        <v>215</v>
      </c>
    </row>
    <row r="30796" spans="129:129" x14ac:dyDescent="0.2">
      <c r="DY30796" s="185" t="s">
        <v>215</v>
      </c>
    </row>
    <row r="30797" spans="129:129" x14ac:dyDescent="0.2">
      <c r="DY30797" s="185" t="s">
        <v>215</v>
      </c>
    </row>
    <row r="30798" spans="129:129" x14ac:dyDescent="0.2">
      <c r="DY30798" s="185" t="s">
        <v>215</v>
      </c>
    </row>
    <row r="30799" spans="129:129" x14ac:dyDescent="0.2">
      <c r="DY30799" s="185" t="s">
        <v>215</v>
      </c>
    </row>
    <row r="30800" spans="129:129" x14ac:dyDescent="0.2">
      <c r="DY30800" s="185" t="s">
        <v>215</v>
      </c>
    </row>
    <row r="30801" spans="129:129" x14ac:dyDescent="0.2">
      <c r="DY30801" s="185" t="s">
        <v>215</v>
      </c>
    </row>
    <row r="30802" spans="129:129" x14ac:dyDescent="0.2">
      <c r="DY30802" s="185" t="s">
        <v>215</v>
      </c>
    </row>
    <row r="30803" spans="129:129" x14ac:dyDescent="0.2">
      <c r="DY30803" s="185" t="s">
        <v>215</v>
      </c>
    </row>
    <row r="30804" spans="129:129" x14ac:dyDescent="0.2">
      <c r="DY30804" s="185" t="s">
        <v>215</v>
      </c>
    </row>
    <row r="30805" spans="129:129" x14ac:dyDescent="0.2">
      <c r="DY30805" s="185" t="s">
        <v>215</v>
      </c>
    </row>
    <row r="30806" spans="129:129" x14ac:dyDescent="0.2">
      <c r="DY30806" s="185" t="s">
        <v>215</v>
      </c>
    </row>
    <row r="30807" spans="129:129" x14ac:dyDescent="0.2">
      <c r="DY30807" s="185" t="s">
        <v>215</v>
      </c>
    </row>
    <row r="30808" spans="129:129" x14ac:dyDescent="0.2">
      <c r="DY30808" s="185" t="s">
        <v>215</v>
      </c>
    </row>
    <row r="30809" spans="129:129" x14ac:dyDescent="0.2">
      <c r="DY30809" s="185" t="s">
        <v>215</v>
      </c>
    </row>
    <row r="30810" spans="129:129" x14ac:dyDescent="0.2">
      <c r="DY30810" s="185" t="s">
        <v>215</v>
      </c>
    </row>
    <row r="30811" spans="129:129" x14ac:dyDescent="0.2">
      <c r="DY30811" s="185" t="s">
        <v>215</v>
      </c>
    </row>
    <row r="30812" spans="129:129" x14ac:dyDescent="0.2">
      <c r="DY30812" s="185" t="s">
        <v>215</v>
      </c>
    </row>
    <row r="30813" spans="129:129" x14ac:dyDescent="0.2">
      <c r="DY30813" s="185" t="s">
        <v>215</v>
      </c>
    </row>
    <row r="30814" spans="129:129" x14ac:dyDescent="0.2">
      <c r="DY30814" s="185" t="s">
        <v>215</v>
      </c>
    </row>
    <row r="30815" spans="129:129" x14ac:dyDescent="0.2">
      <c r="DY30815" s="185" t="s">
        <v>215</v>
      </c>
    </row>
    <row r="30816" spans="129:129" x14ac:dyDescent="0.2">
      <c r="DY30816" s="185" t="s">
        <v>215</v>
      </c>
    </row>
    <row r="30817" spans="129:129" x14ac:dyDescent="0.2">
      <c r="DY30817" s="185" t="s">
        <v>215</v>
      </c>
    </row>
    <row r="30818" spans="129:129" x14ac:dyDescent="0.2">
      <c r="DY30818" s="185" t="s">
        <v>215</v>
      </c>
    </row>
    <row r="30819" spans="129:129" x14ac:dyDescent="0.2">
      <c r="DY30819" s="185" t="s">
        <v>215</v>
      </c>
    </row>
    <row r="30820" spans="129:129" x14ac:dyDescent="0.2">
      <c r="DY30820" s="185" t="s">
        <v>215</v>
      </c>
    </row>
    <row r="30821" spans="129:129" x14ac:dyDescent="0.2">
      <c r="DY30821" s="185" t="s">
        <v>215</v>
      </c>
    </row>
    <row r="30822" spans="129:129" x14ac:dyDescent="0.2">
      <c r="DY30822" s="185" t="s">
        <v>215</v>
      </c>
    </row>
    <row r="30823" spans="129:129" x14ac:dyDescent="0.2">
      <c r="DY30823" s="185" t="s">
        <v>215</v>
      </c>
    </row>
    <row r="30824" spans="129:129" x14ac:dyDescent="0.2">
      <c r="DY30824" s="185" t="s">
        <v>215</v>
      </c>
    </row>
    <row r="30825" spans="129:129" x14ac:dyDescent="0.2">
      <c r="DY30825" s="185" t="s">
        <v>215</v>
      </c>
    </row>
    <row r="30826" spans="129:129" x14ac:dyDescent="0.2">
      <c r="DY30826" s="185" t="s">
        <v>215</v>
      </c>
    </row>
    <row r="30827" spans="129:129" x14ac:dyDescent="0.2">
      <c r="DY30827" s="185" t="s">
        <v>215</v>
      </c>
    </row>
    <row r="30828" spans="129:129" x14ac:dyDescent="0.2">
      <c r="DY30828" s="185" t="s">
        <v>215</v>
      </c>
    </row>
    <row r="30829" spans="129:129" x14ac:dyDescent="0.2">
      <c r="DY30829" s="185" t="s">
        <v>215</v>
      </c>
    </row>
    <row r="30830" spans="129:129" x14ac:dyDescent="0.2">
      <c r="DY30830" s="185" t="s">
        <v>215</v>
      </c>
    </row>
    <row r="30831" spans="129:129" x14ac:dyDescent="0.2">
      <c r="DY30831" s="185" t="s">
        <v>215</v>
      </c>
    </row>
    <row r="30832" spans="129:129" x14ac:dyDescent="0.2">
      <c r="DY30832" s="185" t="s">
        <v>215</v>
      </c>
    </row>
    <row r="30833" spans="129:129" x14ac:dyDescent="0.2">
      <c r="DY30833" s="185" t="s">
        <v>215</v>
      </c>
    </row>
    <row r="30834" spans="129:129" x14ac:dyDescent="0.2">
      <c r="DY30834" s="185" t="s">
        <v>215</v>
      </c>
    </row>
    <row r="30835" spans="129:129" x14ac:dyDescent="0.2">
      <c r="DY30835" s="185" t="s">
        <v>215</v>
      </c>
    </row>
    <row r="30836" spans="129:129" x14ac:dyDescent="0.2">
      <c r="DY30836" s="185" t="s">
        <v>215</v>
      </c>
    </row>
    <row r="30837" spans="129:129" x14ac:dyDescent="0.2">
      <c r="DY30837" s="185" t="s">
        <v>215</v>
      </c>
    </row>
    <row r="30838" spans="129:129" x14ac:dyDescent="0.2">
      <c r="DY30838" s="185" t="s">
        <v>215</v>
      </c>
    </row>
    <row r="30839" spans="129:129" x14ac:dyDescent="0.2">
      <c r="DY30839" s="185" t="s">
        <v>215</v>
      </c>
    </row>
    <row r="30840" spans="129:129" x14ac:dyDescent="0.2">
      <c r="DY30840" s="185" t="s">
        <v>215</v>
      </c>
    </row>
    <row r="30841" spans="129:129" x14ac:dyDescent="0.2">
      <c r="DY30841" s="185" t="s">
        <v>215</v>
      </c>
    </row>
    <row r="30842" spans="129:129" x14ac:dyDescent="0.2">
      <c r="DY30842" s="185" t="s">
        <v>215</v>
      </c>
    </row>
    <row r="30843" spans="129:129" x14ac:dyDescent="0.2">
      <c r="DY30843" s="185" t="s">
        <v>215</v>
      </c>
    </row>
    <row r="30844" spans="129:129" x14ac:dyDescent="0.2">
      <c r="DY30844" s="185" t="s">
        <v>215</v>
      </c>
    </row>
    <row r="30845" spans="129:129" x14ac:dyDescent="0.2">
      <c r="DY30845" s="185" t="s">
        <v>215</v>
      </c>
    </row>
    <row r="30846" spans="129:129" x14ac:dyDescent="0.2">
      <c r="DY30846" s="185" t="s">
        <v>215</v>
      </c>
    </row>
    <row r="30847" spans="129:129" x14ac:dyDescent="0.2">
      <c r="DY30847" s="185" t="s">
        <v>215</v>
      </c>
    </row>
    <row r="30848" spans="129:129" x14ac:dyDescent="0.2">
      <c r="DY30848" s="185" t="s">
        <v>215</v>
      </c>
    </row>
    <row r="30849" spans="129:129" x14ac:dyDescent="0.2">
      <c r="DY30849" s="185" t="s">
        <v>215</v>
      </c>
    </row>
    <row r="30850" spans="129:129" x14ac:dyDescent="0.2">
      <c r="DY30850" s="185" t="s">
        <v>215</v>
      </c>
    </row>
    <row r="30851" spans="129:129" x14ac:dyDescent="0.2">
      <c r="DY30851" s="185" t="s">
        <v>215</v>
      </c>
    </row>
    <row r="30852" spans="129:129" x14ac:dyDescent="0.2">
      <c r="DY30852" s="185" t="s">
        <v>215</v>
      </c>
    </row>
    <row r="30853" spans="129:129" x14ac:dyDescent="0.2">
      <c r="DY30853" s="185" t="s">
        <v>215</v>
      </c>
    </row>
    <row r="30854" spans="129:129" x14ac:dyDescent="0.2">
      <c r="DY30854" s="185" t="s">
        <v>215</v>
      </c>
    </row>
    <row r="30855" spans="129:129" x14ac:dyDescent="0.2">
      <c r="DY30855" s="185" t="s">
        <v>215</v>
      </c>
    </row>
    <row r="30856" spans="129:129" x14ac:dyDescent="0.2">
      <c r="DY30856" s="185" t="s">
        <v>215</v>
      </c>
    </row>
    <row r="30857" spans="129:129" x14ac:dyDescent="0.2">
      <c r="DY30857" s="185" t="s">
        <v>215</v>
      </c>
    </row>
    <row r="30858" spans="129:129" x14ac:dyDescent="0.2">
      <c r="DY30858" s="185" t="s">
        <v>215</v>
      </c>
    </row>
    <row r="30859" spans="129:129" x14ac:dyDescent="0.2">
      <c r="DY30859" s="185" t="s">
        <v>215</v>
      </c>
    </row>
    <row r="30860" spans="129:129" x14ac:dyDescent="0.2">
      <c r="DY30860" s="185" t="s">
        <v>215</v>
      </c>
    </row>
    <row r="30861" spans="129:129" x14ac:dyDescent="0.2">
      <c r="DY30861" s="185" t="s">
        <v>215</v>
      </c>
    </row>
    <row r="30862" spans="129:129" x14ac:dyDescent="0.2">
      <c r="DY30862" s="185" t="s">
        <v>215</v>
      </c>
    </row>
    <row r="30863" spans="129:129" x14ac:dyDescent="0.2">
      <c r="DY30863" s="185" t="s">
        <v>215</v>
      </c>
    </row>
    <row r="30864" spans="129:129" x14ac:dyDescent="0.2">
      <c r="DY30864" s="185" t="s">
        <v>215</v>
      </c>
    </row>
    <row r="30865" spans="129:129" x14ac:dyDescent="0.2">
      <c r="DY30865" s="185" t="s">
        <v>215</v>
      </c>
    </row>
    <row r="30866" spans="129:129" x14ac:dyDescent="0.2">
      <c r="DY30866" s="185" t="s">
        <v>215</v>
      </c>
    </row>
    <row r="30867" spans="129:129" x14ac:dyDescent="0.2">
      <c r="DY30867" s="185" t="s">
        <v>215</v>
      </c>
    </row>
    <row r="30868" spans="129:129" x14ac:dyDescent="0.2">
      <c r="DY30868" s="185" t="s">
        <v>215</v>
      </c>
    </row>
    <row r="30869" spans="129:129" x14ac:dyDescent="0.2">
      <c r="DY30869" s="185" t="s">
        <v>215</v>
      </c>
    </row>
    <row r="30870" spans="129:129" x14ac:dyDescent="0.2">
      <c r="DY30870" s="185" t="s">
        <v>215</v>
      </c>
    </row>
    <row r="30871" spans="129:129" x14ac:dyDescent="0.2">
      <c r="DY30871" s="185" t="s">
        <v>215</v>
      </c>
    </row>
    <row r="30872" spans="129:129" x14ac:dyDescent="0.2">
      <c r="DY30872" s="185" t="s">
        <v>215</v>
      </c>
    </row>
    <row r="30873" spans="129:129" x14ac:dyDescent="0.2">
      <c r="DY30873" s="185" t="s">
        <v>215</v>
      </c>
    </row>
    <row r="30874" spans="129:129" x14ac:dyDescent="0.2">
      <c r="DY30874" s="185" t="s">
        <v>215</v>
      </c>
    </row>
    <row r="30875" spans="129:129" x14ac:dyDescent="0.2">
      <c r="DY30875" s="185" t="s">
        <v>215</v>
      </c>
    </row>
    <row r="30876" spans="129:129" x14ac:dyDescent="0.2">
      <c r="DY30876" s="185" t="s">
        <v>215</v>
      </c>
    </row>
    <row r="30877" spans="129:129" x14ac:dyDescent="0.2">
      <c r="DY30877" s="185" t="s">
        <v>215</v>
      </c>
    </row>
    <row r="30878" spans="129:129" x14ac:dyDescent="0.2">
      <c r="DY30878" s="185" t="s">
        <v>215</v>
      </c>
    </row>
    <row r="30879" spans="129:129" x14ac:dyDescent="0.2">
      <c r="DY30879" s="185" t="s">
        <v>215</v>
      </c>
    </row>
    <row r="30880" spans="129:129" x14ac:dyDescent="0.2">
      <c r="DY30880" s="185" t="s">
        <v>215</v>
      </c>
    </row>
    <row r="30881" spans="129:129" x14ac:dyDescent="0.2">
      <c r="DY30881" s="185" t="s">
        <v>215</v>
      </c>
    </row>
    <row r="30882" spans="129:129" x14ac:dyDescent="0.2">
      <c r="DY30882" s="185" t="s">
        <v>215</v>
      </c>
    </row>
    <row r="30883" spans="129:129" x14ac:dyDescent="0.2">
      <c r="DY30883" s="185" t="s">
        <v>215</v>
      </c>
    </row>
    <row r="30884" spans="129:129" x14ac:dyDescent="0.2">
      <c r="DY30884" s="185" t="s">
        <v>215</v>
      </c>
    </row>
    <row r="30885" spans="129:129" x14ac:dyDescent="0.2">
      <c r="DY30885" s="185" t="s">
        <v>215</v>
      </c>
    </row>
    <row r="30886" spans="129:129" x14ac:dyDescent="0.2">
      <c r="DY30886" s="185" t="s">
        <v>215</v>
      </c>
    </row>
    <row r="30887" spans="129:129" x14ac:dyDescent="0.2">
      <c r="DY30887" s="185" t="s">
        <v>215</v>
      </c>
    </row>
    <row r="30888" spans="129:129" x14ac:dyDescent="0.2">
      <c r="DY30888" s="185" t="s">
        <v>215</v>
      </c>
    </row>
    <row r="30889" spans="129:129" x14ac:dyDescent="0.2">
      <c r="DY30889" s="185" t="s">
        <v>215</v>
      </c>
    </row>
    <row r="30890" spans="129:129" x14ac:dyDescent="0.2">
      <c r="DY30890" s="185" t="s">
        <v>215</v>
      </c>
    </row>
    <row r="30891" spans="129:129" x14ac:dyDescent="0.2">
      <c r="DY30891" s="185" t="s">
        <v>215</v>
      </c>
    </row>
    <row r="30892" spans="129:129" x14ac:dyDescent="0.2">
      <c r="DY30892" s="185" t="s">
        <v>215</v>
      </c>
    </row>
    <row r="30893" spans="129:129" x14ac:dyDescent="0.2">
      <c r="DY30893" s="185" t="s">
        <v>215</v>
      </c>
    </row>
    <row r="30894" spans="129:129" x14ac:dyDescent="0.2">
      <c r="DY30894" s="185" t="s">
        <v>215</v>
      </c>
    </row>
    <row r="30895" spans="129:129" x14ac:dyDescent="0.2">
      <c r="DY30895" s="185" t="s">
        <v>215</v>
      </c>
    </row>
    <row r="30896" spans="129:129" x14ac:dyDescent="0.2">
      <c r="DY30896" s="185" t="s">
        <v>215</v>
      </c>
    </row>
    <row r="30897" spans="129:129" x14ac:dyDescent="0.2">
      <c r="DY30897" s="185" t="s">
        <v>215</v>
      </c>
    </row>
    <row r="30898" spans="129:129" x14ac:dyDescent="0.2">
      <c r="DY30898" s="185" t="s">
        <v>215</v>
      </c>
    </row>
    <row r="30899" spans="129:129" x14ac:dyDescent="0.2">
      <c r="DY30899" s="185" t="s">
        <v>215</v>
      </c>
    </row>
    <row r="30900" spans="129:129" x14ac:dyDescent="0.2">
      <c r="DY30900" s="185" t="s">
        <v>215</v>
      </c>
    </row>
    <row r="30901" spans="129:129" x14ac:dyDescent="0.2">
      <c r="DY30901" s="185" t="s">
        <v>215</v>
      </c>
    </row>
    <row r="30902" spans="129:129" x14ac:dyDescent="0.2">
      <c r="DY30902" s="185" t="s">
        <v>215</v>
      </c>
    </row>
    <row r="30903" spans="129:129" x14ac:dyDescent="0.2">
      <c r="DY30903" s="185" t="s">
        <v>215</v>
      </c>
    </row>
    <row r="30904" spans="129:129" x14ac:dyDescent="0.2">
      <c r="DY30904" s="185" t="s">
        <v>215</v>
      </c>
    </row>
    <row r="30905" spans="129:129" x14ac:dyDescent="0.2">
      <c r="DY30905" s="185" t="s">
        <v>215</v>
      </c>
    </row>
    <row r="30906" spans="129:129" x14ac:dyDescent="0.2">
      <c r="DY30906" s="185" t="s">
        <v>215</v>
      </c>
    </row>
    <row r="30907" spans="129:129" x14ac:dyDescent="0.2">
      <c r="DY30907" s="185" t="s">
        <v>215</v>
      </c>
    </row>
    <row r="30908" spans="129:129" x14ac:dyDescent="0.2">
      <c r="DY30908" s="185" t="s">
        <v>215</v>
      </c>
    </row>
    <row r="30909" spans="129:129" x14ac:dyDescent="0.2">
      <c r="DY30909" s="185" t="s">
        <v>215</v>
      </c>
    </row>
    <row r="30910" spans="129:129" x14ac:dyDescent="0.2">
      <c r="DY30910" s="185" t="s">
        <v>215</v>
      </c>
    </row>
    <row r="30911" spans="129:129" x14ac:dyDescent="0.2">
      <c r="DY30911" s="185" t="s">
        <v>215</v>
      </c>
    </row>
    <row r="30912" spans="129:129" x14ac:dyDescent="0.2">
      <c r="DY30912" s="185" t="s">
        <v>215</v>
      </c>
    </row>
    <row r="30913" spans="129:129" x14ac:dyDescent="0.2">
      <c r="DY30913" s="185" t="s">
        <v>215</v>
      </c>
    </row>
    <row r="30914" spans="129:129" x14ac:dyDescent="0.2">
      <c r="DY30914" s="185" t="s">
        <v>215</v>
      </c>
    </row>
    <row r="30915" spans="129:129" x14ac:dyDescent="0.2">
      <c r="DY30915" s="185" t="s">
        <v>215</v>
      </c>
    </row>
    <row r="30916" spans="129:129" x14ac:dyDescent="0.2">
      <c r="DY30916" s="185" t="s">
        <v>215</v>
      </c>
    </row>
    <row r="30917" spans="129:129" x14ac:dyDescent="0.2">
      <c r="DY30917" s="185" t="s">
        <v>215</v>
      </c>
    </row>
    <row r="30918" spans="129:129" x14ac:dyDescent="0.2">
      <c r="DY30918" s="185" t="s">
        <v>215</v>
      </c>
    </row>
    <row r="30919" spans="129:129" x14ac:dyDescent="0.2">
      <c r="DY30919" s="185" t="s">
        <v>215</v>
      </c>
    </row>
    <row r="30920" spans="129:129" x14ac:dyDescent="0.2">
      <c r="DY30920" s="185" t="s">
        <v>215</v>
      </c>
    </row>
    <row r="30921" spans="129:129" x14ac:dyDescent="0.2">
      <c r="DY30921" s="185" t="s">
        <v>215</v>
      </c>
    </row>
    <row r="30922" spans="129:129" x14ac:dyDescent="0.2">
      <c r="DY30922" s="185" t="s">
        <v>215</v>
      </c>
    </row>
    <row r="30923" spans="129:129" x14ac:dyDescent="0.2">
      <c r="DY30923" s="185" t="s">
        <v>215</v>
      </c>
    </row>
    <row r="30924" spans="129:129" x14ac:dyDescent="0.2">
      <c r="DY30924" s="185" t="s">
        <v>215</v>
      </c>
    </row>
    <row r="30925" spans="129:129" x14ac:dyDescent="0.2">
      <c r="DY30925" s="185" t="s">
        <v>215</v>
      </c>
    </row>
    <row r="30926" spans="129:129" x14ac:dyDescent="0.2">
      <c r="DY30926" s="185" t="s">
        <v>215</v>
      </c>
    </row>
    <row r="30927" spans="129:129" x14ac:dyDescent="0.2">
      <c r="DY30927" s="185" t="s">
        <v>215</v>
      </c>
    </row>
    <row r="30928" spans="129:129" x14ac:dyDescent="0.2">
      <c r="DY30928" s="185" t="s">
        <v>215</v>
      </c>
    </row>
    <row r="30929" spans="129:129" x14ac:dyDescent="0.2">
      <c r="DY30929" s="185" t="s">
        <v>215</v>
      </c>
    </row>
    <row r="30930" spans="129:129" x14ac:dyDescent="0.2">
      <c r="DY30930" s="185" t="s">
        <v>215</v>
      </c>
    </row>
    <row r="30931" spans="129:129" x14ac:dyDescent="0.2">
      <c r="DY30931" s="185" t="s">
        <v>215</v>
      </c>
    </row>
    <row r="30932" spans="129:129" x14ac:dyDescent="0.2">
      <c r="DY30932" s="185" t="s">
        <v>215</v>
      </c>
    </row>
    <row r="30933" spans="129:129" x14ac:dyDescent="0.2">
      <c r="DY30933" s="185" t="s">
        <v>215</v>
      </c>
    </row>
    <row r="30934" spans="129:129" x14ac:dyDescent="0.2">
      <c r="DY30934" s="185" t="s">
        <v>215</v>
      </c>
    </row>
    <row r="30935" spans="129:129" x14ac:dyDescent="0.2">
      <c r="DY30935" s="185" t="s">
        <v>215</v>
      </c>
    </row>
    <row r="30936" spans="129:129" x14ac:dyDescent="0.2">
      <c r="DY30936" s="185" t="s">
        <v>215</v>
      </c>
    </row>
    <row r="30937" spans="129:129" x14ac:dyDescent="0.2">
      <c r="DY30937" s="185" t="s">
        <v>215</v>
      </c>
    </row>
    <row r="30938" spans="129:129" x14ac:dyDescent="0.2">
      <c r="DY30938" s="185" t="s">
        <v>215</v>
      </c>
    </row>
    <row r="30939" spans="129:129" x14ac:dyDescent="0.2">
      <c r="DY30939" s="185" t="s">
        <v>215</v>
      </c>
    </row>
    <row r="30940" spans="129:129" x14ac:dyDescent="0.2">
      <c r="DY30940" s="185" t="s">
        <v>215</v>
      </c>
    </row>
    <row r="30941" spans="129:129" x14ac:dyDescent="0.2">
      <c r="DY30941" s="185" t="s">
        <v>215</v>
      </c>
    </row>
    <row r="30942" spans="129:129" x14ac:dyDescent="0.2">
      <c r="DY30942" s="185" t="s">
        <v>215</v>
      </c>
    </row>
    <row r="30943" spans="129:129" x14ac:dyDescent="0.2">
      <c r="DY30943" s="185" t="s">
        <v>215</v>
      </c>
    </row>
    <row r="30944" spans="129:129" x14ac:dyDescent="0.2">
      <c r="DY30944" s="185" t="s">
        <v>215</v>
      </c>
    </row>
    <row r="30945" spans="129:129" x14ac:dyDescent="0.2">
      <c r="DY30945" s="185" t="s">
        <v>215</v>
      </c>
    </row>
    <row r="30946" spans="129:129" x14ac:dyDescent="0.2">
      <c r="DY30946" s="185" t="s">
        <v>215</v>
      </c>
    </row>
    <row r="30947" spans="129:129" x14ac:dyDescent="0.2">
      <c r="DY30947" s="185" t="s">
        <v>215</v>
      </c>
    </row>
    <row r="30948" spans="129:129" x14ac:dyDescent="0.2">
      <c r="DY30948" s="185" t="s">
        <v>215</v>
      </c>
    </row>
    <row r="30949" spans="129:129" x14ac:dyDescent="0.2">
      <c r="DY30949" s="185" t="s">
        <v>215</v>
      </c>
    </row>
    <row r="30950" spans="129:129" x14ac:dyDescent="0.2">
      <c r="DY30950" s="185" t="s">
        <v>215</v>
      </c>
    </row>
    <row r="30951" spans="129:129" x14ac:dyDescent="0.2">
      <c r="DY30951" s="185" t="s">
        <v>215</v>
      </c>
    </row>
    <row r="30952" spans="129:129" x14ac:dyDescent="0.2">
      <c r="DY30952" s="185" t="s">
        <v>215</v>
      </c>
    </row>
    <row r="30953" spans="129:129" x14ac:dyDescent="0.2">
      <c r="DY30953" s="185" t="s">
        <v>215</v>
      </c>
    </row>
    <row r="30954" spans="129:129" x14ac:dyDescent="0.2">
      <c r="DY30954" s="185" t="s">
        <v>215</v>
      </c>
    </row>
    <row r="30955" spans="129:129" x14ac:dyDescent="0.2">
      <c r="DY30955" s="185" t="s">
        <v>215</v>
      </c>
    </row>
    <row r="30956" spans="129:129" x14ac:dyDescent="0.2">
      <c r="DY30956" s="185" t="s">
        <v>215</v>
      </c>
    </row>
    <row r="30957" spans="129:129" x14ac:dyDescent="0.2">
      <c r="DY30957" s="185" t="s">
        <v>215</v>
      </c>
    </row>
    <row r="30958" spans="129:129" x14ac:dyDescent="0.2">
      <c r="DY30958" s="185" t="s">
        <v>215</v>
      </c>
    </row>
    <row r="30959" spans="129:129" x14ac:dyDescent="0.2">
      <c r="DY30959" s="185" t="s">
        <v>215</v>
      </c>
    </row>
    <row r="30960" spans="129:129" x14ac:dyDescent="0.2">
      <c r="DY30960" s="185" t="s">
        <v>215</v>
      </c>
    </row>
    <row r="30961" spans="129:129" x14ac:dyDescent="0.2">
      <c r="DY30961" s="185" t="s">
        <v>215</v>
      </c>
    </row>
    <row r="30962" spans="129:129" x14ac:dyDescent="0.2">
      <c r="DY30962" s="185" t="s">
        <v>215</v>
      </c>
    </row>
    <row r="30963" spans="129:129" x14ac:dyDescent="0.2">
      <c r="DY30963" s="185" t="s">
        <v>215</v>
      </c>
    </row>
    <row r="30964" spans="129:129" x14ac:dyDescent="0.2">
      <c r="DY30964" s="185" t="s">
        <v>215</v>
      </c>
    </row>
    <row r="30965" spans="129:129" x14ac:dyDescent="0.2">
      <c r="DY30965" s="185" t="s">
        <v>215</v>
      </c>
    </row>
    <row r="30966" spans="129:129" x14ac:dyDescent="0.2">
      <c r="DY30966" s="185" t="s">
        <v>215</v>
      </c>
    </row>
    <row r="30967" spans="129:129" x14ac:dyDescent="0.2">
      <c r="DY30967" s="185" t="s">
        <v>215</v>
      </c>
    </row>
    <row r="30968" spans="129:129" x14ac:dyDescent="0.2">
      <c r="DY30968" s="185" t="s">
        <v>215</v>
      </c>
    </row>
    <row r="30969" spans="129:129" x14ac:dyDescent="0.2">
      <c r="DY30969" s="185" t="s">
        <v>215</v>
      </c>
    </row>
    <row r="30970" spans="129:129" x14ac:dyDescent="0.2">
      <c r="DY30970" s="185" t="s">
        <v>215</v>
      </c>
    </row>
    <row r="30971" spans="129:129" x14ac:dyDescent="0.2">
      <c r="DY30971" s="185" t="s">
        <v>215</v>
      </c>
    </row>
    <row r="30972" spans="129:129" x14ac:dyDescent="0.2">
      <c r="DY30972" s="185" t="s">
        <v>215</v>
      </c>
    </row>
    <row r="30973" spans="129:129" x14ac:dyDescent="0.2">
      <c r="DY30973" s="185" t="s">
        <v>215</v>
      </c>
    </row>
    <row r="30974" spans="129:129" x14ac:dyDescent="0.2">
      <c r="DY30974" s="185" t="s">
        <v>215</v>
      </c>
    </row>
    <row r="30975" spans="129:129" x14ac:dyDescent="0.2">
      <c r="DY30975" s="185" t="s">
        <v>215</v>
      </c>
    </row>
    <row r="30976" spans="129:129" x14ac:dyDescent="0.2">
      <c r="DY30976" s="185" t="s">
        <v>215</v>
      </c>
    </row>
    <row r="30977" spans="129:129" x14ac:dyDescent="0.2">
      <c r="DY30977" s="185" t="s">
        <v>215</v>
      </c>
    </row>
    <row r="30978" spans="129:129" x14ac:dyDescent="0.2">
      <c r="DY30978" s="185" t="s">
        <v>215</v>
      </c>
    </row>
    <row r="30979" spans="129:129" x14ac:dyDescent="0.2">
      <c r="DY30979" s="185" t="s">
        <v>215</v>
      </c>
    </row>
    <row r="30980" spans="129:129" x14ac:dyDescent="0.2">
      <c r="DY30980" s="185" t="s">
        <v>215</v>
      </c>
    </row>
    <row r="30981" spans="129:129" x14ac:dyDescent="0.2">
      <c r="DY30981" s="185" t="s">
        <v>215</v>
      </c>
    </row>
    <row r="30982" spans="129:129" x14ac:dyDescent="0.2">
      <c r="DY30982" s="185" t="s">
        <v>215</v>
      </c>
    </row>
    <row r="30983" spans="129:129" x14ac:dyDescent="0.2">
      <c r="DY30983" s="185" t="s">
        <v>215</v>
      </c>
    </row>
    <row r="30984" spans="129:129" x14ac:dyDescent="0.2">
      <c r="DY30984" s="185" t="s">
        <v>215</v>
      </c>
    </row>
    <row r="30985" spans="129:129" x14ac:dyDescent="0.2">
      <c r="DY30985" s="185" t="s">
        <v>215</v>
      </c>
    </row>
    <row r="30986" spans="129:129" x14ac:dyDescent="0.2">
      <c r="DY30986" s="185" t="s">
        <v>215</v>
      </c>
    </row>
    <row r="30987" spans="129:129" x14ac:dyDescent="0.2">
      <c r="DY30987" s="185" t="s">
        <v>215</v>
      </c>
    </row>
    <row r="30988" spans="129:129" x14ac:dyDescent="0.2">
      <c r="DY30988" s="185" t="s">
        <v>215</v>
      </c>
    </row>
    <row r="30989" spans="129:129" x14ac:dyDescent="0.2">
      <c r="DY30989" s="185" t="s">
        <v>215</v>
      </c>
    </row>
    <row r="30990" spans="129:129" x14ac:dyDescent="0.2">
      <c r="DY30990" s="185" t="s">
        <v>215</v>
      </c>
    </row>
    <row r="30991" spans="129:129" x14ac:dyDescent="0.2">
      <c r="DY30991" s="185" t="s">
        <v>215</v>
      </c>
    </row>
    <row r="30992" spans="129:129" x14ac:dyDescent="0.2">
      <c r="DY30992" s="185" t="s">
        <v>215</v>
      </c>
    </row>
    <row r="30993" spans="129:129" x14ac:dyDescent="0.2">
      <c r="DY30993" s="185" t="s">
        <v>215</v>
      </c>
    </row>
    <row r="30994" spans="129:129" x14ac:dyDescent="0.2">
      <c r="DY30994" s="185" t="s">
        <v>215</v>
      </c>
    </row>
    <row r="30995" spans="129:129" x14ac:dyDescent="0.2">
      <c r="DY30995" s="185" t="s">
        <v>215</v>
      </c>
    </row>
    <row r="30996" spans="129:129" x14ac:dyDescent="0.2">
      <c r="DY30996" s="185" t="s">
        <v>215</v>
      </c>
    </row>
    <row r="30997" spans="129:129" x14ac:dyDescent="0.2">
      <c r="DY30997" s="185" t="s">
        <v>215</v>
      </c>
    </row>
    <row r="30998" spans="129:129" x14ac:dyDescent="0.2">
      <c r="DY30998" s="185" t="s">
        <v>215</v>
      </c>
    </row>
    <row r="30999" spans="129:129" x14ac:dyDescent="0.2">
      <c r="DY30999" s="185" t="s">
        <v>215</v>
      </c>
    </row>
    <row r="31000" spans="129:129" x14ac:dyDescent="0.2">
      <c r="DY31000" s="185" t="s">
        <v>215</v>
      </c>
    </row>
    <row r="31001" spans="129:129" x14ac:dyDescent="0.2">
      <c r="DY31001" s="185" t="s">
        <v>215</v>
      </c>
    </row>
    <row r="31002" spans="129:129" x14ac:dyDescent="0.2">
      <c r="DY31002" s="185" t="s">
        <v>215</v>
      </c>
    </row>
    <row r="31003" spans="129:129" x14ac:dyDescent="0.2">
      <c r="DY31003" s="185" t="s">
        <v>215</v>
      </c>
    </row>
    <row r="31004" spans="129:129" x14ac:dyDescent="0.2">
      <c r="DY31004" s="185" t="s">
        <v>215</v>
      </c>
    </row>
    <row r="31005" spans="129:129" x14ac:dyDescent="0.2">
      <c r="DY31005" s="185" t="s">
        <v>215</v>
      </c>
    </row>
    <row r="31006" spans="129:129" x14ac:dyDescent="0.2">
      <c r="DY31006" s="185" t="s">
        <v>215</v>
      </c>
    </row>
    <row r="31007" spans="129:129" x14ac:dyDescent="0.2">
      <c r="DY31007" s="185" t="s">
        <v>215</v>
      </c>
    </row>
    <row r="31008" spans="129:129" x14ac:dyDescent="0.2">
      <c r="DY31008" s="185" t="s">
        <v>215</v>
      </c>
    </row>
    <row r="31009" spans="129:129" x14ac:dyDescent="0.2">
      <c r="DY31009" s="185" t="s">
        <v>215</v>
      </c>
    </row>
    <row r="31010" spans="129:129" x14ac:dyDescent="0.2">
      <c r="DY31010" s="185" t="s">
        <v>215</v>
      </c>
    </row>
    <row r="31011" spans="129:129" x14ac:dyDescent="0.2">
      <c r="DY31011" s="185" t="s">
        <v>215</v>
      </c>
    </row>
    <row r="31012" spans="129:129" x14ac:dyDescent="0.2">
      <c r="DY31012" s="185" t="s">
        <v>215</v>
      </c>
    </row>
    <row r="31013" spans="129:129" x14ac:dyDescent="0.2">
      <c r="DY31013" s="185" t="s">
        <v>215</v>
      </c>
    </row>
    <row r="31014" spans="129:129" x14ac:dyDescent="0.2">
      <c r="DY31014" s="185" t="s">
        <v>215</v>
      </c>
    </row>
    <row r="31015" spans="129:129" x14ac:dyDescent="0.2">
      <c r="DY31015" s="185" t="s">
        <v>215</v>
      </c>
    </row>
    <row r="31016" spans="129:129" x14ac:dyDescent="0.2">
      <c r="DY31016" s="185" t="s">
        <v>215</v>
      </c>
    </row>
    <row r="31017" spans="129:129" x14ac:dyDescent="0.2">
      <c r="DY31017" s="185" t="s">
        <v>215</v>
      </c>
    </row>
    <row r="31018" spans="129:129" x14ac:dyDescent="0.2">
      <c r="DY31018" s="185" t="s">
        <v>215</v>
      </c>
    </row>
    <row r="31019" spans="129:129" x14ac:dyDescent="0.2">
      <c r="DY31019" s="185" t="s">
        <v>215</v>
      </c>
    </row>
    <row r="31020" spans="129:129" x14ac:dyDescent="0.2">
      <c r="DY31020" s="185" t="s">
        <v>215</v>
      </c>
    </row>
    <row r="31021" spans="129:129" x14ac:dyDescent="0.2">
      <c r="DY31021" s="185" t="s">
        <v>215</v>
      </c>
    </row>
    <row r="31022" spans="129:129" x14ac:dyDescent="0.2">
      <c r="DY31022" s="185" t="s">
        <v>215</v>
      </c>
    </row>
    <row r="31023" spans="129:129" x14ac:dyDescent="0.2">
      <c r="DY31023" s="185" t="s">
        <v>215</v>
      </c>
    </row>
    <row r="31024" spans="129:129" x14ac:dyDescent="0.2">
      <c r="DY31024" s="185" t="s">
        <v>215</v>
      </c>
    </row>
    <row r="31025" spans="129:129" x14ac:dyDescent="0.2">
      <c r="DY31025" s="185" t="s">
        <v>215</v>
      </c>
    </row>
    <row r="31026" spans="129:129" x14ac:dyDescent="0.2">
      <c r="DY31026" s="185" t="s">
        <v>215</v>
      </c>
    </row>
    <row r="31027" spans="129:129" x14ac:dyDescent="0.2">
      <c r="DY31027" s="185" t="s">
        <v>215</v>
      </c>
    </row>
    <row r="31028" spans="129:129" x14ac:dyDescent="0.2">
      <c r="DY31028" s="185" t="s">
        <v>215</v>
      </c>
    </row>
    <row r="31029" spans="129:129" x14ac:dyDescent="0.2">
      <c r="DY31029" s="185" t="s">
        <v>215</v>
      </c>
    </row>
    <row r="31030" spans="129:129" x14ac:dyDescent="0.2">
      <c r="DY31030" s="185" t="s">
        <v>215</v>
      </c>
    </row>
    <row r="31031" spans="129:129" x14ac:dyDescent="0.2">
      <c r="DY31031" s="185" t="s">
        <v>215</v>
      </c>
    </row>
    <row r="31032" spans="129:129" x14ac:dyDescent="0.2">
      <c r="DY31032" s="185" t="s">
        <v>215</v>
      </c>
    </row>
    <row r="31033" spans="129:129" x14ac:dyDescent="0.2">
      <c r="DY31033" s="185" t="s">
        <v>215</v>
      </c>
    </row>
    <row r="31034" spans="129:129" x14ac:dyDescent="0.2">
      <c r="DY31034" s="185" t="s">
        <v>215</v>
      </c>
    </row>
    <row r="31035" spans="129:129" x14ac:dyDescent="0.2">
      <c r="DY31035" s="185" t="s">
        <v>215</v>
      </c>
    </row>
    <row r="31036" spans="129:129" x14ac:dyDescent="0.2">
      <c r="DY31036" s="185" t="s">
        <v>215</v>
      </c>
    </row>
    <row r="31037" spans="129:129" x14ac:dyDescent="0.2">
      <c r="DY31037" s="185" t="s">
        <v>215</v>
      </c>
    </row>
    <row r="31038" spans="129:129" x14ac:dyDescent="0.2">
      <c r="DY31038" s="185" t="s">
        <v>215</v>
      </c>
    </row>
    <row r="31039" spans="129:129" x14ac:dyDescent="0.2">
      <c r="DY31039" s="185" t="s">
        <v>215</v>
      </c>
    </row>
    <row r="31040" spans="129:129" x14ac:dyDescent="0.2">
      <c r="DY31040" s="185" t="s">
        <v>215</v>
      </c>
    </row>
    <row r="31041" spans="129:129" x14ac:dyDescent="0.2">
      <c r="DY31041" s="185" t="s">
        <v>215</v>
      </c>
    </row>
    <row r="31042" spans="129:129" x14ac:dyDescent="0.2">
      <c r="DY31042" s="185" t="s">
        <v>215</v>
      </c>
    </row>
    <row r="31043" spans="129:129" x14ac:dyDescent="0.2">
      <c r="DY31043" s="185" t="s">
        <v>215</v>
      </c>
    </row>
    <row r="31044" spans="129:129" x14ac:dyDescent="0.2">
      <c r="DY31044" s="185" t="s">
        <v>215</v>
      </c>
    </row>
    <row r="31045" spans="129:129" x14ac:dyDescent="0.2">
      <c r="DY31045" s="185" t="s">
        <v>215</v>
      </c>
    </row>
    <row r="31046" spans="129:129" x14ac:dyDescent="0.2">
      <c r="DY31046" s="185" t="s">
        <v>215</v>
      </c>
    </row>
    <row r="31047" spans="129:129" x14ac:dyDescent="0.2">
      <c r="DY31047" s="185" t="s">
        <v>215</v>
      </c>
    </row>
    <row r="31048" spans="129:129" x14ac:dyDescent="0.2">
      <c r="DY31048" s="185" t="s">
        <v>215</v>
      </c>
    </row>
    <row r="31049" spans="129:129" x14ac:dyDescent="0.2">
      <c r="DY31049" s="185" t="s">
        <v>215</v>
      </c>
    </row>
    <row r="31050" spans="129:129" x14ac:dyDescent="0.2">
      <c r="DY31050" s="185" t="s">
        <v>215</v>
      </c>
    </row>
    <row r="31051" spans="129:129" x14ac:dyDescent="0.2">
      <c r="DY31051" s="185" t="s">
        <v>215</v>
      </c>
    </row>
    <row r="31052" spans="129:129" x14ac:dyDescent="0.2">
      <c r="DY31052" s="185" t="s">
        <v>215</v>
      </c>
    </row>
    <row r="31053" spans="129:129" x14ac:dyDescent="0.2">
      <c r="DY31053" s="185" t="s">
        <v>215</v>
      </c>
    </row>
    <row r="31054" spans="129:129" x14ac:dyDescent="0.2">
      <c r="DY31054" s="185" t="s">
        <v>215</v>
      </c>
    </row>
    <row r="31055" spans="129:129" x14ac:dyDescent="0.2">
      <c r="DY31055" s="185" t="s">
        <v>215</v>
      </c>
    </row>
    <row r="31056" spans="129:129" x14ac:dyDescent="0.2">
      <c r="DY31056" s="185" t="s">
        <v>215</v>
      </c>
    </row>
    <row r="31057" spans="129:129" x14ac:dyDescent="0.2">
      <c r="DY31057" s="185" t="s">
        <v>215</v>
      </c>
    </row>
    <row r="31058" spans="129:129" x14ac:dyDescent="0.2">
      <c r="DY31058" s="185" t="s">
        <v>215</v>
      </c>
    </row>
    <row r="31059" spans="129:129" x14ac:dyDescent="0.2">
      <c r="DY31059" s="185" t="s">
        <v>215</v>
      </c>
    </row>
    <row r="31060" spans="129:129" x14ac:dyDescent="0.2">
      <c r="DY31060" s="185" t="s">
        <v>215</v>
      </c>
    </row>
    <row r="31061" spans="129:129" x14ac:dyDescent="0.2">
      <c r="DY31061" s="185" t="s">
        <v>215</v>
      </c>
    </row>
    <row r="31062" spans="129:129" x14ac:dyDescent="0.2">
      <c r="DY31062" s="185" t="s">
        <v>215</v>
      </c>
    </row>
    <row r="31063" spans="129:129" x14ac:dyDescent="0.2">
      <c r="DY31063" s="185" t="s">
        <v>215</v>
      </c>
    </row>
    <row r="31064" spans="129:129" x14ac:dyDescent="0.2">
      <c r="DY31064" s="185" t="s">
        <v>215</v>
      </c>
    </row>
    <row r="31065" spans="129:129" x14ac:dyDescent="0.2">
      <c r="DY31065" s="185" t="s">
        <v>215</v>
      </c>
    </row>
    <row r="31066" spans="129:129" x14ac:dyDescent="0.2">
      <c r="DY31066" s="185" t="s">
        <v>215</v>
      </c>
    </row>
    <row r="31067" spans="129:129" x14ac:dyDescent="0.2">
      <c r="DY31067" s="185" t="s">
        <v>215</v>
      </c>
    </row>
    <row r="31068" spans="129:129" x14ac:dyDescent="0.2">
      <c r="DY31068" s="185" t="s">
        <v>215</v>
      </c>
    </row>
    <row r="31069" spans="129:129" x14ac:dyDescent="0.2">
      <c r="DY31069" s="185" t="s">
        <v>215</v>
      </c>
    </row>
    <row r="31070" spans="129:129" x14ac:dyDescent="0.2">
      <c r="DY31070" s="185" t="s">
        <v>215</v>
      </c>
    </row>
    <row r="31071" spans="129:129" x14ac:dyDescent="0.2">
      <c r="DY31071" s="185" t="s">
        <v>215</v>
      </c>
    </row>
    <row r="31072" spans="129:129" x14ac:dyDescent="0.2">
      <c r="DY31072" s="185" t="s">
        <v>215</v>
      </c>
    </row>
    <row r="31073" spans="129:129" x14ac:dyDescent="0.2">
      <c r="DY31073" s="185" t="s">
        <v>215</v>
      </c>
    </row>
    <row r="31074" spans="129:129" x14ac:dyDescent="0.2">
      <c r="DY31074" s="185" t="s">
        <v>215</v>
      </c>
    </row>
    <row r="31075" spans="129:129" x14ac:dyDescent="0.2">
      <c r="DY31075" s="185" t="s">
        <v>215</v>
      </c>
    </row>
    <row r="31076" spans="129:129" x14ac:dyDescent="0.2">
      <c r="DY31076" s="185" t="s">
        <v>215</v>
      </c>
    </row>
    <row r="31077" spans="129:129" x14ac:dyDescent="0.2">
      <c r="DY31077" s="185" t="s">
        <v>215</v>
      </c>
    </row>
    <row r="31078" spans="129:129" x14ac:dyDescent="0.2">
      <c r="DY31078" s="185" t="s">
        <v>215</v>
      </c>
    </row>
    <row r="31079" spans="129:129" x14ac:dyDescent="0.2">
      <c r="DY31079" s="185" t="s">
        <v>215</v>
      </c>
    </row>
    <row r="31080" spans="129:129" x14ac:dyDescent="0.2">
      <c r="DY31080" s="185" t="s">
        <v>215</v>
      </c>
    </row>
    <row r="31081" spans="129:129" x14ac:dyDescent="0.2">
      <c r="DY31081" s="185" t="s">
        <v>215</v>
      </c>
    </row>
    <row r="31082" spans="129:129" x14ac:dyDescent="0.2">
      <c r="DY31082" s="185" t="s">
        <v>215</v>
      </c>
    </row>
    <row r="31083" spans="129:129" x14ac:dyDescent="0.2">
      <c r="DY31083" s="185" t="s">
        <v>215</v>
      </c>
    </row>
    <row r="31084" spans="129:129" x14ac:dyDescent="0.2">
      <c r="DY31084" s="185" t="s">
        <v>215</v>
      </c>
    </row>
    <row r="31085" spans="129:129" x14ac:dyDescent="0.2">
      <c r="DY31085" s="185" t="s">
        <v>215</v>
      </c>
    </row>
    <row r="31086" spans="129:129" x14ac:dyDescent="0.2">
      <c r="DY31086" s="185" t="s">
        <v>215</v>
      </c>
    </row>
    <row r="31087" spans="129:129" x14ac:dyDescent="0.2">
      <c r="DY31087" s="185" t="s">
        <v>215</v>
      </c>
    </row>
    <row r="31088" spans="129:129" x14ac:dyDescent="0.2">
      <c r="DY31088" s="185" t="s">
        <v>215</v>
      </c>
    </row>
    <row r="31089" spans="129:129" x14ac:dyDescent="0.2">
      <c r="DY31089" s="185" t="s">
        <v>215</v>
      </c>
    </row>
    <row r="31090" spans="129:129" x14ac:dyDescent="0.2">
      <c r="DY31090" s="185" t="s">
        <v>215</v>
      </c>
    </row>
    <row r="31091" spans="129:129" x14ac:dyDescent="0.2">
      <c r="DY31091" s="185" t="s">
        <v>215</v>
      </c>
    </row>
    <row r="31092" spans="129:129" x14ac:dyDescent="0.2">
      <c r="DY31092" s="185" t="s">
        <v>215</v>
      </c>
    </row>
    <row r="31093" spans="129:129" x14ac:dyDescent="0.2">
      <c r="DY31093" s="185" t="s">
        <v>215</v>
      </c>
    </row>
    <row r="31094" spans="129:129" x14ac:dyDescent="0.2">
      <c r="DY31094" s="185" t="s">
        <v>215</v>
      </c>
    </row>
    <row r="31095" spans="129:129" x14ac:dyDescent="0.2">
      <c r="DY31095" s="185" t="s">
        <v>215</v>
      </c>
    </row>
    <row r="31096" spans="129:129" x14ac:dyDescent="0.2">
      <c r="DY31096" s="185" t="s">
        <v>215</v>
      </c>
    </row>
    <row r="31097" spans="129:129" x14ac:dyDescent="0.2">
      <c r="DY31097" s="185" t="s">
        <v>215</v>
      </c>
    </row>
    <row r="31098" spans="129:129" x14ac:dyDescent="0.2">
      <c r="DY31098" s="185" t="s">
        <v>215</v>
      </c>
    </row>
    <row r="31099" spans="129:129" x14ac:dyDescent="0.2">
      <c r="DY31099" s="185" t="s">
        <v>215</v>
      </c>
    </row>
    <row r="31100" spans="129:129" x14ac:dyDescent="0.2">
      <c r="DY31100" s="185" t="s">
        <v>215</v>
      </c>
    </row>
    <row r="31101" spans="129:129" x14ac:dyDescent="0.2">
      <c r="DY31101" s="185" t="s">
        <v>215</v>
      </c>
    </row>
    <row r="31102" spans="129:129" x14ac:dyDescent="0.2">
      <c r="DY31102" s="185" t="s">
        <v>215</v>
      </c>
    </row>
    <row r="31103" spans="129:129" x14ac:dyDescent="0.2">
      <c r="DY31103" s="185" t="s">
        <v>215</v>
      </c>
    </row>
    <row r="31104" spans="129:129" x14ac:dyDescent="0.2">
      <c r="DY31104" s="185" t="s">
        <v>215</v>
      </c>
    </row>
    <row r="31105" spans="129:129" x14ac:dyDescent="0.2">
      <c r="DY31105" s="185" t="s">
        <v>215</v>
      </c>
    </row>
    <row r="31106" spans="129:129" x14ac:dyDescent="0.2">
      <c r="DY31106" s="185" t="s">
        <v>215</v>
      </c>
    </row>
    <row r="31107" spans="129:129" x14ac:dyDescent="0.2">
      <c r="DY31107" s="185" t="s">
        <v>215</v>
      </c>
    </row>
    <row r="31108" spans="129:129" x14ac:dyDescent="0.2">
      <c r="DY31108" s="185" t="s">
        <v>215</v>
      </c>
    </row>
    <row r="31109" spans="129:129" x14ac:dyDescent="0.2">
      <c r="DY31109" s="185" t="s">
        <v>215</v>
      </c>
    </row>
    <row r="31110" spans="129:129" x14ac:dyDescent="0.2">
      <c r="DY31110" s="185" t="s">
        <v>215</v>
      </c>
    </row>
    <row r="31111" spans="129:129" x14ac:dyDescent="0.2">
      <c r="DY31111" s="185" t="s">
        <v>215</v>
      </c>
    </row>
    <row r="31112" spans="129:129" x14ac:dyDescent="0.2">
      <c r="DY31112" s="185" t="s">
        <v>215</v>
      </c>
    </row>
    <row r="31113" spans="129:129" x14ac:dyDescent="0.2">
      <c r="DY31113" s="185" t="s">
        <v>215</v>
      </c>
    </row>
    <row r="31114" spans="129:129" x14ac:dyDescent="0.2">
      <c r="DY31114" s="185" t="s">
        <v>215</v>
      </c>
    </row>
    <row r="31115" spans="129:129" x14ac:dyDescent="0.2">
      <c r="DY31115" s="185" t="s">
        <v>215</v>
      </c>
    </row>
    <row r="31116" spans="129:129" x14ac:dyDescent="0.2">
      <c r="DY31116" s="185" t="s">
        <v>215</v>
      </c>
    </row>
    <row r="31117" spans="129:129" x14ac:dyDescent="0.2">
      <c r="DY31117" s="185" t="s">
        <v>215</v>
      </c>
    </row>
    <row r="31118" spans="129:129" x14ac:dyDescent="0.2">
      <c r="DY31118" s="185" t="s">
        <v>215</v>
      </c>
    </row>
    <row r="31119" spans="129:129" x14ac:dyDescent="0.2">
      <c r="DY31119" s="185" t="s">
        <v>215</v>
      </c>
    </row>
    <row r="31120" spans="129:129" x14ac:dyDescent="0.2">
      <c r="DY31120" s="185" t="s">
        <v>215</v>
      </c>
    </row>
    <row r="31121" spans="129:129" x14ac:dyDescent="0.2">
      <c r="DY31121" s="185" t="s">
        <v>215</v>
      </c>
    </row>
    <row r="31122" spans="129:129" x14ac:dyDescent="0.2">
      <c r="DY31122" s="185" t="s">
        <v>215</v>
      </c>
    </row>
    <row r="31123" spans="129:129" x14ac:dyDescent="0.2">
      <c r="DY31123" s="185" t="s">
        <v>215</v>
      </c>
    </row>
    <row r="31124" spans="129:129" x14ac:dyDescent="0.2">
      <c r="DY31124" s="185" t="s">
        <v>215</v>
      </c>
    </row>
    <row r="31125" spans="129:129" x14ac:dyDescent="0.2">
      <c r="DY31125" s="185" t="s">
        <v>215</v>
      </c>
    </row>
    <row r="31126" spans="129:129" x14ac:dyDescent="0.2">
      <c r="DY31126" s="185" t="s">
        <v>215</v>
      </c>
    </row>
    <row r="31127" spans="129:129" x14ac:dyDescent="0.2">
      <c r="DY31127" s="185" t="s">
        <v>215</v>
      </c>
    </row>
    <row r="31128" spans="129:129" x14ac:dyDescent="0.2">
      <c r="DY31128" s="185" t="s">
        <v>215</v>
      </c>
    </row>
    <row r="31129" spans="129:129" x14ac:dyDescent="0.2">
      <c r="DY31129" s="185" t="s">
        <v>215</v>
      </c>
    </row>
    <row r="31130" spans="129:129" x14ac:dyDescent="0.2">
      <c r="DY31130" s="185" t="s">
        <v>215</v>
      </c>
    </row>
    <row r="31131" spans="129:129" x14ac:dyDescent="0.2">
      <c r="DY31131" s="185" t="s">
        <v>215</v>
      </c>
    </row>
    <row r="31132" spans="129:129" x14ac:dyDescent="0.2">
      <c r="DY31132" s="185" t="s">
        <v>215</v>
      </c>
    </row>
    <row r="31133" spans="129:129" x14ac:dyDescent="0.2">
      <c r="DY31133" s="185" t="s">
        <v>215</v>
      </c>
    </row>
    <row r="31134" spans="129:129" x14ac:dyDescent="0.2">
      <c r="DY31134" s="185" t="s">
        <v>215</v>
      </c>
    </row>
    <row r="31135" spans="129:129" x14ac:dyDescent="0.2">
      <c r="DY31135" s="185" t="s">
        <v>215</v>
      </c>
    </row>
    <row r="31136" spans="129:129" x14ac:dyDescent="0.2">
      <c r="DY31136" s="185" t="s">
        <v>215</v>
      </c>
    </row>
    <row r="31137" spans="129:129" x14ac:dyDescent="0.2">
      <c r="DY31137" s="185" t="s">
        <v>215</v>
      </c>
    </row>
    <row r="31138" spans="129:129" x14ac:dyDescent="0.2">
      <c r="DY31138" s="185" t="s">
        <v>215</v>
      </c>
    </row>
    <row r="31139" spans="129:129" x14ac:dyDescent="0.2">
      <c r="DY31139" s="185" t="s">
        <v>215</v>
      </c>
    </row>
    <row r="31140" spans="129:129" x14ac:dyDescent="0.2">
      <c r="DY31140" s="185" t="s">
        <v>215</v>
      </c>
    </row>
    <row r="31141" spans="129:129" x14ac:dyDescent="0.2">
      <c r="DY31141" s="185" t="s">
        <v>215</v>
      </c>
    </row>
    <row r="31142" spans="129:129" x14ac:dyDescent="0.2">
      <c r="DY31142" s="185" t="s">
        <v>215</v>
      </c>
    </row>
    <row r="31143" spans="129:129" x14ac:dyDescent="0.2">
      <c r="DY31143" s="185" t="s">
        <v>215</v>
      </c>
    </row>
    <row r="31144" spans="129:129" x14ac:dyDescent="0.2">
      <c r="DY31144" s="185" t="s">
        <v>215</v>
      </c>
    </row>
    <row r="31145" spans="129:129" x14ac:dyDescent="0.2">
      <c r="DY31145" s="185" t="s">
        <v>215</v>
      </c>
    </row>
    <row r="31146" spans="129:129" x14ac:dyDescent="0.2">
      <c r="DY31146" s="185" t="s">
        <v>215</v>
      </c>
    </row>
    <row r="31147" spans="129:129" x14ac:dyDescent="0.2">
      <c r="DY31147" s="185" t="s">
        <v>215</v>
      </c>
    </row>
    <row r="31148" spans="129:129" x14ac:dyDescent="0.2">
      <c r="DY31148" s="185" t="s">
        <v>215</v>
      </c>
    </row>
    <row r="31149" spans="129:129" x14ac:dyDescent="0.2">
      <c r="DY31149" s="185" t="s">
        <v>215</v>
      </c>
    </row>
    <row r="31150" spans="129:129" x14ac:dyDescent="0.2">
      <c r="DY31150" s="185" t="s">
        <v>215</v>
      </c>
    </row>
    <row r="31151" spans="129:129" x14ac:dyDescent="0.2">
      <c r="DY31151" s="185" t="s">
        <v>215</v>
      </c>
    </row>
    <row r="31152" spans="129:129" x14ac:dyDescent="0.2">
      <c r="DY31152" s="185" t="s">
        <v>215</v>
      </c>
    </row>
    <row r="31153" spans="129:129" x14ac:dyDescent="0.2">
      <c r="DY31153" s="185" t="s">
        <v>215</v>
      </c>
    </row>
    <row r="31154" spans="129:129" x14ac:dyDescent="0.2">
      <c r="DY31154" s="185" t="s">
        <v>215</v>
      </c>
    </row>
    <row r="31155" spans="129:129" x14ac:dyDescent="0.2">
      <c r="DY31155" s="185" t="s">
        <v>215</v>
      </c>
    </row>
    <row r="31156" spans="129:129" x14ac:dyDescent="0.2">
      <c r="DY31156" s="185" t="s">
        <v>215</v>
      </c>
    </row>
    <row r="31157" spans="129:129" x14ac:dyDescent="0.2">
      <c r="DY31157" s="185" t="s">
        <v>215</v>
      </c>
    </row>
    <row r="31158" spans="129:129" x14ac:dyDescent="0.2">
      <c r="DY31158" s="185" t="s">
        <v>215</v>
      </c>
    </row>
    <row r="31159" spans="129:129" x14ac:dyDescent="0.2">
      <c r="DY31159" s="185" t="s">
        <v>215</v>
      </c>
    </row>
    <row r="31160" spans="129:129" x14ac:dyDescent="0.2">
      <c r="DY31160" s="185" t="s">
        <v>215</v>
      </c>
    </row>
    <row r="31161" spans="129:129" x14ac:dyDescent="0.2">
      <c r="DY31161" s="185" t="s">
        <v>215</v>
      </c>
    </row>
    <row r="31162" spans="129:129" x14ac:dyDescent="0.2">
      <c r="DY31162" s="185" t="s">
        <v>215</v>
      </c>
    </row>
    <row r="31163" spans="129:129" x14ac:dyDescent="0.2">
      <c r="DY31163" s="185" t="s">
        <v>215</v>
      </c>
    </row>
    <row r="31164" spans="129:129" x14ac:dyDescent="0.2">
      <c r="DY31164" s="185" t="s">
        <v>215</v>
      </c>
    </row>
    <row r="31165" spans="129:129" x14ac:dyDescent="0.2">
      <c r="DY31165" s="185" t="s">
        <v>215</v>
      </c>
    </row>
    <row r="31166" spans="129:129" x14ac:dyDescent="0.2">
      <c r="DY31166" s="185" t="s">
        <v>215</v>
      </c>
    </row>
    <row r="31167" spans="129:129" x14ac:dyDescent="0.2">
      <c r="DY31167" s="185" t="s">
        <v>215</v>
      </c>
    </row>
    <row r="31168" spans="129:129" x14ac:dyDescent="0.2">
      <c r="DY31168" s="185" t="s">
        <v>215</v>
      </c>
    </row>
    <row r="31169" spans="129:129" x14ac:dyDescent="0.2">
      <c r="DY31169" s="185" t="s">
        <v>215</v>
      </c>
    </row>
    <row r="31170" spans="129:129" x14ac:dyDescent="0.2">
      <c r="DY31170" s="185" t="s">
        <v>215</v>
      </c>
    </row>
    <row r="31171" spans="129:129" x14ac:dyDescent="0.2">
      <c r="DY31171" s="185" t="s">
        <v>215</v>
      </c>
    </row>
    <row r="31172" spans="129:129" x14ac:dyDescent="0.2">
      <c r="DY31172" s="185" t="s">
        <v>215</v>
      </c>
    </row>
    <row r="31173" spans="129:129" x14ac:dyDescent="0.2">
      <c r="DY31173" s="185" t="s">
        <v>215</v>
      </c>
    </row>
    <row r="31174" spans="129:129" x14ac:dyDescent="0.2">
      <c r="DY31174" s="185" t="s">
        <v>215</v>
      </c>
    </row>
    <row r="31175" spans="129:129" x14ac:dyDescent="0.2">
      <c r="DY31175" s="185" t="s">
        <v>215</v>
      </c>
    </row>
    <row r="31176" spans="129:129" x14ac:dyDescent="0.2">
      <c r="DY31176" s="185" t="s">
        <v>215</v>
      </c>
    </row>
    <row r="31177" spans="129:129" x14ac:dyDescent="0.2">
      <c r="DY31177" s="185" t="s">
        <v>215</v>
      </c>
    </row>
    <row r="31178" spans="129:129" x14ac:dyDescent="0.2">
      <c r="DY31178" s="185" t="s">
        <v>215</v>
      </c>
    </row>
    <row r="31179" spans="129:129" x14ac:dyDescent="0.2">
      <c r="DY31179" s="185" t="s">
        <v>215</v>
      </c>
    </row>
    <row r="31180" spans="129:129" x14ac:dyDescent="0.2">
      <c r="DY31180" s="185" t="s">
        <v>215</v>
      </c>
    </row>
    <row r="31181" spans="129:129" x14ac:dyDescent="0.2">
      <c r="DY31181" s="185" t="s">
        <v>215</v>
      </c>
    </row>
    <row r="31182" spans="129:129" x14ac:dyDescent="0.2">
      <c r="DY31182" s="185" t="s">
        <v>215</v>
      </c>
    </row>
    <row r="31183" spans="129:129" x14ac:dyDescent="0.2">
      <c r="DY31183" s="185" t="s">
        <v>215</v>
      </c>
    </row>
    <row r="31184" spans="129:129" x14ac:dyDescent="0.2">
      <c r="DY31184" s="185" t="s">
        <v>215</v>
      </c>
    </row>
    <row r="31185" spans="129:129" x14ac:dyDescent="0.2">
      <c r="DY31185" s="185" t="s">
        <v>215</v>
      </c>
    </row>
    <row r="31186" spans="129:129" x14ac:dyDescent="0.2">
      <c r="DY31186" s="185" t="s">
        <v>215</v>
      </c>
    </row>
    <row r="31187" spans="129:129" x14ac:dyDescent="0.2">
      <c r="DY31187" s="185" t="s">
        <v>215</v>
      </c>
    </row>
    <row r="31188" spans="129:129" x14ac:dyDescent="0.2">
      <c r="DY31188" s="185" t="s">
        <v>215</v>
      </c>
    </row>
    <row r="31189" spans="129:129" x14ac:dyDescent="0.2">
      <c r="DY31189" s="185" t="s">
        <v>215</v>
      </c>
    </row>
    <row r="31190" spans="129:129" x14ac:dyDescent="0.2">
      <c r="DY31190" s="185" t="s">
        <v>215</v>
      </c>
    </row>
    <row r="31191" spans="129:129" x14ac:dyDescent="0.2">
      <c r="DY31191" s="185" t="s">
        <v>215</v>
      </c>
    </row>
    <row r="31192" spans="129:129" x14ac:dyDescent="0.2">
      <c r="DY31192" s="185" t="s">
        <v>215</v>
      </c>
    </row>
    <row r="31193" spans="129:129" x14ac:dyDescent="0.2">
      <c r="DY31193" s="185" t="s">
        <v>215</v>
      </c>
    </row>
    <row r="31194" spans="129:129" x14ac:dyDescent="0.2">
      <c r="DY31194" s="185" t="s">
        <v>215</v>
      </c>
    </row>
    <row r="31195" spans="129:129" x14ac:dyDescent="0.2">
      <c r="DY31195" s="185" t="s">
        <v>215</v>
      </c>
    </row>
    <row r="31196" spans="129:129" x14ac:dyDescent="0.2">
      <c r="DY31196" s="185" t="s">
        <v>215</v>
      </c>
    </row>
    <row r="31197" spans="129:129" x14ac:dyDescent="0.2">
      <c r="DY31197" s="185" t="s">
        <v>215</v>
      </c>
    </row>
    <row r="31198" spans="129:129" x14ac:dyDescent="0.2">
      <c r="DY31198" s="185" t="s">
        <v>215</v>
      </c>
    </row>
    <row r="31199" spans="129:129" x14ac:dyDescent="0.2">
      <c r="DY31199" s="185" t="s">
        <v>215</v>
      </c>
    </row>
    <row r="31200" spans="129:129" x14ac:dyDescent="0.2">
      <c r="DY31200" s="185" t="s">
        <v>215</v>
      </c>
    </row>
    <row r="31201" spans="129:129" x14ac:dyDescent="0.2">
      <c r="DY31201" s="185" t="s">
        <v>215</v>
      </c>
    </row>
    <row r="31202" spans="129:129" x14ac:dyDescent="0.2">
      <c r="DY31202" s="185" t="s">
        <v>215</v>
      </c>
    </row>
    <row r="31203" spans="129:129" x14ac:dyDescent="0.2">
      <c r="DY31203" s="185" t="s">
        <v>215</v>
      </c>
    </row>
    <row r="31204" spans="129:129" x14ac:dyDescent="0.2">
      <c r="DY31204" s="185" t="s">
        <v>215</v>
      </c>
    </row>
    <row r="31205" spans="129:129" x14ac:dyDescent="0.2">
      <c r="DY31205" s="185" t="s">
        <v>215</v>
      </c>
    </row>
    <row r="31206" spans="129:129" x14ac:dyDescent="0.2">
      <c r="DY31206" s="185" t="s">
        <v>215</v>
      </c>
    </row>
    <row r="31207" spans="129:129" x14ac:dyDescent="0.2">
      <c r="DY31207" s="185" t="s">
        <v>215</v>
      </c>
    </row>
    <row r="31208" spans="129:129" x14ac:dyDescent="0.2">
      <c r="DY31208" s="185" t="s">
        <v>215</v>
      </c>
    </row>
    <row r="31209" spans="129:129" x14ac:dyDescent="0.2">
      <c r="DY31209" s="185" t="s">
        <v>215</v>
      </c>
    </row>
    <row r="31210" spans="129:129" x14ac:dyDescent="0.2">
      <c r="DY31210" s="185" t="s">
        <v>215</v>
      </c>
    </row>
    <row r="31211" spans="129:129" x14ac:dyDescent="0.2">
      <c r="DY31211" s="185" t="s">
        <v>215</v>
      </c>
    </row>
    <row r="31212" spans="129:129" x14ac:dyDescent="0.2">
      <c r="DY31212" s="185" t="s">
        <v>215</v>
      </c>
    </row>
    <row r="31213" spans="129:129" x14ac:dyDescent="0.2">
      <c r="DY31213" s="185" t="s">
        <v>215</v>
      </c>
    </row>
    <row r="31214" spans="129:129" x14ac:dyDescent="0.2">
      <c r="DY31214" s="185" t="s">
        <v>215</v>
      </c>
    </row>
    <row r="31215" spans="129:129" x14ac:dyDescent="0.2">
      <c r="DY31215" s="185" t="s">
        <v>215</v>
      </c>
    </row>
    <row r="31216" spans="129:129" x14ac:dyDescent="0.2">
      <c r="DY31216" s="185" t="s">
        <v>215</v>
      </c>
    </row>
    <row r="31217" spans="129:129" x14ac:dyDescent="0.2">
      <c r="DY31217" s="185" t="s">
        <v>215</v>
      </c>
    </row>
    <row r="31218" spans="129:129" x14ac:dyDescent="0.2">
      <c r="DY31218" s="185" t="s">
        <v>215</v>
      </c>
    </row>
    <row r="31219" spans="129:129" x14ac:dyDescent="0.2">
      <c r="DY31219" s="185" t="s">
        <v>215</v>
      </c>
    </row>
    <row r="31220" spans="129:129" x14ac:dyDescent="0.2">
      <c r="DY31220" s="185" t="s">
        <v>215</v>
      </c>
    </row>
    <row r="31221" spans="129:129" x14ac:dyDescent="0.2">
      <c r="DY31221" s="185" t="s">
        <v>215</v>
      </c>
    </row>
    <row r="31222" spans="129:129" x14ac:dyDescent="0.2">
      <c r="DY31222" s="185" t="s">
        <v>215</v>
      </c>
    </row>
    <row r="31223" spans="129:129" x14ac:dyDescent="0.2">
      <c r="DY31223" s="185" t="s">
        <v>215</v>
      </c>
    </row>
    <row r="31224" spans="129:129" x14ac:dyDescent="0.2">
      <c r="DY31224" s="185" t="s">
        <v>215</v>
      </c>
    </row>
    <row r="31225" spans="129:129" x14ac:dyDescent="0.2">
      <c r="DY31225" s="185" t="s">
        <v>215</v>
      </c>
    </row>
    <row r="31226" spans="129:129" x14ac:dyDescent="0.2">
      <c r="DY31226" s="185" t="s">
        <v>215</v>
      </c>
    </row>
    <row r="31227" spans="129:129" x14ac:dyDescent="0.2">
      <c r="DY31227" s="185" t="s">
        <v>215</v>
      </c>
    </row>
    <row r="31228" spans="129:129" x14ac:dyDescent="0.2">
      <c r="DY31228" s="185" t="s">
        <v>215</v>
      </c>
    </row>
    <row r="31229" spans="129:129" x14ac:dyDescent="0.2">
      <c r="DY31229" s="185" t="s">
        <v>215</v>
      </c>
    </row>
    <row r="31230" spans="129:129" x14ac:dyDescent="0.2">
      <c r="DY31230" s="185" t="s">
        <v>215</v>
      </c>
    </row>
    <row r="31231" spans="129:129" x14ac:dyDescent="0.2">
      <c r="DY31231" s="185" t="s">
        <v>215</v>
      </c>
    </row>
    <row r="31232" spans="129:129" x14ac:dyDescent="0.2">
      <c r="DY31232" s="185" t="s">
        <v>215</v>
      </c>
    </row>
    <row r="31233" spans="129:129" x14ac:dyDescent="0.2">
      <c r="DY31233" s="185" t="s">
        <v>215</v>
      </c>
    </row>
    <row r="31234" spans="129:129" x14ac:dyDescent="0.2">
      <c r="DY31234" s="185" t="s">
        <v>215</v>
      </c>
    </row>
    <row r="31235" spans="129:129" x14ac:dyDescent="0.2">
      <c r="DY31235" s="185" t="s">
        <v>215</v>
      </c>
    </row>
    <row r="31236" spans="129:129" x14ac:dyDescent="0.2">
      <c r="DY31236" s="185" t="s">
        <v>215</v>
      </c>
    </row>
    <row r="31237" spans="129:129" x14ac:dyDescent="0.2">
      <c r="DY31237" s="185" t="s">
        <v>215</v>
      </c>
    </row>
    <row r="31238" spans="129:129" x14ac:dyDescent="0.2">
      <c r="DY31238" s="185" t="s">
        <v>215</v>
      </c>
    </row>
    <row r="31239" spans="129:129" x14ac:dyDescent="0.2">
      <c r="DY31239" s="185" t="s">
        <v>215</v>
      </c>
    </row>
    <row r="31240" spans="129:129" x14ac:dyDescent="0.2">
      <c r="DY31240" s="185" t="s">
        <v>215</v>
      </c>
    </row>
    <row r="31241" spans="129:129" x14ac:dyDescent="0.2">
      <c r="DY31241" s="185" t="s">
        <v>215</v>
      </c>
    </row>
    <row r="31242" spans="129:129" x14ac:dyDescent="0.2">
      <c r="DY31242" s="185" t="s">
        <v>215</v>
      </c>
    </row>
    <row r="31243" spans="129:129" x14ac:dyDescent="0.2">
      <c r="DY31243" s="185" t="s">
        <v>215</v>
      </c>
    </row>
    <row r="31244" spans="129:129" x14ac:dyDescent="0.2">
      <c r="DY31244" s="185" t="s">
        <v>215</v>
      </c>
    </row>
    <row r="31245" spans="129:129" x14ac:dyDescent="0.2">
      <c r="DY31245" s="185" t="s">
        <v>215</v>
      </c>
    </row>
    <row r="31246" spans="129:129" x14ac:dyDescent="0.2">
      <c r="DY31246" s="185" t="s">
        <v>215</v>
      </c>
    </row>
    <row r="31247" spans="129:129" x14ac:dyDescent="0.2">
      <c r="DY31247" s="185" t="s">
        <v>215</v>
      </c>
    </row>
    <row r="31248" spans="129:129" x14ac:dyDescent="0.2">
      <c r="DY31248" s="185" t="s">
        <v>215</v>
      </c>
    </row>
    <row r="31249" spans="129:129" x14ac:dyDescent="0.2">
      <c r="DY31249" s="185" t="s">
        <v>215</v>
      </c>
    </row>
    <row r="31250" spans="129:129" x14ac:dyDescent="0.2">
      <c r="DY31250" s="185" t="s">
        <v>215</v>
      </c>
    </row>
    <row r="31251" spans="129:129" x14ac:dyDescent="0.2">
      <c r="DY31251" s="185" t="s">
        <v>215</v>
      </c>
    </row>
    <row r="31252" spans="129:129" x14ac:dyDescent="0.2">
      <c r="DY31252" s="185" t="s">
        <v>215</v>
      </c>
    </row>
    <row r="31253" spans="129:129" x14ac:dyDescent="0.2">
      <c r="DY31253" s="185" t="s">
        <v>215</v>
      </c>
    </row>
    <row r="31254" spans="129:129" x14ac:dyDescent="0.2">
      <c r="DY31254" s="185" t="s">
        <v>215</v>
      </c>
    </row>
    <row r="31255" spans="129:129" x14ac:dyDescent="0.2">
      <c r="DY31255" s="185" t="s">
        <v>215</v>
      </c>
    </row>
    <row r="31256" spans="129:129" x14ac:dyDescent="0.2">
      <c r="DY31256" s="185" t="s">
        <v>215</v>
      </c>
    </row>
    <row r="31257" spans="129:129" x14ac:dyDescent="0.2">
      <c r="DY31257" s="185" t="s">
        <v>215</v>
      </c>
    </row>
    <row r="31258" spans="129:129" x14ac:dyDescent="0.2">
      <c r="DY31258" s="185" t="s">
        <v>215</v>
      </c>
    </row>
    <row r="31259" spans="129:129" x14ac:dyDescent="0.2">
      <c r="DY31259" s="185" t="s">
        <v>215</v>
      </c>
    </row>
    <row r="31260" spans="129:129" x14ac:dyDescent="0.2">
      <c r="DY31260" s="185" t="s">
        <v>215</v>
      </c>
    </row>
    <row r="31261" spans="129:129" x14ac:dyDescent="0.2">
      <c r="DY31261" s="185" t="s">
        <v>215</v>
      </c>
    </row>
    <row r="31262" spans="129:129" x14ac:dyDescent="0.2">
      <c r="DY31262" s="185" t="s">
        <v>215</v>
      </c>
    </row>
    <row r="31263" spans="129:129" x14ac:dyDescent="0.2">
      <c r="DY31263" s="185" t="s">
        <v>215</v>
      </c>
    </row>
    <row r="31264" spans="129:129" x14ac:dyDescent="0.2">
      <c r="DY31264" s="185" t="s">
        <v>215</v>
      </c>
    </row>
    <row r="31265" spans="129:129" x14ac:dyDescent="0.2">
      <c r="DY31265" s="185" t="s">
        <v>215</v>
      </c>
    </row>
    <row r="31266" spans="129:129" x14ac:dyDescent="0.2">
      <c r="DY31266" s="185" t="s">
        <v>215</v>
      </c>
    </row>
    <row r="31267" spans="129:129" x14ac:dyDescent="0.2">
      <c r="DY31267" s="185" t="s">
        <v>215</v>
      </c>
    </row>
    <row r="31268" spans="129:129" x14ac:dyDescent="0.2">
      <c r="DY31268" s="185" t="s">
        <v>215</v>
      </c>
    </row>
    <row r="31269" spans="129:129" x14ac:dyDescent="0.2">
      <c r="DY31269" s="185" t="s">
        <v>215</v>
      </c>
    </row>
    <row r="31270" spans="129:129" x14ac:dyDescent="0.2">
      <c r="DY31270" s="185" t="s">
        <v>215</v>
      </c>
    </row>
    <row r="31271" spans="129:129" x14ac:dyDescent="0.2">
      <c r="DY31271" s="185" t="s">
        <v>215</v>
      </c>
    </row>
    <row r="31272" spans="129:129" x14ac:dyDescent="0.2">
      <c r="DY31272" s="185" t="s">
        <v>215</v>
      </c>
    </row>
    <row r="31273" spans="129:129" x14ac:dyDescent="0.2">
      <c r="DY31273" s="185" t="s">
        <v>215</v>
      </c>
    </row>
    <row r="31274" spans="129:129" x14ac:dyDescent="0.2">
      <c r="DY31274" s="185" t="s">
        <v>215</v>
      </c>
    </row>
    <row r="31275" spans="129:129" x14ac:dyDescent="0.2">
      <c r="DY31275" s="185" t="s">
        <v>215</v>
      </c>
    </row>
    <row r="31276" spans="129:129" x14ac:dyDescent="0.2">
      <c r="DY31276" s="185" t="s">
        <v>215</v>
      </c>
    </row>
    <row r="31277" spans="129:129" x14ac:dyDescent="0.2">
      <c r="DY31277" s="185" t="s">
        <v>215</v>
      </c>
    </row>
    <row r="31278" spans="129:129" x14ac:dyDescent="0.2">
      <c r="DY31278" s="185" t="s">
        <v>215</v>
      </c>
    </row>
    <row r="31279" spans="129:129" x14ac:dyDescent="0.2">
      <c r="DY31279" s="185" t="s">
        <v>215</v>
      </c>
    </row>
    <row r="31280" spans="129:129" x14ac:dyDescent="0.2">
      <c r="DY31280" s="185" t="s">
        <v>215</v>
      </c>
    </row>
    <row r="31281" spans="129:129" x14ac:dyDescent="0.2">
      <c r="DY31281" s="185" t="s">
        <v>215</v>
      </c>
    </row>
    <row r="31282" spans="129:129" x14ac:dyDescent="0.2">
      <c r="DY31282" s="185" t="s">
        <v>215</v>
      </c>
    </row>
    <row r="31283" spans="129:129" x14ac:dyDescent="0.2">
      <c r="DY31283" s="185" t="s">
        <v>215</v>
      </c>
    </row>
    <row r="31284" spans="129:129" x14ac:dyDescent="0.2">
      <c r="DY31284" s="185" t="s">
        <v>215</v>
      </c>
    </row>
    <row r="31285" spans="129:129" x14ac:dyDescent="0.2">
      <c r="DY31285" s="185" t="s">
        <v>215</v>
      </c>
    </row>
    <row r="31286" spans="129:129" x14ac:dyDescent="0.2">
      <c r="DY31286" s="185" t="s">
        <v>215</v>
      </c>
    </row>
    <row r="31287" spans="129:129" x14ac:dyDescent="0.2">
      <c r="DY31287" s="185" t="s">
        <v>215</v>
      </c>
    </row>
    <row r="31288" spans="129:129" x14ac:dyDescent="0.2">
      <c r="DY31288" s="185" t="s">
        <v>215</v>
      </c>
    </row>
    <row r="31289" spans="129:129" x14ac:dyDescent="0.2">
      <c r="DY31289" s="185" t="s">
        <v>215</v>
      </c>
    </row>
    <row r="31290" spans="129:129" x14ac:dyDescent="0.2">
      <c r="DY31290" s="185" t="s">
        <v>215</v>
      </c>
    </row>
    <row r="31291" spans="129:129" x14ac:dyDescent="0.2">
      <c r="DY31291" s="185" t="s">
        <v>215</v>
      </c>
    </row>
    <row r="31292" spans="129:129" x14ac:dyDescent="0.2">
      <c r="DY31292" s="185" t="s">
        <v>215</v>
      </c>
    </row>
    <row r="31293" spans="129:129" x14ac:dyDescent="0.2">
      <c r="DY31293" s="185" t="s">
        <v>215</v>
      </c>
    </row>
    <row r="31294" spans="129:129" x14ac:dyDescent="0.2">
      <c r="DY31294" s="185" t="s">
        <v>215</v>
      </c>
    </row>
    <row r="31295" spans="129:129" x14ac:dyDescent="0.2">
      <c r="DY31295" s="185" t="s">
        <v>215</v>
      </c>
    </row>
    <row r="31296" spans="129:129" x14ac:dyDescent="0.2">
      <c r="DY31296" s="185" t="s">
        <v>215</v>
      </c>
    </row>
    <row r="31297" spans="129:129" x14ac:dyDescent="0.2">
      <c r="DY31297" s="185" t="s">
        <v>215</v>
      </c>
    </row>
    <row r="31298" spans="129:129" x14ac:dyDescent="0.2">
      <c r="DY31298" s="185" t="s">
        <v>215</v>
      </c>
    </row>
    <row r="31299" spans="129:129" x14ac:dyDescent="0.2">
      <c r="DY31299" s="185" t="s">
        <v>215</v>
      </c>
    </row>
    <row r="31300" spans="129:129" x14ac:dyDescent="0.2">
      <c r="DY31300" s="185" t="s">
        <v>215</v>
      </c>
    </row>
    <row r="31301" spans="129:129" x14ac:dyDescent="0.2">
      <c r="DY31301" s="185" t="s">
        <v>215</v>
      </c>
    </row>
    <row r="31302" spans="129:129" x14ac:dyDescent="0.2">
      <c r="DY31302" s="185" t="s">
        <v>215</v>
      </c>
    </row>
    <row r="31303" spans="129:129" x14ac:dyDescent="0.2">
      <c r="DY31303" s="185" t="s">
        <v>215</v>
      </c>
    </row>
    <row r="31304" spans="129:129" x14ac:dyDescent="0.2">
      <c r="DY31304" s="185" t="s">
        <v>215</v>
      </c>
    </row>
    <row r="31305" spans="129:129" x14ac:dyDescent="0.2">
      <c r="DY31305" s="185" t="s">
        <v>215</v>
      </c>
    </row>
    <row r="31306" spans="129:129" x14ac:dyDescent="0.2">
      <c r="DY31306" s="185" t="s">
        <v>215</v>
      </c>
    </row>
    <row r="31307" spans="129:129" x14ac:dyDescent="0.2">
      <c r="DY31307" s="185" t="s">
        <v>215</v>
      </c>
    </row>
    <row r="31308" spans="129:129" x14ac:dyDescent="0.2">
      <c r="DY31308" s="185" t="s">
        <v>215</v>
      </c>
    </row>
    <row r="31309" spans="129:129" x14ac:dyDescent="0.2">
      <c r="DY31309" s="185" t="s">
        <v>215</v>
      </c>
    </row>
    <row r="31310" spans="129:129" x14ac:dyDescent="0.2">
      <c r="DY31310" s="185" t="s">
        <v>215</v>
      </c>
    </row>
    <row r="31311" spans="129:129" x14ac:dyDescent="0.2">
      <c r="DY31311" s="185" t="s">
        <v>215</v>
      </c>
    </row>
    <row r="31312" spans="129:129" x14ac:dyDescent="0.2">
      <c r="DY31312" s="185" t="s">
        <v>215</v>
      </c>
    </row>
    <row r="31313" spans="129:129" x14ac:dyDescent="0.2">
      <c r="DY31313" s="185" t="s">
        <v>215</v>
      </c>
    </row>
    <row r="31314" spans="129:129" x14ac:dyDescent="0.2">
      <c r="DY31314" s="185" t="s">
        <v>215</v>
      </c>
    </row>
    <row r="31315" spans="129:129" x14ac:dyDescent="0.2">
      <c r="DY31315" s="185" t="s">
        <v>215</v>
      </c>
    </row>
    <row r="31316" spans="129:129" x14ac:dyDescent="0.2">
      <c r="DY31316" s="185" t="s">
        <v>215</v>
      </c>
    </row>
    <row r="31317" spans="129:129" x14ac:dyDescent="0.2">
      <c r="DY31317" s="185" t="s">
        <v>215</v>
      </c>
    </row>
    <row r="31318" spans="129:129" x14ac:dyDescent="0.2">
      <c r="DY31318" s="185" t="s">
        <v>215</v>
      </c>
    </row>
    <row r="31319" spans="129:129" x14ac:dyDescent="0.2">
      <c r="DY31319" s="185" t="s">
        <v>215</v>
      </c>
    </row>
    <row r="31320" spans="129:129" x14ac:dyDescent="0.2">
      <c r="DY31320" s="185" t="s">
        <v>215</v>
      </c>
    </row>
    <row r="31321" spans="129:129" x14ac:dyDescent="0.2">
      <c r="DY31321" s="185" t="s">
        <v>215</v>
      </c>
    </row>
    <row r="31322" spans="129:129" x14ac:dyDescent="0.2">
      <c r="DY31322" s="185" t="s">
        <v>215</v>
      </c>
    </row>
    <row r="31323" spans="129:129" x14ac:dyDescent="0.2">
      <c r="DY31323" s="185" t="s">
        <v>215</v>
      </c>
    </row>
    <row r="31324" spans="129:129" x14ac:dyDescent="0.2">
      <c r="DY31324" s="185" t="s">
        <v>215</v>
      </c>
    </row>
    <row r="31325" spans="129:129" x14ac:dyDescent="0.2">
      <c r="DY31325" s="185" t="s">
        <v>215</v>
      </c>
    </row>
    <row r="31326" spans="129:129" x14ac:dyDescent="0.2">
      <c r="DY31326" s="185" t="s">
        <v>215</v>
      </c>
    </row>
    <row r="31327" spans="129:129" x14ac:dyDescent="0.2">
      <c r="DY31327" s="185" t="s">
        <v>215</v>
      </c>
    </row>
    <row r="31328" spans="129:129" x14ac:dyDescent="0.2">
      <c r="DY31328" s="185" t="s">
        <v>215</v>
      </c>
    </row>
    <row r="31329" spans="129:129" x14ac:dyDescent="0.2">
      <c r="DY31329" s="185" t="s">
        <v>215</v>
      </c>
    </row>
    <row r="31330" spans="129:129" x14ac:dyDescent="0.2">
      <c r="DY31330" s="185" t="s">
        <v>215</v>
      </c>
    </row>
    <row r="31331" spans="129:129" x14ac:dyDescent="0.2">
      <c r="DY31331" s="185" t="s">
        <v>215</v>
      </c>
    </row>
    <row r="31332" spans="129:129" x14ac:dyDescent="0.2">
      <c r="DY31332" s="185" t="s">
        <v>215</v>
      </c>
    </row>
    <row r="31333" spans="129:129" x14ac:dyDescent="0.2">
      <c r="DY31333" s="185" t="s">
        <v>215</v>
      </c>
    </row>
    <row r="31334" spans="129:129" x14ac:dyDescent="0.2">
      <c r="DY31334" s="185" t="s">
        <v>215</v>
      </c>
    </row>
    <row r="31335" spans="129:129" x14ac:dyDescent="0.2">
      <c r="DY31335" s="185" t="s">
        <v>215</v>
      </c>
    </row>
    <row r="31336" spans="129:129" x14ac:dyDescent="0.2">
      <c r="DY31336" s="185" t="s">
        <v>215</v>
      </c>
    </row>
    <row r="31337" spans="129:129" x14ac:dyDescent="0.2">
      <c r="DY31337" s="185" t="s">
        <v>215</v>
      </c>
    </row>
    <row r="31338" spans="129:129" x14ac:dyDescent="0.2">
      <c r="DY31338" s="185" t="s">
        <v>215</v>
      </c>
    </row>
    <row r="31339" spans="129:129" x14ac:dyDescent="0.2">
      <c r="DY31339" s="185" t="s">
        <v>215</v>
      </c>
    </row>
    <row r="31340" spans="129:129" x14ac:dyDescent="0.2">
      <c r="DY31340" s="185" t="s">
        <v>215</v>
      </c>
    </row>
    <row r="31341" spans="129:129" x14ac:dyDescent="0.2">
      <c r="DY31341" s="185" t="s">
        <v>215</v>
      </c>
    </row>
    <row r="31342" spans="129:129" x14ac:dyDescent="0.2">
      <c r="DY31342" s="185" t="s">
        <v>215</v>
      </c>
    </row>
    <row r="31343" spans="129:129" x14ac:dyDescent="0.2">
      <c r="DY31343" s="185" t="s">
        <v>215</v>
      </c>
    </row>
    <row r="31344" spans="129:129" x14ac:dyDescent="0.2">
      <c r="DY31344" s="185" t="s">
        <v>215</v>
      </c>
    </row>
    <row r="31345" spans="129:129" x14ac:dyDescent="0.2">
      <c r="DY31345" s="185" t="s">
        <v>215</v>
      </c>
    </row>
    <row r="31346" spans="129:129" x14ac:dyDescent="0.2">
      <c r="DY31346" s="185" t="s">
        <v>215</v>
      </c>
    </row>
    <row r="31347" spans="129:129" x14ac:dyDescent="0.2">
      <c r="DY31347" s="185" t="s">
        <v>215</v>
      </c>
    </row>
    <row r="31348" spans="129:129" x14ac:dyDescent="0.2">
      <c r="DY31348" s="185" t="s">
        <v>215</v>
      </c>
    </row>
    <row r="31349" spans="129:129" x14ac:dyDescent="0.2">
      <c r="DY31349" s="185" t="s">
        <v>215</v>
      </c>
    </row>
    <row r="31350" spans="129:129" x14ac:dyDescent="0.2">
      <c r="DY31350" s="185" t="s">
        <v>215</v>
      </c>
    </row>
    <row r="31351" spans="129:129" x14ac:dyDescent="0.2">
      <c r="DY31351" s="185" t="s">
        <v>215</v>
      </c>
    </row>
    <row r="31352" spans="129:129" x14ac:dyDescent="0.2">
      <c r="DY31352" s="185" t="s">
        <v>215</v>
      </c>
    </row>
    <row r="31353" spans="129:129" x14ac:dyDescent="0.2">
      <c r="DY31353" s="185" t="s">
        <v>215</v>
      </c>
    </row>
    <row r="31354" spans="129:129" x14ac:dyDescent="0.2">
      <c r="DY31354" s="185" t="s">
        <v>215</v>
      </c>
    </row>
    <row r="31355" spans="129:129" x14ac:dyDescent="0.2">
      <c r="DY31355" s="185" t="s">
        <v>215</v>
      </c>
    </row>
    <row r="31356" spans="129:129" x14ac:dyDescent="0.2">
      <c r="DY31356" s="185" t="s">
        <v>215</v>
      </c>
    </row>
    <row r="31357" spans="129:129" x14ac:dyDescent="0.2">
      <c r="DY31357" s="185" t="s">
        <v>215</v>
      </c>
    </row>
    <row r="31358" spans="129:129" x14ac:dyDescent="0.2">
      <c r="DY31358" s="185" t="s">
        <v>215</v>
      </c>
    </row>
    <row r="31359" spans="129:129" x14ac:dyDescent="0.2">
      <c r="DY31359" s="185" t="s">
        <v>215</v>
      </c>
    </row>
    <row r="31360" spans="129:129" x14ac:dyDescent="0.2">
      <c r="DY31360" s="185" t="s">
        <v>215</v>
      </c>
    </row>
    <row r="31361" spans="129:129" x14ac:dyDescent="0.2">
      <c r="DY31361" s="185" t="s">
        <v>215</v>
      </c>
    </row>
    <row r="31362" spans="129:129" x14ac:dyDescent="0.2">
      <c r="DY31362" s="185" t="s">
        <v>215</v>
      </c>
    </row>
    <row r="31363" spans="129:129" x14ac:dyDescent="0.2">
      <c r="DY31363" s="185" t="s">
        <v>215</v>
      </c>
    </row>
    <row r="31364" spans="129:129" x14ac:dyDescent="0.2">
      <c r="DY31364" s="185" t="s">
        <v>215</v>
      </c>
    </row>
    <row r="31365" spans="129:129" x14ac:dyDescent="0.2">
      <c r="DY31365" s="185" t="s">
        <v>215</v>
      </c>
    </row>
    <row r="31366" spans="129:129" x14ac:dyDescent="0.2">
      <c r="DY31366" s="185" t="s">
        <v>215</v>
      </c>
    </row>
    <row r="31367" spans="129:129" x14ac:dyDescent="0.2">
      <c r="DY31367" s="185" t="s">
        <v>215</v>
      </c>
    </row>
    <row r="31368" spans="129:129" x14ac:dyDescent="0.2">
      <c r="DY31368" s="185" t="s">
        <v>215</v>
      </c>
    </row>
    <row r="31369" spans="129:129" x14ac:dyDescent="0.2">
      <c r="DY31369" s="185" t="s">
        <v>215</v>
      </c>
    </row>
    <row r="31370" spans="129:129" x14ac:dyDescent="0.2">
      <c r="DY31370" s="185" t="s">
        <v>215</v>
      </c>
    </row>
    <row r="31371" spans="129:129" x14ac:dyDescent="0.2">
      <c r="DY31371" s="185" t="s">
        <v>215</v>
      </c>
    </row>
    <row r="31372" spans="129:129" x14ac:dyDescent="0.2">
      <c r="DY31372" s="185" t="s">
        <v>215</v>
      </c>
    </row>
    <row r="31373" spans="129:129" x14ac:dyDescent="0.2">
      <c r="DY31373" s="185" t="s">
        <v>215</v>
      </c>
    </row>
    <row r="31374" spans="129:129" x14ac:dyDescent="0.2">
      <c r="DY31374" s="185" t="s">
        <v>215</v>
      </c>
    </row>
    <row r="31375" spans="129:129" x14ac:dyDescent="0.2">
      <c r="DY31375" s="185" t="s">
        <v>215</v>
      </c>
    </row>
    <row r="31376" spans="129:129" x14ac:dyDescent="0.2">
      <c r="DY31376" s="185" t="s">
        <v>215</v>
      </c>
    </row>
    <row r="31377" spans="129:129" x14ac:dyDescent="0.2">
      <c r="DY31377" s="185" t="s">
        <v>215</v>
      </c>
    </row>
    <row r="31378" spans="129:129" x14ac:dyDescent="0.2">
      <c r="DY31378" s="185" t="s">
        <v>215</v>
      </c>
    </row>
    <row r="31379" spans="129:129" x14ac:dyDescent="0.2">
      <c r="DY31379" s="185" t="s">
        <v>215</v>
      </c>
    </row>
    <row r="31380" spans="129:129" x14ac:dyDescent="0.2">
      <c r="DY31380" s="185" t="s">
        <v>215</v>
      </c>
    </row>
    <row r="31381" spans="129:129" x14ac:dyDescent="0.2">
      <c r="DY31381" s="185" t="s">
        <v>215</v>
      </c>
    </row>
    <row r="31382" spans="129:129" x14ac:dyDescent="0.2">
      <c r="DY31382" s="185" t="s">
        <v>215</v>
      </c>
    </row>
    <row r="31383" spans="129:129" x14ac:dyDescent="0.2">
      <c r="DY31383" s="185" t="s">
        <v>215</v>
      </c>
    </row>
    <row r="31384" spans="129:129" x14ac:dyDescent="0.2">
      <c r="DY31384" s="185" t="s">
        <v>215</v>
      </c>
    </row>
    <row r="31385" spans="129:129" x14ac:dyDescent="0.2">
      <c r="DY31385" s="185" t="s">
        <v>215</v>
      </c>
    </row>
    <row r="31386" spans="129:129" x14ac:dyDescent="0.2">
      <c r="DY31386" s="185" t="s">
        <v>215</v>
      </c>
    </row>
    <row r="31387" spans="129:129" x14ac:dyDescent="0.2">
      <c r="DY31387" s="185" t="s">
        <v>215</v>
      </c>
    </row>
    <row r="31388" spans="129:129" x14ac:dyDescent="0.2">
      <c r="DY31388" s="185" t="s">
        <v>215</v>
      </c>
    </row>
    <row r="31389" spans="129:129" x14ac:dyDescent="0.2">
      <c r="DY31389" s="185" t="s">
        <v>215</v>
      </c>
    </row>
    <row r="31390" spans="129:129" x14ac:dyDescent="0.2">
      <c r="DY31390" s="185" t="s">
        <v>215</v>
      </c>
    </row>
    <row r="31391" spans="129:129" x14ac:dyDescent="0.2">
      <c r="DY31391" s="185" t="s">
        <v>215</v>
      </c>
    </row>
    <row r="31392" spans="129:129" x14ac:dyDescent="0.2">
      <c r="DY31392" s="185" t="s">
        <v>215</v>
      </c>
    </row>
    <row r="31393" spans="129:129" x14ac:dyDescent="0.2">
      <c r="DY31393" s="185" t="s">
        <v>215</v>
      </c>
    </row>
    <row r="31394" spans="129:129" x14ac:dyDescent="0.2">
      <c r="DY31394" s="185" t="s">
        <v>215</v>
      </c>
    </row>
    <row r="31395" spans="129:129" x14ac:dyDescent="0.2">
      <c r="DY31395" s="185" t="s">
        <v>215</v>
      </c>
    </row>
    <row r="31396" spans="129:129" x14ac:dyDescent="0.2">
      <c r="DY31396" s="185" t="s">
        <v>215</v>
      </c>
    </row>
    <row r="31397" spans="129:129" x14ac:dyDescent="0.2">
      <c r="DY31397" s="185" t="s">
        <v>215</v>
      </c>
    </row>
    <row r="31398" spans="129:129" x14ac:dyDescent="0.2">
      <c r="DY31398" s="185" t="s">
        <v>215</v>
      </c>
    </row>
    <row r="31399" spans="129:129" x14ac:dyDescent="0.2">
      <c r="DY31399" s="185" t="s">
        <v>215</v>
      </c>
    </row>
    <row r="31400" spans="129:129" x14ac:dyDescent="0.2">
      <c r="DY31400" s="185" t="s">
        <v>215</v>
      </c>
    </row>
    <row r="31401" spans="129:129" x14ac:dyDescent="0.2">
      <c r="DY31401" s="185" t="s">
        <v>215</v>
      </c>
    </row>
    <row r="31402" spans="129:129" x14ac:dyDescent="0.2">
      <c r="DY31402" s="185" t="s">
        <v>215</v>
      </c>
    </row>
    <row r="31403" spans="129:129" x14ac:dyDescent="0.2">
      <c r="DY31403" s="185" t="s">
        <v>215</v>
      </c>
    </row>
    <row r="31404" spans="129:129" x14ac:dyDescent="0.2">
      <c r="DY31404" s="185" t="s">
        <v>215</v>
      </c>
    </row>
    <row r="31405" spans="129:129" x14ac:dyDescent="0.2">
      <c r="DY31405" s="185" t="s">
        <v>215</v>
      </c>
    </row>
    <row r="31406" spans="129:129" x14ac:dyDescent="0.2">
      <c r="DY31406" s="185" t="s">
        <v>215</v>
      </c>
    </row>
    <row r="31407" spans="129:129" x14ac:dyDescent="0.2">
      <c r="DY31407" s="185" t="s">
        <v>215</v>
      </c>
    </row>
    <row r="31408" spans="129:129" x14ac:dyDescent="0.2">
      <c r="DY31408" s="185" t="s">
        <v>215</v>
      </c>
    </row>
    <row r="31409" spans="129:129" x14ac:dyDescent="0.2">
      <c r="DY31409" s="185" t="s">
        <v>215</v>
      </c>
    </row>
    <row r="31410" spans="129:129" x14ac:dyDescent="0.2">
      <c r="DY31410" s="185" t="s">
        <v>215</v>
      </c>
    </row>
    <row r="31411" spans="129:129" x14ac:dyDescent="0.2">
      <c r="DY31411" s="185" t="s">
        <v>215</v>
      </c>
    </row>
    <row r="31412" spans="129:129" x14ac:dyDescent="0.2">
      <c r="DY31412" s="185" t="s">
        <v>215</v>
      </c>
    </row>
    <row r="31413" spans="129:129" x14ac:dyDescent="0.2">
      <c r="DY31413" s="185" t="s">
        <v>215</v>
      </c>
    </row>
    <row r="31414" spans="129:129" x14ac:dyDescent="0.2">
      <c r="DY31414" s="185" t="s">
        <v>215</v>
      </c>
    </row>
    <row r="31415" spans="129:129" x14ac:dyDescent="0.2">
      <c r="DY31415" s="185" t="s">
        <v>215</v>
      </c>
    </row>
    <row r="31416" spans="129:129" x14ac:dyDescent="0.2">
      <c r="DY31416" s="185" t="s">
        <v>215</v>
      </c>
    </row>
    <row r="31417" spans="129:129" x14ac:dyDescent="0.2">
      <c r="DY31417" s="185" t="s">
        <v>215</v>
      </c>
    </row>
    <row r="31418" spans="129:129" x14ac:dyDescent="0.2">
      <c r="DY31418" s="185" t="s">
        <v>215</v>
      </c>
    </row>
    <row r="31419" spans="129:129" x14ac:dyDescent="0.2">
      <c r="DY31419" s="185" t="s">
        <v>215</v>
      </c>
    </row>
    <row r="31420" spans="129:129" x14ac:dyDescent="0.2">
      <c r="DY31420" s="185" t="s">
        <v>215</v>
      </c>
    </row>
    <row r="31421" spans="129:129" x14ac:dyDescent="0.2">
      <c r="DY31421" s="185" t="s">
        <v>215</v>
      </c>
    </row>
    <row r="31422" spans="129:129" x14ac:dyDescent="0.2">
      <c r="DY31422" s="185" t="s">
        <v>215</v>
      </c>
    </row>
    <row r="31423" spans="129:129" x14ac:dyDescent="0.2">
      <c r="DY31423" s="185" t="s">
        <v>215</v>
      </c>
    </row>
    <row r="31424" spans="129:129" x14ac:dyDescent="0.2">
      <c r="DY31424" s="185" t="s">
        <v>215</v>
      </c>
    </row>
    <row r="31425" spans="129:129" x14ac:dyDescent="0.2">
      <c r="DY31425" s="185" t="s">
        <v>215</v>
      </c>
    </row>
    <row r="31426" spans="129:129" x14ac:dyDescent="0.2">
      <c r="DY31426" s="185" t="s">
        <v>215</v>
      </c>
    </row>
    <row r="31427" spans="129:129" x14ac:dyDescent="0.2">
      <c r="DY31427" s="185" t="s">
        <v>215</v>
      </c>
    </row>
    <row r="31428" spans="129:129" x14ac:dyDescent="0.2">
      <c r="DY31428" s="185" t="s">
        <v>215</v>
      </c>
    </row>
    <row r="31429" spans="129:129" x14ac:dyDescent="0.2">
      <c r="DY31429" s="185" t="s">
        <v>215</v>
      </c>
    </row>
    <row r="31430" spans="129:129" x14ac:dyDescent="0.2">
      <c r="DY31430" s="185" t="s">
        <v>215</v>
      </c>
    </row>
    <row r="31431" spans="129:129" x14ac:dyDescent="0.2">
      <c r="DY31431" s="185" t="s">
        <v>215</v>
      </c>
    </row>
    <row r="31432" spans="129:129" x14ac:dyDescent="0.2">
      <c r="DY31432" s="185" t="s">
        <v>215</v>
      </c>
    </row>
    <row r="31433" spans="129:129" x14ac:dyDescent="0.2">
      <c r="DY31433" s="185" t="s">
        <v>215</v>
      </c>
    </row>
    <row r="31434" spans="129:129" x14ac:dyDescent="0.2">
      <c r="DY31434" s="185" t="s">
        <v>215</v>
      </c>
    </row>
    <row r="31435" spans="129:129" x14ac:dyDescent="0.2">
      <c r="DY31435" s="185" t="s">
        <v>215</v>
      </c>
    </row>
    <row r="31436" spans="129:129" x14ac:dyDescent="0.2">
      <c r="DY31436" s="185" t="s">
        <v>215</v>
      </c>
    </row>
    <row r="31437" spans="129:129" x14ac:dyDescent="0.2">
      <c r="DY31437" s="185" t="s">
        <v>215</v>
      </c>
    </row>
    <row r="31438" spans="129:129" x14ac:dyDescent="0.2">
      <c r="DY31438" s="185" t="s">
        <v>215</v>
      </c>
    </row>
    <row r="31439" spans="129:129" x14ac:dyDescent="0.2">
      <c r="DY31439" s="185" t="s">
        <v>215</v>
      </c>
    </row>
    <row r="31440" spans="129:129" x14ac:dyDescent="0.2">
      <c r="DY31440" s="185" t="s">
        <v>215</v>
      </c>
    </row>
    <row r="31441" spans="129:129" x14ac:dyDescent="0.2">
      <c r="DY31441" s="185" t="s">
        <v>215</v>
      </c>
    </row>
    <row r="31442" spans="129:129" x14ac:dyDescent="0.2">
      <c r="DY31442" s="185" t="s">
        <v>215</v>
      </c>
    </row>
    <row r="31443" spans="129:129" x14ac:dyDescent="0.2">
      <c r="DY31443" s="185" t="s">
        <v>215</v>
      </c>
    </row>
    <row r="31444" spans="129:129" x14ac:dyDescent="0.2">
      <c r="DY31444" s="185" t="s">
        <v>215</v>
      </c>
    </row>
    <row r="31445" spans="129:129" x14ac:dyDescent="0.2">
      <c r="DY31445" s="185" t="s">
        <v>215</v>
      </c>
    </row>
    <row r="31446" spans="129:129" x14ac:dyDescent="0.2">
      <c r="DY31446" s="185" t="s">
        <v>215</v>
      </c>
    </row>
    <row r="31447" spans="129:129" x14ac:dyDescent="0.2">
      <c r="DY31447" s="185" t="s">
        <v>215</v>
      </c>
    </row>
    <row r="31448" spans="129:129" x14ac:dyDescent="0.2">
      <c r="DY31448" s="185" t="s">
        <v>215</v>
      </c>
    </row>
    <row r="31449" spans="129:129" x14ac:dyDescent="0.2">
      <c r="DY31449" s="185" t="s">
        <v>215</v>
      </c>
    </row>
    <row r="31450" spans="129:129" x14ac:dyDescent="0.2">
      <c r="DY31450" s="185" t="s">
        <v>215</v>
      </c>
    </row>
    <row r="31451" spans="129:129" x14ac:dyDescent="0.2">
      <c r="DY31451" s="185" t="s">
        <v>215</v>
      </c>
    </row>
    <row r="31452" spans="129:129" x14ac:dyDescent="0.2">
      <c r="DY31452" s="185" t="s">
        <v>215</v>
      </c>
    </row>
    <row r="31453" spans="129:129" x14ac:dyDescent="0.2">
      <c r="DY31453" s="185" t="s">
        <v>215</v>
      </c>
    </row>
    <row r="31454" spans="129:129" x14ac:dyDescent="0.2">
      <c r="DY31454" s="185" t="s">
        <v>215</v>
      </c>
    </row>
    <row r="31455" spans="129:129" x14ac:dyDescent="0.2">
      <c r="DY31455" s="185" t="s">
        <v>215</v>
      </c>
    </row>
    <row r="31456" spans="129:129" x14ac:dyDescent="0.2">
      <c r="DY31456" s="185" t="s">
        <v>215</v>
      </c>
    </row>
    <row r="31457" spans="129:129" x14ac:dyDescent="0.2">
      <c r="DY31457" s="185" t="s">
        <v>215</v>
      </c>
    </row>
    <row r="31458" spans="129:129" x14ac:dyDescent="0.2">
      <c r="DY31458" s="185" t="s">
        <v>215</v>
      </c>
    </row>
    <row r="31459" spans="129:129" x14ac:dyDescent="0.2">
      <c r="DY31459" s="185" t="s">
        <v>215</v>
      </c>
    </row>
    <row r="31460" spans="129:129" x14ac:dyDescent="0.2">
      <c r="DY31460" s="185" t="s">
        <v>215</v>
      </c>
    </row>
    <row r="31461" spans="129:129" x14ac:dyDescent="0.2">
      <c r="DY31461" s="185" t="s">
        <v>215</v>
      </c>
    </row>
    <row r="31462" spans="129:129" x14ac:dyDescent="0.2">
      <c r="DY31462" s="185" t="s">
        <v>215</v>
      </c>
    </row>
    <row r="31463" spans="129:129" x14ac:dyDescent="0.2">
      <c r="DY31463" s="185" t="s">
        <v>215</v>
      </c>
    </row>
    <row r="31464" spans="129:129" x14ac:dyDescent="0.2">
      <c r="DY31464" s="185" t="s">
        <v>215</v>
      </c>
    </row>
    <row r="31465" spans="129:129" x14ac:dyDescent="0.2">
      <c r="DY31465" s="185" t="s">
        <v>215</v>
      </c>
    </row>
    <row r="31466" spans="129:129" x14ac:dyDescent="0.2">
      <c r="DY31466" s="185" t="s">
        <v>215</v>
      </c>
    </row>
    <row r="31467" spans="129:129" x14ac:dyDescent="0.2">
      <c r="DY31467" s="185" t="s">
        <v>215</v>
      </c>
    </row>
    <row r="31468" spans="129:129" x14ac:dyDescent="0.2">
      <c r="DY31468" s="185" t="s">
        <v>215</v>
      </c>
    </row>
    <row r="31469" spans="129:129" x14ac:dyDescent="0.2">
      <c r="DY31469" s="185" t="s">
        <v>215</v>
      </c>
    </row>
    <row r="31470" spans="129:129" x14ac:dyDescent="0.2">
      <c r="DY31470" s="185" t="s">
        <v>215</v>
      </c>
    </row>
    <row r="31471" spans="129:129" x14ac:dyDescent="0.2">
      <c r="DY31471" s="185" t="s">
        <v>215</v>
      </c>
    </row>
    <row r="31472" spans="129:129" x14ac:dyDescent="0.2">
      <c r="DY31472" s="185" t="s">
        <v>215</v>
      </c>
    </row>
    <row r="31473" spans="129:129" x14ac:dyDescent="0.2">
      <c r="DY31473" s="185" t="s">
        <v>215</v>
      </c>
    </row>
    <row r="31474" spans="129:129" x14ac:dyDescent="0.2">
      <c r="DY31474" s="185" t="s">
        <v>215</v>
      </c>
    </row>
    <row r="31475" spans="129:129" x14ac:dyDescent="0.2">
      <c r="DY31475" s="185" t="s">
        <v>215</v>
      </c>
    </row>
    <row r="31476" spans="129:129" x14ac:dyDescent="0.2">
      <c r="DY31476" s="185" t="s">
        <v>215</v>
      </c>
    </row>
    <row r="31477" spans="129:129" x14ac:dyDescent="0.2">
      <c r="DY31477" s="185" t="s">
        <v>215</v>
      </c>
    </row>
    <row r="31478" spans="129:129" x14ac:dyDescent="0.2">
      <c r="DY31478" s="185" t="s">
        <v>215</v>
      </c>
    </row>
    <row r="31479" spans="129:129" x14ac:dyDescent="0.2">
      <c r="DY31479" s="185" t="s">
        <v>215</v>
      </c>
    </row>
    <row r="31480" spans="129:129" x14ac:dyDescent="0.2">
      <c r="DY31480" s="185" t="s">
        <v>215</v>
      </c>
    </row>
    <row r="31481" spans="129:129" x14ac:dyDescent="0.2">
      <c r="DY31481" s="185" t="s">
        <v>215</v>
      </c>
    </row>
    <row r="31482" spans="129:129" x14ac:dyDescent="0.2">
      <c r="DY31482" s="185" t="s">
        <v>215</v>
      </c>
    </row>
    <row r="31483" spans="129:129" x14ac:dyDescent="0.2">
      <c r="DY31483" s="185" t="s">
        <v>215</v>
      </c>
    </row>
    <row r="31484" spans="129:129" x14ac:dyDescent="0.2">
      <c r="DY31484" s="185" t="s">
        <v>215</v>
      </c>
    </row>
    <row r="31485" spans="129:129" x14ac:dyDescent="0.2">
      <c r="DY31485" s="185" t="s">
        <v>215</v>
      </c>
    </row>
    <row r="31486" spans="129:129" x14ac:dyDescent="0.2">
      <c r="DY31486" s="185" t="s">
        <v>215</v>
      </c>
    </row>
    <row r="31487" spans="129:129" x14ac:dyDescent="0.2">
      <c r="DY31487" s="185" t="s">
        <v>215</v>
      </c>
    </row>
    <row r="31488" spans="129:129" x14ac:dyDescent="0.2">
      <c r="DY31488" s="185" t="s">
        <v>215</v>
      </c>
    </row>
    <row r="31489" spans="129:129" x14ac:dyDescent="0.2">
      <c r="DY31489" s="185" t="s">
        <v>215</v>
      </c>
    </row>
    <row r="31490" spans="129:129" x14ac:dyDescent="0.2">
      <c r="DY31490" s="185" t="s">
        <v>215</v>
      </c>
    </row>
    <row r="31491" spans="129:129" x14ac:dyDescent="0.2">
      <c r="DY31491" s="185" t="s">
        <v>215</v>
      </c>
    </row>
    <row r="31492" spans="129:129" x14ac:dyDescent="0.2">
      <c r="DY31492" s="185" t="s">
        <v>215</v>
      </c>
    </row>
    <row r="31493" spans="129:129" x14ac:dyDescent="0.2">
      <c r="DY31493" s="185" t="s">
        <v>215</v>
      </c>
    </row>
    <row r="31494" spans="129:129" x14ac:dyDescent="0.2">
      <c r="DY31494" s="185" t="s">
        <v>215</v>
      </c>
    </row>
    <row r="31495" spans="129:129" x14ac:dyDescent="0.2">
      <c r="DY31495" s="185" t="s">
        <v>215</v>
      </c>
    </row>
    <row r="31496" spans="129:129" x14ac:dyDescent="0.2">
      <c r="DY31496" s="185" t="s">
        <v>215</v>
      </c>
    </row>
    <row r="31497" spans="129:129" x14ac:dyDescent="0.2">
      <c r="DY31497" s="185" t="s">
        <v>215</v>
      </c>
    </row>
    <row r="31498" spans="129:129" x14ac:dyDescent="0.2">
      <c r="DY31498" s="185" t="s">
        <v>215</v>
      </c>
    </row>
    <row r="31499" spans="129:129" x14ac:dyDescent="0.2">
      <c r="DY31499" s="185" t="s">
        <v>215</v>
      </c>
    </row>
    <row r="31500" spans="129:129" x14ac:dyDescent="0.2">
      <c r="DY31500" s="185" t="s">
        <v>215</v>
      </c>
    </row>
    <row r="31501" spans="129:129" x14ac:dyDescent="0.2">
      <c r="DY31501" s="185" t="s">
        <v>215</v>
      </c>
    </row>
    <row r="31502" spans="129:129" x14ac:dyDescent="0.2">
      <c r="DY31502" s="185" t="s">
        <v>215</v>
      </c>
    </row>
    <row r="31503" spans="129:129" x14ac:dyDescent="0.2">
      <c r="DY31503" s="185" t="s">
        <v>215</v>
      </c>
    </row>
    <row r="31504" spans="129:129" x14ac:dyDescent="0.2">
      <c r="DY31504" s="185" t="s">
        <v>215</v>
      </c>
    </row>
    <row r="31505" spans="129:129" x14ac:dyDescent="0.2">
      <c r="DY31505" s="185" t="s">
        <v>215</v>
      </c>
    </row>
    <row r="31506" spans="129:129" x14ac:dyDescent="0.2">
      <c r="DY31506" s="185" t="s">
        <v>215</v>
      </c>
    </row>
    <row r="31507" spans="129:129" x14ac:dyDescent="0.2">
      <c r="DY31507" s="185" t="s">
        <v>215</v>
      </c>
    </row>
    <row r="31508" spans="129:129" x14ac:dyDescent="0.2">
      <c r="DY31508" s="185" t="s">
        <v>215</v>
      </c>
    </row>
    <row r="31509" spans="129:129" x14ac:dyDescent="0.2">
      <c r="DY31509" s="185" t="s">
        <v>215</v>
      </c>
    </row>
    <row r="31510" spans="129:129" x14ac:dyDescent="0.2">
      <c r="DY31510" s="185" t="s">
        <v>215</v>
      </c>
    </row>
    <row r="31511" spans="129:129" x14ac:dyDescent="0.2">
      <c r="DY31511" s="185" t="s">
        <v>215</v>
      </c>
    </row>
    <row r="31512" spans="129:129" x14ac:dyDescent="0.2">
      <c r="DY31512" s="185" t="s">
        <v>215</v>
      </c>
    </row>
    <row r="31513" spans="129:129" x14ac:dyDescent="0.2">
      <c r="DY31513" s="185" t="s">
        <v>215</v>
      </c>
    </row>
    <row r="31514" spans="129:129" x14ac:dyDescent="0.2">
      <c r="DY31514" s="185" t="s">
        <v>215</v>
      </c>
    </row>
    <row r="31515" spans="129:129" x14ac:dyDescent="0.2">
      <c r="DY31515" s="185" t="s">
        <v>215</v>
      </c>
    </row>
    <row r="31516" spans="129:129" x14ac:dyDescent="0.2">
      <c r="DY31516" s="185" t="s">
        <v>215</v>
      </c>
    </row>
    <row r="31517" spans="129:129" x14ac:dyDescent="0.2">
      <c r="DY31517" s="185" t="s">
        <v>215</v>
      </c>
    </row>
    <row r="31518" spans="129:129" x14ac:dyDescent="0.2">
      <c r="DY31518" s="185" t="s">
        <v>215</v>
      </c>
    </row>
    <row r="31519" spans="129:129" x14ac:dyDescent="0.2">
      <c r="DY31519" s="185" t="s">
        <v>215</v>
      </c>
    </row>
    <row r="31520" spans="129:129" x14ac:dyDescent="0.2">
      <c r="DY31520" s="185" t="s">
        <v>215</v>
      </c>
    </row>
    <row r="31521" spans="129:129" x14ac:dyDescent="0.2">
      <c r="DY31521" s="185" t="s">
        <v>215</v>
      </c>
    </row>
    <row r="31522" spans="129:129" x14ac:dyDescent="0.2">
      <c r="DY31522" s="185" t="s">
        <v>215</v>
      </c>
    </row>
    <row r="31523" spans="129:129" x14ac:dyDescent="0.2">
      <c r="DY31523" s="185" t="s">
        <v>215</v>
      </c>
    </row>
    <row r="31524" spans="129:129" x14ac:dyDescent="0.2">
      <c r="DY31524" s="185" t="s">
        <v>215</v>
      </c>
    </row>
    <row r="31525" spans="129:129" x14ac:dyDescent="0.2">
      <c r="DY31525" s="185" t="s">
        <v>215</v>
      </c>
    </row>
    <row r="31526" spans="129:129" x14ac:dyDescent="0.2">
      <c r="DY31526" s="185" t="s">
        <v>215</v>
      </c>
    </row>
    <row r="31527" spans="129:129" x14ac:dyDescent="0.2">
      <c r="DY31527" s="185" t="s">
        <v>215</v>
      </c>
    </row>
    <row r="31528" spans="129:129" x14ac:dyDescent="0.2">
      <c r="DY31528" s="185" t="s">
        <v>215</v>
      </c>
    </row>
    <row r="31529" spans="129:129" x14ac:dyDescent="0.2">
      <c r="DY31529" s="185" t="s">
        <v>215</v>
      </c>
    </row>
    <row r="31530" spans="129:129" x14ac:dyDescent="0.2">
      <c r="DY31530" s="185" t="s">
        <v>215</v>
      </c>
    </row>
    <row r="31531" spans="129:129" x14ac:dyDescent="0.2">
      <c r="DY31531" s="185" t="s">
        <v>215</v>
      </c>
    </row>
    <row r="31532" spans="129:129" x14ac:dyDescent="0.2">
      <c r="DY31532" s="185" t="s">
        <v>215</v>
      </c>
    </row>
    <row r="31533" spans="129:129" x14ac:dyDescent="0.2">
      <c r="DY31533" s="185" t="s">
        <v>215</v>
      </c>
    </row>
    <row r="31534" spans="129:129" x14ac:dyDescent="0.2">
      <c r="DY31534" s="185" t="s">
        <v>215</v>
      </c>
    </row>
    <row r="31535" spans="129:129" x14ac:dyDescent="0.2">
      <c r="DY31535" s="185" t="s">
        <v>215</v>
      </c>
    </row>
    <row r="31536" spans="129:129" x14ac:dyDescent="0.2">
      <c r="DY31536" s="185" t="s">
        <v>215</v>
      </c>
    </row>
    <row r="31537" spans="129:129" x14ac:dyDescent="0.2">
      <c r="DY31537" s="185" t="s">
        <v>215</v>
      </c>
    </row>
    <row r="31538" spans="129:129" x14ac:dyDescent="0.2">
      <c r="DY31538" s="185" t="s">
        <v>215</v>
      </c>
    </row>
    <row r="31539" spans="129:129" x14ac:dyDescent="0.2">
      <c r="DY31539" s="185" t="s">
        <v>215</v>
      </c>
    </row>
    <row r="31540" spans="129:129" x14ac:dyDescent="0.2">
      <c r="DY31540" s="185" t="s">
        <v>215</v>
      </c>
    </row>
    <row r="31541" spans="129:129" x14ac:dyDescent="0.2">
      <c r="DY31541" s="185" t="s">
        <v>215</v>
      </c>
    </row>
    <row r="31542" spans="129:129" x14ac:dyDescent="0.2">
      <c r="DY31542" s="185" t="s">
        <v>215</v>
      </c>
    </row>
    <row r="31543" spans="129:129" x14ac:dyDescent="0.2">
      <c r="DY31543" s="185" t="s">
        <v>215</v>
      </c>
    </row>
    <row r="31544" spans="129:129" x14ac:dyDescent="0.2">
      <c r="DY31544" s="185" t="s">
        <v>215</v>
      </c>
    </row>
    <row r="31545" spans="129:129" x14ac:dyDescent="0.2">
      <c r="DY31545" s="185" t="s">
        <v>215</v>
      </c>
    </row>
    <row r="31546" spans="129:129" x14ac:dyDescent="0.2">
      <c r="DY31546" s="185" t="s">
        <v>215</v>
      </c>
    </row>
    <row r="31547" spans="129:129" x14ac:dyDescent="0.2">
      <c r="DY31547" s="185" t="s">
        <v>215</v>
      </c>
    </row>
    <row r="31548" spans="129:129" x14ac:dyDescent="0.2">
      <c r="DY31548" s="185" t="s">
        <v>215</v>
      </c>
    </row>
    <row r="31549" spans="129:129" x14ac:dyDescent="0.2">
      <c r="DY31549" s="185" t="s">
        <v>215</v>
      </c>
    </row>
    <row r="31550" spans="129:129" x14ac:dyDescent="0.2">
      <c r="DY31550" s="185" t="s">
        <v>215</v>
      </c>
    </row>
    <row r="31551" spans="129:129" x14ac:dyDescent="0.2">
      <c r="DY31551" s="185" t="s">
        <v>215</v>
      </c>
    </row>
    <row r="31552" spans="129:129" x14ac:dyDescent="0.2">
      <c r="DY31552" s="185" t="s">
        <v>215</v>
      </c>
    </row>
    <row r="31553" spans="129:129" x14ac:dyDescent="0.2">
      <c r="DY31553" s="185" t="s">
        <v>215</v>
      </c>
    </row>
    <row r="31554" spans="129:129" x14ac:dyDescent="0.2">
      <c r="DY31554" s="185" t="s">
        <v>215</v>
      </c>
    </row>
    <row r="31555" spans="129:129" x14ac:dyDescent="0.2">
      <c r="DY31555" s="185" t="s">
        <v>215</v>
      </c>
    </row>
    <row r="31556" spans="129:129" x14ac:dyDescent="0.2">
      <c r="DY31556" s="185" t="s">
        <v>215</v>
      </c>
    </row>
    <row r="31557" spans="129:129" x14ac:dyDescent="0.2">
      <c r="DY31557" s="185" t="s">
        <v>215</v>
      </c>
    </row>
    <row r="31558" spans="129:129" x14ac:dyDescent="0.2">
      <c r="DY31558" s="185" t="s">
        <v>215</v>
      </c>
    </row>
    <row r="31559" spans="129:129" x14ac:dyDescent="0.2">
      <c r="DY31559" s="185" t="s">
        <v>215</v>
      </c>
    </row>
    <row r="31560" spans="129:129" x14ac:dyDescent="0.2">
      <c r="DY31560" s="185" t="s">
        <v>215</v>
      </c>
    </row>
    <row r="31561" spans="129:129" x14ac:dyDescent="0.2">
      <c r="DY31561" s="185" t="s">
        <v>215</v>
      </c>
    </row>
    <row r="31562" spans="129:129" x14ac:dyDescent="0.2">
      <c r="DY31562" s="185" t="s">
        <v>215</v>
      </c>
    </row>
    <row r="31563" spans="129:129" x14ac:dyDescent="0.2">
      <c r="DY31563" s="185" t="s">
        <v>215</v>
      </c>
    </row>
    <row r="31564" spans="129:129" x14ac:dyDescent="0.2">
      <c r="DY31564" s="185" t="s">
        <v>215</v>
      </c>
    </row>
    <row r="31565" spans="129:129" x14ac:dyDescent="0.2">
      <c r="DY31565" s="185" t="s">
        <v>215</v>
      </c>
    </row>
    <row r="31566" spans="129:129" x14ac:dyDescent="0.2">
      <c r="DY31566" s="185" t="s">
        <v>215</v>
      </c>
    </row>
    <row r="31567" spans="129:129" x14ac:dyDescent="0.2">
      <c r="DY31567" s="185" t="s">
        <v>215</v>
      </c>
    </row>
    <row r="31568" spans="129:129" x14ac:dyDescent="0.2">
      <c r="DY31568" s="185" t="s">
        <v>215</v>
      </c>
    </row>
    <row r="31569" spans="129:129" x14ac:dyDescent="0.2">
      <c r="DY31569" s="185" t="s">
        <v>215</v>
      </c>
    </row>
    <row r="31570" spans="129:129" x14ac:dyDescent="0.2">
      <c r="DY31570" s="185" t="s">
        <v>215</v>
      </c>
    </row>
    <row r="31571" spans="129:129" x14ac:dyDescent="0.2">
      <c r="DY31571" s="185" t="s">
        <v>215</v>
      </c>
    </row>
    <row r="31572" spans="129:129" x14ac:dyDescent="0.2">
      <c r="DY31572" s="185" t="s">
        <v>215</v>
      </c>
    </row>
    <row r="31573" spans="129:129" x14ac:dyDescent="0.2">
      <c r="DY31573" s="185" t="s">
        <v>215</v>
      </c>
    </row>
    <row r="31574" spans="129:129" x14ac:dyDescent="0.2">
      <c r="DY31574" s="185" t="s">
        <v>215</v>
      </c>
    </row>
    <row r="31575" spans="129:129" x14ac:dyDescent="0.2">
      <c r="DY31575" s="185" t="s">
        <v>215</v>
      </c>
    </row>
    <row r="31576" spans="129:129" x14ac:dyDescent="0.2">
      <c r="DY31576" s="185" t="s">
        <v>215</v>
      </c>
    </row>
    <row r="31577" spans="129:129" x14ac:dyDescent="0.2">
      <c r="DY31577" s="185" t="s">
        <v>215</v>
      </c>
    </row>
    <row r="31578" spans="129:129" x14ac:dyDescent="0.2">
      <c r="DY31578" s="185" t="s">
        <v>215</v>
      </c>
    </row>
    <row r="31579" spans="129:129" x14ac:dyDescent="0.2">
      <c r="DY31579" s="185" t="s">
        <v>215</v>
      </c>
    </row>
    <row r="31580" spans="129:129" x14ac:dyDescent="0.2">
      <c r="DY31580" s="185" t="s">
        <v>215</v>
      </c>
    </row>
    <row r="31581" spans="129:129" x14ac:dyDescent="0.2">
      <c r="DY31581" s="185" t="s">
        <v>215</v>
      </c>
    </row>
    <row r="31582" spans="129:129" x14ac:dyDescent="0.2">
      <c r="DY31582" s="185" t="s">
        <v>215</v>
      </c>
    </row>
    <row r="31583" spans="129:129" x14ac:dyDescent="0.2">
      <c r="DY31583" s="185" t="s">
        <v>215</v>
      </c>
    </row>
    <row r="31584" spans="129:129" x14ac:dyDescent="0.2">
      <c r="DY31584" s="185" t="s">
        <v>215</v>
      </c>
    </row>
    <row r="31585" spans="129:129" x14ac:dyDescent="0.2">
      <c r="DY31585" s="185" t="s">
        <v>215</v>
      </c>
    </row>
    <row r="31586" spans="129:129" x14ac:dyDescent="0.2">
      <c r="DY31586" s="185" t="s">
        <v>215</v>
      </c>
    </row>
    <row r="31587" spans="129:129" x14ac:dyDescent="0.2">
      <c r="DY31587" s="185" t="s">
        <v>215</v>
      </c>
    </row>
    <row r="31588" spans="129:129" x14ac:dyDescent="0.2">
      <c r="DY31588" s="185" t="s">
        <v>215</v>
      </c>
    </row>
    <row r="31589" spans="129:129" x14ac:dyDescent="0.2">
      <c r="DY31589" s="185" t="s">
        <v>215</v>
      </c>
    </row>
    <row r="31590" spans="129:129" x14ac:dyDescent="0.2">
      <c r="DY31590" s="185" t="s">
        <v>215</v>
      </c>
    </row>
    <row r="31591" spans="129:129" x14ac:dyDescent="0.2">
      <c r="DY31591" s="185" t="s">
        <v>215</v>
      </c>
    </row>
    <row r="31592" spans="129:129" x14ac:dyDescent="0.2">
      <c r="DY31592" s="185" t="s">
        <v>215</v>
      </c>
    </row>
    <row r="31593" spans="129:129" x14ac:dyDescent="0.2">
      <c r="DY31593" s="185" t="s">
        <v>215</v>
      </c>
    </row>
    <row r="31594" spans="129:129" x14ac:dyDescent="0.2">
      <c r="DY31594" s="185" t="s">
        <v>215</v>
      </c>
    </row>
    <row r="31595" spans="129:129" x14ac:dyDescent="0.2">
      <c r="DY31595" s="185" t="s">
        <v>215</v>
      </c>
    </row>
    <row r="31596" spans="129:129" x14ac:dyDescent="0.2">
      <c r="DY31596" s="185" t="s">
        <v>215</v>
      </c>
    </row>
    <row r="31597" spans="129:129" x14ac:dyDescent="0.2">
      <c r="DY31597" s="185" t="s">
        <v>215</v>
      </c>
    </row>
    <row r="31598" spans="129:129" x14ac:dyDescent="0.2">
      <c r="DY31598" s="185" t="s">
        <v>215</v>
      </c>
    </row>
    <row r="31599" spans="129:129" x14ac:dyDescent="0.2">
      <c r="DY31599" s="185" t="s">
        <v>215</v>
      </c>
    </row>
    <row r="31600" spans="129:129" x14ac:dyDescent="0.2">
      <c r="DY31600" s="185" t="s">
        <v>215</v>
      </c>
    </row>
    <row r="31601" spans="129:129" x14ac:dyDescent="0.2">
      <c r="DY31601" s="185" t="s">
        <v>215</v>
      </c>
    </row>
    <row r="31602" spans="129:129" x14ac:dyDescent="0.2">
      <c r="DY31602" s="185" t="s">
        <v>215</v>
      </c>
    </row>
    <row r="31603" spans="129:129" x14ac:dyDescent="0.2">
      <c r="DY31603" s="185" t="s">
        <v>215</v>
      </c>
    </row>
    <row r="31604" spans="129:129" x14ac:dyDescent="0.2">
      <c r="DY31604" s="185" t="s">
        <v>215</v>
      </c>
    </row>
    <row r="31605" spans="129:129" x14ac:dyDescent="0.2">
      <c r="DY31605" s="185" t="s">
        <v>215</v>
      </c>
    </row>
    <row r="31606" spans="129:129" x14ac:dyDescent="0.2">
      <c r="DY31606" s="185" t="s">
        <v>215</v>
      </c>
    </row>
    <row r="31607" spans="129:129" x14ac:dyDescent="0.2">
      <c r="DY31607" s="185" t="s">
        <v>215</v>
      </c>
    </row>
    <row r="31608" spans="129:129" x14ac:dyDescent="0.2">
      <c r="DY31608" s="185" t="s">
        <v>215</v>
      </c>
    </row>
    <row r="31609" spans="129:129" x14ac:dyDescent="0.2">
      <c r="DY31609" s="185" t="s">
        <v>215</v>
      </c>
    </row>
    <row r="31610" spans="129:129" x14ac:dyDescent="0.2">
      <c r="DY31610" s="185" t="s">
        <v>215</v>
      </c>
    </row>
    <row r="31611" spans="129:129" x14ac:dyDescent="0.2">
      <c r="DY31611" s="185" t="s">
        <v>215</v>
      </c>
    </row>
    <row r="31612" spans="129:129" x14ac:dyDescent="0.2">
      <c r="DY31612" s="185" t="s">
        <v>215</v>
      </c>
    </row>
    <row r="31613" spans="129:129" x14ac:dyDescent="0.2">
      <c r="DY31613" s="185" t="s">
        <v>215</v>
      </c>
    </row>
    <row r="31614" spans="129:129" x14ac:dyDescent="0.2">
      <c r="DY31614" s="185" t="s">
        <v>215</v>
      </c>
    </row>
    <row r="31615" spans="129:129" x14ac:dyDescent="0.2">
      <c r="DY31615" s="185" t="s">
        <v>215</v>
      </c>
    </row>
    <row r="31616" spans="129:129" x14ac:dyDescent="0.2">
      <c r="DY31616" s="185" t="s">
        <v>215</v>
      </c>
    </row>
    <row r="31617" spans="129:129" x14ac:dyDescent="0.2">
      <c r="DY31617" s="185" t="s">
        <v>215</v>
      </c>
    </row>
    <row r="31618" spans="129:129" x14ac:dyDescent="0.2">
      <c r="DY31618" s="185" t="s">
        <v>215</v>
      </c>
    </row>
    <row r="31619" spans="129:129" x14ac:dyDescent="0.2">
      <c r="DY31619" s="185" t="s">
        <v>215</v>
      </c>
    </row>
    <row r="31620" spans="129:129" x14ac:dyDescent="0.2">
      <c r="DY31620" s="185" t="s">
        <v>215</v>
      </c>
    </row>
    <row r="31621" spans="129:129" x14ac:dyDescent="0.2">
      <c r="DY31621" s="185" t="s">
        <v>215</v>
      </c>
    </row>
    <row r="31622" spans="129:129" x14ac:dyDescent="0.2">
      <c r="DY31622" s="185" t="s">
        <v>215</v>
      </c>
    </row>
    <row r="31623" spans="129:129" x14ac:dyDescent="0.2">
      <c r="DY31623" s="185" t="s">
        <v>215</v>
      </c>
    </row>
    <row r="31624" spans="129:129" x14ac:dyDescent="0.2">
      <c r="DY31624" s="185" t="s">
        <v>215</v>
      </c>
    </row>
    <row r="31625" spans="129:129" x14ac:dyDescent="0.2">
      <c r="DY31625" s="185" t="s">
        <v>215</v>
      </c>
    </row>
    <row r="31626" spans="129:129" x14ac:dyDescent="0.2">
      <c r="DY31626" s="185" t="s">
        <v>215</v>
      </c>
    </row>
    <row r="31627" spans="129:129" x14ac:dyDescent="0.2">
      <c r="DY31627" s="185" t="s">
        <v>215</v>
      </c>
    </row>
    <row r="31628" spans="129:129" x14ac:dyDescent="0.2">
      <c r="DY31628" s="185" t="s">
        <v>215</v>
      </c>
    </row>
    <row r="31629" spans="129:129" x14ac:dyDescent="0.2">
      <c r="DY31629" s="185" t="s">
        <v>215</v>
      </c>
    </row>
    <row r="31630" spans="129:129" x14ac:dyDescent="0.2">
      <c r="DY31630" s="185" t="s">
        <v>215</v>
      </c>
    </row>
    <row r="31631" spans="129:129" x14ac:dyDescent="0.2">
      <c r="DY31631" s="185" t="s">
        <v>215</v>
      </c>
    </row>
    <row r="31632" spans="129:129" x14ac:dyDescent="0.2">
      <c r="DY31632" s="185" t="s">
        <v>215</v>
      </c>
    </row>
    <row r="31633" spans="129:129" x14ac:dyDescent="0.2">
      <c r="DY31633" s="185" t="s">
        <v>215</v>
      </c>
    </row>
    <row r="31634" spans="129:129" x14ac:dyDescent="0.2">
      <c r="DY31634" s="185" t="s">
        <v>215</v>
      </c>
    </row>
    <row r="31635" spans="129:129" x14ac:dyDescent="0.2">
      <c r="DY31635" s="185" t="s">
        <v>215</v>
      </c>
    </row>
    <row r="31636" spans="129:129" x14ac:dyDescent="0.2">
      <c r="DY31636" s="185" t="s">
        <v>215</v>
      </c>
    </row>
    <row r="31637" spans="129:129" x14ac:dyDescent="0.2">
      <c r="DY31637" s="185" t="s">
        <v>215</v>
      </c>
    </row>
    <row r="31638" spans="129:129" x14ac:dyDescent="0.2">
      <c r="DY31638" s="185" t="s">
        <v>215</v>
      </c>
    </row>
    <row r="31639" spans="129:129" x14ac:dyDescent="0.2">
      <c r="DY31639" s="185" t="s">
        <v>215</v>
      </c>
    </row>
    <row r="31640" spans="129:129" x14ac:dyDescent="0.2">
      <c r="DY31640" s="185" t="s">
        <v>215</v>
      </c>
    </row>
    <row r="31641" spans="129:129" x14ac:dyDescent="0.2">
      <c r="DY31641" s="185" t="s">
        <v>215</v>
      </c>
    </row>
    <row r="31642" spans="129:129" x14ac:dyDescent="0.2">
      <c r="DY31642" s="185" t="s">
        <v>215</v>
      </c>
    </row>
    <row r="31643" spans="129:129" x14ac:dyDescent="0.2">
      <c r="DY31643" s="185" t="s">
        <v>215</v>
      </c>
    </row>
    <row r="31644" spans="129:129" x14ac:dyDescent="0.2">
      <c r="DY31644" s="185" t="s">
        <v>215</v>
      </c>
    </row>
    <row r="31645" spans="129:129" x14ac:dyDescent="0.2">
      <c r="DY31645" s="185" t="s">
        <v>215</v>
      </c>
    </row>
    <row r="31646" spans="129:129" x14ac:dyDescent="0.2">
      <c r="DY31646" s="185" t="s">
        <v>215</v>
      </c>
    </row>
    <row r="31647" spans="129:129" x14ac:dyDescent="0.2">
      <c r="DY31647" s="185" t="s">
        <v>215</v>
      </c>
    </row>
    <row r="31648" spans="129:129" x14ac:dyDescent="0.2">
      <c r="DY31648" s="185" t="s">
        <v>215</v>
      </c>
    </row>
    <row r="31649" spans="129:129" x14ac:dyDescent="0.2">
      <c r="DY31649" s="185" t="s">
        <v>215</v>
      </c>
    </row>
    <row r="31650" spans="129:129" x14ac:dyDescent="0.2">
      <c r="DY31650" s="185" t="s">
        <v>215</v>
      </c>
    </row>
    <row r="31651" spans="129:129" x14ac:dyDescent="0.2">
      <c r="DY31651" s="185" t="s">
        <v>215</v>
      </c>
    </row>
    <row r="31652" spans="129:129" x14ac:dyDescent="0.2">
      <c r="DY31652" s="185" t="s">
        <v>215</v>
      </c>
    </row>
    <row r="31653" spans="129:129" x14ac:dyDescent="0.2">
      <c r="DY31653" s="185" t="s">
        <v>215</v>
      </c>
    </row>
    <row r="31654" spans="129:129" x14ac:dyDescent="0.2">
      <c r="DY31654" s="185" t="s">
        <v>215</v>
      </c>
    </row>
    <row r="31655" spans="129:129" x14ac:dyDescent="0.2">
      <c r="DY31655" s="185" t="s">
        <v>215</v>
      </c>
    </row>
    <row r="31656" spans="129:129" x14ac:dyDescent="0.2">
      <c r="DY31656" s="185" t="s">
        <v>215</v>
      </c>
    </row>
    <row r="31657" spans="129:129" x14ac:dyDescent="0.2">
      <c r="DY31657" s="185" t="s">
        <v>215</v>
      </c>
    </row>
    <row r="31658" spans="129:129" x14ac:dyDescent="0.2">
      <c r="DY31658" s="185" t="s">
        <v>215</v>
      </c>
    </row>
    <row r="31659" spans="129:129" x14ac:dyDescent="0.2">
      <c r="DY31659" s="185" t="s">
        <v>215</v>
      </c>
    </row>
    <row r="31660" spans="129:129" x14ac:dyDescent="0.2">
      <c r="DY31660" s="185" t="s">
        <v>215</v>
      </c>
    </row>
    <row r="31661" spans="129:129" x14ac:dyDescent="0.2">
      <c r="DY31661" s="185" t="s">
        <v>215</v>
      </c>
    </row>
    <row r="31662" spans="129:129" x14ac:dyDescent="0.2">
      <c r="DY31662" s="185" t="s">
        <v>215</v>
      </c>
    </row>
    <row r="31663" spans="129:129" x14ac:dyDescent="0.2">
      <c r="DY31663" s="185" t="s">
        <v>215</v>
      </c>
    </row>
    <row r="31664" spans="129:129" x14ac:dyDescent="0.2">
      <c r="DY31664" s="185" t="s">
        <v>215</v>
      </c>
    </row>
    <row r="31665" spans="129:129" x14ac:dyDescent="0.2">
      <c r="DY31665" s="185" t="s">
        <v>215</v>
      </c>
    </row>
    <row r="31666" spans="129:129" x14ac:dyDescent="0.2">
      <c r="DY31666" s="185" t="s">
        <v>215</v>
      </c>
    </row>
    <row r="31667" spans="129:129" x14ac:dyDescent="0.2">
      <c r="DY31667" s="185" t="s">
        <v>215</v>
      </c>
    </row>
    <row r="31668" spans="129:129" x14ac:dyDescent="0.2">
      <c r="DY31668" s="185" t="s">
        <v>215</v>
      </c>
    </row>
    <row r="31669" spans="129:129" x14ac:dyDescent="0.2">
      <c r="DY31669" s="185" t="s">
        <v>215</v>
      </c>
    </row>
    <row r="31670" spans="129:129" x14ac:dyDescent="0.2">
      <c r="DY31670" s="185" t="s">
        <v>215</v>
      </c>
    </row>
    <row r="31671" spans="129:129" x14ac:dyDescent="0.2">
      <c r="DY31671" s="185" t="s">
        <v>215</v>
      </c>
    </row>
    <row r="31672" spans="129:129" x14ac:dyDescent="0.2">
      <c r="DY31672" s="185" t="s">
        <v>215</v>
      </c>
    </row>
    <row r="31673" spans="129:129" x14ac:dyDescent="0.2">
      <c r="DY31673" s="185" t="s">
        <v>215</v>
      </c>
    </row>
    <row r="31674" spans="129:129" x14ac:dyDescent="0.2">
      <c r="DY31674" s="185" t="s">
        <v>215</v>
      </c>
    </row>
    <row r="31675" spans="129:129" x14ac:dyDescent="0.2">
      <c r="DY31675" s="185" t="s">
        <v>215</v>
      </c>
    </row>
    <row r="31676" spans="129:129" x14ac:dyDescent="0.2">
      <c r="DY31676" s="185" t="s">
        <v>215</v>
      </c>
    </row>
    <row r="31677" spans="129:129" x14ac:dyDescent="0.2">
      <c r="DY31677" s="185" t="s">
        <v>215</v>
      </c>
    </row>
    <row r="31678" spans="129:129" x14ac:dyDescent="0.2">
      <c r="DY31678" s="185" t="s">
        <v>215</v>
      </c>
    </row>
    <row r="31679" spans="129:129" x14ac:dyDescent="0.2">
      <c r="DY31679" s="185" t="s">
        <v>215</v>
      </c>
    </row>
    <row r="31680" spans="129:129" x14ac:dyDescent="0.2">
      <c r="DY31680" s="185" t="s">
        <v>215</v>
      </c>
    </row>
    <row r="31681" spans="129:129" x14ac:dyDescent="0.2">
      <c r="DY31681" s="185" t="s">
        <v>215</v>
      </c>
    </row>
    <row r="31682" spans="129:129" x14ac:dyDescent="0.2">
      <c r="DY31682" s="185" t="s">
        <v>215</v>
      </c>
    </row>
    <row r="31683" spans="129:129" x14ac:dyDescent="0.2">
      <c r="DY31683" s="185" t="s">
        <v>215</v>
      </c>
    </row>
    <row r="31684" spans="129:129" x14ac:dyDescent="0.2">
      <c r="DY31684" s="185" t="s">
        <v>215</v>
      </c>
    </row>
    <row r="31685" spans="129:129" x14ac:dyDescent="0.2">
      <c r="DY31685" s="185" t="s">
        <v>215</v>
      </c>
    </row>
    <row r="31686" spans="129:129" x14ac:dyDescent="0.2">
      <c r="DY31686" s="185" t="s">
        <v>215</v>
      </c>
    </row>
    <row r="31687" spans="129:129" x14ac:dyDescent="0.2">
      <c r="DY31687" s="185" t="s">
        <v>215</v>
      </c>
    </row>
    <row r="31688" spans="129:129" x14ac:dyDescent="0.2">
      <c r="DY31688" s="185" t="s">
        <v>215</v>
      </c>
    </row>
    <row r="31689" spans="129:129" x14ac:dyDescent="0.2">
      <c r="DY31689" s="185" t="s">
        <v>215</v>
      </c>
    </row>
    <row r="31690" spans="129:129" x14ac:dyDescent="0.2">
      <c r="DY31690" s="185" t="s">
        <v>215</v>
      </c>
    </row>
    <row r="31691" spans="129:129" x14ac:dyDescent="0.2">
      <c r="DY31691" s="185" t="s">
        <v>215</v>
      </c>
    </row>
    <row r="31692" spans="129:129" x14ac:dyDescent="0.2">
      <c r="DY31692" s="185" t="s">
        <v>215</v>
      </c>
    </row>
    <row r="31693" spans="129:129" x14ac:dyDescent="0.2">
      <c r="DY31693" s="185" t="s">
        <v>215</v>
      </c>
    </row>
    <row r="31694" spans="129:129" x14ac:dyDescent="0.2">
      <c r="DY31694" s="185" t="s">
        <v>215</v>
      </c>
    </row>
    <row r="31695" spans="129:129" x14ac:dyDescent="0.2">
      <c r="DY31695" s="185" t="s">
        <v>215</v>
      </c>
    </row>
    <row r="31696" spans="129:129" x14ac:dyDescent="0.2">
      <c r="DY31696" s="185" t="s">
        <v>215</v>
      </c>
    </row>
    <row r="31697" spans="129:129" x14ac:dyDescent="0.2">
      <c r="DY31697" s="185" t="s">
        <v>215</v>
      </c>
    </row>
    <row r="31698" spans="129:129" x14ac:dyDescent="0.2">
      <c r="DY31698" s="185" t="s">
        <v>215</v>
      </c>
    </row>
    <row r="31699" spans="129:129" x14ac:dyDescent="0.2">
      <c r="DY31699" s="185" t="s">
        <v>215</v>
      </c>
    </row>
    <row r="31700" spans="129:129" x14ac:dyDescent="0.2">
      <c r="DY31700" s="185" t="s">
        <v>215</v>
      </c>
    </row>
    <row r="31701" spans="129:129" x14ac:dyDescent="0.2">
      <c r="DY31701" s="185" t="s">
        <v>215</v>
      </c>
    </row>
    <row r="31702" spans="129:129" x14ac:dyDescent="0.2">
      <c r="DY31702" s="185" t="s">
        <v>215</v>
      </c>
    </row>
    <row r="31703" spans="129:129" x14ac:dyDescent="0.2">
      <c r="DY31703" s="185" t="s">
        <v>215</v>
      </c>
    </row>
    <row r="31704" spans="129:129" x14ac:dyDescent="0.2">
      <c r="DY31704" s="185" t="s">
        <v>215</v>
      </c>
    </row>
    <row r="31705" spans="129:129" x14ac:dyDescent="0.2">
      <c r="DY31705" s="185" t="s">
        <v>215</v>
      </c>
    </row>
    <row r="31706" spans="129:129" x14ac:dyDescent="0.2">
      <c r="DY31706" s="185" t="s">
        <v>215</v>
      </c>
    </row>
    <row r="31707" spans="129:129" x14ac:dyDescent="0.2">
      <c r="DY31707" s="185" t="s">
        <v>215</v>
      </c>
    </row>
    <row r="31708" spans="129:129" x14ac:dyDescent="0.2">
      <c r="DY31708" s="185" t="s">
        <v>215</v>
      </c>
    </row>
    <row r="31709" spans="129:129" x14ac:dyDescent="0.2">
      <c r="DY31709" s="185" t="s">
        <v>215</v>
      </c>
    </row>
    <row r="31710" spans="129:129" x14ac:dyDescent="0.2">
      <c r="DY31710" s="185" t="s">
        <v>215</v>
      </c>
    </row>
    <row r="31711" spans="129:129" x14ac:dyDescent="0.2">
      <c r="DY31711" s="185" t="s">
        <v>215</v>
      </c>
    </row>
    <row r="31712" spans="129:129" x14ac:dyDescent="0.2">
      <c r="DY31712" s="185" t="s">
        <v>215</v>
      </c>
    </row>
    <row r="31713" spans="129:129" x14ac:dyDescent="0.2">
      <c r="DY31713" s="185" t="s">
        <v>215</v>
      </c>
    </row>
    <row r="31714" spans="129:129" x14ac:dyDescent="0.2">
      <c r="DY31714" s="185" t="s">
        <v>215</v>
      </c>
    </row>
    <row r="31715" spans="129:129" x14ac:dyDescent="0.2">
      <c r="DY31715" s="185" t="s">
        <v>215</v>
      </c>
    </row>
    <row r="31716" spans="129:129" x14ac:dyDescent="0.2">
      <c r="DY31716" s="185" t="s">
        <v>215</v>
      </c>
    </row>
    <row r="31717" spans="129:129" x14ac:dyDescent="0.2">
      <c r="DY31717" s="185" t="s">
        <v>215</v>
      </c>
    </row>
    <row r="31718" spans="129:129" x14ac:dyDescent="0.2">
      <c r="DY31718" s="185" t="s">
        <v>215</v>
      </c>
    </row>
    <row r="31719" spans="129:129" x14ac:dyDescent="0.2">
      <c r="DY31719" s="185" t="s">
        <v>215</v>
      </c>
    </row>
    <row r="31720" spans="129:129" x14ac:dyDescent="0.2">
      <c r="DY31720" s="185" t="s">
        <v>215</v>
      </c>
    </row>
    <row r="31721" spans="129:129" x14ac:dyDescent="0.2">
      <c r="DY31721" s="185" t="s">
        <v>215</v>
      </c>
    </row>
    <row r="31722" spans="129:129" x14ac:dyDescent="0.2">
      <c r="DY31722" s="185" t="s">
        <v>215</v>
      </c>
    </row>
    <row r="31723" spans="129:129" x14ac:dyDescent="0.2">
      <c r="DY31723" s="185" t="s">
        <v>215</v>
      </c>
    </row>
    <row r="31724" spans="129:129" x14ac:dyDescent="0.2">
      <c r="DY31724" s="185" t="s">
        <v>215</v>
      </c>
    </row>
    <row r="31725" spans="129:129" x14ac:dyDescent="0.2">
      <c r="DY31725" s="185" t="s">
        <v>215</v>
      </c>
    </row>
    <row r="31726" spans="129:129" x14ac:dyDescent="0.2">
      <c r="DY31726" s="185" t="s">
        <v>215</v>
      </c>
    </row>
    <row r="31727" spans="129:129" x14ac:dyDescent="0.2">
      <c r="DY31727" s="185" t="s">
        <v>215</v>
      </c>
    </row>
    <row r="31728" spans="129:129" x14ac:dyDescent="0.2">
      <c r="DY31728" s="185" t="s">
        <v>215</v>
      </c>
    </row>
    <row r="31729" spans="129:129" x14ac:dyDescent="0.2">
      <c r="DY31729" s="185" t="s">
        <v>215</v>
      </c>
    </row>
    <row r="31730" spans="129:129" x14ac:dyDescent="0.2">
      <c r="DY31730" s="185" t="s">
        <v>215</v>
      </c>
    </row>
    <row r="31731" spans="129:129" x14ac:dyDescent="0.2">
      <c r="DY31731" s="185" t="s">
        <v>215</v>
      </c>
    </row>
    <row r="31732" spans="129:129" x14ac:dyDescent="0.2">
      <c r="DY31732" s="185" t="s">
        <v>215</v>
      </c>
    </row>
    <row r="31733" spans="129:129" x14ac:dyDescent="0.2">
      <c r="DY31733" s="185" t="s">
        <v>215</v>
      </c>
    </row>
    <row r="31734" spans="129:129" x14ac:dyDescent="0.2">
      <c r="DY31734" s="185" t="s">
        <v>215</v>
      </c>
    </row>
    <row r="31735" spans="129:129" x14ac:dyDescent="0.2">
      <c r="DY31735" s="185" t="s">
        <v>215</v>
      </c>
    </row>
    <row r="31736" spans="129:129" x14ac:dyDescent="0.2">
      <c r="DY31736" s="185" t="s">
        <v>215</v>
      </c>
    </row>
    <row r="31737" spans="129:129" x14ac:dyDescent="0.2">
      <c r="DY31737" s="185" t="s">
        <v>215</v>
      </c>
    </row>
    <row r="31738" spans="129:129" x14ac:dyDescent="0.2">
      <c r="DY31738" s="185" t="s">
        <v>215</v>
      </c>
    </row>
    <row r="31739" spans="129:129" x14ac:dyDescent="0.2">
      <c r="DY31739" s="185" t="s">
        <v>215</v>
      </c>
    </row>
    <row r="31740" spans="129:129" x14ac:dyDescent="0.2">
      <c r="DY31740" s="185" t="s">
        <v>215</v>
      </c>
    </row>
    <row r="31741" spans="129:129" x14ac:dyDescent="0.2">
      <c r="DY31741" s="185" t="s">
        <v>215</v>
      </c>
    </row>
    <row r="31742" spans="129:129" x14ac:dyDescent="0.2">
      <c r="DY31742" s="185" t="s">
        <v>215</v>
      </c>
    </row>
    <row r="31743" spans="129:129" x14ac:dyDescent="0.2">
      <c r="DY31743" s="185" t="s">
        <v>215</v>
      </c>
    </row>
    <row r="31744" spans="129:129" x14ac:dyDescent="0.2">
      <c r="DY31744" s="185" t="s">
        <v>215</v>
      </c>
    </row>
    <row r="31745" spans="129:129" x14ac:dyDescent="0.2">
      <c r="DY31745" s="185" t="s">
        <v>215</v>
      </c>
    </row>
    <row r="31746" spans="129:129" x14ac:dyDescent="0.2">
      <c r="DY31746" s="185" t="s">
        <v>215</v>
      </c>
    </row>
    <row r="31747" spans="129:129" x14ac:dyDescent="0.2">
      <c r="DY31747" s="185" t="s">
        <v>215</v>
      </c>
    </row>
    <row r="31748" spans="129:129" x14ac:dyDescent="0.2">
      <c r="DY31748" s="185" t="s">
        <v>215</v>
      </c>
    </row>
    <row r="31749" spans="129:129" x14ac:dyDescent="0.2">
      <c r="DY31749" s="185" t="s">
        <v>215</v>
      </c>
    </row>
    <row r="31750" spans="129:129" x14ac:dyDescent="0.2">
      <c r="DY31750" s="185" t="s">
        <v>215</v>
      </c>
    </row>
    <row r="31751" spans="129:129" x14ac:dyDescent="0.2">
      <c r="DY31751" s="185" t="s">
        <v>215</v>
      </c>
    </row>
    <row r="31752" spans="129:129" x14ac:dyDescent="0.2">
      <c r="DY31752" s="185" t="s">
        <v>215</v>
      </c>
    </row>
    <row r="31753" spans="129:129" x14ac:dyDescent="0.2">
      <c r="DY31753" s="185" t="s">
        <v>215</v>
      </c>
    </row>
    <row r="31754" spans="129:129" x14ac:dyDescent="0.2">
      <c r="DY31754" s="185" t="s">
        <v>215</v>
      </c>
    </row>
    <row r="31755" spans="129:129" x14ac:dyDescent="0.2">
      <c r="DY31755" s="185" t="s">
        <v>215</v>
      </c>
    </row>
    <row r="31756" spans="129:129" x14ac:dyDescent="0.2">
      <c r="DY31756" s="185" t="s">
        <v>215</v>
      </c>
    </row>
    <row r="31757" spans="129:129" x14ac:dyDescent="0.2">
      <c r="DY31757" s="185" t="s">
        <v>215</v>
      </c>
    </row>
    <row r="31758" spans="129:129" x14ac:dyDescent="0.2">
      <c r="DY31758" s="185" t="s">
        <v>215</v>
      </c>
    </row>
    <row r="31759" spans="129:129" x14ac:dyDescent="0.2">
      <c r="DY31759" s="185" t="s">
        <v>215</v>
      </c>
    </row>
    <row r="31760" spans="129:129" x14ac:dyDescent="0.2">
      <c r="DY31760" s="185" t="s">
        <v>215</v>
      </c>
    </row>
    <row r="31761" spans="129:129" x14ac:dyDescent="0.2">
      <c r="DY31761" s="185" t="s">
        <v>215</v>
      </c>
    </row>
    <row r="31762" spans="129:129" x14ac:dyDescent="0.2">
      <c r="DY31762" s="185" t="s">
        <v>215</v>
      </c>
    </row>
    <row r="31763" spans="129:129" x14ac:dyDescent="0.2">
      <c r="DY31763" s="185" t="s">
        <v>215</v>
      </c>
    </row>
    <row r="31764" spans="129:129" x14ac:dyDescent="0.2">
      <c r="DY31764" s="185" t="s">
        <v>215</v>
      </c>
    </row>
    <row r="31765" spans="129:129" x14ac:dyDescent="0.2">
      <c r="DY31765" s="185" t="s">
        <v>215</v>
      </c>
    </row>
    <row r="31766" spans="129:129" x14ac:dyDescent="0.2">
      <c r="DY31766" s="185" t="s">
        <v>215</v>
      </c>
    </row>
    <row r="31767" spans="129:129" x14ac:dyDescent="0.2">
      <c r="DY31767" s="185" t="s">
        <v>215</v>
      </c>
    </row>
    <row r="31768" spans="129:129" x14ac:dyDescent="0.2">
      <c r="DY31768" s="185" t="s">
        <v>215</v>
      </c>
    </row>
    <row r="31769" spans="129:129" x14ac:dyDescent="0.2">
      <c r="DY31769" s="185" t="s">
        <v>215</v>
      </c>
    </row>
    <row r="31770" spans="129:129" x14ac:dyDescent="0.2">
      <c r="DY31770" s="185" t="s">
        <v>215</v>
      </c>
    </row>
    <row r="31771" spans="129:129" x14ac:dyDescent="0.2">
      <c r="DY31771" s="185" t="s">
        <v>215</v>
      </c>
    </row>
    <row r="31772" spans="129:129" x14ac:dyDescent="0.2">
      <c r="DY31772" s="185" t="s">
        <v>215</v>
      </c>
    </row>
    <row r="31773" spans="129:129" x14ac:dyDescent="0.2">
      <c r="DY31773" s="185" t="s">
        <v>215</v>
      </c>
    </row>
    <row r="31774" spans="129:129" x14ac:dyDescent="0.2">
      <c r="DY31774" s="185" t="s">
        <v>215</v>
      </c>
    </row>
    <row r="31775" spans="129:129" x14ac:dyDescent="0.2">
      <c r="DY31775" s="185" t="s">
        <v>215</v>
      </c>
    </row>
    <row r="31776" spans="129:129" x14ac:dyDescent="0.2">
      <c r="DY31776" s="185" t="s">
        <v>215</v>
      </c>
    </row>
    <row r="31777" spans="129:129" x14ac:dyDescent="0.2">
      <c r="DY31777" s="185" t="s">
        <v>215</v>
      </c>
    </row>
    <row r="31778" spans="129:129" x14ac:dyDescent="0.2">
      <c r="DY31778" s="185" t="s">
        <v>215</v>
      </c>
    </row>
    <row r="31779" spans="129:129" x14ac:dyDescent="0.2">
      <c r="DY31779" s="185" t="s">
        <v>215</v>
      </c>
    </row>
    <row r="31780" spans="129:129" x14ac:dyDescent="0.2">
      <c r="DY31780" s="185" t="s">
        <v>215</v>
      </c>
    </row>
    <row r="31781" spans="129:129" x14ac:dyDescent="0.2">
      <c r="DY31781" s="185" t="s">
        <v>215</v>
      </c>
    </row>
    <row r="31782" spans="129:129" x14ac:dyDescent="0.2">
      <c r="DY31782" s="185" t="s">
        <v>215</v>
      </c>
    </row>
    <row r="31783" spans="129:129" x14ac:dyDescent="0.2">
      <c r="DY31783" s="185" t="s">
        <v>215</v>
      </c>
    </row>
    <row r="31784" spans="129:129" x14ac:dyDescent="0.2">
      <c r="DY31784" s="185" t="s">
        <v>215</v>
      </c>
    </row>
    <row r="31785" spans="129:129" x14ac:dyDescent="0.2">
      <c r="DY31785" s="185" t="s">
        <v>215</v>
      </c>
    </row>
    <row r="31786" spans="129:129" x14ac:dyDescent="0.2">
      <c r="DY31786" s="185" t="s">
        <v>215</v>
      </c>
    </row>
    <row r="31787" spans="129:129" x14ac:dyDescent="0.2">
      <c r="DY31787" s="185" t="s">
        <v>215</v>
      </c>
    </row>
    <row r="31788" spans="129:129" x14ac:dyDescent="0.2">
      <c r="DY31788" s="185" t="s">
        <v>215</v>
      </c>
    </row>
    <row r="31789" spans="129:129" x14ac:dyDescent="0.2">
      <c r="DY31789" s="185" t="s">
        <v>215</v>
      </c>
    </row>
    <row r="31790" spans="129:129" x14ac:dyDescent="0.2">
      <c r="DY31790" s="185" t="s">
        <v>215</v>
      </c>
    </row>
    <row r="31791" spans="129:129" x14ac:dyDescent="0.2">
      <c r="DY31791" s="185" t="s">
        <v>215</v>
      </c>
    </row>
    <row r="31792" spans="129:129" x14ac:dyDescent="0.2">
      <c r="DY31792" s="185" t="s">
        <v>215</v>
      </c>
    </row>
    <row r="31793" spans="129:129" x14ac:dyDescent="0.2">
      <c r="DY31793" s="185" t="s">
        <v>215</v>
      </c>
    </row>
    <row r="31794" spans="129:129" x14ac:dyDescent="0.2">
      <c r="DY31794" s="185" t="s">
        <v>215</v>
      </c>
    </row>
    <row r="31795" spans="129:129" x14ac:dyDescent="0.2">
      <c r="DY31795" s="185" t="s">
        <v>215</v>
      </c>
    </row>
    <row r="31796" spans="129:129" x14ac:dyDescent="0.2">
      <c r="DY31796" s="185" t="s">
        <v>215</v>
      </c>
    </row>
    <row r="31797" spans="129:129" x14ac:dyDescent="0.2">
      <c r="DY31797" s="185" t="s">
        <v>215</v>
      </c>
    </row>
    <row r="31798" spans="129:129" x14ac:dyDescent="0.2">
      <c r="DY31798" s="185" t="s">
        <v>215</v>
      </c>
    </row>
    <row r="31799" spans="129:129" x14ac:dyDescent="0.2">
      <c r="DY31799" s="185" t="s">
        <v>215</v>
      </c>
    </row>
    <row r="31800" spans="129:129" x14ac:dyDescent="0.2">
      <c r="DY31800" s="185" t="s">
        <v>215</v>
      </c>
    </row>
    <row r="31801" spans="129:129" x14ac:dyDescent="0.2">
      <c r="DY31801" s="185" t="s">
        <v>215</v>
      </c>
    </row>
    <row r="31802" spans="129:129" x14ac:dyDescent="0.2">
      <c r="DY31802" s="185" t="s">
        <v>215</v>
      </c>
    </row>
    <row r="31803" spans="129:129" x14ac:dyDescent="0.2">
      <c r="DY31803" s="185" t="s">
        <v>215</v>
      </c>
    </row>
    <row r="31804" spans="129:129" x14ac:dyDescent="0.2">
      <c r="DY31804" s="185" t="s">
        <v>215</v>
      </c>
    </row>
    <row r="31805" spans="129:129" x14ac:dyDescent="0.2">
      <c r="DY31805" s="185" t="s">
        <v>215</v>
      </c>
    </row>
    <row r="31806" spans="129:129" x14ac:dyDescent="0.2">
      <c r="DY31806" s="185" t="s">
        <v>215</v>
      </c>
    </row>
    <row r="31807" spans="129:129" x14ac:dyDescent="0.2">
      <c r="DY31807" s="185" t="s">
        <v>215</v>
      </c>
    </row>
    <row r="31808" spans="129:129" x14ac:dyDescent="0.2">
      <c r="DY31808" s="185" t="s">
        <v>215</v>
      </c>
    </row>
    <row r="31809" spans="129:129" x14ac:dyDescent="0.2">
      <c r="DY31809" s="185" t="s">
        <v>215</v>
      </c>
    </row>
    <row r="31810" spans="129:129" x14ac:dyDescent="0.2">
      <c r="DY31810" s="185" t="s">
        <v>215</v>
      </c>
    </row>
    <row r="31811" spans="129:129" x14ac:dyDescent="0.2">
      <c r="DY31811" s="185" t="s">
        <v>215</v>
      </c>
    </row>
    <row r="31812" spans="129:129" x14ac:dyDescent="0.2">
      <c r="DY31812" s="185" t="s">
        <v>215</v>
      </c>
    </row>
    <row r="31813" spans="129:129" x14ac:dyDescent="0.2">
      <c r="DY31813" s="185" t="s">
        <v>215</v>
      </c>
    </row>
    <row r="31814" spans="129:129" x14ac:dyDescent="0.2">
      <c r="DY31814" s="185" t="s">
        <v>215</v>
      </c>
    </row>
    <row r="31815" spans="129:129" x14ac:dyDescent="0.2">
      <c r="DY31815" s="185" t="s">
        <v>215</v>
      </c>
    </row>
    <row r="31816" spans="129:129" x14ac:dyDescent="0.2">
      <c r="DY31816" s="185" t="s">
        <v>215</v>
      </c>
    </row>
    <row r="31817" spans="129:129" x14ac:dyDescent="0.2">
      <c r="DY31817" s="185" t="s">
        <v>215</v>
      </c>
    </row>
    <row r="31818" spans="129:129" x14ac:dyDescent="0.2">
      <c r="DY31818" s="185" t="s">
        <v>215</v>
      </c>
    </row>
    <row r="31819" spans="129:129" x14ac:dyDescent="0.2">
      <c r="DY31819" s="185" t="s">
        <v>215</v>
      </c>
    </row>
    <row r="31820" spans="129:129" x14ac:dyDescent="0.2">
      <c r="DY31820" s="185" t="s">
        <v>215</v>
      </c>
    </row>
    <row r="31821" spans="129:129" x14ac:dyDescent="0.2">
      <c r="DY31821" s="185" t="s">
        <v>215</v>
      </c>
    </row>
    <row r="31822" spans="129:129" x14ac:dyDescent="0.2">
      <c r="DY31822" s="185" t="s">
        <v>215</v>
      </c>
    </row>
    <row r="31823" spans="129:129" x14ac:dyDescent="0.2">
      <c r="DY31823" s="185" t="s">
        <v>215</v>
      </c>
    </row>
    <row r="31824" spans="129:129" x14ac:dyDescent="0.2">
      <c r="DY31824" s="185" t="s">
        <v>215</v>
      </c>
    </row>
    <row r="31825" spans="129:129" x14ac:dyDescent="0.2">
      <c r="DY31825" s="185" t="s">
        <v>215</v>
      </c>
    </row>
    <row r="31826" spans="129:129" x14ac:dyDescent="0.2">
      <c r="DY31826" s="185" t="s">
        <v>215</v>
      </c>
    </row>
    <row r="31827" spans="129:129" x14ac:dyDescent="0.2">
      <c r="DY31827" s="185" t="s">
        <v>215</v>
      </c>
    </row>
    <row r="31828" spans="129:129" x14ac:dyDescent="0.2">
      <c r="DY31828" s="185" t="s">
        <v>215</v>
      </c>
    </row>
    <row r="31829" spans="129:129" x14ac:dyDescent="0.2">
      <c r="DY31829" s="185" t="s">
        <v>215</v>
      </c>
    </row>
    <row r="31830" spans="129:129" x14ac:dyDescent="0.2">
      <c r="DY31830" s="185" t="s">
        <v>215</v>
      </c>
    </row>
    <row r="31831" spans="129:129" x14ac:dyDescent="0.2">
      <c r="DY31831" s="185" t="s">
        <v>215</v>
      </c>
    </row>
    <row r="31832" spans="129:129" x14ac:dyDescent="0.2">
      <c r="DY31832" s="185" t="s">
        <v>215</v>
      </c>
    </row>
    <row r="31833" spans="129:129" x14ac:dyDescent="0.2">
      <c r="DY31833" s="185" t="s">
        <v>215</v>
      </c>
    </row>
    <row r="31834" spans="129:129" x14ac:dyDescent="0.2">
      <c r="DY31834" s="185" t="s">
        <v>215</v>
      </c>
    </row>
    <row r="31835" spans="129:129" x14ac:dyDescent="0.2">
      <c r="DY31835" s="185" t="s">
        <v>215</v>
      </c>
    </row>
    <row r="31836" spans="129:129" x14ac:dyDescent="0.2">
      <c r="DY31836" s="185" t="s">
        <v>215</v>
      </c>
    </row>
    <row r="31837" spans="129:129" x14ac:dyDescent="0.2">
      <c r="DY31837" s="185" t="s">
        <v>215</v>
      </c>
    </row>
    <row r="31838" spans="129:129" x14ac:dyDescent="0.2">
      <c r="DY31838" s="185" t="s">
        <v>215</v>
      </c>
    </row>
    <row r="31839" spans="129:129" x14ac:dyDescent="0.2">
      <c r="DY31839" s="185" t="s">
        <v>215</v>
      </c>
    </row>
    <row r="31840" spans="129:129" x14ac:dyDescent="0.2">
      <c r="DY31840" s="185" t="s">
        <v>215</v>
      </c>
    </row>
    <row r="31841" spans="129:129" x14ac:dyDescent="0.2">
      <c r="DY31841" s="185" t="s">
        <v>215</v>
      </c>
    </row>
    <row r="31842" spans="129:129" x14ac:dyDescent="0.2">
      <c r="DY31842" s="185" t="s">
        <v>215</v>
      </c>
    </row>
    <row r="31843" spans="129:129" x14ac:dyDescent="0.2">
      <c r="DY31843" s="185" t="s">
        <v>215</v>
      </c>
    </row>
    <row r="31844" spans="129:129" x14ac:dyDescent="0.2">
      <c r="DY31844" s="185" t="s">
        <v>215</v>
      </c>
    </row>
    <row r="31845" spans="129:129" x14ac:dyDescent="0.2">
      <c r="DY31845" s="185" t="s">
        <v>215</v>
      </c>
    </row>
    <row r="31846" spans="129:129" x14ac:dyDescent="0.2">
      <c r="DY31846" s="185" t="s">
        <v>215</v>
      </c>
    </row>
    <row r="31847" spans="129:129" x14ac:dyDescent="0.2">
      <c r="DY31847" s="185" t="s">
        <v>215</v>
      </c>
    </row>
    <row r="31848" spans="129:129" x14ac:dyDescent="0.2">
      <c r="DY31848" s="185" t="s">
        <v>215</v>
      </c>
    </row>
    <row r="31849" spans="129:129" x14ac:dyDescent="0.2">
      <c r="DY31849" s="185" t="s">
        <v>215</v>
      </c>
    </row>
    <row r="31850" spans="129:129" x14ac:dyDescent="0.2">
      <c r="DY31850" s="185" t="s">
        <v>215</v>
      </c>
    </row>
    <row r="31851" spans="129:129" x14ac:dyDescent="0.2">
      <c r="DY31851" s="185" t="s">
        <v>215</v>
      </c>
    </row>
    <row r="31852" spans="129:129" x14ac:dyDescent="0.2">
      <c r="DY31852" s="185" t="s">
        <v>215</v>
      </c>
    </row>
    <row r="31853" spans="129:129" x14ac:dyDescent="0.2">
      <c r="DY31853" s="185" t="s">
        <v>215</v>
      </c>
    </row>
    <row r="31854" spans="129:129" x14ac:dyDescent="0.2">
      <c r="DY31854" s="185" t="s">
        <v>215</v>
      </c>
    </row>
    <row r="31855" spans="129:129" x14ac:dyDescent="0.2">
      <c r="DY31855" s="185" t="s">
        <v>215</v>
      </c>
    </row>
    <row r="31856" spans="129:129" x14ac:dyDescent="0.2">
      <c r="DY31856" s="185" t="s">
        <v>215</v>
      </c>
    </row>
    <row r="31857" spans="129:129" x14ac:dyDescent="0.2">
      <c r="DY31857" s="185" t="s">
        <v>215</v>
      </c>
    </row>
    <row r="31858" spans="129:129" x14ac:dyDescent="0.2">
      <c r="DY31858" s="185" t="s">
        <v>215</v>
      </c>
    </row>
    <row r="31859" spans="129:129" x14ac:dyDescent="0.2">
      <c r="DY31859" s="185" t="s">
        <v>215</v>
      </c>
    </row>
    <row r="31860" spans="129:129" x14ac:dyDescent="0.2">
      <c r="DY31860" s="185" t="s">
        <v>215</v>
      </c>
    </row>
    <row r="31861" spans="129:129" x14ac:dyDescent="0.2">
      <c r="DY31861" s="185" t="s">
        <v>215</v>
      </c>
    </row>
    <row r="31862" spans="129:129" x14ac:dyDescent="0.2">
      <c r="DY31862" s="185" t="s">
        <v>215</v>
      </c>
    </row>
    <row r="31863" spans="129:129" x14ac:dyDescent="0.2">
      <c r="DY31863" s="185" t="s">
        <v>215</v>
      </c>
    </row>
    <row r="31864" spans="129:129" x14ac:dyDescent="0.2">
      <c r="DY31864" s="185" t="s">
        <v>215</v>
      </c>
    </row>
    <row r="31865" spans="129:129" x14ac:dyDescent="0.2">
      <c r="DY31865" s="185" t="s">
        <v>215</v>
      </c>
    </row>
    <row r="31866" spans="129:129" x14ac:dyDescent="0.2">
      <c r="DY31866" s="185" t="s">
        <v>215</v>
      </c>
    </row>
    <row r="31867" spans="129:129" x14ac:dyDescent="0.2">
      <c r="DY31867" s="185" t="s">
        <v>215</v>
      </c>
    </row>
    <row r="31868" spans="129:129" x14ac:dyDescent="0.2">
      <c r="DY31868" s="185" t="s">
        <v>215</v>
      </c>
    </row>
    <row r="31869" spans="129:129" x14ac:dyDescent="0.2">
      <c r="DY31869" s="185" t="s">
        <v>215</v>
      </c>
    </row>
    <row r="31870" spans="129:129" x14ac:dyDescent="0.2">
      <c r="DY31870" s="185" t="s">
        <v>215</v>
      </c>
    </row>
    <row r="31871" spans="129:129" x14ac:dyDescent="0.2">
      <c r="DY31871" s="185" t="s">
        <v>215</v>
      </c>
    </row>
    <row r="31872" spans="129:129" x14ac:dyDescent="0.2">
      <c r="DY31872" s="185" t="s">
        <v>215</v>
      </c>
    </row>
    <row r="31873" spans="129:129" x14ac:dyDescent="0.2">
      <c r="DY31873" s="185" t="s">
        <v>215</v>
      </c>
    </row>
    <row r="31874" spans="129:129" x14ac:dyDescent="0.2">
      <c r="DY31874" s="185" t="s">
        <v>215</v>
      </c>
    </row>
    <row r="31875" spans="129:129" x14ac:dyDescent="0.2">
      <c r="DY31875" s="185" t="s">
        <v>215</v>
      </c>
    </row>
    <row r="31876" spans="129:129" x14ac:dyDescent="0.2">
      <c r="DY31876" s="185" t="s">
        <v>215</v>
      </c>
    </row>
    <row r="31877" spans="129:129" x14ac:dyDescent="0.2">
      <c r="DY31877" s="185" t="s">
        <v>215</v>
      </c>
    </row>
    <row r="31878" spans="129:129" x14ac:dyDescent="0.2">
      <c r="DY31878" s="185" t="s">
        <v>215</v>
      </c>
    </row>
    <row r="31879" spans="129:129" x14ac:dyDescent="0.2">
      <c r="DY31879" s="185" t="s">
        <v>215</v>
      </c>
    </row>
    <row r="31880" spans="129:129" x14ac:dyDescent="0.2">
      <c r="DY31880" s="185" t="s">
        <v>215</v>
      </c>
    </row>
    <row r="31881" spans="129:129" x14ac:dyDescent="0.2">
      <c r="DY31881" s="185" t="s">
        <v>215</v>
      </c>
    </row>
    <row r="31882" spans="129:129" x14ac:dyDescent="0.2">
      <c r="DY31882" s="185" t="s">
        <v>215</v>
      </c>
    </row>
    <row r="31883" spans="129:129" x14ac:dyDescent="0.2">
      <c r="DY31883" s="185" t="s">
        <v>215</v>
      </c>
    </row>
    <row r="31884" spans="129:129" x14ac:dyDescent="0.2">
      <c r="DY31884" s="185" t="s">
        <v>215</v>
      </c>
    </row>
    <row r="31885" spans="129:129" x14ac:dyDescent="0.2">
      <c r="DY31885" s="185" t="s">
        <v>215</v>
      </c>
    </row>
    <row r="31886" spans="129:129" x14ac:dyDescent="0.2">
      <c r="DY31886" s="185" t="s">
        <v>215</v>
      </c>
    </row>
    <row r="31887" spans="129:129" x14ac:dyDescent="0.2">
      <c r="DY31887" s="185" t="s">
        <v>215</v>
      </c>
    </row>
    <row r="31888" spans="129:129" x14ac:dyDescent="0.2">
      <c r="DY31888" s="185" t="s">
        <v>215</v>
      </c>
    </row>
    <row r="31889" spans="129:129" x14ac:dyDescent="0.2">
      <c r="DY31889" s="185" t="s">
        <v>215</v>
      </c>
    </row>
    <row r="31890" spans="129:129" x14ac:dyDescent="0.2">
      <c r="DY31890" s="185" t="s">
        <v>215</v>
      </c>
    </row>
    <row r="31891" spans="129:129" x14ac:dyDescent="0.2">
      <c r="DY31891" s="185" t="s">
        <v>215</v>
      </c>
    </row>
    <row r="31892" spans="129:129" x14ac:dyDescent="0.2">
      <c r="DY31892" s="185" t="s">
        <v>215</v>
      </c>
    </row>
    <row r="31893" spans="129:129" x14ac:dyDescent="0.2">
      <c r="DY31893" s="185" t="s">
        <v>215</v>
      </c>
    </row>
    <row r="31894" spans="129:129" x14ac:dyDescent="0.2">
      <c r="DY31894" s="185" t="s">
        <v>215</v>
      </c>
    </row>
    <row r="31895" spans="129:129" x14ac:dyDescent="0.2">
      <c r="DY31895" s="185" t="s">
        <v>215</v>
      </c>
    </row>
    <row r="31896" spans="129:129" x14ac:dyDescent="0.2">
      <c r="DY31896" s="185" t="s">
        <v>215</v>
      </c>
    </row>
    <row r="31897" spans="129:129" x14ac:dyDescent="0.2">
      <c r="DY31897" s="185" t="s">
        <v>215</v>
      </c>
    </row>
    <row r="31898" spans="129:129" x14ac:dyDescent="0.2">
      <c r="DY31898" s="185" t="s">
        <v>215</v>
      </c>
    </row>
    <row r="31899" spans="129:129" x14ac:dyDescent="0.2">
      <c r="DY31899" s="185" t="s">
        <v>215</v>
      </c>
    </row>
    <row r="31900" spans="129:129" x14ac:dyDescent="0.2">
      <c r="DY31900" s="185" t="s">
        <v>215</v>
      </c>
    </row>
    <row r="31901" spans="129:129" x14ac:dyDescent="0.2">
      <c r="DY31901" s="185" t="s">
        <v>215</v>
      </c>
    </row>
    <row r="31902" spans="129:129" x14ac:dyDescent="0.2">
      <c r="DY31902" s="185" t="s">
        <v>215</v>
      </c>
    </row>
    <row r="31903" spans="129:129" x14ac:dyDescent="0.2">
      <c r="DY31903" s="185" t="s">
        <v>215</v>
      </c>
    </row>
    <row r="31904" spans="129:129" x14ac:dyDescent="0.2">
      <c r="DY31904" s="185" t="s">
        <v>215</v>
      </c>
    </row>
    <row r="31905" spans="129:129" x14ac:dyDescent="0.2">
      <c r="DY31905" s="185" t="s">
        <v>215</v>
      </c>
    </row>
    <row r="31906" spans="129:129" x14ac:dyDescent="0.2">
      <c r="DY31906" s="185" t="s">
        <v>215</v>
      </c>
    </row>
    <row r="31907" spans="129:129" x14ac:dyDescent="0.2">
      <c r="DY31907" s="185" t="s">
        <v>215</v>
      </c>
    </row>
    <row r="31908" spans="129:129" x14ac:dyDescent="0.2">
      <c r="DY31908" s="185" t="s">
        <v>215</v>
      </c>
    </row>
    <row r="31909" spans="129:129" x14ac:dyDescent="0.2">
      <c r="DY31909" s="185" t="s">
        <v>215</v>
      </c>
    </row>
    <row r="31910" spans="129:129" x14ac:dyDescent="0.2">
      <c r="DY31910" s="185" t="s">
        <v>215</v>
      </c>
    </row>
    <row r="31911" spans="129:129" x14ac:dyDescent="0.2">
      <c r="DY31911" s="185" t="s">
        <v>215</v>
      </c>
    </row>
    <row r="31912" spans="129:129" x14ac:dyDescent="0.2">
      <c r="DY31912" s="185" t="s">
        <v>215</v>
      </c>
    </row>
    <row r="31913" spans="129:129" x14ac:dyDescent="0.2">
      <c r="DY31913" s="185" t="s">
        <v>215</v>
      </c>
    </row>
    <row r="31914" spans="129:129" x14ac:dyDescent="0.2">
      <c r="DY31914" s="185" t="s">
        <v>215</v>
      </c>
    </row>
    <row r="31915" spans="129:129" x14ac:dyDescent="0.2">
      <c r="DY31915" s="185" t="s">
        <v>215</v>
      </c>
    </row>
    <row r="31916" spans="129:129" x14ac:dyDescent="0.2">
      <c r="DY31916" s="185" t="s">
        <v>215</v>
      </c>
    </row>
    <row r="31917" spans="129:129" x14ac:dyDescent="0.2">
      <c r="DY31917" s="185" t="s">
        <v>215</v>
      </c>
    </row>
    <row r="31918" spans="129:129" x14ac:dyDescent="0.2">
      <c r="DY31918" s="185" t="s">
        <v>215</v>
      </c>
    </row>
    <row r="31919" spans="129:129" x14ac:dyDescent="0.2">
      <c r="DY31919" s="185" t="s">
        <v>215</v>
      </c>
    </row>
    <row r="31920" spans="129:129" x14ac:dyDescent="0.2">
      <c r="DY31920" s="185" t="s">
        <v>215</v>
      </c>
    </row>
    <row r="31921" spans="129:129" x14ac:dyDescent="0.2">
      <c r="DY31921" s="185" t="s">
        <v>215</v>
      </c>
    </row>
    <row r="31922" spans="129:129" x14ac:dyDescent="0.2">
      <c r="DY31922" s="185" t="s">
        <v>215</v>
      </c>
    </row>
    <row r="31923" spans="129:129" x14ac:dyDescent="0.2">
      <c r="DY31923" s="185" t="s">
        <v>215</v>
      </c>
    </row>
    <row r="31924" spans="129:129" x14ac:dyDescent="0.2">
      <c r="DY31924" s="185" t="s">
        <v>215</v>
      </c>
    </row>
    <row r="31925" spans="129:129" x14ac:dyDescent="0.2">
      <c r="DY31925" s="185" t="s">
        <v>215</v>
      </c>
    </row>
    <row r="31926" spans="129:129" x14ac:dyDescent="0.2">
      <c r="DY31926" s="185" t="s">
        <v>215</v>
      </c>
    </row>
    <row r="31927" spans="129:129" x14ac:dyDescent="0.2">
      <c r="DY31927" s="185" t="s">
        <v>215</v>
      </c>
    </row>
    <row r="31928" spans="129:129" x14ac:dyDescent="0.2">
      <c r="DY31928" s="185" t="s">
        <v>215</v>
      </c>
    </row>
    <row r="31929" spans="129:129" x14ac:dyDescent="0.2">
      <c r="DY31929" s="185" t="s">
        <v>215</v>
      </c>
    </row>
    <row r="31930" spans="129:129" x14ac:dyDescent="0.2">
      <c r="DY31930" s="185" t="s">
        <v>215</v>
      </c>
    </row>
    <row r="31931" spans="129:129" x14ac:dyDescent="0.2">
      <c r="DY31931" s="185" t="s">
        <v>215</v>
      </c>
    </row>
    <row r="31932" spans="129:129" x14ac:dyDescent="0.2">
      <c r="DY31932" s="185" t="s">
        <v>215</v>
      </c>
    </row>
    <row r="31933" spans="129:129" x14ac:dyDescent="0.2">
      <c r="DY31933" s="185" t="s">
        <v>215</v>
      </c>
    </row>
    <row r="31934" spans="129:129" x14ac:dyDescent="0.2">
      <c r="DY31934" s="185" t="s">
        <v>215</v>
      </c>
    </row>
    <row r="31935" spans="129:129" x14ac:dyDescent="0.2">
      <c r="DY31935" s="185" t="s">
        <v>215</v>
      </c>
    </row>
    <row r="31936" spans="129:129" x14ac:dyDescent="0.2">
      <c r="DY31936" s="185" t="s">
        <v>215</v>
      </c>
    </row>
    <row r="31937" spans="129:129" x14ac:dyDescent="0.2">
      <c r="DY31937" s="185" t="s">
        <v>215</v>
      </c>
    </row>
    <row r="31938" spans="129:129" x14ac:dyDescent="0.2">
      <c r="DY31938" s="185" t="s">
        <v>215</v>
      </c>
    </row>
    <row r="31939" spans="129:129" x14ac:dyDescent="0.2">
      <c r="DY31939" s="185" t="s">
        <v>215</v>
      </c>
    </row>
    <row r="31940" spans="129:129" x14ac:dyDescent="0.2">
      <c r="DY31940" s="185" t="s">
        <v>215</v>
      </c>
    </row>
    <row r="31941" spans="129:129" x14ac:dyDescent="0.2">
      <c r="DY31941" s="185" t="s">
        <v>215</v>
      </c>
    </row>
    <row r="31942" spans="129:129" x14ac:dyDescent="0.2">
      <c r="DY31942" s="185" t="s">
        <v>215</v>
      </c>
    </row>
    <row r="31943" spans="129:129" x14ac:dyDescent="0.2">
      <c r="DY31943" s="185" t="s">
        <v>215</v>
      </c>
    </row>
    <row r="31944" spans="129:129" x14ac:dyDescent="0.2">
      <c r="DY31944" s="185" t="s">
        <v>215</v>
      </c>
    </row>
    <row r="31945" spans="129:129" x14ac:dyDescent="0.2">
      <c r="DY31945" s="185" t="s">
        <v>215</v>
      </c>
    </row>
    <row r="31946" spans="129:129" x14ac:dyDescent="0.2">
      <c r="DY31946" s="185" t="s">
        <v>215</v>
      </c>
    </row>
    <row r="31947" spans="129:129" x14ac:dyDescent="0.2">
      <c r="DY31947" s="185" t="s">
        <v>215</v>
      </c>
    </row>
    <row r="31948" spans="129:129" x14ac:dyDescent="0.2">
      <c r="DY31948" s="185" t="s">
        <v>215</v>
      </c>
    </row>
    <row r="31949" spans="129:129" x14ac:dyDescent="0.2">
      <c r="DY31949" s="185" t="s">
        <v>215</v>
      </c>
    </row>
    <row r="31950" spans="129:129" x14ac:dyDescent="0.2">
      <c r="DY31950" s="185" t="s">
        <v>215</v>
      </c>
    </row>
    <row r="31951" spans="129:129" x14ac:dyDescent="0.2">
      <c r="DY31951" s="185" t="s">
        <v>215</v>
      </c>
    </row>
    <row r="31952" spans="129:129" x14ac:dyDescent="0.2">
      <c r="DY31952" s="185" t="s">
        <v>215</v>
      </c>
    </row>
    <row r="31953" spans="129:129" x14ac:dyDescent="0.2">
      <c r="DY31953" s="185" t="s">
        <v>215</v>
      </c>
    </row>
    <row r="31954" spans="129:129" x14ac:dyDescent="0.2">
      <c r="DY31954" s="185" t="s">
        <v>215</v>
      </c>
    </row>
    <row r="31955" spans="129:129" x14ac:dyDescent="0.2">
      <c r="DY31955" s="185" t="s">
        <v>215</v>
      </c>
    </row>
    <row r="31956" spans="129:129" x14ac:dyDescent="0.2">
      <c r="DY31956" s="185" t="s">
        <v>215</v>
      </c>
    </row>
    <row r="31957" spans="129:129" x14ac:dyDescent="0.2">
      <c r="DY31957" s="185" t="s">
        <v>215</v>
      </c>
    </row>
    <row r="31958" spans="129:129" x14ac:dyDescent="0.2">
      <c r="DY31958" s="185" t="s">
        <v>215</v>
      </c>
    </row>
    <row r="31959" spans="129:129" x14ac:dyDescent="0.2">
      <c r="DY31959" s="185" t="s">
        <v>215</v>
      </c>
    </row>
    <row r="31960" spans="129:129" x14ac:dyDescent="0.2">
      <c r="DY31960" s="185" t="s">
        <v>215</v>
      </c>
    </row>
    <row r="31961" spans="129:129" x14ac:dyDescent="0.2">
      <c r="DY31961" s="185" t="s">
        <v>215</v>
      </c>
    </row>
    <row r="31962" spans="129:129" x14ac:dyDescent="0.2">
      <c r="DY31962" s="185" t="s">
        <v>215</v>
      </c>
    </row>
    <row r="31963" spans="129:129" x14ac:dyDescent="0.2">
      <c r="DY31963" s="185" t="s">
        <v>215</v>
      </c>
    </row>
    <row r="31964" spans="129:129" x14ac:dyDescent="0.2">
      <c r="DY31964" s="185" t="s">
        <v>215</v>
      </c>
    </row>
    <row r="31965" spans="129:129" x14ac:dyDescent="0.2">
      <c r="DY31965" s="185" t="s">
        <v>215</v>
      </c>
    </row>
    <row r="31966" spans="129:129" x14ac:dyDescent="0.2">
      <c r="DY31966" s="185" t="s">
        <v>215</v>
      </c>
    </row>
    <row r="31967" spans="129:129" x14ac:dyDescent="0.2">
      <c r="DY31967" s="185" t="s">
        <v>215</v>
      </c>
    </row>
    <row r="31968" spans="129:129" x14ac:dyDescent="0.2">
      <c r="DY31968" s="185" t="s">
        <v>215</v>
      </c>
    </row>
    <row r="31969" spans="129:129" x14ac:dyDescent="0.2">
      <c r="DY31969" s="185" t="s">
        <v>215</v>
      </c>
    </row>
    <row r="31970" spans="129:129" x14ac:dyDescent="0.2">
      <c r="DY31970" s="185" t="s">
        <v>215</v>
      </c>
    </row>
    <row r="31971" spans="129:129" x14ac:dyDescent="0.2">
      <c r="DY31971" s="185" t="s">
        <v>215</v>
      </c>
    </row>
    <row r="31972" spans="129:129" x14ac:dyDescent="0.2">
      <c r="DY31972" s="185" t="s">
        <v>215</v>
      </c>
    </row>
    <row r="31973" spans="129:129" x14ac:dyDescent="0.2">
      <c r="DY31973" s="185" t="s">
        <v>215</v>
      </c>
    </row>
    <row r="31974" spans="129:129" x14ac:dyDescent="0.2">
      <c r="DY31974" s="185" t="s">
        <v>215</v>
      </c>
    </row>
    <row r="31975" spans="129:129" x14ac:dyDescent="0.2">
      <c r="DY31975" s="185" t="s">
        <v>215</v>
      </c>
    </row>
    <row r="31976" spans="129:129" x14ac:dyDescent="0.2">
      <c r="DY31976" s="185" t="s">
        <v>215</v>
      </c>
    </row>
    <row r="31977" spans="129:129" x14ac:dyDescent="0.2">
      <c r="DY31977" s="185" t="s">
        <v>215</v>
      </c>
    </row>
    <row r="31978" spans="129:129" x14ac:dyDescent="0.2">
      <c r="DY31978" s="185" t="s">
        <v>215</v>
      </c>
    </row>
    <row r="31979" spans="129:129" x14ac:dyDescent="0.2">
      <c r="DY31979" s="185" t="s">
        <v>215</v>
      </c>
    </row>
    <row r="31980" spans="129:129" x14ac:dyDescent="0.2">
      <c r="DY31980" s="185" t="s">
        <v>215</v>
      </c>
    </row>
    <row r="31981" spans="129:129" x14ac:dyDescent="0.2">
      <c r="DY31981" s="185" t="s">
        <v>215</v>
      </c>
    </row>
    <row r="31982" spans="129:129" x14ac:dyDescent="0.2">
      <c r="DY31982" s="185" t="s">
        <v>215</v>
      </c>
    </row>
    <row r="31983" spans="129:129" x14ac:dyDescent="0.2">
      <c r="DY31983" s="185" t="s">
        <v>215</v>
      </c>
    </row>
    <row r="31984" spans="129:129" x14ac:dyDescent="0.2">
      <c r="DY31984" s="185" t="s">
        <v>215</v>
      </c>
    </row>
    <row r="31985" spans="129:129" x14ac:dyDescent="0.2">
      <c r="DY31985" s="185" t="s">
        <v>215</v>
      </c>
    </row>
    <row r="31986" spans="129:129" x14ac:dyDescent="0.2">
      <c r="DY31986" s="185" t="s">
        <v>215</v>
      </c>
    </row>
    <row r="31987" spans="129:129" x14ac:dyDescent="0.2">
      <c r="DY31987" s="185" t="s">
        <v>215</v>
      </c>
    </row>
    <row r="31988" spans="129:129" x14ac:dyDescent="0.2">
      <c r="DY31988" s="185" t="s">
        <v>215</v>
      </c>
    </row>
    <row r="31989" spans="129:129" x14ac:dyDescent="0.2">
      <c r="DY31989" s="185" t="s">
        <v>215</v>
      </c>
    </row>
    <row r="31990" spans="129:129" x14ac:dyDescent="0.2">
      <c r="DY31990" s="185" t="s">
        <v>215</v>
      </c>
    </row>
    <row r="31991" spans="129:129" x14ac:dyDescent="0.2">
      <c r="DY31991" s="185" t="s">
        <v>215</v>
      </c>
    </row>
    <row r="31992" spans="129:129" x14ac:dyDescent="0.2">
      <c r="DY31992" s="185" t="s">
        <v>215</v>
      </c>
    </row>
    <row r="31993" spans="129:129" x14ac:dyDescent="0.2">
      <c r="DY31993" s="185" t="s">
        <v>215</v>
      </c>
    </row>
    <row r="31994" spans="129:129" x14ac:dyDescent="0.2">
      <c r="DY31994" s="185" t="s">
        <v>215</v>
      </c>
    </row>
    <row r="31995" spans="129:129" x14ac:dyDescent="0.2">
      <c r="DY31995" s="185" t="s">
        <v>215</v>
      </c>
    </row>
    <row r="31996" spans="129:129" x14ac:dyDescent="0.2">
      <c r="DY31996" s="185" t="s">
        <v>215</v>
      </c>
    </row>
    <row r="31997" spans="129:129" x14ac:dyDescent="0.2">
      <c r="DY31997" s="185" t="s">
        <v>215</v>
      </c>
    </row>
    <row r="31998" spans="129:129" x14ac:dyDescent="0.2">
      <c r="DY31998" s="185" t="s">
        <v>215</v>
      </c>
    </row>
    <row r="31999" spans="129:129" x14ac:dyDescent="0.2">
      <c r="DY31999" s="185" t="s">
        <v>215</v>
      </c>
    </row>
    <row r="32000" spans="129:129" x14ac:dyDescent="0.2">
      <c r="DY32000" s="185" t="s">
        <v>215</v>
      </c>
    </row>
    <row r="32001" spans="129:129" x14ac:dyDescent="0.2">
      <c r="DY32001" s="185" t="s">
        <v>215</v>
      </c>
    </row>
    <row r="32002" spans="129:129" x14ac:dyDescent="0.2">
      <c r="DY32002" s="185" t="s">
        <v>215</v>
      </c>
    </row>
    <row r="32003" spans="129:129" x14ac:dyDescent="0.2">
      <c r="DY32003" s="185" t="s">
        <v>215</v>
      </c>
    </row>
    <row r="32004" spans="129:129" x14ac:dyDescent="0.2">
      <c r="DY32004" s="185" t="s">
        <v>215</v>
      </c>
    </row>
    <row r="32005" spans="129:129" x14ac:dyDescent="0.2">
      <c r="DY32005" s="185" t="s">
        <v>215</v>
      </c>
    </row>
    <row r="32006" spans="129:129" x14ac:dyDescent="0.2">
      <c r="DY32006" s="185" t="s">
        <v>215</v>
      </c>
    </row>
    <row r="32007" spans="129:129" x14ac:dyDescent="0.2">
      <c r="DY32007" s="185" t="s">
        <v>215</v>
      </c>
    </row>
    <row r="32008" spans="129:129" x14ac:dyDescent="0.2">
      <c r="DY32008" s="185" t="s">
        <v>215</v>
      </c>
    </row>
    <row r="32009" spans="129:129" x14ac:dyDescent="0.2">
      <c r="DY32009" s="185" t="s">
        <v>215</v>
      </c>
    </row>
    <row r="32010" spans="129:129" x14ac:dyDescent="0.2">
      <c r="DY32010" s="185" t="s">
        <v>215</v>
      </c>
    </row>
    <row r="32011" spans="129:129" x14ac:dyDescent="0.2">
      <c r="DY32011" s="185" t="s">
        <v>215</v>
      </c>
    </row>
    <row r="32012" spans="129:129" x14ac:dyDescent="0.2">
      <c r="DY32012" s="185" t="s">
        <v>215</v>
      </c>
    </row>
    <row r="32013" spans="129:129" x14ac:dyDescent="0.2">
      <c r="DY32013" s="185" t="s">
        <v>215</v>
      </c>
    </row>
    <row r="32014" spans="129:129" x14ac:dyDescent="0.2">
      <c r="DY32014" s="185" t="s">
        <v>215</v>
      </c>
    </row>
    <row r="32015" spans="129:129" x14ac:dyDescent="0.2">
      <c r="DY32015" s="185" t="s">
        <v>215</v>
      </c>
    </row>
    <row r="32016" spans="129:129" x14ac:dyDescent="0.2">
      <c r="DY32016" s="185" t="s">
        <v>215</v>
      </c>
    </row>
    <row r="32017" spans="129:129" x14ac:dyDescent="0.2">
      <c r="DY32017" s="185" t="s">
        <v>215</v>
      </c>
    </row>
    <row r="32018" spans="129:129" x14ac:dyDescent="0.2">
      <c r="DY32018" s="185" t="s">
        <v>215</v>
      </c>
    </row>
    <row r="32019" spans="129:129" x14ac:dyDescent="0.2">
      <c r="DY32019" s="185" t="s">
        <v>215</v>
      </c>
    </row>
    <row r="32020" spans="129:129" x14ac:dyDescent="0.2">
      <c r="DY32020" s="185" t="s">
        <v>215</v>
      </c>
    </row>
    <row r="32021" spans="129:129" x14ac:dyDescent="0.2">
      <c r="DY32021" s="185" t="s">
        <v>215</v>
      </c>
    </row>
    <row r="32022" spans="129:129" x14ac:dyDescent="0.2">
      <c r="DY32022" s="185" t="s">
        <v>215</v>
      </c>
    </row>
    <row r="32023" spans="129:129" x14ac:dyDescent="0.2">
      <c r="DY32023" s="185" t="s">
        <v>215</v>
      </c>
    </row>
    <row r="32024" spans="129:129" x14ac:dyDescent="0.2">
      <c r="DY32024" s="185" t="s">
        <v>215</v>
      </c>
    </row>
    <row r="32025" spans="129:129" x14ac:dyDescent="0.2">
      <c r="DY32025" s="185" t="s">
        <v>215</v>
      </c>
    </row>
    <row r="32026" spans="129:129" x14ac:dyDescent="0.2">
      <c r="DY32026" s="185" t="s">
        <v>215</v>
      </c>
    </row>
    <row r="32027" spans="129:129" x14ac:dyDescent="0.2">
      <c r="DY32027" s="185" t="s">
        <v>215</v>
      </c>
    </row>
    <row r="32028" spans="129:129" x14ac:dyDescent="0.2">
      <c r="DY32028" s="185" t="s">
        <v>215</v>
      </c>
    </row>
    <row r="32029" spans="129:129" x14ac:dyDescent="0.2">
      <c r="DY32029" s="185" t="s">
        <v>215</v>
      </c>
    </row>
    <row r="32030" spans="129:129" x14ac:dyDescent="0.2">
      <c r="DY32030" s="185" t="s">
        <v>215</v>
      </c>
    </row>
    <row r="32031" spans="129:129" x14ac:dyDescent="0.2">
      <c r="DY32031" s="185" t="s">
        <v>215</v>
      </c>
    </row>
    <row r="32032" spans="129:129" x14ac:dyDescent="0.2">
      <c r="DY32032" s="185" t="s">
        <v>215</v>
      </c>
    </row>
    <row r="32033" spans="129:129" x14ac:dyDescent="0.2">
      <c r="DY32033" s="185" t="s">
        <v>215</v>
      </c>
    </row>
    <row r="32034" spans="129:129" x14ac:dyDescent="0.2">
      <c r="DY32034" s="185" t="s">
        <v>215</v>
      </c>
    </row>
    <row r="32035" spans="129:129" x14ac:dyDescent="0.2">
      <c r="DY32035" s="185" t="s">
        <v>215</v>
      </c>
    </row>
    <row r="32036" spans="129:129" x14ac:dyDescent="0.2">
      <c r="DY32036" s="185" t="s">
        <v>215</v>
      </c>
    </row>
    <row r="32037" spans="129:129" x14ac:dyDescent="0.2">
      <c r="DY32037" s="185" t="s">
        <v>215</v>
      </c>
    </row>
    <row r="32038" spans="129:129" x14ac:dyDescent="0.2">
      <c r="DY32038" s="185" t="s">
        <v>215</v>
      </c>
    </row>
    <row r="32039" spans="129:129" x14ac:dyDescent="0.2">
      <c r="DY32039" s="185" t="s">
        <v>215</v>
      </c>
    </row>
    <row r="32040" spans="129:129" x14ac:dyDescent="0.2">
      <c r="DY32040" s="185" t="s">
        <v>215</v>
      </c>
    </row>
    <row r="32041" spans="129:129" x14ac:dyDescent="0.2">
      <c r="DY32041" s="185" t="s">
        <v>215</v>
      </c>
    </row>
    <row r="32042" spans="129:129" x14ac:dyDescent="0.2">
      <c r="DY32042" s="185" t="s">
        <v>215</v>
      </c>
    </row>
    <row r="32043" spans="129:129" x14ac:dyDescent="0.2">
      <c r="DY32043" s="185" t="s">
        <v>215</v>
      </c>
    </row>
    <row r="32044" spans="129:129" x14ac:dyDescent="0.2">
      <c r="DY32044" s="185" t="s">
        <v>215</v>
      </c>
    </row>
    <row r="32045" spans="129:129" x14ac:dyDescent="0.2">
      <c r="DY32045" s="185" t="s">
        <v>215</v>
      </c>
    </row>
    <row r="32046" spans="129:129" x14ac:dyDescent="0.2">
      <c r="DY32046" s="185" t="s">
        <v>215</v>
      </c>
    </row>
    <row r="32047" spans="129:129" x14ac:dyDescent="0.2">
      <c r="DY32047" s="185" t="s">
        <v>215</v>
      </c>
    </row>
    <row r="32048" spans="129:129" x14ac:dyDescent="0.2">
      <c r="DY32048" s="185" t="s">
        <v>215</v>
      </c>
    </row>
    <row r="32049" spans="129:129" x14ac:dyDescent="0.2">
      <c r="DY32049" s="185" t="s">
        <v>215</v>
      </c>
    </row>
    <row r="32050" spans="129:129" x14ac:dyDescent="0.2">
      <c r="DY32050" s="185" t="s">
        <v>215</v>
      </c>
    </row>
    <row r="32051" spans="129:129" x14ac:dyDescent="0.2">
      <c r="DY32051" s="185" t="s">
        <v>215</v>
      </c>
    </row>
    <row r="32052" spans="129:129" x14ac:dyDescent="0.2">
      <c r="DY32052" s="185" t="s">
        <v>215</v>
      </c>
    </row>
    <row r="32053" spans="129:129" x14ac:dyDescent="0.2">
      <c r="DY32053" s="185" t="s">
        <v>215</v>
      </c>
    </row>
    <row r="32054" spans="129:129" x14ac:dyDescent="0.2">
      <c r="DY32054" s="185" t="s">
        <v>215</v>
      </c>
    </row>
    <row r="32055" spans="129:129" x14ac:dyDescent="0.2">
      <c r="DY32055" s="185" t="s">
        <v>215</v>
      </c>
    </row>
    <row r="32056" spans="129:129" x14ac:dyDescent="0.2">
      <c r="DY32056" s="185" t="s">
        <v>215</v>
      </c>
    </row>
    <row r="32057" spans="129:129" x14ac:dyDescent="0.2">
      <c r="DY32057" s="185" t="s">
        <v>215</v>
      </c>
    </row>
    <row r="32058" spans="129:129" x14ac:dyDescent="0.2">
      <c r="DY32058" s="185" t="s">
        <v>215</v>
      </c>
    </row>
    <row r="32059" spans="129:129" x14ac:dyDescent="0.2">
      <c r="DY32059" s="185" t="s">
        <v>215</v>
      </c>
    </row>
    <row r="32060" spans="129:129" x14ac:dyDescent="0.2">
      <c r="DY32060" s="185" t="s">
        <v>215</v>
      </c>
    </row>
    <row r="32061" spans="129:129" x14ac:dyDescent="0.2">
      <c r="DY32061" s="185" t="s">
        <v>215</v>
      </c>
    </row>
    <row r="32062" spans="129:129" x14ac:dyDescent="0.2">
      <c r="DY32062" s="185" t="s">
        <v>215</v>
      </c>
    </row>
    <row r="32063" spans="129:129" x14ac:dyDescent="0.2">
      <c r="DY32063" s="185" t="s">
        <v>215</v>
      </c>
    </row>
    <row r="32064" spans="129:129" x14ac:dyDescent="0.2">
      <c r="DY32064" s="185" t="s">
        <v>215</v>
      </c>
    </row>
    <row r="32065" spans="129:129" x14ac:dyDescent="0.2">
      <c r="DY32065" s="185" t="s">
        <v>215</v>
      </c>
    </row>
    <row r="32066" spans="129:129" x14ac:dyDescent="0.2">
      <c r="DY32066" s="185" t="s">
        <v>215</v>
      </c>
    </row>
    <row r="32067" spans="129:129" x14ac:dyDescent="0.2">
      <c r="DY32067" s="185" t="s">
        <v>215</v>
      </c>
    </row>
    <row r="32068" spans="129:129" x14ac:dyDescent="0.2">
      <c r="DY32068" s="185" t="s">
        <v>215</v>
      </c>
    </row>
    <row r="32069" spans="129:129" x14ac:dyDescent="0.2">
      <c r="DY32069" s="185" t="s">
        <v>215</v>
      </c>
    </row>
    <row r="32070" spans="129:129" x14ac:dyDescent="0.2">
      <c r="DY32070" s="185" t="s">
        <v>215</v>
      </c>
    </row>
    <row r="32071" spans="129:129" x14ac:dyDescent="0.2">
      <c r="DY32071" s="185" t="s">
        <v>215</v>
      </c>
    </row>
    <row r="32072" spans="129:129" x14ac:dyDescent="0.2">
      <c r="DY32072" s="185" t="s">
        <v>215</v>
      </c>
    </row>
    <row r="32073" spans="129:129" x14ac:dyDescent="0.2">
      <c r="DY32073" s="185" t="s">
        <v>215</v>
      </c>
    </row>
    <row r="32074" spans="129:129" x14ac:dyDescent="0.2">
      <c r="DY32074" s="185" t="s">
        <v>215</v>
      </c>
    </row>
    <row r="32075" spans="129:129" x14ac:dyDescent="0.2">
      <c r="DY32075" s="185" t="s">
        <v>215</v>
      </c>
    </row>
    <row r="32076" spans="129:129" x14ac:dyDescent="0.2">
      <c r="DY32076" s="185" t="s">
        <v>215</v>
      </c>
    </row>
    <row r="32077" spans="129:129" x14ac:dyDescent="0.2">
      <c r="DY32077" s="185" t="s">
        <v>215</v>
      </c>
    </row>
    <row r="32078" spans="129:129" x14ac:dyDescent="0.2">
      <c r="DY32078" s="185" t="s">
        <v>215</v>
      </c>
    </row>
    <row r="32079" spans="129:129" x14ac:dyDescent="0.2">
      <c r="DY32079" s="185" t="s">
        <v>215</v>
      </c>
    </row>
    <row r="32080" spans="129:129" x14ac:dyDescent="0.2">
      <c r="DY32080" s="185" t="s">
        <v>215</v>
      </c>
    </row>
    <row r="32081" spans="129:129" x14ac:dyDescent="0.2">
      <c r="DY32081" s="185" t="s">
        <v>215</v>
      </c>
    </row>
    <row r="32082" spans="129:129" x14ac:dyDescent="0.2">
      <c r="DY32082" s="185" t="s">
        <v>215</v>
      </c>
    </row>
    <row r="32083" spans="129:129" x14ac:dyDescent="0.2">
      <c r="DY32083" s="185" t="s">
        <v>215</v>
      </c>
    </row>
    <row r="32084" spans="129:129" x14ac:dyDescent="0.2">
      <c r="DY32084" s="185" t="s">
        <v>215</v>
      </c>
    </row>
    <row r="32085" spans="129:129" x14ac:dyDescent="0.2">
      <c r="DY32085" s="185" t="s">
        <v>215</v>
      </c>
    </row>
    <row r="32086" spans="129:129" x14ac:dyDescent="0.2">
      <c r="DY32086" s="185" t="s">
        <v>215</v>
      </c>
    </row>
    <row r="32087" spans="129:129" x14ac:dyDescent="0.2">
      <c r="DY32087" s="185" t="s">
        <v>215</v>
      </c>
    </row>
    <row r="32088" spans="129:129" x14ac:dyDescent="0.2">
      <c r="DY32088" s="185" t="s">
        <v>215</v>
      </c>
    </row>
    <row r="32089" spans="129:129" x14ac:dyDescent="0.2">
      <c r="DY32089" s="185" t="s">
        <v>215</v>
      </c>
    </row>
    <row r="32090" spans="129:129" x14ac:dyDescent="0.2">
      <c r="DY32090" s="185" t="s">
        <v>215</v>
      </c>
    </row>
    <row r="32091" spans="129:129" x14ac:dyDescent="0.2">
      <c r="DY32091" s="185" t="s">
        <v>215</v>
      </c>
    </row>
    <row r="32092" spans="129:129" x14ac:dyDescent="0.2">
      <c r="DY32092" s="185" t="s">
        <v>215</v>
      </c>
    </row>
    <row r="32093" spans="129:129" x14ac:dyDescent="0.2">
      <c r="DY32093" s="185" t="s">
        <v>215</v>
      </c>
    </row>
    <row r="32094" spans="129:129" x14ac:dyDescent="0.2">
      <c r="DY32094" s="185" t="s">
        <v>215</v>
      </c>
    </row>
    <row r="32095" spans="129:129" x14ac:dyDescent="0.2">
      <c r="DY32095" s="185" t="s">
        <v>215</v>
      </c>
    </row>
    <row r="32096" spans="129:129" x14ac:dyDescent="0.2">
      <c r="DY32096" s="185" t="s">
        <v>215</v>
      </c>
    </row>
    <row r="32097" spans="129:129" x14ac:dyDescent="0.2">
      <c r="DY32097" s="185" t="s">
        <v>215</v>
      </c>
    </row>
    <row r="32098" spans="129:129" x14ac:dyDescent="0.2">
      <c r="DY32098" s="185" t="s">
        <v>215</v>
      </c>
    </row>
    <row r="32099" spans="129:129" x14ac:dyDescent="0.2">
      <c r="DY32099" s="185" t="s">
        <v>215</v>
      </c>
    </row>
    <row r="32100" spans="129:129" x14ac:dyDescent="0.2">
      <c r="DY32100" s="185" t="s">
        <v>215</v>
      </c>
    </row>
    <row r="32101" spans="129:129" x14ac:dyDescent="0.2">
      <c r="DY32101" s="185" t="s">
        <v>215</v>
      </c>
    </row>
    <row r="32102" spans="129:129" x14ac:dyDescent="0.2">
      <c r="DY32102" s="185" t="s">
        <v>215</v>
      </c>
    </row>
    <row r="32103" spans="129:129" x14ac:dyDescent="0.2">
      <c r="DY32103" s="185" t="s">
        <v>215</v>
      </c>
    </row>
    <row r="32104" spans="129:129" x14ac:dyDescent="0.2">
      <c r="DY32104" s="185" t="s">
        <v>215</v>
      </c>
    </row>
    <row r="32105" spans="129:129" x14ac:dyDescent="0.2">
      <c r="DY32105" s="185" t="s">
        <v>215</v>
      </c>
    </row>
    <row r="32106" spans="129:129" x14ac:dyDescent="0.2">
      <c r="DY32106" s="185" t="s">
        <v>215</v>
      </c>
    </row>
    <row r="32107" spans="129:129" x14ac:dyDescent="0.2">
      <c r="DY32107" s="185" t="s">
        <v>215</v>
      </c>
    </row>
    <row r="32108" spans="129:129" x14ac:dyDescent="0.2">
      <c r="DY32108" s="185" t="s">
        <v>215</v>
      </c>
    </row>
    <row r="32109" spans="129:129" x14ac:dyDescent="0.2">
      <c r="DY32109" s="185" t="s">
        <v>215</v>
      </c>
    </row>
    <row r="32110" spans="129:129" x14ac:dyDescent="0.2">
      <c r="DY32110" s="185" t="s">
        <v>215</v>
      </c>
    </row>
    <row r="32111" spans="129:129" x14ac:dyDescent="0.2">
      <c r="DY32111" s="185" t="s">
        <v>215</v>
      </c>
    </row>
    <row r="32112" spans="129:129" x14ac:dyDescent="0.2">
      <c r="DY32112" s="185" t="s">
        <v>215</v>
      </c>
    </row>
    <row r="32113" spans="129:129" x14ac:dyDescent="0.2">
      <c r="DY32113" s="185" t="s">
        <v>215</v>
      </c>
    </row>
    <row r="32114" spans="129:129" x14ac:dyDescent="0.2">
      <c r="DY32114" s="185" t="s">
        <v>215</v>
      </c>
    </row>
    <row r="32115" spans="129:129" x14ac:dyDescent="0.2">
      <c r="DY32115" s="185" t="s">
        <v>215</v>
      </c>
    </row>
    <row r="32116" spans="129:129" x14ac:dyDescent="0.2">
      <c r="DY32116" s="185" t="s">
        <v>215</v>
      </c>
    </row>
    <row r="32117" spans="129:129" x14ac:dyDescent="0.2">
      <c r="DY32117" s="185" t="s">
        <v>215</v>
      </c>
    </row>
    <row r="32118" spans="129:129" x14ac:dyDescent="0.2">
      <c r="DY32118" s="185" t="s">
        <v>215</v>
      </c>
    </row>
    <row r="32119" spans="129:129" x14ac:dyDescent="0.2">
      <c r="DY32119" s="185" t="s">
        <v>215</v>
      </c>
    </row>
    <row r="32120" spans="129:129" x14ac:dyDescent="0.2">
      <c r="DY32120" s="185" t="s">
        <v>215</v>
      </c>
    </row>
    <row r="32121" spans="129:129" x14ac:dyDescent="0.2">
      <c r="DY32121" s="185" t="s">
        <v>215</v>
      </c>
    </row>
    <row r="32122" spans="129:129" x14ac:dyDescent="0.2">
      <c r="DY32122" s="185" t="s">
        <v>215</v>
      </c>
    </row>
    <row r="32123" spans="129:129" x14ac:dyDescent="0.2">
      <c r="DY32123" s="185" t="s">
        <v>215</v>
      </c>
    </row>
    <row r="32124" spans="129:129" x14ac:dyDescent="0.2">
      <c r="DY32124" s="185" t="s">
        <v>215</v>
      </c>
    </row>
    <row r="32125" spans="129:129" x14ac:dyDescent="0.2">
      <c r="DY32125" s="185" t="s">
        <v>215</v>
      </c>
    </row>
    <row r="32126" spans="129:129" x14ac:dyDescent="0.2">
      <c r="DY32126" s="185" t="s">
        <v>215</v>
      </c>
    </row>
    <row r="32127" spans="129:129" x14ac:dyDescent="0.2">
      <c r="DY32127" s="185" t="s">
        <v>215</v>
      </c>
    </row>
    <row r="32128" spans="129:129" x14ac:dyDescent="0.2">
      <c r="DY32128" s="185" t="s">
        <v>215</v>
      </c>
    </row>
    <row r="32129" spans="129:129" x14ac:dyDescent="0.2">
      <c r="DY32129" s="185" t="s">
        <v>215</v>
      </c>
    </row>
    <row r="32130" spans="129:129" x14ac:dyDescent="0.2">
      <c r="DY32130" s="185" t="s">
        <v>215</v>
      </c>
    </row>
    <row r="32131" spans="129:129" x14ac:dyDescent="0.2">
      <c r="DY32131" s="185" t="s">
        <v>215</v>
      </c>
    </row>
    <row r="32132" spans="129:129" x14ac:dyDescent="0.2">
      <c r="DY32132" s="185" t="s">
        <v>215</v>
      </c>
    </row>
    <row r="32133" spans="129:129" x14ac:dyDescent="0.2">
      <c r="DY32133" s="185" t="s">
        <v>215</v>
      </c>
    </row>
    <row r="32134" spans="129:129" x14ac:dyDescent="0.2">
      <c r="DY32134" s="185" t="s">
        <v>215</v>
      </c>
    </row>
    <row r="32135" spans="129:129" x14ac:dyDescent="0.2">
      <c r="DY32135" s="185" t="s">
        <v>215</v>
      </c>
    </row>
    <row r="32136" spans="129:129" x14ac:dyDescent="0.2">
      <c r="DY32136" s="185" t="s">
        <v>215</v>
      </c>
    </row>
    <row r="32137" spans="129:129" x14ac:dyDescent="0.2">
      <c r="DY32137" s="185" t="s">
        <v>215</v>
      </c>
    </row>
    <row r="32138" spans="129:129" x14ac:dyDescent="0.2">
      <c r="DY32138" s="185" t="s">
        <v>215</v>
      </c>
    </row>
    <row r="32139" spans="129:129" x14ac:dyDescent="0.2">
      <c r="DY32139" s="185" t="s">
        <v>215</v>
      </c>
    </row>
    <row r="32140" spans="129:129" x14ac:dyDescent="0.2">
      <c r="DY32140" s="185" t="s">
        <v>215</v>
      </c>
    </row>
    <row r="32141" spans="129:129" x14ac:dyDescent="0.2">
      <c r="DY32141" s="185" t="s">
        <v>215</v>
      </c>
    </row>
    <row r="32142" spans="129:129" x14ac:dyDescent="0.2">
      <c r="DY32142" s="185" t="s">
        <v>215</v>
      </c>
    </row>
    <row r="32143" spans="129:129" x14ac:dyDescent="0.2">
      <c r="DY32143" s="185" t="s">
        <v>215</v>
      </c>
    </row>
    <row r="32144" spans="129:129" x14ac:dyDescent="0.2">
      <c r="DY32144" s="185" t="s">
        <v>215</v>
      </c>
    </row>
    <row r="32145" spans="129:129" x14ac:dyDescent="0.2">
      <c r="DY32145" s="185" t="s">
        <v>215</v>
      </c>
    </row>
    <row r="32146" spans="129:129" x14ac:dyDescent="0.2">
      <c r="DY32146" s="185" t="s">
        <v>215</v>
      </c>
    </row>
    <row r="32147" spans="129:129" x14ac:dyDescent="0.2">
      <c r="DY32147" s="185" t="s">
        <v>215</v>
      </c>
    </row>
    <row r="32148" spans="129:129" x14ac:dyDescent="0.2">
      <c r="DY32148" s="185" t="s">
        <v>215</v>
      </c>
    </row>
    <row r="32149" spans="129:129" x14ac:dyDescent="0.2">
      <c r="DY32149" s="185" t="s">
        <v>215</v>
      </c>
    </row>
    <row r="32150" spans="129:129" x14ac:dyDescent="0.2">
      <c r="DY32150" s="185" t="s">
        <v>215</v>
      </c>
    </row>
    <row r="32151" spans="129:129" x14ac:dyDescent="0.2">
      <c r="DY32151" s="185" t="s">
        <v>215</v>
      </c>
    </row>
    <row r="32152" spans="129:129" x14ac:dyDescent="0.2">
      <c r="DY32152" s="185" t="s">
        <v>215</v>
      </c>
    </row>
    <row r="32153" spans="129:129" x14ac:dyDescent="0.2">
      <c r="DY32153" s="185" t="s">
        <v>215</v>
      </c>
    </row>
    <row r="32154" spans="129:129" x14ac:dyDescent="0.2">
      <c r="DY32154" s="185" t="s">
        <v>215</v>
      </c>
    </row>
    <row r="32155" spans="129:129" x14ac:dyDescent="0.2">
      <c r="DY32155" s="185" t="s">
        <v>215</v>
      </c>
    </row>
    <row r="32156" spans="129:129" x14ac:dyDescent="0.2">
      <c r="DY32156" s="185" t="s">
        <v>215</v>
      </c>
    </row>
    <row r="32157" spans="129:129" x14ac:dyDescent="0.2">
      <c r="DY32157" s="185" t="s">
        <v>215</v>
      </c>
    </row>
    <row r="32158" spans="129:129" x14ac:dyDescent="0.2">
      <c r="DY32158" s="185" t="s">
        <v>215</v>
      </c>
    </row>
    <row r="32159" spans="129:129" x14ac:dyDescent="0.2">
      <c r="DY32159" s="185" t="s">
        <v>215</v>
      </c>
    </row>
    <row r="32160" spans="129:129" x14ac:dyDescent="0.2">
      <c r="DY32160" s="185" t="s">
        <v>215</v>
      </c>
    </row>
    <row r="32161" spans="129:129" x14ac:dyDescent="0.2">
      <c r="DY32161" s="185" t="s">
        <v>215</v>
      </c>
    </row>
    <row r="32162" spans="129:129" x14ac:dyDescent="0.2">
      <c r="DY32162" s="185" t="s">
        <v>215</v>
      </c>
    </row>
    <row r="32163" spans="129:129" x14ac:dyDescent="0.2">
      <c r="DY32163" s="185" t="s">
        <v>215</v>
      </c>
    </row>
    <row r="32164" spans="129:129" x14ac:dyDescent="0.2">
      <c r="DY32164" s="185" t="s">
        <v>215</v>
      </c>
    </row>
    <row r="32165" spans="129:129" x14ac:dyDescent="0.2">
      <c r="DY32165" s="185" t="s">
        <v>215</v>
      </c>
    </row>
    <row r="32166" spans="129:129" x14ac:dyDescent="0.2">
      <c r="DY32166" s="185" t="s">
        <v>215</v>
      </c>
    </row>
    <row r="32167" spans="129:129" x14ac:dyDescent="0.2">
      <c r="DY32167" s="185" t="s">
        <v>215</v>
      </c>
    </row>
    <row r="32168" spans="129:129" x14ac:dyDescent="0.2">
      <c r="DY32168" s="185" t="s">
        <v>215</v>
      </c>
    </row>
    <row r="32169" spans="129:129" x14ac:dyDescent="0.2">
      <c r="DY32169" s="185" t="s">
        <v>215</v>
      </c>
    </row>
    <row r="32170" spans="129:129" x14ac:dyDescent="0.2">
      <c r="DY32170" s="185" t="s">
        <v>215</v>
      </c>
    </row>
    <row r="32171" spans="129:129" x14ac:dyDescent="0.2">
      <c r="DY32171" s="185" t="s">
        <v>215</v>
      </c>
    </row>
    <row r="32172" spans="129:129" x14ac:dyDescent="0.2">
      <c r="DY32172" s="185" t="s">
        <v>215</v>
      </c>
    </row>
    <row r="32173" spans="129:129" x14ac:dyDescent="0.2">
      <c r="DY32173" s="185" t="s">
        <v>215</v>
      </c>
    </row>
    <row r="32174" spans="129:129" x14ac:dyDescent="0.2">
      <c r="DY32174" s="185" t="s">
        <v>215</v>
      </c>
    </row>
    <row r="32175" spans="129:129" x14ac:dyDescent="0.2">
      <c r="DY32175" s="185" t="s">
        <v>215</v>
      </c>
    </row>
    <row r="32176" spans="129:129" x14ac:dyDescent="0.2">
      <c r="DY32176" s="185" t="s">
        <v>215</v>
      </c>
    </row>
    <row r="32177" spans="129:129" x14ac:dyDescent="0.2">
      <c r="DY32177" s="185" t="s">
        <v>215</v>
      </c>
    </row>
    <row r="32178" spans="129:129" x14ac:dyDescent="0.2">
      <c r="DY32178" s="185" t="s">
        <v>215</v>
      </c>
    </row>
    <row r="32179" spans="129:129" x14ac:dyDescent="0.2">
      <c r="DY32179" s="185" t="s">
        <v>215</v>
      </c>
    </row>
    <row r="32180" spans="129:129" x14ac:dyDescent="0.2">
      <c r="DY32180" s="185" t="s">
        <v>215</v>
      </c>
    </row>
    <row r="32181" spans="129:129" x14ac:dyDescent="0.2">
      <c r="DY32181" s="185" t="s">
        <v>215</v>
      </c>
    </row>
    <row r="32182" spans="129:129" x14ac:dyDescent="0.2">
      <c r="DY32182" s="185" t="s">
        <v>215</v>
      </c>
    </row>
    <row r="32183" spans="129:129" x14ac:dyDescent="0.2">
      <c r="DY32183" s="185" t="s">
        <v>215</v>
      </c>
    </row>
    <row r="32184" spans="129:129" x14ac:dyDescent="0.2">
      <c r="DY32184" s="185" t="s">
        <v>215</v>
      </c>
    </row>
    <row r="32185" spans="129:129" x14ac:dyDescent="0.2">
      <c r="DY32185" s="185" t="s">
        <v>215</v>
      </c>
    </row>
    <row r="32186" spans="129:129" x14ac:dyDescent="0.2">
      <c r="DY32186" s="185" t="s">
        <v>215</v>
      </c>
    </row>
    <row r="32187" spans="129:129" x14ac:dyDescent="0.2">
      <c r="DY32187" s="185" t="s">
        <v>215</v>
      </c>
    </row>
    <row r="32188" spans="129:129" x14ac:dyDescent="0.2">
      <c r="DY32188" s="185" t="s">
        <v>215</v>
      </c>
    </row>
    <row r="32189" spans="129:129" x14ac:dyDescent="0.2">
      <c r="DY32189" s="185" t="s">
        <v>215</v>
      </c>
    </row>
    <row r="32190" spans="129:129" x14ac:dyDescent="0.2">
      <c r="DY32190" s="185" t="s">
        <v>215</v>
      </c>
    </row>
    <row r="32191" spans="129:129" x14ac:dyDescent="0.2">
      <c r="DY32191" s="185" t="s">
        <v>215</v>
      </c>
    </row>
    <row r="32192" spans="129:129" x14ac:dyDescent="0.2">
      <c r="DY32192" s="185" t="s">
        <v>215</v>
      </c>
    </row>
    <row r="32193" spans="129:129" x14ac:dyDescent="0.2">
      <c r="DY32193" s="185" t="s">
        <v>215</v>
      </c>
    </row>
    <row r="32194" spans="129:129" x14ac:dyDescent="0.2">
      <c r="DY32194" s="185" t="s">
        <v>215</v>
      </c>
    </row>
    <row r="32195" spans="129:129" x14ac:dyDescent="0.2">
      <c r="DY32195" s="185" t="s">
        <v>215</v>
      </c>
    </row>
    <row r="32196" spans="129:129" x14ac:dyDescent="0.2">
      <c r="DY32196" s="185" t="s">
        <v>215</v>
      </c>
    </row>
    <row r="32197" spans="129:129" x14ac:dyDescent="0.2">
      <c r="DY32197" s="185" t="s">
        <v>215</v>
      </c>
    </row>
    <row r="32198" spans="129:129" x14ac:dyDescent="0.2">
      <c r="DY32198" s="185" t="s">
        <v>215</v>
      </c>
    </row>
    <row r="32199" spans="129:129" x14ac:dyDescent="0.2">
      <c r="DY32199" s="185" t="s">
        <v>215</v>
      </c>
    </row>
    <row r="32200" spans="129:129" x14ac:dyDescent="0.2">
      <c r="DY32200" s="185" t="s">
        <v>215</v>
      </c>
    </row>
    <row r="32201" spans="129:129" x14ac:dyDescent="0.2">
      <c r="DY32201" s="185" t="s">
        <v>215</v>
      </c>
    </row>
    <row r="32202" spans="129:129" x14ac:dyDescent="0.2">
      <c r="DY32202" s="185" t="s">
        <v>215</v>
      </c>
    </row>
    <row r="32203" spans="129:129" x14ac:dyDescent="0.2">
      <c r="DY32203" s="185" t="s">
        <v>215</v>
      </c>
    </row>
    <row r="32204" spans="129:129" x14ac:dyDescent="0.2">
      <c r="DY32204" s="185" t="s">
        <v>215</v>
      </c>
    </row>
    <row r="32205" spans="129:129" x14ac:dyDescent="0.2">
      <c r="DY32205" s="185" t="s">
        <v>215</v>
      </c>
    </row>
    <row r="32206" spans="129:129" x14ac:dyDescent="0.2">
      <c r="DY32206" s="185" t="s">
        <v>215</v>
      </c>
    </row>
    <row r="32207" spans="129:129" x14ac:dyDescent="0.2">
      <c r="DY32207" s="185" t="s">
        <v>215</v>
      </c>
    </row>
    <row r="32208" spans="129:129" x14ac:dyDescent="0.2">
      <c r="DY32208" s="185" t="s">
        <v>215</v>
      </c>
    </row>
    <row r="32209" spans="129:129" x14ac:dyDescent="0.2">
      <c r="DY32209" s="185" t="s">
        <v>215</v>
      </c>
    </row>
    <row r="32210" spans="129:129" x14ac:dyDescent="0.2">
      <c r="DY32210" s="185" t="s">
        <v>215</v>
      </c>
    </row>
    <row r="32211" spans="129:129" x14ac:dyDescent="0.2">
      <c r="DY32211" s="185" t="s">
        <v>215</v>
      </c>
    </row>
    <row r="32212" spans="129:129" x14ac:dyDescent="0.2">
      <c r="DY32212" s="185" t="s">
        <v>215</v>
      </c>
    </row>
    <row r="32213" spans="129:129" x14ac:dyDescent="0.2">
      <c r="DY32213" s="185" t="s">
        <v>215</v>
      </c>
    </row>
    <row r="32214" spans="129:129" x14ac:dyDescent="0.2">
      <c r="DY32214" s="185" t="s">
        <v>215</v>
      </c>
    </row>
    <row r="32215" spans="129:129" x14ac:dyDescent="0.2">
      <c r="DY32215" s="185" t="s">
        <v>215</v>
      </c>
    </row>
    <row r="32216" spans="129:129" x14ac:dyDescent="0.2">
      <c r="DY32216" s="185" t="s">
        <v>215</v>
      </c>
    </row>
    <row r="32217" spans="129:129" x14ac:dyDescent="0.2">
      <c r="DY32217" s="185" t="s">
        <v>215</v>
      </c>
    </row>
    <row r="32218" spans="129:129" x14ac:dyDescent="0.2">
      <c r="DY32218" s="185" t="s">
        <v>215</v>
      </c>
    </row>
    <row r="32219" spans="129:129" x14ac:dyDescent="0.2">
      <c r="DY32219" s="185" t="s">
        <v>215</v>
      </c>
    </row>
    <row r="32220" spans="129:129" x14ac:dyDescent="0.2">
      <c r="DY32220" s="185" t="s">
        <v>215</v>
      </c>
    </row>
    <row r="32221" spans="129:129" x14ac:dyDescent="0.2">
      <c r="DY32221" s="185" t="s">
        <v>215</v>
      </c>
    </row>
    <row r="32222" spans="129:129" x14ac:dyDescent="0.2">
      <c r="DY32222" s="185" t="s">
        <v>215</v>
      </c>
    </row>
    <row r="32223" spans="129:129" x14ac:dyDescent="0.2">
      <c r="DY32223" s="185" t="s">
        <v>215</v>
      </c>
    </row>
    <row r="32224" spans="129:129" x14ac:dyDescent="0.2">
      <c r="DY32224" s="185" t="s">
        <v>215</v>
      </c>
    </row>
    <row r="32225" spans="129:129" x14ac:dyDescent="0.2">
      <c r="DY32225" s="185" t="s">
        <v>215</v>
      </c>
    </row>
    <row r="32226" spans="129:129" x14ac:dyDescent="0.2">
      <c r="DY32226" s="185" t="s">
        <v>215</v>
      </c>
    </row>
    <row r="32227" spans="129:129" x14ac:dyDescent="0.2">
      <c r="DY32227" s="185" t="s">
        <v>215</v>
      </c>
    </row>
    <row r="32228" spans="129:129" x14ac:dyDescent="0.2">
      <c r="DY32228" s="185" t="s">
        <v>215</v>
      </c>
    </row>
    <row r="32229" spans="129:129" x14ac:dyDescent="0.2">
      <c r="DY32229" s="185" t="s">
        <v>215</v>
      </c>
    </row>
    <row r="32230" spans="129:129" x14ac:dyDescent="0.2">
      <c r="DY32230" s="185" t="s">
        <v>215</v>
      </c>
    </row>
    <row r="32231" spans="129:129" x14ac:dyDescent="0.2">
      <c r="DY32231" s="185" t="s">
        <v>215</v>
      </c>
    </row>
    <row r="32232" spans="129:129" x14ac:dyDescent="0.2">
      <c r="DY32232" s="185" t="s">
        <v>215</v>
      </c>
    </row>
    <row r="32233" spans="129:129" x14ac:dyDescent="0.2">
      <c r="DY32233" s="185" t="s">
        <v>215</v>
      </c>
    </row>
    <row r="32234" spans="129:129" x14ac:dyDescent="0.2">
      <c r="DY32234" s="185" t="s">
        <v>215</v>
      </c>
    </row>
    <row r="32235" spans="129:129" x14ac:dyDescent="0.2">
      <c r="DY32235" s="185" t="s">
        <v>215</v>
      </c>
    </row>
    <row r="32236" spans="129:129" x14ac:dyDescent="0.2">
      <c r="DY32236" s="185" t="s">
        <v>215</v>
      </c>
    </row>
    <row r="32237" spans="129:129" x14ac:dyDescent="0.2">
      <c r="DY32237" s="185" t="s">
        <v>215</v>
      </c>
    </row>
    <row r="32238" spans="129:129" x14ac:dyDescent="0.2">
      <c r="DY32238" s="185" t="s">
        <v>215</v>
      </c>
    </row>
    <row r="32239" spans="129:129" x14ac:dyDescent="0.2">
      <c r="DY32239" s="185" t="s">
        <v>215</v>
      </c>
    </row>
    <row r="32240" spans="129:129" x14ac:dyDescent="0.2">
      <c r="DY32240" s="185" t="s">
        <v>215</v>
      </c>
    </row>
    <row r="32241" spans="129:129" x14ac:dyDescent="0.2">
      <c r="DY32241" s="185" t="s">
        <v>215</v>
      </c>
    </row>
    <row r="32242" spans="129:129" x14ac:dyDescent="0.2">
      <c r="DY32242" s="185" t="s">
        <v>215</v>
      </c>
    </row>
    <row r="32243" spans="129:129" x14ac:dyDescent="0.2">
      <c r="DY32243" s="185" t="s">
        <v>215</v>
      </c>
    </row>
    <row r="32244" spans="129:129" x14ac:dyDescent="0.2">
      <c r="DY32244" s="185" t="s">
        <v>215</v>
      </c>
    </row>
    <row r="32245" spans="129:129" x14ac:dyDescent="0.2">
      <c r="DY32245" s="185" t="s">
        <v>215</v>
      </c>
    </row>
    <row r="32246" spans="129:129" x14ac:dyDescent="0.2">
      <c r="DY32246" s="185" t="s">
        <v>215</v>
      </c>
    </row>
    <row r="32247" spans="129:129" x14ac:dyDescent="0.2">
      <c r="DY32247" s="185" t="s">
        <v>215</v>
      </c>
    </row>
    <row r="32248" spans="129:129" x14ac:dyDescent="0.2">
      <c r="DY32248" s="185" t="s">
        <v>215</v>
      </c>
    </row>
    <row r="32249" spans="129:129" x14ac:dyDescent="0.2">
      <c r="DY32249" s="185" t="s">
        <v>215</v>
      </c>
    </row>
    <row r="32250" spans="129:129" x14ac:dyDescent="0.2">
      <c r="DY32250" s="185" t="s">
        <v>215</v>
      </c>
    </row>
    <row r="32251" spans="129:129" x14ac:dyDescent="0.2">
      <c r="DY32251" s="185" t="s">
        <v>215</v>
      </c>
    </row>
    <row r="32252" spans="129:129" x14ac:dyDescent="0.2">
      <c r="DY32252" s="185" t="s">
        <v>215</v>
      </c>
    </row>
    <row r="32253" spans="129:129" x14ac:dyDescent="0.2">
      <c r="DY32253" s="185" t="s">
        <v>215</v>
      </c>
    </row>
    <row r="32254" spans="129:129" x14ac:dyDescent="0.2">
      <c r="DY32254" s="185" t="s">
        <v>215</v>
      </c>
    </row>
    <row r="32255" spans="129:129" x14ac:dyDescent="0.2">
      <c r="DY32255" s="185" t="s">
        <v>215</v>
      </c>
    </row>
    <row r="32256" spans="129:129" x14ac:dyDescent="0.2">
      <c r="DY32256" s="185" t="s">
        <v>215</v>
      </c>
    </row>
    <row r="32257" spans="129:129" x14ac:dyDescent="0.2">
      <c r="DY32257" s="185" t="s">
        <v>215</v>
      </c>
    </row>
    <row r="32258" spans="129:129" x14ac:dyDescent="0.2">
      <c r="DY32258" s="185" t="s">
        <v>215</v>
      </c>
    </row>
    <row r="32259" spans="129:129" x14ac:dyDescent="0.2">
      <c r="DY32259" s="185" t="s">
        <v>215</v>
      </c>
    </row>
    <row r="32260" spans="129:129" x14ac:dyDescent="0.2">
      <c r="DY32260" s="185" t="s">
        <v>215</v>
      </c>
    </row>
    <row r="32261" spans="129:129" x14ac:dyDescent="0.2">
      <c r="DY32261" s="185" t="s">
        <v>215</v>
      </c>
    </row>
    <row r="32262" spans="129:129" x14ac:dyDescent="0.2">
      <c r="DY32262" s="185" t="s">
        <v>215</v>
      </c>
    </row>
    <row r="32263" spans="129:129" x14ac:dyDescent="0.2">
      <c r="DY32263" s="185" t="s">
        <v>215</v>
      </c>
    </row>
    <row r="32264" spans="129:129" x14ac:dyDescent="0.2">
      <c r="DY32264" s="185" t="s">
        <v>215</v>
      </c>
    </row>
    <row r="32265" spans="129:129" x14ac:dyDescent="0.2">
      <c r="DY32265" s="185" t="s">
        <v>215</v>
      </c>
    </row>
    <row r="32266" spans="129:129" x14ac:dyDescent="0.2">
      <c r="DY32266" s="185" t="s">
        <v>215</v>
      </c>
    </row>
    <row r="32267" spans="129:129" x14ac:dyDescent="0.2">
      <c r="DY32267" s="185" t="s">
        <v>215</v>
      </c>
    </row>
    <row r="32268" spans="129:129" x14ac:dyDescent="0.2">
      <c r="DY32268" s="185" t="s">
        <v>215</v>
      </c>
    </row>
    <row r="32269" spans="129:129" x14ac:dyDescent="0.2">
      <c r="DY32269" s="185" t="s">
        <v>215</v>
      </c>
    </row>
    <row r="32270" spans="129:129" x14ac:dyDescent="0.2">
      <c r="DY32270" s="185" t="s">
        <v>215</v>
      </c>
    </row>
    <row r="32271" spans="129:129" x14ac:dyDescent="0.2">
      <c r="DY32271" s="185" t="s">
        <v>215</v>
      </c>
    </row>
    <row r="32272" spans="129:129" x14ac:dyDescent="0.2">
      <c r="DY32272" s="185" t="s">
        <v>215</v>
      </c>
    </row>
    <row r="32273" spans="129:129" x14ac:dyDescent="0.2">
      <c r="DY32273" s="185" t="s">
        <v>215</v>
      </c>
    </row>
    <row r="32274" spans="129:129" x14ac:dyDescent="0.2">
      <c r="DY32274" s="185" t="s">
        <v>215</v>
      </c>
    </row>
    <row r="32275" spans="129:129" x14ac:dyDescent="0.2">
      <c r="DY32275" s="185" t="s">
        <v>215</v>
      </c>
    </row>
    <row r="32276" spans="129:129" x14ac:dyDescent="0.2">
      <c r="DY32276" s="185" t="s">
        <v>215</v>
      </c>
    </row>
    <row r="32277" spans="129:129" x14ac:dyDescent="0.2">
      <c r="DY32277" s="185" t="s">
        <v>215</v>
      </c>
    </row>
    <row r="32278" spans="129:129" x14ac:dyDescent="0.2">
      <c r="DY32278" s="185" t="s">
        <v>215</v>
      </c>
    </row>
    <row r="32279" spans="129:129" x14ac:dyDescent="0.2">
      <c r="DY32279" s="185" t="s">
        <v>215</v>
      </c>
    </row>
    <row r="32280" spans="129:129" x14ac:dyDescent="0.2">
      <c r="DY32280" s="185" t="s">
        <v>215</v>
      </c>
    </row>
    <row r="32281" spans="129:129" x14ac:dyDescent="0.2">
      <c r="DY32281" s="185" t="s">
        <v>215</v>
      </c>
    </row>
    <row r="32282" spans="129:129" x14ac:dyDescent="0.2">
      <c r="DY32282" s="185" t="s">
        <v>215</v>
      </c>
    </row>
    <row r="32283" spans="129:129" x14ac:dyDescent="0.2">
      <c r="DY32283" s="185" t="s">
        <v>215</v>
      </c>
    </row>
    <row r="32284" spans="129:129" x14ac:dyDescent="0.2">
      <c r="DY32284" s="185" t="s">
        <v>215</v>
      </c>
    </row>
    <row r="32285" spans="129:129" x14ac:dyDescent="0.2">
      <c r="DY32285" s="185" t="s">
        <v>215</v>
      </c>
    </row>
    <row r="32286" spans="129:129" x14ac:dyDescent="0.2">
      <c r="DY32286" s="185" t="s">
        <v>215</v>
      </c>
    </row>
    <row r="32287" spans="129:129" x14ac:dyDescent="0.2">
      <c r="DY32287" s="185" t="s">
        <v>215</v>
      </c>
    </row>
    <row r="32288" spans="129:129" x14ac:dyDescent="0.2">
      <c r="DY32288" s="185" t="s">
        <v>215</v>
      </c>
    </row>
    <row r="32289" spans="129:129" x14ac:dyDescent="0.2">
      <c r="DY32289" s="185" t="s">
        <v>215</v>
      </c>
    </row>
    <row r="32290" spans="129:129" x14ac:dyDescent="0.2">
      <c r="DY32290" s="185" t="s">
        <v>215</v>
      </c>
    </row>
    <row r="32291" spans="129:129" x14ac:dyDescent="0.2">
      <c r="DY32291" s="185" t="s">
        <v>215</v>
      </c>
    </row>
    <row r="32292" spans="129:129" x14ac:dyDescent="0.2">
      <c r="DY32292" s="185" t="s">
        <v>215</v>
      </c>
    </row>
    <row r="32293" spans="129:129" x14ac:dyDescent="0.2">
      <c r="DY32293" s="185" t="s">
        <v>215</v>
      </c>
    </row>
    <row r="32294" spans="129:129" x14ac:dyDescent="0.2">
      <c r="DY32294" s="185" t="s">
        <v>215</v>
      </c>
    </row>
    <row r="32295" spans="129:129" x14ac:dyDescent="0.2">
      <c r="DY32295" s="185" t="s">
        <v>215</v>
      </c>
    </row>
    <row r="32296" spans="129:129" x14ac:dyDescent="0.2">
      <c r="DY32296" s="185" t="s">
        <v>215</v>
      </c>
    </row>
    <row r="32297" spans="129:129" x14ac:dyDescent="0.2">
      <c r="DY32297" s="185" t="s">
        <v>215</v>
      </c>
    </row>
    <row r="32298" spans="129:129" x14ac:dyDescent="0.2">
      <c r="DY32298" s="185" t="s">
        <v>215</v>
      </c>
    </row>
    <row r="32299" spans="129:129" x14ac:dyDescent="0.2">
      <c r="DY32299" s="185" t="s">
        <v>215</v>
      </c>
    </row>
    <row r="32300" spans="129:129" x14ac:dyDescent="0.2">
      <c r="DY32300" s="185" t="s">
        <v>215</v>
      </c>
    </row>
    <row r="32301" spans="129:129" x14ac:dyDescent="0.2">
      <c r="DY32301" s="185" t="s">
        <v>215</v>
      </c>
    </row>
    <row r="32302" spans="129:129" x14ac:dyDescent="0.2">
      <c r="DY32302" s="185" t="s">
        <v>215</v>
      </c>
    </row>
    <row r="32303" spans="129:129" x14ac:dyDescent="0.2">
      <c r="DY32303" s="185" t="s">
        <v>215</v>
      </c>
    </row>
    <row r="32304" spans="129:129" x14ac:dyDescent="0.2">
      <c r="DY32304" s="185" t="s">
        <v>215</v>
      </c>
    </row>
    <row r="32305" spans="129:129" x14ac:dyDescent="0.2">
      <c r="DY32305" s="185" t="s">
        <v>215</v>
      </c>
    </row>
    <row r="32306" spans="129:129" x14ac:dyDescent="0.2">
      <c r="DY32306" s="185" t="s">
        <v>215</v>
      </c>
    </row>
    <row r="32307" spans="129:129" x14ac:dyDescent="0.2">
      <c r="DY32307" s="185" t="s">
        <v>215</v>
      </c>
    </row>
    <row r="32308" spans="129:129" x14ac:dyDescent="0.2">
      <c r="DY32308" s="185" t="s">
        <v>215</v>
      </c>
    </row>
    <row r="32309" spans="129:129" x14ac:dyDescent="0.2">
      <c r="DY32309" s="185" t="s">
        <v>215</v>
      </c>
    </row>
    <row r="32310" spans="129:129" x14ac:dyDescent="0.2">
      <c r="DY32310" s="185" t="s">
        <v>215</v>
      </c>
    </row>
    <row r="32311" spans="129:129" x14ac:dyDescent="0.2">
      <c r="DY32311" s="185" t="s">
        <v>215</v>
      </c>
    </row>
    <row r="32312" spans="129:129" x14ac:dyDescent="0.2">
      <c r="DY32312" s="185" t="s">
        <v>215</v>
      </c>
    </row>
    <row r="32313" spans="129:129" x14ac:dyDescent="0.2">
      <c r="DY32313" s="185" t="s">
        <v>215</v>
      </c>
    </row>
    <row r="32314" spans="129:129" x14ac:dyDescent="0.2">
      <c r="DY32314" s="185" t="s">
        <v>215</v>
      </c>
    </row>
    <row r="32315" spans="129:129" x14ac:dyDescent="0.2">
      <c r="DY32315" s="185" t="s">
        <v>215</v>
      </c>
    </row>
    <row r="32316" spans="129:129" x14ac:dyDescent="0.2">
      <c r="DY32316" s="185" t="s">
        <v>215</v>
      </c>
    </row>
    <row r="32317" spans="129:129" x14ac:dyDescent="0.2">
      <c r="DY32317" s="185" t="s">
        <v>215</v>
      </c>
    </row>
    <row r="32318" spans="129:129" x14ac:dyDescent="0.2">
      <c r="DY32318" s="185" t="s">
        <v>215</v>
      </c>
    </row>
    <row r="32319" spans="129:129" x14ac:dyDescent="0.2">
      <c r="DY32319" s="185" t="s">
        <v>215</v>
      </c>
    </row>
    <row r="32320" spans="129:129" x14ac:dyDescent="0.2">
      <c r="DY32320" s="185" t="s">
        <v>215</v>
      </c>
    </row>
    <row r="32321" spans="129:129" x14ac:dyDescent="0.2">
      <c r="DY32321" s="185" t="s">
        <v>215</v>
      </c>
    </row>
    <row r="32322" spans="129:129" x14ac:dyDescent="0.2">
      <c r="DY32322" s="185" t="s">
        <v>215</v>
      </c>
    </row>
    <row r="32323" spans="129:129" x14ac:dyDescent="0.2">
      <c r="DY32323" s="185" t="s">
        <v>215</v>
      </c>
    </row>
    <row r="32324" spans="129:129" x14ac:dyDescent="0.2">
      <c r="DY32324" s="185" t="s">
        <v>215</v>
      </c>
    </row>
    <row r="32325" spans="129:129" x14ac:dyDescent="0.2">
      <c r="DY32325" s="185" t="s">
        <v>215</v>
      </c>
    </row>
    <row r="32326" spans="129:129" x14ac:dyDescent="0.2">
      <c r="DY32326" s="185" t="s">
        <v>215</v>
      </c>
    </row>
    <row r="32327" spans="129:129" x14ac:dyDescent="0.2">
      <c r="DY32327" s="185" t="s">
        <v>215</v>
      </c>
    </row>
    <row r="32328" spans="129:129" x14ac:dyDescent="0.2">
      <c r="DY32328" s="185" t="s">
        <v>215</v>
      </c>
    </row>
    <row r="32329" spans="129:129" x14ac:dyDescent="0.2">
      <c r="DY32329" s="185" t="s">
        <v>215</v>
      </c>
    </row>
    <row r="32330" spans="129:129" x14ac:dyDescent="0.2">
      <c r="DY32330" s="185" t="s">
        <v>215</v>
      </c>
    </row>
    <row r="32331" spans="129:129" x14ac:dyDescent="0.2">
      <c r="DY32331" s="185" t="s">
        <v>215</v>
      </c>
    </row>
    <row r="32332" spans="129:129" x14ac:dyDescent="0.2">
      <c r="DY32332" s="185" t="s">
        <v>215</v>
      </c>
    </row>
    <row r="32333" spans="129:129" x14ac:dyDescent="0.2">
      <c r="DY32333" s="185" t="s">
        <v>215</v>
      </c>
    </row>
    <row r="32334" spans="129:129" x14ac:dyDescent="0.2">
      <c r="DY32334" s="185" t="s">
        <v>215</v>
      </c>
    </row>
    <row r="32335" spans="129:129" x14ac:dyDescent="0.2">
      <c r="DY32335" s="185" t="s">
        <v>215</v>
      </c>
    </row>
    <row r="32336" spans="129:129" x14ac:dyDescent="0.2">
      <c r="DY32336" s="185" t="s">
        <v>215</v>
      </c>
    </row>
    <row r="32337" spans="129:129" x14ac:dyDescent="0.2">
      <c r="DY32337" s="185" t="s">
        <v>215</v>
      </c>
    </row>
    <row r="32338" spans="129:129" x14ac:dyDescent="0.2">
      <c r="DY32338" s="185" t="s">
        <v>215</v>
      </c>
    </row>
    <row r="32339" spans="129:129" x14ac:dyDescent="0.2">
      <c r="DY32339" s="185" t="s">
        <v>215</v>
      </c>
    </row>
    <row r="32340" spans="129:129" x14ac:dyDescent="0.2">
      <c r="DY32340" s="185" t="s">
        <v>215</v>
      </c>
    </row>
    <row r="32341" spans="129:129" x14ac:dyDescent="0.2">
      <c r="DY32341" s="185" t="s">
        <v>215</v>
      </c>
    </row>
    <row r="32342" spans="129:129" x14ac:dyDescent="0.2">
      <c r="DY32342" s="185" t="s">
        <v>215</v>
      </c>
    </row>
    <row r="32343" spans="129:129" x14ac:dyDescent="0.2">
      <c r="DY32343" s="185" t="s">
        <v>215</v>
      </c>
    </row>
    <row r="32344" spans="129:129" x14ac:dyDescent="0.2">
      <c r="DY32344" s="185" t="s">
        <v>215</v>
      </c>
    </row>
    <row r="32345" spans="129:129" x14ac:dyDescent="0.2">
      <c r="DY32345" s="185" t="s">
        <v>215</v>
      </c>
    </row>
    <row r="32346" spans="129:129" x14ac:dyDescent="0.2">
      <c r="DY32346" s="185" t="s">
        <v>215</v>
      </c>
    </row>
    <row r="32347" spans="129:129" x14ac:dyDescent="0.2">
      <c r="DY32347" s="185" t="s">
        <v>215</v>
      </c>
    </row>
    <row r="32348" spans="129:129" x14ac:dyDescent="0.2">
      <c r="DY32348" s="185" t="s">
        <v>215</v>
      </c>
    </row>
    <row r="32349" spans="129:129" x14ac:dyDescent="0.2">
      <c r="DY32349" s="185" t="s">
        <v>215</v>
      </c>
    </row>
    <row r="32350" spans="129:129" x14ac:dyDescent="0.2">
      <c r="DY32350" s="185" t="s">
        <v>215</v>
      </c>
    </row>
    <row r="32351" spans="129:129" x14ac:dyDescent="0.2">
      <c r="DY32351" s="185" t="s">
        <v>215</v>
      </c>
    </row>
    <row r="32352" spans="129:129" x14ac:dyDescent="0.2">
      <c r="DY32352" s="185" t="s">
        <v>215</v>
      </c>
    </row>
    <row r="32353" spans="129:129" x14ac:dyDescent="0.2">
      <c r="DY32353" s="185" t="s">
        <v>215</v>
      </c>
    </row>
    <row r="32354" spans="129:129" x14ac:dyDescent="0.2">
      <c r="DY32354" s="185" t="s">
        <v>215</v>
      </c>
    </row>
    <row r="32355" spans="129:129" x14ac:dyDescent="0.2">
      <c r="DY32355" s="185" t="s">
        <v>215</v>
      </c>
    </row>
    <row r="32356" spans="129:129" x14ac:dyDescent="0.2">
      <c r="DY32356" s="185" t="s">
        <v>215</v>
      </c>
    </row>
    <row r="32357" spans="129:129" x14ac:dyDescent="0.2">
      <c r="DY32357" s="185" t="s">
        <v>215</v>
      </c>
    </row>
    <row r="32358" spans="129:129" x14ac:dyDescent="0.2">
      <c r="DY32358" s="185" t="s">
        <v>215</v>
      </c>
    </row>
    <row r="32359" spans="129:129" x14ac:dyDescent="0.2">
      <c r="DY32359" s="185" t="s">
        <v>215</v>
      </c>
    </row>
    <row r="32360" spans="129:129" x14ac:dyDescent="0.2">
      <c r="DY32360" s="185" t="s">
        <v>215</v>
      </c>
    </row>
    <row r="32361" spans="129:129" x14ac:dyDescent="0.2">
      <c r="DY32361" s="185" t="s">
        <v>215</v>
      </c>
    </row>
    <row r="32362" spans="129:129" x14ac:dyDescent="0.2">
      <c r="DY32362" s="185" t="s">
        <v>215</v>
      </c>
    </row>
    <row r="32363" spans="129:129" x14ac:dyDescent="0.2">
      <c r="DY32363" s="185" t="s">
        <v>215</v>
      </c>
    </row>
    <row r="32364" spans="129:129" x14ac:dyDescent="0.2">
      <c r="DY32364" s="185" t="s">
        <v>215</v>
      </c>
    </row>
    <row r="32365" spans="129:129" x14ac:dyDescent="0.2">
      <c r="DY32365" s="185" t="s">
        <v>215</v>
      </c>
    </row>
    <row r="32366" spans="129:129" x14ac:dyDescent="0.2">
      <c r="DY32366" s="185" t="s">
        <v>215</v>
      </c>
    </row>
    <row r="32367" spans="129:129" x14ac:dyDescent="0.2">
      <c r="DY32367" s="185" t="s">
        <v>215</v>
      </c>
    </row>
    <row r="32368" spans="129:129" x14ac:dyDescent="0.2">
      <c r="DY32368" s="185" t="s">
        <v>215</v>
      </c>
    </row>
    <row r="32369" spans="129:129" x14ac:dyDescent="0.2">
      <c r="DY32369" s="185" t="s">
        <v>215</v>
      </c>
    </row>
    <row r="32370" spans="129:129" x14ac:dyDescent="0.2">
      <c r="DY32370" s="185" t="s">
        <v>215</v>
      </c>
    </row>
    <row r="32371" spans="129:129" x14ac:dyDescent="0.2">
      <c r="DY32371" s="185" t="s">
        <v>215</v>
      </c>
    </row>
    <row r="32372" spans="129:129" x14ac:dyDescent="0.2">
      <c r="DY32372" s="185" t="s">
        <v>215</v>
      </c>
    </row>
    <row r="32373" spans="129:129" x14ac:dyDescent="0.2">
      <c r="DY32373" s="185" t="s">
        <v>215</v>
      </c>
    </row>
    <row r="32374" spans="129:129" x14ac:dyDescent="0.2">
      <c r="DY32374" s="185" t="s">
        <v>215</v>
      </c>
    </row>
    <row r="32375" spans="129:129" x14ac:dyDescent="0.2">
      <c r="DY32375" s="185" t="s">
        <v>215</v>
      </c>
    </row>
    <row r="32376" spans="129:129" x14ac:dyDescent="0.2">
      <c r="DY32376" s="185" t="s">
        <v>215</v>
      </c>
    </row>
    <row r="32377" spans="129:129" x14ac:dyDescent="0.2">
      <c r="DY32377" s="185" t="s">
        <v>215</v>
      </c>
    </row>
    <row r="32378" spans="129:129" x14ac:dyDescent="0.2">
      <c r="DY32378" s="185" t="s">
        <v>215</v>
      </c>
    </row>
    <row r="32379" spans="129:129" x14ac:dyDescent="0.2">
      <c r="DY32379" s="185" t="s">
        <v>215</v>
      </c>
    </row>
    <row r="32380" spans="129:129" x14ac:dyDescent="0.2">
      <c r="DY32380" s="185" t="s">
        <v>215</v>
      </c>
    </row>
    <row r="32381" spans="129:129" x14ac:dyDescent="0.2">
      <c r="DY32381" s="185" t="s">
        <v>215</v>
      </c>
    </row>
    <row r="32382" spans="129:129" x14ac:dyDescent="0.2">
      <c r="DY32382" s="185" t="s">
        <v>215</v>
      </c>
    </row>
    <row r="32383" spans="129:129" x14ac:dyDescent="0.2">
      <c r="DY32383" s="185" t="s">
        <v>215</v>
      </c>
    </row>
    <row r="32384" spans="129:129" x14ac:dyDescent="0.2">
      <c r="DY32384" s="185" t="s">
        <v>215</v>
      </c>
    </row>
    <row r="32385" spans="129:129" x14ac:dyDescent="0.2">
      <c r="DY32385" s="185" t="s">
        <v>215</v>
      </c>
    </row>
    <row r="32386" spans="129:129" x14ac:dyDescent="0.2">
      <c r="DY32386" s="185" t="s">
        <v>215</v>
      </c>
    </row>
    <row r="32387" spans="129:129" x14ac:dyDescent="0.2">
      <c r="DY32387" s="185" t="s">
        <v>215</v>
      </c>
    </row>
    <row r="32388" spans="129:129" x14ac:dyDescent="0.2">
      <c r="DY32388" s="185" t="s">
        <v>215</v>
      </c>
    </row>
    <row r="32389" spans="129:129" x14ac:dyDescent="0.2">
      <c r="DY32389" s="185" t="s">
        <v>215</v>
      </c>
    </row>
    <row r="32390" spans="129:129" x14ac:dyDescent="0.2">
      <c r="DY32390" s="185" t="s">
        <v>215</v>
      </c>
    </row>
    <row r="32391" spans="129:129" x14ac:dyDescent="0.2">
      <c r="DY32391" s="185" t="s">
        <v>215</v>
      </c>
    </row>
    <row r="32392" spans="129:129" x14ac:dyDescent="0.2">
      <c r="DY32392" s="185" t="s">
        <v>215</v>
      </c>
    </row>
    <row r="32393" spans="129:129" x14ac:dyDescent="0.2">
      <c r="DY32393" s="185" t="s">
        <v>215</v>
      </c>
    </row>
    <row r="32394" spans="129:129" x14ac:dyDescent="0.2">
      <c r="DY32394" s="185" t="s">
        <v>215</v>
      </c>
    </row>
    <row r="32395" spans="129:129" x14ac:dyDescent="0.2">
      <c r="DY32395" s="185" t="s">
        <v>215</v>
      </c>
    </row>
    <row r="32396" spans="129:129" x14ac:dyDescent="0.2">
      <c r="DY32396" s="185" t="s">
        <v>215</v>
      </c>
    </row>
    <row r="32397" spans="129:129" x14ac:dyDescent="0.2">
      <c r="DY32397" s="185" t="s">
        <v>215</v>
      </c>
    </row>
    <row r="32398" spans="129:129" x14ac:dyDescent="0.2">
      <c r="DY32398" s="185" t="s">
        <v>215</v>
      </c>
    </row>
    <row r="32399" spans="129:129" x14ac:dyDescent="0.2">
      <c r="DY32399" s="185" t="s">
        <v>215</v>
      </c>
    </row>
    <row r="32400" spans="129:129" x14ac:dyDescent="0.2">
      <c r="DY32400" s="185" t="s">
        <v>215</v>
      </c>
    </row>
    <row r="32401" spans="129:129" x14ac:dyDescent="0.2">
      <c r="DY32401" s="185" t="s">
        <v>215</v>
      </c>
    </row>
    <row r="32402" spans="129:129" x14ac:dyDescent="0.2">
      <c r="DY32402" s="185" t="s">
        <v>215</v>
      </c>
    </row>
    <row r="32403" spans="129:129" x14ac:dyDescent="0.2">
      <c r="DY32403" s="185" t="s">
        <v>215</v>
      </c>
    </row>
    <row r="32404" spans="129:129" x14ac:dyDescent="0.2">
      <c r="DY32404" s="185" t="s">
        <v>215</v>
      </c>
    </row>
    <row r="32405" spans="129:129" x14ac:dyDescent="0.2">
      <c r="DY32405" s="185" t="s">
        <v>215</v>
      </c>
    </row>
    <row r="32406" spans="129:129" x14ac:dyDescent="0.2">
      <c r="DY32406" s="185" t="s">
        <v>215</v>
      </c>
    </row>
    <row r="32407" spans="129:129" x14ac:dyDescent="0.2">
      <c r="DY32407" s="185" t="s">
        <v>215</v>
      </c>
    </row>
    <row r="32408" spans="129:129" x14ac:dyDescent="0.2">
      <c r="DY32408" s="185" t="s">
        <v>215</v>
      </c>
    </row>
    <row r="32409" spans="129:129" x14ac:dyDescent="0.2">
      <c r="DY32409" s="185" t="s">
        <v>215</v>
      </c>
    </row>
    <row r="32410" spans="129:129" x14ac:dyDescent="0.2">
      <c r="DY32410" s="185" t="s">
        <v>215</v>
      </c>
    </row>
    <row r="32411" spans="129:129" x14ac:dyDescent="0.2">
      <c r="DY32411" s="185" t="s">
        <v>215</v>
      </c>
    </row>
    <row r="32412" spans="129:129" x14ac:dyDescent="0.2">
      <c r="DY32412" s="185" t="s">
        <v>215</v>
      </c>
    </row>
    <row r="32413" spans="129:129" x14ac:dyDescent="0.2">
      <c r="DY32413" s="185" t="s">
        <v>215</v>
      </c>
    </row>
    <row r="32414" spans="129:129" x14ac:dyDescent="0.2">
      <c r="DY32414" s="185" t="s">
        <v>215</v>
      </c>
    </row>
    <row r="32415" spans="129:129" x14ac:dyDescent="0.2">
      <c r="DY32415" s="185" t="s">
        <v>215</v>
      </c>
    </row>
    <row r="32416" spans="129:129" x14ac:dyDescent="0.2">
      <c r="DY32416" s="185" t="s">
        <v>215</v>
      </c>
    </row>
    <row r="32417" spans="129:129" x14ac:dyDescent="0.2">
      <c r="DY32417" s="185" t="s">
        <v>215</v>
      </c>
    </row>
    <row r="32418" spans="129:129" x14ac:dyDescent="0.2">
      <c r="DY32418" s="185" t="s">
        <v>215</v>
      </c>
    </row>
    <row r="32419" spans="129:129" x14ac:dyDescent="0.2">
      <c r="DY32419" s="185" t="s">
        <v>215</v>
      </c>
    </row>
    <row r="32420" spans="129:129" x14ac:dyDescent="0.2">
      <c r="DY32420" s="185" t="s">
        <v>215</v>
      </c>
    </row>
    <row r="32421" spans="129:129" x14ac:dyDescent="0.2">
      <c r="DY32421" s="185" t="s">
        <v>215</v>
      </c>
    </row>
    <row r="32422" spans="129:129" x14ac:dyDescent="0.2">
      <c r="DY32422" s="185" t="s">
        <v>215</v>
      </c>
    </row>
    <row r="32423" spans="129:129" x14ac:dyDescent="0.2">
      <c r="DY32423" s="185" t="s">
        <v>215</v>
      </c>
    </row>
    <row r="32424" spans="129:129" x14ac:dyDescent="0.2">
      <c r="DY32424" s="185" t="s">
        <v>215</v>
      </c>
    </row>
    <row r="32425" spans="129:129" x14ac:dyDescent="0.2">
      <c r="DY32425" s="185" t="s">
        <v>215</v>
      </c>
    </row>
    <row r="32426" spans="129:129" x14ac:dyDescent="0.2">
      <c r="DY32426" s="185" t="s">
        <v>215</v>
      </c>
    </row>
    <row r="32427" spans="129:129" x14ac:dyDescent="0.2">
      <c r="DY32427" s="185" t="s">
        <v>215</v>
      </c>
    </row>
    <row r="32428" spans="129:129" x14ac:dyDescent="0.2">
      <c r="DY32428" s="185" t="s">
        <v>215</v>
      </c>
    </row>
    <row r="32429" spans="129:129" x14ac:dyDescent="0.2">
      <c r="DY32429" s="185" t="s">
        <v>215</v>
      </c>
    </row>
    <row r="32430" spans="129:129" x14ac:dyDescent="0.2">
      <c r="DY32430" s="185" t="s">
        <v>215</v>
      </c>
    </row>
    <row r="32431" spans="129:129" x14ac:dyDescent="0.2">
      <c r="DY32431" s="185" t="s">
        <v>215</v>
      </c>
    </row>
    <row r="32432" spans="129:129" x14ac:dyDescent="0.2">
      <c r="DY32432" s="185" t="s">
        <v>215</v>
      </c>
    </row>
    <row r="32433" spans="129:129" x14ac:dyDescent="0.2">
      <c r="DY32433" s="185" t="s">
        <v>215</v>
      </c>
    </row>
    <row r="32434" spans="129:129" x14ac:dyDescent="0.2">
      <c r="DY32434" s="185" t="s">
        <v>215</v>
      </c>
    </row>
    <row r="32435" spans="129:129" x14ac:dyDescent="0.2">
      <c r="DY32435" s="185" t="s">
        <v>215</v>
      </c>
    </row>
    <row r="32436" spans="129:129" x14ac:dyDescent="0.2">
      <c r="DY32436" s="185" t="s">
        <v>215</v>
      </c>
    </row>
    <row r="32437" spans="129:129" x14ac:dyDescent="0.2">
      <c r="DY32437" s="185" t="s">
        <v>215</v>
      </c>
    </row>
    <row r="32438" spans="129:129" x14ac:dyDescent="0.2">
      <c r="DY32438" s="185" t="s">
        <v>215</v>
      </c>
    </row>
    <row r="32439" spans="129:129" x14ac:dyDescent="0.2">
      <c r="DY32439" s="185" t="s">
        <v>215</v>
      </c>
    </row>
    <row r="32440" spans="129:129" x14ac:dyDescent="0.2">
      <c r="DY32440" s="185" t="s">
        <v>215</v>
      </c>
    </row>
    <row r="32441" spans="129:129" x14ac:dyDescent="0.2">
      <c r="DY32441" s="185" t="s">
        <v>215</v>
      </c>
    </row>
    <row r="32442" spans="129:129" x14ac:dyDescent="0.2">
      <c r="DY32442" s="185" t="s">
        <v>215</v>
      </c>
    </row>
    <row r="32443" spans="129:129" x14ac:dyDescent="0.2">
      <c r="DY32443" s="185" t="s">
        <v>215</v>
      </c>
    </row>
    <row r="32444" spans="129:129" x14ac:dyDescent="0.2">
      <c r="DY32444" s="185" t="s">
        <v>215</v>
      </c>
    </row>
    <row r="32445" spans="129:129" x14ac:dyDescent="0.2">
      <c r="DY32445" s="185" t="s">
        <v>215</v>
      </c>
    </row>
    <row r="32446" spans="129:129" x14ac:dyDescent="0.2">
      <c r="DY32446" s="185" t="s">
        <v>215</v>
      </c>
    </row>
    <row r="32447" spans="129:129" x14ac:dyDescent="0.2">
      <c r="DY32447" s="185" t="s">
        <v>215</v>
      </c>
    </row>
    <row r="32448" spans="129:129" x14ac:dyDescent="0.2">
      <c r="DY32448" s="185" t="s">
        <v>215</v>
      </c>
    </row>
    <row r="32449" spans="129:129" x14ac:dyDescent="0.2">
      <c r="DY32449" s="185" t="s">
        <v>215</v>
      </c>
    </row>
    <row r="32450" spans="129:129" x14ac:dyDescent="0.2">
      <c r="DY32450" s="185" t="s">
        <v>215</v>
      </c>
    </row>
    <row r="32451" spans="129:129" x14ac:dyDescent="0.2">
      <c r="DY32451" s="185" t="s">
        <v>215</v>
      </c>
    </row>
    <row r="32452" spans="129:129" x14ac:dyDescent="0.2">
      <c r="DY32452" s="185" t="s">
        <v>215</v>
      </c>
    </row>
    <row r="32453" spans="129:129" x14ac:dyDescent="0.2">
      <c r="DY32453" s="185" t="s">
        <v>215</v>
      </c>
    </row>
    <row r="32454" spans="129:129" x14ac:dyDescent="0.2">
      <c r="DY32454" s="185" t="s">
        <v>215</v>
      </c>
    </row>
    <row r="32455" spans="129:129" x14ac:dyDescent="0.2">
      <c r="DY32455" s="185" t="s">
        <v>215</v>
      </c>
    </row>
    <row r="32456" spans="129:129" x14ac:dyDescent="0.2">
      <c r="DY32456" s="185" t="s">
        <v>215</v>
      </c>
    </row>
    <row r="32457" spans="129:129" x14ac:dyDescent="0.2">
      <c r="DY32457" s="185" t="s">
        <v>215</v>
      </c>
    </row>
    <row r="32458" spans="129:129" x14ac:dyDescent="0.2">
      <c r="DY32458" s="185" t="s">
        <v>215</v>
      </c>
    </row>
    <row r="32459" spans="129:129" x14ac:dyDescent="0.2">
      <c r="DY32459" s="185" t="s">
        <v>215</v>
      </c>
    </row>
    <row r="32460" spans="129:129" x14ac:dyDescent="0.2">
      <c r="DY32460" s="185" t="s">
        <v>215</v>
      </c>
    </row>
    <row r="32461" spans="129:129" x14ac:dyDescent="0.2">
      <c r="DY32461" s="185" t="s">
        <v>215</v>
      </c>
    </row>
    <row r="32462" spans="129:129" x14ac:dyDescent="0.2">
      <c r="DY32462" s="185" t="s">
        <v>215</v>
      </c>
    </row>
    <row r="32463" spans="129:129" x14ac:dyDescent="0.2">
      <c r="DY32463" s="185" t="s">
        <v>215</v>
      </c>
    </row>
    <row r="32464" spans="129:129" x14ac:dyDescent="0.2">
      <c r="DY32464" s="185" t="s">
        <v>215</v>
      </c>
    </row>
    <row r="32465" spans="129:129" x14ac:dyDescent="0.2">
      <c r="DY32465" s="185" t="s">
        <v>215</v>
      </c>
    </row>
    <row r="32466" spans="129:129" x14ac:dyDescent="0.2">
      <c r="DY32466" s="185" t="s">
        <v>215</v>
      </c>
    </row>
    <row r="32467" spans="129:129" x14ac:dyDescent="0.2">
      <c r="DY32467" s="185" t="s">
        <v>215</v>
      </c>
    </row>
    <row r="32468" spans="129:129" x14ac:dyDescent="0.2">
      <c r="DY32468" s="185" t="s">
        <v>215</v>
      </c>
    </row>
    <row r="32469" spans="129:129" x14ac:dyDescent="0.2">
      <c r="DY32469" s="185" t="s">
        <v>215</v>
      </c>
    </row>
    <row r="32470" spans="129:129" x14ac:dyDescent="0.2">
      <c r="DY32470" s="185" t="s">
        <v>215</v>
      </c>
    </row>
    <row r="32471" spans="129:129" x14ac:dyDescent="0.2">
      <c r="DY32471" s="185" t="s">
        <v>215</v>
      </c>
    </row>
    <row r="32472" spans="129:129" x14ac:dyDescent="0.2">
      <c r="DY32472" s="185" t="s">
        <v>215</v>
      </c>
    </row>
    <row r="32473" spans="129:129" x14ac:dyDescent="0.2">
      <c r="DY32473" s="185" t="s">
        <v>215</v>
      </c>
    </row>
    <row r="32474" spans="129:129" x14ac:dyDescent="0.2">
      <c r="DY32474" s="185" t="s">
        <v>215</v>
      </c>
    </row>
    <row r="32475" spans="129:129" x14ac:dyDescent="0.2">
      <c r="DY32475" s="185" t="s">
        <v>215</v>
      </c>
    </row>
    <row r="32476" spans="129:129" x14ac:dyDescent="0.2">
      <c r="DY32476" s="185" t="s">
        <v>215</v>
      </c>
    </row>
    <row r="32477" spans="129:129" x14ac:dyDescent="0.2">
      <c r="DY32477" s="185" t="s">
        <v>215</v>
      </c>
    </row>
    <row r="32478" spans="129:129" x14ac:dyDescent="0.2">
      <c r="DY32478" s="185" t="s">
        <v>215</v>
      </c>
    </row>
    <row r="32479" spans="129:129" x14ac:dyDescent="0.2">
      <c r="DY32479" s="185" t="s">
        <v>215</v>
      </c>
    </row>
    <row r="32480" spans="129:129" x14ac:dyDescent="0.2">
      <c r="DY32480" s="185" t="s">
        <v>215</v>
      </c>
    </row>
    <row r="32481" spans="129:129" x14ac:dyDescent="0.2">
      <c r="DY32481" s="185" t="s">
        <v>215</v>
      </c>
    </row>
    <row r="32482" spans="129:129" x14ac:dyDescent="0.2">
      <c r="DY32482" s="185" t="s">
        <v>215</v>
      </c>
    </row>
    <row r="32483" spans="129:129" x14ac:dyDescent="0.2">
      <c r="DY32483" s="185" t="s">
        <v>215</v>
      </c>
    </row>
    <row r="32484" spans="129:129" x14ac:dyDescent="0.2">
      <c r="DY32484" s="185" t="s">
        <v>215</v>
      </c>
    </row>
    <row r="32485" spans="129:129" x14ac:dyDescent="0.2">
      <c r="DY32485" s="185" t="s">
        <v>215</v>
      </c>
    </row>
    <row r="32486" spans="129:129" x14ac:dyDescent="0.2">
      <c r="DY32486" s="185" t="s">
        <v>215</v>
      </c>
    </row>
    <row r="32487" spans="129:129" x14ac:dyDescent="0.2">
      <c r="DY32487" s="185" t="s">
        <v>215</v>
      </c>
    </row>
    <row r="32488" spans="129:129" x14ac:dyDescent="0.2">
      <c r="DY32488" s="185" t="s">
        <v>215</v>
      </c>
    </row>
    <row r="32489" spans="129:129" x14ac:dyDescent="0.2">
      <c r="DY32489" s="185" t="s">
        <v>215</v>
      </c>
    </row>
    <row r="32490" spans="129:129" x14ac:dyDescent="0.2">
      <c r="DY32490" s="185" t="s">
        <v>215</v>
      </c>
    </row>
    <row r="32491" spans="129:129" x14ac:dyDescent="0.2">
      <c r="DY32491" s="185" t="s">
        <v>215</v>
      </c>
    </row>
    <row r="32492" spans="129:129" x14ac:dyDescent="0.2">
      <c r="DY32492" s="185" t="s">
        <v>215</v>
      </c>
    </row>
    <row r="32493" spans="129:129" x14ac:dyDescent="0.2">
      <c r="DY32493" s="185" t="s">
        <v>215</v>
      </c>
    </row>
    <row r="32494" spans="129:129" x14ac:dyDescent="0.2">
      <c r="DY32494" s="185" t="s">
        <v>215</v>
      </c>
    </row>
    <row r="32495" spans="129:129" x14ac:dyDescent="0.2">
      <c r="DY32495" s="185" t="s">
        <v>215</v>
      </c>
    </row>
    <row r="32496" spans="129:129" x14ac:dyDescent="0.2">
      <c r="DY32496" s="185" t="s">
        <v>215</v>
      </c>
    </row>
    <row r="32497" spans="129:129" x14ac:dyDescent="0.2">
      <c r="DY32497" s="185" t="s">
        <v>215</v>
      </c>
    </row>
    <row r="32498" spans="129:129" x14ac:dyDescent="0.2">
      <c r="DY32498" s="185" t="s">
        <v>215</v>
      </c>
    </row>
    <row r="32499" spans="129:129" x14ac:dyDescent="0.2">
      <c r="DY32499" s="185" t="s">
        <v>215</v>
      </c>
    </row>
    <row r="32500" spans="129:129" x14ac:dyDescent="0.2">
      <c r="DY32500" s="185" t="s">
        <v>215</v>
      </c>
    </row>
    <row r="32501" spans="129:129" x14ac:dyDescent="0.2">
      <c r="DY32501" s="185" t="s">
        <v>215</v>
      </c>
    </row>
    <row r="32502" spans="129:129" x14ac:dyDescent="0.2">
      <c r="DY32502" s="185" t="s">
        <v>215</v>
      </c>
    </row>
    <row r="32503" spans="129:129" x14ac:dyDescent="0.2">
      <c r="DY32503" s="185" t="s">
        <v>215</v>
      </c>
    </row>
    <row r="32504" spans="129:129" x14ac:dyDescent="0.2">
      <c r="DY32504" s="185" t="s">
        <v>215</v>
      </c>
    </row>
    <row r="32505" spans="129:129" x14ac:dyDescent="0.2">
      <c r="DY32505" s="185" t="s">
        <v>215</v>
      </c>
    </row>
    <row r="32506" spans="129:129" x14ac:dyDescent="0.2">
      <c r="DY32506" s="185" t="s">
        <v>215</v>
      </c>
    </row>
    <row r="32507" spans="129:129" x14ac:dyDescent="0.2">
      <c r="DY32507" s="185" t="s">
        <v>215</v>
      </c>
    </row>
    <row r="32508" spans="129:129" x14ac:dyDescent="0.2">
      <c r="DY32508" s="185" t="s">
        <v>215</v>
      </c>
    </row>
    <row r="32509" spans="129:129" x14ac:dyDescent="0.2">
      <c r="DY32509" s="185" t="s">
        <v>215</v>
      </c>
    </row>
    <row r="32510" spans="129:129" x14ac:dyDescent="0.2">
      <c r="DY32510" s="185" t="s">
        <v>215</v>
      </c>
    </row>
    <row r="32511" spans="129:129" x14ac:dyDescent="0.2">
      <c r="DY32511" s="185" t="s">
        <v>215</v>
      </c>
    </row>
    <row r="32512" spans="129:129" x14ac:dyDescent="0.2">
      <c r="DY32512" s="185" t="s">
        <v>215</v>
      </c>
    </row>
    <row r="32513" spans="129:129" x14ac:dyDescent="0.2">
      <c r="DY32513" s="185" t="s">
        <v>215</v>
      </c>
    </row>
    <row r="32514" spans="129:129" x14ac:dyDescent="0.2">
      <c r="DY32514" s="185" t="s">
        <v>215</v>
      </c>
    </row>
    <row r="32515" spans="129:129" x14ac:dyDescent="0.2">
      <c r="DY32515" s="185" t="s">
        <v>215</v>
      </c>
    </row>
    <row r="32516" spans="129:129" x14ac:dyDescent="0.2">
      <c r="DY32516" s="185" t="s">
        <v>215</v>
      </c>
    </row>
    <row r="32517" spans="129:129" x14ac:dyDescent="0.2">
      <c r="DY32517" s="185" t="s">
        <v>215</v>
      </c>
    </row>
    <row r="32518" spans="129:129" x14ac:dyDescent="0.2">
      <c r="DY32518" s="185" t="s">
        <v>215</v>
      </c>
    </row>
    <row r="32519" spans="129:129" x14ac:dyDescent="0.2">
      <c r="DY32519" s="185" t="s">
        <v>215</v>
      </c>
    </row>
    <row r="32520" spans="129:129" x14ac:dyDescent="0.2">
      <c r="DY32520" s="185" t="s">
        <v>215</v>
      </c>
    </row>
    <row r="32521" spans="129:129" x14ac:dyDescent="0.2">
      <c r="DY32521" s="185" t="s">
        <v>215</v>
      </c>
    </row>
    <row r="32522" spans="129:129" x14ac:dyDescent="0.2">
      <c r="DY32522" s="185" t="s">
        <v>215</v>
      </c>
    </row>
    <row r="32523" spans="129:129" x14ac:dyDescent="0.2">
      <c r="DY32523" s="185" t="s">
        <v>215</v>
      </c>
    </row>
    <row r="32524" spans="129:129" x14ac:dyDescent="0.2">
      <c r="DY32524" s="185" t="s">
        <v>215</v>
      </c>
    </row>
    <row r="32525" spans="129:129" x14ac:dyDescent="0.2">
      <c r="DY32525" s="185" t="s">
        <v>215</v>
      </c>
    </row>
    <row r="32526" spans="129:129" x14ac:dyDescent="0.2">
      <c r="DY32526" s="185" t="s">
        <v>215</v>
      </c>
    </row>
    <row r="32527" spans="129:129" x14ac:dyDescent="0.2">
      <c r="DY32527" s="185" t="s">
        <v>215</v>
      </c>
    </row>
    <row r="32528" spans="129:129" x14ac:dyDescent="0.2">
      <c r="DY32528" s="185" t="s">
        <v>215</v>
      </c>
    </row>
    <row r="32529" spans="129:129" x14ac:dyDescent="0.2">
      <c r="DY32529" s="185" t="s">
        <v>215</v>
      </c>
    </row>
    <row r="32530" spans="129:129" x14ac:dyDescent="0.2">
      <c r="DY32530" s="185" t="s">
        <v>215</v>
      </c>
    </row>
    <row r="32531" spans="129:129" x14ac:dyDescent="0.2">
      <c r="DY32531" s="185" t="s">
        <v>215</v>
      </c>
    </row>
    <row r="32532" spans="129:129" x14ac:dyDescent="0.2">
      <c r="DY32532" s="185" t="s">
        <v>215</v>
      </c>
    </row>
    <row r="32533" spans="129:129" x14ac:dyDescent="0.2">
      <c r="DY32533" s="185" t="s">
        <v>215</v>
      </c>
    </row>
    <row r="32534" spans="129:129" x14ac:dyDescent="0.2">
      <c r="DY32534" s="185" t="s">
        <v>215</v>
      </c>
    </row>
    <row r="32535" spans="129:129" x14ac:dyDescent="0.2">
      <c r="DY32535" s="185" t="s">
        <v>215</v>
      </c>
    </row>
    <row r="32536" spans="129:129" x14ac:dyDescent="0.2">
      <c r="DY32536" s="185" t="s">
        <v>215</v>
      </c>
    </row>
    <row r="32537" spans="129:129" x14ac:dyDescent="0.2">
      <c r="DY32537" s="185" t="s">
        <v>215</v>
      </c>
    </row>
    <row r="32538" spans="129:129" x14ac:dyDescent="0.2">
      <c r="DY32538" s="185" t="s">
        <v>215</v>
      </c>
    </row>
    <row r="32539" spans="129:129" x14ac:dyDescent="0.2">
      <c r="DY32539" s="185" t="s">
        <v>215</v>
      </c>
    </row>
    <row r="32540" spans="129:129" x14ac:dyDescent="0.2">
      <c r="DY32540" s="185" t="s">
        <v>215</v>
      </c>
    </row>
    <row r="32541" spans="129:129" x14ac:dyDescent="0.2">
      <c r="DY32541" s="185" t="s">
        <v>215</v>
      </c>
    </row>
    <row r="32542" spans="129:129" x14ac:dyDescent="0.2">
      <c r="DY32542" s="185" t="s">
        <v>215</v>
      </c>
    </row>
    <row r="32543" spans="129:129" x14ac:dyDescent="0.2">
      <c r="DY32543" s="185" t="s">
        <v>215</v>
      </c>
    </row>
    <row r="32544" spans="129:129" x14ac:dyDescent="0.2">
      <c r="DY32544" s="185" t="s">
        <v>215</v>
      </c>
    </row>
    <row r="32545" spans="129:129" x14ac:dyDescent="0.2">
      <c r="DY32545" s="185" t="s">
        <v>215</v>
      </c>
    </row>
    <row r="32546" spans="129:129" x14ac:dyDescent="0.2">
      <c r="DY32546" s="185" t="s">
        <v>215</v>
      </c>
    </row>
    <row r="32547" spans="129:129" x14ac:dyDescent="0.2">
      <c r="DY32547" s="185" t="s">
        <v>215</v>
      </c>
    </row>
    <row r="32548" spans="129:129" x14ac:dyDescent="0.2">
      <c r="DY32548" s="185" t="s">
        <v>215</v>
      </c>
    </row>
    <row r="32549" spans="129:129" x14ac:dyDescent="0.2">
      <c r="DY32549" s="185" t="s">
        <v>215</v>
      </c>
    </row>
    <row r="32550" spans="129:129" x14ac:dyDescent="0.2">
      <c r="DY32550" s="185" t="s">
        <v>215</v>
      </c>
    </row>
    <row r="32551" spans="129:129" x14ac:dyDescent="0.2">
      <c r="DY32551" s="185" t="s">
        <v>215</v>
      </c>
    </row>
    <row r="32552" spans="129:129" x14ac:dyDescent="0.2">
      <c r="DY32552" s="185" t="s">
        <v>215</v>
      </c>
    </row>
    <row r="32553" spans="129:129" x14ac:dyDescent="0.2">
      <c r="DY32553" s="185" t="s">
        <v>215</v>
      </c>
    </row>
    <row r="32554" spans="129:129" x14ac:dyDescent="0.2">
      <c r="DY32554" s="185" t="s">
        <v>215</v>
      </c>
    </row>
    <row r="32555" spans="129:129" x14ac:dyDescent="0.2">
      <c r="DY32555" s="185" t="s">
        <v>215</v>
      </c>
    </row>
    <row r="32556" spans="129:129" x14ac:dyDescent="0.2">
      <c r="DY32556" s="185" t="s">
        <v>215</v>
      </c>
    </row>
    <row r="32557" spans="129:129" x14ac:dyDescent="0.2">
      <c r="DY32557" s="185" t="s">
        <v>215</v>
      </c>
    </row>
    <row r="32558" spans="129:129" x14ac:dyDescent="0.2">
      <c r="DY32558" s="185" t="s">
        <v>215</v>
      </c>
    </row>
    <row r="32559" spans="129:129" x14ac:dyDescent="0.2">
      <c r="DY32559" s="185" t="s">
        <v>215</v>
      </c>
    </row>
    <row r="32560" spans="129:129" x14ac:dyDescent="0.2">
      <c r="DY32560" s="185" t="s">
        <v>215</v>
      </c>
    </row>
    <row r="32561" spans="129:129" x14ac:dyDescent="0.2">
      <c r="DY32561" s="185" t="s">
        <v>215</v>
      </c>
    </row>
    <row r="32562" spans="129:129" x14ac:dyDescent="0.2">
      <c r="DY32562" s="185" t="s">
        <v>215</v>
      </c>
    </row>
    <row r="32563" spans="129:129" x14ac:dyDescent="0.2">
      <c r="DY32563" s="185" t="s">
        <v>215</v>
      </c>
    </row>
    <row r="32564" spans="129:129" x14ac:dyDescent="0.2">
      <c r="DY32564" s="185" t="s">
        <v>215</v>
      </c>
    </row>
    <row r="32565" spans="129:129" x14ac:dyDescent="0.2">
      <c r="DY32565" s="185" t="s">
        <v>215</v>
      </c>
    </row>
    <row r="32566" spans="129:129" x14ac:dyDescent="0.2">
      <c r="DY32566" s="185" t="s">
        <v>215</v>
      </c>
    </row>
    <row r="32567" spans="129:129" x14ac:dyDescent="0.2">
      <c r="DY32567" s="185" t="s">
        <v>215</v>
      </c>
    </row>
    <row r="32568" spans="129:129" x14ac:dyDescent="0.2">
      <c r="DY32568" s="185" t="s">
        <v>215</v>
      </c>
    </row>
    <row r="32569" spans="129:129" x14ac:dyDescent="0.2">
      <c r="DY32569" s="185" t="s">
        <v>215</v>
      </c>
    </row>
    <row r="32570" spans="129:129" x14ac:dyDescent="0.2">
      <c r="DY32570" s="185" t="s">
        <v>215</v>
      </c>
    </row>
    <row r="32571" spans="129:129" x14ac:dyDescent="0.2">
      <c r="DY32571" s="185" t="s">
        <v>215</v>
      </c>
    </row>
    <row r="32572" spans="129:129" x14ac:dyDescent="0.2">
      <c r="DY32572" s="185" t="s">
        <v>215</v>
      </c>
    </row>
    <row r="32573" spans="129:129" x14ac:dyDescent="0.2">
      <c r="DY32573" s="185" t="s">
        <v>215</v>
      </c>
    </row>
    <row r="32574" spans="129:129" x14ac:dyDescent="0.2">
      <c r="DY32574" s="185" t="s">
        <v>215</v>
      </c>
    </row>
    <row r="32575" spans="129:129" x14ac:dyDescent="0.2">
      <c r="DY32575" s="185" t="s">
        <v>215</v>
      </c>
    </row>
    <row r="32576" spans="129:129" x14ac:dyDescent="0.2">
      <c r="DY32576" s="185" t="s">
        <v>215</v>
      </c>
    </row>
    <row r="32577" spans="129:129" x14ac:dyDescent="0.2">
      <c r="DY32577" s="185" t="s">
        <v>215</v>
      </c>
    </row>
    <row r="32578" spans="129:129" x14ac:dyDescent="0.2">
      <c r="DY32578" s="185" t="s">
        <v>215</v>
      </c>
    </row>
    <row r="32579" spans="129:129" x14ac:dyDescent="0.2">
      <c r="DY32579" s="185" t="s">
        <v>215</v>
      </c>
    </row>
    <row r="32580" spans="129:129" x14ac:dyDescent="0.2">
      <c r="DY32580" s="185" t="s">
        <v>215</v>
      </c>
    </row>
    <row r="32581" spans="129:129" x14ac:dyDescent="0.2">
      <c r="DY32581" s="185" t="s">
        <v>215</v>
      </c>
    </row>
    <row r="32582" spans="129:129" x14ac:dyDescent="0.2">
      <c r="DY32582" s="185" t="s">
        <v>215</v>
      </c>
    </row>
    <row r="32583" spans="129:129" x14ac:dyDescent="0.2">
      <c r="DY32583" s="185" t="s">
        <v>215</v>
      </c>
    </row>
    <row r="32584" spans="129:129" x14ac:dyDescent="0.2">
      <c r="DY32584" s="185" t="s">
        <v>215</v>
      </c>
    </row>
    <row r="32585" spans="129:129" x14ac:dyDescent="0.2">
      <c r="DY32585" s="185" t="s">
        <v>215</v>
      </c>
    </row>
    <row r="32586" spans="129:129" x14ac:dyDescent="0.2">
      <c r="DY32586" s="185" t="s">
        <v>215</v>
      </c>
    </row>
    <row r="32587" spans="129:129" x14ac:dyDescent="0.2">
      <c r="DY32587" s="185" t="s">
        <v>215</v>
      </c>
    </row>
    <row r="32588" spans="129:129" x14ac:dyDescent="0.2">
      <c r="DY32588" s="185" t="s">
        <v>215</v>
      </c>
    </row>
    <row r="32589" spans="129:129" x14ac:dyDescent="0.2">
      <c r="DY32589" s="185" t="s">
        <v>215</v>
      </c>
    </row>
    <row r="32590" spans="129:129" x14ac:dyDescent="0.2">
      <c r="DY32590" s="185" t="s">
        <v>215</v>
      </c>
    </row>
    <row r="32591" spans="129:129" x14ac:dyDescent="0.2">
      <c r="DY32591" s="185" t="s">
        <v>215</v>
      </c>
    </row>
    <row r="32592" spans="129:129" x14ac:dyDescent="0.2">
      <c r="DY32592" s="185" t="s">
        <v>215</v>
      </c>
    </row>
    <row r="32593" spans="129:129" x14ac:dyDescent="0.2">
      <c r="DY32593" s="185" t="s">
        <v>215</v>
      </c>
    </row>
    <row r="32594" spans="129:129" x14ac:dyDescent="0.2">
      <c r="DY32594" s="185" t="s">
        <v>215</v>
      </c>
    </row>
    <row r="32595" spans="129:129" x14ac:dyDescent="0.2">
      <c r="DY32595" s="185" t="s">
        <v>215</v>
      </c>
    </row>
    <row r="32596" spans="129:129" x14ac:dyDescent="0.2">
      <c r="DY32596" s="185" t="s">
        <v>215</v>
      </c>
    </row>
    <row r="32597" spans="129:129" x14ac:dyDescent="0.2">
      <c r="DY32597" s="185" t="s">
        <v>215</v>
      </c>
    </row>
    <row r="32598" spans="129:129" x14ac:dyDescent="0.2">
      <c r="DY32598" s="185" t="s">
        <v>215</v>
      </c>
    </row>
    <row r="32599" spans="129:129" x14ac:dyDescent="0.2">
      <c r="DY32599" s="185" t="s">
        <v>215</v>
      </c>
    </row>
    <row r="32600" spans="129:129" x14ac:dyDescent="0.2">
      <c r="DY32600" s="185" t="s">
        <v>215</v>
      </c>
    </row>
    <row r="32601" spans="129:129" x14ac:dyDescent="0.2">
      <c r="DY32601" s="185" t="s">
        <v>215</v>
      </c>
    </row>
    <row r="32602" spans="129:129" x14ac:dyDescent="0.2">
      <c r="DY32602" s="185" t="s">
        <v>215</v>
      </c>
    </row>
    <row r="32603" spans="129:129" x14ac:dyDescent="0.2">
      <c r="DY32603" s="185" t="s">
        <v>215</v>
      </c>
    </row>
    <row r="32604" spans="129:129" x14ac:dyDescent="0.2">
      <c r="DY32604" s="185" t="s">
        <v>215</v>
      </c>
    </row>
    <row r="32605" spans="129:129" x14ac:dyDescent="0.2">
      <c r="DY32605" s="185" t="s">
        <v>215</v>
      </c>
    </row>
    <row r="32606" spans="129:129" x14ac:dyDescent="0.2">
      <c r="DY32606" s="185" t="s">
        <v>215</v>
      </c>
    </row>
    <row r="32607" spans="129:129" x14ac:dyDescent="0.2">
      <c r="DY32607" s="185" t="s">
        <v>215</v>
      </c>
    </row>
    <row r="32608" spans="129:129" x14ac:dyDescent="0.2">
      <c r="DY32608" s="185" t="s">
        <v>215</v>
      </c>
    </row>
    <row r="32609" spans="129:129" x14ac:dyDescent="0.2">
      <c r="DY32609" s="185" t="s">
        <v>215</v>
      </c>
    </row>
    <row r="32610" spans="129:129" x14ac:dyDescent="0.2">
      <c r="DY32610" s="185" t="s">
        <v>215</v>
      </c>
    </row>
    <row r="32611" spans="129:129" x14ac:dyDescent="0.2">
      <c r="DY32611" s="185" t="s">
        <v>215</v>
      </c>
    </row>
    <row r="32612" spans="129:129" x14ac:dyDescent="0.2">
      <c r="DY32612" s="185" t="s">
        <v>215</v>
      </c>
    </row>
    <row r="32613" spans="129:129" x14ac:dyDescent="0.2">
      <c r="DY32613" s="185" t="s">
        <v>215</v>
      </c>
    </row>
    <row r="32614" spans="129:129" x14ac:dyDescent="0.2">
      <c r="DY32614" s="185" t="s">
        <v>215</v>
      </c>
    </row>
    <row r="32615" spans="129:129" x14ac:dyDescent="0.2">
      <c r="DY32615" s="185" t="s">
        <v>215</v>
      </c>
    </row>
    <row r="32616" spans="129:129" x14ac:dyDescent="0.2">
      <c r="DY32616" s="185" t="s">
        <v>215</v>
      </c>
    </row>
    <row r="32617" spans="129:129" x14ac:dyDescent="0.2">
      <c r="DY32617" s="185" t="s">
        <v>215</v>
      </c>
    </row>
    <row r="32618" spans="129:129" x14ac:dyDescent="0.2">
      <c r="DY32618" s="185" t="s">
        <v>215</v>
      </c>
    </row>
    <row r="32619" spans="129:129" x14ac:dyDescent="0.2">
      <c r="DY32619" s="185" t="s">
        <v>215</v>
      </c>
    </row>
    <row r="32620" spans="129:129" x14ac:dyDescent="0.2">
      <c r="DY32620" s="185" t="s">
        <v>215</v>
      </c>
    </row>
    <row r="32621" spans="129:129" x14ac:dyDescent="0.2">
      <c r="DY32621" s="185" t="s">
        <v>215</v>
      </c>
    </row>
    <row r="32622" spans="129:129" x14ac:dyDescent="0.2">
      <c r="DY32622" s="185" t="s">
        <v>215</v>
      </c>
    </row>
    <row r="32623" spans="129:129" x14ac:dyDescent="0.2">
      <c r="DY32623" s="185" t="s">
        <v>215</v>
      </c>
    </row>
    <row r="32624" spans="129:129" x14ac:dyDescent="0.2">
      <c r="DY32624" s="185" t="s">
        <v>215</v>
      </c>
    </row>
    <row r="32625" spans="129:129" x14ac:dyDescent="0.2">
      <c r="DY32625" s="185" t="s">
        <v>215</v>
      </c>
    </row>
    <row r="32626" spans="129:129" x14ac:dyDescent="0.2">
      <c r="DY32626" s="185" t="s">
        <v>215</v>
      </c>
    </row>
    <row r="32627" spans="129:129" x14ac:dyDescent="0.2">
      <c r="DY32627" s="185" t="s">
        <v>215</v>
      </c>
    </row>
    <row r="32628" spans="129:129" x14ac:dyDescent="0.2">
      <c r="DY32628" s="185" t="s">
        <v>215</v>
      </c>
    </row>
    <row r="32629" spans="129:129" x14ac:dyDescent="0.2">
      <c r="DY32629" s="185" t="s">
        <v>215</v>
      </c>
    </row>
    <row r="32630" spans="129:129" x14ac:dyDescent="0.2">
      <c r="DY32630" s="185" t="s">
        <v>215</v>
      </c>
    </row>
    <row r="32631" spans="129:129" x14ac:dyDescent="0.2">
      <c r="DY32631" s="185" t="s">
        <v>215</v>
      </c>
    </row>
    <row r="32632" spans="129:129" x14ac:dyDescent="0.2">
      <c r="DY32632" s="185" t="s">
        <v>215</v>
      </c>
    </row>
    <row r="32633" spans="129:129" x14ac:dyDescent="0.2">
      <c r="DY32633" s="185" t="s">
        <v>215</v>
      </c>
    </row>
    <row r="32634" spans="129:129" x14ac:dyDescent="0.2">
      <c r="DY32634" s="185" t="s">
        <v>215</v>
      </c>
    </row>
    <row r="32635" spans="129:129" x14ac:dyDescent="0.2">
      <c r="DY32635" s="185" t="s">
        <v>215</v>
      </c>
    </row>
    <row r="32636" spans="129:129" x14ac:dyDescent="0.2">
      <c r="DY32636" s="185" t="s">
        <v>215</v>
      </c>
    </row>
    <row r="32637" spans="129:129" x14ac:dyDescent="0.2">
      <c r="DY32637" s="185" t="s">
        <v>215</v>
      </c>
    </row>
    <row r="32638" spans="129:129" x14ac:dyDescent="0.2">
      <c r="DY32638" s="185" t="s">
        <v>215</v>
      </c>
    </row>
    <row r="32639" spans="129:129" x14ac:dyDescent="0.2">
      <c r="DY32639" s="185" t="s">
        <v>215</v>
      </c>
    </row>
    <row r="32640" spans="129:129" x14ac:dyDescent="0.2">
      <c r="DY32640" s="185" t="s">
        <v>215</v>
      </c>
    </row>
    <row r="32641" spans="129:129" x14ac:dyDescent="0.2">
      <c r="DY32641" s="185" t="s">
        <v>215</v>
      </c>
    </row>
    <row r="32642" spans="129:129" x14ac:dyDescent="0.2">
      <c r="DY32642" s="185" t="s">
        <v>215</v>
      </c>
    </row>
    <row r="32643" spans="129:129" x14ac:dyDescent="0.2">
      <c r="DY32643" s="185" t="s">
        <v>215</v>
      </c>
    </row>
    <row r="32644" spans="129:129" x14ac:dyDescent="0.2">
      <c r="DY32644" s="185" t="s">
        <v>215</v>
      </c>
    </row>
    <row r="32645" spans="129:129" x14ac:dyDescent="0.2">
      <c r="DY32645" s="185" t="s">
        <v>215</v>
      </c>
    </row>
    <row r="32646" spans="129:129" x14ac:dyDescent="0.2">
      <c r="DY32646" s="185" t="s">
        <v>215</v>
      </c>
    </row>
    <row r="32647" spans="129:129" x14ac:dyDescent="0.2">
      <c r="DY32647" s="185" t="s">
        <v>215</v>
      </c>
    </row>
    <row r="32648" spans="129:129" x14ac:dyDescent="0.2">
      <c r="DY32648" s="185" t="s">
        <v>215</v>
      </c>
    </row>
    <row r="32649" spans="129:129" x14ac:dyDescent="0.2">
      <c r="DY32649" s="185" t="s">
        <v>215</v>
      </c>
    </row>
    <row r="32650" spans="129:129" x14ac:dyDescent="0.2">
      <c r="DY32650" s="185" t="s">
        <v>215</v>
      </c>
    </row>
    <row r="32651" spans="129:129" x14ac:dyDescent="0.2">
      <c r="DY32651" s="185" t="s">
        <v>215</v>
      </c>
    </row>
    <row r="32652" spans="129:129" x14ac:dyDescent="0.2">
      <c r="DY32652" s="185" t="s">
        <v>215</v>
      </c>
    </row>
    <row r="32653" spans="129:129" x14ac:dyDescent="0.2">
      <c r="DY32653" s="185" t="s">
        <v>215</v>
      </c>
    </row>
    <row r="32654" spans="129:129" x14ac:dyDescent="0.2">
      <c r="DY32654" s="185" t="s">
        <v>215</v>
      </c>
    </row>
    <row r="32655" spans="129:129" x14ac:dyDescent="0.2">
      <c r="DY32655" s="185" t="s">
        <v>215</v>
      </c>
    </row>
    <row r="32656" spans="129:129" x14ac:dyDescent="0.2">
      <c r="DY32656" s="185" t="s">
        <v>215</v>
      </c>
    </row>
    <row r="32657" spans="129:129" x14ac:dyDescent="0.2">
      <c r="DY32657" s="185" t="s">
        <v>215</v>
      </c>
    </row>
    <row r="32658" spans="129:129" x14ac:dyDescent="0.2">
      <c r="DY32658" s="185" t="s">
        <v>215</v>
      </c>
    </row>
    <row r="32659" spans="129:129" x14ac:dyDescent="0.2">
      <c r="DY32659" s="185" t="s">
        <v>215</v>
      </c>
    </row>
    <row r="32660" spans="129:129" x14ac:dyDescent="0.2">
      <c r="DY32660" s="185" t="s">
        <v>215</v>
      </c>
    </row>
    <row r="32661" spans="129:129" x14ac:dyDescent="0.2">
      <c r="DY32661" s="185" t="s">
        <v>215</v>
      </c>
    </row>
    <row r="32662" spans="129:129" x14ac:dyDescent="0.2">
      <c r="DY32662" s="185" t="s">
        <v>215</v>
      </c>
    </row>
    <row r="32663" spans="129:129" x14ac:dyDescent="0.2">
      <c r="DY32663" s="185" t="s">
        <v>215</v>
      </c>
    </row>
    <row r="32664" spans="129:129" x14ac:dyDescent="0.2">
      <c r="DY32664" s="185" t="s">
        <v>215</v>
      </c>
    </row>
    <row r="32665" spans="129:129" x14ac:dyDescent="0.2">
      <c r="DY32665" s="185" t="s">
        <v>215</v>
      </c>
    </row>
    <row r="32666" spans="129:129" x14ac:dyDescent="0.2">
      <c r="DY32666" s="185" t="s">
        <v>215</v>
      </c>
    </row>
    <row r="32667" spans="129:129" x14ac:dyDescent="0.2">
      <c r="DY32667" s="185" t="s">
        <v>215</v>
      </c>
    </row>
    <row r="32668" spans="129:129" x14ac:dyDescent="0.2">
      <c r="DY32668" s="185" t="s">
        <v>215</v>
      </c>
    </row>
    <row r="32669" spans="129:129" x14ac:dyDescent="0.2">
      <c r="DY32669" s="185" t="s">
        <v>215</v>
      </c>
    </row>
    <row r="32670" spans="129:129" x14ac:dyDescent="0.2">
      <c r="DY32670" s="185" t="s">
        <v>215</v>
      </c>
    </row>
    <row r="32671" spans="129:129" x14ac:dyDescent="0.2">
      <c r="DY32671" s="185" t="s">
        <v>215</v>
      </c>
    </row>
    <row r="32672" spans="129:129" x14ac:dyDescent="0.2">
      <c r="DY32672" s="185" t="s">
        <v>215</v>
      </c>
    </row>
    <row r="32673" spans="129:129" x14ac:dyDescent="0.2">
      <c r="DY32673" s="185" t="s">
        <v>215</v>
      </c>
    </row>
    <row r="32674" spans="129:129" x14ac:dyDescent="0.2">
      <c r="DY32674" s="185" t="s">
        <v>215</v>
      </c>
    </row>
    <row r="32675" spans="129:129" x14ac:dyDescent="0.2">
      <c r="DY32675" s="185" t="s">
        <v>215</v>
      </c>
    </row>
    <row r="32676" spans="129:129" x14ac:dyDescent="0.2">
      <c r="DY32676" s="185" t="s">
        <v>215</v>
      </c>
    </row>
    <row r="32677" spans="129:129" x14ac:dyDescent="0.2">
      <c r="DY32677" s="185" t="s">
        <v>215</v>
      </c>
    </row>
    <row r="32678" spans="129:129" x14ac:dyDescent="0.2">
      <c r="DY32678" s="185" t="s">
        <v>215</v>
      </c>
    </row>
    <row r="32679" spans="129:129" x14ac:dyDescent="0.2">
      <c r="DY32679" s="185" t="s">
        <v>215</v>
      </c>
    </row>
    <row r="32680" spans="129:129" x14ac:dyDescent="0.2">
      <c r="DY32680" s="185" t="s">
        <v>215</v>
      </c>
    </row>
    <row r="32681" spans="129:129" x14ac:dyDescent="0.2">
      <c r="DY32681" s="185" t="s">
        <v>215</v>
      </c>
    </row>
    <row r="32682" spans="129:129" x14ac:dyDescent="0.2">
      <c r="DY32682" s="185" t="s">
        <v>215</v>
      </c>
    </row>
    <row r="32683" spans="129:129" x14ac:dyDescent="0.2">
      <c r="DY32683" s="185" t="s">
        <v>215</v>
      </c>
    </row>
    <row r="32684" spans="129:129" x14ac:dyDescent="0.2">
      <c r="DY32684" s="185" t="s">
        <v>215</v>
      </c>
    </row>
    <row r="32685" spans="129:129" x14ac:dyDescent="0.2">
      <c r="DY32685" s="185" t="s">
        <v>215</v>
      </c>
    </row>
    <row r="32686" spans="129:129" x14ac:dyDescent="0.2">
      <c r="DY32686" s="185" t="s">
        <v>215</v>
      </c>
    </row>
    <row r="32687" spans="129:129" x14ac:dyDescent="0.2">
      <c r="DY32687" s="185" t="s">
        <v>215</v>
      </c>
    </row>
    <row r="32688" spans="129:129" x14ac:dyDescent="0.2">
      <c r="DY32688" s="185" t="s">
        <v>215</v>
      </c>
    </row>
    <row r="32689" spans="129:129" x14ac:dyDescent="0.2">
      <c r="DY32689" s="185" t="s">
        <v>215</v>
      </c>
    </row>
    <row r="32690" spans="129:129" x14ac:dyDescent="0.2">
      <c r="DY32690" s="185" t="s">
        <v>215</v>
      </c>
    </row>
    <row r="32691" spans="129:129" x14ac:dyDescent="0.2">
      <c r="DY32691" s="185" t="s">
        <v>215</v>
      </c>
    </row>
    <row r="32692" spans="129:129" x14ac:dyDescent="0.2">
      <c r="DY32692" s="185" t="s">
        <v>215</v>
      </c>
    </row>
    <row r="32693" spans="129:129" x14ac:dyDescent="0.2">
      <c r="DY32693" s="185" t="s">
        <v>215</v>
      </c>
    </row>
    <row r="32694" spans="129:129" x14ac:dyDescent="0.2">
      <c r="DY32694" s="185" t="s">
        <v>215</v>
      </c>
    </row>
    <row r="32695" spans="129:129" x14ac:dyDescent="0.2">
      <c r="DY32695" s="185" t="s">
        <v>215</v>
      </c>
    </row>
    <row r="32696" spans="129:129" x14ac:dyDescent="0.2">
      <c r="DY32696" s="185" t="s">
        <v>215</v>
      </c>
    </row>
    <row r="32697" spans="129:129" x14ac:dyDescent="0.2">
      <c r="DY32697" s="185" t="s">
        <v>215</v>
      </c>
    </row>
    <row r="32698" spans="129:129" x14ac:dyDescent="0.2">
      <c r="DY32698" s="185" t="s">
        <v>215</v>
      </c>
    </row>
    <row r="32699" spans="129:129" x14ac:dyDescent="0.2">
      <c r="DY32699" s="185" t="s">
        <v>215</v>
      </c>
    </row>
    <row r="32700" spans="129:129" x14ac:dyDescent="0.2">
      <c r="DY32700" s="185" t="s">
        <v>215</v>
      </c>
    </row>
    <row r="32701" spans="129:129" x14ac:dyDescent="0.2">
      <c r="DY32701" s="185" t="s">
        <v>215</v>
      </c>
    </row>
    <row r="32702" spans="129:129" x14ac:dyDescent="0.2">
      <c r="DY32702" s="185" t="s">
        <v>215</v>
      </c>
    </row>
    <row r="32703" spans="129:129" x14ac:dyDescent="0.2">
      <c r="DY32703" s="185" t="s">
        <v>215</v>
      </c>
    </row>
    <row r="32704" spans="129:129" x14ac:dyDescent="0.2">
      <c r="DY32704" s="185" t="s">
        <v>215</v>
      </c>
    </row>
    <row r="32705" spans="129:129" x14ac:dyDescent="0.2">
      <c r="DY32705" s="185" t="s">
        <v>215</v>
      </c>
    </row>
    <row r="32706" spans="129:129" x14ac:dyDescent="0.2">
      <c r="DY32706" s="185" t="s">
        <v>215</v>
      </c>
    </row>
    <row r="32707" spans="129:129" x14ac:dyDescent="0.2">
      <c r="DY32707" s="185" t="s">
        <v>215</v>
      </c>
    </row>
    <row r="32708" spans="129:129" x14ac:dyDescent="0.2">
      <c r="DY32708" s="185" t="s">
        <v>215</v>
      </c>
    </row>
    <row r="32709" spans="129:129" x14ac:dyDescent="0.2">
      <c r="DY32709" s="185" t="s">
        <v>215</v>
      </c>
    </row>
    <row r="32710" spans="129:129" x14ac:dyDescent="0.2">
      <c r="DY32710" s="185" t="s">
        <v>215</v>
      </c>
    </row>
    <row r="32711" spans="129:129" x14ac:dyDescent="0.2">
      <c r="DY32711" s="185" t="s">
        <v>215</v>
      </c>
    </row>
    <row r="32712" spans="129:129" x14ac:dyDescent="0.2">
      <c r="DY32712" s="185" t="s">
        <v>215</v>
      </c>
    </row>
    <row r="32713" spans="129:129" x14ac:dyDescent="0.2">
      <c r="DY32713" s="185" t="s">
        <v>215</v>
      </c>
    </row>
    <row r="32714" spans="129:129" x14ac:dyDescent="0.2">
      <c r="DY32714" s="185" t="s">
        <v>215</v>
      </c>
    </row>
    <row r="32715" spans="129:129" x14ac:dyDescent="0.2">
      <c r="DY32715" s="185" t="s">
        <v>215</v>
      </c>
    </row>
    <row r="32716" spans="129:129" x14ac:dyDescent="0.2">
      <c r="DY32716" s="185" t="s">
        <v>215</v>
      </c>
    </row>
    <row r="32717" spans="129:129" x14ac:dyDescent="0.2">
      <c r="DY32717" s="185" t="s">
        <v>215</v>
      </c>
    </row>
    <row r="32718" spans="129:129" x14ac:dyDescent="0.2">
      <c r="DY32718" s="185" t="s">
        <v>215</v>
      </c>
    </row>
    <row r="32719" spans="129:129" x14ac:dyDescent="0.2">
      <c r="DY32719" s="185" t="s">
        <v>215</v>
      </c>
    </row>
    <row r="32720" spans="129:129" x14ac:dyDescent="0.2">
      <c r="DY32720" s="185" t="s">
        <v>215</v>
      </c>
    </row>
    <row r="32721" spans="129:129" x14ac:dyDescent="0.2">
      <c r="DY32721" s="185" t="s">
        <v>215</v>
      </c>
    </row>
    <row r="32722" spans="129:129" x14ac:dyDescent="0.2">
      <c r="DY32722" s="185" t="s">
        <v>215</v>
      </c>
    </row>
    <row r="32723" spans="129:129" x14ac:dyDescent="0.2">
      <c r="DY32723" s="185" t="s">
        <v>215</v>
      </c>
    </row>
    <row r="32724" spans="129:129" x14ac:dyDescent="0.2">
      <c r="DY32724" s="185" t="s">
        <v>215</v>
      </c>
    </row>
    <row r="32725" spans="129:129" x14ac:dyDescent="0.2">
      <c r="DY32725" s="185" t="s">
        <v>215</v>
      </c>
    </row>
    <row r="32726" spans="129:129" x14ac:dyDescent="0.2">
      <c r="DY32726" s="185" t="s">
        <v>215</v>
      </c>
    </row>
    <row r="32727" spans="129:129" x14ac:dyDescent="0.2">
      <c r="DY32727" s="185" t="s">
        <v>215</v>
      </c>
    </row>
    <row r="32728" spans="129:129" x14ac:dyDescent="0.2">
      <c r="DY32728" s="185" t="s">
        <v>215</v>
      </c>
    </row>
    <row r="32729" spans="129:129" x14ac:dyDescent="0.2">
      <c r="DY32729" s="185" t="s">
        <v>215</v>
      </c>
    </row>
    <row r="32730" spans="129:129" x14ac:dyDescent="0.2">
      <c r="DY32730" s="185" t="s">
        <v>215</v>
      </c>
    </row>
    <row r="32731" spans="129:129" x14ac:dyDescent="0.2">
      <c r="DY32731" s="185" t="s">
        <v>215</v>
      </c>
    </row>
    <row r="32732" spans="129:129" x14ac:dyDescent="0.2">
      <c r="DY32732" s="185" t="s">
        <v>215</v>
      </c>
    </row>
    <row r="32733" spans="129:129" x14ac:dyDescent="0.2">
      <c r="DY32733" s="185" t="s">
        <v>215</v>
      </c>
    </row>
    <row r="32734" spans="129:129" x14ac:dyDescent="0.2">
      <c r="DY32734" s="185" t="s">
        <v>215</v>
      </c>
    </row>
    <row r="32735" spans="129:129" x14ac:dyDescent="0.2">
      <c r="DY32735" s="185" t="s">
        <v>215</v>
      </c>
    </row>
    <row r="32736" spans="129:129" x14ac:dyDescent="0.2">
      <c r="DY32736" s="185" t="s">
        <v>215</v>
      </c>
    </row>
    <row r="32737" spans="129:129" x14ac:dyDescent="0.2">
      <c r="DY32737" s="185" t="s">
        <v>215</v>
      </c>
    </row>
    <row r="32738" spans="129:129" x14ac:dyDescent="0.2">
      <c r="DY32738" s="185" t="s">
        <v>215</v>
      </c>
    </row>
    <row r="32739" spans="129:129" x14ac:dyDescent="0.2">
      <c r="DY32739" s="185" t="s">
        <v>215</v>
      </c>
    </row>
    <row r="32740" spans="129:129" x14ac:dyDescent="0.2">
      <c r="DY32740" s="185" t="s">
        <v>215</v>
      </c>
    </row>
    <row r="32741" spans="129:129" x14ac:dyDescent="0.2">
      <c r="DY32741" s="185" t="s">
        <v>215</v>
      </c>
    </row>
    <row r="32742" spans="129:129" x14ac:dyDescent="0.2">
      <c r="DY32742" s="185" t="s">
        <v>215</v>
      </c>
    </row>
    <row r="32743" spans="129:129" x14ac:dyDescent="0.2">
      <c r="DY32743" s="185" t="s">
        <v>215</v>
      </c>
    </row>
    <row r="32744" spans="129:129" x14ac:dyDescent="0.2">
      <c r="DY32744" s="185" t="s">
        <v>215</v>
      </c>
    </row>
    <row r="32745" spans="129:129" x14ac:dyDescent="0.2">
      <c r="DY32745" s="185" t="s">
        <v>215</v>
      </c>
    </row>
    <row r="32746" spans="129:129" x14ac:dyDescent="0.2">
      <c r="DY32746" s="185" t="s">
        <v>215</v>
      </c>
    </row>
    <row r="32747" spans="129:129" x14ac:dyDescent="0.2">
      <c r="DY32747" s="185" t="s">
        <v>215</v>
      </c>
    </row>
    <row r="32748" spans="129:129" x14ac:dyDescent="0.2">
      <c r="DY32748" s="185" t="s">
        <v>215</v>
      </c>
    </row>
    <row r="32749" spans="129:129" x14ac:dyDescent="0.2">
      <c r="DY32749" s="185" t="s">
        <v>215</v>
      </c>
    </row>
    <row r="32750" spans="129:129" x14ac:dyDescent="0.2">
      <c r="DY32750" s="185" t="s">
        <v>215</v>
      </c>
    </row>
    <row r="32751" spans="129:129" x14ac:dyDescent="0.2">
      <c r="DY32751" s="185" t="s">
        <v>215</v>
      </c>
    </row>
    <row r="32752" spans="129:129" x14ac:dyDescent="0.2">
      <c r="DY32752" s="185" t="s">
        <v>215</v>
      </c>
    </row>
    <row r="32753" spans="129:129" x14ac:dyDescent="0.2">
      <c r="DY32753" s="185" t="s">
        <v>215</v>
      </c>
    </row>
    <row r="32754" spans="129:129" x14ac:dyDescent="0.2">
      <c r="DY32754" s="185" t="s">
        <v>215</v>
      </c>
    </row>
    <row r="32755" spans="129:129" x14ac:dyDescent="0.2">
      <c r="DY32755" s="185" t="s">
        <v>215</v>
      </c>
    </row>
    <row r="32756" spans="129:129" x14ac:dyDescent="0.2">
      <c r="DY32756" s="185" t="s">
        <v>215</v>
      </c>
    </row>
    <row r="32757" spans="129:129" x14ac:dyDescent="0.2">
      <c r="DY32757" s="185" t="s">
        <v>215</v>
      </c>
    </row>
    <row r="32758" spans="129:129" x14ac:dyDescent="0.2">
      <c r="DY32758" s="185" t="s">
        <v>215</v>
      </c>
    </row>
    <row r="32759" spans="129:129" x14ac:dyDescent="0.2">
      <c r="DY32759" s="185" t="s">
        <v>215</v>
      </c>
    </row>
    <row r="32760" spans="129:129" x14ac:dyDescent="0.2">
      <c r="DY32760" s="185" t="s">
        <v>215</v>
      </c>
    </row>
    <row r="32761" spans="129:129" x14ac:dyDescent="0.2">
      <c r="DY32761" s="185" t="s">
        <v>215</v>
      </c>
    </row>
    <row r="32762" spans="129:129" x14ac:dyDescent="0.2">
      <c r="DY32762" s="185" t="s">
        <v>215</v>
      </c>
    </row>
    <row r="32763" spans="129:129" x14ac:dyDescent="0.2">
      <c r="DY32763" s="185" t="s">
        <v>215</v>
      </c>
    </row>
    <row r="32764" spans="129:129" x14ac:dyDescent="0.2">
      <c r="DY32764" s="185" t="s">
        <v>215</v>
      </c>
    </row>
    <row r="32765" spans="129:129" x14ac:dyDescent="0.2">
      <c r="DY32765" s="185" t="s">
        <v>215</v>
      </c>
    </row>
    <row r="32766" spans="129:129" x14ac:dyDescent="0.2">
      <c r="DY32766" s="185" t="s">
        <v>215</v>
      </c>
    </row>
    <row r="32767" spans="129:129" x14ac:dyDescent="0.2">
      <c r="DY32767" s="185" t="s">
        <v>215</v>
      </c>
    </row>
    <row r="32768" spans="129:129" x14ac:dyDescent="0.2">
      <c r="DY32768" s="185" t="s">
        <v>215</v>
      </c>
    </row>
    <row r="32769" spans="129:129" x14ac:dyDescent="0.2">
      <c r="DY32769" s="185" t="s">
        <v>215</v>
      </c>
    </row>
    <row r="32770" spans="129:129" x14ac:dyDescent="0.2">
      <c r="DY32770" s="185" t="s">
        <v>215</v>
      </c>
    </row>
    <row r="32771" spans="129:129" x14ac:dyDescent="0.2">
      <c r="DY32771" s="185" t="s">
        <v>215</v>
      </c>
    </row>
    <row r="32772" spans="129:129" x14ac:dyDescent="0.2">
      <c r="DY32772" s="185" t="s">
        <v>215</v>
      </c>
    </row>
    <row r="32773" spans="129:129" x14ac:dyDescent="0.2">
      <c r="DY32773" s="185" t="s">
        <v>215</v>
      </c>
    </row>
    <row r="32774" spans="129:129" x14ac:dyDescent="0.2">
      <c r="DY32774" s="185" t="s">
        <v>215</v>
      </c>
    </row>
    <row r="32775" spans="129:129" x14ac:dyDescent="0.2">
      <c r="DY32775" s="185" t="s">
        <v>215</v>
      </c>
    </row>
    <row r="32776" spans="129:129" x14ac:dyDescent="0.2">
      <c r="DY32776" s="185" t="s">
        <v>215</v>
      </c>
    </row>
    <row r="32777" spans="129:129" x14ac:dyDescent="0.2">
      <c r="DY32777" s="185" t="s">
        <v>215</v>
      </c>
    </row>
    <row r="32778" spans="129:129" x14ac:dyDescent="0.2">
      <c r="DY32778" s="185" t="s">
        <v>215</v>
      </c>
    </row>
    <row r="32779" spans="129:129" x14ac:dyDescent="0.2">
      <c r="DY32779" s="185" t="s">
        <v>215</v>
      </c>
    </row>
    <row r="32780" spans="129:129" x14ac:dyDescent="0.2">
      <c r="DY32780" s="185" t="s">
        <v>215</v>
      </c>
    </row>
    <row r="32781" spans="129:129" x14ac:dyDescent="0.2">
      <c r="DY32781" s="185" t="s">
        <v>215</v>
      </c>
    </row>
    <row r="32782" spans="129:129" x14ac:dyDescent="0.2">
      <c r="DY32782" s="185" t="s">
        <v>215</v>
      </c>
    </row>
    <row r="32783" spans="129:129" x14ac:dyDescent="0.2">
      <c r="DY32783" s="185" t="s">
        <v>215</v>
      </c>
    </row>
    <row r="32784" spans="129:129" x14ac:dyDescent="0.2">
      <c r="DY32784" s="185" t="s">
        <v>215</v>
      </c>
    </row>
    <row r="32785" spans="129:129" x14ac:dyDescent="0.2">
      <c r="DY32785" s="185" t="s">
        <v>215</v>
      </c>
    </row>
    <row r="32786" spans="129:129" x14ac:dyDescent="0.2">
      <c r="DY32786" s="185" t="s">
        <v>215</v>
      </c>
    </row>
    <row r="32787" spans="129:129" x14ac:dyDescent="0.2">
      <c r="DY32787" s="185" t="s">
        <v>215</v>
      </c>
    </row>
    <row r="32788" spans="129:129" x14ac:dyDescent="0.2">
      <c r="DY32788" s="185" t="s">
        <v>215</v>
      </c>
    </row>
    <row r="32789" spans="129:129" x14ac:dyDescent="0.2">
      <c r="DY32789" s="185" t="s">
        <v>215</v>
      </c>
    </row>
    <row r="32790" spans="129:129" x14ac:dyDescent="0.2">
      <c r="DY32790" s="185" t="s">
        <v>215</v>
      </c>
    </row>
    <row r="32791" spans="129:129" x14ac:dyDescent="0.2">
      <c r="DY32791" s="185" t="s">
        <v>215</v>
      </c>
    </row>
    <row r="32792" spans="129:129" x14ac:dyDescent="0.2">
      <c r="DY32792" s="185" t="s">
        <v>215</v>
      </c>
    </row>
    <row r="32793" spans="129:129" x14ac:dyDescent="0.2">
      <c r="DY32793" s="185" t="s">
        <v>215</v>
      </c>
    </row>
    <row r="32794" spans="129:129" x14ac:dyDescent="0.2">
      <c r="DY32794" s="185" t="s">
        <v>215</v>
      </c>
    </row>
    <row r="32795" spans="129:129" x14ac:dyDescent="0.2">
      <c r="DY32795" s="185" t="s">
        <v>215</v>
      </c>
    </row>
    <row r="32796" spans="129:129" x14ac:dyDescent="0.2">
      <c r="DY32796" s="185" t="s">
        <v>215</v>
      </c>
    </row>
    <row r="32797" spans="129:129" x14ac:dyDescent="0.2">
      <c r="DY32797" s="185" t="s">
        <v>215</v>
      </c>
    </row>
    <row r="32798" spans="129:129" x14ac:dyDescent="0.2">
      <c r="DY32798" s="185" t="s">
        <v>215</v>
      </c>
    </row>
    <row r="32799" spans="129:129" x14ac:dyDescent="0.2">
      <c r="DY32799" s="185" t="s">
        <v>215</v>
      </c>
    </row>
    <row r="32800" spans="129:129" x14ac:dyDescent="0.2">
      <c r="DY32800" s="185" t="s">
        <v>215</v>
      </c>
    </row>
    <row r="32801" spans="129:129" x14ac:dyDescent="0.2">
      <c r="DY32801" s="185" t="s">
        <v>215</v>
      </c>
    </row>
    <row r="32802" spans="129:129" x14ac:dyDescent="0.2">
      <c r="DY32802" s="185" t="s">
        <v>215</v>
      </c>
    </row>
    <row r="32803" spans="129:129" x14ac:dyDescent="0.2">
      <c r="DY32803" s="185" t="s">
        <v>215</v>
      </c>
    </row>
    <row r="32804" spans="129:129" x14ac:dyDescent="0.2">
      <c r="DY32804" s="185" t="s">
        <v>215</v>
      </c>
    </row>
    <row r="32805" spans="129:129" x14ac:dyDescent="0.2">
      <c r="DY32805" s="185" t="s">
        <v>215</v>
      </c>
    </row>
    <row r="32806" spans="129:129" x14ac:dyDescent="0.2">
      <c r="DY32806" s="185" t="s">
        <v>215</v>
      </c>
    </row>
    <row r="32807" spans="129:129" x14ac:dyDescent="0.2">
      <c r="DY32807" s="185" t="s">
        <v>215</v>
      </c>
    </row>
    <row r="32808" spans="129:129" x14ac:dyDescent="0.2">
      <c r="DY32808" s="185" t="s">
        <v>215</v>
      </c>
    </row>
    <row r="32809" spans="129:129" x14ac:dyDescent="0.2">
      <c r="DY32809" s="185" t="s">
        <v>215</v>
      </c>
    </row>
    <row r="32810" spans="129:129" x14ac:dyDescent="0.2">
      <c r="DY32810" s="185" t="s">
        <v>215</v>
      </c>
    </row>
    <row r="32811" spans="129:129" x14ac:dyDescent="0.2">
      <c r="DY32811" s="185" t="s">
        <v>215</v>
      </c>
    </row>
    <row r="32812" spans="129:129" x14ac:dyDescent="0.2">
      <c r="DY32812" s="185" t="s">
        <v>215</v>
      </c>
    </row>
    <row r="32813" spans="129:129" x14ac:dyDescent="0.2">
      <c r="DY32813" s="185" t="s">
        <v>215</v>
      </c>
    </row>
    <row r="32814" spans="129:129" x14ac:dyDescent="0.2">
      <c r="DY32814" s="185" t="s">
        <v>215</v>
      </c>
    </row>
    <row r="32815" spans="129:129" x14ac:dyDescent="0.2">
      <c r="DY32815" s="185" t="s">
        <v>215</v>
      </c>
    </row>
    <row r="32816" spans="129:129" x14ac:dyDescent="0.2">
      <c r="DY32816" s="185" t="s">
        <v>215</v>
      </c>
    </row>
    <row r="32817" spans="129:129" x14ac:dyDescent="0.2">
      <c r="DY32817" s="185" t="s">
        <v>215</v>
      </c>
    </row>
    <row r="32818" spans="129:129" x14ac:dyDescent="0.2">
      <c r="DY32818" s="185" t="s">
        <v>215</v>
      </c>
    </row>
    <row r="32819" spans="129:129" x14ac:dyDescent="0.2">
      <c r="DY32819" s="185" t="s">
        <v>215</v>
      </c>
    </row>
    <row r="32820" spans="129:129" x14ac:dyDescent="0.2">
      <c r="DY32820" s="185" t="s">
        <v>215</v>
      </c>
    </row>
    <row r="32821" spans="129:129" x14ac:dyDescent="0.2">
      <c r="DY32821" s="185" t="s">
        <v>215</v>
      </c>
    </row>
    <row r="32822" spans="129:129" x14ac:dyDescent="0.2">
      <c r="DY32822" s="185" t="s">
        <v>215</v>
      </c>
    </row>
    <row r="32823" spans="129:129" x14ac:dyDescent="0.2">
      <c r="DY32823" s="185" t="s">
        <v>215</v>
      </c>
    </row>
    <row r="32824" spans="129:129" x14ac:dyDescent="0.2">
      <c r="DY32824" s="185" t="s">
        <v>215</v>
      </c>
    </row>
    <row r="32825" spans="129:129" x14ac:dyDescent="0.2">
      <c r="DY32825" s="185" t="s">
        <v>215</v>
      </c>
    </row>
    <row r="32826" spans="129:129" x14ac:dyDescent="0.2">
      <c r="DY32826" s="185" t="s">
        <v>215</v>
      </c>
    </row>
    <row r="32827" spans="129:129" x14ac:dyDescent="0.2">
      <c r="DY32827" s="185" t="s">
        <v>215</v>
      </c>
    </row>
    <row r="32828" spans="129:129" x14ac:dyDescent="0.2">
      <c r="DY32828" s="185" t="s">
        <v>215</v>
      </c>
    </row>
    <row r="32829" spans="129:129" x14ac:dyDescent="0.2">
      <c r="DY32829" s="185" t="s">
        <v>215</v>
      </c>
    </row>
    <row r="32830" spans="129:129" x14ac:dyDescent="0.2">
      <c r="DY32830" s="185" t="s">
        <v>215</v>
      </c>
    </row>
    <row r="32831" spans="129:129" x14ac:dyDescent="0.2">
      <c r="DY32831" s="185" t="s">
        <v>215</v>
      </c>
    </row>
    <row r="32832" spans="129:129" x14ac:dyDescent="0.2">
      <c r="DY32832" s="185" t="s">
        <v>215</v>
      </c>
    </row>
    <row r="32833" spans="129:129" x14ac:dyDescent="0.2">
      <c r="DY32833" s="185" t="s">
        <v>215</v>
      </c>
    </row>
    <row r="32834" spans="129:129" x14ac:dyDescent="0.2">
      <c r="DY32834" s="185" t="s">
        <v>215</v>
      </c>
    </row>
    <row r="32835" spans="129:129" x14ac:dyDescent="0.2">
      <c r="DY32835" s="185" t="s">
        <v>215</v>
      </c>
    </row>
    <row r="32836" spans="129:129" x14ac:dyDescent="0.2">
      <c r="DY32836" s="185" t="s">
        <v>215</v>
      </c>
    </row>
    <row r="32837" spans="129:129" x14ac:dyDescent="0.2">
      <c r="DY32837" s="185" t="s">
        <v>215</v>
      </c>
    </row>
    <row r="32838" spans="129:129" x14ac:dyDescent="0.2">
      <c r="DY32838" s="185" t="s">
        <v>215</v>
      </c>
    </row>
    <row r="32839" spans="129:129" x14ac:dyDescent="0.2">
      <c r="DY32839" s="185" t="s">
        <v>215</v>
      </c>
    </row>
    <row r="32840" spans="129:129" x14ac:dyDescent="0.2">
      <c r="DY32840" s="185" t="s">
        <v>215</v>
      </c>
    </row>
    <row r="32841" spans="129:129" x14ac:dyDescent="0.2">
      <c r="DY32841" s="185" t="s">
        <v>215</v>
      </c>
    </row>
    <row r="32842" spans="129:129" x14ac:dyDescent="0.2">
      <c r="DY32842" s="185" t="s">
        <v>215</v>
      </c>
    </row>
    <row r="32843" spans="129:129" x14ac:dyDescent="0.2">
      <c r="DY32843" s="185" t="s">
        <v>215</v>
      </c>
    </row>
    <row r="32844" spans="129:129" x14ac:dyDescent="0.2">
      <c r="DY32844" s="185" t="s">
        <v>215</v>
      </c>
    </row>
    <row r="32845" spans="129:129" x14ac:dyDescent="0.2">
      <c r="DY32845" s="185" t="s">
        <v>215</v>
      </c>
    </row>
    <row r="32846" spans="129:129" x14ac:dyDescent="0.2">
      <c r="DY32846" s="185" t="s">
        <v>215</v>
      </c>
    </row>
    <row r="32847" spans="129:129" x14ac:dyDescent="0.2">
      <c r="DY32847" s="185" t="s">
        <v>215</v>
      </c>
    </row>
    <row r="32848" spans="129:129" x14ac:dyDescent="0.2">
      <c r="DY32848" s="185" t="s">
        <v>215</v>
      </c>
    </row>
    <row r="32849" spans="129:129" x14ac:dyDescent="0.2">
      <c r="DY32849" s="185" t="s">
        <v>215</v>
      </c>
    </row>
    <row r="32850" spans="129:129" x14ac:dyDescent="0.2">
      <c r="DY32850" s="185" t="s">
        <v>215</v>
      </c>
    </row>
    <row r="32851" spans="129:129" x14ac:dyDescent="0.2">
      <c r="DY32851" s="185" t="s">
        <v>215</v>
      </c>
    </row>
    <row r="32852" spans="129:129" x14ac:dyDescent="0.2">
      <c r="DY32852" s="185" t="s">
        <v>215</v>
      </c>
    </row>
    <row r="32853" spans="129:129" x14ac:dyDescent="0.2">
      <c r="DY32853" s="185" t="s">
        <v>215</v>
      </c>
    </row>
    <row r="32854" spans="129:129" x14ac:dyDescent="0.2">
      <c r="DY32854" s="185" t="s">
        <v>215</v>
      </c>
    </row>
    <row r="32855" spans="129:129" x14ac:dyDescent="0.2">
      <c r="DY32855" s="185" t="s">
        <v>215</v>
      </c>
    </row>
    <row r="32856" spans="129:129" x14ac:dyDescent="0.2">
      <c r="DY32856" s="185" t="s">
        <v>215</v>
      </c>
    </row>
    <row r="32857" spans="129:129" x14ac:dyDescent="0.2">
      <c r="DY32857" s="185" t="s">
        <v>215</v>
      </c>
    </row>
    <row r="32858" spans="129:129" x14ac:dyDescent="0.2">
      <c r="DY32858" s="185" t="s">
        <v>215</v>
      </c>
    </row>
    <row r="32859" spans="129:129" x14ac:dyDescent="0.2">
      <c r="DY32859" s="185" t="s">
        <v>215</v>
      </c>
    </row>
    <row r="32860" spans="129:129" x14ac:dyDescent="0.2">
      <c r="DY32860" s="185" t="s">
        <v>215</v>
      </c>
    </row>
    <row r="32861" spans="129:129" x14ac:dyDescent="0.2">
      <c r="DY32861" s="185" t="s">
        <v>215</v>
      </c>
    </row>
    <row r="32862" spans="129:129" x14ac:dyDescent="0.2">
      <c r="DY32862" s="185" t="s">
        <v>215</v>
      </c>
    </row>
    <row r="32863" spans="129:129" x14ac:dyDescent="0.2">
      <c r="DY32863" s="185" t="s">
        <v>215</v>
      </c>
    </row>
    <row r="32864" spans="129:129" x14ac:dyDescent="0.2">
      <c r="DY32864" s="185" t="s">
        <v>215</v>
      </c>
    </row>
    <row r="32865" spans="129:129" x14ac:dyDescent="0.2">
      <c r="DY32865" s="185" t="s">
        <v>215</v>
      </c>
    </row>
    <row r="32866" spans="129:129" x14ac:dyDescent="0.2">
      <c r="DY32866" s="185" t="s">
        <v>215</v>
      </c>
    </row>
    <row r="32867" spans="129:129" x14ac:dyDescent="0.2">
      <c r="DY32867" s="185" t="s">
        <v>215</v>
      </c>
    </row>
    <row r="32868" spans="129:129" x14ac:dyDescent="0.2">
      <c r="DY32868" s="185" t="s">
        <v>215</v>
      </c>
    </row>
    <row r="32869" spans="129:129" x14ac:dyDescent="0.2">
      <c r="DY32869" s="185" t="s">
        <v>215</v>
      </c>
    </row>
    <row r="32870" spans="129:129" x14ac:dyDescent="0.2">
      <c r="DY32870" s="185" t="s">
        <v>215</v>
      </c>
    </row>
    <row r="32871" spans="129:129" x14ac:dyDescent="0.2">
      <c r="DY32871" s="185" t="s">
        <v>215</v>
      </c>
    </row>
    <row r="32872" spans="129:129" x14ac:dyDescent="0.2">
      <c r="DY32872" s="185" t="s">
        <v>215</v>
      </c>
    </row>
    <row r="32873" spans="129:129" x14ac:dyDescent="0.2">
      <c r="DY32873" s="185" t="s">
        <v>215</v>
      </c>
    </row>
    <row r="32874" spans="129:129" x14ac:dyDescent="0.2">
      <c r="DY32874" s="185" t="s">
        <v>215</v>
      </c>
    </row>
    <row r="32875" spans="129:129" x14ac:dyDescent="0.2">
      <c r="DY32875" s="185" t="s">
        <v>215</v>
      </c>
    </row>
    <row r="32876" spans="129:129" x14ac:dyDescent="0.2">
      <c r="DY32876" s="185" t="s">
        <v>215</v>
      </c>
    </row>
    <row r="32877" spans="129:129" x14ac:dyDescent="0.2">
      <c r="DY32877" s="185" t="s">
        <v>215</v>
      </c>
    </row>
    <row r="32878" spans="129:129" x14ac:dyDescent="0.2">
      <c r="DY32878" s="185" t="s">
        <v>215</v>
      </c>
    </row>
    <row r="32879" spans="129:129" x14ac:dyDescent="0.2">
      <c r="DY32879" s="185" t="s">
        <v>215</v>
      </c>
    </row>
    <row r="32880" spans="129:129" x14ac:dyDescent="0.2">
      <c r="DY32880" s="185" t="s">
        <v>215</v>
      </c>
    </row>
    <row r="32881" spans="129:129" x14ac:dyDescent="0.2">
      <c r="DY32881" s="185" t="s">
        <v>215</v>
      </c>
    </row>
    <row r="32882" spans="129:129" x14ac:dyDescent="0.2">
      <c r="DY32882" s="185" t="s">
        <v>215</v>
      </c>
    </row>
    <row r="32883" spans="129:129" x14ac:dyDescent="0.2">
      <c r="DY32883" s="185" t="s">
        <v>215</v>
      </c>
    </row>
    <row r="32884" spans="129:129" x14ac:dyDescent="0.2">
      <c r="DY32884" s="185" t="s">
        <v>215</v>
      </c>
    </row>
    <row r="32885" spans="129:129" x14ac:dyDescent="0.2">
      <c r="DY32885" s="185" t="s">
        <v>215</v>
      </c>
    </row>
    <row r="32886" spans="129:129" x14ac:dyDescent="0.2">
      <c r="DY32886" s="185" t="s">
        <v>215</v>
      </c>
    </row>
    <row r="32887" spans="129:129" x14ac:dyDescent="0.2">
      <c r="DY32887" s="185" t="s">
        <v>215</v>
      </c>
    </row>
    <row r="32888" spans="129:129" x14ac:dyDescent="0.2">
      <c r="DY32888" s="185" t="s">
        <v>215</v>
      </c>
    </row>
    <row r="32889" spans="129:129" x14ac:dyDescent="0.2">
      <c r="DY32889" s="185" t="s">
        <v>215</v>
      </c>
    </row>
    <row r="32890" spans="129:129" x14ac:dyDescent="0.2">
      <c r="DY32890" s="185" t="s">
        <v>215</v>
      </c>
    </row>
    <row r="32891" spans="129:129" x14ac:dyDescent="0.2">
      <c r="DY32891" s="185" t="s">
        <v>215</v>
      </c>
    </row>
    <row r="32892" spans="129:129" x14ac:dyDescent="0.2">
      <c r="DY32892" s="185" t="s">
        <v>215</v>
      </c>
    </row>
    <row r="32893" spans="129:129" x14ac:dyDescent="0.2">
      <c r="DY32893" s="185" t="s">
        <v>215</v>
      </c>
    </row>
    <row r="32894" spans="129:129" x14ac:dyDescent="0.2">
      <c r="DY32894" s="185" t="s">
        <v>215</v>
      </c>
    </row>
    <row r="32895" spans="129:129" x14ac:dyDescent="0.2">
      <c r="DY32895" s="185" t="s">
        <v>215</v>
      </c>
    </row>
    <row r="32896" spans="129:129" x14ac:dyDescent="0.2">
      <c r="DY32896" s="185" t="s">
        <v>215</v>
      </c>
    </row>
    <row r="32897" spans="129:129" x14ac:dyDescent="0.2">
      <c r="DY32897" s="185" t="s">
        <v>215</v>
      </c>
    </row>
    <row r="32898" spans="129:129" x14ac:dyDescent="0.2">
      <c r="DY32898" s="185" t="s">
        <v>215</v>
      </c>
    </row>
    <row r="32899" spans="129:129" x14ac:dyDescent="0.2">
      <c r="DY32899" s="185" t="s">
        <v>215</v>
      </c>
    </row>
    <row r="32900" spans="129:129" x14ac:dyDescent="0.2">
      <c r="DY32900" s="185" t="s">
        <v>215</v>
      </c>
    </row>
    <row r="32901" spans="129:129" x14ac:dyDescent="0.2">
      <c r="DY32901" s="185" t="s">
        <v>215</v>
      </c>
    </row>
    <row r="32902" spans="129:129" x14ac:dyDescent="0.2">
      <c r="DY32902" s="185" t="s">
        <v>215</v>
      </c>
    </row>
    <row r="32903" spans="129:129" x14ac:dyDescent="0.2">
      <c r="DY32903" s="185" t="s">
        <v>215</v>
      </c>
    </row>
    <row r="32904" spans="129:129" x14ac:dyDescent="0.2">
      <c r="DY32904" s="185" t="s">
        <v>215</v>
      </c>
    </row>
    <row r="32905" spans="129:129" x14ac:dyDescent="0.2">
      <c r="DY32905" s="185" t="s">
        <v>215</v>
      </c>
    </row>
    <row r="32906" spans="129:129" x14ac:dyDescent="0.2">
      <c r="DY32906" s="185" t="s">
        <v>215</v>
      </c>
    </row>
    <row r="32907" spans="129:129" x14ac:dyDescent="0.2">
      <c r="DY32907" s="185" t="s">
        <v>215</v>
      </c>
    </row>
    <row r="32908" spans="129:129" x14ac:dyDescent="0.2">
      <c r="DY32908" s="185" t="s">
        <v>215</v>
      </c>
    </row>
    <row r="32909" spans="129:129" x14ac:dyDescent="0.2">
      <c r="DY32909" s="185" t="s">
        <v>215</v>
      </c>
    </row>
    <row r="32910" spans="129:129" x14ac:dyDescent="0.2">
      <c r="DY32910" s="185" t="s">
        <v>215</v>
      </c>
    </row>
    <row r="32911" spans="129:129" x14ac:dyDescent="0.2">
      <c r="DY32911" s="185" t="s">
        <v>215</v>
      </c>
    </row>
    <row r="32912" spans="129:129" x14ac:dyDescent="0.2">
      <c r="DY32912" s="185" t="s">
        <v>215</v>
      </c>
    </row>
    <row r="32913" spans="129:129" x14ac:dyDescent="0.2">
      <c r="DY32913" s="185" t="s">
        <v>215</v>
      </c>
    </row>
    <row r="32914" spans="129:129" x14ac:dyDescent="0.2">
      <c r="DY32914" s="185" t="s">
        <v>215</v>
      </c>
    </row>
    <row r="32915" spans="129:129" x14ac:dyDescent="0.2">
      <c r="DY32915" s="185" t="s">
        <v>215</v>
      </c>
    </row>
    <row r="32916" spans="129:129" x14ac:dyDescent="0.2">
      <c r="DY32916" s="185" t="s">
        <v>215</v>
      </c>
    </row>
    <row r="32917" spans="129:129" x14ac:dyDescent="0.2">
      <c r="DY32917" s="185" t="s">
        <v>215</v>
      </c>
    </row>
    <row r="32918" spans="129:129" x14ac:dyDescent="0.2">
      <c r="DY32918" s="185" t="s">
        <v>215</v>
      </c>
    </row>
    <row r="32919" spans="129:129" x14ac:dyDescent="0.2">
      <c r="DY32919" s="185" t="s">
        <v>215</v>
      </c>
    </row>
    <row r="32920" spans="129:129" x14ac:dyDescent="0.2">
      <c r="DY32920" s="185" t="s">
        <v>215</v>
      </c>
    </row>
    <row r="32921" spans="129:129" x14ac:dyDescent="0.2">
      <c r="DY32921" s="185" t="s">
        <v>215</v>
      </c>
    </row>
    <row r="32922" spans="129:129" x14ac:dyDescent="0.2">
      <c r="DY32922" s="185" t="s">
        <v>215</v>
      </c>
    </row>
    <row r="32923" spans="129:129" x14ac:dyDescent="0.2">
      <c r="DY32923" s="185" t="s">
        <v>215</v>
      </c>
    </row>
    <row r="32924" spans="129:129" x14ac:dyDescent="0.2">
      <c r="DY32924" s="185" t="s">
        <v>215</v>
      </c>
    </row>
    <row r="32925" spans="129:129" x14ac:dyDescent="0.2">
      <c r="DY32925" s="185" t="s">
        <v>215</v>
      </c>
    </row>
    <row r="32926" spans="129:129" x14ac:dyDescent="0.2">
      <c r="DY32926" s="185" t="s">
        <v>215</v>
      </c>
    </row>
    <row r="32927" spans="129:129" x14ac:dyDescent="0.2">
      <c r="DY32927" s="185" t="s">
        <v>215</v>
      </c>
    </row>
    <row r="32928" spans="129:129" x14ac:dyDescent="0.2">
      <c r="DY32928" s="185" t="s">
        <v>215</v>
      </c>
    </row>
    <row r="32929" spans="129:129" x14ac:dyDescent="0.2">
      <c r="DY32929" s="185" t="s">
        <v>215</v>
      </c>
    </row>
    <row r="32930" spans="129:129" x14ac:dyDescent="0.2">
      <c r="DY32930" s="185" t="s">
        <v>215</v>
      </c>
    </row>
    <row r="32931" spans="129:129" x14ac:dyDescent="0.2">
      <c r="DY32931" s="185" t="s">
        <v>215</v>
      </c>
    </row>
    <row r="32932" spans="129:129" x14ac:dyDescent="0.2">
      <c r="DY32932" s="185" t="s">
        <v>215</v>
      </c>
    </row>
    <row r="32933" spans="129:129" x14ac:dyDescent="0.2">
      <c r="DY32933" s="185" t="s">
        <v>215</v>
      </c>
    </row>
    <row r="32934" spans="129:129" x14ac:dyDescent="0.2">
      <c r="DY32934" s="185" t="s">
        <v>215</v>
      </c>
    </row>
    <row r="32935" spans="129:129" x14ac:dyDescent="0.2">
      <c r="DY32935" s="185" t="s">
        <v>215</v>
      </c>
    </row>
    <row r="32936" spans="129:129" x14ac:dyDescent="0.2">
      <c r="DY32936" s="185" t="s">
        <v>215</v>
      </c>
    </row>
    <row r="32937" spans="129:129" x14ac:dyDescent="0.2">
      <c r="DY32937" s="185" t="s">
        <v>215</v>
      </c>
    </row>
    <row r="32938" spans="129:129" x14ac:dyDescent="0.2">
      <c r="DY32938" s="185" t="s">
        <v>215</v>
      </c>
    </row>
    <row r="32939" spans="129:129" x14ac:dyDescent="0.2">
      <c r="DY32939" s="185" t="s">
        <v>215</v>
      </c>
    </row>
    <row r="32940" spans="129:129" x14ac:dyDescent="0.2">
      <c r="DY32940" s="185" t="s">
        <v>215</v>
      </c>
    </row>
    <row r="32941" spans="129:129" x14ac:dyDescent="0.2">
      <c r="DY32941" s="185" t="s">
        <v>215</v>
      </c>
    </row>
    <row r="32942" spans="129:129" x14ac:dyDescent="0.2">
      <c r="DY32942" s="185" t="s">
        <v>215</v>
      </c>
    </row>
    <row r="32943" spans="129:129" x14ac:dyDescent="0.2">
      <c r="DY32943" s="185" t="s">
        <v>215</v>
      </c>
    </row>
    <row r="32944" spans="129:129" x14ac:dyDescent="0.2">
      <c r="DY32944" s="185" t="s">
        <v>215</v>
      </c>
    </row>
    <row r="32945" spans="129:129" x14ac:dyDescent="0.2">
      <c r="DY32945" s="185" t="s">
        <v>215</v>
      </c>
    </row>
    <row r="32946" spans="129:129" x14ac:dyDescent="0.2">
      <c r="DY32946" s="185" t="s">
        <v>215</v>
      </c>
    </row>
    <row r="32947" spans="129:129" x14ac:dyDescent="0.2">
      <c r="DY32947" s="185" t="s">
        <v>215</v>
      </c>
    </row>
    <row r="32948" spans="129:129" x14ac:dyDescent="0.2">
      <c r="DY32948" s="185" t="s">
        <v>215</v>
      </c>
    </row>
    <row r="32949" spans="129:129" x14ac:dyDescent="0.2">
      <c r="DY32949" s="185" t="s">
        <v>215</v>
      </c>
    </row>
    <row r="32950" spans="129:129" x14ac:dyDescent="0.2">
      <c r="DY32950" s="185" t="s">
        <v>215</v>
      </c>
    </row>
    <row r="32951" spans="129:129" x14ac:dyDescent="0.2">
      <c r="DY32951" s="185" t="s">
        <v>215</v>
      </c>
    </row>
    <row r="32952" spans="129:129" x14ac:dyDescent="0.2">
      <c r="DY32952" s="185" t="s">
        <v>215</v>
      </c>
    </row>
    <row r="32953" spans="129:129" x14ac:dyDescent="0.2">
      <c r="DY32953" s="185" t="s">
        <v>215</v>
      </c>
    </row>
    <row r="32954" spans="129:129" x14ac:dyDescent="0.2">
      <c r="DY32954" s="185" t="s">
        <v>215</v>
      </c>
    </row>
    <row r="32955" spans="129:129" x14ac:dyDescent="0.2">
      <c r="DY32955" s="185" t="s">
        <v>215</v>
      </c>
    </row>
    <row r="32956" spans="129:129" x14ac:dyDescent="0.2">
      <c r="DY32956" s="185" t="s">
        <v>215</v>
      </c>
    </row>
    <row r="32957" spans="129:129" x14ac:dyDescent="0.2">
      <c r="DY32957" s="185" t="s">
        <v>215</v>
      </c>
    </row>
    <row r="32958" spans="129:129" x14ac:dyDescent="0.2">
      <c r="DY32958" s="185" t="s">
        <v>215</v>
      </c>
    </row>
    <row r="32959" spans="129:129" x14ac:dyDescent="0.2">
      <c r="DY32959" s="185" t="s">
        <v>215</v>
      </c>
    </row>
    <row r="32960" spans="129:129" x14ac:dyDescent="0.2">
      <c r="DY32960" s="185" t="s">
        <v>215</v>
      </c>
    </row>
    <row r="32961" spans="129:129" x14ac:dyDescent="0.2">
      <c r="DY32961" s="185" t="s">
        <v>215</v>
      </c>
    </row>
    <row r="32962" spans="129:129" x14ac:dyDescent="0.2">
      <c r="DY32962" s="185" t="s">
        <v>215</v>
      </c>
    </row>
    <row r="32963" spans="129:129" x14ac:dyDescent="0.2">
      <c r="DY32963" s="185" t="s">
        <v>215</v>
      </c>
    </row>
    <row r="32964" spans="129:129" x14ac:dyDescent="0.2">
      <c r="DY32964" s="185" t="s">
        <v>215</v>
      </c>
    </row>
    <row r="32965" spans="129:129" x14ac:dyDescent="0.2">
      <c r="DY32965" s="185" t="s">
        <v>215</v>
      </c>
    </row>
    <row r="32966" spans="129:129" x14ac:dyDescent="0.2">
      <c r="DY32966" s="185" t="s">
        <v>215</v>
      </c>
    </row>
    <row r="32967" spans="129:129" x14ac:dyDescent="0.2">
      <c r="DY32967" s="185" t="s">
        <v>215</v>
      </c>
    </row>
    <row r="32968" spans="129:129" x14ac:dyDescent="0.2">
      <c r="DY32968" s="185" t="s">
        <v>215</v>
      </c>
    </row>
    <row r="32969" spans="129:129" x14ac:dyDescent="0.2">
      <c r="DY32969" s="185" t="s">
        <v>215</v>
      </c>
    </row>
    <row r="32970" spans="129:129" x14ac:dyDescent="0.2">
      <c r="DY32970" s="185" t="s">
        <v>215</v>
      </c>
    </row>
    <row r="32971" spans="129:129" x14ac:dyDescent="0.2">
      <c r="DY32971" s="185" t="s">
        <v>215</v>
      </c>
    </row>
    <row r="32972" spans="129:129" x14ac:dyDescent="0.2">
      <c r="DY32972" s="185" t="s">
        <v>215</v>
      </c>
    </row>
    <row r="32973" spans="129:129" x14ac:dyDescent="0.2">
      <c r="DY32973" s="185" t="s">
        <v>215</v>
      </c>
    </row>
    <row r="32974" spans="129:129" x14ac:dyDescent="0.2">
      <c r="DY32974" s="185" t="s">
        <v>215</v>
      </c>
    </row>
    <row r="32975" spans="129:129" x14ac:dyDescent="0.2">
      <c r="DY32975" s="185" t="s">
        <v>215</v>
      </c>
    </row>
    <row r="32976" spans="129:129" x14ac:dyDescent="0.2">
      <c r="DY32976" s="185" t="s">
        <v>215</v>
      </c>
    </row>
    <row r="32977" spans="129:129" x14ac:dyDescent="0.2">
      <c r="DY32977" s="185" t="s">
        <v>215</v>
      </c>
    </row>
    <row r="32978" spans="129:129" x14ac:dyDescent="0.2">
      <c r="DY32978" s="185" t="s">
        <v>215</v>
      </c>
    </row>
    <row r="32979" spans="129:129" x14ac:dyDescent="0.2">
      <c r="DY32979" s="185" t="s">
        <v>215</v>
      </c>
    </row>
    <row r="32980" spans="129:129" x14ac:dyDescent="0.2">
      <c r="DY32980" s="185" t="s">
        <v>215</v>
      </c>
    </row>
    <row r="32981" spans="129:129" x14ac:dyDescent="0.2">
      <c r="DY32981" s="185" t="s">
        <v>215</v>
      </c>
    </row>
    <row r="32982" spans="129:129" x14ac:dyDescent="0.2">
      <c r="DY32982" s="185" t="s">
        <v>215</v>
      </c>
    </row>
    <row r="32983" spans="129:129" x14ac:dyDescent="0.2">
      <c r="DY32983" s="185" t="s">
        <v>215</v>
      </c>
    </row>
    <row r="32984" spans="129:129" x14ac:dyDescent="0.2">
      <c r="DY32984" s="185" t="s">
        <v>215</v>
      </c>
    </row>
    <row r="32985" spans="129:129" x14ac:dyDescent="0.2">
      <c r="DY32985" s="185" t="s">
        <v>215</v>
      </c>
    </row>
    <row r="32986" spans="129:129" x14ac:dyDescent="0.2">
      <c r="DY32986" s="185" t="s">
        <v>215</v>
      </c>
    </row>
    <row r="32987" spans="129:129" x14ac:dyDescent="0.2">
      <c r="DY32987" s="185" t="s">
        <v>215</v>
      </c>
    </row>
    <row r="32988" spans="129:129" x14ac:dyDescent="0.2">
      <c r="DY32988" s="185" t="s">
        <v>215</v>
      </c>
    </row>
    <row r="32989" spans="129:129" x14ac:dyDescent="0.2">
      <c r="DY32989" s="185" t="s">
        <v>215</v>
      </c>
    </row>
    <row r="32990" spans="129:129" x14ac:dyDescent="0.2">
      <c r="DY32990" s="185" t="s">
        <v>215</v>
      </c>
    </row>
    <row r="32991" spans="129:129" x14ac:dyDescent="0.2">
      <c r="DY32991" s="185" t="s">
        <v>215</v>
      </c>
    </row>
    <row r="32992" spans="129:129" x14ac:dyDescent="0.2">
      <c r="DY32992" s="185" t="s">
        <v>215</v>
      </c>
    </row>
    <row r="32993" spans="129:129" x14ac:dyDescent="0.2">
      <c r="DY32993" s="185" t="s">
        <v>215</v>
      </c>
    </row>
    <row r="32994" spans="129:129" x14ac:dyDescent="0.2">
      <c r="DY32994" s="185" t="s">
        <v>215</v>
      </c>
    </row>
    <row r="32995" spans="129:129" x14ac:dyDescent="0.2">
      <c r="DY32995" s="185" t="s">
        <v>215</v>
      </c>
    </row>
    <row r="32996" spans="129:129" x14ac:dyDescent="0.2">
      <c r="DY32996" s="185" t="s">
        <v>215</v>
      </c>
    </row>
    <row r="32997" spans="129:129" x14ac:dyDescent="0.2">
      <c r="DY32997" s="185" t="s">
        <v>215</v>
      </c>
    </row>
    <row r="32998" spans="129:129" x14ac:dyDescent="0.2">
      <c r="DY32998" s="185" t="s">
        <v>215</v>
      </c>
    </row>
    <row r="32999" spans="129:129" x14ac:dyDescent="0.2">
      <c r="DY32999" s="185" t="s">
        <v>215</v>
      </c>
    </row>
    <row r="33000" spans="129:129" x14ac:dyDescent="0.2">
      <c r="DY33000" s="185" t="s">
        <v>215</v>
      </c>
    </row>
    <row r="33001" spans="129:129" x14ac:dyDescent="0.2">
      <c r="DY33001" s="185" t="s">
        <v>215</v>
      </c>
    </row>
    <row r="33002" spans="129:129" x14ac:dyDescent="0.2">
      <c r="DY33002" s="185" t="s">
        <v>215</v>
      </c>
    </row>
    <row r="33003" spans="129:129" x14ac:dyDescent="0.2">
      <c r="DY33003" s="185" t="s">
        <v>215</v>
      </c>
    </row>
    <row r="33004" spans="129:129" x14ac:dyDescent="0.2">
      <c r="DY33004" s="185" t="s">
        <v>215</v>
      </c>
    </row>
    <row r="33005" spans="129:129" x14ac:dyDescent="0.2">
      <c r="DY33005" s="185" t="s">
        <v>215</v>
      </c>
    </row>
    <row r="33006" spans="129:129" x14ac:dyDescent="0.2">
      <c r="DY33006" s="185" t="s">
        <v>215</v>
      </c>
    </row>
    <row r="33007" spans="129:129" x14ac:dyDescent="0.2">
      <c r="DY33007" s="185" t="s">
        <v>215</v>
      </c>
    </row>
    <row r="33008" spans="129:129" x14ac:dyDescent="0.2">
      <c r="DY33008" s="185" t="s">
        <v>215</v>
      </c>
    </row>
    <row r="33009" spans="129:129" x14ac:dyDescent="0.2">
      <c r="DY33009" s="185" t="s">
        <v>215</v>
      </c>
    </row>
    <row r="33010" spans="129:129" x14ac:dyDescent="0.2">
      <c r="DY33010" s="185" t="s">
        <v>215</v>
      </c>
    </row>
    <row r="33011" spans="129:129" x14ac:dyDescent="0.2">
      <c r="DY33011" s="185" t="s">
        <v>215</v>
      </c>
    </row>
    <row r="33012" spans="129:129" x14ac:dyDescent="0.2">
      <c r="DY33012" s="185" t="s">
        <v>215</v>
      </c>
    </row>
    <row r="33013" spans="129:129" x14ac:dyDescent="0.2">
      <c r="DY33013" s="185" t="s">
        <v>215</v>
      </c>
    </row>
    <row r="33014" spans="129:129" x14ac:dyDescent="0.2">
      <c r="DY33014" s="185" t="s">
        <v>215</v>
      </c>
    </row>
    <row r="33015" spans="129:129" x14ac:dyDescent="0.2">
      <c r="DY33015" s="185" t="s">
        <v>215</v>
      </c>
    </row>
    <row r="33016" spans="129:129" x14ac:dyDescent="0.2">
      <c r="DY33016" s="185" t="s">
        <v>215</v>
      </c>
    </row>
    <row r="33017" spans="129:129" x14ac:dyDescent="0.2">
      <c r="DY33017" s="185" t="s">
        <v>215</v>
      </c>
    </row>
    <row r="33018" spans="129:129" x14ac:dyDescent="0.2">
      <c r="DY33018" s="185" t="s">
        <v>215</v>
      </c>
    </row>
    <row r="33019" spans="129:129" x14ac:dyDescent="0.2">
      <c r="DY33019" s="185" t="s">
        <v>215</v>
      </c>
    </row>
    <row r="33020" spans="129:129" x14ac:dyDescent="0.2">
      <c r="DY33020" s="185" t="s">
        <v>215</v>
      </c>
    </row>
    <row r="33021" spans="129:129" x14ac:dyDescent="0.2">
      <c r="DY33021" s="185" t="s">
        <v>215</v>
      </c>
    </row>
    <row r="33022" spans="129:129" x14ac:dyDescent="0.2">
      <c r="DY33022" s="185" t="s">
        <v>215</v>
      </c>
    </row>
    <row r="33023" spans="129:129" x14ac:dyDescent="0.2">
      <c r="DY33023" s="185" t="s">
        <v>215</v>
      </c>
    </row>
    <row r="33024" spans="129:129" x14ac:dyDescent="0.2">
      <c r="DY33024" s="185" t="s">
        <v>215</v>
      </c>
    </row>
    <row r="33025" spans="129:129" x14ac:dyDescent="0.2">
      <c r="DY33025" s="185" t="s">
        <v>215</v>
      </c>
    </row>
    <row r="33026" spans="129:129" x14ac:dyDescent="0.2">
      <c r="DY33026" s="185" t="s">
        <v>215</v>
      </c>
    </row>
    <row r="33027" spans="129:129" x14ac:dyDescent="0.2">
      <c r="DY33027" s="185" t="s">
        <v>215</v>
      </c>
    </row>
    <row r="33028" spans="129:129" x14ac:dyDescent="0.2">
      <c r="DY33028" s="185" t="s">
        <v>215</v>
      </c>
    </row>
    <row r="33029" spans="129:129" x14ac:dyDescent="0.2">
      <c r="DY33029" s="185" t="s">
        <v>215</v>
      </c>
    </row>
    <row r="33030" spans="129:129" x14ac:dyDescent="0.2">
      <c r="DY33030" s="185" t="s">
        <v>215</v>
      </c>
    </row>
    <row r="33031" spans="129:129" x14ac:dyDescent="0.2">
      <c r="DY33031" s="185" t="s">
        <v>215</v>
      </c>
    </row>
    <row r="33032" spans="129:129" x14ac:dyDescent="0.2">
      <c r="DY33032" s="185" t="s">
        <v>215</v>
      </c>
    </row>
    <row r="33033" spans="129:129" x14ac:dyDescent="0.2">
      <c r="DY33033" s="185" t="s">
        <v>215</v>
      </c>
    </row>
    <row r="33034" spans="129:129" x14ac:dyDescent="0.2">
      <c r="DY33034" s="185" t="s">
        <v>215</v>
      </c>
    </row>
    <row r="33035" spans="129:129" x14ac:dyDescent="0.2">
      <c r="DY33035" s="185" t="s">
        <v>215</v>
      </c>
    </row>
    <row r="33036" spans="129:129" x14ac:dyDescent="0.2">
      <c r="DY33036" s="185" t="s">
        <v>215</v>
      </c>
    </row>
    <row r="33037" spans="129:129" x14ac:dyDescent="0.2">
      <c r="DY33037" s="185" t="s">
        <v>215</v>
      </c>
    </row>
    <row r="33038" spans="129:129" x14ac:dyDescent="0.2">
      <c r="DY33038" s="185" t="s">
        <v>215</v>
      </c>
    </row>
    <row r="33039" spans="129:129" x14ac:dyDescent="0.2">
      <c r="DY33039" s="185" t="s">
        <v>215</v>
      </c>
    </row>
    <row r="33040" spans="129:129" x14ac:dyDescent="0.2">
      <c r="DY33040" s="185" t="s">
        <v>215</v>
      </c>
    </row>
    <row r="33041" spans="129:129" x14ac:dyDescent="0.2">
      <c r="DY33041" s="185" t="s">
        <v>215</v>
      </c>
    </row>
    <row r="33042" spans="129:129" x14ac:dyDescent="0.2">
      <c r="DY33042" s="185" t="s">
        <v>215</v>
      </c>
    </row>
    <row r="33043" spans="129:129" x14ac:dyDescent="0.2">
      <c r="DY33043" s="185" t="s">
        <v>215</v>
      </c>
    </row>
    <row r="33044" spans="129:129" x14ac:dyDescent="0.2">
      <c r="DY33044" s="185" t="s">
        <v>215</v>
      </c>
    </row>
    <row r="33045" spans="129:129" x14ac:dyDescent="0.2">
      <c r="DY33045" s="185" t="s">
        <v>215</v>
      </c>
    </row>
    <row r="33046" spans="129:129" x14ac:dyDescent="0.2">
      <c r="DY33046" s="185" t="s">
        <v>215</v>
      </c>
    </row>
    <row r="33047" spans="129:129" x14ac:dyDescent="0.2">
      <c r="DY33047" s="185" t="s">
        <v>215</v>
      </c>
    </row>
    <row r="33048" spans="129:129" x14ac:dyDescent="0.2">
      <c r="DY33048" s="185" t="s">
        <v>215</v>
      </c>
    </row>
    <row r="33049" spans="129:129" x14ac:dyDescent="0.2">
      <c r="DY33049" s="185" t="s">
        <v>215</v>
      </c>
    </row>
    <row r="33050" spans="129:129" x14ac:dyDescent="0.2">
      <c r="DY33050" s="185" t="s">
        <v>215</v>
      </c>
    </row>
    <row r="33051" spans="129:129" x14ac:dyDescent="0.2">
      <c r="DY33051" s="185" t="s">
        <v>215</v>
      </c>
    </row>
    <row r="33052" spans="129:129" x14ac:dyDescent="0.2">
      <c r="DY33052" s="185" t="s">
        <v>215</v>
      </c>
    </row>
    <row r="33053" spans="129:129" x14ac:dyDescent="0.2">
      <c r="DY33053" s="185" t="s">
        <v>215</v>
      </c>
    </row>
    <row r="33054" spans="129:129" x14ac:dyDescent="0.2">
      <c r="DY33054" s="185" t="s">
        <v>215</v>
      </c>
    </row>
    <row r="33055" spans="129:129" x14ac:dyDescent="0.2">
      <c r="DY33055" s="185" t="s">
        <v>215</v>
      </c>
    </row>
    <row r="33056" spans="129:129" x14ac:dyDescent="0.2">
      <c r="DY33056" s="185" t="s">
        <v>215</v>
      </c>
    </row>
    <row r="33057" spans="129:129" x14ac:dyDescent="0.2">
      <c r="DY33057" s="185" t="s">
        <v>215</v>
      </c>
    </row>
    <row r="33058" spans="129:129" x14ac:dyDescent="0.2">
      <c r="DY33058" s="185" t="s">
        <v>215</v>
      </c>
    </row>
    <row r="33059" spans="129:129" x14ac:dyDescent="0.2">
      <c r="DY33059" s="185" t="s">
        <v>215</v>
      </c>
    </row>
    <row r="33060" spans="129:129" x14ac:dyDescent="0.2">
      <c r="DY33060" s="185" t="s">
        <v>215</v>
      </c>
    </row>
    <row r="33061" spans="129:129" x14ac:dyDescent="0.2">
      <c r="DY33061" s="185" t="s">
        <v>215</v>
      </c>
    </row>
    <row r="33062" spans="129:129" x14ac:dyDescent="0.2">
      <c r="DY33062" s="185" t="s">
        <v>215</v>
      </c>
    </row>
    <row r="33063" spans="129:129" x14ac:dyDescent="0.2">
      <c r="DY33063" s="185" t="s">
        <v>215</v>
      </c>
    </row>
    <row r="33064" spans="129:129" x14ac:dyDescent="0.2">
      <c r="DY33064" s="185" t="s">
        <v>215</v>
      </c>
    </row>
    <row r="33065" spans="129:129" x14ac:dyDescent="0.2">
      <c r="DY33065" s="185" t="s">
        <v>215</v>
      </c>
    </row>
    <row r="33066" spans="129:129" x14ac:dyDescent="0.2">
      <c r="DY33066" s="185" t="s">
        <v>215</v>
      </c>
    </row>
    <row r="33067" spans="129:129" x14ac:dyDescent="0.2">
      <c r="DY33067" s="185" t="s">
        <v>215</v>
      </c>
    </row>
    <row r="33068" spans="129:129" x14ac:dyDescent="0.2">
      <c r="DY33068" s="185" t="s">
        <v>215</v>
      </c>
    </row>
    <row r="33069" spans="129:129" x14ac:dyDescent="0.2">
      <c r="DY33069" s="185" t="s">
        <v>215</v>
      </c>
    </row>
    <row r="33070" spans="129:129" x14ac:dyDescent="0.2">
      <c r="DY33070" s="185" t="s">
        <v>215</v>
      </c>
    </row>
    <row r="33071" spans="129:129" x14ac:dyDescent="0.2">
      <c r="DY33071" s="185" t="s">
        <v>215</v>
      </c>
    </row>
    <row r="33072" spans="129:129" x14ac:dyDescent="0.2">
      <c r="DY33072" s="185" t="s">
        <v>215</v>
      </c>
    </row>
    <row r="33073" spans="129:129" x14ac:dyDescent="0.2">
      <c r="DY33073" s="185" t="s">
        <v>215</v>
      </c>
    </row>
    <row r="33074" spans="129:129" x14ac:dyDescent="0.2">
      <c r="DY33074" s="185" t="s">
        <v>215</v>
      </c>
    </row>
    <row r="33075" spans="129:129" x14ac:dyDescent="0.2">
      <c r="DY33075" s="185" t="s">
        <v>215</v>
      </c>
    </row>
    <row r="33076" spans="129:129" x14ac:dyDescent="0.2">
      <c r="DY33076" s="185" t="s">
        <v>215</v>
      </c>
    </row>
    <row r="33077" spans="129:129" x14ac:dyDescent="0.2">
      <c r="DY33077" s="185" t="s">
        <v>215</v>
      </c>
    </row>
    <row r="33078" spans="129:129" x14ac:dyDescent="0.2">
      <c r="DY33078" s="185" t="s">
        <v>215</v>
      </c>
    </row>
    <row r="33079" spans="129:129" x14ac:dyDescent="0.2">
      <c r="DY33079" s="185" t="s">
        <v>215</v>
      </c>
    </row>
    <row r="33080" spans="129:129" x14ac:dyDescent="0.2">
      <c r="DY33080" s="185" t="s">
        <v>215</v>
      </c>
    </row>
    <row r="33081" spans="129:129" x14ac:dyDescent="0.2">
      <c r="DY33081" s="185" t="s">
        <v>215</v>
      </c>
    </row>
    <row r="33082" spans="129:129" x14ac:dyDescent="0.2">
      <c r="DY33082" s="185" t="s">
        <v>215</v>
      </c>
    </row>
    <row r="33083" spans="129:129" x14ac:dyDescent="0.2">
      <c r="DY33083" s="185" t="s">
        <v>215</v>
      </c>
    </row>
    <row r="33084" spans="129:129" x14ac:dyDescent="0.2">
      <c r="DY33084" s="185" t="s">
        <v>215</v>
      </c>
    </row>
    <row r="33085" spans="129:129" x14ac:dyDescent="0.2">
      <c r="DY33085" s="185" t="s">
        <v>215</v>
      </c>
    </row>
    <row r="33086" spans="129:129" x14ac:dyDescent="0.2">
      <c r="DY33086" s="185" t="s">
        <v>215</v>
      </c>
    </row>
    <row r="33087" spans="129:129" x14ac:dyDescent="0.2">
      <c r="DY33087" s="185" t="s">
        <v>215</v>
      </c>
    </row>
    <row r="33088" spans="129:129" x14ac:dyDescent="0.2">
      <c r="DY33088" s="185" t="s">
        <v>215</v>
      </c>
    </row>
    <row r="33089" spans="129:129" x14ac:dyDescent="0.2">
      <c r="DY33089" s="185" t="s">
        <v>215</v>
      </c>
    </row>
    <row r="33090" spans="129:129" x14ac:dyDescent="0.2">
      <c r="DY33090" s="185" t="s">
        <v>215</v>
      </c>
    </row>
    <row r="33091" spans="129:129" x14ac:dyDescent="0.2">
      <c r="DY33091" s="185" t="s">
        <v>215</v>
      </c>
    </row>
    <row r="33092" spans="129:129" x14ac:dyDescent="0.2">
      <c r="DY33092" s="185" t="s">
        <v>215</v>
      </c>
    </row>
    <row r="33093" spans="129:129" x14ac:dyDescent="0.2">
      <c r="DY33093" s="185" t="s">
        <v>215</v>
      </c>
    </row>
    <row r="33094" spans="129:129" x14ac:dyDescent="0.2">
      <c r="DY33094" s="185" t="s">
        <v>215</v>
      </c>
    </row>
    <row r="33095" spans="129:129" x14ac:dyDescent="0.2">
      <c r="DY33095" s="185" t="s">
        <v>215</v>
      </c>
    </row>
    <row r="33096" spans="129:129" x14ac:dyDescent="0.2">
      <c r="DY33096" s="185" t="s">
        <v>215</v>
      </c>
    </row>
    <row r="33097" spans="129:129" x14ac:dyDescent="0.2">
      <c r="DY33097" s="185" t="s">
        <v>215</v>
      </c>
    </row>
    <row r="33098" spans="129:129" x14ac:dyDescent="0.2">
      <c r="DY33098" s="185" t="s">
        <v>215</v>
      </c>
    </row>
    <row r="33099" spans="129:129" x14ac:dyDescent="0.2">
      <c r="DY33099" s="185" t="s">
        <v>215</v>
      </c>
    </row>
    <row r="33100" spans="129:129" x14ac:dyDescent="0.2">
      <c r="DY33100" s="185" t="s">
        <v>215</v>
      </c>
    </row>
    <row r="33101" spans="129:129" x14ac:dyDescent="0.2">
      <c r="DY33101" s="185" t="s">
        <v>215</v>
      </c>
    </row>
    <row r="33102" spans="129:129" x14ac:dyDescent="0.2">
      <c r="DY33102" s="185" t="s">
        <v>215</v>
      </c>
    </row>
    <row r="33103" spans="129:129" x14ac:dyDescent="0.2">
      <c r="DY33103" s="185" t="s">
        <v>215</v>
      </c>
    </row>
    <row r="33104" spans="129:129" x14ac:dyDescent="0.2">
      <c r="DY33104" s="185" t="s">
        <v>215</v>
      </c>
    </row>
    <row r="33105" spans="129:129" x14ac:dyDescent="0.2">
      <c r="DY33105" s="185" t="s">
        <v>215</v>
      </c>
    </row>
    <row r="33106" spans="129:129" x14ac:dyDescent="0.2">
      <c r="DY33106" s="185" t="s">
        <v>215</v>
      </c>
    </row>
    <row r="33107" spans="129:129" x14ac:dyDescent="0.2">
      <c r="DY33107" s="185" t="s">
        <v>215</v>
      </c>
    </row>
    <row r="33108" spans="129:129" x14ac:dyDescent="0.2">
      <c r="DY33108" s="185" t="s">
        <v>215</v>
      </c>
    </row>
    <row r="33109" spans="129:129" x14ac:dyDescent="0.2">
      <c r="DY33109" s="185" t="s">
        <v>215</v>
      </c>
    </row>
    <row r="33110" spans="129:129" x14ac:dyDescent="0.2">
      <c r="DY33110" s="185" t="s">
        <v>215</v>
      </c>
    </row>
    <row r="33111" spans="129:129" x14ac:dyDescent="0.2">
      <c r="DY33111" s="185" t="s">
        <v>215</v>
      </c>
    </row>
    <row r="33112" spans="129:129" x14ac:dyDescent="0.2">
      <c r="DY33112" s="185" t="s">
        <v>215</v>
      </c>
    </row>
    <row r="33113" spans="129:129" x14ac:dyDescent="0.2">
      <c r="DY33113" s="185" t="s">
        <v>215</v>
      </c>
    </row>
    <row r="33114" spans="129:129" x14ac:dyDescent="0.2">
      <c r="DY33114" s="185" t="s">
        <v>215</v>
      </c>
    </row>
    <row r="33115" spans="129:129" x14ac:dyDescent="0.2">
      <c r="DY33115" s="185" t="s">
        <v>215</v>
      </c>
    </row>
    <row r="33116" spans="129:129" x14ac:dyDescent="0.2">
      <c r="DY33116" s="185" t="s">
        <v>215</v>
      </c>
    </row>
    <row r="33117" spans="129:129" x14ac:dyDescent="0.2">
      <c r="DY33117" s="185" t="s">
        <v>215</v>
      </c>
    </row>
    <row r="33118" spans="129:129" x14ac:dyDescent="0.2">
      <c r="DY33118" s="185" t="s">
        <v>215</v>
      </c>
    </row>
    <row r="33119" spans="129:129" x14ac:dyDescent="0.2">
      <c r="DY33119" s="185" t="s">
        <v>215</v>
      </c>
    </row>
    <row r="33120" spans="129:129" x14ac:dyDescent="0.2">
      <c r="DY33120" s="185" t="s">
        <v>215</v>
      </c>
    </row>
    <row r="33121" spans="129:129" x14ac:dyDescent="0.2">
      <c r="DY33121" s="185" t="s">
        <v>215</v>
      </c>
    </row>
    <row r="33122" spans="129:129" x14ac:dyDescent="0.2">
      <c r="DY33122" s="185" t="s">
        <v>215</v>
      </c>
    </row>
    <row r="33123" spans="129:129" x14ac:dyDescent="0.2">
      <c r="DY33123" s="185" t="s">
        <v>215</v>
      </c>
    </row>
    <row r="33124" spans="129:129" x14ac:dyDescent="0.2">
      <c r="DY33124" s="185" t="s">
        <v>215</v>
      </c>
    </row>
    <row r="33125" spans="129:129" x14ac:dyDescent="0.2">
      <c r="DY33125" s="185" t="s">
        <v>215</v>
      </c>
    </row>
    <row r="33126" spans="129:129" x14ac:dyDescent="0.2">
      <c r="DY33126" s="185" t="s">
        <v>215</v>
      </c>
    </row>
    <row r="33127" spans="129:129" x14ac:dyDescent="0.2">
      <c r="DY33127" s="185" t="s">
        <v>215</v>
      </c>
    </row>
    <row r="33128" spans="129:129" x14ac:dyDescent="0.2">
      <c r="DY33128" s="185" t="s">
        <v>215</v>
      </c>
    </row>
    <row r="33129" spans="129:129" x14ac:dyDescent="0.2">
      <c r="DY33129" s="185" t="s">
        <v>215</v>
      </c>
    </row>
    <row r="33130" spans="129:129" x14ac:dyDescent="0.2">
      <c r="DY33130" s="185" t="s">
        <v>215</v>
      </c>
    </row>
    <row r="33131" spans="129:129" x14ac:dyDescent="0.2">
      <c r="DY33131" s="185" t="s">
        <v>215</v>
      </c>
    </row>
    <row r="33132" spans="129:129" x14ac:dyDescent="0.2">
      <c r="DY33132" s="185" t="s">
        <v>215</v>
      </c>
    </row>
    <row r="33133" spans="129:129" x14ac:dyDescent="0.2">
      <c r="DY33133" s="185" t="s">
        <v>215</v>
      </c>
    </row>
    <row r="33134" spans="129:129" x14ac:dyDescent="0.2">
      <c r="DY33134" s="185" t="s">
        <v>215</v>
      </c>
    </row>
    <row r="33135" spans="129:129" x14ac:dyDescent="0.2">
      <c r="DY33135" s="185" t="s">
        <v>215</v>
      </c>
    </row>
    <row r="33136" spans="129:129" x14ac:dyDescent="0.2">
      <c r="DY33136" s="185" t="s">
        <v>215</v>
      </c>
    </row>
    <row r="33137" spans="129:129" x14ac:dyDescent="0.2">
      <c r="DY33137" s="185" t="s">
        <v>215</v>
      </c>
    </row>
    <row r="33138" spans="129:129" x14ac:dyDescent="0.2">
      <c r="DY33138" s="185" t="s">
        <v>215</v>
      </c>
    </row>
    <row r="33139" spans="129:129" x14ac:dyDescent="0.2">
      <c r="DY33139" s="185" t="s">
        <v>215</v>
      </c>
    </row>
    <row r="33140" spans="129:129" x14ac:dyDescent="0.2">
      <c r="DY33140" s="185" t="s">
        <v>215</v>
      </c>
    </row>
    <row r="33141" spans="129:129" x14ac:dyDescent="0.2">
      <c r="DY33141" s="185" t="s">
        <v>215</v>
      </c>
    </row>
    <row r="33142" spans="129:129" x14ac:dyDescent="0.2">
      <c r="DY33142" s="185" t="s">
        <v>215</v>
      </c>
    </row>
    <row r="33143" spans="129:129" x14ac:dyDescent="0.2">
      <c r="DY33143" s="185" t="s">
        <v>215</v>
      </c>
    </row>
    <row r="33144" spans="129:129" x14ac:dyDescent="0.2">
      <c r="DY33144" s="185" t="s">
        <v>215</v>
      </c>
    </row>
    <row r="33145" spans="129:129" x14ac:dyDescent="0.2">
      <c r="DY33145" s="185" t="s">
        <v>215</v>
      </c>
    </row>
    <row r="33146" spans="129:129" x14ac:dyDescent="0.2">
      <c r="DY33146" s="185" t="s">
        <v>215</v>
      </c>
    </row>
    <row r="33147" spans="129:129" x14ac:dyDescent="0.2">
      <c r="DY33147" s="185" t="s">
        <v>215</v>
      </c>
    </row>
    <row r="33148" spans="129:129" x14ac:dyDescent="0.2">
      <c r="DY33148" s="185" t="s">
        <v>215</v>
      </c>
    </row>
    <row r="33149" spans="129:129" x14ac:dyDescent="0.2">
      <c r="DY33149" s="185" t="s">
        <v>215</v>
      </c>
    </row>
    <row r="33150" spans="129:129" x14ac:dyDescent="0.2">
      <c r="DY33150" s="185" t="s">
        <v>215</v>
      </c>
    </row>
    <row r="33151" spans="129:129" x14ac:dyDescent="0.2">
      <c r="DY33151" s="185" t="s">
        <v>215</v>
      </c>
    </row>
    <row r="33152" spans="129:129" x14ac:dyDescent="0.2">
      <c r="DY33152" s="185" t="s">
        <v>215</v>
      </c>
    </row>
    <row r="33153" spans="129:129" x14ac:dyDescent="0.2">
      <c r="DY33153" s="185" t="s">
        <v>215</v>
      </c>
    </row>
    <row r="33154" spans="129:129" x14ac:dyDescent="0.2">
      <c r="DY33154" s="185" t="s">
        <v>215</v>
      </c>
    </row>
    <row r="33155" spans="129:129" x14ac:dyDescent="0.2">
      <c r="DY33155" s="185" t="s">
        <v>215</v>
      </c>
    </row>
    <row r="33156" spans="129:129" x14ac:dyDescent="0.2">
      <c r="DY33156" s="185" t="s">
        <v>215</v>
      </c>
    </row>
    <row r="33157" spans="129:129" x14ac:dyDescent="0.2">
      <c r="DY33157" s="185" t="s">
        <v>215</v>
      </c>
    </row>
    <row r="33158" spans="129:129" x14ac:dyDescent="0.2">
      <c r="DY33158" s="185" t="s">
        <v>215</v>
      </c>
    </row>
    <row r="33159" spans="129:129" x14ac:dyDescent="0.2">
      <c r="DY33159" s="185" t="s">
        <v>215</v>
      </c>
    </row>
    <row r="33160" spans="129:129" x14ac:dyDescent="0.2">
      <c r="DY33160" s="185" t="s">
        <v>215</v>
      </c>
    </row>
    <row r="33161" spans="129:129" x14ac:dyDescent="0.2">
      <c r="DY33161" s="185" t="s">
        <v>215</v>
      </c>
    </row>
    <row r="33162" spans="129:129" x14ac:dyDescent="0.2">
      <c r="DY33162" s="185" t="s">
        <v>215</v>
      </c>
    </row>
    <row r="33163" spans="129:129" x14ac:dyDescent="0.2">
      <c r="DY33163" s="185" t="s">
        <v>215</v>
      </c>
    </row>
    <row r="33164" spans="129:129" x14ac:dyDescent="0.2">
      <c r="DY33164" s="185" t="s">
        <v>215</v>
      </c>
    </row>
    <row r="33165" spans="129:129" x14ac:dyDescent="0.2">
      <c r="DY33165" s="185" t="s">
        <v>215</v>
      </c>
    </row>
    <row r="33166" spans="129:129" x14ac:dyDescent="0.2">
      <c r="DY33166" s="185" t="s">
        <v>215</v>
      </c>
    </row>
    <row r="33167" spans="129:129" x14ac:dyDescent="0.2">
      <c r="DY33167" s="185" t="s">
        <v>215</v>
      </c>
    </row>
    <row r="33168" spans="129:129" x14ac:dyDescent="0.2">
      <c r="DY33168" s="185" t="s">
        <v>215</v>
      </c>
    </row>
    <row r="33169" spans="129:129" x14ac:dyDescent="0.2">
      <c r="DY33169" s="185" t="s">
        <v>215</v>
      </c>
    </row>
    <row r="33170" spans="129:129" x14ac:dyDescent="0.2">
      <c r="DY33170" s="185" t="s">
        <v>215</v>
      </c>
    </row>
    <row r="33171" spans="129:129" x14ac:dyDescent="0.2">
      <c r="DY33171" s="185" t="s">
        <v>215</v>
      </c>
    </row>
    <row r="33172" spans="129:129" x14ac:dyDescent="0.2">
      <c r="DY33172" s="185" t="s">
        <v>215</v>
      </c>
    </row>
    <row r="33173" spans="129:129" x14ac:dyDescent="0.2">
      <c r="DY33173" s="185" t="s">
        <v>215</v>
      </c>
    </row>
    <row r="33174" spans="129:129" x14ac:dyDescent="0.2">
      <c r="DY33174" s="185" t="s">
        <v>215</v>
      </c>
    </row>
    <row r="33175" spans="129:129" x14ac:dyDescent="0.2">
      <c r="DY33175" s="185" t="s">
        <v>215</v>
      </c>
    </row>
    <row r="33176" spans="129:129" x14ac:dyDescent="0.2">
      <c r="DY33176" s="185" t="s">
        <v>215</v>
      </c>
    </row>
    <row r="33177" spans="129:129" x14ac:dyDescent="0.2">
      <c r="DY33177" s="185" t="s">
        <v>215</v>
      </c>
    </row>
    <row r="33178" spans="129:129" x14ac:dyDescent="0.2">
      <c r="DY33178" s="185" t="s">
        <v>215</v>
      </c>
    </row>
    <row r="33179" spans="129:129" x14ac:dyDescent="0.2">
      <c r="DY33179" s="185" t="s">
        <v>215</v>
      </c>
    </row>
    <row r="33180" spans="129:129" x14ac:dyDescent="0.2">
      <c r="DY33180" s="185" t="s">
        <v>215</v>
      </c>
    </row>
    <row r="33181" spans="129:129" x14ac:dyDescent="0.2">
      <c r="DY33181" s="185" t="s">
        <v>215</v>
      </c>
    </row>
    <row r="33182" spans="129:129" x14ac:dyDescent="0.2">
      <c r="DY33182" s="185" t="s">
        <v>215</v>
      </c>
    </row>
    <row r="33183" spans="129:129" x14ac:dyDescent="0.2">
      <c r="DY33183" s="185" t="s">
        <v>215</v>
      </c>
    </row>
    <row r="33184" spans="129:129" x14ac:dyDescent="0.2">
      <c r="DY33184" s="185" t="s">
        <v>215</v>
      </c>
    </row>
    <row r="33185" spans="129:129" x14ac:dyDescent="0.2">
      <c r="DY33185" s="185" t="s">
        <v>215</v>
      </c>
    </row>
    <row r="33186" spans="129:129" x14ac:dyDescent="0.2">
      <c r="DY33186" s="185" t="s">
        <v>215</v>
      </c>
    </row>
    <row r="33187" spans="129:129" x14ac:dyDescent="0.2">
      <c r="DY33187" s="185" t="s">
        <v>215</v>
      </c>
    </row>
    <row r="33188" spans="129:129" x14ac:dyDescent="0.2">
      <c r="DY33188" s="185" t="s">
        <v>215</v>
      </c>
    </row>
    <row r="33189" spans="129:129" x14ac:dyDescent="0.2">
      <c r="DY33189" s="185" t="s">
        <v>215</v>
      </c>
    </row>
    <row r="33190" spans="129:129" x14ac:dyDescent="0.2">
      <c r="DY33190" s="185" t="s">
        <v>215</v>
      </c>
    </row>
    <row r="33191" spans="129:129" x14ac:dyDescent="0.2">
      <c r="DY33191" s="185" t="s">
        <v>215</v>
      </c>
    </row>
    <row r="33192" spans="129:129" x14ac:dyDescent="0.2">
      <c r="DY33192" s="185" t="s">
        <v>215</v>
      </c>
    </row>
    <row r="33193" spans="129:129" x14ac:dyDescent="0.2">
      <c r="DY33193" s="185" t="s">
        <v>215</v>
      </c>
    </row>
    <row r="33194" spans="129:129" x14ac:dyDescent="0.2">
      <c r="DY33194" s="185" t="s">
        <v>215</v>
      </c>
    </row>
    <row r="33195" spans="129:129" x14ac:dyDescent="0.2">
      <c r="DY33195" s="185" t="s">
        <v>215</v>
      </c>
    </row>
    <row r="33196" spans="129:129" x14ac:dyDescent="0.2">
      <c r="DY33196" s="185" t="s">
        <v>215</v>
      </c>
    </row>
    <row r="33197" spans="129:129" x14ac:dyDescent="0.2">
      <c r="DY33197" s="185" t="s">
        <v>215</v>
      </c>
    </row>
    <row r="33198" spans="129:129" x14ac:dyDescent="0.2">
      <c r="DY33198" s="185" t="s">
        <v>215</v>
      </c>
    </row>
    <row r="33199" spans="129:129" x14ac:dyDescent="0.2">
      <c r="DY33199" s="185" t="s">
        <v>215</v>
      </c>
    </row>
    <row r="33200" spans="129:129" x14ac:dyDescent="0.2">
      <c r="DY33200" s="185" t="s">
        <v>215</v>
      </c>
    </row>
    <row r="33201" spans="129:129" x14ac:dyDescent="0.2">
      <c r="DY33201" s="185" t="s">
        <v>215</v>
      </c>
    </row>
    <row r="33202" spans="129:129" x14ac:dyDescent="0.2">
      <c r="DY33202" s="185" t="s">
        <v>215</v>
      </c>
    </row>
    <row r="33203" spans="129:129" x14ac:dyDescent="0.2">
      <c r="DY33203" s="185" t="s">
        <v>215</v>
      </c>
    </row>
    <row r="33204" spans="129:129" x14ac:dyDescent="0.2">
      <c r="DY33204" s="185" t="s">
        <v>215</v>
      </c>
    </row>
    <row r="33205" spans="129:129" x14ac:dyDescent="0.2">
      <c r="DY33205" s="185" t="s">
        <v>215</v>
      </c>
    </row>
    <row r="33206" spans="129:129" x14ac:dyDescent="0.2">
      <c r="DY33206" s="185" t="s">
        <v>215</v>
      </c>
    </row>
    <row r="33207" spans="129:129" x14ac:dyDescent="0.2">
      <c r="DY33207" s="185" t="s">
        <v>215</v>
      </c>
    </row>
    <row r="33208" spans="129:129" x14ac:dyDescent="0.2">
      <c r="DY33208" s="185" t="s">
        <v>215</v>
      </c>
    </row>
    <row r="33209" spans="129:129" x14ac:dyDescent="0.2">
      <c r="DY33209" s="185" t="s">
        <v>215</v>
      </c>
    </row>
    <row r="33210" spans="129:129" x14ac:dyDescent="0.2">
      <c r="DY33210" s="185" t="s">
        <v>215</v>
      </c>
    </row>
    <row r="33211" spans="129:129" x14ac:dyDescent="0.2">
      <c r="DY33211" s="185" t="s">
        <v>215</v>
      </c>
    </row>
    <row r="33212" spans="129:129" x14ac:dyDescent="0.2">
      <c r="DY33212" s="185" t="s">
        <v>215</v>
      </c>
    </row>
    <row r="33213" spans="129:129" x14ac:dyDescent="0.2">
      <c r="DY33213" s="185" t="s">
        <v>215</v>
      </c>
    </row>
    <row r="33214" spans="129:129" x14ac:dyDescent="0.2">
      <c r="DY33214" s="185" t="s">
        <v>215</v>
      </c>
    </row>
    <row r="33215" spans="129:129" x14ac:dyDescent="0.2">
      <c r="DY33215" s="185" t="s">
        <v>215</v>
      </c>
    </row>
    <row r="33216" spans="129:129" x14ac:dyDescent="0.2">
      <c r="DY33216" s="185" t="s">
        <v>215</v>
      </c>
    </row>
    <row r="33217" spans="129:129" x14ac:dyDescent="0.2">
      <c r="DY33217" s="185" t="s">
        <v>215</v>
      </c>
    </row>
    <row r="33218" spans="129:129" x14ac:dyDescent="0.2">
      <c r="DY33218" s="185" t="s">
        <v>215</v>
      </c>
    </row>
    <row r="33219" spans="129:129" x14ac:dyDescent="0.2">
      <c r="DY33219" s="185" t="s">
        <v>215</v>
      </c>
    </row>
    <row r="33220" spans="129:129" x14ac:dyDescent="0.2">
      <c r="DY33220" s="185" t="s">
        <v>215</v>
      </c>
    </row>
    <row r="33221" spans="129:129" x14ac:dyDescent="0.2">
      <c r="DY33221" s="185" t="s">
        <v>215</v>
      </c>
    </row>
    <row r="33222" spans="129:129" x14ac:dyDescent="0.2">
      <c r="DY33222" s="185" t="s">
        <v>215</v>
      </c>
    </row>
    <row r="33223" spans="129:129" x14ac:dyDescent="0.2">
      <c r="DY33223" s="185" t="s">
        <v>215</v>
      </c>
    </row>
    <row r="33224" spans="129:129" x14ac:dyDescent="0.2">
      <c r="DY33224" s="185" t="s">
        <v>215</v>
      </c>
    </row>
    <row r="33225" spans="129:129" x14ac:dyDescent="0.2">
      <c r="DY33225" s="185" t="s">
        <v>215</v>
      </c>
    </row>
    <row r="33226" spans="129:129" x14ac:dyDescent="0.2">
      <c r="DY33226" s="185" t="s">
        <v>215</v>
      </c>
    </row>
    <row r="33227" spans="129:129" x14ac:dyDescent="0.2">
      <c r="DY33227" s="185" t="s">
        <v>215</v>
      </c>
    </row>
    <row r="33228" spans="129:129" x14ac:dyDescent="0.2">
      <c r="DY33228" s="185" t="s">
        <v>215</v>
      </c>
    </row>
    <row r="33229" spans="129:129" x14ac:dyDescent="0.2">
      <c r="DY33229" s="185" t="s">
        <v>215</v>
      </c>
    </row>
    <row r="33230" spans="129:129" x14ac:dyDescent="0.2">
      <c r="DY33230" s="185" t="s">
        <v>215</v>
      </c>
    </row>
    <row r="33231" spans="129:129" x14ac:dyDescent="0.2">
      <c r="DY33231" s="185" t="s">
        <v>215</v>
      </c>
    </row>
    <row r="33232" spans="129:129" x14ac:dyDescent="0.2">
      <c r="DY33232" s="185" t="s">
        <v>215</v>
      </c>
    </row>
    <row r="33233" spans="129:129" x14ac:dyDescent="0.2">
      <c r="DY33233" s="185" t="s">
        <v>215</v>
      </c>
    </row>
    <row r="33234" spans="129:129" x14ac:dyDescent="0.2">
      <c r="DY33234" s="185" t="s">
        <v>215</v>
      </c>
    </row>
    <row r="33235" spans="129:129" x14ac:dyDescent="0.2">
      <c r="DY33235" s="185" t="s">
        <v>215</v>
      </c>
    </row>
    <row r="33236" spans="129:129" x14ac:dyDescent="0.2">
      <c r="DY33236" s="185" t="s">
        <v>215</v>
      </c>
    </row>
    <row r="33237" spans="129:129" x14ac:dyDescent="0.2">
      <c r="DY33237" s="185" t="s">
        <v>215</v>
      </c>
    </row>
    <row r="33238" spans="129:129" x14ac:dyDescent="0.2">
      <c r="DY33238" s="185" t="s">
        <v>215</v>
      </c>
    </row>
    <row r="33239" spans="129:129" x14ac:dyDescent="0.2">
      <c r="DY33239" s="185" t="s">
        <v>215</v>
      </c>
    </row>
    <row r="33240" spans="129:129" x14ac:dyDescent="0.2">
      <c r="DY33240" s="185" t="s">
        <v>215</v>
      </c>
    </row>
    <row r="33241" spans="129:129" x14ac:dyDescent="0.2">
      <c r="DY33241" s="185" t="s">
        <v>215</v>
      </c>
    </row>
    <row r="33242" spans="129:129" x14ac:dyDescent="0.2">
      <c r="DY33242" s="185" t="s">
        <v>215</v>
      </c>
    </row>
    <row r="33243" spans="129:129" x14ac:dyDescent="0.2">
      <c r="DY33243" s="185" t="s">
        <v>215</v>
      </c>
    </row>
    <row r="33244" spans="129:129" x14ac:dyDescent="0.2">
      <c r="DY33244" s="185" t="s">
        <v>215</v>
      </c>
    </row>
    <row r="33245" spans="129:129" x14ac:dyDescent="0.2">
      <c r="DY33245" s="185" t="s">
        <v>215</v>
      </c>
    </row>
    <row r="33246" spans="129:129" x14ac:dyDescent="0.2">
      <c r="DY33246" s="185" t="s">
        <v>215</v>
      </c>
    </row>
    <row r="33247" spans="129:129" x14ac:dyDescent="0.2">
      <c r="DY33247" s="185" t="s">
        <v>215</v>
      </c>
    </row>
    <row r="33248" spans="129:129" x14ac:dyDescent="0.2">
      <c r="DY33248" s="185" t="s">
        <v>215</v>
      </c>
    </row>
    <row r="33249" spans="129:129" x14ac:dyDescent="0.2">
      <c r="DY33249" s="185" t="s">
        <v>215</v>
      </c>
    </row>
    <row r="33250" spans="129:129" x14ac:dyDescent="0.2">
      <c r="DY33250" s="185" t="s">
        <v>215</v>
      </c>
    </row>
    <row r="33251" spans="129:129" x14ac:dyDescent="0.2">
      <c r="DY33251" s="185" t="s">
        <v>215</v>
      </c>
    </row>
    <row r="33252" spans="129:129" x14ac:dyDescent="0.2">
      <c r="DY33252" s="185" t="s">
        <v>215</v>
      </c>
    </row>
    <row r="33253" spans="129:129" x14ac:dyDescent="0.2">
      <c r="DY33253" s="185" t="s">
        <v>215</v>
      </c>
    </row>
    <row r="33254" spans="129:129" x14ac:dyDescent="0.2">
      <c r="DY33254" s="185" t="s">
        <v>215</v>
      </c>
    </row>
    <row r="33255" spans="129:129" x14ac:dyDescent="0.2">
      <c r="DY33255" s="185" t="s">
        <v>215</v>
      </c>
    </row>
    <row r="33256" spans="129:129" x14ac:dyDescent="0.2">
      <c r="DY33256" s="185" t="s">
        <v>215</v>
      </c>
    </row>
    <row r="33257" spans="129:129" x14ac:dyDescent="0.2">
      <c r="DY33257" s="185" t="s">
        <v>215</v>
      </c>
    </row>
    <row r="33258" spans="129:129" x14ac:dyDescent="0.2">
      <c r="DY33258" s="185" t="s">
        <v>215</v>
      </c>
    </row>
    <row r="33259" spans="129:129" x14ac:dyDescent="0.2">
      <c r="DY33259" s="185" t="s">
        <v>215</v>
      </c>
    </row>
    <row r="33260" spans="129:129" x14ac:dyDescent="0.2">
      <c r="DY33260" s="185" t="s">
        <v>215</v>
      </c>
    </row>
    <row r="33261" spans="129:129" x14ac:dyDescent="0.2">
      <c r="DY33261" s="185" t="s">
        <v>215</v>
      </c>
    </row>
    <row r="33262" spans="129:129" x14ac:dyDescent="0.2">
      <c r="DY33262" s="185" t="s">
        <v>215</v>
      </c>
    </row>
    <row r="33263" spans="129:129" x14ac:dyDescent="0.2">
      <c r="DY33263" s="185" t="s">
        <v>215</v>
      </c>
    </row>
    <row r="33264" spans="129:129" x14ac:dyDescent="0.2">
      <c r="DY33264" s="185" t="s">
        <v>215</v>
      </c>
    </row>
    <row r="33265" spans="129:129" x14ac:dyDescent="0.2">
      <c r="DY33265" s="185" t="s">
        <v>215</v>
      </c>
    </row>
    <row r="33266" spans="129:129" x14ac:dyDescent="0.2">
      <c r="DY33266" s="185" t="s">
        <v>215</v>
      </c>
    </row>
    <row r="33267" spans="129:129" x14ac:dyDescent="0.2">
      <c r="DY33267" s="185" t="s">
        <v>215</v>
      </c>
    </row>
    <row r="33268" spans="129:129" x14ac:dyDescent="0.2">
      <c r="DY33268" s="185" t="s">
        <v>215</v>
      </c>
    </row>
    <row r="33269" spans="129:129" x14ac:dyDescent="0.2">
      <c r="DY33269" s="185" t="s">
        <v>215</v>
      </c>
    </row>
    <row r="33270" spans="129:129" x14ac:dyDescent="0.2">
      <c r="DY33270" s="185" t="s">
        <v>215</v>
      </c>
    </row>
    <row r="33271" spans="129:129" x14ac:dyDescent="0.2">
      <c r="DY33271" s="185" t="s">
        <v>215</v>
      </c>
    </row>
    <row r="33272" spans="129:129" x14ac:dyDescent="0.2">
      <c r="DY33272" s="185" t="s">
        <v>215</v>
      </c>
    </row>
    <row r="33273" spans="129:129" x14ac:dyDescent="0.2">
      <c r="DY33273" s="185" t="s">
        <v>215</v>
      </c>
    </row>
    <row r="33274" spans="129:129" x14ac:dyDescent="0.2">
      <c r="DY33274" s="185" t="s">
        <v>215</v>
      </c>
    </row>
    <row r="33275" spans="129:129" x14ac:dyDescent="0.2">
      <c r="DY33275" s="185" t="s">
        <v>215</v>
      </c>
    </row>
    <row r="33276" spans="129:129" x14ac:dyDescent="0.2">
      <c r="DY33276" s="185" t="s">
        <v>215</v>
      </c>
    </row>
    <row r="33277" spans="129:129" x14ac:dyDescent="0.2">
      <c r="DY33277" s="185" t="s">
        <v>215</v>
      </c>
    </row>
    <row r="33278" spans="129:129" x14ac:dyDescent="0.2">
      <c r="DY33278" s="185" t="s">
        <v>215</v>
      </c>
    </row>
    <row r="33279" spans="129:129" x14ac:dyDescent="0.2">
      <c r="DY33279" s="185" t="s">
        <v>215</v>
      </c>
    </row>
    <row r="33280" spans="129:129" x14ac:dyDescent="0.2">
      <c r="DY33280" s="185" t="s">
        <v>215</v>
      </c>
    </row>
    <row r="33281" spans="129:129" x14ac:dyDescent="0.2">
      <c r="DY33281" s="185" t="s">
        <v>215</v>
      </c>
    </row>
    <row r="33282" spans="129:129" x14ac:dyDescent="0.2">
      <c r="DY33282" s="185" t="s">
        <v>215</v>
      </c>
    </row>
    <row r="33283" spans="129:129" x14ac:dyDescent="0.2">
      <c r="DY33283" s="185" t="s">
        <v>215</v>
      </c>
    </row>
    <row r="33284" spans="129:129" x14ac:dyDescent="0.2">
      <c r="DY33284" s="185" t="s">
        <v>215</v>
      </c>
    </row>
    <row r="33285" spans="129:129" x14ac:dyDescent="0.2">
      <c r="DY33285" s="185" t="s">
        <v>215</v>
      </c>
    </row>
    <row r="33286" spans="129:129" x14ac:dyDescent="0.2">
      <c r="DY33286" s="185" t="s">
        <v>215</v>
      </c>
    </row>
    <row r="33287" spans="129:129" x14ac:dyDescent="0.2">
      <c r="DY33287" s="185" t="s">
        <v>215</v>
      </c>
    </row>
    <row r="33288" spans="129:129" x14ac:dyDescent="0.2">
      <c r="DY33288" s="185" t="s">
        <v>215</v>
      </c>
    </row>
    <row r="33289" spans="129:129" x14ac:dyDescent="0.2">
      <c r="DY33289" s="185" t="s">
        <v>215</v>
      </c>
    </row>
    <row r="33290" spans="129:129" x14ac:dyDescent="0.2">
      <c r="DY33290" s="185" t="s">
        <v>215</v>
      </c>
    </row>
    <row r="33291" spans="129:129" x14ac:dyDescent="0.2">
      <c r="DY33291" s="185" t="s">
        <v>215</v>
      </c>
    </row>
    <row r="33292" spans="129:129" x14ac:dyDescent="0.2">
      <c r="DY33292" s="185" t="s">
        <v>215</v>
      </c>
    </row>
    <row r="33293" spans="129:129" x14ac:dyDescent="0.2">
      <c r="DY33293" s="185" t="s">
        <v>215</v>
      </c>
    </row>
    <row r="33294" spans="129:129" x14ac:dyDescent="0.2">
      <c r="DY33294" s="185" t="s">
        <v>215</v>
      </c>
    </row>
    <row r="33295" spans="129:129" x14ac:dyDescent="0.2">
      <c r="DY33295" s="185" t="s">
        <v>215</v>
      </c>
    </row>
    <row r="33296" spans="129:129" x14ac:dyDescent="0.2">
      <c r="DY33296" s="185" t="s">
        <v>215</v>
      </c>
    </row>
    <row r="33297" spans="129:129" x14ac:dyDescent="0.2">
      <c r="DY33297" s="185" t="s">
        <v>215</v>
      </c>
    </row>
    <row r="33298" spans="129:129" x14ac:dyDescent="0.2">
      <c r="DY33298" s="185" t="s">
        <v>215</v>
      </c>
    </row>
    <row r="33299" spans="129:129" x14ac:dyDescent="0.2">
      <c r="DY33299" s="185" t="s">
        <v>215</v>
      </c>
    </row>
    <row r="33300" spans="129:129" x14ac:dyDescent="0.2">
      <c r="DY33300" s="185" t="s">
        <v>215</v>
      </c>
    </row>
    <row r="33301" spans="129:129" x14ac:dyDescent="0.2">
      <c r="DY33301" s="185" t="s">
        <v>215</v>
      </c>
    </row>
    <row r="33302" spans="129:129" x14ac:dyDescent="0.2">
      <c r="DY33302" s="185" t="s">
        <v>215</v>
      </c>
    </row>
    <row r="33303" spans="129:129" x14ac:dyDescent="0.2">
      <c r="DY33303" s="185" t="s">
        <v>215</v>
      </c>
    </row>
    <row r="33304" spans="129:129" x14ac:dyDescent="0.2">
      <c r="DY33304" s="185" t="s">
        <v>215</v>
      </c>
    </row>
    <row r="33305" spans="129:129" x14ac:dyDescent="0.2">
      <c r="DY33305" s="185" t="s">
        <v>215</v>
      </c>
    </row>
    <row r="33306" spans="129:129" x14ac:dyDescent="0.2">
      <c r="DY33306" s="185" t="s">
        <v>215</v>
      </c>
    </row>
    <row r="33307" spans="129:129" x14ac:dyDescent="0.2">
      <c r="DY33307" s="185" t="s">
        <v>215</v>
      </c>
    </row>
    <row r="33308" spans="129:129" x14ac:dyDescent="0.2">
      <c r="DY33308" s="185" t="s">
        <v>215</v>
      </c>
    </row>
    <row r="33309" spans="129:129" x14ac:dyDescent="0.2">
      <c r="DY33309" s="185" t="s">
        <v>215</v>
      </c>
    </row>
    <row r="33310" spans="129:129" x14ac:dyDescent="0.2">
      <c r="DY33310" s="185" t="s">
        <v>215</v>
      </c>
    </row>
    <row r="33311" spans="129:129" x14ac:dyDescent="0.2">
      <c r="DY33311" s="185" t="s">
        <v>215</v>
      </c>
    </row>
    <row r="33312" spans="129:129" x14ac:dyDescent="0.2">
      <c r="DY33312" s="185" t="s">
        <v>215</v>
      </c>
    </row>
    <row r="33313" spans="129:129" x14ac:dyDescent="0.2">
      <c r="DY33313" s="185" t="s">
        <v>215</v>
      </c>
    </row>
    <row r="33314" spans="129:129" x14ac:dyDescent="0.2">
      <c r="DY33314" s="185" t="s">
        <v>215</v>
      </c>
    </row>
    <row r="33315" spans="129:129" x14ac:dyDescent="0.2">
      <c r="DY33315" s="185" t="s">
        <v>215</v>
      </c>
    </row>
    <row r="33316" spans="129:129" x14ac:dyDescent="0.2">
      <c r="DY33316" s="185" t="s">
        <v>215</v>
      </c>
    </row>
    <row r="33317" spans="129:129" x14ac:dyDescent="0.2">
      <c r="DY33317" s="185" t="s">
        <v>215</v>
      </c>
    </row>
    <row r="33318" spans="129:129" x14ac:dyDescent="0.2">
      <c r="DY33318" s="185" t="s">
        <v>215</v>
      </c>
    </row>
    <row r="33319" spans="129:129" x14ac:dyDescent="0.2">
      <c r="DY33319" s="185" t="s">
        <v>215</v>
      </c>
    </row>
    <row r="33320" spans="129:129" x14ac:dyDescent="0.2">
      <c r="DY33320" s="185" t="s">
        <v>215</v>
      </c>
    </row>
    <row r="33321" spans="129:129" x14ac:dyDescent="0.2">
      <c r="DY33321" s="185" t="s">
        <v>215</v>
      </c>
    </row>
    <row r="33322" spans="129:129" x14ac:dyDescent="0.2">
      <c r="DY33322" s="185" t="s">
        <v>215</v>
      </c>
    </row>
    <row r="33323" spans="129:129" x14ac:dyDescent="0.2">
      <c r="DY33323" s="185" t="s">
        <v>215</v>
      </c>
    </row>
    <row r="33324" spans="129:129" x14ac:dyDescent="0.2">
      <c r="DY33324" s="185" t="s">
        <v>215</v>
      </c>
    </row>
    <row r="33325" spans="129:129" x14ac:dyDescent="0.2">
      <c r="DY33325" s="185" t="s">
        <v>215</v>
      </c>
    </row>
    <row r="33326" spans="129:129" x14ac:dyDescent="0.2">
      <c r="DY33326" s="185" t="s">
        <v>215</v>
      </c>
    </row>
    <row r="33327" spans="129:129" x14ac:dyDescent="0.2">
      <c r="DY33327" s="185" t="s">
        <v>215</v>
      </c>
    </row>
    <row r="33328" spans="129:129" x14ac:dyDescent="0.2">
      <c r="DY33328" s="185" t="s">
        <v>215</v>
      </c>
    </row>
    <row r="33329" spans="129:129" x14ac:dyDescent="0.2">
      <c r="DY33329" s="185" t="s">
        <v>215</v>
      </c>
    </row>
    <row r="33330" spans="129:129" x14ac:dyDescent="0.2">
      <c r="DY33330" s="185" t="s">
        <v>215</v>
      </c>
    </row>
    <row r="33331" spans="129:129" x14ac:dyDescent="0.2">
      <c r="DY33331" s="185" t="s">
        <v>215</v>
      </c>
    </row>
    <row r="33332" spans="129:129" x14ac:dyDescent="0.2">
      <c r="DY33332" s="185" t="s">
        <v>215</v>
      </c>
    </row>
    <row r="33333" spans="129:129" x14ac:dyDescent="0.2">
      <c r="DY33333" s="185" t="s">
        <v>215</v>
      </c>
    </row>
    <row r="33334" spans="129:129" x14ac:dyDescent="0.2">
      <c r="DY33334" s="185" t="s">
        <v>215</v>
      </c>
    </row>
    <row r="33335" spans="129:129" x14ac:dyDescent="0.2">
      <c r="DY33335" s="185" t="s">
        <v>215</v>
      </c>
    </row>
    <row r="33336" spans="129:129" x14ac:dyDescent="0.2">
      <c r="DY33336" s="185" t="s">
        <v>215</v>
      </c>
    </row>
    <row r="33337" spans="129:129" x14ac:dyDescent="0.2">
      <c r="DY33337" s="185" t="s">
        <v>215</v>
      </c>
    </row>
    <row r="33338" spans="129:129" x14ac:dyDescent="0.2">
      <c r="DY33338" s="185" t="s">
        <v>215</v>
      </c>
    </row>
    <row r="33339" spans="129:129" x14ac:dyDescent="0.2">
      <c r="DY33339" s="185" t="s">
        <v>215</v>
      </c>
    </row>
    <row r="33340" spans="129:129" x14ac:dyDescent="0.2">
      <c r="DY33340" s="185" t="s">
        <v>215</v>
      </c>
    </row>
    <row r="33341" spans="129:129" x14ac:dyDescent="0.2">
      <c r="DY33341" s="185" t="s">
        <v>215</v>
      </c>
    </row>
    <row r="33342" spans="129:129" x14ac:dyDescent="0.2">
      <c r="DY33342" s="185" t="s">
        <v>215</v>
      </c>
    </row>
    <row r="33343" spans="129:129" x14ac:dyDescent="0.2">
      <c r="DY33343" s="185" t="s">
        <v>215</v>
      </c>
    </row>
    <row r="33344" spans="129:129" x14ac:dyDescent="0.2">
      <c r="DY33344" s="185" t="s">
        <v>215</v>
      </c>
    </row>
    <row r="33345" spans="129:129" x14ac:dyDescent="0.2">
      <c r="DY33345" s="185" t="s">
        <v>215</v>
      </c>
    </row>
    <row r="33346" spans="129:129" x14ac:dyDescent="0.2">
      <c r="DY33346" s="185" t="s">
        <v>215</v>
      </c>
    </row>
    <row r="33347" spans="129:129" x14ac:dyDescent="0.2">
      <c r="DY33347" s="185" t="s">
        <v>215</v>
      </c>
    </row>
    <row r="33348" spans="129:129" x14ac:dyDescent="0.2">
      <c r="DY33348" s="185" t="s">
        <v>215</v>
      </c>
    </row>
    <row r="33349" spans="129:129" x14ac:dyDescent="0.2">
      <c r="DY33349" s="185" t="s">
        <v>215</v>
      </c>
    </row>
    <row r="33350" spans="129:129" x14ac:dyDescent="0.2">
      <c r="DY33350" s="185" t="s">
        <v>215</v>
      </c>
    </row>
    <row r="33351" spans="129:129" x14ac:dyDescent="0.2">
      <c r="DY33351" s="185" t="s">
        <v>215</v>
      </c>
    </row>
    <row r="33352" spans="129:129" x14ac:dyDescent="0.2">
      <c r="DY33352" s="185" t="s">
        <v>215</v>
      </c>
    </row>
    <row r="33353" spans="129:129" x14ac:dyDescent="0.2">
      <c r="DY33353" s="185" t="s">
        <v>215</v>
      </c>
    </row>
    <row r="33354" spans="129:129" x14ac:dyDescent="0.2">
      <c r="DY33354" s="185" t="s">
        <v>215</v>
      </c>
    </row>
    <row r="33355" spans="129:129" x14ac:dyDescent="0.2">
      <c r="DY33355" s="185" t="s">
        <v>215</v>
      </c>
    </row>
    <row r="33356" spans="129:129" x14ac:dyDescent="0.2">
      <c r="DY33356" s="185" t="s">
        <v>215</v>
      </c>
    </row>
    <row r="33357" spans="129:129" x14ac:dyDescent="0.2">
      <c r="DY33357" s="185" t="s">
        <v>215</v>
      </c>
    </row>
    <row r="33358" spans="129:129" x14ac:dyDescent="0.2">
      <c r="DY33358" s="185" t="s">
        <v>215</v>
      </c>
    </row>
    <row r="33359" spans="129:129" x14ac:dyDescent="0.2">
      <c r="DY33359" s="185" t="s">
        <v>215</v>
      </c>
    </row>
    <row r="33360" spans="129:129" x14ac:dyDescent="0.2">
      <c r="DY33360" s="185" t="s">
        <v>215</v>
      </c>
    </row>
    <row r="33361" spans="129:129" x14ac:dyDescent="0.2">
      <c r="DY33361" s="185" t="s">
        <v>215</v>
      </c>
    </row>
    <row r="33362" spans="129:129" x14ac:dyDescent="0.2">
      <c r="DY33362" s="185" t="s">
        <v>215</v>
      </c>
    </row>
    <row r="33363" spans="129:129" x14ac:dyDescent="0.2">
      <c r="DY33363" s="185" t="s">
        <v>215</v>
      </c>
    </row>
    <row r="33364" spans="129:129" x14ac:dyDescent="0.2">
      <c r="DY33364" s="185" t="s">
        <v>215</v>
      </c>
    </row>
    <row r="33365" spans="129:129" x14ac:dyDescent="0.2">
      <c r="DY33365" s="185" t="s">
        <v>215</v>
      </c>
    </row>
    <row r="33366" spans="129:129" x14ac:dyDescent="0.2">
      <c r="DY33366" s="185" t="s">
        <v>215</v>
      </c>
    </row>
    <row r="33367" spans="129:129" x14ac:dyDescent="0.2">
      <c r="DY33367" s="185" t="s">
        <v>215</v>
      </c>
    </row>
    <row r="33368" spans="129:129" x14ac:dyDescent="0.2">
      <c r="DY33368" s="185" t="s">
        <v>215</v>
      </c>
    </row>
    <row r="33369" spans="129:129" x14ac:dyDescent="0.2">
      <c r="DY33369" s="185" t="s">
        <v>215</v>
      </c>
    </row>
    <row r="33370" spans="129:129" x14ac:dyDescent="0.2">
      <c r="DY33370" s="185" t="s">
        <v>215</v>
      </c>
    </row>
    <row r="33371" spans="129:129" x14ac:dyDescent="0.2">
      <c r="DY33371" s="185" t="s">
        <v>215</v>
      </c>
    </row>
    <row r="33372" spans="129:129" x14ac:dyDescent="0.2">
      <c r="DY33372" s="185" t="s">
        <v>215</v>
      </c>
    </row>
    <row r="33373" spans="129:129" x14ac:dyDescent="0.2">
      <c r="DY33373" s="185" t="s">
        <v>215</v>
      </c>
    </row>
    <row r="33374" spans="129:129" x14ac:dyDescent="0.2">
      <c r="DY33374" s="185" t="s">
        <v>215</v>
      </c>
    </row>
    <row r="33375" spans="129:129" x14ac:dyDescent="0.2">
      <c r="DY33375" s="185" t="s">
        <v>215</v>
      </c>
    </row>
    <row r="33376" spans="129:129" x14ac:dyDescent="0.2">
      <c r="DY33376" s="185" t="s">
        <v>215</v>
      </c>
    </row>
    <row r="33377" spans="129:129" x14ac:dyDescent="0.2">
      <c r="DY33377" s="185" t="s">
        <v>215</v>
      </c>
    </row>
    <row r="33378" spans="129:129" x14ac:dyDescent="0.2">
      <c r="DY33378" s="185" t="s">
        <v>215</v>
      </c>
    </row>
    <row r="33379" spans="129:129" x14ac:dyDescent="0.2">
      <c r="DY33379" s="185" t="s">
        <v>215</v>
      </c>
    </row>
    <row r="33380" spans="129:129" x14ac:dyDescent="0.2">
      <c r="DY33380" s="185" t="s">
        <v>215</v>
      </c>
    </row>
    <row r="33381" spans="129:129" x14ac:dyDescent="0.2">
      <c r="DY33381" s="185" t="s">
        <v>215</v>
      </c>
    </row>
    <row r="33382" spans="129:129" x14ac:dyDescent="0.2">
      <c r="DY33382" s="185" t="s">
        <v>215</v>
      </c>
    </row>
    <row r="33383" spans="129:129" x14ac:dyDescent="0.2">
      <c r="DY33383" s="185" t="s">
        <v>215</v>
      </c>
    </row>
    <row r="33384" spans="129:129" x14ac:dyDescent="0.2">
      <c r="DY33384" s="185" t="s">
        <v>215</v>
      </c>
    </row>
    <row r="33385" spans="129:129" x14ac:dyDescent="0.2">
      <c r="DY33385" s="185" t="s">
        <v>215</v>
      </c>
    </row>
    <row r="33386" spans="129:129" x14ac:dyDescent="0.2">
      <c r="DY33386" s="185" t="s">
        <v>215</v>
      </c>
    </row>
    <row r="33387" spans="129:129" x14ac:dyDescent="0.2">
      <c r="DY33387" s="185" t="s">
        <v>215</v>
      </c>
    </row>
    <row r="33388" spans="129:129" x14ac:dyDescent="0.2">
      <c r="DY33388" s="185" t="s">
        <v>215</v>
      </c>
    </row>
    <row r="33389" spans="129:129" x14ac:dyDescent="0.2">
      <c r="DY33389" s="185" t="s">
        <v>215</v>
      </c>
    </row>
    <row r="33390" spans="129:129" x14ac:dyDescent="0.2">
      <c r="DY33390" s="185" t="s">
        <v>215</v>
      </c>
    </row>
    <row r="33391" spans="129:129" x14ac:dyDescent="0.2">
      <c r="DY33391" s="185" t="s">
        <v>215</v>
      </c>
    </row>
    <row r="33392" spans="129:129" x14ac:dyDescent="0.2">
      <c r="DY33392" s="185" t="s">
        <v>215</v>
      </c>
    </row>
    <row r="33393" spans="129:129" x14ac:dyDescent="0.2">
      <c r="DY33393" s="185" t="s">
        <v>215</v>
      </c>
    </row>
    <row r="33394" spans="129:129" x14ac:dyDescent="0.2">
      <c r="DY33394" s="185" t="s">
        <v>215</v>
      </c>
    </row>
    <row r="33395" spans="129:129" x14ac:dyDescent="0.2">
      <c r="DY33395" s="185" t="s">
        <v>215</v>
      </c>
    </row>
    <row r="33396" spans="129:129" x14ac:dyDescent="0.2">
      <c r="DY33396" s="185" t="s">
        <v>215</v>
      </c>
    </row>
    <row r="33397" spans="129:129" x14ac:dyDescent="0.2">
      <c r="DY33397" s="185" t="s">
        <v>215</v>
      </c>
    </row>
    <row r="33398" spans="129:129" x14ac:dyDescent="0.2">
      <c r="DY33398" s="185" t="s">
        <v>215</v>
      </c>
    </row>
    <row r="33399" spans="129:129" x14ac:dyDescent="0.2">
      <c r="DY33399" s="185" t="s">
        <v>215</v>
      </c>
    </row>
    <row r="33400" spans="129:129" x14ac:dyDescent="0.2">
      <c r="DY33400" s="185" t="s">
        <v>215</v>
      </c>
    </row>
    <row r="33401" spans="129:129" x14ac:dyDescent="0.2">
      <c r="DY33401" s="185" t="s">
        <v>215</v>
      </c>
    </row>
    <row r="33402" spans="129:129" x14ac:dyDescent="0.2">
      <c r="DY33402" s="185" t="s">
        <v>215</v>
      </c>
    </row>
    <row r="33403" spans="129:129" x14ac:dyDescent="0.2">
      <c r="DY33403" s="185" t="s">
        <v>215</v>
      </c>
    </row>
    <row r="33404" spans="129:129" x14ac:dyDescent="0.2">
      <c r="DY33404" s="185" t="s">
        <v>215</v>
      </c>
    </row>
    <row r="33405" spans="129:129" x14ac:dyDescent="0.2">
      <c r="DY33405" s="185" t="s">
        <v>215</v>
      </c>
    </row>
    <row r="33406" spans="129:129" x14ac:dyDescent="0.2">
      <c r="DY33406" s="185" t="s">
        <v>215</v>
      </c>
    </row>
    <row r="33407" spans="129:129" x14ac:dyDescent="0.2">
      <c r="DY33407" s="185" t="s">
        <v>215</v>
      </c>
    </row>
    <row r="33408" spans="129:129" x14ac:dyDescent="0.2">
      <c r="DY33408" s="185" t="s">
        <v>215</v>
      </c>
    </row>
    <row r="33409" spans="129:129" x14ac:dyDescent="0.2">
      <c r="DY33409" s="185" t="s">
        <v>215</v>
      </c>
    </row>
    <row r="33410" spans="129:129" x14ac:dyDescent="0.2">
      <c r="DY33410" s="185" t="s">
        <v>215</v>
      </c>
    </row>
    <row r="33411" spans="129:129" x14ac:dyDescent="0.2">
      <c r="DY33411" s="185" t="s">
        <v>215</v>
      </c>
    </row>
    <row r="33412" spans="129:129" x14ac:dyDescent="0.2">
      <c r="DY33412" s="185" t="s">
        <v>215</v>
      </c>
    </row>
    <row r="33413" spans="129:129" x14ac:dyDescent="0.2">
      <c r="DY33413" s="185" t="s">
        <v>215</v>
      </c>
    </row>
    <row r="33414" spans="129:129" x14ac:dyDescent="0.2">
      <c r="DY33414" s="185" t="s">
        <v>215</v>
      </c>
    </row>
    <row r="33415" spans="129:129" x14ac:dyDescent="0.2">
      <c r="DY33415" s="185" t="s">
        <v>215</v>
      </c>
    </row>
    <row r="33416" spans="129:129" x14ac:dyDescent="0.2">
      <c r="DY33416" s="185" t="s">
        <v>215</v>
      </c>
    </row>
    <row r="33417" spans="129:129" x14ac:dyDescent="0.2">
      <c r="DY33417" s="185" t="s">
        <v>215</v>
      </c>
    </row>
    <row r="33418" spans="129:129" x14ac:dyDescent="0.2">
      <c r="DY33418" s="185" t="s">
        <v>215</v>
      </c>
    </row>
    <row r="33419" spans="129:129" x14ac:dyDescent="0.2">
      <c r="DY33419" s="185" t="s">
        <v>215</v>
      </c>
    </row>
    <row r="33420" spans="129:129" x14ac:dyDescent="0.2">
      <c r="DY33420" s="185" t="s">
        <v>215</v>
      </c>
    </row>
    <row r="33421" spans="129:129" x14ac:dyDescent="0.2">
      <c r="DY33421" s="185" t="s">
        <v>215</v>
      </c>
    </row>
    <row r="33422" spans="129:129" x14ac:dyDescent="0.2">
      <c r="DY33422" s="185" t="s">
        <v>215</v>
      </c>
    </row>
    <row r="33423" spans="129:129" x14ac:dyDescent="0.2">
      <c r="DY33423" s="185" t="s">
        <v>215</v>
      </c>
    </row>
    <row r="33424" spans="129:129" x14ac:dyDescent="0.2">
      <c r="DY33424" s="185" t="s">
        <v>215</v>
      </c>
    </row>
    <row r="33425" spans="129:129" x14ac:dyDescent="0.2">
      <c r="DY33425" s="185" t="s">
        <v>215</v>
      </c>
    </row>
    <row r="33426" spans="129:129" x14ac:dyDescent="0.2">
      <c r="DY33426" s="185" t="s">
        <v>215</v>
      </c>
    </row>
    <row r="33427" spans="129:129" x14ac:dyDescent="0.2">
      <c r="DY33427" s="185" t="s">
        <v>215</v>
      </c>
    </row>
    <row r="33428" spans="129:129" x14ac:dyDescent="0.2">
      <c r="DY33428" s="185" t="s">
        <v>215</v>
      </c>
    </row>
    <row r="33429" spans="129:129" x14ac:dyDescent="0.2">
      <c r="DY33429" s="185" t="s">
        <v>215</v>
      </c>
    </row>
    <row r="33430" spans="129:129" x14ac:dyDescent="0.2">
      <c r="DY33430" s="185" t="s">
        <v>215</v>
      </c>
    </row>
    <row r="33431" spans="129:129" x14ac:dyDescent="0.2">
      <c r="DY33431" s="185" t="s">
        <v>215</v>
      </c>
    </row>
    <row r="33432" spans="129:129" x14ac:dyDescent="0.2">
      <c r="DY33432" s="185" t="s">
        <v>215</v>
      </c>
    </row>
    <row r="33433" spans="129:129" x14ac:dyDescent="0.2">
      <c r="DY33433" s="185" t="s">
        <v>215</v>
      </c>
    </row>
    <row r="33434" spans="129:129" x14ac:dyDescent="0.2">
      <c r="DY33434" s="185" t="s">
        <v>215</v>
      </c>
    </row>
    <row r="33435" spans="129:129" x14ac:dyDescent="0.2">
      <c r="DY33435" s="185" t="s">
        <v>215</v>
      </c>
    </row>
    <row r="33436" spans="129:129" x14ac:dyDescent="0.2">
      <c r="DY33436" s="185" t="s">
        <v>215</v>
      </c>
    </row>
    <row r="33437" spans="129:129" x14ac:dyDescent="0.2">
      <c r="DY33437" s="185" t="s">
        <v>215</v>
      </c>
    </row>
    <row r="33438" spans="129:129" x14ac:dyDescent="0.2">
      <c r="DY33438" s="185" t="s">
        <v>215</v>
      </c>
    </row>
    <row r="33439" spans="129:129" x14ac:dyDescent="0.2">
      <c r="DY33439" s="185" t="s">
        <v>215</v>
      </c>
    </row>
    <row r="33440" spans="129:129" x14ac:dyDescent="0.2">
      <c r="DY33440" s="185" t="s">
        <v>215</v>
      </c>
    </row>
    <row r="33441" spans="129:129" x14ac:dyDescent="0.2">
      <c r="DY33441" s="185" t="s">
        <v>215</v>
      </c>
    </row>
    <row r="33442" spans="129:129" x14ac:dyDescent="0.2">
      <c r="DY33442" s="185" t="s">
        <v>215</v>
      </c>
    </row>
    <row r="33443" spans="129:129" x14ac:dyDescent="0.2">
      <c r="DY33443" s="185" t="s">
        <v>215</v>
      </c>
    </row>
    <row r="33444" spans="129:129" x14ac:dyDescent="0.2">
      <c r="DY33444" s="185" t="s">
        <v>215</v>
      </c>
    </row>
    <row r="33445" spans="129:129" x14ac:dyDescent="0.2">
      <c r="DY33445" s="185" t="s">
        <v>215</v>
      </c>
    </row>
    <row r="33446" spans="129:129" x14ac:dyDescent="0.2">
      <c r="DY33446" s="185" t="s">
        <v>215</v>
      </c>
    </row>
    <row r="33447" spans="129:129" x14ac:dyDescent="0.2">
      <c r="DY33447" s="185" t="s">
        <v>215</v>
      </c>
    </row>
    <row r="33448" spans="129:129" x14ac:dyDescent="0.2">
      <c r="DY33448" s="185" t="s">
        <v>215</v>
      </c>
    </row>
    <row r="33449" spans="129:129" x14ac:dyDescent="0.2">
      <c r="DY33449" s="185" t="s">
        <v>215</v>
      </c>
    </row>
    <row r="33450" spans="129:129" x14ac:dyDescent="0.2">
      <c r="DY33450" s="185" t="s">
        <v>215</v>
      </c>
    </row>
    <row r="33451" spans="129:129" x14ac:dyDescent="0.2">
      <c r="DY33451" s="185" t="s">
        <v>215</v>
      </c>
    </row>
    <row r="33452" spans="129:129" x14ac:dyDescent="0.2">
      <c r="DY33452" s="185" t="s">
        <v>215</v>
      </c>
    </row>
    <row r="33453" spans="129:129" x14ac:dyDescent="0.2">
      <c r="DY33453" s="185" t="s">
        <v>215</v>
      </c>
    </row>
    <row r="33454" spans="129:129" x14ac:dyDescent="0.2">
      <c r="DY33454" s="185" t="s">
        <v>215</v>
      </c>
    </row>
    <row r="33455" spans="129:129" x14ac:dyDescent="0.2">
      <c r="DY33455" s="185" t="s">
        <v>215</v>
      </c>
    </row>
    <row r="33456" spans="129:129" x14ac:dyDescent="0.2">
      <c r="DY33456" s="185" t="s">
        <v>215</v>
      </c>
    </row>
    <row r="33457" spans="129:129" x14ac:dyDescent="0.2">
      <c r="DY33457" s="185" t="s">
        <v>215</v>
      </c>
    </row>
    <row r="33458" spans="129:129" x14ac:dyDescent="0.2">
      <c r="DY33458" s="185" t="s">
        <v>215</v>
      </c>
    </row>
    <row r="33459" spans="129:129" x14ac:dyDescent="0.2">
      <c r="DY33459" s="185" t="s">
        <v>215</v>
      </c>
    </row>
    <row r="33460" spans="129:129" x14ac:dyDescent="0.2">
      <c r="DY33460" s="185" t="s">
        <v>215</v>
      </c>
    </row>
    <row r="33461" spans="129:129" x14ac:dyDescent="0.2">
      <c r="DY33461" s="185" t="s">
        <v>215</v>
      </c>
    </row>
    <row r="33462" spans="129:129" x14ac:dyDescent="0.2">
      <c r="DY33462" s="185" t="s">
        <v>215</v>
      </c>
    </row>
    <row r="33463" spans="129:129" x14ac:dyDescent="0.2">
      <c r="DY33463" s="185" t="s">
        <v>215</v>
      </c>
    </row>
    <row r="33464" spans="129:129" x14ac:dyDescent="0.2">
      <c r="DY33464" s="185" t="s">
        <v>215</v>
      </c>
    </row>
    <row r="33465" spans="129:129" x14ac:dyDescent="0.2">
      <c r="DY33465" s="185" t="s">
        <v>215</v>
      </c>
    </row>
    <row r="33466" spans="129:129" x14ac:dyDescent="0.2">
      <c r="DY33466" s="185" t="s">
        <v>215</v>
      </c>
    </row>
    <row r="33467" spans="129:129" x14ac:dyDescent="0.2">
      <c r="DY33467" s="185" t="s">
        <v>215</v>
      </c>
    </row>
    <row r="33468" spans="129:129" x14ac:dyDescent="0.2">
      <c r="DY33468" s="185" t="s">
        <v>215</v>
      </c>
    </row>
    <row r="33469" spans="129:129" x14ac:dyDescent="0.2">
      <c r="DY33469" s="185" t="s">
        <v>215</v>
      </c>
    </row>
    <row r="33470" spans="129:129" x14ac:dyDescent="0.2">
      <c r="DY33470" s="185" t="s">
        <v>215</v>
      </c>
    </row>
    <row r="33471" spans="129:129" x14ac:dyDescent="0.2">
      <c r="DY33471" s="185" t="s">
        <v>215</v>
      </c>
    </row>
    <row r="33472" spans="129:129" x14ac:dyDescent="0.2">
      <c r="DY33472" s="185" t="s">
        <v>215</v>
      </c>
    </row>
    <row r="33473" spans="129:129" x14ac:dyDescent="0.2">
      <c r="DY33473" s="185" t="s">
        <v>215</v>
      </c>
    </row>
    <row r="33474" spans="129:129" x14ac:dyDescent="0.2">
      <c r="DY33474" s="185" t="s">
        <v>215</v>
      </c>
    </row>
    <row r="33475" spans="129:129" x14ac:dyDescent="0.2">
      <c r="DY33475" s="185" t="s">
        <v>215</v>
      </c>
    </row>
    <row r="33476" spans="129:129" x14ac:dyDescent="0.2">
      <c r="DY33476" s="185" t="s">
        <v>215</v>
      </c>
    </row>
    <row r="33477" spans="129:129" x14ac:dyDescent="0.2">
      <c r="DY33477" s="185" t="s">
        <v>215</v>
      </c>
    </row>
    <row r="33478" spans="129:129" x14ac:dyDescent="0.2">
      <c r="DY33478" s="185" t="s">
        <v>215</v>
      </c>
    </row>
    <row r="33479" spans="129:129" x14ac:dyDescent="0.2">
      <c r="DY33479" s="185" t="s">
        <v>215</v>
      </c>
    </row>
    <row r="33480" spans="129:129" x14ac:dyDescent="0.2">
      <c r="DY33480" s="185" t="s">
        <v>215</v>
      </c>
    </row>
    <row r="33481" spans="129:129" x14ac:dyDescent="0.2">
      <c r="DY33481" s="185" t="s">
        <v>215</v>
      </c>
    </row>
    <row r="33482" spans="129:129" x14ac:dyDescent="0.2">
      <c r="DY33482" s="185" t="s">
        <v>215</v>
      </c>
    </row>
    <row r="33483" spans="129:129" x14ac:dyDescent="0.2">
      <c r="DY33483" s="185" t="s">
        <v>215</v>
      </c>
    </row>
    <row r="33484" spans="129:129" x14ac:dyDescent="0.2">
      <c r="DY33484" s="185" t="s">
        <v>215</v>
      </c>
    </row>
    <row r="33485" spans="129:129" x14ac:dyDescent="0.2">
      <c r="DY33485" s="185" t="s">
        <v>215</v>
      </c>
    </row>
    <row r="33486" spans="129:129" x14ac:dyDescent="0.2">
      <c r="DY33486" s="185" t="s">
        <v>215</v>
      </c>
    </row>
    <row r="33487" spans="129:129" x14ac:dyDescent="0.2">
      <c r="DY33487" s="185" t="s">
        <v>215</v>
      </c>
    </row>
    <row r="33488" spans="129:129" x14ac:dyDescent="0.2">
      <c r="DY33488" s="185" t="s">
        <v>215</v>
      </c>
    </row>
    <row r="33489" spans="129:129" x14ac:dyDescent="0.2">
      <c r="DY33489" s="185" t="s">
        <v>215</v>
      </c>
    </row>
    <row r="33490" spans="129:129" x14ac:dyDescent="0.2">
      <c r="DY33490" s="185" t="s">
        <v>215</v>
      </c>
    </row>
    <row r="33491" spans="129:129" x14ac:dyDescent="0.2">
      <c r="DY33491" s="185" t="s">
        <v>215</v>
      </c>
    </row>
    <row r="33492" spans="129:129" x14ac:dyDescent="0.2">
      <c r="DY33492" s="185" t="s">
        <v>215</v>
      </c>
    </row>
    <row r="33493" spans="129:129" x14ac:dyDescent="0.2">
      <c r="DY33493" s="185" t="s">
        <v>215</v>
      </c>
    </row>
    <row r="33494" spans="129:129" x14ac:dyDescent="0.2">
      <c r="DY33494" s="185" t="s">
        <v>215</v>
      </c>
    </row>
    <row r="33495" spans="129:129" x14ac:dyDescent="0.2">
      <c r="DY33495" s="185" t="s">
        <v>215</v>
      </c>
    </row>
    <row r="33496" spans="129:129" x14ac:dyDescent="0.2">
      <c r="DY33496" s="185" t="s">
        <v>215</v>
      </c>
    </row>
    <row r="33497" spans="129:129" x14ac:dyDescent="0.2">
      <c r="DY33497" s="185" t="s">
        <v>215</v>
      </c>
    </row>
    <row r="33498" spans="129:129" x14ac:dyDescent="0.2">
      <c r="DY33498" s="185" t="s">
        <v>215</v>
      </c>
    </row>
    <row r="33499" spans="129:129" x14ac:dyDescent="0.2">
      <c r="DY33499" s="185" t="s">
        <v>215</v>
      </c>
    </row>
    <row r="33500" spans="129:129" x14ac:dyDescent="0.2">
      <c r="DY33500" s="185" t="s">
        <v>215</v>
      </c>
    </row>
    <row r="33501" spans="129:129" x14ac:dyDescent="0.2">
      <c r="DY33501" s="185" t="s">
        <v>215</v>
      </c>
    </row>
    <row r="33502" spans="129:129" x14ac:dyDescent="0.2">
      <c r="DY33502" s="185" t="s">
        <v>215</v>
      </c>
    </row>
    <row r="33503" spans="129:129" x14ac:dyDescent="0.2">
      <c r="DY33503" s="185" t="s">
        <v>215</v>
      </c>
    </row>
    <row r="33504" spans="129:129" x14ac:dyDescent="0.2">
      <c r="DY33504" s="185" t="s">
        <v>215</v>
      </c>
    </row>
    <row r="33505" spans="129:129" x14ac:dyDescent="0.2">
      <c r="DY33505" s="185" t="s">
        <v>215</v>
      </c>
    </row>
    <row r="33506" spans="129:129" x14ac:dyDescent="0.2">
      <c r="DY33506" s="185" t="s">
        <v>215</v>
      </c>
    </row>
    <row r="33507" spans="129:129" x14ac:dyDescent="0.2">
      <c r="DY33507" s="185" t="s">
        <v>215</v>
      </c>
    </row>
    <row r="33508" spans="129:129" x14ac:dyDescent="0.2">
      <c r="DY33508" s="185" t="s">
        <v>215</v>
      </c>
    </row>
    <row r="33509" spans="129:129" x14ac:dyDescent="0.2">
      <c r="DY33509" s="185" t="s">
        <v>215</v>
      </c>
    </row>
    <row r="33510" spans="129:129" x14ac:dyDescent="0.2">
      <c r="DY33510" s="185" t="s">
        <v>215</v>
      </c>
    </row>
    <row r="33511" spans="129:129" x14ac:dyDescent="0.2">
      <c r="DY33511" s="185" t="s">
        <v>215</v>
      </c>
    </row>
    <row r="33512" spans="129:129" x14ac:dyDescent="0.2">
      <c r="DY33512" s="185" t="s">
        <v>215</v>
      </c>
    </row>
    <row r="33513" spans="129:129" x14ac:dyDescent="0.2">
      <c r="DY33513" s="185" t="s">
        <v>215</v>
      </c>
    </row>
    <row r="33514" spans="129:129" x14ac:dyDescent="0.2">
      <c r="DY33514" s="185" t="s">
        <v>215</v>
      </c>
    </row>
    <row r="33515" spans="129:129" x14ac:dyDescent="0.2">
      <c r="DY33515" s="185" t="s">
        <v>215</v>
      </c>
    </row>
    <row r="33516" spans="129:129" x14ac:dyDescent="0.2">
      <c r="DY33516" s="185" t="s">
        <v>215</v>
      </c>
    </row>
    <row r="33517" spans="129:129" x14ac:dyDescent="0.2">
      <c r="DY33517" s="185" t="s">
        <v>215</v>
      </c>
    </row>
    <row r="33518" spans="129:129" x14ac:dyDescent="0.2">
      <c r="DY33518" s="185" t="s">
        <v>215</v>
      </c>
    </row>
    <row r="33519" spans="129:129" x14ac:dyDescent="0.2">
      <c r="DY33519" s="185" t="s">
        <v>215</v>
      </c>
    </row>
    <row r="33520" spans="129:129" x14ac:dyDescent="0.2">
      <c r="DY33520" s="185" t="s">
        <v>215</v>
      </c>
    </row>
    <row r="33521" spans="129:129" x14ac:dyDescent="0.2">
      <c r="DY33521" s="185" t="s">
        <v>215</v>
      </c>
    </row>
    <row r="33522" spans="129:129" x14ac:dyDescent="0.2">
      <c r="DY33522" s="185" t="s">
        <v>215</v>
      </c>
    </row>
    <row r="33523" spans="129:129" x14ac:dyDescent="0.2">
      <c r="DY33523" s="185" t="s">
        <v>215</v>
      </c>
    </row>
    <row r="33524" spans="129:129" x14ac:dyDescent="0.2">
      <c r="DY33524" s="185" t="s">
        <v>215</v>
      </c>
    </row>
    <row r="33525" spans="129:129" x14ac:dyDescent="0.2">
      <c r="DY33525" s="185" t="s">
        <v>215</v>
      </c>
    </row>
    <row r="33526" spans="129:129" x14ac:dyDescent="0.2">
      <c r="DY33526" s="185" t="s">
        <v>215</v>
      </c>
    </row>
    <row r="33527" spans="129:129" x14ac:dyDescent="0.2">
      <c r="DY33527" s="185" t="s">
        <v>215</v>
      </c>
    </row>
    <row r="33528" spans="129:129" x14ac:dyDescent="0.2">
      <c r="DY33528" s="185" t="s">
        <v>215</v>
      </c>
    </row>
    <row r="33529" spans="129:129" x14ac:dyDescent="0.2">
      <c r="DY33529" s="185" t="s">
        <v>215</v>
      </c>
    </row>
    <row r="33530" spans="129:129" x14ac:dyDescent="0.2">
      <c r="DY33530" s="185" t="s">
        <v>215</v>
      </c>
    </row>
    <row r="33531" spans="129:129" x14ac:dyDescent="0.2">
      <c r="DY33531" s="185" t="s">
        <v>215</v>
      </c>
    </row>
    <row r="33532" spans="129:129" x14ac:dyDescent="0.2">
      <c r="DY33532" s="185" t="s">
        <v>215</v>
      </c>
    </row>
    <row r="33533" spans="129:129" x14ac:dyDescent="0.2">
      <c r="DY33533" s="185" t="s">
        <v>215</v>
      </c>
    </row>
    <row r="33534" spans="129:129" x14ac:dyDescent="0.2">
      <c r="DY33534" s="185" t="s">
        <v>215</v>
      </c>
    </row>
    <row r="33535" spans="129:129" x14ac:dyDescent="0.2">
      <c r="DY33535" s="185" t="s">
        <v>215</v>
      </c>
    </row>
    <row r="33536" spans="129:129" x14ac:dyDescent="0.2">
      <c r="DY33536" s="185" t="s">
        <v>215</v>
      </c>
    </row>
    <row r="33537" spans="129:129" x14ac:dyDescent="0.2">
      <c r="DY33537" s="185" t="s">
        <v>215</v>
      </c>
    </row>
    <row r="33538" spans="129:129" x14ac:dyDescent="0.2">
      <c r="DY33538" s="185" t="s">
        <v>215</v>
      </c>
    </row>
    <row r="33539" spans="129:129" x14ac:dyDescent="0.2">
      <c r="DY33539" s="185" t="s">
        <v>215</v>
      </c>
    </row>
    <row r="33540" spans="129:129" x14ac:dyDescent="0.2">
      <c r="DY33540" s="185" t="s">
        <v>215</v>
      </c>
    </row>
    <row r="33541" spans="129:129" x14ac:dyDescent="0.2">
      <c r="DY33541" s="185" t="s">
        <v>215</v>
      </c>
    </row>
    <row r="33542" spans="129:129" x14ac:dyDescent="0.2">
      <c r="DY33542" s="185" t="s">
        <v>215</v>
      </c>
    </row>
    <row r="33543" spans="129:129" x14ac:dyDescent="0.2">
      <c r="DY33543" s="185" t="s">
        <v>215</v>
      </c>
    </row>
    <row r="33544" spans="129:129" x14ac:dyDescent="0.2">
      <c r="DY33544" s="185" t="s">
        <v>215</v>
      </c>
    </row>
    <row r="33545" spans="129:129" x14ac:dyDescent="0.2">
      <c r="DY33545" s="185" t="s">
        <v>215</v>
      </c>
    </row>
    <row r="33546" spans="129:129" x14ac:dyDescent="0.2">
      <c r="DY33546" s="185" t="s">
        <v>215</v>
      </c>
    </row>
    <row r="33547" spans="129:129" x14ac:dyDescent="0.2">
      <c r="DY33547" s="185" t="s">
        <v>215</v>
      </c>
    </row>
    <row r="33548" spans="129:129" x14ac:dyDescent="0.2">
      <c r="DY33548" s="185" t="s">
        <v>215</v>
      </c>
    </row>
    <row r="33549" spans="129:129" x14ac:dyDescent="0.2">
      <c r="DY33549" s="185" t="s">
        <v>215</v>
      </c>
    </row>
    <row r="33550" spans="129:129" x14ac:dyDescent="0.2">
      <c r="DY33550" s="185" t="s">
        <v>215</v>
      </c>
    </row>
    <row r="33551" spans="129:129" x14ac:dyDescent="0.2">
      <c r="DY33551" s="185" t="s">
        <v>215</v>
      </c>
    </row>
    <row r="33552" spans="129:129" x14ac:dyDescent="0.2">
      <c r="DY33552" s="185" t="s">
        <v>215</v>
      </c>
    </row>
    <row r="33553" spans="129:129" x14ac:dyDescent="0.2">
      <c r="DY33553" s="185" t="s">
        <v>215</v>
      </c>
    </row>
    <row r="33554" spans="129:129" x14ac:dyDescent="0.2">
      <c r="DY33554" s="185" t="s">
        <v>215</v>
      </c>
    </row>
    <row r="33555" spans="129:129" x14ac:dyDescent="0.2">
      <c r="DY33555" s="185" t="s">
        <v>215</v>
      </c>
    </row>
    <row r="33556" spans="129:129" x14ac:dyDescent="0.2">
      <c r="DY33556" s="185" t="s">
        <v>215</v>
      </c>
    </row>
    <row r="33557" spans="129:129" x14ac:dyDescent="0.2">
      <c r="DY33557" s="185" t="s">
        <v>215</v>
      </c>
    </row>
    <row r="33558" spans="129:129" x14ac:dyDescent="0.2">
      <c r="DY33558" s="185" t="s">
        <v>215</v>
      </c>
    </row>
    <row r="33559" spans="129:129" x14ac:dyDescent="0.2">
      <c r="DY33559" s="185" t="s">
        <v>215</v>
      </c>
    </row>
    <row r="33560" spans="129:129" x14ac:dyDescent="0.2">
      <c r="DY33560" s="185" t="s">
        <v>215</v>
      </c>
    </row>
    <row r="33561" spans="129:129" x14ac:dyDescent="0.2">
      <c r="DY33561" s="185" t="s">
        <v>215</v>
      </c>
    </row>
    <row r="33562" spans="129:129" x14ac:dyDescent="0.2">
      <c r="DY33562" s="185" t="s">
        <v>215</v>
      </c>
    </row>
    <row r="33563" spans="129:129" x14ac:dyDescent="0.2">
      <c r="DY33563" s="185" t="s">
        <v>215</v>
      </c>
    </row>
    <row r="33564" spans="129:129" x14ac:dyDescent="0.2">
      <c r="DY33564" s="185" t="s">
        <v>215</v>
      </c>
    </row>
    <row r="33565" spans="129:129" x14ac:dyDescent="0.2">
      <c r="DY33565" s="185" t="s">
        <v>215</v>
      </c>
    </row>
    <row r="33566" spans="129:129" x14ac:dyDescent="0.2">
      <c r="DY33566" s="185" t="s">
        <v>215</v>
      </c>
    </row>
    <row r="33567" spans="129:129" x14ac:dyDescent="0.2">
      <c r="DY33567" s="185" t="s">
        <v>215</v>
      </c>
    </row>
    <row r="33568" spans="129:129" x14ac:dyDescent="0.2">
      <c r="DY33568" s="185" t="s">
        <v>215</v>
      </c>
    </row>
    <row r="33569" spans="129:129" x14ac:dyDescent="0.2">
      <c r="DY33569" s="185" t="s">
        <v>215</v>
      </c>
    </row>
    <row r="33570" spans="129:129" x14ac:dyDescent="0.2">
      <c r="DY33570" s="185" t="s">
        <v>215</v>
      </c>
    </row>
    <row r="33571" spans="129:129" x14ac:dyDescent="0.2">
      <c r="DY33571" s="185" t="s">
        <v>215</v>
      </c>
    </row>
    <row r="33572" spans="129:129" x14ac:dyDescent="0.2">
      <c r="DY33572" s="185" t="s">
        <v>215</v>
      </c>
    </row>
    <row r="33573" spans="129:129" x14ac:dyDescent="0.2">
      <c r="DY33573" s="185" t="s">
        <v>215</v>
      </c>
    </row>
    <row r="33574" spans="129:129" x14ac:dyDescent="0.2">
      <c r="DY33574" s="185" t="s">
        <v>215</v>
      </c>
    </row>
    <row r="33575" spans="129:129" x14ac:dyDescent="0.2">
      <c r="DY33575" s="185" t="s">
        <v>215</v>
      </c>
    </row>
    <row r="33576" spans="129:129" x14ac:dyDescent="0.2">
      <c r="DY33576" s="185" t="s">
        <v>215</v>
      </c>
    </row>
    <row r="33577" spans="129:129" x14ac:dyDescent="0.2">
      <c r="DY33577" s="185" t="s">
        <v>215</v>
      </c>
    </row>
    <row r="33578" spans="129:129" x14ac:dyDescent="0.2">
      <c r="DY33578" s="185" t="s">
        <v>215</v>
      </c>
    </row>
    <row r="33579" spans="129:129" x14ac:dyDescent="0.2">
      <c r="DY33579" s="185" t="s">
        <v>215</v>
      </c>
    </row>
    <row r="33580" spans="129:129" x14ac:dyDescent="0.2">
      <c r="DY33580" s="185" t="s">
        <v>215</v>
      </c>
    </row>
    <row r="33581" spans="129:129" x14ac:dyDescent="0.2">
      <c r="DY33581" s="185" t="s">
        <v>215</v>
      </c>
    </row>
    <row r="33582" spans="129:129" x14ac:dyDescent="0.2">
      <c r="DY33582" s="185" t="s">
        <v>215</v>
      </c>
    </row>
    <row r="33583" spans="129:129" x14ac:dyDescent="0.2">
      <c r="DY33583" s="185" t="s">
        <v>215</v>
      </c>
    </row>
    <row r="33584" spans="129:129" x14ac:dyDescent="0.2">
      <c r="DY33584" s="185" t="s">
        <v>215</v>
      </c>
    </row>
    <row r="33585" spans="129:129" x14ac:dyDescent="0.2">
      <c r="DY33585" s="185" t="s">
        <v>215</v>
      </c>
    </row>
    <row r="33586" spans="129:129" x14ac:dyDescent="0.2">
      <c r="DY33586" s="185" t="s">
        <v>215</v>
      </c>
    </row>
    <row r="33587" spans="129:129" x14ac:dyDescent="0.2">
      <c r="DY33587" s="185" t="s">
        <v>215</v>
      </c>
    </row>
    <row r="33588" spans="129:129" x14ac:dyDescent="0.2">
      <c r="DY33588" s="185" t="s">
        <v>215</v>
      </c>
    </row>
    <row r="33589" spans="129:129" x14ac:dyDescent="0.2">
      <c r="DY33589" s="185" t="s">
        <v>215</v>
      </c>
    </row>
    <row r="33590" spans="129:129" x14ac:dyDescent="0.2">
      <c r="DY33590" s="185" t="s">
        <v>215</v>
      </c>
    </row>
    <row r="33591" spans="129:129" x14ac:dyDescent="0.2">
      <c r="DY33591" s="185" t="s">
        <v>215</v>
      </c>
    </row>
    <row r="33592" spans="129:129" x14ac:dyDescent="0.2">
      <c r="DY33592" s="185" t="s">
        <v>215</v>
      </c>
    </row>
    <row r="33593" spans="129:129" x14ac:dyDescent="0.2">
      <c r="DY33593" s="185" t="s">
        <v>215</v>
      </c>
    </row>
    <row r="33594" spans="129:129" x14ac:dyDescent="0.2">
      <c r="DY33594" s="185" t="s">
        <v>215</v>
      </c>
    </row>
    <row r="33595" spans="129:129" x14ac:dyDescent="0.2">
      <c r="DY33595" s="185" t="s">
        <v>215</v>
      </c>
    </row>
    <row r="33596" spans="129:129" x14ac:dyDescent="0.2">
      <c r="DY33596" s="185" t="s">
        <v>215</v>
      </c>
    </row>
    <row r="33597" spans="129:129" x14ac:dyDescent="0.2">
      <c r="DY33597" s="185" t="s">
        <v>215</v>
      </c>
    </row>
    <row r="33598" spans="129:129" x14ac:dyDescent="0.2">
      <c r="DY33598" s="185" t="s">
        <v>215</v>
      </c>
    </row>
    <row r="33599" spans="129:129" x14ac:dyDescent="0.2">
      <c r="DY33599" s="185" t="s">
        <v>215</v>
      </c>
    </row>
    <row r="33600" spans="129:129" x14ac:dyDescent="0.2">
      <c r="DY33600" s="185" t="s">
        <v>215</v>
      </c>
    </row>
    <row r="33601" spans="129:129" x14ac:dyDescent="0.2">
      <c r="DY33601" s="185" t="s">
        <v>215</v>
      </c>
    </row>
    <row r="33602" spans="129:129" x14ac:dyDescent="0.2">
      <c r="DY33602" s="185" t="s">
        <v>215</v>
      </c>
    </row>
    <row r="33603" spans="129:129" x14ac:dyDescent="0.2">
      <c r="DY33603" s="185" t="s">
        <v>215</v>
      </c>
    </row>
    <row r="33604" spans="129:129" x14ac:dyDescent="0.2">
      <c r="DY33604" s="185" t="s">
        <v>215</v>
      </c>
    </row>
    <row r="33605" spans="129:129" x14ac:dyDescent="0.2">
      <c r="DY33605" s="185" t="s">
        <v>215</v>
      </c>
    </row>
    <row r="33606" spans="129:129" x14ac:dyDescent="0.2">
      <c r="DY33606" s="185" t="s">
        <v>215</v>
      </c>
    </row>
    <row r="33607" spans="129:129" x14ac:dyDescent="0.2">
      <c r="DY33607" s="185" t="s">
        <v>215</v>
      </c>
    </row>
    <row r="33608" spans="129:129" x14ac:dyDescent="0.2">
      <c r="DY33608" s="185" t="s">
        <v>215</v>
      </c>
    </row>
    <row r="33609" spans="129:129" x14ac:dyDescent="0.2">
      <c r="DY33609" s="185" t="s">
        <v>215</v>
      </c>
    </row>
    <row r="33610" spans="129:129" x14ac:dyDescent="0.2">
      <c r="DY33610" s="185" t="s">
        <v>215</v>
      </c>
    </row>
    <row r="33611" spans="129:129" x14ac:dyDescent="0.2">
      <c r="DY33611" s="185" t="s">
        <v>215</v>
      </c>
    </row>
    <row r="33612" spans="129:129" x14ac:dyDescent="0.2">
      <c r="DY33612" s="185" t="s">
        <v>215</v>
      </c>
    </row>
    <row r="33613" spans="129:129" x14ac:dyDescent="0.2">
      <c r="DY33613" s="185" t="s">
        <v>215</v>
      </c>
    </row>
    <row r="33614" spans="129:129" x14ac:dyDescent="0.2">
      <c r="DY33614" s="185" t="s">
        <v>215</v>
      </c>
    </row>
    <row r="33615" spans="129:129" x14ac:dyDescent="0.2">
      <c r="DY33615" s="185" t="s">
        <v>215</v>
      </c>
    </row>
    <row r="33616" spans="129:129" x14ac:dyDescent="0.2">
      <c r="DY33616" s="185" t="s">
        <v>215</v>
      </c>
    </row>
    <row r="33617" spans="129:129" x14ac:dyDescent="0.2">
      <c r="DY33617" s="185" t="s">
        <v>215</v>
      </c>
    </row>
    <row r="33618" spans="129:129" x14ac:dyDescent="0.2">
      <c r="DY33618" s="185" t="s">
        <v>215</v>
      </c>
    </row>
    <row r="33619" spans="129:129" x14ac:dyDescent="0.2">
      <c r="DY33619" s="185" t="s">
        <v>215</v>
      </c>
    </row>
    <row r="33620" spans="129:129" x14ac:dyDescent="0.2">
      <c r="DY33620" s="185" t="s">
        <v>215</v>
      </c>
    </row>
    <row r="33621" spans="129:129" x14ac:dyDescent="0.2">
      <c r="DY33621" s="185" t="s">
        <v>215</v>
      </c>
    </row>
    <row r="33622" spans="129:129" x14ac:dyDescent="0.2">
      <c r="DY33622" s="185" t="s">
        <v>215</v>
      </c>
    </row>
    <row r="33623" spans="129:129" x14ac:dyDescent="0.2">
      <c r="DY33623" s="185" t="s">
        <v>215</v>
      </c>
    </row>
    <row r="33624" spans="129:129" x14ac:dyDescent="0.2">
      <c r="DY33624" s="185" t="s">
        <v>215</v>
      </c>
    </row>
    <row r="33625" spans="129:129" x14ac:dyDescent="0.2">
      <c r="DY33625" s="185" t="s">
        <v>215</v>
      </c>
    </row>
    <row r="33626" spans="129:129" x14ac:dyDescent="0.2">
      <c r="DY33626" s="185" t="s">
        <v>215</v>
      </c>
    </row>
    <row r="33627" spans="129:129" x14ac:dyDescent="0.2">
      <c r="DY33627" s="185" t="s">
        <v>215</v>
      </c>
    </row>
    <row r="33628" spans="129:129" x14ac:dyDescent="0.2">
      <c r="DY33628" s="185" t="s">
        <v>215</v>
      </c>
    </row>
    <row r="33629" spans="129:129" x14ac:dyDescent="0.2">
      <c r="DY33629" s="185" t="s">
        <v>215</v>
      </c>
    </row>
    <row r="33630" spans="129:129" x14ac:dyDescent="0.2">
      <c r="DY33630" s="185" t="s">
        <v>215</v>
      </c>
    </row>
    <row r="33631" spans="129:129" x14ac:dyDescent="0.2">
      <c r="DY33631" s="185" t="s">
        <v>215</v>
      </c>
    </row>
    <row r="33632" spans="129:129" x14ac:dyDescent="0.2">
      <c r="DY33632" s="185" t="s">
        <v>215</v>
      </c>
    </row>
    <row r="33633" spans="129:129" x14ac:dyDescent="0.2">
      <c r="DY33633" s="185" t="s">
        <v>215</v>
      </c>
    </row>
    <row r="33634" spans="129:129" x14ac:dyDescent="0.2">
      <c r="DY33634" s="185" t="s">
        <v>215</v>
      </c>
    </row>
    <row r="33635" spans="129:129" x14ac:dyDescent="0.2">
      <c r="DY33635" s="185" t="s">
        <v>215</v>
      </c>
    </row>
    <row r="33636" spans="129:129" x14ac:dyDescent="0.2">
      <c r="DY33636" s="185" t="s">
        <v>215</v>
      </c>
    </row>
    <row r="33637" spans="129:129" x14ac:dyDescent="0.2">
      <c r="DY33637" s="185" t="s">
        <v>215</v>
      </c>
    </row>
    <row r="33638" spans="129:129" x14ac:dyDescent="0.2">
      <c r="DY33638" s="185" t="s">
        <v>215</v>
      </c>
    </row>
    <row r="33639" spans="129:129" x14ac:dyDescent="0.2">
      <c r="DY33639" s="185" t="s">
        <v>215</v>
      </c>
    </row>
    <row r="33640" spans="129:129" x14ac:dyDescent="0.2">
      <c r="DY33640" s="185" t="s">
        <v>215</v>
      </c>
    </row>
    <row r="33641" spans="129:129" x14ac:dyDescent="0.2">
      <c r="DY33641" s="185" t="s">
        <v>215</v>
      </c>
    </row>
    <row r="33642" spans="129:129" x14ac:dyDescent="0.2">
      <c r="DY33642" s="185" t="s">
        <v>215</v>
      </c>
    </row>
    <row r="33643" spans="129:129" x14ac:dyDescent="0.2">
      <c r="DY33643" s="185" t="s">
        <v>215</v>
      </c>
    </row>
    <row r="33644" spans="129:129" x14ac:dyDescent="0.2">
      <c r="DY33644" s="185" t="s">
        <v>215</v>
      </c>
    </row>
    <row r="33645" spans="129:129" x14ac:dyDescent="0.2">
      <c r="DY33645" s="185" t="s">
        <v>215</v>
      </c>
    </row>
    <row r="33646" spans="129:129" x14ac:dyDescent="0.2">
      <c r="DY33646" s="185" t="s">
        <v>215</v>
      </c>
    </row>
    <row r="33647" spans="129:129" x14ac:dyDescent="0.2">
      <c r="DY33647" s="185" t="s">
        <v>215</v>
      </c>
    </row>
    <row r="33648" spans="129:129" x14ac:dyDescent="0.2">
      <c r="DY33648" s="185" t="s">
        <v>215</v>
      </c>
    </row>
    <row r="33649" spans="129:129" x14ac:dyDescent="0.2">
      <c r="DY33649" s="185" t="s">
        <v>215</v>
      </c>
    </row>
    <row r="33650" spans="129:129" x14ac:dyDescent="0.2">
      <c r="DY33650" s="185" t="s">
        <v>215</v>
      </c>
    </row>
    <row r="33651" spans="129:129" x14ac:dyDescent="0.2">
      <c r="DY33651" s="185" t="s">
        <v>215</v>
      </c>
    </row>
    <row r="33652" spans="129:129" x14ac:dyDescent="0.2">
      <c r="DY33652" s="185" t="s">
        <v>215</v>
      </c>
    </row>
    <row r="33653" spans="129:129" x14ac:dyDescent="0.2">
      <c r="DY33653" s="185" t="s">
        <v>215</v>
      </c>
    </row>
    <row r="33654" spans="129:129" x14ac:dyDescent="0.2">
      <c r="DY33654" s="185" t="s">
        <v>215</v>
      </c>
    </row>
    <row r="33655" spans="129:129" x14ac:dyDescent="0.2">
      <c r="DY33655" s="185" t="s">
        <v>215</v>
      </c>
    </row>
    <row r="33656" spans="129:129" x14ac:dyDescent="0.2">
      <c r="DY33656" s="185" t="s">
        <v>215</v>
      </c>
    </row>
    <row r="33657" spans="129:129" x14ac:dyDescent="0.2">
      <c r="DY33657" s="185" t="s">
        <v>215</v>
      </c>
    </row>
    <row r="33658" spans="129:129" x14ac:dyDescent="0.2">
      <c r="DY33658" s="185" t="s">
        <v>215</v>
      </c>
    </row>
    <row r="33659" spans="129:129" x14ac:dyDescent="0.2">
      <c r="DY33659" s="185" t="s">
        <v>215</v>
      </c>
    </row>
    <row r="33660" spans="129:129" x14ac:dyDescent="0.2">
      <c r="DY33660" s="185" t="s">
        <v>215</v>
      </c>
    </row>
    <row r="33661" spans="129:129" x14ac:dyDescent="0.2">
      <c r="DY33661" s="185" t="s">
        <v>215</v>
      </c>
    </row>
    <row r="33662" spans="129:129" x14ac:dyDescent="0.2">
      <c r="DY33662" s="185" t="s">
        <v>215</v>
      </c>
    </row>
    <row r="33663" spans="129:129" x14ac:dyDescent="0.2">
      <c r="DY33663" s="185" t="s">
        <v>215</v>
      </c>
    </row>
    <row r="33664" spans="129:129" x14ac:dyDescent="0.2">
      <c r="DY33664" s="185" t="s">
        <v>215</v>
      </c>
    </row>
    <row r="33665" spans="129:129" x14ac:dyDescent="0.2">
      <c r="DY33665" s="185" t="s">
        <v>215</v>
      </c>
    </row>
    <row r="33666" spans="129:129" x14ac:dyDescent="0.2">
      <c r="DY33666" s="185" t="s">
        <v>215</v>
      </c>
    </row>
    <row r="33667" spans="129:129" x14ac:dyDescent="0.2">
      <c r="DY33667" s="185" t="s">
        <v>215</v>
      </c>
    </row>
    <row r="33668" spans="129:129" x14ac:dyDescent="0.2">
      <c r="DY33668" s="185" t="s">
        <v>215</v>
      </c>
    </row>
    <row r="33669" spans="129:129" x14ac:dyDescent="0.2">
      <c r="DY33669" s="185" t="s">
        <v>215</v>
      </c>
    </row>
    <row r="33670" spans="129:129" x14ac:dyDescent="0.2">
      <c r="DY33670" s="185" t="s">
        <v>215</v>
      </c>
    </row>
    <row r="33671" spans="129:129" x14ac:dyDescent="0.2">
      <c r="DY33671" s="185" t="s">
        <v>215</v>
      </c>
    </row>
    <row r="33672" spans="129:129" x14ac:dyDescent="0.2">
      <c r="DY33672" s="185" t="s">
        <v>215</v>
      </c>
    </row>
    <row r="33673" spans="129:129" x14ac:dyDescent="0.2">
      <c r="DY33673" s="185" t="s">
        <v>215</v>
      </c>
    </row>
    <row r="33674" spans="129:129" x14ac:dyDescent="0.2">
      <c r="DY33674" s="185" t="s">
        <v>215</v>
      </c>
    </row>
    <row r="33675" spans="129:129" x14ac:dyDescent="0.2">
      <c r="DY33675" s="185" t="s">
        <v>215</v>
      </c>
    </row>
    <row r="33676" spans="129:129" x14ac:dyDescent="0.2">
      <c r="DY33676" s="185" t="s">
        <v>215</v>
      </c>
    </row>
    <row r="33677" spans="129:129" x14ac:dyDescent="0.2">
      <c r="DY33677" s="185" t="s">
        <v>215</v>
      </c>
    </row>
    <row r="33678" spans="129:129" x14ac:dyDescent="0.2">
      <c r="DY33678" s="185" t="s">
        <v>215</v>
      </c>
    </row>
    <row r="33679" spans="129:129" x14ac:dyDescent="0.2">
      <c r="DY33679" s="185" t="s">
        <v>215</v>
      </c>
    </row>
    <row r="33680" spans="129:129" x14ac:dyDescent="0.2">
      <c r="DY33680" s="185" t="s">
        <v>215</v>
      </c>
    </row>
    <row r="33681" spans="129:129" x14ac:dyDescent="0.2">
      <c r="DY33681" s="185" t="s">
        <v>215</v>
      </c>
    </row>
    <row r="33682" spans="129:129" x14ac:dyDescent="0.2">
      <c r="DY33682" s="185" t="s">
        <v>215</v>
      </c>
    </row>
    <row r="33683" spans="129:129" x14ac:dyDescent="0.2">
      <c r="DY33683" s="185" t="s">
        <v>215</v>
      </c>
    </row>
    <row r="33684" spans="129:129" x14ac:dyDescent="0.2">
      <c r="DY33684" s="185" t="s">
        <v>215</v>
      </c>
    </row>
    <row r="33685" spans="129:129" x14ac:dyDescent="0.2">
      <c r="DY33685" s="185" t="s">
        <v>215</v>
      </c>
    </row>
    <row r="33686" spans="129:129" x14ac:dyDescent="0.2">
      <c r="DY33686" s="185" t="s">
        <v>215</v>
      </c>
    </row>
    <row r="33687" spans="129:129" x14ac:dyDescent="0.2">
      <c r="DY33687" s="185" t="s">
        <v>215</v>
      </c>
    </row>
    <row r="33688" spans="129:129" x14ac:dyDescent="0.2">
      <c r="DY33688" s="185" t="s">
        <v>215</v>
      </c>
    </row>
    <row r="33689" spans="129:129" x14ac:dyDescent="0.2">
      <c r="DY33689" s="185" t="s">
        <v>215</v>
      </c>
    </row>
    <row r="33690" spans="129:129" x14ac:dyDescent="0.2">
      <c r="DY33690" s="185" t="s">
        <v>215</v>
      </c>
    </row>
    <row r="33691" spans="129:129" x14ac:dyDescent="0.2">
      <c r="DY33691" s="185" t="s">
        <v>215</v>
      </c>
    </row>
    <row r="33692" spans="129:129" x14ac:dyDescent="0.2">
      <c r="DY33692" s="185" t="s">
        <v>215</v>
      </c>
    </row>
    <row r="33693" spans="129:129" x14ac:dyDescent="0.2">
      <c r="DY33693" s="185" t="s">
        <v>215</v>
      </c>
    </row>
    <row r="33694" spans="129:129" x14ac:dyDescent="0.2">
      <c r="DY33694" s="185" t="s">
        <v>215</v>
      </c>
    </row>
    <row r="33695" spans="129:129" x14ac:dyDescent="0.2">
      <c r="DY33695" s="185" t="s">
        <v>215</v>
      </c>
    </row>
    <row r="33696" spans="129:129" x14ac:dyDescent="0.2">
      <c r="DY33696" s="185" t="s">
        <v>215</v>
      </c>
    </row>
    <row r="33697" spans="129:129" x14ac:dyDescent="0.2">
      <c r="DY33697" s="185" t="s">
        <v>215</v>
      </c>
    </row>
    <row r="33698" spans="129:129" x14ac:dyDescent="0.2">
      <c r="DY33698" s="185" t="s">
        <v>215</v>
      </c>
    </row>
    <row r="33699" spans="129:129" x14ac:dyDescent="0.2">
      <c r="DY33699" s="185" t="s">
        <v>215</v>
      </c>
    </row>
    <row r="33700" spans="129:129" x14ac:dyDescent="0.2">
      <c r="DY33700" s="185" t="s">
        <v>215</v>
      </c>
    </row>
    <row r="33701" spans="129:129" x14ac:dyDescent="0.2">
      <c r="DY33701" s="185" t="s">
        <v>215</v>
      </c>
    </row>
    <row r="33702" spans="129:129" x14ac:dyDescent="0.2">
      <c r="DY33702" s="185" t="s">
        <v>215</v>
      </c>
    </row>
    <row r="33703" spans="129:129" x14ac:dyDescent="0.2">
      <c r="DY33703" s="185" t="s">
        <v>215</v>
      </c>
    </row>
    <row r="33704" spans="129:129" x14ac:dyDescent="0.2">
      <c r="DY33704" s="185" t="s">
        <v>215</v>
      </c>
    </row>
    <row r="33705" spans="129:129" x14ac:dyDescent="0.2">
      <c r="DY33705" s="185" t="s">
        <v>215</v>
      </c>
    </row>
    <row r="33706" spans="129:129" x14ac:dyDescent="0.2">
      <c r="DY33706" s="185" t="s">
        <v>215</v>
      </c>
    </row>
    <row r="33707" spans="129:129" x14ac:dyDescent="0.2">
      <c r="DY33707" s="185" t="s">
        <v>215</v>
      </c>
    </row>
    <row r="33708" spans="129:129" x14ac:dyDescent="0.2">
      <c r="DY33708" s="185" t="s">
        <v>215</v>
      </c>
    </row>
    <row r="33709" spans="129:129" x14ac:dyDescent="0.2">
      <c r="DY33709" s="185" t="s">
        <v>215</v>
      </c>
    </row>
    <row r="33710" spans="129:129" x14ac:dyDescent="0.2">
      <c r="DY33710" s="185" t="s">
        <v>215</v>
      </c>
    </row>
    <row r="33711" spans="129:129" x14ac:dyDescent="0.2">
      <c r="DY33711" s="185" t="s">
        <v>215</v>
      </c>
    </row>
    <row r="33712" spans="129:129" x14ac:dyDescent="0.2">
      <c r="DY33712" s="185" t="s">
        <v>215</v>
      </c>
    </row>
    <row r="33713" spans="129:129" x14ac:dyDescent="0.2">
      <c r="DY33713" s="185" t="s">
        <v>215</v>
      </c>
    </row>
    <row r="33714" spans="129:129" x14ac:dyDescent="0.2">
      <c r="DY33714" s="185" t="s">
        <v>215</v>
      </c>
    </row>
    <row r="33715" spans="129:129" x14ac:dyDescent="0.2">
      <c r="DY33715" s="185" t="s">
        <v>215</v>
      </c>
    </row>
    <row r="33716" spans="129:129" x14ac:dyDescent="0.2">
      <c r="DY33716" s="185" t="s">
        <v>215</v>
      </c>
    </row>
    <row r="33717" spans="129:129" x14ac:dyDescent="0.2">
      <c r="DY33717" s="185" t="s">
        <v>215</v>
      </c>
    </row>
    <row r="33718" spans="129:129" x14ac:dyDescent="0.2">
      <c r="DY33718" s="185" t="s">
        <v>215</v>
      </c>
    </row>
    <row r="33719" spans="129:129" x14ac:dyDescent="0.2">
      <c r="DY33719" s="185" t="s">
        <v>215</v>
      </c>
    </row>
    <row r="33720" spans="129:129" x14ac:dyDescent="0.2">
      <c r="DY33720" s="185" t="s">
        <v>215</v>
      </c>
    </row>
    <row r="33721" spans="129:129" x14ac:dyDescent="0.2">
      <c r="DY33721" s="185" t="s">
        <v>215</v>
      </c>
    </row>
    <row r="33722" spans="129:129" x14ac:dyDescent="0.2">
      <c r="DY33722" s="185" t="s">
        <v>215</v>
      </c>
    </row>
    <row r="33723" spans="129:129" x14ac:dyDescent="0.2">
      <c r="DY33723" s="185" t="s">
        <v>215</v>
      </c>
    </row>
    <row r="33724" spans="129:129" x14ac:dyDescent="0.2">
      <c r="DY33724" s="185" t="s">
        <v>215</v>
      </c>
    </row>
    <row r="33725" spans="129:129" x14ac:dyDescent="0.2">
      <c r="DY33725" s="185" t="s">
        <v>215</v>
      </c>
    </row>
    <row r="33726" spans="129:129" x14ac:dyDescent="0.2">
      <c r="DY33726" s="185" t="s">
        <v>215</v>
      </c>
    </row>
    <row r="33727" spans="129:129" x14ac:dyDescent="0.2">
      <c r="DY33727" s="185" t="s">
        <v>215</v>
      </c>
    </row>
    <row r="33728" spans="129:129" x14ac:dyDescent="0.2">
      <c r="DY33728" s="185" t="s">
        <v>215</v>
      </c>
    </row>
    <row r="33729" spans="129:129" x14ac:dyDescent="0.2">
      <c r="DY33729" s="185" t="s">
        <v>215</v>
      </c>
    </row>
    <row r="33730" spans="129:129" x14ac:dyDescent="0.2">
      <c r="DY33730" s="185" t="s">
        <v>215</v>
      </c>
    </row>
    <row r="33731" spans="129:129" x14ac:dyDescent="0.2">
      <c r="DY33731" s="185" t="s">
        <v>215</v>
      </c>
    </row>
    <row r="33732" spans="129:129" x14ac:dyDescent="0.2">
      <c r="DY33732" s="185" t="s">
        <v>215</v>
      </c>
    </row>
    <row r="33733" spans="129:129" x14ac:dyDescent="0.2">
      <c r="DY33733" s="185" t="s">
        <v>215</v>
      </c>
    </row>
    <row r="33734" spans="129:129" x14ac:dyDescent="0.2">
      <c r="DY33734" s="185" t="s">
        <v>215</v>
      </c>
    </row>
    <row r="33735" spans="129:129" x14ac:dyDescent="0.2">
      <c r="DY33735" s="185" t="s">
        <v>215</v>
      </c>
    </row>
    <row r="33736" spans="129:129" x14ac:dyDescent="0.2">
      <c r="DY33736" s="185" t="s">
        <v>215</v>
      </c>
    </row>
    <row r="33737" spans="129:129" x14ac:dyDescent="0.2">
      <c r="DY33737" s="185" t="s">
        <v>215</v>
      </c>
    </row>
    <row r="33738" spans="129:129" x14ac:dyDescent="0.2">
      <c r="DY33738" s="185" t="s">
        <v>215</v>
      </c>
    </row>
    <row r="33739" spans="129:129" x14ac:dyDescent="0.2">
      <c r="DY33739" s="185" t="s">
        <v>215</v>
      </c>
    </row>
    <row r="33740" spans="129:129" x14ac:dyDescent="0.2">
      <c r="DY33740" s="185" t="s">
        <v>215</v>
      </c>
    </row>
    <row r="33741" spans="129:129" x14ac:dyDescent="0.2">
      <c r="DY33741" s="185" t="s">
        <v>215</v>
      </c>
    </row>
    <row r="33742" spans="129:129" x14ac:dyDescent="0.2">
      <c r="DY33742" s="185" t="s">
        <v>215</v>
      </c>
    </row>
    <row r="33743" spans="129:129" x14ac:dyDescent="0.2">
      <c r="DY33743" s="185" t="s">
        <v>215</v>
      </c>
    </row>
    <row r="33744" spans="129:129" x14ac:dyDescent="0.2">
      <c r="DY33744" s="185" t="s">
        <v>215</v>
      </c>
    </row>
    <row r="33745" spans="129:129" x14ac:dyDescent="0.2">
      <c r="DY33745" s="185" t="s">
        <v>215</v>
      </c>
    </row>
    <row r="33746" spans="129:129" x14ac:dyDescent="0.2">
      <c r="DY33746" s="185" t="s">
        <v>215</v>
      </c>
    </row>
    <row r="33747" spans="129:129" x14ac:dyDescent="0.2">
      <c r="DY33747" s="185" t="s">
        <v>215</v>
      </c>
    </row>
    <row r="33748" spans="129:129" x14ac:dyDescent="0.2">
      <c r="DY33748" s="185" t="s">
        <v>215</v>
      </c>
    </row>
    <row r="33749" spans="129:129" x14ac:dyDescent="0.2">
      <c r="DY33749" s="185" t="s">
        <v>215</v>
      </c>
    </row>
    <row r="33750" spans="129:129" x14ac:dyDescent="0.2">
      <c r="DY33750" s="185" t="s">
        <v>215</v>
      </c>
    </row>
    <row r="33751" spans="129:129" x14ac:dyDescent="0.2">
      <c r="DY33751" s="185" t="s">
        <v>215</v>
      </c>
    </row>
    <row r="33752" spans="129:129" x14ac:dyDescent="0.2">
      <c r="DY33752" s="185" t="s">
        <v>215</v>
      </c>
    </row>
    <row r="33753" spans="129:129" x14ac:dyDescent="0.2">
      <c r="DY33753" s="185" t="s">
        <v>215</v>
      </c>
    </row>
    <row r="33754" spans="129:129" x14ac:dyDescent="0.2">
      <c r="DY33754" s="185" t="s">
        <v>215</v>
      </c>
    </row>
    <row r="33755" spans="129:129" x14ac:dyDescent="0.2">
      <c r="DY33755" s="185" t="s">
        <v>215</v>
      </c>
    </row>
    <row r="33756" spans="129:129" x14ac:dyDescent="0.2">
      <c r="DY33756" s="185" t="s">
        <v>215</v>
      </c>
    </row>
    <row r="33757" spans="129:129" x14ac:dyDescent="0.2">
      <c r="DY33757" s="185" t="s">
        <v>215</v>
      </c>
    </row>
    <row r="33758" spans="129:129" x14ac:dyDescent="0.2">
      <c r="DY33758" s="185" t="s">
        <v>215</v>
      </c>
    </row>
    <row r="33759" spans="129:129" x14ac:dyDescent="0.2">
      <c r="DY33759" s="185" t="s">
        <v>215</v>
      </c>
    </row>
    <row r="33760" spans="129:129" x14ac:dyDescent="0.2">
      <c r="DY33760" s="185" t="s">
        <v>215</v>
      </c>
    </row>
    <row r="33761" spans="129:129" x14ac:dyDescent="0.2">
      <c r="DY33761" s="185" t="s">
        <v>215</v>
      </c>
    </row>
    <row r="33762" spans="129:129" x14ac:dyDescent="0.2">
      <c r="DY33762" s="185" t="s">
        <v>215</v>
      </c>
    </row>
    <row r="33763" spans="129:129" x14ac:dyDescent="0.2">
      <c r="DY33763" s="185" t="s">
        <v>215</v>
      </c>
    </row>
    <row r="33764" spans="129:129" x14ac:dyDescent="0.2">
      <c r="DY33764" s="185" t="s">
        <v>215</v>
      </c>
    </row>
    <row r="33765" spans="129:129" x14ac:dyDescent="0.2">
      <c r="DY33765" s="185" t="s">
        <v>215</v>
      </c>
    </row>
    <row r="33766" spans="129:129" x14ac:dyDescent="0.2">
      <c r="DY33766" s="185" t="s">
        <v>215</v>
      </c>
    </row>
    <row r="33767" spans="129:129" x14ac:dyDescent="0.2">
      <c r="DY33767" s="185" t="s">
        <v>215</v>
      </c>
    </row>
    <row r="33768" spans="129:129" x14ac:dyDescent="0.2">
      <c r="DY33768" s="185" t="s">
        <v>215</v>
      </c>
    </row>
    <row r="33769" spans="129:129" x14ac:dyDescent="0.2">
      <c r="DY33769" s="185" t="s">
        <v>215</v>
      </c>
    </row>
    <row r="33770" spans="129:129" x14ac:dyDescent="0.2">
      <c r="DY33770" s="185" t="s">
        <v>215</v>
      </c>
    </row>
    <row r="33771" spans="129:129" x14ac:dyDescent="0.2">
      <c r="DY33771" s="185" t="s">
        <v>215</v>
      </c>
    </row>
    <row r="33772" spans="129:129" x14ac:dyDescent="0.2">
      <c r="DY33772" s="185" t="s">
        <v>215</v>
      </c>
    </row>
    <row r="33773" spans="129:129" x14ac:dyDescent="0.2">
      <c r="DY33773" s="185" t="s">
        <v>215</v>
      </c>
    </row>
    <row r="33774" spans="129:129" x14ac:dyDescent="0.2">
      <c r="DY33774" s="185" t="s">
        <v>215</v>
      </c>
    </row>
    <row r="33775" spans="129:129" x14ac:dyDescent="0.2">
      <c r="DY33775" s="185" t="s">
        <v>215</v>
      </c>
    </row>
    <row r="33776" spans="129:129" x14ac:dyDescent="0.2">
      <c r="DY33776" s="185" t="s">
        <v>215</v>
      </c>
    </row>
    <row r="33777" spans="129:129" x14ac:dyDescent="0.2">
      <c r="DY33777" s="185" t="s">
        <v>215</v>
      </c>
    </row>
    <row r="33778" spans="129:129" x14ac:dyDescent="0.2">
      <c r="DY33778" s="185" t="s">
        <v>215</v>
      </c>
    </row>
    <row r="33779" spans="129:129" x14ac:dyDescent="0.2">
      <c r="DY33779" s="185" t="s">
        <v>215</v>
      </c>
    </row>
    <row r="33780" spans="129:129" x14ac:dyDescent="0.2">
      <c r="DY33780" s="185" t="s">
        <v>215</v>
      </c>
    </row>
    <row r="33781" spans="129:129" x14ac:dyDescent="0.2">
      <c r="DY33781" s="185" t="s">
        <v>215</v>
      </c>
    </row>
    <row r="33782" spans="129:129" x14ac:dyDescent="0.2">
      <c r="DY33782" s="185" t="s">
        <v>215</v>
      </c>
    </row>
    <row r="33783" spans="129:129" x14ac:dyDescent="0.2">
      <c r="DY33783" s="185" t="s">
        <v>215</v>
      </c>
    </row>
    <row r="33784" spans="129:129" x14ac:dyDescent="0.2">
      <c r="DY33784" s="185" t="s">
        <v>215</v>
      </c>
    </row>
    <row r="33785" spans="129:129" x14ac:dyDescent="0.2">
      <c r="DY33785" s="185" t="s">
        <v>215</v>
      </c>
    </row>
    <row r="33786" spans="129:129" x14ac:dyDescent="0.2">
      <c r="DY33786" s="185" t="s">
        <v>215</v>
      </c>
    </row>
    <row r="33787" spans="129:129" x14ac:dyDescent="0.2">
      <c r="DY33787" s="185" t="s">
        <v>215</v>
      </c>
    </row>
    <row r="33788" spans="129:129" x14ac:dyDescent="0.2">
      <c r="DY33788" s="185" t="s">
        <v>215</v>
      </c>
    </row>
    <row r="33789" spans="129:129" x14ac:dyDescent="0.2">
      <c r="DY33789" s="185" t="s">
        <v>215</v>
      </c>
    </row>
    <row r="33790" spans="129:129" x14ac:dyDescent="0.2">
      <c r="DY33790" s="185" t="s">
        <v>215</v>
      </c>
    </row>
    <row r="33791" spans="129:129" x14ac:dyDescent="0.2">
      <c r="DY33791" s="185" t="s">
        <v>215</v>
      </c>
    </row>
    <row r="33792" spans="129:129" x14ac:dyDescent="0.2">
      <c r="DY33792" s="185" t="s">
        <v>215</v>
      </c>
    </row>
    <row r="33793" spans="129:129" x14ac:dyDescent="0.2">
      <c r="DY33793" s="185" t="s">
        <v>215</v>
      </c>
    </row>
    <row r="33794" spans="129:129" x14ac:dyDescent="0.2">
      <c r="DY33794" s="185" t="s">
        <v>215</v>
      </c>
    </row>
    <row r="33795" spans="129:129" x14ac:dyDescent="0.2">
      <c r="DY33795" s="185" t="s">
        <v>215</v>
      </c>
    </row>
    <row r="33796" spans="129:129" x14ac:dyDescent="0.2">
      <c r="DY33796" s="185" t="s">
        <v>215</v>
      </c>
    </row>
    <row r="33797" spans="129:129" x14ac:dyDescent="0.2">
      <c r="DY33797" s="185" t="s">
        <v>215</v>
      </c>
    </row>
    <row r="33798" spans="129:129" x14ac:dyDescent="0.2">
      <c r="DY33798" s="185" t="s">
        <v>215</v>
      </c>
    </row>
    <row r="33799" spans="129:129" x14ac:dyDescent="0.2">
      <c r="DY33799" s="185" t="s">
        <v>215</v>
      </c>
    </row>
    <row r="33800" spans="129:129" x14ac:dyDescent="0.2">
      <c r="DY33800" s="185" t="s">
        <v>215</v>
      </c>
    </row>
    <row r="33801" spans="129:129" x14ac:dyDescent="0.2">
      <c r="DY33801" s="185" t="s">
        <v>215</v>
      </c>
    </row>
    <row r="33802" spans="129:129" x14ac:dyDescent="0.2">
      <c r="DY33802" s="185" t="s">
        <v>215</v>
      </c>
    </row>
    <row r="33803" spans="129:129" x14ac:dyDescent="0.2">
      <c r="DY33803" s="185" t="s">
        <v>215</v>
      </c>
    </row>
    <row r="33804" spans="129:129" x14ac:dyDescent="0.2">
      <c r="DY33804" s="185" t="s">
        <v>215</v>
      </c>
    </row>
    <row r="33805" spans="129:129" x14ac:dyDescent="0.2">
      <c r="DY33805" s="185" t="s">
        <v>215</v>
      </c>
    </row>
    <row r="33806" spans="129:129" x14ac:dyDescent="0.2">
      <c r="DY33806" s="185" t="s">
        <v>215</v>
      </c>
    </row>
    <row r="33807" spans="129:129" x14ac:dyDescent="0.2">
      <c r="DY33807" s="185" t="s">
        <v>215</v>
      </c>
    </row>
    <row r="33808" spans="129:129" x14ac:dyDescent="0.2">
      <c r="DY33808" s="185" t="s">
        <v>215</v>
      </c>
    </row>
    <row r="33809" spans="129:129" x14ac:dyDescent="0.2">
      <c r="DY33809" s="185" t="s">
        <v>215</v>
      </c>
    </row>
    <row r="33810" spans="129:129" x14ac:dyDescent="0.2">
      <c r="DY33810" s="185" t="s">
        <v>215</v>
      </c>
    </row>
    <row r="33811" spans="129:129" x14ac:dyDescent="0.2">
      <c r="DY33811" s="185" t="s">
        <v>215</v>
      </c>
    </row>
    <row r="33812" spans="129:129" x14ac:dyDescent="0.2">
      <c r="DY33812" s="185" t="s">
        <v>215</v>
      </c>
    </row>
    <row r="33813" spans="129:129" x14ac:dyDescent="0.2">
      <c r="DY33813" s="185" t="s">
        <v>215</v>
      </c>
    </row>
    <row r="33814" spans="129:129" x14ac:dyDescent="0.2">
      <c r="DY33814" s="185" t="s">
        <v>215</v>
      </c>
    </row>
    <row r="33815" spans="129:129" x14ac:dyDescent="0.2">
      <c r="DY33815" s="185" t="s">
        <v>215</v>
      </c>
    </row>
    <row r="33816" spans="129:129" x14ac:dyDescent="0.2">
      <c r="DY33816" s="185" t="s">
        <v>215</v>
      </c>
    </row>
    <row r="33817" spans="129:129" x14ac:dyDescent="0.2">
      <c r="DY33817" s="185" t="s">
        <v>215</v>
      </c>
    </row>
    <row r="33818" spans="129:129" x14ac:dyDescent="0.2">
      <c r="DY33818" s="185" t="s">
        <v>215</v>
      </c>
    </row>
    <row r="33819" spans="129:129" x14ac:dyDescent="0.2">
      <c r="DY33819" s="185" t="s">
        <v>215</v>
      </c>
    </row>
    <row r="33820" spans="129:129" x14ac:dyDescent="0.2">
      <c r="DY33820" s="185" t="s">
        <v>215</v>
      </c>
    </row>
    <row r="33821" spans="129:129" x14ac:dyDescent="0.2">
      <c r="DY33821" s="185" t="s">
        <v>215</v>
      </c>
    </row>
    <row r="33822" spans="129:129" x14ac:dyDescent="0.2">
      <c r="DY33822" s="185" t="s">
        <v>215</v>
      </c>
    </row>
    <row r="33823" spans="129:129" x14ac:dyDescent="0.2">
      <c r="DY33823" s="185" t="s">
        <v>215</v>
      </c>
    </row>
    <row r="33824" spans="129:129" x14ac:dyDescent="0.2">
      <c r="DY33824" s="185" t="s">
        <v>215</v>
      </c>
    </row>
    <row r="33825" spans="129:129" x14ac:dyDescent="0.2">
      <c r="DY33825" s="185" t="s">
        <v>215</v>
      </c>
    </row>
    <row r="33826" spans="129:129" x14ac:dyDescent="0.2">
      <c r="DY33826" s="185" t="s">
        <v>215</v>
      </c>
    </row>
    <row r="33827" spans="129:129" x14ac:dyDescent="0.2">
      <c r="DY33827" s="185" t="s">
        <v>215</v>
      </c>
    </row>
    <row r="33828" spans="129:129" x14ac:dyDescent="0.2">
      <c r="DY33828" s="185" t="s">
        <v>215</v>
      </c>
    </row>
    <row r="33829" spans="129:129" x14ac:dyDescent="0.2">
      <c r="DY33829" s="185" t="s">
        <v>215</v>
      </c>
    </row>
    <row r="33830" spans="129:129" x14ac:dyDescent="0.2">
      <c r="DY33830" s="185" t="s">
        <v>215</v>
      </c>
    </row>
    <row r="33831" spans="129:129" x14ac:dyDescent="0.2">
      <c r="DY33831" s="185" t="s">
        <v>215</v>
      </c>
    </row>
    <row r="33832" spans="129:129" x14ac:dyDescent="0.2">
      <c r="DY33832" s="185" t="s">
        <v>215</v>
      </c>
    </row>
    <row r="33833" spans="129:129" x14ac:dyDescent="0.2">
      <c r="DY33833" s="185" t="s">
        <v>215</v>
      </c>
    </row>
    <row r="33834" spans="129:129" x14ac:dyDescent="0.2">
      <c r="DY33834" s="185" t="s">
        <v>215</v>
      </c>
    </row>
    <row r="33835" spans="129:129" x14ac:dyDescent="0.2">
      <c r="DY33835" s="185" t="s">
        <v>215</v>
      </c>
    </row>
    <row r="33836" spans="129:129" x14ac:dyDescent="0.2">
      <c r="DY33836" s="185" t="s">
        <v>215</v>
      </c>
    </row>
    <row r="33837" spans="129:129" x14ac:dyDescent="0.2">
      <c r="DY33837" s="185" t="s">
        <v>215</v>
      </c>
    </row>
    <row r="33838" spans="129:129" x14ac:dyDescent="0.2">
      <c r="DY33838" s="185" t="s">
        <v>215</v>
      </c>
    </row>
    <row r="33839" spans="129:129" x14ac:dyDescent="0.2">
      <c r="DY33839" s="185" t="s">
        <v>215</v>
      </c>
    </row>
    <row r="33840" spans="129:129" x14ac:dyDescent="0.2">
      <c r="DY33840" s="185" t="s">
        <v>215</v>
      </c>
    </row>
    <row r="33841" spans="129:129" x14ac:dyDescent="0.2">
      <c r="DY33841" s="185" t="s">
        <v>215</v>
      </c>
    </row>
    <row r="33842" spans="129:129" x14ac:dyDescent="0.2">
      <c r="DY33842" s="185" t="s">
        <v>215</v>
      </c>
    </row>
    <row r="33843" spans="129:129" x14ac:dyDescent="0.2">
      <c r="DY33843" s="185" t="s">
        <v>215</v>
      </c>
    </row>
    <row r="33844" spans="129:129" x14ac:dyDescent="0.2">
      <c r="DY33844" s="185" t="s">
        <v>215</v>
      </c>
    </row>
    <row r="33845" spans="129:129" x14ac:dyDescent="0.2">
      <c r="DY33845" s="185" t="s">
        <v>215</v>
      </c>
    </row>
    <row r="33846" spans="129:129" x14ac:dyDescent="0.2">
      <c r="DY33846" s="185" t="s">
        <v>215</v>
      </c>
    </row>
    <row r="33847" spans="129:129" x14ac:dyDescent="0.2">
      <c r="DY33847" s="185" t="s">
        <v>215</v>
      </c>
    </row>
    <row r="33848" spans="129:129" x14ac:dyDescent="0.2">
      <c r="DY33848" s="185" t="s">
        <v>215</v>
      </c>
    </row>
    <row r="33849" spans="129:129" x14ac:dyDescent="0.2">
      <c r="DY33849" s="185" t="s">
        <v>215</v>
      </c>
    </row>
    <row r="33850" spans="129:129" x14ac:dyDescent="0.2">
      <c r="DY33850" s="185" t="s">
        <v>215</v>
      </c>
    </row>
    <row r="33851" spans="129:129" x14ac:dyDescent="0.2">
      <c r="DY33851" s="185" t="s">
        <v>215</v>
      </c>
    </row>
    <row r="33852" spans="129:129" x14ac:dyDescent="0.2">
      <c r="DY33852" s="185" t="s">
        <v>215</v>
      </c>
    </row>
    <row r="33853" spans="129:129" x14ac:dyDescent="0.2">
      <c r="DY33853" s="185" t="s">
        <v>215</v>
      </c>
    </row>
    <row r="33854" spans="129:129" x14ac:dyDescent="0.2">
      <c r="DY33854" s="185" t="s">
        <v>215</v>
      </c>
    </row>
    <row r="33855" spans="129:129" x14ac:dyDescent="0.2">
      <c r="DY33855" s="185" t="s">
        <v>215</v>
      </c>
    </row>
    <row r="33856" spans="129:129" x14ac:dyDescent="0.2">
      <c r="DY33856" s="185" t="s">
        <v>215</v>
      </c>
    </row>
    <row r="33857" spans="129:129" x14ac:dyDescent="0.2">
      <c r="DY33857" s="185" t="s">
        <v>215</v>
      </c>
    </row>
    <row r="33858" spans="129:129" x14ac:dyDescent="0.2">
      <c r="DY33858" s="185" t="s">
        <v>215</v>
      </c>
    </row>
    <row r="33859" spans="129:129" x14ac:dyDescent="0.2">
      <c r="DY33859" s="185" t="s">
        <v>215</v>
      </c>
    </row>
    <row r="33860" spans="129:129" x14ac:dyDescent="0.2">
      <c r="DY33860" s="185" t="s">
        <v>215</v>
      </c>
    </row>
    <row r="33861" spans="129:129" x14ac:dyDescent="0.2">
      <c r="DY33861" s="185" t="s">
        <v>215</v>
      </c>
    </row>
    <row r="33862" spans="129:129" x14ac:dyDescent="0.2">
      <c r="DY33862" s="185" t="s">
        <v>215</v>
      </c>
    </row>
    <row r="33863" spans="129:129" x14ac:dyDescent="0.2">
      <c r="DY33863" s="185" t="s">
        <v>215</v>
      </c>
    </row>
    <row r="33864" spans="129:129" x14ac:dyDescent="0.2">
      <c r="DY33864" s="185" t="s">
        <v>215</v>
      </c>
    </row>
    <row r="33865" spans="129:129" x14ac:dyDescent="0.2">
      <c r="DY33865" s="185" t="s">
        <v>215</v>
      </c>
    </row>
    <row r="33866" spans="129:129" x14ac:dyDescent="0.2">
      <c r="DY33866" s="185" t="s">
        <v>215</v>
      </c>
    </row>
    <row r="33867" spans="129:129" x14ac:dyDescent="0.2">
      <c r="DY33867" s="185" t="s">
        <v>215</v>
      </c>
    </row>
    <row r="33868" spans="129:129" x14ac:dyDescent="0.2">
      <c r="DY33868" s="185" t="s">
        <v>215</v>
      </c>
    </row>
    <row r="33869" spans="129:129" x14ac:dyDescent="0.2">
      <c r="DY33869" s="185" t="s">
        <v>215</v>
      </c>
    </row>
    <row r="33870" spans="129:129" x14ac:dyDescent="0.2">
      <c r="DY33870" s="185" t="s">
        <v>215</v>
      </c>
    </row>
    <row r="33871" spans="129:129" x14ac:dyDescent="0.2">
      <c r="DY33871" s="185" t="s">
        <v>215</v>
      </c>
    </row>
    <row r="33872" spans="129:129" x14ac:dyDescent="0.2">
      <c r="DY33872" s="185" t="s">
        <v>215</v>
      </c>
    </row>
    <row r="33873" spans="129:129" x14ac:dyDescent="0.2">
      <c r="DY33873" s="185" t="s">
        <v>215</v>
      </c>
    </row>
    <row r="33874" spans="129:129" x14ac:dyDescent="0.2">
      <c r="DY33874" s="185" t="s">
        <v>215</v>
      </c>
    </row>
    <row r="33875" spans="129:129" x14ac:dyDescent="0.2">
      <c r="DY33875" s="185" t="s">
        <v>215</v>
      </c>
    </row>
    <row r="33876" spans="129:129" x14ac:dyDescent="0.2">
      <c r="DY33876" s="185" t="s">
        <v>215</v>
      </c>
    </row>
    <row r="33877" spans="129:129" x14ac:dyDescent="0.2">
      <c r="DY33877" s="185" t="s">
        <v>215</v>
      </c>
    </row>
    <row r="33878" spans="129:129" x14ac:dyDescent="0.2">
      <c r="DY33878" s="185" t="s">
        <v>215</v>
      </c>
    </row>
    <row r="33879" spans="129:129" x14ac:dyDescent="0.2">
      <c r="DY33879" s="185" t="s">
        <v>215</v>
      </c>
    </row>
    <row r="33880" spans="129:129" x14ac:dyDescent="0.2">
      <c r="DY33880" s="185" t="s">
        <v>215</v>
      </c>
    </row>
    <row r="33881" spans="129:129" x14ac:dyDescent="0.2">
      <c r="DY33881" s="185" t="s">
        <v>215</v>
      </c>
    </row>
    <row r="33882" spans="129:129" x14ac:dyDescent="0.2">
      <c r="DY33882" s="185" t="s">
        <v>215</v>
      </c>
    </row>
    <row r="33883" spans="129:129" x14ac:dyDescent="0.2">
      <c r="DY33883" s="185" t="s">
        <v>215</v>
      </c>
    </row>
    <row r="33884" spans="129:129" x14ac:dyDescent="0.2">
      <c r="DY33884" s="185" t="s">
        <v>215</v>
      </c>
    </row>
    <row r="33885" spans="129:129" x14ac:dyDescent="0.2">
      <c r="DY33885" s="185" t="s">
        <v>215</v>
      </c>
    </row>
    <row r="33886" spans="129:129" x14ac:dyDescent="0.2">
      <c r="DY33886" s="185" t="s">
        <v>215</v>
      </c>
    </row>
    <row r="33887" spans="129:129" x14ac:dyDescent="0.2">
      <c r="DY33887" s="185" t="s">
        <v>215</v>
      </c>
    </row>
    <row r="33888" spans="129:129" x14ac:dyDescent="0.2">
      <c r="DY33888" s="185" t="s">
        <v>215</v>
      </c>
    </row>
    <row r="33889" spans="129:129" x14ac:dyDescent="0.2">
      <c r="DY33889" s="185" t="s">
        <v>215</v>
      </c>
    </row>
    <row r="33890" spans="129:129" x14ac:dyDescent="0.2">
      <c r="DY33890" s="185" t="s">
        <v>215</v>
      </c>
    </row>
    <row r="33891" spans="129:129" x14ac:dyDescent="0.2">
      <c r="DY33891" s="185" t="s">
        <v>215</v>
      </c>
    </row>
    <row r="33892" spans="129:129" x14ac:dyDescent="0.2">
      <c r="DY33892" s="185" t="s">
        <v>215</v>
      </c>
    </row>
    <row r="33893" spans="129:129" x14ac:dyDescent="0.2">
      <c r="DY33893" s="185" t="s">
        <v>215</v>
      </c>
    </row>
    <row r="33894" spans="129:129" x14ac:dyDescent="0.2">
      <c r="DY33894" s="185" t="s">
        <v>215</v>
      </c>
    </row>
    <row r="33895" spans="129:129" x14ac:dyDescent="0.2">
      <c r="DY33895" s="185" t="s">
        <v>215</v>
      </c>
    </row>
    <row r="33896" spans="129:129" x14ac:dyDescent="0.2">
      <c r="DY33896" s="185" t="s">
        <v>215</v>
      </c>
    </row>
    <row r="33897" spans="129:129" x14ac:dyDescent="0.2">
      <c r="DY33897" s="185" t="s">
        <v>215</v>
      </c>
    </row>
    <row r="33898" spans="129:129" x14ac:dyDescent="0.2">
      <c r="DY33898" s="185" t="s">
        <v>215</v>
      </c>
    </row>
    <row r="33899" spans="129:129" x14ac:dyDescent="0.2">
      <c r="DY33899" s="185" t="s">
        <v>215</v>
      </c>
    </row>
    <row r="33900" spans="129:129" x14ac:dyDescent="0.2">
      <c r="DY33900" s="185" t="s">
        <v>215</v>
      </c>
    </row>
    <row r="33901" spans="129:129" x14ac:dyDescent="0.2">
      <c r="DY33901" s="185" t="s">
        <v>215</v>
      </c>
    </row>
    <row r="33902" spans="129:129" x14ac:dyDescent="0.2">
      <c r="DY33902" s="185" t="s">
        <v>215</v>
      </c>
    </row>
    <row r="33903" spans="129:129" x14ac:dyDescent="0.2">
      <c r="DY33903" s="185" t="s">
        <v>215</v>
      </c>
    </row>
    <row r="33904" spans="129:129" x14ac:dyDescent="0.2">
      <c r="DY33904" s="185" t="s">
        <v>215</v>
      </c>
    </row>
    <row r="33905" spans="129:129" x14ac:dyDescent="0.2">
      <c r="DY33905" s="185" t="s">
        <v>215</v>
      </c>
    </row>
    <row r="33906" spans="129:129" x14ac:dyDescent="0.2">
      <c r="DY33906" s="185" t="s">
        <v>215</v>
      </c>
    </row>
    <row r="33907" spans="129:129" x14ac:dyDescent="0.2">
      <c r="DY33907" s="185" t="s">
        <v>215</v>
      </c>
    </row>
    <row r="33908" spans="129:129" x14ac:dyDescent="0.2">
      <c r="DY33908" s="185" t="s">
        <v>215</v>
      </c>
    </row>
    <row r="33909" spans="129:129" x14ac:dyDescent="0.2">
      <c r="DY33909" s="185" t="s">
        <v>215</v>
      </c>
    </row>
    <row r="33910" spans="129:129" x14ac:dyDescent="0.2">
      <c r="DY33910" s="185" t="s">
        <v>215</v>
      </c>
    </row>
    <row r="33911" spans="129:129" x14ac:dyDescent="0.2">
      <c r="DY33911" s="185" t="s">
        <v>215</v>
      </c>
    </row>
    <row r="33912" spans="129:129" x14ac:dyDescent="0.2">
      <c r="DY33912" s="185" t="s">
        <v>215</v>
      </c>
    </row>
    <row r="33913" spans="129:129" x14ac:dyDescent="0.2">
      <c r="DY33913" s="185" t="s">
        <v>215</v>
      </c>
    </row>
    <row r="33914" spans="129:129" x14ac:dyDescent="0.2">
      <c r="DY33914" s="185" t="s">
        <v>215</v>
      </c>
    </row>
    <row r="33915" spans="129:129" x14ac:dyDescent="0.2">
      <c r="DY33915" s="185" t="s">
        <v>215</v>
      </c>
    </row>
    <row r="33916" spans="129:129" x14ac:dyDescent="0.2">
      <c r="DY33916" s="185" t="s">
        <v>215</v>
      </c>
    </row>
    <row r="33917" spans="129:129" x14ac:dyDescent="0.2">
      <c r="DY33917" s="185" t="s">
        <v>215</v>
      </c>
    </row>
    <row r="33918" spans="129:129" x14ac:dyDescent="0.2">
      <c r="DY33918" s="185" t="s">
        <v>215</v>
      </c>
    </row>
    <row r="33919" spans="129:129" x14ac:dyDescent="0.2">
      <c r="DY33919" s="185" t="s">
        <v>215</v>
      </c>
    </row>
    <row r="33920" spans="129:129" x14ac:dyDescent="0.2">
      <c r="DY33920" s="185" t="s">
        <v>215</v>
      </c>
    </row>
    <row r="33921" spans="129:129" x14ac:dyDescent="0.2">
      <c r="DY33921" s="185" t="s">
        <v>215</v>
      </c>
    </row>
    <row r="33922" spans="129:129" x14ac:dyDescent="0.2">
      <c r="DY33922" s="185" t="s">
        <v>215</v>
      </c>
    </row>
    <row r="33923" spans="129:129" x14ac:dyDescent="0.2">
      <c r="DY33923" s="185" t="s">
        <v>215</v>
      </c>
    </row>
    <row r="33924" spans="129:129" x14ac:dyDescent="0.2">
      <c r="DY33924" s="185" t="s">
        <v>215</v>
      </c>
    </row>
    <row r="33925" spans="129:129" x14ac:dyDescent="0.2">
      <c r="DY33925" s="185" t="s">
        <v>215</v>
      </c>
    </row>
    <row r="33926" spans="129:129" x14ac:dyDescent="0.2">
      <c r="DY33926" s="185" t="s">
        <v>215</v>
      </c>
    </row>
    <row r="33927" spans="129:129" x14ac:dyDescent="0.2">
      <c r="DY33927" s="185" t="s">
        <v>215</v>
      </c>
    </row>
    <row r="33928" spans="129:129" x14ac:dyDescent="0.2">
      <c r="DY33928" s="185" t="s">
        <v>215</v>
      </c>
    </row>
    <row r="33929" spans="129:129" x14ac:dyDescent="0.2">
      <c r="DY33929" s="185" t="s">
        <v>215</v>
      </c>
    </row>
    <row r="33930" spans="129:129" x14ac:dyDescent="0.2">
      <c r="DY33930" s="185" t="s">
        <v>215</v>
      </c>
    </row>
    <row r="33931" spans="129:129" x14ac:dyDescent="0.2">
      <c r="DY33931" s="185" t="s">
        <v>215</v>
      </c>
    </row>
    <row r="33932" spans="129:129" x14ac:dyDescent="0.2">
      <c r="DY33932" s="185" t="s">
        <v>215</v>
      </c>
    </row>
    <row r="33933" spans="129:129" x14ac:dyDescent="0.2">
      <c r="DY33933" s="185" t="s">
        <v>215</v>
      </c>
    </row>
    <row r="33934" spans="129:129" x14ac:dyDescent="0.2">
      <c r="DY33934" s="185" t="s">
        <v>215</v>
      </c>
    </row>
    <row r="33935" spans="129:129" x14ac:dyDescent="0.2">
      <c r="DY33935" s="185" t="s">
        <v>215</v>
      </c>
    </row>
    <row r="33936" spans="129:129" x14ac:dyDescent="0.2">
      <c r="DY33936" s="185" t="s">
        <v>215</v>
      </c>
    </row>
    <row r="33937" spans="129:129" x14ac:dyDescent="0.2">
      <c r="DY33937" s="185" t="s">
        <v>215</v>
      </c>
    </row>
    <row r="33938" spans="129:129" x14ac:dyDescent="0.2">
      <c r="DY33938" s="185" t="s">
        <v>215</v>
      </c>
    </row>
    <row r="33939" spans="129:129" x14ac:dyDescent="0.2">
      <c r="DY33939" s="185" t="s">
        <v>215</v>
      </c>
    </row>
    <row r="33940" spans="129:129" x14ac:dyDescent="0.2">
      <c r="DY33940" s="185" t="s">
        <v>215</v>
      </c>
    </row>
    <row r="33941" spans="129:129" x14ac:dyDescent="0.2">
      <c r="DY33941" s="185" t="s">
        <v>215</v>
      </c>
    </row>
    <row r="33942" spans="129:129" x14ac:dyDescent="0.2">
      <c r="DY33942" s="185" t="s">
        <v>215</v>
      </c>
    </row>
    <row r="33943" spans="129:129" x14ac:dyDescent="0.2">
      <c r="DY33943" s="185" t="s">
        <v>215</v>
      </c>
    </row>
    <row r="33944" spans="129:129" x14ac:dyDescent="0.2">
      <c r="DY33944" s="185" t="s">
        <v>215</v>
      </c>
    </row>
    <row r="33945" spans="129:129" x14ac:dyDescent="0.2">
      <c r="DY33945" s="185" t="s">
        <v>215</v>
      </c>
    </row>
    <row r="33946" spans="129:129" x14ac:dyDescent="0.2">
      <c r="DY33946" s="185" t="s">
        <v>215</v>
      </c>
    </row>
    <row r="33947" spans="129:129" x14ac:dyDescent="0.2">
      <c r="DY33947" s="185" t="s">
        <v>215</v>
      </c>
    </row>
    <row r="33948" spans="129:129" x14ac:dyDescent="0.2">
      <c r="DY33948" s="185" t="s">
        <v>215</v>
      </c>
    </row>
    <row r="33949" spans="129:129" x14ac:dyDescent="0.2">
      <c r="DY33949" s="185" t="s">
        <v>215</v>
      </c>
    </row>
    <row r="33950" spans="129:129" x14ac:dyDescent="0.2">
      <c r="DY33950" s="185" t="s">
        <v>215</v>
      </c>
    </row>
    <row r="33951" spans="129:129" x14ac:dyDescent="0.2">
      <c r="DY33951" s="185" t="s">
        <v>215</v>
      </c>
    </row>
    <row r="33952" spans="129:129" x14ac:dyDescent="0.2">
      <c r="DY33952" s="185" t="s">
        <v>215</v>
      </c>
    </row>
    <row r="33953" spans="129:129" x14ac:dyDescent="0.2">
      <c r="DY33953" s="185" t="s">
        <v>215</v>
      </c>
    </row>
    <row r="33954" spans="129:129" x14ac:dyDescent="0.2">
      <c r="DY33954" s="185" t="s">
        <v>215</v>
      </c>
    </row>
    <row r="33955" spans="129:129" x14ac:dyDescent="0.2">
      <c r="DY33955" s="185" t="s">
        <v>215</v>
      </c>
    </row>
    <row r="33956" spans="129:129" x14ac:dyDescent="0.2">
      <c r="DY33956" s="185" t="s">
        <v>215</v>
      </c>
    </row>
    <row r="33957" spans="129:129" x14ac:dyDescent="0.2">
      <c r="DY33957" s="185" t="s">
        <v>215</v>
      </c>
    </row>
    <row r="33958" spans="129:129" x14ac:dyDescent="0.2">
      <c r="DY33958" s="185" t="s">
        <v>215</v>
      </c>
    </row>
    <row r="33959" spans="129:129" x14ac:dyDescent="0.2">
      <c r="DY33959" s="185" t="s">
        <v>215</v>
      </c>
    </row>
    <row r="33960" spans="129:129" x14ac:dyDescent="0.2">
      <c r="DY33960" s="185" t="s">
        <v>215</v>
      </c>
    </row>
    <row r="33961" spans="129:129" x14ac:dyDescent="0.2">
      <c r="DY33961" s="185" t="s">
        <v>215</v>
      </c>
    </row>
    <row r="33962" spans="129:129" x14ac:dyDescent="0.2">
      <c r="DY33962" s="185" t="s">
        <v>215</v>
      </c>
    </row>
    <row r="33963" spans="129:129" x14ac:dyDescent="0.2">
      <c r="DY33963" s="185" t="s">
        <v>215</v>
      </c>
    </row>
    <row r="33964" spans="129:129" x14ac:dyDescent="0.2">
      <c r="DY33964" s="185" t="s">
        <v>215</v>
      </c>
    </row>
    <row r="33965" spans="129:129" x14ac:dyDescent="0.2">
      <c r="DY33965" s="185" t="s">
        <v>215</v>
      </c>
    </row>
    <row r="33966" spans="129:129" x14ac:dyDescent="0.2">
      <c r="DY33966" s="185" t="s">
        <v>215</v>
      </c>
    </row>
    <row r="33967" spans="129:129" x14ac:dyDescent="0.2">
      <c r="DY33967" s="185" t="s">
        <v>215</v>
      </c>
    </row>
    <row r="33968" spans="129:129" x14ac:dyDescent="0.2">
      <c r="DY33968" s="185" t="s">
        <v>215</v>
      </c>
    </row>
    <row r="33969" spans="129:129" x14ac:dyDescent="0.2">
      <c r="DY33969" s="185" t="s">
        <v>215</v>
      </c>
    </row>
    <row r="33970" spans="129:129" x14ac:dyDescent="0.2">
      <c r="DY33970" s="185" t="s">
        <v>215</v>
      </c>
    </row>
    <row r="33971" spans="129:129" x14ac:dyDescent="0.2">
      <c r="DY33971" s="185" t="s">
        <v>215</v>
      </c>
    </row>
    <row r="33972" spans="129:129" x14ac:dyDescent="0.2">
      <c r="DY33972" s="185" t="s">
        <v>215</v>
      </c>
    </row>
    <row r="33973" spans="129:129" x14ac:dyDescent="0.2">
      <c r="DY33973" s="185" t="s">
        <v>215</v>
      </c>
    </row>
    <row r="33974" spans="129:129" x14ac:dyDescent="0.2">
      <c r="DY33974" s="185" t="s">
        <v>215</v>
      </c>
    </row>
    <row r="33975" spans="129:129" x14ac:dyDescent="0.2">
      <c r="DY33975" s="185" t="s">
        <v>215</v>
      </c>
    </row>
    <row r="33976" spans="129:129" x14ac:dyDescent="0.2">
      <c r="DY33976" s="185" t="s">
        <v>215</v>
      </c>
    </row>
    <row r="33977" spans="129:129" x14ac:dyDescent="0.2">
      <c r="DY33977" s="185" t="s">
        <v>215</v>
      </c>
    </row>
    <row r="33978" spans="129:129" x14ac:dyDescent="0.2">
      <c r="DY33978" s="185" t="s">
        <v>215</v>
      </c>
    </row>
    <row r="33979" spans="129:129" x14ac:dyDescent="0.2">
      <c r="DY33979" s="185" t="s">
        <v>215</v>
      </c>
    </row>
    <row r="33980" spans="129:129" x14ac:dyDescent="0.2">
      <c r="DY33980" s="185" t="s">
        <v>215</v>
      </c>
    </row>
    <row r="33981" spans="129:129" x14ac:dyDescent="0.2">
      <c r="DY33981" s="185" t="s">
        <v>215</v>
      </c>
    </row>
    <row r="33982" spans="129:129" x14ac:dyDescent="0.2">
      <c r="DY33982" s="185" t="s">
        <v>215</v>
      </c>
    </row>
    <row r="33983" spans="129:129" x14ac:dyDescent="0.2">
      <c r="DY33983" s="185" t="s">
        <v>215</v>
      </c>
    </row>
    <row r="33984" spans="129:129" x14ac:dyDescent="0.2">
      <c r="DY33984" s="185" t="s">
        <v>215</v>
      </c>
    </row>
    <row r="33985" spans="129:129" x14ac:dyDescent="0.2">
      <c r="DY33985" s="185" t="s">
        <v>215</v>
      </c>
    </row>
    <row r="33986" spans="129:129" x14ac:dyDescent="0.2">
      <c r="DY33986" s="185" t="s">
        <v>215</v>
      </c>
    </row>
    <row r="33987" spans="129:129" x14ac:dyDescent="0.2">
      <c r="DY33987" s="185" t="s">
        <v>215</v>
      </c>
    </row>
    <row r="33988" spans="129:129" x14ac:dyDescent="0.2">
      <c r="DY33988" s="185" t="s">
        <v>215</v>
      </c>
    </row>
    <row r="33989" spans="129:129" x14ac:dyDescent="0.2">
      <c r="DY33989" s="185" t="s">
        <v>215</v>
      </c>
    </row>
    <row r="33990" spans="129:129" x14ac:dyDescent="0.2">
      <c r="DY33990" s="185" t="s">
        <v>215</v>
      </c>
    </row>
    <row r="33991" spans="129:129" x14ac:dyDescent="0.2">
      <c r="DY33991" s="185" t="s">
        <v>215</v>
      </c>
    </row>
    <row r="33992" spans="129:129" x14ac:dyDescent="0.2">
      <c r="DY33992" s="185" t="s">
        <v>215</v>
      </c>
    </row>
    <row r="33993" spans="129:129" x14ac:dyDescent="0.2">
      <c r="DY33993" s="185" t="s">
        <v>215</v>
      </c>
    </row>
    <row r="33994" spans="129:129" x14ac:dyDescent="0.2">
      <c r="DY33994" s="185" t="s">
        <v>215</v>
      </c>
    </row>
    <row r="33995" spans="129:129" x14ac:dyDescent="0.2">
      <c r="DY33995" s="185" t="s">
        <v>215</v>
      </c>
    </row>
    <row r="33996" spans="129:129" x14ac:dyDescent="0.2">
      <c r="DY33996" s="185" t="s">
        <v>215</v>
      </c>
    </row>
    <row r="33997" spans="129:129" x14ac:dyDescent="0.2">
      <c r="DY33997" s="185" t="s">
        <v>215</v>
      </c>
    </row>
    <row r="33998" spans="129:129" x14ac:dyDescent="0.2">
      <c r="DY33998" s="185" t="s">
        <v>215</v>
      </c>
    </row>
    <row r="33999" spans="129:129" x14ac:dyDescent="0.2">
      <c r="DY33999" s="185" t="s">
        <v>215</v>
      </c>
    </row>
    <row r="34000" spans="129:129" x14ac:dyDescent="0.2">
      <c r="DY34000" s="185" t="s">
        <v>215</v>
      </c>
    </row>
    <row r="34001" spans="129:129" x14ac:dyDescent="0.2">
      <c r="DY34001" s="185" t="s">
        <v>215</v>
      </c>
    </row>
    <row r="34002" spans="129:129" x14ac:dyDescent="0.2">
      <c r="DY34002" s="185" t="s">
        <v>215</v>
      </c>
    </row>
    <row r="34003" spans="129:129" x14ac:dyDescent="0.2">
      <c r="DY34003" s="185" t="s">
        <v>215</v>
      </c>
    </row>
    <row r="34004" spans="129:129" x14ac:dyDescent="0.2">
      <c r="DY34004" s="185" t="s">
        <v>215</v>
      </c>
    </row>
    <row r="34005" spans="129:129" x14ac:dyDescent="0.2">
      <c r="DY34005" s="185" t="s">
        <v>215</v>
      </c>
    </row>
    <row r="34006" spans="129:129" x14ac:dyDescent="0.2">
      <c r="DY34006" s="185" t="s">
        <v>215</v>
      </c>
    </row>
    <row r="34007" spans="129:129" x14ac:dyDescent="0.2">
      <c r="DY34007" s="185" t="s">
        <v>215</v>
      </c>
    </row>
    <row r="34008" spans="129:129" x14ac:dyDescent="0.2">
      <c r="DY34008" s="185" t="s">
        <v>215</v>
      </c>
    </row>
    <row r="34009" spans="129:129" x14ac:dyDescent="0.2">
      <c r="DY34009" s="185" t="s">
        <v>215</v>
      </c>
    </row>
    <row r="34010" spans="129:129" x14ac:dyDescent="0.2">
      <c r="DY34010" s="185" t="s">
        <v>215</v>
      </c>
    </row>
    <row r="34011" spans="129:129" x14ac:dyDescent="0.2">
      <c r="DY34011" s="185" t="s">
        <v>215</v>
      </c>
    </row>
    <row r="34012" spans="129:129" x14ac:dyDescent="0.2">
      <c r="DY34012" s="185" t="s">
        <v>215</v>
      </c>
    </row>
    <row r="34013" spans="129:129" x14ac:dyDescent="0.2">
      <c r="DY34013" s="185" t="s">
        <v>215</v>
      </c>
    </row>
    <row r="34014" spans="129:129" x14ac:dyDescent="0.2">
      <c r="DY34014" s="185" t="s">
        <v>215</v>
      </c>
    </row>
    <row r="34015" spans="129:129" x14ac:dyDescent="0.2">
      <c r="DY34015" s="185" t="s">
        <v>215</v>
      </c>
    </row>
    <row r="34016" spans="129:129" x14ac:dyDescent="0.2">
      <c r="DY34016" s="185" t="s">
        <v>215</v>
      </c>
    </row>
    <row r="34017" spans="129:129" x14ac:dyDescent="0.2">
      <c r="DY34017" s="185" t="s">
        <v>215</v>
      </c>
    </row>
    <row r="34018" spans="129:129" x14ac:dyDescent="0.2">
      <c r="DY34018" s="185" t="s">
        <v>215</v>
      </c>
    </row>
    <row r="34019" spans="129:129" x14ac:dyDescent="0.2">
      <c r="DY34019" s="185" t="s">
        <v>215</v>
      </c>
    </row>
    <row r="34020" spans="129:129" x14ac:dyDescent="0.2">
      <c r="DY34020" s="185" t="s">
        <v>215</v>
      </c>
    </row>
    <row r="34021" spans="129:129" x14ac:dyDescent="0.2">
      <c r="DY34021" s="185" t="s">
        <v>215</v>
      </c>
    </row>
    <row r="34022" spans="129:129" x14ac:dyDescent="0.2">
      <c r="DY34022" s="185" t="s">
        <v>215</v>
      </c>
    </row>
    <row r="34023" spans="129:129" x14ac:dyDescent="0.2">
      <c r="DY34023" s="185" t="s">
        <v>215</v>
      </c>
    </row>
    <row r="34024" spans="129:129" x14ac:dyDescent="0.2">
      <c r="DY34024" s="185" t="s">
        <v>215</v>
      </c>
    </row>
    <row r="34025" spans="129:129" x14ac:dyDescent="0.2">
      <c r="DY34025" s="185" t="s">
        <v>215</v>
      </c>
    </row>
    <row r="34026" spans="129:129" x14ac:dyDescent="0.2">
      <c r="DY34026" s="185" t="s">
        <v>215</v>
      </c>
    </row>
    <row r="34027" spans="129:129" x14ac:dyDescent="0.2">
      <c r="DY34027" s="185" t="s">
        <v>215</v>
      </c>
    </row>
    <row r="34028" spans="129:129" x14ac:dyDescent="0.2">
      <c r="DY34028" s="185" t="s">
        <v>215</v>
      </c>
    </row>
    <row r="34029" spans="129:129" x14ac:dyDescent="0.2">
      <c r="DY34029" s="185" t="s">
        <v>215</v>
      </c>
    </row>
    <row r="34030" spans="129:129" x14ac:dyDescent="0.2">
      <c r="DY34030" s="185" t="s">
        <v>215</v>
      </c>
    </row>
    <row r="34031" spans="129:129" x14ac:dyDescent="0.2">
      <c r="DY34031" s="185" t="s">
        <v>215</v>
      </c>
    </row>
    <row r="34032" spans="129:129" x14ac:dyDescent="0.2">
      <c r="DY34032" s="185" t="s">
        <v>215</v>
      </c>
    </row>
    <row r="34033" spans="129:129" x14ac:dyDescent="0.2">
      <c r="DY34033" s="185" t="s">
        <v>215</v>
      </c>
    </row>
    <row r="34034" spans="129:129" x14ac:dyDescent="0.2">
      <c r="DY34034" s="185" t="s">
        <v>215</v>
      </c>
    </row>
    <row r="34035" spans="129:129" x14ac:dyDescent="0.2">
      <c r="DY34035" s="185" t="s">
        <v>215</v>
      </c>
    </row>
    <row r="34036" spans="129:129" x14ac:dyDescent="0.2">
      <c r="DY34036" s="185" t="s">
        <v>215</v>
      </c>
    </row>
    <row r="34037" spans="129:129" x14ac:dyDescent="0.2">
      <c r="DY34037" s="185" t="s">
        <v>215</v>
      </c>
    </row>
    <row r="34038" spans="129:129" x14ac:dyDescent="0.2">
      <c r="DY34038" s="185" t="s">
        <v>215</v>
      </c>
    </row>
    <row r="34039" spans="129:129" x14ac:dyDescent="0.2">
      <c r="DY34039" s="185" t="s">
        <v>215</v>
      </c>
    </row>
    <row r="34040" spans="129:129" x14ac:dyDescent="0.2">
      <c r="DY34040" s="185" t="s">
        <v>215</v>
      </c>
    </row>
    <row r="34041" spans="129:129" x14ac:dyDescent="0.2">
      <c r="DY34041" s="185" t="s">
        <v>215</v>
      </c>
    </row>
    <row r="34042" spans="129:129" x14ac:dyDescent="0.2">
      <c r="DY34042" s="185" t="s">
        <v>215</v>
      </c>
    </row>
    <row r="34043" spans="129:129" x14ac:dyDescent="0.2">
      <c r="DY34043" s="185" t="s">
        <v>215</v>
      </c>
    </row>
    <row r="34044" spans="129:129" x14ac:dyDescent="0.2">
      <c r="DY34044" s="185" t="s">
        <v>215</v>
      </c>
    </row>
    <row r="34045" spans="129:129" x14ac:dyDescent="0.2">
      <c r="DY34045" s="185" t="s">
        <v>215</v>
      </c>
    </row>
    <row r="34046" spans="129:129" x14ac:dyDescent="0.2">
      <c r="DY34046" s="185" t="s">
        <v>215</v>
      </c>
    </row>
    <row r="34047" spans="129:129" x14ac:dyDescent="0.2">
      <c r="DY34047" s="185" t="s">
        <v>215</v>
      </c>
    </row>
    <row r="34048" spans="129:129" x14ac:dyDescent="0.2">
      <c r="DY34048" s="185" t="s">
        <v>215</v>
      </c>
    </row>
    <row r="34049" spans="129:129" x14ac:dyDescent="0.2">
      <c r="DY34049" s="185" t="s">
        <v>215</v>
      </c>
    </row>
    <row r="34050" spans="129:129" x14ac:dyDescent="0.2">
      <c r="DY34050" s="185" t="s">
        <v>215</v>
      </c>
    </row>
    <row r="34051" spans="129:129" x14ac:dyDescent="0.2">
      <c r="DY34051" s="185" t="s">
        <v>215</v>
      </c>
    </row>
    <row r="34052" spans="129:129" x14ac:dyDescent="0.2">
      <c r="DY34052" s="185" t="s">
        <v>215</v>
      </c>
    </row>
    <row r="34053" spans="129:129" x14ac:dyDescent="0.2">
      <c r="DY34053" s="185" t="s">
        <v>215</v>
      </c>
    </row>
    <row r="34054" spans="129:129" x14ac:dyDescent="0.2">
      <c r="DY34054" s="185" t="s">
        <v>215</v>
      </c>
    </row>
    <row r="34055" spans="129:129" x14ac:dyDescent="0.2">
      <c r="DY34055" s="185" t="s">
        <v>215</v>
      </c>
    </row>
    <row r="34056" spans="129:129" x14ac:dyDescent="0.2">
      <c r="DY34056" s="185" t="s">
        <v>215</v>
      </c>
    </row>
    <row r="34057" spans="129:129" x14ac:dyDescent="0.2">
      <c r="DY34057" s="185" t="s">
        <v>215</v>
      </c>
    </row>
    <row r="34058" spans="129:129" x14ac:dyDescent="0.2">
      <c r="DY34058" s="185" t="s">
        <v>215</v>
      </c>
    </row>
    <row r="34059" spans="129:129" x14ac:dyDescent="0.2">
      <c r="DY34059" s="185" t="s">
        <v>215</v>
      </c>
    </row>
    <row r="34060" spans="129:129" x14ac:dyDescent="0.2">
      <c r="DY34060" s="185" t="s">
        <v>215</v>
      </c>
    </row>
    <row r="34061" spans="129:129" x14ac:dyDescent="0.2">
      <c r="DY34061" s="185" t="s">
        <v>215</v>
      </c>
    </row>
    <row r="34062" spans="129:129" x14ac:dyDescent="0.2">
      <c r="DY34062" s="185" t="s">
        <v>215</v>
      </c>
    </row>
    <row r="34063" spans="129:129" x14ac:dyDescent="0.2">
      <c r="DY34063" s="185" t="s">
        <v>215</v>
      </c>
    </row>
    <row r="34064" spans="129:129" x14ac:dyDescent="0.2">
      <c r="DY34064" s="185" t="s">
        <v>215</v>
      </c>
    </row>
    <row r="34065" spans="129:129" x14ac:dyDescent="0.2">
      <c r="DY34065" s="185" t="s">
        <v>215</v>
      </c>
    </row>
    <row r="34066" spans="129:129" x14ac:dyDescent="0.2">
      <c r="DY34066" s="185" t="s">
        <v>215</v>
      </c>
    </row>
    <row r="34067" spans="129:129" x14ac:dyDescent="0.2">
      <c r="DY34067" s="185" t="s">
        <v>215</v>
      </c>
    </row>
    <row r="34068" spans="129:129" x14ac:dyDescent="0.2">
      <c r="DY34068" s="185" t="s">
        <v>215</v>
      </c>
    </row>
    <row r="34069" spans="129:129" x14ac:dyDescent="0.2">
      <c r="DY34069" s="185" t="s">
        <v>215</v>
      </c>
    </row>
    <row r="34070" spans="129:129" x14ac:dyDescent="0.2">
      <c r="DY34070" s="185" t="s">
        <v>215</v>
      </c>
    </row>
    <row r="34071" spans="129:129" x14ac:dyDescent="0.2">
      <c r="DY34071" s="185" t="s">
        <v>215</v>
      </c>
    </row>
    <row r="34072" spans="129:129" x14ac:dyDescent="0.2">
      <c r="DY34072" s="185" t="s">
        <v>215</v>
      </c>
    </row>
    <row r="34073" spans="129:129" x14ac:dyDescent="0.2">
      <c r="DY34073" s="185" t="s">
        <v>215</v>
      </c>
    </row>
    <row r="34074" spans="129:129" x14ac:dyDescent="0.2">
      <c r="DY34074" s="185" t="s">
        <v>215</v>
      </c>
    </row>
    <row r="34075" spans="129:129" x14ac:dyDescent="0.2">
      <c r="DY34075" s="185" t="s">
        <v>215</v>
      </c>
    </row>
    <row r="34076" spans="129:129" x14ac:dyDescent="0.2">
      <c r="DY34076" s="185" t="s">
        <v>215</v>
      </c>
    </row>
    <row r="34077" spans="129:129" x14ac:dyDescent="0.2">
      <c r="DY34077" s="185" t="s">
        <v>215</v>
      </c>
    </row>
    <row r="34078" spans="129:129" x14ac:dyDescent="0.2">
      <c r="DY34078" s="185" t="s">
        <v>215</v>
      </c>
    </row>
    <row r="34079" spans="129:129" x14ac:dyDescent="0.2">
      <c r="DY34079" s="185" t="s">
        <v>215</v>
      </c>
    </row>
    <row r="34080" spans="129:129" x14ac:dyDescent="0.2">
      <c r="DY34080" s="185" t="s">
        <v>215</v>
      </c>
    </row>
    <row r="34081" spans="129:129" x14ac:dyDescent="0.2">
      <c r="DY34081" s="185" t="s">
        <v>215</v>
      </c>
    </row>
    <row r="34082" spans="129:129" x14ac:dyDescent="0.2">
      <c r="DY34082" s="185" t="s">
        <v>215</v>
      </c>
    </row>
    <row r="34083" spans="129:129" x14ac:dyDescent="0.2">
      <c r="DY34083" s="185" t="s">
        <v>215</v>
      </c>
    </row>
    <row r="34084" spans="129:129" x14ac:dyDescent="0.2">
      <c r="DY34084" s="185" t="s">
        <v>215</v>
      </c>
    </row>
    <row r="34085" spans="129:129" x14ac:dyDescent="0.2">
      <c r="DY34085" s="185" t="s">
        <v>215</v>
      </c>
    </row>
    <row r="34086" spans="129:129" x14ac:dyDescent="0.2">
      <c r="DY34086" s="185" t="s">
        <v>215</v>
      </c>
    </row>
    <row r="34087" spans="129:129" x14ac:dyDescent="0.2">
      <c r="DY34087" s="185" t="s">
        <v>215</v>
      </c>
    </row>
    <row r="34088" spans="129:129" x14ac:dyDescent="0.2">
      <c r="DY34088" s="185" t="s">
        <v>215</v>
      </c>
    </row>
    <row r="34089" spans="129:129" x14ac:dyDescent="0.2">
      <c r="DY34089" s="185" t="s">
        <v>215</v>
      </c>
    </row>
    <row r="34090" spans="129:129" x14ac:dyDescent="0.2">
      <c r="DY34090" s="185" t="s">
        <v>215</v>
      </c>
    </row>
    <row r="34091" spans="129:129" x14ac:dyDescent="0.2">
      <c r="DY34091" s="185" t="s">
        <v>215</v>
      </c>
    </row>
    <row r="34092" spans="129:129" x14ac:dyDescent="0.2">
      <c r="DY34092" s="185" t="s">
        <v>215</v>
      </c>
    </row>
    <row r="34093" spans="129:129" x14ac:dyDescent="0.2">
      <c r="DY34093" s="185" t="s">
        <v>215</v>
      </c>
    </row>
    <row r="34094" spans="129:129" x14ac:dyDescent="0.2">
      <c r="DY34094" s="185" t="s">
        <v>215</v>
      </c>
    </row>
    <row r="34095" spans="129:129" x14ac:dyDescent="0.2">
      <c r="DY34095" s="185" t="s">
        <v>215</v>
      </c>
    </row>
    <row r="34096" spans="129:129" x14ac:dyDescent="0.2">
      <c r="DY34096" s="185" t="s">
        <v>215</v>
      </c>
    </row>
    <row r="34097" spans="129:129" x14ac:dyDescent="0.2">
      <c r="DY34097" s="185" t="s">
        <v>215</v>
      </c>
    </row>
    <row r="34098" spans="129:129" x14ac:dyDescent="0.2">
      <c r="DY34098" s="185" t="s">
        <v>215</v>
      </c>
    </row>
    <row r="34099" spans="129:129" x14ac:dyDescent="0.2">
      <c r="DY34099" s="185" t="s">
        <v>215</v>
      </c>
    </row>
    <row r="34100" spans="129:129" x14ac:dyDescent="0.2">
      <c r="DY34100" s="185" t="s">
        <v>215</v>
      </c>
    </row>
    <row r="34101" spans="129:129" x14ac:dyDescent="0.2">
      <c r="DY34101" s="185" t="s">
        <v>215</v>
      </c>
    </row>
    <row r="34102" spans="129:129" x14ac:dyDescent="0.2">
      <c r="DY34102" s="185" t="s">
        <v>215</v>
      </c>
    </row>
    <row r="34103" spans="129:129" x14ac:dyDescent="0.2">
      <c r="DY34103" s="185" t="s">
        <v>215</v>
      </c>
    </row>
    <row r="34104" spans="129:129" x14ac:dyDescent="0.2">
      <c r="DY34104" s="185" t="s">
        <v>215</v>
      </c>
    </row>
    <row r="34105" spans="129:129" x14ac:dyDescent="0.2">
      <c r="DY34105" s="185" t="s">
        <v>215</v>
      </c>
    </row>
    <row r="34106" spans="129:129" x14ac:dyDescent="0.2">
      <c r="DY34106" s="185" t="s">
        <v>215</v>
      </c>
    </row>
    <row r="34107" spans="129:129" x14ac:dyDescent="0.2">
      <c r="DY34107" s="185" t="s">
        <v>215</v>
      </c>
    </row>
    <row r="34108" spans="129:129" x14ac:dyDescent="0.2">
      <c r="DY34108" s="185" t="s">
        <v>215</v>
      </c>
    </row>
    <row r="34109" spans="129:129" x14ac:dyDescent="0.2">
      <c r="DY34109" s="185" t="s">
        <v>215</v>
      </c>
    </row>
    <row r="34110" spans="129:129" x14ac:dyDescent="0.2">
      <c r="DY34110" s="185" t="s">
        <v>215</v>
      </c>
    </row>
    <row r="34111" spans="129:129" x14ac:dyDescent="0.2">
      <c r="DY34111" s="185" t="s">
        <v>215</v>
      </c>
    </row>
    <row r="34112" spans="129:129" x14ac:dyDescent="0.2">
      <c r="DY34112" s="185" t="s">
        <v>215</v>
      </c>
    </row>
    <row r="34113" spans="129:129" x14ac:dyDescent="0.2">
      <c r="DY34113" s="185" t="s">
        <v>215</v>
      </c>
    </row>
    <row r="34114" spans="129:129" x14ac:dyDescent="0.2">
      <c r="DY34114" s="185" t="s">
        <v>215</v>
      </c>
    </row>
    <row r="34115" spans="129:129" x14ac:dyDescent="0.2">
      <c r="DY34115" s="185" t="s">
        <v>215</v>
      </c>
    </row>
    <row r="34116" spans="129:129" x14ac:dyDescent="0.2">
      <c r="DY34116" s="185" t="s">
        <v>215</v>
      </c>
    </row>
    <row r="34117" spans="129:129" x14ac:dyDescent="0.2">
      <c r="DY34117" s="185" t="s">
        <v>215</v>
      </c>
    </row>
    <row r="34118" spans="129:129" x14ac:dyDescent="0.2">
      <c r="DY34118" s="185" t="s">
        <v>215</v>
      </c>
    </row>
    <row r="34119" spans="129:129" x14ac:dyDescent="0.2">
      <c r="DY34119" s="185" t="s">
        <v>215</v>
      </c>
    </row>
    <row r="34120" spans="129:129" x14ac:dyDescent="0.2">
      <c r="DY34120" s="185" t="s">
        <v>215</v>
      </c>
    </row>
    <row r="34121" spans="129:129" x14ac:dyDescent="0.2">
      <c r="DY34121" s="185" t="s">
        <v>215</v>
      </c>
    </row>
    <row r="34122" spans="129:129" x14ac:dyDescent="0.2">
      <c r="DY34122" s="185" t="s">
        <v>215</v>
      </c>
    </row>
    <row r="34123" spans="129:129" x14ac:dyDescent="0.2">
      <c r="DY34123" s="185" t="s">
        <v>215</v>
      </c>
    </row>
    <row r="34124" spans="129:129" x14ac:dyDescent="0.2">
      <c r="DY34124" s="185" t="s">
        <v>215</v>
      </c>
    </row>
    <row r="34125" spans="129:129" x14ac:dyDescent="0.2">
      <c r="DY34125" s="185" t="s">
        <v>215</v>
      </c>
    </row>
    <row r="34126" spans="129:129" x14ac:dyDescent="0.2">
      <c r="DY34126" s="185" t="s">
        <v>215</v>
      </c>
    </row>
    <row r="34127" spans="129:129" x14ac:dyDescent="0.2">
      <c r="DY34127" s="185" t="s">
        <v>215</v>
      </c>
    </row>
    <row r="34128" spans="129:129" x14ac:dyDescent="0.2">
      <c r="DY34128" s="185" t="s">
        <v>215</v>
      </c>
    </row>
    <row r="34129" spans="129:129" x14ac:dyDescent="0.2">
      <c r="DY34129" s="185" t="s">
        <v>215</v>
      </c>
    </row>
    <row r="34130" spans="129:129" x14ac:dyDescent="0.2">
      <c r="DY34130" s="185" t="s">
        <v>215</v>
      </c>
    </row>
    <row r="34131" spans="129:129" x14ac:dyDescent="0.2">
      <c r="DY34131" s="185" t="s">
        <v>215</v>
      </c>
    </row>
    <row r="34132" spans="129:129" x14ac:dyDescent="0.2">
      <c r="DY34132" s="185" t="s">
        <v>215</v>
      </c>
    </row>
    <row r="34133" spans="129:129" x14ac:dyDescent="0.2">
      <c r="DY34133" s="185" t="s">
        <v>215</v>
      </c>
    </row>
    <row r="34134" spans="129:129" x14ac:dyDescent="0.2">
      <c r="DY34134" s="185" t="s">
        <v>215</v>
      </c>
    </row>
    <row r="34135" spans="129:129" x14ac:dyDescent="0.2">
      <c r="DY34135" s="185" t="s">
        <v>215</v>
      </c>
    </row>
    <row r="34136" spans="129:129" x14ac:dyDescent="0.2">
      <c r="DY34136" s="185" t="s">
        <v>215</v>
      </c>
    </row>
    <row r="34137" spans="129:129" x14ac:dyDescent="0.2">
      <c r="DY34137" s="185" t="s">
        <v>215</v>
      </c>
    </row>
    <row r="34138" spans="129:129" x14ac:dyDescent="0.2">
      <c r="DY34138" s="185" t="s">
        <v>215</v>
      </c>
    </row>
    <row r="34139" spans="129:129" x14ac:dyDescent="0.2">
      <c r="DY34139" s="185" t="s">
        <v>215</v>
      </c>
    </row>
    <row r="34140" spans="129:129" x14ac:dyDescent="0.2">
      <c r="DY34140" s="185" t="s">
        <v>215</v>
      </c>
    </row>
    <row r="34141" spans="129:129" x14ac:dyDescent="0.2">
      <c r="DY34141" s="185" t="s">
        <v>215</v>
      </c>
    </row>
    <row r="34142" spans="129:129" x14ac:dyDescent="0.2">
      <c r="DY34142" s="185" t="s">
        <v>215</v>
      </c>
    </row>
    <row r="34143" spans="129:129" x14ac:dyDescent="0.2">
      <c r="DY34143" s="185" t="s">
        <v>215</v>
      </c>
    </row>
    <row r="34144" spans="129:129" x14ac:dyDescent="0.2">
      <c r="DY34144" s="185" t="s">
        <v>215</v>
      </c>
    </row>
    <row r="34145" spans="129:129" x14ac:dyDescent="0.2">
      <c r="DY34145" s="185" t="s">
        <v>215</v>
      </c>
    </row>
    <row r="34146" spans="129:129" x14ac:dyDescent="0.2">
      <c r="DY34146" s="185" t="s">
        <v>215</v>
      </c>
    </row>
    <row r="34147" spans="129:129" x14ac:dyDescent="0.2">
      <c r="DY34147" s="185" t="s">
        <v>215</v>
      </c>
    </row>
    <row r="34148" spans="129:129" x14ac:dyDescent="0.2">
      <c r="DY34148" s="185" t="s">
        <v>215</v>
      </c>
    </row>
    <row r="34149" spans="129:129" x14ac:dyDescent="0.2">
      <c r="DY34149" s="185" t="s">
        <v>215</v>
      </c>
    </row>
    <row r="34150" spans="129:129" x14ac:dyDescent="0.2">
      <c r="DY34150" s="185" t="s">
        <v>215</v>
      </c>
    </row>
    <row r="34151" spans="129:129" x14ac:dyDescent="0.2">
      <c r="DY34151" s="185" t="s">
        <v>215</v>
      </c>
    </row>
    <row r="34152" spans="129:129" x14ac:dyDescent="0.2">
      <c r="DY34152" s="185" t="s">
        <v>215</v>
      </c>
    </row>
    <row r="34153" spans="129:129" x14ac:dyDescent="0.2">
      <c r="DY34153" s="185" t="s">
        <v>215</v>
      </c>
    </row>
    <row r="34154" spans="129:129" x14ac:dyDescent="0.2">
      <c r="DY34154" s="185" t="s">
        <v>215</v>
      </c>
    </row>
    <row r="34155" spans="129:129" x14ac:dyDescent="0.2">
      <c r="DY34155" s="185" t="s">
        <v>215</v>
      </c>
    </row>
    <row r="34156" spans="129:129" x14ac:dyDescent="0.2">
      <c r="DY34156" s="185" t="s">
        <v>215</v>
      </c>
    </row>
    <row r="34157" spans="129:129" x14ac:dyDescent="0.2">
      <c r="DY34157" s="185" t="s">
        <v>215</v>
      </c>
    </row>
    <row r="34158" spans="129:129" x14ac:dyDescent="0.2">
      <c r="DY34158" s="185" t="s">
        <v>215</v>
      </c>
    </row>
    <row r="34159" spans="129:129" x14ac:dyDescent="0.2">
      <c r="DY34159" s="185" t="s">
        <v>215</v>
      </c>
    </row>
    <row r="34160" spans="129:129" x14ac:dyDescent="0.2">
      <c r="DY34160" s="185" t="s">
        <v>215</v>
      </c>
    </row>
    <row r="34161" spans="129:129" x14ac:dyDescent="0.2">
      <c r="DY34161" s="185" t="s">
        <v>215</v>
      </c>
    </row>
    <row r="34162" spans="129:129" x14ac:dyDescent="0.2">
      <c r="DY34162" s="185" t="s">
        <v>215</v>
      </c>
    </row>
    <row r="34163" spans="129:129" x14ac:dyDescent="0.2">
      <c r="DY34163" s="185" t="s">
        <v>215</v>
      </c>
    </row>
    <row r="34164" spans="129:129" x14ac:dyDescent="0.2">
      <c r="DY34164" s="185" t="s">
        <v>215</v>
      </c>
    </row>
    <row r="34165" spans="129:129" x14ac:dyDescent="0.2">
      <c r="DY34165" s="185" t="s">
        <v>215</v>
      </c>
    </row>
    <row r="34166" spans="129:129" x14ac:dyDescent="0.2">
      <c r="DY34166" s="185" t="s">
        <v>215</v>
      </c>
    </row>
    <row r="34167" spans="129:129" x14ac:dyDescent="0.2">
      <c r="DY34167" s="185" t="s">
        <v>215</v>
      </c>
    </row>
    <row r="34168" spans="129:129" x14ac:dyDescent="0.2">
      <c r="DY34168" s="185" t="s">
        <v>215</v>
      </c>
    </row>
    <row r="34169" spans="129:129" x14ac:dyDescent="0.2">
      <c r="DY34169" s="185" t="s">
        <v>215</v>
      </c>
    </row>
    <row r="34170" spans="129:129" x14ac:dyDescent="0.2">
      <c r="DY34170" s="185" t="s">
        <v>215</v>
      </c>
    </row>
    <row r="34171" spans="129:129" x14ac:dyDescent="0.2">
      <c r="DY34171" s="185" t="s">
        <v>215</v>
      </c>
    </row>
    <row r="34172" spans="129:129" x14ac:dyDescent="0.2">
      <c r="DY34172" s="185" t="s">
        <v>215</v>
      </c>
    </row>
    <row r="34173" spans="129:129" x14ac:dyDescent="0.2">
      <c r="DY34173" s="185" t="s">
        <v>215</v>
      </c>
    </row>
    <row r="34174" spans="129:129" x14ac:dyDescent="0.2">
      <c r="DY34174" s="185" t="s">
        <v>215</v>
      </c>
    </row>
    <row r="34175" spans="129:129" x14ac:dyDescent="0.2">
      <c r="DY34175" s="185" t="s">
        <v>215</v>
      </c>
    </row>
    <row r="34176" spans="129:129" x14ac:dyDescent="0.2">
      <c r="DY34176" s="185" t="s">
        <v>215</v>
      </c>
    </row>
    <row r="34177" spans="129:129" x14ac:dyDescent="0.2">
      <c r="DY34177" s="185" t="s">
        <v>215</v>
      </c>
    </row>
    <row r="34178" spans="129:129" x14ac:dyDescent="0.2">
      <c r="DY34178" s="185" t="s">
        <v>215</v>
      </c>
    </row>
    <row r="34179" spans="129:129" x14ac:dyDescent="0.2">
      <c r="DY34179" s="185" t="s">
        <v>215</v>
      </c>
    </row>
    <row r="34180" spans="129:129" x14ac:dyDescent="0.2">
      <c r="DY34180" s="185" t="s">
        <v>215</v>
      </c>
    </row>
    <row r="34181" spans="129:129" x14ac:dyDescent="0.2">
      <c r="DY34181" s="185" t="s">
        <v>215</v>
      </c>
    </row>
    <row r="34182" spans="129:129" x14ac:dyDescent="0.2">
      <c r="DY34182" s="185" t="s">
        <v>215</v>
      </c>
    </row>
    <row r="34183" spans="129:129" x14ac:dyDescent="0.2">
      <c r="DY34183" s="185" t="s">
        <v>215</v>
      </c>
    </row>
    <row r="34184" spans="129:129" x14ac:dyDescent="0.2">
      <c r="DY34184" s="185" t="s">
        <v>215</v>
      </c>
    </row>
    <row r="34185" spans="129:129" x14ac:dyDescent="0.2">
      <c r="DY34185" s="185" t="s">
        <v>215</v>
      </c>
    </row>
    <row r="34186" spans="129:129" x14ac:dyDescent="0.2">
      <c r="DY34186" s="185" t="s">
        <v>215</v>
      </c>
    </row>
    <row r="34187" spans="129:129" x14ac:dyDescent="0.2">
      <c r="DY34187" s="185" t="s">
        <v>215</v>
      </c>
    </row>
    <row r="34188" spans="129:129" x14ac:dyDescent="0.2">
      <c r="DY34188" s="185" t="s">
        <v>215</v>
      </c>
    </row>
    <row r="34189" spans="129:129" x14ac:dyDescent="0.2">
      <c r="DY34189" s="185" t="s">
        <v>215</v>
      </c>
    </row>
    <row r="34190" spans="129:129" x14ac:dyDescent="0.2">
      <c r="DY34190" s="185" t="s">
        <v>215</v>
      </c>
    </row>
    <row r="34191" spans="129:129" x14ac:dyDescent="0.2">
      <c r="DY34191" s="185" t="s">
        <v>215</v>
      </c>
    </row>
    <row r="34192" spans="129:129" x14ac:dyDescent="0.2">
      <c r="DY34192" s="185" t="s">
        <v>215</v>
      </c>
    </row>
    <row r="34193" spans="129:129" x14ac:dyDescent="0.2">
      <c r="DY34193" s="185" t="s">
        <v>215</v>
      </c>
    </row>
    <row r="34194" spans="129:129" x14ac:dyDescent="0.2">
      <c r="DY34194" s="185" t="s">
        <v>215</v>
      </c>
    </row>
    <row r="34195" spans="129:129" x14ac:dyDescent="0.2">
      <c r="DY34195" s="185" t="s">
        <v>215</v>
      </c>
    </row>
    <row r="34196" spans="129:129" x14ac:dyDescent="0.2">
      <c r="DY34196" s="185" t="s">
        <v>215</v>
      </c>
    </row>
    <row r="34197" spans="129:129" x14ac:dyDescent="0.2">
      <c r="DY34197" s="185" t="s">
        <v>215</v>
      </c>
    </row>
    <row r="34198" spans="129:129" x14ac:dyDescent="0.2">
      <c r="DY34198" s="185" t="s">
        <v>215</v>
      </c>
    </row>
    <row r="34199" spans="129:129" x14ac:dyDescent="0.2">
      <c r="DY34199" s="185" t="s">
        <v>215</v>
      </c>
    </row>
    <row r="34200" spans="129:129" x14ac:dyDescent="0.2">
      <c r="DY34200" s="185" t="s">
        <v>215</v>
      </c>
    </row>
    <row r="34201" spans="129:129" x14ac:dyDescent="0.2">
      <c r="DY34201" s="185" t="s">
        <v>215</v>
      </c>
    </row>
    <row r="34202" spans="129:129" x14ac:dyDescent="0.2">
      <c r="DY34202" s="185" t="s">
        <v>215</v>
      </c>
    </row>
    <row r="34203" spans="129:129" x14ac:dyDescent="0.2">
      <c r="DY34203" s="185" t="s">
        <v>215</v>
      </c>
    </row>
    <row r="34204" spans="129:129" x14ac:dyDescent="0.2">
      <c r="DY34204" s="185" t="s">
        <v>215</v>
      </c>
    </row>
    <row r="34205" spans="129:129" x14ac:dyDescent="0.2">
      <c r="DY34205" s="185" t="s">
        <v>215</v>
      </c>
    </row>
    <row r="34206" spans="129:129" x14ac:dyDescent="0.2">
      <c r="DY34206" s="185" t="s">
        <v>215</v>
      </c>
    </row>
    <row r="34207" spans="129:129" x14ac:dyDescent="0.2">
      <c r="DY34207" s="185" t="s">
        <v>215</v>
      </c>
    </row>
    <row r="34208" spans="129:129" x14ac:dyDescent="0.2">
      <c r="DY34208" s="185" t="s">
        <v>215</v>
      </c>
    </row>
    <row r="34209" spans="129:129" x14ac:dyDescent="0.2">
      <c r="DY34209" s="185" t="s">
        <v>215</v>
      </c>
    </row>
    <row r="34210" spans="129:129" x14ac:dyDescent="0.2">
      <c r="DY34210" s="185" t="s">
        <v>215</v>
      </c>
    </row>
    <row r="34211" spans="129:129" x14ac:dyDescent="0.2">
      <c r="DY34211" s="185" t="s">
        <v>215</v>
      </c>
    </row>
    <row r="34212" spans="129:129" x14ac:dyDescent="0.2">
      <c r="DY34212" s="185" t="s">
        <v>215</v>
      </c>
    </row>
    <row r="34213" spans="129:129" x14ac:dyDescent="0.2">
      <c r="DY34213" s="185" t="s">
        <v>215</v>
      </c>
    </row>
    <row r="34214" spans="129:129" x14ac:dyDescent="0.2">
      <c r="DY34214" s="185" t="s">
        <v>215</v>
      </c>
    </row>
    <row r="34215" spans="129:129" x14ac:dyDescent="0.2">
      <c r="DY34215" s="185" t="s">
        <v>215</v>
      </c>
    </row>
    <row r="34216" spans="129:129" x14ac:dyDescent="0.2">
      <c r="DY34216" s="185" t="s">
        <v>215</v>
      </c>
    </row>
    <row r="34217" spans="129:129" x14ac:dyDescent="0.2">
      <c r="DY34217" s="185" t="s">
        <v>215</v>
      </c>
    </row>
    <row r="34218" spans="129:129" x14ac:dyDescent="0.2">
      <c r="DY34218" s="185" t="s">
        <v>215</v>
      </c>
    </row>
    <row r="34219" spans="129:129" x14ac:dyDescent="0.2">
      <c r="DY34219" s="185" t="s">
        <v>215</v>
      </c>
    </row>
    <row r="34220" spans="129:129" x14ac:dyDescent="0.2">
      <c r="DY34220" s="185" t="s">
        <v>215</v>
      </c>
    </row>
    <row r="34221" spans="129:129" x14ac:dyDescent="0.2">
      <c r="DY34221" s="185" t="s">
        <v>215</v>
      </c>
    </row>
    <row r="34222" spans="129:129" x14ac:dyDescent="0.2">
      <c r="DY34222" s="185" t="s">
        <v>215</v>
      </c>
    </row>
    <row r="34223" spans="129:129" x14ac:dyDescent="0.2">
      <c r="DY34223" s="185" t="s">
        <v>215</v>
      </c>
    </row>
    <row r="34224" spans="129:129" x14ac:dyDescent="0.2">
      <c r="DY34224" s="185" t="s">
        <v>215</v>
      </c>
    </row>
    <row r="34225" spans="129:129" x14ac:dyDescent="0.2">
      <c r="DY34225" s="185" t="s">
        <v>215</v>
      </c>
    </row>
    <row r="34226" spans="129:129" x14ac:dyDescent="0.2">
      <c r="DY34226" s="185" t="s">
        <v>215</v>
      </c>
    </row>
    <row r="34227" spans="129:129" x14ac:dyDescent="0.2">
      <c r="DY34227" s="185" t="s">
        <v>215</v>
      </c>
    </row>
    <row r="34228" spans="129:129" x14ac:dyDescent="0.2">
      <c r="DY34228" s="185" t="s">
        <v>215</v>
      </c>
    </row>
    <row r="34229" spans="129:129" x14ac:dyDescent="0.2">
      <c r="DY34229" s="185" t="s">
        <v>215</v>
      </c>
    </row>
    <row r="34230" spans="129:129" x14ac:dyDescent="0.2">
      <c r="DY34230" s="185" t="s">
        <v>215</v>
      </c>
    </row>
    <row r="34231" spans="129:129" x14ac:dyDescent="0.2">
      <c r="DY34231" s="185" t="s">
        <v>215</v>
      </c>
    </row>
    <row r="34232" spans="129:129" x14ac:dyDescent="0.2">
      <c r="DY34232" s="185" t="s">
        <v>215</v>
      </c>
    </row>
    <row r="34233" spans="129:129" x14ac:dyDescent="0.2">
      <c r="DY34233" s="185" t="s">
        <v>215</v>
      </c>
    </row>
    <row r="34234" spans="129:129" x14ac:dyDescent="0.2">
      <c r="DY34234" s="185" t="s">
        <v>215</v>
      </c>
    </row>
    <row r="34235" spans="129:129" x14ac:dyDescent="0.2">
      <c r="DY34235" s="185" t="s">
        <v>215</v>
      </c>
    </row>
    <row r="34236" spans="129:129" x14ac:dyDescent="0.2">
      <c r="DY34236" s="185" t="s">
        <v>215</v>
      </c>
    </row>
    <row r="34237" spans="129:129" x14ac:dyDescent="0.2">
      <c r="DY34237" s="185" t="s">
        <v>215</v>
      </c>
    </row>
    <row r="34238" spans="129:129" x14ac:dyDescent="0.2">
      <c r="DY34238" s="185" t="s">
        <v>215</v>
      </c>
    </row>
    <row r="34239" spans="129:129" x14ac:dyDescent="0.2">
      <c r="DY34239" s="185" t="s">
        <v>215</v>
      </c>
    </row>
    <row r="34240" spans="129:129" x14ac:dyDescent="0.2">
      <c r="DY34240" s="185" t="s">
        <v>215</v>
      </c>
    </row>
    <row r="34241" spans="129:129" x14ac:dyDescent="0.2">
      <c r="DY34241" s="185" t="s">
        <v>215</v>
      </c>
    </row>
    <row r="34242" spans="129:129" x14ac:dyDescent="0.2">
      <c r="DY34242" s="185" t="s">
        <v>215</v>
      </c>
    </row>
    <row r="34243" spans="129:129" x14ac:dyDescent="0.2">
      <c r="DY34243" s="185" t="s">
        <v>215</v>
      </c>
    </row>
    <row r="34244" spans="129:129" x14ac:dyDescent="0.2">
      <c r="DY34244" s="185" t="s">
        <v>215</v>
      </c>
    </row>
    <row r="34245" spans="129:129" x14ac:dyDescent="0.2">
      <c r="DY34245" s="185" t="s">
        <v>215</v>
      </c>
    </row>
    <row r="34246" spans="129:129" x14ac:dyDescent="0.2">
      <c r="DY34246" s="185" t="s">
        <v>215</v>
      </c>
    </row>
    <row r="34247" spans="129:129" x14ac:dyDescent="0.2">
      <c r="DY34247" s="185" t="s">
        <v>215</v>
      </c>
    </row>
    <row r="34248" spans="129:129" x14ac:dyDescent="0.2">
      <c r="DY34248" s="185" t="s">
        <v>215</v>
      </c>
    </row>
    <row r="34249" spans="129:129" x14ac:dyDescent="0.2">
      <c r="DY34249" s="185" t="s">
        <v>215</v>
      </c>
    </row>
    <row r="34250" spans="129:129" x14ac:dyDescent="0.2">
      <c r="DY34250" s="185" t="s">
        <v>215</v>
      </c>
    </row>
    <row r="34251" spans="129:129" x14ac:dyDescent="0.2">
      <c r="DY34251" s="185" t="s">
        <v>215</v>
      </c>
    </row>
    <row r="34252" spans="129:129" x14ac:dyDescent="0.2">
      <c r="DY34252" s="185" t="s">
        <v>215</v>
      </c>
    </row>
    <row r="34253" spans="129:129" x14ac:dyDescent="0.2">
      <c r="DY34253" s="185" t="s">
        <v>215</v>
      </c>
    </row>
    <row r="34254" spans="129:129" x14ac:dyDescent="0.2">
      <c r="DY34254" s="185" t="s">
        <v>215</v>
      </c>
    </row>
    <row r="34255" spans="129:129" x14ac:dyDescent="0.2">
      <c r="DY34255" s="185" t="s">
        <v>215</v>
      </c>
    </row>
    <row r="34256" spans="129:129" x14ac:dyDescent="0.2">
      <c r="DY34256" s="185" t="s">
        <v>215</v>
      </c>
    </row>
    <row r="34257" spans="129:129" x14ac:dyDescent="0.2">
      <c r="DY34257" s="185" t="s">
        <v>215</v>
      </c>
    </row>
    <row r="34258" spans="129:129" x14ac:dyDescent="0.2">
      <c r="DY34258" s="185" t="s">
        <v>215</v>
      </c>
    </row>
    <row r="34259" spans="129:129" x14ac:dyDescent="0.2">
      <c r="DY34259" s="185" t="s">
        <v>215</v>
      </c>
    </row>
    <row r="34260" spans="129:129" x14ac:dyDescent="0.2">
      <c r="DY34260" s="185" t="s">
        <v>215</v>
      </c>
    </row>
    <row r="34261" spans="129:129" x14ac:dyDescent="0.2">
      <c r="DY34261" s="185" t="s">
        <v>215</v>
      </c>
    </row>
    <row r="34262" spans="129:129" x14ac:dyDescent="0.2">
      <c r="DY34262" s="185" t="s">
        <v>215</v>
      </c>
    </row>
    <row r="34263" spans="129:129" x14ac:dyDescent="0.2">
      <c r="DY34263" s="185" t="s">
        <v>215</v>
      </c>
    </row>
    <row r="34264" spans="129:129" x14ac:dyDescent="0.2">
      <c r="DY34264" s="185" t="s">
        <v>215</v>
      </c>
    </row>
    <row r="34265" spans="129:129" x14ac:dyDescent="0.2">
      <c r="DY34265" s="185" t="s">
        <v>215</v>
      </c>
    </row>
    <row r="34266" spans="129:129" x14ac:dyDescent="0.2">
      <c r="DY34266" s="185" t="s">
        <v>215</v>
      </c>
    </row>
    <row r="34267" spans="129:129" x14ac:dyDescent="0.2">
      <c r="DY34267" s="185" t="s">
        <v>215</v>
      </c>
    </row>
    <row r="34268" spans="129:129" x14ac:dyDescent="0.2">
      <c r="DY34268" s="185" t="s">
        <v>215</v>
      </c>
    </row>
    <row r="34269" spans="129:129" x14ac:dyDescent="0.2">
      <c r="DY34269" s="185" t="s">
        <v>215</v>
      </c>
    </row>
    <row r="34270" spans="129:129" x14ac:dyDescent="0.2">
      <c r="DY34270" s="185" t="s">
        <v>215</v>
      </c>
    </row>
    <row r="34271" spans="129:129" x14ac:dyDescent="0.2">
      <c r="DY34271" s="185" t="s">
        <v>215</v>
      </c>
    </row>
    <row r="34272" spans="129:129" x14ac:dyDescent="0.2">
      <c r="DY34272" s="185" t="s">
        <v>215</v>
      </c>
    </row>
    <row r="34273" spans="129:129" x14ac:dyDescent="0.2">
      <c r="DY34273" s="185" t="s">
        <v>215</v>
      </c>
    </row>
    <row r="34274" spans="129:129" x14ac:dyDescent="0.2">
      <c r="DY34274" s="185" t="s">
        <v>215</v>
      </c>
    </row>
    <row r="34275" spans="129:129" x14ac:dyDescent="0.2">
      <c r="DY34275" s="185" t="s">
        <v>215</v>
      </c>
    </row>
    <row r="34276" spans="129:129" x14ac:dyDescent="0.2">
      <c r="DY34276" s="185" t="s">
        <v>215</v>
      </c>
    </row>
    <row r="34277" spans="129:129" x14ac:dyDescent="0.2">
      <c r="DY34277" s="185" t="s">
        <v>215</v>
      </c>
    </row>
    <row r="34278" spans="129:129" x14ac:dyDescent="0.2">
      <c r="DY34278" s="185" t="s">
        <v>215</v>
      </c>
    </row>
    <row r="34279" spans="129:129" x14ac:dyDescent="0.2">
      <c r="DY34279" s="185" t="s">
        <v>215</v>
      </c>
    </row>
    <row r="34280" spans="129:129" x14ac:dyDescent="0.2">
      <c r="DY34280" s="185" t="s">
        <v>215</v>
      </c>
    </row>
    <row r="34281" spans="129:129" x14ac:dyDescent="0.2">
      <c r="DY34281" s="185" t="s">
        <v>215</v>
      </c>
    </row>
    <row r="34282" spans="129:129" x14ac:dyDescent="0.2">
      <c r="DY34282" s="185" t="s">
        <v>215</v>
      </c>
    </row>
    <row r="34283" spans="129:129" x14ac:dyDescent="0.2">
      <c r="DY34283" s="185" t="s">
        <v>215</v>
      </c>
    </row>
    <row r="34284" spans="129:129" x14ac:dyDescent="0.2">
      <c r="DY34284" s="185" t="s">
        <v>215</v>
      </c>
    </row>
    <row r="34285" spans="129:129" x14ac:dyDescent="0.2">
      <c r="DY34285" s="185" t="s">
        <v>215</v>
      </c>
    </row>
    <row r="34286" spans="129:129" x14ac:dyDescent="0.2">
      <c r="DY34286" s="185" t="s">
        <v>215</v>
      </c>
    </row>
    <row r="34287" spans="129:129" x14ac:dyDescent="0.2">
      <c r="DY34287" s="185" t="s">
        <v>215</v>
      </c>
    </row>
    <row r="34288" spans="129:129" x14ac:dyDescent="0.2">
      <c r="DY34288" s="185" t="s">
        <v>215</v>
      </c>
    </row>
    <row r="34289" spans="129:129" x14ac:dyDescent="0.2">
      <c r="DY34289" s="185" t="s">
        <v>215</v>
      </c>
    </row>
    <row r="34290" spans="129:129" x14ac:dyDescent="0.2">
      <c r="DY34290" s="185" t="s">
        <v>215</v>
      </c>
    </row>
    <row r="34291" spans="129:129" x14ac:dyDescent="0.2">
      <c r="DY34291" s="185" t="s">
        <v>215</v>
      </c>
    </row>
    <row r="34292" spans="129:129" x14ac:dyDescent="0.2">
      <c r="DY34292" s="185" t="s">
        <v>215</v>
      </c>
    </row>
    <row r="34293" spans="129:129" x14ac:dyDescent="0.2">
      <c r="DY34293" s="185" t="s">
        <v>215</v>
      </c>
    </row>
    <row r="34294" spans="129:129" x14ac:dyDescent="0.2">
      <c r="DY34294" s="185" t="s">
        <v>215</v>
      </c>
    </row>
    <row r="34295" spans="129:129" x14ac:dyDescent="0.2">
      <c r="DY34295" s="185" t="s">
        <v>215</v>
      </c>
    </row>
    <row r="34296" spans="129:129" x14ac:dyDescent="0.2">
      <c r="DY34296" s="185" t="s">
        <v>215</v>
      </c>
    </row>
    <row r="34297" spans="129:129" x14ac:dyDescent="0.2">
      <c r="DY34297" s="185" t="s">
        <v>215</v>
      </c>
    </row>
    <row r="34298" spans="129:129" x14ac:dyDescent="0.2">
      <c r="DY34298" s="185" t="s">
        <v>215</v>
      </c>
    </row>
    <row r="34299" spans="129:129" x14ac:dyDescent="0.2">
      <c r="DY34299" s="185" t="s">
        <v>215</v>
      </c>
    </row>
    <row r="34300" spans="129:129" x14ac:dyDescent="0.2">
      <c r="DY34300" s="185" t="s">
        <v>215</v>
      </c>
    </row>
    <row r="34301" spans="129:129" x14ac:dyDescent="0.2">
      <c r="DY34301" s="185" t="s">
        <v>215</v>
      </c>
    </row>
    <row r="34302" spans="129:129" x14ac:dyDescent="0.2">
      <c r="DY34302" s="185" t="s">
        <v>215</v>
      </c>
    </row>
    <row r="34303" spans="129:129" x14ac:dyDescent="0.2">
      <c r="DY34303" s="185" t="s">
        <v>215</v>
      </c>
    </row>
    <row r="34304" spans="129:129" x14ac:dyDescent="0.2">
      <c r="DY34304" s="185" t="s">
        <v>215</v>
      </c>
    </row>
    <row r="34305" spans="129:129" x14ac:dyDescent="0.2">
      <c r="DY34305" s="185" t="s">
        <v>215</v>
      </c>
    </row>
    <row r="34306" spans="129:129" x14ac:dyDescent="0.2">
      <c r="DY34306" s="185" t="s">
        <v>215</v>
      </c>
    </row>
    <row r="34307" spans="129:129" x14ac:dyDescent="0.2">
      <c r="DY34307" s="185" t="s">
        <v>215</v>
      </c>
    </row>
    <row r="34308" spans="129:129" x14ac:dyDescent="0.2">
      <c r="DY34308" s="185" t="s">
        <v>215</v>
      </c>
    </row>
    <row r="34309" spans="129:129" x14ac:dyDescent="0.2">
      <c r="DY34309" s="185" t="s">
        <v>215</v>
      </c>
    </row>
    <row r="34310" spans="129:129" x14ac:dyDescent="0.2">
      <c r="DY34310" s="185" t="s">
        <v>215</v>
      </c>
    </row>
    <row r="34311" spans="129:129" x14ac:dyDescent="0.2">
      <c r="DY34311" s="185" t="s">
        <v>215</v>
      </c>
    </row>
    <row r="34312" spans="129:129" x14ac:dyDescent="0.2">
      <c r="DY34312" s="185" t="s">
        <v>215</v>
      </c>
    </row>
    <row r="34313" spans="129:129" x14ac:dyDescent="0.2">
      <c r="DY34313" s="185" t="s">
        <v>215</v>
      </c>
    </row>
    <row r="34314" spans="129:129" x14ac:dyDescent="0.2">
      <c r="DY34314" s="185" t="s">
        <v>215</v>
      </c>
    </row>
    <row r="34315" spans="129:129" x14ac:dyDescent="0.2">
      <c r="DY34315" s="185" t="s">
        <v>215</v>
      </c>
    </row>
    <row r="34316" spans="129:129" x14ac:dyDescent="0.2">
      <c r="DY34316" s="185" t="s">
        <v>215</v>
      </c>
    </row>
    <row r="34317" spans="129:129" x14ac:dyDescent="0.2">
      <c r="DY34317" s="185" t="s">
        <v>215</v>
      </c>
    </row>
    <row r="34318" spans="129:129" x14ac:dyDescent="0.2">
      <c r="DY34318" s="185" t="s">
        <v>215</v>
      </c>
    </row>
    <row r="34319" spans="129:129" x14ac:dyDescent="0.2">
      <c r="DY34319" s="185" t="s">
        <v>215</v>
      </c>
    </row>
    <row r="34320" spans="129:129" x14ac:dyDescent="0.2">
      <c r="DY34320" s="185" t="s">
        <v>215</v>
      </c>
    </row>
    <row r="34321" spans="129:129" x14ac:dyDescent="0.2">
      <c r="DY34321" s="185" t="s">
        <v>215</v>
      </c>
    </row>
    <row r="34322" spans="129:129" x14ac:dyDescent="0.2">
      <c r="DY34322" s="185" t="s">
        <v>215</v>
      </c>
    </row>
    <row r="34323" spans="129:129" x14ac:dyDescent="0.2">
      <c r="DY34323" s="185" t="s">
        <v>215</v>
      </c>
    </row>
    <row r="34324" spans="129:129" x14ac:dyDescent="0.2">
      <c r="DY34324" s="185" t="s">
        <v>215</v>
      </c>
    </row>
    <row r="34325" spans="129:129" x14ac:dyDescent="0.2">
      <c r="DY34325" s="185" t="s">
        <v>215</v>
      </c>
    </row>
    <row r="34326" spans="129:129" x14ac:dyDescent="0.2">
      <c r="DY34326" s="185" t="s">
        <v>215</v>
      </c>
    </row>
    <row r="34327" spans="129:129" x14ac:dyDescent="0.2">
      <c r="DY34327" s="185" t="s">
        <v>215</v>
      </c>
    </row>
    <row r="34328" spans="129:129" x14ac:dyDescent="0.2">
      <c r="DY34328" s="185" t="s">
        <v>215</v>
      </c>
    </row>
    <row r="34329" spans="129:129" x14ac:dyDescent="0.2">
      <c r="DY34329" s="185" t="s">
        <v>215</v>
      </c>
    </row>
    <row r="34330" spans="129:129" x14ac:dyDescent="0.2">
      <c r="DY34330" s="185" t="s">
        <v>215</v>
      </c>
    </row>
    <row r="34331" spans="129:129" x14ac:dyDescent="0.2">
      <c r="DY34331" s="185" t="s">
        <v>215</v>
      </c>
    </row>
    <row r="34332" spans="129:129" x14ac:dyDescent="0.2">
      <c r="DY34332" s="185" t="s">
        <v>215</v>
      </c>
    </row>
    <row r="34333" spans="129:129" x14ac:dyDescent="0.2">
      <c r="DY34333" s="185" t="s">
        <v>215</v>
      </c>
    </row>
    <row r="34334" spans="129:129" x14ac:dyDescent="0.2">
      <c r="DY34334" s="185" t="s">
        <v>215</v>
      </c>
    </row>
    <row r="34335" spans="129:129" x14ac:dyDescent="0.2">
      <c r="DY34335" s="185" t="s">
        <v>215</v>
      </c>
    </row>
    <row r="34336" spans="129:129" x14ac:dyDescent="0.2">
      <c r="DY34336" s="185" t="s">
        <v>215</v>
      </c>
    </row>
    <row r="34337" spans="129:129" x14ac:dyDescent="0.2">
      <c r="DY34337" s="185" t="s">
        <v>215</v>
      </c>
    </row>
    <row r="34338" spans="129:129" x14ac:dyDescent="0.2">
      <c r="DY34338" s="185" t="s">
        <v>215</v>
      </c>
    </row>
    <row r="34339" spans="129:129" x14ac:dyDescent="0.2">
      <c r="DY34339" s="185" t="s">
        <v>215</v>
      </c>
    </row>
    <row r="34340" spans="129:129" x14ac:dyDescent="0.2">
      <c r="DY34340" s="185" t="s">
        <v>215</v>
      </c>
    </row>
    <row r="34341" spans="129:129" x14ac:dyDescent="0.2">
      <c r="DY34341" s="185" t="s">
        <v>215</v>
      </c>
    </row>
    <row r="34342" spans="129:129" x14ac:dyDescent="0.2">
      <c r="DY34342" s="185" t="s">
        <v>215</v>
      </c>
    </row>
    <row r="34343" spans="129:129" x14ac:dyDescent="0.2">
      <c r="DY34343" s="185" t="s">
        <v>215</v>
      </c>
    </row>
    <row r="34344" spans="129:129" x14ac:dyDescent="0.2">
      <c r="DY34344" s="185" t="s">
        <v>215</v>
      </c>
    </row>
    <row r="34345" spans="129:129" x14ac:dyDescent="0.2">
      <c r="DY34345" s="185" t="s">
        <v>215</v>
      </c>
    </row>
    <row r="34346" spans="129:129" x14ac:dyDescent="0.2">
      <c r="DY34346" s="185" t="s">
        <v>215</v>
      </c>
    </row>
    <row r="34347" spans="129:129" x14ac:dyDescent="0.2">
      <c r="DY34347" s="185" t="s">
        <v>215</v>
      </c>
    </row>
    <row r="34348" spans="129:129" x14ac:dyDescent="0.2">
      <c r="DY34348" s="185" t="s">
        <v>215</v>
      </c>
    </row>
    <row r="34349" spans="129:129" x14ac:dyDescent="0.2">
      <c r="DY34349" s="185" t="s">
        <v>215</v>
      </c>
    </row>
    <row r="34350" spans="129:129" x14ac:dyDescent="0.2">
      <c r="DY34350" s="185" t="s">
        <v>215</v>
      </c>
    </row>
    <row r="34351" spans="129:129" x14ac:dyDescent="0.2">
      <c r="DY34351" s="185" t="s">
        <v>215</v>
      </c>
    </row>
    <row r="34352" spans="129:129" x14ac:dyDescent="0.2">
      <c r="DY34352" s="185" t="s">
        <v>215</v>
      </c>
    </row>
    <row r="34353" spans="129:129" x14ac:dyDescent="0.2">
      <c r="DY34353" s="185" t="s">
        <v>215</v>
      </c>
    </row>
    <row r="34354" spans="129:129" x14ac:dyDescent="0.2">
      <c r="DY34354" s="185" t="s">
        <v>215</v>
      </c>
    </row>
    <row r="34355" spans="129:129" x14ac:dyDescent="0.2">
      <c r="DY34355" s="185" t="s">
        <v>215</v>
      </c>
    </row>
    <row r="34356" spans="129:129" x14ac:dyDescent="0.2">
      <c r="DY34356" s="185" t="s">
        <v>215</v>
      </c>
    </row>
    <row r="34357" spans="129:129" x14ac:dyDescent="0.2">
      <c r="DY34357" s="185" t="s">
        <v>215</v>
      </c>
    </row>
    <row r="34358" spans="129:129" x14ac:dyDescent="0.2">
      <c r="DY34358" s="185" t="s">
        <v>215</v>
      </c>
    </row>
    <row r="34359" spans="129:129" x14ac:dyDescent="0.2">
      <c r="DY34359" s="185" t="s">
        <v>215</v>
      </c>
    </row>
    <row r="34360" spans="129:129" x14ac:dyDescent="0.2">
      <c r="DY34360" s="185" t="s">
        <v>215</v>
      </c>
    </row>
    <row r="34361" spans="129:129" x14ac:dyDescent="0.2">
      <c r="DY34361" s="185" t="s">
        <v>215</v>
      </c>
    </row>
    <row r="34362" spans="129:129" x14ac:dyDescent="0.2">
      <c r="DY34362" s="185" t="s">
        <v>215</v>
      </c>
    </row>
    <row r="34363" spans="129:129" x14ac:dyDescent="0.2">
      <c r="DY34363" s="185" t="s">
        <v>215</v>
      </c>
    </row>
    <row r="34364" spans="129:129" x14ac:dyDescent="0.2">
      <c r="DY34364" s="185" t="s">
        <v>215</v>
      </c>
    </row>
    <row r="34365" spans="129:129" x14ac:dyDescent="0.2">
      <c r="DY34365" s="185" t="s">
        <v>215</v>
      </c>
    </row>
    <row r="34366" spans="129:129" x14ac:dyDescent="0.2">
      <c r="DY34366" s="185" t="s">
        <v>215</v>
      </c>
    </row>
    <row r="34367" spans="129:129" x14ac:dyDescent="0.2">
      <c r="DY34367" s="185" t="s">
        <v>215</v>
      </c>
    </row>
    <row r="34368" spans="129:129" x14ac:dyDescent="0.2">
      <c r="DY34368" s="185" t="s">
        <v>215</v>
      </c>
    </row>
    <row r="34369" spans="129:129" x14ac:dyDescent="0.2">
      <c r="DY34369" s="185" t="s">
        <v>215</v>
      </c>
    </row>
    <row r="34370" spans="129:129" x14ac:dyDescent="0.2">
      <c r="DY34370" s="185" t="s">
        <v>215</v>
      </c>
    </row>
    <row r="34371" spans="129:129" x14ac:dyDescent="0.2">
      <c r="DY34371" s="185" t="s">
        <v>215</v>
      </c>
    </row>
    <row r="34372" spans="129:129" x14ac:dyDescent="0.2">
      <c r="DY34372" s="185" t="s">
        <v>215</v>
      </c>
    </row>
    <row r="34373" spans="129:129" x14ac:dyDescent="0.2">
      <c r="DY34373" s="185" t="s">
        <v>215</v>
      </c>
    </row>
    <row r="34374" spans="129:129" x14ac:dyDescent="0.2">
      <c r="DY34374" s="185" t="s">
        <v>215</v>
      </c>
    </row>
    <row r="34375" spans="129:129" x14ac:dyDescent="0.2">
      <c r="DY34375" s="185" t="s">
        <v>215</v>
      </c>
    </row>
    <row r="34376" spans="129:129" x14ac:dyDescent="0.2">
      <c r="DY34376" s="185" t="s">
        <v>215</v>
      </c>
    </row>
    <row r="34377" spans="129:129" x14ac:dyDescent="0.2">
      <c r="DY34377" s="185" t="s">
        <v>215</v>
      </c>
    </row>
    <row r="34378" spans="129:129" x14ac:dyDescent="0.2">
      <c r="DY34378" s="185" t="s">
        <v>215</v>
      </c>
    </row>
    <row r="34379" spans="129:129" x14ac:dyDescent="0.2">
      <c r="DY34379" s="185" t="s">
        <v>215</v>
      </c>
    </row>
    <row r="34380" spans="129:129" x14ac:dyDescent="0.2">
      <c r="DY34380" s="185" t="s">
        <v>215</v>
      </c>
    </row>
    <row r="34381" spans="129:129" x14ac:dyDescent="0.2">
      <c r="DY34381" s="185" t="s">
        <v>215</v>
      </c>
    </row>
    <row r="34382" spans="129:129" x14ac:dyDescent="0.2">
      <c r="DY34382" s="185" t="s">
        <v>215</v>
      </c>
    </row>
    <row r="34383" spans="129:129" x14ac:dyDescent="0.2">
      <c r="DY34383" s="185" t="s">
        <v>215</v>
      </c>
    </row>
    <row r="34384" spans="129:129" x14ac:dyDescent="0.2">
      <c r="DY34384" s="185" t="s">
        <v>215</v>
      </c>
    </row>
    <row r="34385" spans="129:129" x14ac:dyDescent="0.2">
      <c r="DY34385" s="185" t="s">
        <v>215</v>
      </c>
    </row>
    <row r="34386" spans="129:129" x14ac:dyDescent="0.2">
      <c r="DY34386" s="185" t="s">
        <v>215</v>
      </c>
    </row>
    <row r="34387" spans="129:129" x14ac:dyDescent="0.2">
      <c r="DY34387" s="185" t="s">
        <v>215</v>
      </c>
    </row>
    <row r="34388" spans="129:129" x14ac:dyDescent="0.2">
      <c r="DY34388" s="185" t="s">
        <v>215</v>
      </c>
    </row>
    <row r="34389" spans="129:129" x14ac:dyDescent="0.2">
      <c r="DY34389" s="185" t="s">
        <v>215</v>
      </c>
    </row>
    <row r="34390" spans="129:129" x14ac:dyDescent="0.2">
      <c r="DY34390" s="185" t="s">
        <v>215</v>
      </c>
    </row>
    <row r="34391" spans="129:129" x14ac:dyDescent="0.2">
      <c r="DY34391" s="185" t="s">
        <v>215</v>
      </c>
    </row>
    <row r="34392" spans="129:129" x14ac:dyDescent="0.2">
      <c r="DY34392" s="185" t="s">
        <v>215</v>
      </c>
    </row>
    <row r="34393" spans="129:129" x14ac:dyDescent="0.2">
      <c r="DY34393" s="185" t="s">
        <v>215</v>
      </c>
    </row>
    <row r="34394" spans="129:129" x14ac:dyDescent="0.2">
      <c r="DY34394" s="185" t="s">
        <v>215</v>
      </c>
    </row>
    <row r="34395" spans="129:129" x14ac:dyDescent="0.2">
      <c r="DY34395" s="185" t="s">
        <v>215</v>
      </c>
    </row>
    <row r="34396" spans="129:129" x14ac:dyDescent="0.2">
      <c r="DY34396" s="185" t="s">
        <v>215</v>
      </c>
    </row>
    <row r="34397" spans="129:129" x14ac:dyDescent="0.2">
      <c r="DY34397" s="185" t="s">
        <v>215</v>
      </c>
    </row>
    <row r="34398" spans="129:129" x14ac:dyDescent="0.2">
      <c r="DY34398" s="185" t="s">
        <v>215</v>
      </c>
    </row>
    <row r="34399" spans="129:129" x14ac:dyDescent="0.2">
      <c r="DY34399" s="185" t="s">
        <v>215</v>
      </c>
    </row>
    <row r="34400" spans="129:129" x14ac:dyDescent="0.2">
      <c r="DY34400" s="185" t="s">
        <v>215</v>
      </c>
    </row>
    <row r="34401" spans="129:129" x14ac:dyDescent="0.2">
      <c r="DY34401" s="185" t="s">
        <v>215</v>
      </c>
    </row>
    <row r="34402" spans="129:129" x14ac:dyDescent="0.2">
      <c r="DY34402" s="185" t="s">
        <v>215</v>
      </c>
    </row>
    <row r="34403" spans="129:129" x14ac:dyDescent="0.2">
      <c r="DY34403" s="185" t="s">
        <v>215</v>
      </c>
    </row>
    <row r="34404" spans="129:129" x14ac:dyDescent="0.2">
      <c r="DY34404" s="185" t="s">
        <v>215</v>
      </c>
    </row>
    <row r="34405" spans="129:129" x14ac:dyDescent="0.2">
      <c r="DY34405" s="185" t="s">
        <v>215</v>
      </c>
    </row>
    <row r="34406" spans="129:129" x14ac:dyDescent="0.2">
      <c r="DY34406" s="185" t="s">
        <v>215</v>
      </c>
    </row>
    <row r="34407" spans="129:129" x14ac:dyDescent="0.2">
      <c r="DY34407" s="185" t="s">
        <v>215</v>
      </c>
    </row>
    <row r="34408" spans="129:129" x14ac:dyDescent="0.2">
      <c r="DY34408" s="185" t="s">
        <v>215</v>
      </c>
    </row>
    <row r="34409" spans="129:129" x14ac:dyDescent="0.2">
      <c r="DY34409" s="185" t="s">
        <v>215</v>
      </c>
    </row>
    <row r="34410" spans="129:129" x14ac:dyDescent="0.2">
      <c r="DY34410" s="185" t="s">
        <v>215</v>
      </c>
    </row>
    <row r="34411" spans="129:129" x14ac:dyDescent="0.2">
      <c r="DY34411" s="185" t="s">
        <v>215</v>
      </c>
    </row>
    <row r="34412" spans="129:129" x14ac:dyDescent="0.2">
      <c r="DY34412" s="185" t="s">
        <v>215</v>
      </c>
    </row>
    <row r="34413" spans="129:129" x14ac:dyDescent="0.2">
      <c r="DY34413" s="185" t="s">
        <v>215</v>
      </c>
    </row>
    <row r="34414" spans="129:129" x14ac:dyDescent="0.2">
      <c r="DY34414" s="185" t="s">
        <v>215</v>
      </c>
    </row>
    <row r="34415" spans="129:129" x14ac:dyDescent="0.2">
      <c r="DY34415" s="185" t="s">
        <v>215</v>
      </c>
    </row>
    <row r="34416" spans="129:129" x14ac:dyDescent="0.2">
      <c r="DY34416" s="185" t="s">
        <v>215</v>
      </c>
    </row>
    <row r="34417" spans="129:129" x14ac:dyDescent="0.2">
      <c r="DY34417" s="185" t="s">
        <v>215</v>
      </c>
    </row>
    <row r="34418" spans="129:129" x14ac:dyDescent="0.2">
      <c r="DY34418" s="185" t="s">
        <v>215</v>
      </c>
    </row>
    <row r="34419" spans="129:129" x14ac:dyDescent="0.2">
      <c r="DY34419" s="185" t="s">
        <v>215</v>
      </c>
    </row>
    <row r="34420" spans="129:129" x14ac:dyDescent="0.2">
      <c r="DY34420" s="185" t="s">
        <v>215</v>
      </c>
    </row>
    <row r="34421" spans="129:129" x14ac:dyDescent="0.2">
      <c r="DY34421" s="185" t="s">
        <v>215</v>
      </c>
    </row>
    <row r="34422" spans="129:129" x14ac:dyDescent="0.2">
      <c r="DY34422" s="185" t="s">
        <v>215</v>
      </c>
    </row>
    <row r="34423" spans="129:129" x14ac:dyDescent="0.2">
      <c r="DY34423" s="185" t="s">
        <v>215</v>
      </c>
    </row>
    <row r="34424" spans="129:129" x14ac:dyDescent="0.2">
      <c r="DY34424" s="185" t="s">
        <v>215</v>
      </c>
    </row>
    <row r="34425" spans="129:129" x14ac:dyDescent="0.2">
      <c r="DY34425" s="185" t="s">
        <v>215</v>
      </c>
    </row>
    <row r="34426" spans="129:129" x14ac:dyDescent="0.2">
      <c r="DY34426" s="185" t="s">
        <v>215</v>
      </c>
    </row>
    <row r="34427" spans="129:129" x14ac:dyDescent="0.2">
      <c r="DY34427" s="185" t="s">
        <v>215</v>
      </c>
    </row>
    <row r="34428" spans="129:129" x14ac:dyDescent="0.2">
      <c r="DY34428" s="185" t="s">
        <v>215</v>
      </c>
    </row>
    <row r="34429" spans="129:129" x14ac:dyDescent="0.2">
      <c r="DY34429" s="185" t="s">
        <v>215</v>
      </c>
    </row>
    <row r="34430" spans="129:129" x14ac:dyDescent="0.2">
      <c r="DY34430" s="185" t="s">
        <v>215</v>
      </c>
    </row>
    <row r="34431" spans="129:129" x14ac:dyDescent="0.2">
      <c r="DY34431" s="185" t="s">
        <v>215</v>
      </c>
    </row>
    <row r="34432" spans="129:129" x14ac:dyDescent="0.2">
      <c r="DY34432" s="185" t="s">
        <v>215</v>
      </c>
    </row>
    <row r="34433" spans="129:129" x14ac:dyDescent="0.2">
      <c r="DY34433" s="185" t="s">
        <v>215</v>
      </c>
    </row>
    <row r="34434" spans="129:129" x14ac:dyDescent="0.2">
      <c r="DY34434" s="185" t="s">
        <v>215</v>
      </c>
    </row>
    <row r="34435" spans="129:129" x14ac:dyDescent="0.2">
      <c r="DY34435" s="185" t="s">
        <v>215</v>
      </c>
    </row>
    <row r="34436" spans="129:129" x14ac:dyDescent="0.2">
      <c r="DY34436" s="185" t="s">
        <v>215</v>
      </c>
    </row>
    <row r="34437" spans="129:129" x14ac:dyDescent="0.2">
      <c r="DY34437" s="185" t="s">
        <v>215</v>
      </c>
    </row>
    <row r="34438" spans="129:129" x14ac:dyDescent="0.2">
      <c r="DY34438" s="185" t="s">
        <v>215</v>
      </c>
    </row>
    <row r="34439" spans="129:129" x14ac:dyDescent="0.2">
      <c r="DY34439" s="185" t="s">
        <v>215</v>
      </c>
    </row>
    <row r="34440" spans="129:129" x14ac:dyDescent="0.2">
      <c r="DY34440" s="185" t="s">
        <v>215</v>
      </c>
    </row>
    <row r="34441" spans="129:129" x14ac:dyDescent="0.2">
      <c r="DY34441" s="185" t="s">
        <v>215</v>
      </c>
    </row>
    <row r="34442" spans="129:129" x14ac:dyDescent="0.2">
      <c r="DY34442" s="185" t="s">
        <v>215</v>
      </c>
    </row>
    <row r="34443" spans="129:129" x14ac:dyDescent="0.2">
      <c r="DY34443" s="185" t="s">
        <v>215</v>
      </c>
    </row>
    <row r="34444" spans="129:129" x14ac:dyDescent="0.2">
      <c r="DY34444" s="185" t="s">
        <v>215</v>
      </c>
    </row>
    <row r="34445" spans="129:129" x14ac:dyDescent="0.2">
      <c r="DY34445" s="185" t="s">
        <v>215</v>
      </c>
    </row>
    <row r="34446" spans="129:129" x14ac:dyDescent="0.2">
      <c r="DY34446" s="185" t="s">
        <v>215</v>
      </c>
    </row>
    <row r="34447" spans="129:129" x14ac:dyDescent="0.2">
      <c r="DY34447" s="185" t="s">
        <v>215</v>
      </c>
    </row>
    <row r="34448" spans="129:129" x14ac:dyDescent="0.2">
      <c r="DY34448" s="185" t="s">
        <v>215</v>
      </c>
    </row>
    <row r="34449" spans="129:129" x14ac:dyDescent="0.2">
      <c r="DY34449" s="185" t="s">
        <v>215</v>
      </c>
    </row>
    <row r="34450" spans="129:129" x14ac:dyDescent="0.2">
      <c r="DY34450" s="185" t="s">
        <v>215</v>
      </c>
    </row>
    <row r="34451" spans="129:129" x14ac:dyDescent="0.2">
      <c r="DY34451" s="185" t="s">
        <v>215</v>
      </c>
    </row>
    <row r="34452" spans="129:129" x14ac:dyDescent="0.2">
      <c r="DY34452" s="185" t="s">
        <v>215</v>
      </c>
    </row>
    <row r="34453" spans="129:129" x14ac:dyDescent="0.2">
      <c r="DY34453" s="185" t="s">
        <v>215</v>
      </c>
    </row>
    <row r="34454" spans="129:129" x14ac:dyDescent="0.2">
      <c r="DY34454" s="185" t="s">
        <v>215</v>
      </c>
    </row>
    <row r="34455" spans="129:129" x14ac:dyDescent="0.2">
      <c r="DY34455" s="185" t="s">
        <v>215</v>
      </c>
    </row>
    <row r="34456" spans="129:129" x14ac:dyDescent="0.2">
      <c r="DY34456" s="185" t="s">
        <v>215</v>
      </c>
    </row>
    <row r="34457" spans="129:129" x14ac:dyDescent="0.2">
      <c r="DY34457" s="185" t="s">
        <v>215</v>
      </c>
    </row>
    <row r="34458" spans="129:129" x14ac:dyDescent="0.2">
      <c r="DY34458" s="185" t="s">
        <v>215</v>
      </c>
    </row>
    <row r="34459" spans="129:129" x14ac:dyDescent="0.2">
      <c r="DY34459" s="185" t="s">
        <v>215</v>
      </c>
    </row>
    <row r="34460" spans="129:129" x14ac:dyDescent="0.2">
      <c r="DY34460" s="185" t="s">
        <v>215</v>
      </c>
    </row>
    <row r="34461" spans="129:129" x14ac:dyDescent="0.2">
      <c r="DY34461" s="185" t="s">
        <v>215</v>
      </c>
    </row>
    <row r="34462" spans="129:129" x14ac:dyDescent="0.2">
      <c r="DY34462" s="185" t="s">
        <v>215</v>
      </c>
    </row>
    <row r="34463" spans="129:129" x14ac:dyDescent="0.2">
      <c r="DY34463" s="185" t="s">
        <v>215</v>
      </c>
    </row>
    <row r="34464" spans="129:129" x14ac:dyDescent="0.2">
      <c r="DY34464" s="185" t="s">
        <v>215</v>
      </c>
    </row>
    <row r="34465" spans="129:129" x14ac:dyDescent="0.2">
      <c r="DY34465" s="185" t="s">
        <v>215</v>
      </c>
    </row>
    <row r="34466" spans="129:129" x14ac:dyDescent="0.2">
      <c r="DY34466" s="185" t="s">
        <v>215</v>
      </c>
    </row>
    <row r="34467" spans="129:129" x14ac:dyDescent="0.2">
      <c r="DY34467" s="185" t="s">
        <v>215</v>
      </c>
    </row>
    <row r="34468" spans="129:129" x14ac:dyDescent="0.2">
      <c r="DY34468" s="185" t="s">
        <v>215</v>
      </c>
    </row>
    <row r="34469" spans="129:129" x14ac:dyDescent="0.2">
      <c r="DY34469" s="185" t="s">
        <v>215</v>
      </c>
    </row>
    <row r="34470" spans="129:129" x14ac:dyDescent="0.2">
      <c r="DY34470" s="185" t="s">
        <v>215</v>
      </c>
    </row>
    <row r="34471" spans="129:129" x14ac:dyDescent="0.2">
      <c r="DY34471" s="185" t="s">
        <v>215</v>
      </c>
    </row>
    <row r="34472" spans="129:129" x14ac:dyDescent="0.2">
      <c r="DY34472" s="185" t="s">
        <v>215</v>
      </c>
    </row>
    <row r="34473" spans="129:129" x14ac:dyDescent="0.2">
      <c r="DY34473" s="185" t="s">
        <v>215</v>
      </c>
    </row>
    <row r="34474" spans="129:129" x14ac:dyDescent="0.2">
      <c r="DY34474" s="185" t="s">
        <v>215</v>
      </c>
    </row>
    <row r="34475" spans="129:129" x14ac:dyDescent="0.2">
      <c r="DY34475" s="185" t="s">
        <v>215</v>
      </c>
    </row>
    <row r="34476" spans="129:129" x14ac:dyDescent="0.2">
      <c r="DY34476" s="185" t="s">
        <v>215</v>
      </c>
    </row>
    <row r="34477" spans="129:129" x14ac:dyDescent="0.2">
      <c r="DY34477" s="185" t="s">
        <v>215</v>
      </c>
    </row>
    <row r="34478" spans="129:129" x14ac:dyDescent="0.2">
      <c r="DY34478" s="185" t="s">
        <v>215</v>
      </c>
    </row>
    <row r="34479" spans="129:129" x14ac:dyDescent="0.2">
      <c r="DY34479" s="185" t="s">
        <v>215</v>
      </c>
    </row>
    <row r="34480" spans="129:129" x14ac:dyDescent="0.2">
      <c r="DY34480" s="185" t="s">
        <v>215</v>
      </c>
    </row>
    <row r="34481" spans="129:129" x14ac:dyDescent="0.2">
      <c r="DY34481" s="185" t="s">
        <v>215</v>
      </c>
    </row>
    <row r="34482" spans="129:129" x14ac:dyDescent="0.2">
      <c r="DY34482" s="185" t="s">
        <v>215</v>
      </c>
    </row>
    <row r="34483" spans="129:129" x14ac:dyDescent="0.2">
      <c r="DY34483" s="185" t="s">
        <v>215</v>
      </c>
    </row>
    <row r="34484" spans="129:129" x14ac:dyDescent="0.2">
      <c r="DY34484" s="185" t="s">
        <v>215</v>
      </c>
    </row>
    <row r="34485" spans="129:129" x14ac:dyDescent="0.2">
      <c r="DY34485" s="185" t="s">
        <v>215</v>
      </c>
    </row>
    <row r="34486" spans="129:129" x14ac:dyDescent="0.2">
      <c r="DY34486" s="185" t="s">
        <v>215</v>
      </c>
    </row>
    <row r="34487" spans="129:129" x14ac:dyDescent="0.2">
      <c r="DY34487" s="185" t="s">
        <v>215</v>
      </c>
    </row>
    <row r="34488" spans="129:129" x14ac:dyDescent="0.2">
      <c r="DY34488" s="185" t="s">
        <v>215</v>
      </c>
    </row>
    <row r="34489" spans="129:129" x14ac:dyDescent="0.2">
      <c r="DY34489" s="185" t="s">
        <v>215</v>
      </c>
    </row>
    <row r="34490" spans="129:129" x14ac:dyDescent="0.2">
      <c r="DY34490" s="185" t="s">
        <v>215</v>
      </c>
    </row>
    <row r="34491" spans="129:129" x14ac:dyDescent="0.2">
      <c r="DY34491" s="185" t="s">
        <v>215</v>
      </c>
    </row>
    <row r="34492" spans="129:129" x14ac:dyDescent="0.2">
      <c r="DY34492" s="185" t="s">
        <v>215</v>
      </c>
    </row>
    <row r="34493" spans="129:129" x14ac:dyDescent="0.2">
      <c r="DY34493" s="185" t="s">
        <v>215</v>
      </c>
    </row>
    <row r="34494" spans="129:129" x14ac:dyDescent="0.2">
      <c r="DY34494" s="185" t="s">
        <v>215</v>
      </c>
    </row>
    <row r="34495" spans="129:129" x14ac:dyDescent="0.2">
      <c r="DY34495" s="185" t="s">
        <v>215</v>
      </c>
    </row>
    <row r="34496" spans="129:129" x14ac:dyDescent="0.2">
      <c r="DY34496" s="185" t="s">
        <v>215</v>
      </c>
    </row>
    <row r="34497" spans="129:129" x14ac:dyDescent="0.2">
      <c r="DY34497" s="185" t="s">
        <v>215</v>
      </c>
    </row>
    <row r="34498" spans="129:129" x14ac:dyDescent="0.2">
      <c r="DY34498" s="185" t="s">
        <v>215</v>
      </c>
    </row>
    <row r="34499" spans="129:129" x14ac:dyDescent="0.2">
      <c r="DY34499" s="185" t="s">
        <v>215</v>
      </c>
    </row>
    <row r="34500" spans="129:129" x14ac:dyDescent="0.2">
      <c r="DY34500" s="185" t="s">
        <v>215</v>
      </c>
    </row>
    <row r="34501" spans="129:129" x14ac:dyDescent="0.2">
      <c r="DY34501" s="185" t="s">
        <v>215</v>
      </c>
    </row>
    <row r="34502" spans="129:129" x14ac:dyDescent="0.2">
      <c r="DY34502" s="185" t="s">
        <v>215</v>
      </c>
    </row>
    <row r="34503" spans="129:129" x14ac:dyDescent="0.2">
      <c r="DY34503" s="185" t="s">
        <v>215</v>
      </c>
    </row>
    <row r="34504" spans="129:129" x14ac:dyDescent="0.2">
      <c r="DY34504" s="185" t="s">
        <v>215</v>
      </c>
    </row>
    <row r="34505" spans="129:129" x14ac:dyDescent="0.2">
      <c r="DY34505" s="185" t="s">
        <v>215</v>
      </c>
    </row>
    <row r="34506" spans="129:129" x14ac:dyDescent="0.2">
      <c r="DY34506" s="185" t="s">
        <v>215</v>
      </c>
    </row>
    <row r="34507" spans="129:129" x14ac:dyDescent="0.2">
      <c r="DY34507" s="185" t="s">
        <v>215</v>
      </c>
    </row>
    <row r="34508" spans="129:129" x14ac:dyDescent="0.2">
      <c r="DY34508" s="185" t="s">
        <v>215</v>
      </c>
    </row>
    <row r="34509" spans="129:129" x14ac:dyDescent="0.2">
      <c r="DY34509" s="185" t="s">
        <v>215</v>
      </c>
    </row>
    <row r="34510" spans="129:129" x14ac:dyDescent="0.2">
      <c r="DY34510" s="185" t="s">
        <v>215</v>
      </c>
    </row>
    <row r="34511" spans="129:129" x14ac:dyDescent="0.2">
      <c r="DY34511" s="185" t="s">
        <v>215</v>
      </c>
    </row>
    <row r="34512" spans="129:129" x14ac:dyDescent="0.2">
      <c r="DY34512" s="185" t="s">
        <v>215</v>
      </c>
    </row>
    <row r="34513" spans="129:129" x14ac:dyDescent="0.2">
      <c r="DY34513" s="185" t="s">
        <v>215</v>
      </c>
    </row>
    <row r="34514" spans="129:129" x14ac:dyDescent="0.2">
      <c r="DY34514" s="185" t="s">
        <v>215</v>
      </c>
    </row>
    <row r="34515" spans="129:129" x14ac:dyDescent="0.2">
      <c r="DY34515" s="185" t="s">
        <v>215</v>
      </c>
    </row>
    <row r="34516" spans="129:129" x14ac:dyDescent="0.2">
      <c r="DY34516" s="185" t="s">
        <v>215</v>
      </c>
    </row>
    <row r="34517" spans="129:129" x14ac:dyDescent="0.2">
      <c r="DY34517" s="185" t="s">
        <v>215</v>
      </c>
    </row>
    <row r="34518" spans="129:129" x14ac:dyDescent="0.2">
      <c r="DY34518" s="185" t="s">
        <v>215</v>
      </c>
    </row>
    <row r="34519" spans="129:129" x14ac:dyDescent="0.2">
      <c r="DY34519" s="185" t="s">
        <v>215</v>
      </c>
    </row>
    <row r="34520" spans="129:129" x14ac:dyDescent="0.2">
      <c r="DY34520" s="185" t="s">
        <v>215</v>
      </c>
    </row>
    <row r="34521" spans="129:129" x14ac:dyDescent="0.2">
      <c r="DY34521" s="185" t="s">
        <v>215</v>
      </c>
    </row>
    <row r="34522" spans="129:129" x14ac:dyDescent="0.2">
      <c r="DY34522" s="185" t="s">
        <v>215</v>
      </c>
    </row>
    <row r="34523" spans="129:129" x14ac:dyDescent="0.2">
      <c r="DY34523" s="185" t="s">
        <v>215</v>
      </c>
    </row>
    <row r="34524" spans="129:129" x14ac:dyDescent="0.2">
      <c r="DY34524" s="185" t="s">
        <v>215</v>
      </c>
    </row>
    <row r="34525" spans="129:129" x14ac:dyDescent="0.2">
      <c r="DY34525" s="185" t="s">
        <v>215</v>
      </c>
    </row>
    <row r="34526" spans="129:129" x14ac:dyDescent="0.2">
      <c r="DY34526" s="185" t="s">
        <v>215</v>
      </c>
    </row>
    <row r="34527" spans="129:129" x14ac:dyDescent="0.2">
      <c r="DY34527" s="185" t="s">
        <v>215</v>
      </c>
    </row>
    <row r="34528" spans="129:129" x14ac:dyDescent="0.2">
      <c r="DY34528" s="185" t="s">
        <v>215</v>
      </c>
    </row>
    <row r="34529" spans="129:129" x14ac:dyDescent="0.2">
      <c r="DY34529" s="185" t="s">
        <v>215</v>
      </c>
    </row>
    <row r="34530" spans="129:129" x14ac:dyDescent="0.2">
      <c r="DY34530" s="185" t="s">
        <v>215</v>
      </c>
    </row>
    <row r="34531" spans="129:129" x14ac:dyDescent="0.2">
      <c r="DY34531" s="185" t="s">
        <v>215</v>
      </c>
    </row>
    <row r="34532" spans="129:129" x14ac:dyDescent="0.2">
      <c r="DY34532" s="185" t="s">
        <v>215</v>
      </c>
    </row>
    <row r="34533" spans="129:129" x14ac:dyDescent="0.2">
      <c r="DY34533" s="185" t="s">
        <v>215</v>
      </c>
    </row>
    <row r="34534" spans="129:129" x14ac:dyDescent="0.2">
      <c r="DY34534" s="185" t="s">
        <v>215</v>
      </c>
    </row>
    <row r="34535" spans="129:129" x14ac:dyDescent="0.2">
      <c r="DY34535" s="185" t="s">
        <v>215</v>
      </c>
    </row>
    <row r="34536" spans="129:129" x14ac:dyDescent="0.2">
      <c r="DY34536" s="185" t="s">
        <v>215</v>
      </c>
    </row>
    <row r="34537" spans="129:129" x14ac:dyDescent="0.2">
      <c r="DY34537" s="185" t="s">
        <v>215</v>
      </c>
    </row>
    <row r="34538" spans="129:129" x14ac:dyDescent="0.2">
      <c r="DY34538" s="185" t="s">
        <v>215</v>
      </c>
    </row>
    <row r="34539" spans="129:129" x14ac:dyDescent="0.2">
      <c r="DY34539" s="185" t="s">
        <v>215</v>
      </c>
    </row>
    <row r="34540" spans="129:129" x14ac:dyDescent="0.2">
      <c r="DY34540" s="185" t="s">
        <v>215</v>
      </c>
    </row>
    <row r="34541" spans="129:129" x14ac:dyDescent="0.2">
      <c r="DY34541" s="185" t="s">
        <v>215</v>
      </c>
    </row>
    <row r="34542" spans="129:129" x14ac:dyDescent="0.2">
      <c r="DY34542" s="185" t="s">
        <v>215</v>
      </c>
    </row>
    <row r="34543" spans="129:129" x14ac:dyDescent="0.2">
      <c r="DY34543" s="185" t="s">
        <v>215</v>
      </c>
    </row>
    <row r="34544" spans="129:129" x14ac:dyDescent="0.2">
      <c r="DY34544" s="185" t="s">
        <v>215</v>
      </c>
    </row>
    <row r="34545" spans="129:129" x14ac:dyDescent="0.2">
      <c r="DY34545" s="185" t="s">
        <v>215</v>
      </c>
    </row>
    <row r="34546" spans="129:129" x14ac:dyDescent="0.2">
      <c r="DY34546" s="185" t="s">
        <v>215</v>
      </c>
    </row>
    <row r="34547" spans="129:129" x14ac:dyDescent="0.2">
      <c r="DY34547" s="185" t="s">
        <v>215</v>
      </c>
    </row>
    <row r="34548" spans="129:129" x14ac:dyDescent="0.2">
      <c r="DY34548" s="185" t="s">
        <v>215</v>
      </c>
    </row>
    <row r="34549" spans="129:129" x14ac:dyDescent="0.2">
      <c r="DY34549" s="185" t="s">
        <v>215</v>
      </c>
    </row>
    <row r="34550" spans="129:129" x14ac:dyDescent="0.2">
      <c r="DY34550" s="185" t="s">
        <v>215</v>
      </c>
    </row>
    <row r="34551" spans="129:129" x14ac:dyDescent="0.2">
      <c r="DY34551" s="185" t="s">
        <v>215</v>
      </c>
    </row>
    <row r="34552" spans="129:129" x14ac:dyDescent="0.2">
      <c r="DY34552" s="185" t="s">
        <v>215</v>
      </c>
    </row>
    <row r="34553" spans="129:129" x14ac:dyDescent="0.2">
      <c r="DY34553" s="185" t="s">
        <v>215</v>
      </c>
    </row>
    <row r="34554" spans="129:129" x14ac:dyDescent="0.2">
      <c r="DY34554" s="185" t="s">
        <v>215</v>
      </c>
    </row>
    <row r="34555" spans="129:129" x14ac:dyDescent="0.2">
      <c r="DY34555" s="185" t="s">
        <v>215</v>
      </c>
    </row>
    <row r="34556" spans="129:129" x14ac:dyDescent="0.2">
      <c r="DY34556" s="185" t="s">
        <v>215</v>
      </c>
    </row>
    <row r="34557" spans="129:129" x14ac:dyDescent="0.2">
      <c r="DY34557" s="185" t="s">
        <v>215</v>
      </c>
    </row>
    <row r="34558" spans="129:129" x14ac:dyDescent="0.2">
      <c r="DY34558" s="185" t="s">
        <v>215</v>
      </c>
    </row>
    <row r="34559" spans="129:129" x14ac:dyDescent="0.2">
      <c r="DY34559" s="185" t="s">
        <v>215</v>
      </c>
    </row>
    <row r="34560" spans="129:129" x14ac:dyDescent="0.2">
      <c r="DY34560" s="185" t="s">
        <v>215</v>
      </c>
    </row>
    <row r="34561" spans="129:129" x14ac:dyDescent="0.2">
      <c r="DY34561" s="185" t="s">
        <v>215</v>
      </c>
    </row>
    <row r="34562" spans="129:129" x14ac:dyDescent="0.2">
      <c r="DY34562" s="185" t="s">
        <v>215</v>
      </c>
    </row>
    <row r="34563" spans="129:129" x14ac:dyDescent="0.2">
      <c r="DY34563" s="185" t="s">
        <v>215</v>
      </c>
    </row>
    <row r="34564" spans="129:129" x14ac:dyDescent="0.2">
      <c r="DY34564" s="185" t="s">
        <v>215</v>
      </c>
    </row>
    <row r="34565" spans="129:129" x14ac:dyDescent="0.2">
      <c r="DY34565" s="185" t="s">
        <v>215</v>
      </c>
    </row>
    <row r="34566" spans="129:129" x14ac:dyDescent="0.2">
      <c r="DY34566" s="185" t="s">
        <v>215</v>
      </c>
    </row>
    <row r="34567" spans="129:129" x14ac:dyDescent="0.2">
      <c r="DY34567" s="185" t="s">
        <v>215</v>
      </c>
    </row>
    <row r="34568" spans="129:129" x14ac:dyDescent="0.2">
      <c r="DY34568" s="185" t="s">
        <v>215</v>
      </c>
    </row>
    <row r="34569" spans="129:129" x14ac:dyDescent="0.2">
      <c r="DY34569" s="185" t="s">
        <v>215</v>
      </c>
    </row>
    <row r="34570" spans="129:129" x14ac:dyDescent="0.2">
      <c r="DY34570" s="185" t="s">
        <v>215</v>
      </c>
    </row>
    <row r="34571" spans="129:129" x14ac:dyDescent="0.2">
      <c r="DY34571" s="185" t="s">
        <v>215</v>
      </c>
    </row>
    <row r="34572" spans="129:129" x14ac:dyDescent="0.2">
      <c r="DY34572" s="185" t="s">
        <v>215</v>
      </c>
    </row>
    <row r="34573" spans="129:129" x14ac:dyDescent="0.2">
      <c r="DY34573" s="185" t="s">
        <v>215</v>
      </c>
    </row>
    <row r="34574" spans="129:129" x14ac:dyDescent="0.2">
      <c r="DY34574" s="185" t="s">
        <v>215</v>
      </c>
    </row>
    <row r="34575" spans="129:129" x14ac:dyDescent="0.2">
      <c r="DY34575" s="185" t="s">
        <v>215</v>
      </c>
    </row>
    <row r="34576" spans="129:129" x14ac:dyDescent="0.2">
      <c r="DY34576" s="185" t="s">
        <v>215</v>
      </c>
    </row>
    <row r="34577" spans="129:129" x14ac:dyDescent="0.2">
      <c r="DY34577" s="185" t="s">
        <v>215</v>
      </c>
    </row>
    <row r="34578" spans="129:129" x14ac:dyDescent="0.2">
      <c r="DY34578" s="185" t="s">
        <v>215</v>
      </c>
    </row>
    <row r="34579" spans="129:129" x14ac:dyDescent="0.2">
      <c r="DY34579" s="185" t="s">
        <v>215</v>
      </c>
    </row>
    <row r="34580" spans="129:129" x14ac:dyDescent="0.2">
      <c r="DY34580" s="185" t="s">
        <v>215</v>
      </c>
    </row>
    <row r="34581" spans="129:129" x14ac:dyDescent="0.2">
      <c r="DY34581" s="185" t="s">
        <v>215</v>
      </c>
    </row>
    <row r="34582" spans="129:129" x14ac:dyDescent="0.2">
      <c r="DY34582" s="185" t="s">
        <v>215</v>
      </c>
    </row>
    <row r="34583" spans="129:129" x14ac:dyDescent="0.2">
      <c r="DY34583" s="185" t="s">
        <v>215</v>
      </c>
    </row>
    <row r="34584" spans="129:129" x14ac:dyDescent="0.2">
      <c r="DY34584" s="185" t="s">
        <v>215</v>
      </c>
    </row>
    <row r="34585" spans="129:129" x14ac:dyDescent="0.2">
      <c r="DY34585" s="185" t="s">
        <v>215</v>
      </c>
    </row>
    <row r="34586" spans="129:129" x14ac:dyDescent="0.2">
      <c r="DY34586" s="185" t="s">
        <v>215</v>
      </c>
    </row>
    <row r="34587" spans="129:129" x14ac:dyDescent="0.2">
      <c r="DY34587" s="185" t="s">
        <v>215</v>
      </c>
    </row>
    <row r="34588" spans="129:129" x14ac:dyDescent="0.2">
      <c r="DY34588" s="185" t="s">
        <v>215</v>
      </c>
    </row>
    <row r="34589" spans="129:129" x14ac:dyDescent="0.2">
      <c r="DY34589" s="185" t="s">
        <v>215</v>
      </c>
    </row>
    <row r="34590" spans="129:129" x14ac:dyDescent="0.2">
      <c r="DY34590" s="185" t="s">
        <v>215</v>
      </c>
    </row>
    <row r="34591" spans="129:129" x14ac:dyDescent="0.2">
      <c r="DY34591" s="185" t="s">
        <v>215</v>
      </c>
    </row>
    <row r="34592" spans="129:129" x14ac:dyDescent="0.2">
      <c r="DY34592" s="185" t="s">
        <v>215</v>
      </c>
    </row>
    <row r="34593" spans="129:129" x14ac:dyDescent="0.2">
      <c r="DY34593" s="185" t="s">
        <v>215</v>
      </c>
    </row>
    <row r="34594" spans="129:129" x14ac:dyDescent="0.2">
      <c r="DY34594" s="185" t="s">
        <v>215</v>
      </c>
    </row>
    <row r="34595" spans="129:129" x14ac:dyDescent="0.2">
      <c r="DY34595" s="185" t="s">
        <v>215</v>
      </c>
    </row>
    <row r="34596" spans="129:129" x14ac:dyDescent="0.2">
      <c r="DY34596" s="185" t="s">
        <v>215</v>
      </c>
    </row>
    <row r="34597" spans="129:129" x14ac:dyDescent="0.2">
      <c r="DY34597" s="185" t="s">
        <v>215</v>
      </c>
    </row>
    <row r="34598" spans="129:129" x14ac:dyDescent="0.2">
      <c r="DY34598" s="185" t="s">
        <v>215</v>
      </c>
    </row>
    <row r="34599" spans="129:129" x14ac:dyDescent="0.2">
      <c r="DY34599" s="185" t="s">
        <v>215</v>
      </c>
    </row>
    <row r="34600" spans="129:129" x14ac:dyDescent="0.2">
      <c r="DY34600" s="185" t="s">
        <v>215</v>
      </c>
    </row>
    <row r="34601" spans="129:129" x14ac:dyDescent="0.2">
      <c r="DY34601" s="185" t="s">
        <v>215</v>
      </c>
    </row>
    <row r="34602" spans="129:129" x14ac:dyDescent="0.2">
      <c r="DY34602" s="185" t="s">
        <v>215</v>
      </c>
    </row>
    <row r="34603" spans="129:129" x14ac:dyDescent="0.2">
      <c r="DY34603" s="185" t="s">
        <v>215</v>
      </c>
    </row>
    <row r="34604" spans="129:129" x14ac:dyDescent="0.2">
      <c r="DY34604" s="185" t="s">
        <v>215</v>
      </c>
    </row>
    <row r="34605" spans="129:129" x14ac:dyDescent="0.2">
      <c r="DY34605" s="185" t="s">
        <v>215</v>
      </c>
    </row>
    <row r="34606" spans="129:129" x14ac:dyDescent="0.2">
      <c r="DY34606" s="185" t="s">
        <v>215</v>
      </c>
    </row>
    <row r="34607" spans="129:129" x14ac:dyDescent="0.2">
      <c r="DY34607" s="185" t="s">
        <v>215</v>
      </c>
    </row>
    <row r="34608" spans="129:129" x14ac:dyDescent="0.2">
      <c r="DY34608" s="185" t="s">
        <v>215</v>
      </c>
    </row>
    <row r="34609" spans="129:129" x14ac:dyDescent="0.2">
      <c r="DY34609" s="185" t="s">
        <v>215</v>
      </c>
    </row>
    <row r="34610" spans="129:129" x14ac:dyDescent="0.2">
      <c r="DY34610" s="185" t="s">
        <v>215</v>
      </c>
    </row>
    <row r="34611" spans="129:129" x14ac:dyDescent="0.2">
      <c r="DY34611" s="185" t="s">
        <v>215</v>
      </c>
    </row>
    <row r="34612" spans="129:129" x14ac:dyDescent="0.2">
      <c r="DY34612" s="185" t="s">
        <v>215</v>
      </c>
    </row>
    <row r="34613" spans="129:129" x14ac:dyDescent="0.2">
      <c r="DY34613" s="185" t="s">
        <v>215</v>
      </c>
    </row>
    <row r="34614" spans="129:129" x14ac:dyDescent="0.2">
      <c r="DY34614" s="185" t="s">
        <v>215</v>
      </c>
    </row>
    <row r="34615" spans="129:129" x14ac:dyDescent="0.2">
      <c r="DY34615" s="185" t="s">
        <v>215</v>
      </c>
    </row>
    <row r="34616" spans="129:129" x14ac:dyDescent="0.2">
      <c r="DY34616" s="185" t="s">
        <v>215</v>
      </c>
    </row>
    <row r="34617" spans="129:129" x14ac:dyDescent="0.2">
      <c r="DY34617" s="185" t="s">
        <v>215</v>
      </c>
    </row>
    <row r="34618" spans="129:129" x14ac:dyDescent="0.2">
      <c r="DY34618" s="185" t="s">
        <v>215</v>
      </c>
    </row>
    <row r="34619" spans="129:129" x14ac:dyDescent="0.2">
      <c r="DY34619" s="185" t="s">
        <v>215</v>
      </c>
    </row>
    <row r="34620" spans="129:129" x14ac:dyDescent="0.2">
      <c r="DY34620" s="185" t="s">
        <v>215</v>
      </c>
    </row>
    <row r="34621" spans="129:129" x14ac:dyDescent="0.2">
      <c r="DY34621" s="185" t="s">
        <v>215</v>
      </c>
    </row>
    <row r="34622" spans="129:129" x14ac:dyDescent="0.2">
      <c r="DY34622" s="185" t="s">
        <v>215</v>
      </c>
    </row>
    <row r="34623" spans="129:129" x14ac:dyDescent="0.2">
      <c r="DY34623" s="185" t="s">
        <v>215</v>
      </c>
    </row>
    <row r="34624" spans="129:129" x14ac:dyDescent="0.2">
      <c r="DY34624" s="185" t="s">
        <v>215</v>
      </c>
    </row>
    <row r="34625" spans="129:129" x14ac:dyDescent="0.2">
      <c r="DY34625" s="185" t="s">
        <v>215</v>
      </c>
    </row>
    <row r="34626" spans="129:129" x14ac:dyDescent="0.2">
      <c r="DY34626" s="185" t="s">
        <v>215</v>
      </c>
    </row>
    <row r="34627" spans="129:129" x14ac:dyDescent="0.2">
      <c r="DY34627" s="185" t="s">
        <v>215</v>
      </c>
    </row>
    <row r="34628" spans="129:129" x14ac:dyDescent="0.2">
      <c r="DY34628" s="185" t="s">
        <v>215</v>
      </c>
    </row>
    <row r="34629" spans="129:129" x14ac:dyDescent="0.2">
      <c r="DY34629" s="185" t="s">
        <v>215</v>
      </c>
    </row>
    <row r="34630" spans="129:129" x14ac:dyDescent="0.2">
      <c r="DY34630" s="185" t="s">
        <v>215</v>
      </c>
    </row>
    <row r="34631" spans="129:129" x14ac:dyDescent="0.2">
      <c r="DY34631" s="185" t="s">
        <v>215</v>
      </c>
    </row>
    <row r="34632" spans="129:129" x14ac:dyDescent="0.2">
      <c r="DY34632" s="185" t="s">
        <v>215</v>
      </c>
    </row>
    <row r="34633" spans="129:129" x14ac:dyDescent="0.2">
      <c r="DY34633" s="185" t="s">
        <v>215</v>
      </c>
    </row>
    <row r="34634" spans="129:129" x14ac:dyDescent="0.2">
      <c r="DY34634" s="185" t="s">
        <v>215</v>
      </c>
    </row>
    <row r="34635" spans="129:129" x14ac:dyDescent="0.2">
      <c r="DY34635" s="185" t="s">
        <v>215</v>
      </c>
    </row>
    <row r="34636" spans="129:129" x14ac:dyDescent="0.2">
      <c r="DY34636" s="185" t="s">
        <v>215</v>
      </c>
    </row>
    <row r="34637" spans="129:129" x14ac:dyDescent="0.2">
      <c r="DY34637" s="185" t="s">
        <v>215</v>
      </c>
    </row>
    <row r="34638" spans="129:129" x14ac:dyDescent="0.2">
      <c r="DY34638" s="185" t="s">
        <v>215</v>
      </c>
    </row>
    <row r="34639" spans="129:129" x14ac:dyDescent="0.2">
      <c r="DY34639" s="185" t="s">
        <v>215</v>
      </c>
    </row>
    <row r="34640" spans="129:129" x14ac:dyDescent="0.2">
      <c r="DY34640" s="185" t="s">
        <v>215</v>
      </c>
    </row>
    <row r="34641" spans="129:129" x14ac:dyDescent="0.2">
      <c r="DY34641" s="185" t="s">
        <v>215</v>
      </c>
    </row>
    <row r="34642" spans="129:129" x14ac:dyDescent="0.2">
      <c r="DY34642" s="185" t="s">
        <v>215</v>
      </c>
    </row>
    <row r="34643" spans="129:129" x14ac:dyDescent="0.2">
      <c r="DY34643" s="185" t="s">
        <v>215</v>
      </c>
    </row>
    <row r="34644" spans="129:129" x14ac:dyDescent="0.2">
      <c r="DY34644" s="185" t="s">
        <v>215</v>
      </c>
    </row>
    <row r="34645" spans="129:129" x14ac:dyDescent="0.2">
      <c r="DY34645" s="185" t="s">
        <v>215</v>
      </c>
    </row>
    <row r="34646" spans="129:129" x14ac:dyDescent="0.2">
      <c r="DY34646" s="185" t="s">
        <v>215</v>
      </c>
    </row>
    <row r="34647" spans="129:129" x14ac:dyDescent="0.2">
      <c r="DY34647" s="185" t="s">
        <v>215</v>
      </c>
    </row>
    <row r="34648" spans="129:129" x14ac:dyDescent="0.2">
      <c r="DY34648" s="185" t="s">
        <v>215</v>
      </c>
    </row>
    <row r="34649" spans="129:129" x14ac:dyDescent="0.2">
      <c r="DY34649" s="185" t="s">
        <v>215</v>
      </c>
    </row>
    <row r="34650" spans="129:129" x14ac:dyDescent="0.2">
      <c r="DY34650" s="185" t="s">
        <v>215</v>
      </c>
    </row>
    <row r="34651" spans="129:129" x14ac:dyDescent="0.2">
      <c r="DY34651" s="185" t="s">
        <v>215</v>
      </c>
    </row>
    <row r="34652" spans="129:129" x14ac:dyDescent="0.2">
      <c r="DY34652" s="185" t="s">
        <v>215</v>
      </c>
    </row>
    <row r="34653" spans="129:129" x14ac:dyDescent="0.2">
      <c r="DY34653" s="185" t="s">
        <v>215</v>
      </c>
    </row>
    <row r="34654" spans="129:129" x14ac:dyDescent="0.2">
      <c r="DY34654" s="185" t="s">
        <v>215</v>
      </c>
    </row>
    <row r="34655" spans="129:129" x14ac:dyDescent="0.2">
      <c r="DY34655" s="185" t="s">
        <v>215</v>
      </c>
    </row>
    <row r="34656" spans="129:129" x14ac:dyDescent="0.2">
      <c r="DY34656" s="185" t="s">
        <v>215</v>
      </c>
    </row>
    <row r="34657" spans="129:129" x14ac:dyDescent="0.2">
      <c r="DY34657" s="185" t="s">
        <v>215</v>
      </c>
    </row>
    <row r="34658" spans="129:129" x14ac:dyDescent="0.2">
      <c r="DY34658" s="185" t="s">
        <v>215</v>
      </c>
    </row>
    <row r="34659" spans="129:129" x14ac:dyDescent="0.2">
      <c r="DY34659" s="185" t="s">
        <v>215</v>
      </c>
    </row>
    <row r="34660" spans="129:129" x14ac:dyDescent="0.2">
      <c r="DY34660" s="185" t="s">
        <v>215</v>
      </c>
    </row>
    <row r="34661" spans="129:129" x14ac:dyDescent="0.2">
      <c r="DY34661" s="185" t="s">
        <v>215</v>
      </c>
    </row>
    <row r="34662" spans="129:129" x14ac:dyDescent="0.2">
      <c r="DY34662" s="185" t="s">
        <v>215</v>
      </c>
    </row>
    <row r="34663" spans="129:129" x14ac:dyDescent="0.2">
      <c r="DY34663" s="185" t="s">
        <v>215</v>
      </c>
    </row>
    <row r="34664" spans="129:129" x14ac:dyDescent="0.2">
      <c r="DY34664" s="185" t="s">
        <v>215</v>
      </c>
    </row>
    <row r="34665" spans="129:129" x14ac:dyDescent="0.2">
      <c r="DY34665" s="185" t="s">
        <v>215</v>
      </c>
    </row>
    <row r="34666" spans="129:129" x14ac:dyDescent="0.2">
      <c r="DY34666" s="185" t="s">
        <v>215</v>
      </c>
    </row>
    <row r="34667" spans="129:129" x14ac:dyDescent="0.2">
      <c r="DY34667" s="185" t="s">
        <v>215</v>
      </c>
    </row>
    <row r="34668" spans="129:129" x14ac:dyDescent="0.2">
      <c r="DY34668" s="185" t="s">
        <v>215</v>
      </c>
    </row>
    <row r="34669" spans="129:129" x14ac:dyDescent="0.2">
      <c r="DY34669" s="185" t="s">
        <v>215</v>
      </c>
    </row>
    <row r="34670" spans="129:129" x14ac:dyDescent="0.2">
      <c r="DY34670" s="185" t="s">
        <v>215</v>
      </c>
    </row>
    <row r="34671" spans="129:129" x14ac:dyDescent="0.2">
      <c r="DY34671" s="185" t="s">
        <v>215</v>
      </c>
    </row>
    <row r="34672" spans="129:129" x14ac:dyDescent="0.2">
      <c r="DY34672" s="185" t="s">
        <v>215</v>
      </c>
    </row>
    <row r="34673" spans="129:129" x14ac:dyDescent="0.2">
      <c r="DY34673" s="185" t="s">
        <v>215</v>
      </c>
    </row>
    <row r="34674" spans="129:129" x14ac:dyDescent="0.2">
      <c r="DY34674" s="185" t="s">
        <v>215</v>
      </c>
    </row>
    <row r="34675" spans="129:129" x14ac:dyDescent="0.2">
      <c r="DY34675" s="185" t="s">
        <v>215</v>
      </c>
    </row>
    <row r="34676" spans="129:129" x14ac:dyDescent="0.2">
      <c r="DY34676" s="185" t="s">
        <v>215</v>
      </c>
    </row>
    <row r="34677" spans="129:129" x14ac:dyDescent="0.2">
      <c r="DY34677" s="185" t="s">
        <v>215</v>
      </c>
    </row>
    <row r="34678" spans="129:129" x14ac:dyDescent="0.2">
      <c r="DY34678" s="185" t="s">
        <v>215</v>
      </c>
    </row>
    <row r="34679" spans="129:129" x14ac:dyDescent="0.2">
      <c r="DY34679" s="185" t="s">
        <v>215</v>
      </c>
    </row>
    <row r="34680" spans="129:129" x14ac:dyDescent="0.2">
      <c r="DY34680" s="185" t="s">
        <v>215</v>
      </c>
    </row>
    <row r="34681" spans="129:129" x14ac:dyDescent="0.2">
      <c r="DY34681" s="185" t="s">
        <v>215</v>
      </c>
    </row>
    <row r="34682" spans="129:129" x14ac:dyDescent="0.2">
      <c r="DY34682" s="185" t="s">
        <v>215</v>
      </c>
    </row>
    <row r="34683" spans="129:129" x14ac:dyDescent="0.2">
      <c r="DY34683" s="185" t="s">
        <v>215</v>
      </c>
    </row>
    <row r="34684" spans="129:129" x14ac:dyDescent="0.2">
      <c r="DY34684" s="185" t="s">
        <v>215</v>
      </c>
    </row>
    <row r="34685" spans="129:129" x14ac:dyDescent="0.2">
      <c r="DY34685" s="185" t="s">
        <v>215</v>
      </c>
    </row>
    <row r="34686" spans="129:129" x14ac:dyDescent="0.2">
      <c r="DY34686" s="185" t="s">
        <v>215</v>
      </c>
    </row>
    <row r="34687" spans="129:129" x14ac:dyDescent="0.2">
      <c r="DY34687" s="185" t="s">
        <v>215</v>
      </c>
    </row>
    <row r="34688" spans="129:129" x14ac:dyDescent="0.2">
      <c r="DY34688" s="185" t="s">
        <v>215</v>
      </c>
    </row>
    <row r="34689" spans="129:129" x14ac:dyDescent="0.2">
      <c r="DY34689" s="185" t="s">
        <v>215</v>
      </c>
    </row>
    <row r="34690" spans="129:129" x14ac:dyDescent="0.2">
      <c r="DY34690" s="185" t="s">
        <v>215</v>
      </c>
    </row>
    <row r="34691" spans="129:129" x14ac:dyDescent="0.2">
      <c r="DY34691" s="185" t="s">
        <v>215</v>
      </c>
    </row>
    <row r="34692" spans="129:129" x14ac:dyDescent="0.2">
      <c r="DY34692" s="185" t="s">
        <v>215</v>
      </c>
    </row>
    <row r="34693" spans="129:129" x14ac:dyDescent="0.2">
      <c r="DY34693" s="185" t="s">
        <v>215</v>
      </c>
    </row>
    <row r="34694" spans="129:129" x14ac:dyDescent="0.2">
      <c r="DY34694" s="185" t="s">
        <v>215</v>
      </c>
    </row>
    <row r="34695" spans="129:129" x14ac:dyDescent="0.2">
      <c r="DY34695" s="185" t="s">
        <v>215</v>
      </c>
    </row>
    <row r="34696" spans="129:129" x14ac:dyDescent="0.2">
      <c r="DY34696" s="185" t="s">
        <v>215</v>
      </c>
    </row>
    <row r="34697" spans="129:129" x14ac:dyDescent="0.2">
      <c r="DY34697" s="185" t="s">
        <v>215</v>
      </c>
    </row>
    <row r="34698" spans="129:129" x14ac:dyDescent="0.2">
      <c r="DY34698" s="185" t="s">
        <v>215</v>
      </c>
    </row>
    <row r="34699" spans="129:129" x14ac:dyDescent="0.2">
      <c r="DY34699" s="185" t="s">
        <v>215</v>
      </c>
    </row>
    <row r="34700" spans="129:129" x14ac:dyDescent="0.2">
      <c r="DY34700" s="185" t="s">
        <v>215</v>
      </c>
    </row>
    <row r="34701" spans="129:129" x14ac:dyDescent="0.2">
      <c r="DY34701" s="185" t="s">
        <v>215</v>
      </c>
    </row>
    <row r="34702" spans="129:129" x14ac:dyDescent="0.2">
      <c r="DY34702" s="185" t="s">
        <v>215</v>
      </c>
    </row>
    <row r="34703" spans="129:129" x14ac:dyDescent="0.2">
      <c r="DY34703" s="185" t="s">
        <v>215</v>
      </c>
    </row>
    <row r="34704" spans="129:129" x14ac:dyDescent="0.2">
      <c r="DY34704" s="185" t="s">
        <v>215</v>
      </c>
    </row>
    <row r="34705" spans="129:129" x14ac:dyDescent="0.2">
      <c r="DY34705" s="185" t="s">
        <v>215</v>
      </c>
    </row>
    <row r="34706" spans="129:129" x14ac:dyDescent="0.2">
      <c r="DY34706" s="185" t="s">
        <v>215</v>
      </c>
    </row>
    <row r="34707" spans="129:129" x14ac:dyDescent="0.2">
      <c r="DY34707" s="185" t="s">
        <v>215</v>
      </c>
    </row>
    <row r="34708" spans="129:129" x14ac:dyDescent="0.2">
      <c r="DY34708" s="185" t="s">
        <v>215</v>
      </c>
    </row>
    <row r="34709" spans="129:129" x14ac:dyDescent="0.2">
      <c r="DY34709" s="185" t="s">
        <v>215</v>
      </c>
    </row>
    <row r="34710" spans="129:129" x14ac:dyDescent="0.2">
      <c r="DY34710" s="185" t="s">
        <v>215</v>
      </c>
    </row>
    <row r="34711" spans="129:129" x14ac:dyDescent="0.2">
      <c r="DY34711" s="185" t="s">
        <v>215</v>
      </c>
    </row>
    <row r="34712" spans="129:129" x14ac:dyDescent="0.2">
      <c r="DY34712" s="185" t="s">
        <v>215</v>
      </c>
    </row>
    <row r="34713" spans="129:129" x14ac:dyDescent="0.2">
      <c r="DY34713" s="185" t="s">
        <v>215</v>
      </c>
    </row>
    <row r="34714" spans="129:129" x14ac:dyDescent="0.2">
      <c r="DY34714" s="185" t="s">
        <v>215</v>
      </c>
    </row>
    <row r="34715" spans="129:129" x14ac:dyDescent="0.2">
      <c r="DY34715" s="185" t="s">
        <v>215</v>
      </c>
    </row>
    <row r="34716" spans="129:129" x14ac:dyDescent="0.2">
      <c r="DY34716" s="185" t="s">
        <v>215</v>
      </c>
    </row>
    <row r="34717" spans="129:129" x14ac:dyDescent="0.2">
      <c r="DY34717" s="185" t="s">
        <v>215</v>
      </c>
    </row>
    <row r="34718" spans="129:129" x14ac:dyDescent="0.2">
      <c r="DY34718" s="185" t="s">
        <v>215</v>
      </c>
    </row>
    <row r="34719" spans="129:129" x14ac:dyDescent="0.2">
      <c r="DY34719" s="185" t="s">
        <v>215</v>
      </c>
    </row>
    <row r="34720" spans="129:129" x14ac:dyDescent="0.2">
      <c r="DY34720" s="185" t="s">
        <v>215</v>
      </c>
    </row>
    <row r="34721" spans="129:129" x14ac:dyDescent="0.2">
      <c r="DY34721" s="185" t="s">
        <v>215</v>
      </c>
    </row>
    <row r="34722" spans="129:129" x14ac:dyDescent="0.2">
      <c r="DY34722" s="185" t="s">
        <v>215</v>
      </c>
    </row>
    <row r="34723" spans="129:129" x14ac:dyDescent="0.2">
      <c r="DY34723" s="185" t="s">
        <v>215</v>
      </c>
    </row>
    <row r="34724" spans="129:129" x14ac:dyDescent="0.2">
      <c r="DY34724" s="185" t="s">
        <v>215</v>
      </c>
    </row>
    <row r="34725" spans="129:129" x14ac:dyDescent="0.2">
      <c r="DY34725" s="185" t="s">
        <v>215</v>
      </c>
    </row>
    <row r="34726" spans="129:129" x14ac:dyDescent="0.2">
      <c r="DY34726" s="185" t="s">
        <v>215</v>
      </c>
    </row>
    <row r="34727" spans="129:129" x14ac:dyDescent="0.2">
      <c r="DY34727" s="185" t="s">
        <v>215</v>
      </c>
    </row>
    <row r="34728" spans="129:129" x14ac:dyDescent="0.2">
      <c r="DY34728" s="185" t="s">
        <v>215</v>
      </c>
    </row>
    <row r="34729" spans="129:129" x14ac:dyDescent="0.2">
      <c r="DY34729" s="185" t="s">
        <v>215</v>
      </c>
    </row>
    <row r="34730" spans="129:129" x14ac:dyDescent="0.2">
      <c r="DY34730" s="185" t="s">
        <v>215</v>
      </c>
    </row>
    <row r="34731" spans="129:129" x14ac:dyDescent="0.2">
      <c r="DY34731" s="185" t="s">
        <v>215</v>
      </c>
    </row>
    <row r="34732" spans="129:129" x14ac:dyDescent="0.2">
      <c r="DY34732" s="185" t="s">
        <v>215</v>
      </c>
    </row>
    <row r="34733" spans="129:129" x14ac:dyDescent="0.2">
      <c r="DY34733" s="185" t="s">
        <v>215</v>
      </c>
    </row>
    <row r="34734" spans="129:129" x14ac:dyDescent="0.2">
      <c r="DY34734" s="185" t="s">
        <v>215</v>
      </c>
    </row>
    <row r="34735" spans="129:129" x14ac:dyDescent="0.2">
      <c r="DY34735" s="185" t="s">
        <v>215</v>
      </c>
    </row>
    <row r="34736" spans="129:129" x14ac:dyDescent="0.2">
      <c r="DY34736" s="185" t="s">
        <v>215</v>
      </c>
    </row>
    <row r="34737" spans="129:129" x14ac:dyDescent="0.2">
      <c r="DY34737" s="185" t="s">
        <v>215</v>
      </c>
    </row>
    <row r="34738" spans="129:129" x14ac:dyDescent="0.2">
      <c r="DY34738" s="185" t="s">
        <v>215</v>
      </c>
    </row>
    <row r="34739" spans="129:129" x14ac:dyDescent="0.2">
      <c r="DY34739" s="185" t="s">
        <v>215</v>
      </c>
    </row>
    <row r="34740" spans="129:129" x14ac:dyDescent="0.2">
      <c r="DY34740" s="185" t="s">
        <v>215</v>
      </c>
    </row>
    <row r="34741" spans="129:129" x14ac:dyDescent="0.2">
      <c r="DY34741" s="185" t="s">
        <v>215</v>
      </c>
    </row>
    <row r="34742" spans="129:129" x14ac:dyDescent="0.2">
      <c r="DY34742" s="185" t="s">
        <v>215</v>
      </c>
    </row>
    <row r="34743" spans="129:129" x14ac:dyDescent="0.2">
      <c r="DY34743" s="185" t="s">
        <v>215</v>
      </c>
    </row>
    <row r="34744" spans="129:129" x14ac:dyDescent="0.2">
      <c r="DY34744" s="185" t="s">
        <v>215</v>
      </c>
    </row>
    <row r="34745" spans="129:129" x14ac:dyDescent="0.2">
      <c r="DY34745" s="185" t="s">
        <v>215</v>
      </c>
    </row>
    <row r="34746" spans="129:129" x14ac:dyDescent="0.2">
      <c r="DY34746" s="185" t="s">
        <v>215</v>
      </c>
    </row>
    <row r="34747" spans="129:129" x14ac:dyDescent="0.2">
      <c r="DY34747" s="185" t="s">
        <v>215</v>
      </c>
    </row>
    <row r="34748" spans="129:129" x14ac:dyDescent="0.2">
      <c r="DY34748" s="185" t="s">
        <v>215</v>
      </c>
    </row>
    <row r="34749" spans="129:129" x14ac:dyDescent="0.2">
      <c r="DY34749" s="185" t="s">
        <v>215</v>
      </c>
    </row>
    <row r="34750" spans="129:129" x14ac:dyDescent="0.2">
      <c r="DY34750" s="185" t="s">
        <v>215</v>
      </c>
    </row>
    <row r="34751" spans="129:129" x14ac:dyDescent="0.2">
      <c r="DY34751" s="185" t="s">
        <v>215</v>
      </c>
    </row>
    <row r="34752" spans="129:129" x14ac:dyDescent="0.2">
      <c r="DY34752" s="185" t="s">
        <v>215</v>
      </c>
    </row>
    <row r="34753" spans="129:129" x14ac:dyDescent="0.2">
      <c r="DY34753" s="185" t="s">
        <v>215</v>
      </c>
    </row>
    <row r="34754" spans="129:129" x14ac:dyDescent="0.2">
      <c r="DY34754" s="185" t="s">
        <v>215</v>
      </c>
    </row>
    <row r="34755" spans="129:129" x14ac:dyDescent="0.2">
      <c r="DY34755" s="185" t="s">
        <v>215</v>
      </c>
    </row>
    <row r="34756" spans="129:129" x14ac:dyDescent="0.2">
      <c r="DY34756" s="185" t="s">
        <v>215</v>
      </c>
    </row>
    <row r="34757" spans="129:129" x14ac:dyDescent="0.2">
      <c r="DY34757" s="185" t="s">
        <v>215</v>
      </c>
    </row>
    <row r="34758" spans="129:129" x14ac:dyDescent="0.2">
      <c r="DY34758" s="185" t="s">
        <v>215</v>
      </c>
    </row>
    <row r="34759" spans="129:129" x14ac:dyDescent="0.2">
      <c r="DY34759" s="185" t="s">
        <v>215</v>
      </c>
    </row>
    <row r="34760" spans="129:129" x14ac:dyDescent="0.2">
      <c r="DY34760" s="185" t="s">
        <v>215</v>
      </c>
    </row>
    <row r="34761" spans="129:129" x14ac:dyDescent="0.2">
      <c r="DY34761" s="185" t="s">
        <v>215</v>
      </c>
    </row>
    <row r="34762" spans="129:129" x14ac:dyDescent="0.2">
      <c r="DY34762" s="185" t="s">
        <v>215</v>
      </c>
    </row>
    <row r="34763" spans="129:129" x14ac:dyDescent="0.2">
      <c r="DY34763" s="185" t="s">
        <v>215</v>
      </c>
    </row>
    <row r="34764" spans="129:129" x14ac:dyDescent="0.2">
      <c r="DY34764" s="185" t="s">
        <v>215</v>
      </c>
    </row>
    <row r="34765" spans="129:129" x14ac:dyDescent="0.2">
      <c r="DY34765" s="185" t="s">
        <v>215</v>
      </c>
    </row>
    <row r="34766" spans="129:129" x14ac:dyDescent="0.2">
      <c r="DY34766" s="185" t="s">
        <v>215</v>
      </c>
    </row>
    <row r="34767" spans="129:129" x14ac:dyDescent="0.2">
      <c r="DY34767" s="185" t="s">
        <v>215</v>
      </c>
    </row>
    <row r="34768" spans="129:129" x14ac:dyDescent="0.2">
      <c r="DY34768" s="185" t="s">
        <v>215</v>
      </c>
    </row>
    <row r="34769" spans="129:129" x14ac:dyDescent="0.2">
      <c r="DY34769" s="185" t="s">
        <v>215</v>
      </c>
    </row>
    <row r="34770" spans="129:129" x14ac:dyDescent="0.2">
      <c r="DY34770" s="185" t="s">
        <v>215</v>
      </c>
    </row>
    <row r="34771" spans="129:129" x14ac:dyDescent="0.2">
      <c r="DY34771" s="185" t="s">
        <v>215</v>
      </c>
    </row>
    <row r="34772" spans="129:129" x14ac:dyDescent="0.2">
      <c r="DY34772" s="185" t="s">
        <v>215</v>
      </c>
    </row>
    <row r="34773" spans="129:129" x14ac:dyDescent="0.2">
      <c r="DY34773" s="185" t="s">
        <v>215</v>
      </c>
    </row>
    <row r="34774" spans="129:129" x14ac:dyDescent="0.2">
      <c r="DY34774" s="185" t="s">
        <v>215</v>
      </c>
    </row>
    <row r="34775" spans="129:129" x14ac:dyDescent="0.2">
      <c r="DY34775" s="185" t="s">
        <v>215</v>
      </c>
    </row>
    <row r="34776" spans="129:129" x14ac:dyDescent="0.2">
      <c r="DY34776" s="185" t="s">
        <v>215</v>
      </c>
    </row>
    <row r="34777" spans="129:129" x14ac:dyDescent="0.2">
      <c r="DY34777" s="185" t="s">
        <v>215</v>
      </c>
    </row>
    <row r="34778" spans="129:129" x14ac:dyDescent="0.2">
      <c r="DY34778" s="185" t="s">
        <v>215</v>
      </c>
    </row>
    <row r="34779" spans="129:129" x14ac:dyDescent="0.2">
      <c r="DY34779" s="185" t="s">
        <v>215</v>
      </c>
    </row>
    <row r="34780" spans="129:129" x14ac:dyDescent="0.2">
      <c r="DY34780" s="185" t="s">
        <v>215</v>
      </c>
    </row>
    <row r="34781" spans="129:129" x14ac:dyDescent="0.2">
      <c r="DY34781" s="185" t="s">
        <v>215</v>
      </c>
    </row>
    <row r="34782" spans="129:129" x14ac:dyDescent="0.2">
      <c r="DY34782" s="185" t="s">
        <v>215</v>
      </c>
    </row>
    <row r="34783" spans="129:129" x14ac:dyDescent="0.2">
      <c r="DY34783" s="185" t="s">
        <v>215</v>
      </c>
    </row>
    <row r="34784" spans="129:129" x14ac:dyDescent="0.2">
      <c r="DY34784" s="185" t="s">
        <v>215</v>
      </c>
    </row>
    <row r="34785" spans="129:129" x14ac:dyDescent="0.2">
      <c r="DY34785" s="185" t="s">
        <v>215</v>
      </c>
    </row>
    <row r="34786" spans="129:129" x14ac:dyDescent="0.2">
      <c r="DY34786" s="185" t="s">
        <v>215</v>
      </c>
    </row>
    <row r="34787" spans="129:129" x14ac:dyDescent="0.2">
      <c r="DY34787" s="185" t="s">
        <v>215</v>
      </c>
    </row>
    <row r="34788" spans="129:129" x14ac:dyDescent="0.2">
      <c r="DY34788" s="185" t="s">
        <v>215</v>
      </c>
    </row>
    <row r="34789" spans="129:129" x14ac:dyDescent="0.2">
      <c r="DY34789" s="185" t="s">
        <v>215</v>
      </c>
    </row>
    <row r="34790" spans="129:129" x14ac:dyDescent="0.2">
      <c r="DY34790" s="185" t="s">
        <v>215</v>
      </c>
    </row>
    <row r="34791" spans="129:129" x14ac:dyDescent="0.2">
      <c r="DY34791" s="185" t="s">
        <v>215</v>
      </c>
    </row>
    <row r="34792" spans="129:129" x14ac:dyDescent="0.2">
      <c r="DY34792" s="185" t="s">
        <v>215</v>
      </c>
    </row>
    <row r="34793" spans="129:129" x14ac:dyDescent="0.2">
      <c r="DY34793" s="185" t="s">
        <v>215</v>
      </c>
    </row>
    <row r="34794" spans="129:129" x14ac:dyDescent="0.2">
      <c r="DY34794" s="185" t="s">
        <v>215</v>
      </c>
    </row>
    <row r="34795" spans="129:129" x14ac:dyDescent="0.2">
      <c r="DY34795" s="185" t="s">
        <v>215</v>
      </c>
    </row>
    <row r="34796" spans="129:129" x14ac:dyDescent="0.2">
      <c r="DY34796" s="185" t="s">
        <v>215</v>
      </c>
    </row>
    <row r="34797" spans="129:129" x14ac:dyDescent="0.2">
      <c r="DY34797" s="185" t="s">
        <v>215</v>
      </c>
    </row>
    <row r="34798" spans="129:129" x14ac:dyDescent="0.2">
      <c r="DY34798" s="185" t="s">
        <v>215</v>
      </c>
    </row>
    <row r="34799" spans="129:129" x14ac:dyDescent="0.2">
      <c r="DY34799" s="185" t="s">
        <v>215</v>
      </c>
    </row>
    <row r="34800" spans="129:129" x14ac:dyDescent="0.2">
      <c r="DY34800" s="185" t="s">
        <v>215</v>
      </c>
    </row>
    <row r="34801" spans="129:129" x14ac:dyDescent="0.2">
      <c r="DY34801" s="185" t="s">
        <v>215</v>
      </c>
    </row>
    <row r="34802" spans="129:129" x14ac:dyDescent="0.2">
      <c r="DY34802" s="185" t="s">
        <v>215</v>
      </c>
    </row>
    <row r="34803" spans="129:129" x14ac:dyDescent="0.2">
      <c r="DY34803" s="185" t="s">
        <v>215</v>
      </c>
    </row>
    <row r="34804" spans="129:129" x14ac:dyDescent="0.2">
      <c r="DY34804" s="185" t="s">
        <v>215</v>
      </c>
    </row>
    <row r="34805" spans="129:129" x14ac:dyDescent="0.2">
      <c r="DY34805" s="185" t="s">
        <v>215</v>
      </c>
    </row>
    <row r="34806" spans="129:129" x14ac:dyDescent="0.2">
      <c r="DY34806" s="185" t="s">
        <v>215</v>
      </c>
    </row>
    <row r="34807" spans="129:129" x14ac:dyDescent="0.2">
      <c r="DY34807" s="185" t="s">
        <v>215</v>
      </c>
    </row>
    <row r="34808" spans="129:129" x14ac:dyDescent="0.2">
      <c r="DY34808" s="185" t="s">
        <v>215</v>
      </c>
    </row>
    <row r="34809" spans="129:129" x14ac:dyDescent="0.2">
      <c r="DY34809" s="185" t="s">
        <v>215</v>
      </c>
    </row>
    <row r="34810" spans="129:129" x14ac:dyDescent="0.2">
      <c r="DY34810" s="185" t="s">
        <v>215</v>
      </c>
    </row>
    <row r="34811" spans="129:129" x14ac:dyDescent="0.2">
      <c r="DY34811" s="185" t="s">
        <v>215</v>
      </c>
    </row>
    <row r="34812" spans="129:129" x14ac:dyDescent="0.2">
      <c r="DY34812" s="185" t="s">
        <v>215</v>
      </c>
    </row>
    <row r="34813" spans="129:129" x14ac:dyDescent="0.2">
      <c r="DY34813" s="185" t="s">
        <v>215</v>
      </c>
    </row>
    <row r="34814" spans="129:129" x14ac:dyDescent="0.2">
      <c r="DY34814" s="185" t="s">
        <v>215</v>
      </c>
    </row>
    <row r="34815" spans="129:129" x14ac:dyDescent="0.2">
      <c r="DY34815" s="185" t="s">
        <v>215</v>
      </c>
    </row>
    <row r="34816" spans="129:129" x14ac:dyDescent="0.2">
      <c r="DY34816" s="185" t="s">
        <v>215</v>
      </c>
    </row>
    <row r="34817" spans="129:129" x14ac:dyDescent="0.2">
      <c r="DY34817" s="185" t="s">
        <v>215</v>
      </c>
    </row>
    <row r="34818" spans="129:129" x14ac:dyDescent="0.2">
      <c r="DY34818" s="185" t="s">
        <v>215</v>
      </c>
    </row>
    <row r="34819" spans="129:129" x14ac:dyDescent="0.2">
      <c r="DY34819" s="185" t="s">
        <v>215</v>
      </c>
    </row>
    <row r="34820" spans="129:129" x14ac:dyDescent="0.2">
      <c r="DY34820" s="185" t="s">
        <v>215</v>
      </c>
    </row>
    <row r="34821" spans="129:129" x14ac:dyDescent="0.2">
      <c r="DY34821" s="185" t="s">
        <v>215</v>
      </c>
    </row>
    <row r="34822" spans="129:129" x14ac:dyDescent="0.2">
      <c r="DY34822" s="185" t="s">
        <v>215</v>
      </c>
    </row>
    <row r="34823" spans="129:129" x14ac:dyDescent="0.2">
      <c r="DY34823" s="185" t="s">
        <v>215</v>
      </c>
    </row>
    <row r="34824" spans="129:129" x14ac:dyDescent="0.2">
      <c r="DY34824" s="185" t="s">
        <v>215</v>
      </c>
    </row>
    <row r="34825" spans="129:129" x14ac:dyDescent="0.2">
      <c r="DY34825" s="185" t="s">
        <v>215</v>
      </c>
    </row>
    <row r="34826" spans="129:129" x14ac:dyDescent="0.2">
      <c r="DY34826" s="185" t="s">
        <v>215</v>
      </c>
    </row>
    <row r="34827" spans="129:129" x14ac:dyDescent="0.2">
      <c r="DY34827" s="185" t="s">
        <v>215</v>
      </c>
    </row>
    <row r="34828" spans="129:129" x14ac:dyDescent="0.2">
      <c r="DY34828" s="185" t="s">
        <v>215</v>
      </c>
    </row>
    <row r="34829" spans="129:129" x14ac:dyDescent="0.2">
      <c r="DY34829" s="185" t="s">
        <v>215</v>
      </c>
    </row>
    <row r="34830" spans="129:129" x14ac:dyDescent="0.2">
      <c r="DY34830" s="185" t="s">
        <v>215</v>
      </c>
    </row>
    <row r="34831" spans="129:129" x14ac:dyDescent="0.2">
      <c r="DY34831" s="185" t="s">
        <v>215</v>
      </c>
    </row>
    <row r="34832" spans="129:129" x14ac:dyDescent="0.2">
      <c r="DY34832" s="185" t="s">
        <v>215</v>
      </c>
    </row>
    <row r="34833" spans="129:129" x14ac:dyDescent="0.2">
      <c r="DY34833" s="185" t="s">
        <v>215</v>
      </c>
    </row>
    <row r="34834" spans="129:129" x14ac:dyDescent="0.2">
      <c r="DY34834" s="185" t="s">
        <v>215</v>
      </c>
    </row>
    <row r="34835" spans="129:129" x14ac:dyDescent="0.2">
      <c r="DY34835" s="185" t="s">
        <v>215</v>
      </c>
    </row>
    <row r="34836" spans="129:129" x14ac:dyDescent="0.2">
      <c r="DY34836" s="185" t="s">
        <v>215</v>
      </c>
    </row>
    <row r="34837" spans="129:129" x14ac:dyDescent="0.2">
      <c r="DY34837" s="185" t="s">
        <v>215</v>
      </c>
    </row>
    <row r="34838" spans="129:129" x14ac:dyDescent="0.2">
      <c r="DY34838" s="185" t="s">
        <v>215</v>
      </c>
    </row>
    <row r="34839" spans="129:129" x14ac:dyDescent="0.2">
      <c r="DY34839" s="185" t="s">
        <v>215</v>
      </c>
    </row>
    <row r="34840" spans="129:129" x14ac:dyDescent="0.2">
      <c r="DY34840" s="185" t="s">
        <v>215</v>
      </c>
    </row>
    <row r="34841" spans="129:129" x14ac:dyDescent="0.2">
      <c r="DY34841" s="185" t="s">
        <v>215</v>
      </c>
    </row>
    <row r="34842" spans="129:129" x14ac:dyDescent="0.2">
      <c r="DY34842" s="185" t="s">
        <v>215</v>
      </c>
    </row>
    <row r="34843" spans="129:129" x14ac:dyDescent="0.2">
      <c r="DY34843" s="185" t="s">
        <v>215</v>
      </c>
    </row>
    <row r="34844" spans="129:129" x14ac:dyDescent="0.2">
      <c r="DY34844" s="185" t="s">
        <v>215</v>
      </c>
    </row>
    <row r="34845" spans="129:129" x14ac:dyDescent="0.2">
      <c r="DY34845" s="185" t="s">
        <v>215</v>
      </c>
    </row>
    <row r="34846" spans="129:129" x14ac:dyDescent="0.2">
      <c r="DY34846" s="185" t="s">
        <v>215</v>
      </c>
    </row>
    <row r="34847" spans="129:129" x14ac:dyDescent="0.2">
      <c r="DY34847" s="185" t="s">
        <v>215</v>
      </c>
    </row>
    <row r="34848" spans="129:129" x14ac:dyDescent="0.2">
      <c r="DY34848" s="185" t="s">
        <v>215</v>
      </c>
    </row>
    <row r="34849" spans="129:129" x14ac:dyDescent="0.2">
      <c r="DY34849" s="185" t="s">
        <v>215</v>
      </c>
    </row>
    <row r="34850" spans="129:129" x14ac:dyDescent="0.2">
      <c r="DY34850" s="185" t="s">
        <v>215</v>
      </c>
    </row>
    <row r="34851" spans="129:129" x14ac:dyDescent="0.2">
      <c r="DY34851" s="185" t="s">
        <v>215</v>
      </c>
    </row>
    <row r="34852" spans="129:129" x14ac:dyDescent="0.2">
      <c r="DY34852" s="185" t="s">
        <v>215</v>
      </c>
    </row>
    <row r="34853" spans="129:129" x14ac:dyDescent="0.2">
      <c r="DY34853" s="185" t="s">
        <v>215</v>
      </c>
    </row>
    <row r="34854" spans="129:129" x14ac:dyDescent="0.2">
      <c r="DY34854" s="185" t="s">
        <v>215</v>
      </c>
    </row>
    <row r="34855" spans="129:129" x14ac:dyDescent="0.2">
      <c r="DY34855" s="185" t="s">
        <v>215</v>
      </c>
    </row>
    <row r="34856" spans="129:129" x14ac:dyDescent="0.2">
      <c r="DY34856" s="185" t="s">
        <v>215</v>
      </c>
    </row>
    <row r="34857" spans="129:129" x14ac:dyDescent="0.2">
      <c r="DY34857" s="185" t="s">
        <v>215</v>
      </c>
    </row>
    <row r="34858" spans="129:129" x14ac:dyDescent="0.2">
      <c r="DY34858" s="185" t="s">
        <v>215</v>
      </c>
    </row>
    <row r="34859" spans="129:129" x14ac:dyDescent="0.2">
      <c r="DY34859" s="185" t="s">
        <v>215</v>
      </c>
    </row>
    <row r="34860" spans="129:129" x14ac:dyDescent="0.2">
      <c r="DY34860" s="185" t="s">
        <v>215</v>
      </c>
    </row>
    <row r="34861" spans="129:129" x14ac:dyDescent="0.2">
      <c r="DY34861" s="185" t="s">
        <v>215</v>
      </c>
    </row>
    <row r="34862" spans="129:129" x14ac:dyDescent="0.2">
      <c r="DY34862" s="185" t="s">
        <v>215</v>
      </c>
    </row>
    <row r="34863" spans="129:129" x14ac:dyDescent="0.2">
      <c r="DY34863" s="185" t="s">
        <v>215</v>
      </c>
    </row>
    <row r="34864" spans="129:129" x14ac:dyDescent="0.2">
      <c r="DY34864" s="185" t="s">
        <v>215</v>
      </c>
    </row>
    <row r="34865" spans="129:129" x14ac:dyDescent="0.2">
      <c r="DY34865" s="185" t="s">
        <v>215</v>
      </c>
    </row>
    <row r="34866" spans="129:129" x14ac:dyDescent="0.2">
      <c r="DY34866" s="185" t="s">
        <v>215</v>
      </c>
    </row>
    <row r="34867" spans="129:129" x14ac:dyDescent="0.2">
      <c r="DY34867" s="185" t="s">
        <v>215</v>
      </c>
    </row>
    <row r="34868" spans="129:129" x14ac:dyDescent="0.2">
      <c r="DY34868" s="185" t="s">
        <v>215</v>
      </c>
    </row>
    <row r="34869" spans="129:129" x14ac:dyDescent="0.2">
      <c r="DY34869" s="185" t="s">
        <v>215</v>
      </c>
    </row>
    <row r="34870" spans="129:129" x14ac:dyDescent="0.2">
      <c r="DY34870" s="185" t="s">
        <v>215</v>
      </c>
    </row>
    <row r="34871" spans="129:129" x14ac:dyDescent="0.2">
      <c r="DY34871" s="185" t="s">
        <v>215</v>
      </c>
    </row>
    <row r="34872" spans="129:129" x14ac:dyDescent="0.2">
      <c r="DY34872" s="185" t="s">
        <v>215</v>
      </c>
    </row>
    <row r="34873" spans="129:129" x14ac:dyDescent="0.2">
      <c r="DY34873" s="185" t="s">
        <v>215</v>
      </c>
    </row>
    <row r="34874" spans="129:129" x14ac:dyDescent="0.2">
      <c r="DY34874" s="185" t="s">
        <v>215</v>
      </c>
    </row>
    <row r="34875" spans="129:129" x14ac:dyDescent="0.2">
      <c r="DY34875" s="185" t="s">
        <v>215</v>
      </c>
    </row>
    <row r="34876" spans="129:129" x14ac:dyDescent="0.2">
      <c r="DY34876" s="185" t="s">
        <v>215</v>
      </c>
    </row>
    <row r="34877" spans="129:129" x14ac:dyDescent="0.2">
      <c r="DY34877" s="185" t="s">
        <v>215</v>
      </c>
    </row>
    <row r="34878" spans="129:129" x14ac:dyDescent="0.2">
      <c r="DY34878" s="185" t="s">
        <v>215</v>
      </c>
    </row>
    <row r="34879" spans="129:129" x14ac:dyDescent="0.2">
      <c r="DY34879" s="185" t="s">
        <v>215</v>
      </c>
    </row>
    <row r="34880" spans="129:129" x14ac:dyDescent="0.2">
      <c r="DY34880" s="185" t="s">
        <v>215</v>
      </c>
    </row>
    <row r="34881" spans="129:129" x14ac:dyDescent="0.2">
      <c r="DY34881" s="185" t="s">
        <v>215</v>
      </c>
    </row>
    <row r="34882" spans="129:129" x14ac:dyDescent="0.2">
      <c r="DY34882" s="185" t="s">
        <v>215</v>
      </c>
    </row>
    <row r="34883" spans="129:129" x14ac:dyDescent="0.2">
      <c r="DY34883" s="185" t="s">
        <v>215</v>
      </c>
    </row>
    <row r="34884" spans="129:129" x14ac:dyDescent="0.2">
      <c r="DY34884" s="185" t="s">
        <v>215</v>
      </c>
    </row>
    <row r="34885" spans="129:129" x14ac:dyDescent="0.2">
      <c r="DY34885" s="185" t="s">
        <v>215</v>
      </c>
    </row>
    <row r="34886" spans="129:129" x14ac:dyDescent="0.2">
      <c r="DY34886" s="185" t="s">
        <v>215</v>
      </c>
    </row>
    <row r="34887" spans="129:129" x14ac:dyDescent="0.2">
      <c r="DY34887" s="185" t="s">
        <v>215</v>
      </c>
    </row>
    <row r="34888" spans="129:129" x14ac:dyDescent="0.2">
      <c r="DY34888" s="185" t="s">
        <v>215</v>
      </c>
    </row>
    <row r="34889" spans="129:129" x14ac:dyDescent="0.2">
      <c r="DY34889" s="185" t="s">
        <v>215</v>
      </c>
    </row>
    <row r="34890" spans="129:129" x14ac:dyDescent="0.2">
      <c r="DY34890" s="185" t="s">
        <v>215</v>
      </c>
    </row>
    <row r="34891" spans="129:129" x14ac:dyDescent="0.2">
      <c r="DY34891" s="185" t="s">
        <v>215</v>
      </c>
    </row>
    <row r="34892" spans="129:129" x14ac:dyDescent="0.2">
      <c r="DY34892" s="185" t="s">
        <v>215</v>
      </c>
    </row>
    <row r="34893" spans="129:129" x14ac:dyDescent="0.2">
      <c r="DY34893" s="185" t="s">
        <v>215</v>
      </c>
    </row>
    <row r="34894" spans="129:129" x14ac:dyDescent="0.2">
      <c r="DY34894" s="185" t="s">
        <v>215</v>
      </c>
    </row>
    <row r="34895" spans="129:129" x14ac:dyDescent="0.2">
      <c r="DY34895" s="185" t="s">
        <v>215</v>
      </c>
    </row>
    <row r="34896" spans="129:129" x14ac:dyDescent="0.2">
      <c r="DY34896" s="185" t="s">
        <v>215</v>
      </c>
    </row>
    <row r="34897" spans="129:129" x14ac:dyDescent="0.2">
      <c r="DY34897" s="185" t="s">
        <v>215</v>
      </c>
    </row>
    <row r="34898" spans="129:129" x14ac:dyDescent="0.2">
      <c r="DY34898" s="185" t="s">
        <v>215</v>
      </c>
    </row>
    <row r="34899" spans="129:129" x14ac:dyDescent="0.2">
      <c r="DY34899" s="185" t="s">
        <v>215</v>
      </c>
    </row>
    <row r="34900" spans="129:129" x14ac:dyDescent="0.2">
      <c r="DY34900" s="185" t="s">
        <v>215</v>
      </c>
    </row>
    <row r="34901" spans="129:129" x14ac:dyDescent="0.2">
      <c r="DY34901" s="185" t="s">
        <v>215</v>
      </c>
    </row>
    <row r="34902" spans="129:129" x14ac:dyDescent="0.2">
      <c r="DY34902" s="185" t="s">
        <v>215</v>
      </c>
    </row>
    <row r="34903" spans="129:129" x14ac:dyDescent="0.2">
      <c r="DY34903" s="185" t="s">
        <v>215</v>
      </c>
    </row>
    <row r="34904" spans="129:129" x14ac:dyDescent="0.2">
      <c r="DY34904" s="185" t="s">
        <v>215</v>
      </c>
    </row>
    <row r="34905" spans="129:129" x14ac:dyDescent="0.2">
      <c r="DY34905" s="185" t="s">
        <v>215</v>
      </c>
    </row>
    <row r="34906" spans="129:129" x14ac:dyDescent="0.2">
      <c r="DY34906" s="185" t="s">
        <v>215</v>
      </c>
    </row>
    <row r="34907" spans="129:129" x14ac:dyDescent="0.2">
      <c r="DY34907" s="185" t="s">
        <v>215</v>
      </c>
    </row>
    <row r="34908" spans="129:129" x14ac:dyDescent="0.2">
      <c r="DY34908" s="185" t="s">
        <v>215</v>
      </c>
    </row>
    <row r="34909" spans="129:129" x14ac:dyDescent="0.2">
      <c r="DY34909" s="185" t="s">
        <v>215</v>
      </c>
    </row>
    <row r="34910" spans="129:129" x14ac:dyDescent="0.2">
      <c r="DY34910" s="185" t="s">
        <v>215</v>
      </c>
    </row>
    <row r="34911" spans="129:129" x14ac:dyDescent="0.2">
      <c r="DY34911" s="185" t="s">
        <v>215</v>
      </c>
    </row>
    <row r="34912" spans="129:129" x14ac:dyDescent="0.2">
      <c r="DY34912" s="185" t="s">
        <v>215</v>
      </c>
    </row>
    <row r="34913" spans="129:129" x14ac:dyDescent="0.2">
      <c r="DY34913" s="185" t="s">
        <v>215</v>
      </c>
    </row>
    <row r="34914" spans="129:129" x14ac:dyDescent="0.2">
      <c r="DY34914" s="185" t="s">
        <v>215</v>
      </c>
    </row>
    <row r="34915" spans="129:129" x14ac:dyDescent="0.2">
      <c r="DY34915" s="185" t="s">
        <v>215</v>
      </c>
    </row>
    <row r="34916" spans="129:129" x14ac:dyDescent="0.2">
      <c r="DY34916" s="185" t="s">
        <v>215</v>
      </c>
    </row>
    <row r="34917" spans="129:129" x14ac:dyDescent="0.2">
      <c r="DY34917" s="185" t="s">
        <v>215</v>
      </c>
    </row>
    <row r="34918" spans="129:129" x14ac:dyDescent="0.2">
      <c r="DY34918" s="185" t="s">
        <v>215</v>
      </c>
    </row>
    <row r="34919" spans="129:129" x14ac:dyDescent="0.2">
      <c r="DY34919" s="185" t="s">
        <v>215</v>
      </c>
    </row>
    <row r="34920" spans="129:129" x14ac:dyDescent="0.2">
      <c r="DY34920" s="185" t="s">
        <v>215</v>
      </c>
    </row>
    <row r="34921" spans="129:129" x14ac:dyDescent="0.2">
      <c r="DY34921" s="185" t="s">
        <v>215</v>
      </c>
    </row>
    <row r="34922" spans="129:129" x14ac:dyDescent="0.2">
      <c r="DY34922" s="185" t="s">
        <v>215</v>
      </c>
    </row>
    <row r="34923" spans="129:129" x14ac:dyDescent="0.2">
      <c r="DY34923" s="185" t="s">
        <v>215</v>
      </c>
    </row>
    <row r="34924" spans="129:129" x14ac:dyDescent="0.2">
      <c r="DY34924" s="185" t="s">
        <v>215</v>
      </c>
    </row>
    <row r="34925" spans="129:129" x14ac:dyDescent="0.2">
      <c r="DY34925" s="185" t="s">
        <v>215</v>
      </c>
    </row>
    <row r="34926" spans="129:129" x14ac:dyDescent="0.2">
      <c r="DY34926" s="185" t="s">
        <v>215</v>
      </c>
    </row>
    <row r="34927" spans="129:129" x14ac:dyDescent="0.2">
      <c r="DY34927" s="185" t="s">
        <v>215</v>
      </c>
    </row>
    <row r="34928" spans="129:129" x14ac:dyDescent="0.2">
      <c r="DY34928" s="185" t="s">
        <v>215</v>
      </c>
    </row>
    <row r="34929" spans="129:129" x14ac:dyDescent="0.2">
      <c r="DY34929" s="185" t="s">
        <v>215</v>
      </c>
    </row>
    <row r="34930" spans="129:129" x14ac:dyDescent="0.2">
      <c r="DY34930" s="185" t="s">
        <v>215</v>
      </c>
    </row>
    <row r="34931" spans="129:129" x14ac:dyDescent="0.2">
      <c r="DY34931" s="185" t="s">
        <v>215</v>
      </c>
    </row>
    <row r="34932" spans="129:129" x14ac:dyDescent="0.2">
      <c r="DY34932" s="185" t="s">
        <v>215</v>
      </c>
    </row>
    <row r="34933" spans="129:129" x14ac:dyDescent="0.2">
      <c r="DY34933" s="185" t="s">
        <v>215</v>
      </c>
    </row>
    <row r="34934" spans="129:129" x14ac:dyDescent="0.2">
      <c r="DY34934" s="185" t="s">
        <v>215</v>
      </c>
    </row>
    <row r="34935" spans="129:129" x14ac:dyDescent="0.2">
      <c r="DY34935" s="185" t="s">
        <v>215</v>
      </c>
    </row>
    <row r="34936" spans="129:129" x14ac:dyDescent="0.2">
      <c r="DY34936" s="185" t="s">
        <v>215</v>
      </c>
    </row>
    <row r="34937" spans="129:129" x14ac:dyDescent="0.2">
      <c r="DY34937" s="185" t="s">
        <v>215</v>
      </c>
    </row>
    <row r="34938" spans="129:129" x14ac:dyDescent="0.2">
      <c r="DY34938" s="185" t="s">
        <v>215</v>
      </c>
    </row>
    <row r="34939" spans="129:129" x14ac:dyDescent="0.2">
      <c r="DY34939" s="185" t="s">
        <v>215</v>
      </c>
    </row>
    <row r="34940" spans="129:129" x14ac:dyDescent="0.2">
      <c r="DY34940" s="185" t="s">
        <v>215</v>
      </c>
    </row>
    <row r="34941" spans="129:129" x14ac:dyDescent="0.2">
      <c r="DY34941" s="185" t="s">
        <v>215</v>
      </c>
    </row>
    <row r="34942" spans="129:129" x14ac:dyDescent="0.2">
      <c r="DY34942" s="185" t="s">
        <v>215</v>
      </c>
    </row>
    <row r="34943" spans="129:129" x14ac:dyDescent="0.2">
      <c r="DY34943" s="185" t="s">
        <v>215</v>
      </c>
    </row>
    <row r="34944" spans="129:129" x14ac:dyDescent="0.2">
      <c r="DY34944" s="185" t="s">
        <v>215</v>
      </c>
    </row>
    <row r="34945" spans="129:129" x14ac:dyDescent="0.2">
      <c r="DY34945" s="185" t="s">
        <v>215</v>
      </c>
    </row>
    <row r="34946" spans="129:129" x14ac:dyDescent="0.2">
      <c r="DY34946" s="185" t="s">
        <v>215</v>
      </c>
    </row>
    <row r="34947" spans="129:129" x14ac:dyDescent="0.2">
      <c r="DY34947" s="185" t="s">
        <v>215</v>
      </c>
    </row>
    <row r="34948" spans="129:129" x14ac:dyDescent="0.2">
      <c r="DY34948" s="185" t="s">
        <v>215</v>
      </c>
    </row>
    <row r="34949" spans="129:129" x14ac:dyDescent="0.2">
      <c r="DY34949" s="185" t="s">
        <v>215</v>
      </c>
    </row>
    <row r="34950" spans="129:129" x14ac:dyDescent="0.2">
      <c r="DY34950" s="185" t="s">
        <v>215</v>
      </c>
    </row>
    <row r="34951" spans="129:129" x14ac:dyDescent="0.2">
      <c r="DY34951" s="185" t="s">
        <v>215</v>
      </c>
    </row>
    <row r="34952" spans="129:129" x14ac:dyDescent="0.2">
      <c r="DY34952" s="185" t="s">
        <v>215</v>
      </c>
    </row>
    <row r="34953" spans="129:129" x14ac:dyDescent="0.2">
      <c r="DY34953" s="185" t="s">
        <v>215</v>
      </c>
    </row>
    <row r="34954" spans="129:129" x14ac:dyDescent="0.2">
      <c r="DY34954" s="185" t="s">
        <v>215</v>
      </c>
    </row>
    <row r="34955" spans="129:129" x14ac:dyDescent="0.2">
      <c r="DY34955" s="185" t="s">
        <v>215</v>
      </c>
    </row>
    <row r="34956" spans="129:129" x14ac:dyDescent="0.2">
      <c r="DY34956" s="185" t="s">
        <v>215</v>
      </c>
    </row>
    <row r="34957" spans="129:129" x14ac:dyDescent="0.2">
      <c r="DY34957" s="185" t="s">
        <v>215</v>
      </c>
    </row>
    <row r="34958" spans="129:129" x14ac:dyDescent="0.2">
      <c r="DY34958" s="185" t="s">
        <v>215</v>
      </c>
    </row>
    <row r="34959" spans="129:129" x14ac:dyDescent="0.2">
      <c r="DY34959" s="185" t="s">
        <v>215</v>
      </c>
    </row>
    <row r="34960" spans="129:129" x14ac:dyDescent="0.2">
      <c r="DY34960" s="185" t="s">
        <v>215</v>
      </c>
    </row>
    <row r="34961" spans="129:129" x14ac:dyDescent="0.2">
      <c r="DY34961" s="185" t="s">
        <v>215</v>
      </c>
    </row>
    <row r="34962" spans="129:129" x14ac:dyDescent="0.2">
      <c r="DY34962" s="185" t="s">
        <v>215</v>
      </c>
    </row>
    <row r="34963" spans="129:129" x14ac:dyDescent="0.2">
      <c r="DY34963" s="185" t="s">
        <v>215</v>
      </c>
    </row>
    <row r="34964" spans="129:129" x14ac:dyDescent="0.2">
      <c r="DY34964" s="185" t="s">
        <v>215</v>
      </c>
    </row>
    <row r="34965" spans="129:129" x14ac:dyDescent="0.2">
      <c r="DY34965" s="185" t="s">
        <v>215</v>
      </c>
    </row>
    <row r="34966" spans="129:129" x14ac:dyDescent="0.2">
      <c r="DY34966" s="185" t="s">
        <v>215</v>
      </c>
    </row>
    <row r="34967" spans="129:129" x14ac:dyDescent="0.2">
      <c r="DY34967" s="185" t="s">
        <v>215</v>
      </c>
    </row>
    <row r="34968" spans="129:129" x14ac:dyDescent="0.2">
      <c r="DY34968" s="185" t="s">
        <v>215</v>
      </c>
    </row>
    <row r="34969" spans="129:129" x14ac:dyDescent="0.2">
      <c r="DY34969" s="185" t="s">
        <v>215</v>
      </c>
    </row>
    <row r="34970" spans="129:129" x14ac:dyDescent="0.2">
      <c r="DY34970" s="185" t="s">
        <v>215</v>
      </c>
    </row>
    <row r="34971" spans="129:129" x14ac:dyDescent="0.2">
      <c r="DY34971" s="185" t="s">
        <v>215</v>
      </c>
    </row>
    <row r="34972" spans="129:129" x14ac:dyDescent="0.2">
      <c r="DY34972" s="185" t="s">
        <v>215</v>
      </c>
    </row>
    <row r="34973" spans="129:129" x14ac:dyDescent="0.2">
      <c r="DY34973" s="185" t="s">
        <v>215</v>
      </c>
    </row>
    <row r="34974" spans="129:129" x14ac:dyDescent="0.2">
      <c r="DY34974" s="185" t="s">
        <v>215</v>
      </c>
    </row>
    <row r="34975" spans="129:129" x14ac:dyDescent="0.2">
      <c r="DY34975" s="185" t="s">
        <v>215</v>
      </c>
    </row>
    <row r="34976" spans="129:129" x14ac:dyDescent="0.2">
      <c r="DY34976" s="185" t="s">
        <v>215</v>
      </c>
    </row>
    <row r="34977" spans="129:129" x14ac:dyDescent="0.2">
      <c r="DY34977" s="185" t="s">
        <v>215</v>
      </c>
    </row>
    <row r="34978" spans="129:129" x14ac:dyDescent="0.2">
      <c r="DY34978" s="185" t="s">
        <v>215</v>
      </c>
    </row>
    <row r="34979" spans="129:129" x14ac:dyDescent="0.2">
      <c r="DY34979" s="185" t="s">
        <v>215</v>
      </c>
    </row>
    <row r="34980" spans="129:129" x14ac:dyDescent="0.2">
      <c r="DY34980" s="185" t="s">
        <v>215</v>
      </c>
    </row>
    <row r="34981" spans="129:129" x14ac:dyDescent="0.2">
      <c r="DY34981" s="185" t="s">
        <v>215</v>
      </c>
    </row>
    <row r="34982" spans="129:129" x14ac:dyDescent="0.2">
      <c r="DY34982" s="185" t="s">
        <v>215</v>
      </c>
    </row>
    <row r="34983" spans="129:129" x14ac:dyDescent="0.2">
      <c r="DY34983" s="185" t="s">
        <v>215</v>
      </c>
    </row>
    <row r="34984" spans="129:129" x14ac:dyDescent="0.2">
      <c r="DY34984" s="185" t="s">
        <v>215</v>
      </c>
    </row>
    <row r="34985" spans="129:129" x14ac:dyDescent="0.2">
      <c r="DY34985" s="185" t="s">
        <v>215</v>
      </c>
    </row>
    <row r="34986" spans="129:129" x14ac:dyDescent="0.2">
      <c r="DY34986" s="185" t="s">
        <v>215</v>
      </c>
    </row>
    <row r="34987" spans="129:129" x14ac:dyDescent="0.2">
      <c r="DY34987" s="185" t="s">
        <v>215</v>
      </c>
    </row>
    <row r="34988" spans="129:129" x14ac:dyDescent="0.2">
      <c r="DY34988" s="185" t="s">
        <v>215</v>
      </c>
    </row>
    <row r="34989" spans="129:129" x14ac:dyDescent="0.2">
      <c r="DY34989" s="185" t="s">
        <v>215</v>
      </c>
    </row>
    <row r="34990" spans="129:129" x14ac:dyDescent="0.2">
      <c r="DY34990" s="185" t="s">
        <v>215</v>
      </c>
    </row>
    <row r="34991" spans="129:129" x14ac:dyDescent="0.2">
      <c r="DY34991" s="185" t="s">
        <v>215</v>
      </c>
    </row>
    <row r="34992" spans="129:129" x14ac:dyDescent="0.2">
      <c r="DY34992" s="185" t="s">
        <v>215</v>
      </c>
    </row>
    <row r="34993" spans="129:129" x14ac:dyDescent="0.2">
      <c r="DY34993" s="185" t="s">
        <v>215</v>
      </c>
    </row>
    <row r="34994" spans="129:129" x14ac:dyDescent="0.2">
      <c r="DY34994" s="185" t="s">
        <v>215</v>
      </c>
    </row>
    <row r="34995" spans="129:129" x14ac:dyDescent="0.2">
      <c r="DY34995" s="185" t="s">
        <v>215</v>
      </c>
    </row>
    <row r="34996" spans="129:129" x14ac:dyDescent="0.2">
      <c r="DY34996" s="185" t="s">
        <v>215</v>
      </c>
    </row>
    <row r="34997" spans="129:129" x14ac:dyDescent="0.2">
      <c r="DY34997" s="185" t="s">
        <v>215</v>
      </c>
    </row>
    <row r="34998" spans="129:129" x14ac:dyDescent="0.2">
      <c r="DY34998" s="185" t="s">
        <v>215</v>
      </c>
    </row>
    <row r="34999" spans="129:129" x14ac:dyDescent="0.2">
      <c r="DY34999" s="185" t="s">
        <v>215</v>
      </c>
    </row>
    <row r="35000" spans="129:129" x14ac:dyDescent="0.2">
      <c r="DY35000" s="185" t="s">
        <v>215</v>
      </c>
    </row>
    <row r="35001" spans="129:129" x14ac:dyDescent="0.2">
      <c r="DY35001" s="185" t="s">
        <v>215</v>
      </c>
    </row>
    <row r="35002" spans="129:129" x14ac:dyDescent="0.2">
      <c r="DY35002" s="185" t="s">
        <v>215</v>
      </c>
    </row>
    <row r="35003" spans="129:129" x14ac:dyDescent="0.2">
      <c r="DY35003" s="185" t="s">
        <v>215</v>
      </c>
    </row>
    <row r="35004" spans="129:129" x14ac:dyDescent="0.2">
      <c r="DY35004" s="185" t="s">
        <v>215</v>
      </c>
    </row>
    <row r="35005" spans="129:129" x14ac:dyDescent="0.2">
      <c r="DY35005" s="185" t="s">
        <v>215</v>
      </c>
    </row>
    <row r="35006" spans="129:129" x14ac:dyDescent="0.2">
      <c r="DY35006" s="185" t="s">
        <v>215</v>
      </c>
    </row>
    <row r="35007" spans="129:129" x14ac:dyDescent="0.2">
      <c r="DY35007" s="185" t="s">
        <v>215</v>
      </c>
    </row>
    <row r="35008" spans="129:129" x14ac:dyDescent="0.2">
      <c r="DY35008" s="185" t="s">
        <v>215</v>
      </c>
    </row>
    <row r="35009" spans="129:129" x14ac:dyDescent="0.2">
      <c r="DY35009" s="185" t="s">
        <v>215</v>
      </c>
    </row>
    <row r="35010" spans="129:129" x14ac:dyDescent="0.2">
      <c r="DY35010" s="185" t="s">
        <v>215</v>
      </c>
    </row>
    <row r="35011" spans="129:129" x14ac:dyDescent="0.2">
      <c r="DY35011" s="185" t="s">
        <v>215</v>
      </c>
    </row>
    <row r="35012" spans="129:129" x14ac:dyDescent="0.2">
      <c r="DY35012" s="185" t="s">
        <v>215</v>
      </c>
    </row>
    <row r="35013" spans="129:129" x14ac:dyDescent="0.2">
      <c r="DY35013" s="185" t="s">
        <v>215</v>
      </c>
    </row>
    <row r="35014" spans="129:129" x14ac:dyDescent="0.2">
      <c r="DY35014" s="185" t="s">
        <v>215</v>
      </c>
    </row>
    <row r="35015" spans="129:129" x14ac:dyDescent="0.2">
      <c r="DY35015" s="185" t="s">
        <v>215</v>
      </c>
    </row>
    <row r="35016" spans="129:129" x14ac:dyDescent="0.2">
      <c r="DY35016" s="185" t="s">
        <v>215</v>
      </c>
    </row>
    <row r="35017" spans="129:129" x14ac:dyDescent="0.2">
      <c r="DY35017" s="185" t="s">
        <v>215</v>
      </c>
    </row>
    <row r="35018" spans="129:129" x14ac:dyDescent="0.2">
      <c r="DY35018" s="185" t="s">
        <v>215</v>
      </c>
    </row>
    <row r="35019" spans="129:129" x14ac:dyDescent="0.2">
      <c r="DY35019" s="185" t="s">
        <v>215</v>
      </c>
    </row>
    <row r="35020" spans="129:129" x14ac:dyDescent="0.2">
      <c r="DY35020" s="185" t="s">
        <v>215</v>
      </c>
    </row>
    <row r="35021" spans="129:129" x14ac:dyDescent="0.2">
      <c r="DY35021" s="185" t="s">
        <v>215</v>
      </c>
    </row>
    <row r="35022" spans="129:129" x14ac:dyDescent="0.2">
      <c r="DY35022" s="185" t="s">
        <v>215</v>
      </c>
    </row>
    <row r="35023" spans="129:129" x14ac:dyDescent="0.2">
      <c r="DY35023" s="185" t="s">
        <v>215</v>
      </c>
    </row>
    <row r="35024" spans="129:129" x14ac:dyDescent="0.2">
      <c r="DY35024" s="185" t="s">
        <v>215</v>
      </c>
    </row>
    <row r="35025" spans="129:129" x14ac:dyDescent="0.2">
      <c r="DY35025" s="185" t="s">
        <v>215</v>
      </c>
    </row>
    <row r="35026" spans="129:129" x14ac:dyDescent="0.2">
      <c r="DY35026" s="185" t="s">
        <v>215</v>
      </c>
    </row>
    <row r="35027" spans="129:129" x14ac:dyDescent="0.2">
      <c r="DY35027" s="185" t="s">
        <v>215</v>
      </c>
    </row>
    <row r="35028" spans="129:129" x14ac:dyDescent="0.2">
      <c r="DY35028" s="185" t="s">
        <v>215</v>
      </c>
    </row>
    <row r="35029" spans="129:129" x14ac:dyDescent="0.2">
      <c r="DY35029" s="185" t="s">
        <v>215</v>
      </c>
    </row>
    <row r="35030" spans="129:129" x14ac:dyDescent="0.2">
      <c r="DY35030" s="185" t="s">
        <v>215</v>
      </c>
    </row>
    <row r="35031" spans="129:129" x14ac:dyDescent="0.2">
      <c r="DY35031" s="185" t="s">
        <v>215</v>
      </c>
    </row>
    <row r="35032" spans="129:129" x14ac:dyDescent="0.2">
      <c r="DY35032" s="185" t="s">
        <v>215</v>
      </c>
    </row>
    <row r="35033" spans="129:129" x14ac:dyDescent="0.2">
      <c r="DY35033" s="185" t="s">
        <v>215</v>
      </c>
    </row>
    <row r="35034" spans="129:129" x14ac:dyDescent="0.2">
      <c r="DY35034" s="185" t="s">
        <v>215</v>
      </c>
    </row>
    <row r="35035" spans="129:129" x14ac:dyDescent="0.2">
      <c r="DY35035" s="185" t="s">
        <v>215</v>
      </c>
    </row>
    <row r="35036" spans="129:129" x14ac:dyDescent="0.2">
      <c r="DY35036" s="185" t="s">
        <v>215</v>
      </c>
    </row>
    <row r="35037" spans="129:129" x14ac:dyDescent="0.2">
      <c r="DY35037" s="185" t="s">
        <v>215</v>
      </c>
    </row>
    <row r="35038" spans="129:129" x14ac:dyDescent="0.2">
      <c r="DY35038" s="185" t="s">
        <v>215</v>
      </c>
    </row>
    <row r="35039" spans="129:129" x14ac:dyDescent="0.2">
      <c r="DY35039" s="185" t="s">
        <v>215</v>
      </c>
    </row>
    <row r="35040" spans="129:129" x14ac:dyDescent="0.2">
      <c r="DY35040" s="185" t="s">
        <v>215</v>
      </c>
    </row>
    <row r="35041" spans="129:129" x14ac:dyDescent="0.2">
      <c r="DY35041" s="185" t="s">
        <v>215</v>
      </c>
    </row>
    <row r="35042" spans="129:129" x14ac:dyDescent="0.2">
      <c r="DY35042" s="185" t="s">
        <v>215</v>
      </c>
    </row>
    <row r="35043" spans="129:129" x14ac:dyDescent="0.2">
      <c r="DY35043" s="185" t="s">
        <v>215</v>
      </c>
    </row>
    <row r="35044" spans="129:129" x14ac:dyDescent="0.2">
      <c r="DY35044" s="185" t="s">
        <v>215</v>
      </c>
    </row>
    <row r="35045" spans="129:129" x14ac:dyDescent="0.2">
      <c r="DY35045" s="185" t="s">
        <v>215</v>
      </c>
    </row>
    <row r="35046" spans="129:129" x14ac:dyDescent="0.2">
      <c r="DY35046" s="185" t="s">
        <v>215</v>
      </c>
    </row>
    <row r="35047" spans="129:129" x14ac:dyDescent="0.2">
      <c r="DY35047" s="185" t="s">
        <v>215</v>
      </c>
    </row>
    <row r="35048" spans="129:129" x14ac:dyDescent="0.2">
      <c r="DY35048" s="185" t="s">
        <v>215</v>
      </c>
    </row>
    <row r="35049" spans="129:129" x14ac:dyDescent="0.2">
      <c r="DY35049" s="185" t="s">
        <v>215</v>
      </c>
    </row>
    <row r="35050" spans="129:129" x14ac:dyDescent="0.2">
      <c r="DY35050" s="185" t="s">
        <v>215</v>
      </c>
    </row>
    <row r="35051" spans="129:129" x14ac:dyDescent="0.2">
      <c r="DY35051" s="185" t="s">
        <v>215</v>
      </c>
    </row>
    <row r="35052" spans="129:129" x14ac:dyDescent="0.2">
      <c r="DY35052" s="185" t="s">
        <v>215</v>
      </c>
    </row>
    <row r="35053" spans="129:129" x14ac:dyDescent="0.2">
      <c r="DY35053" s="185" t="s">
        <v>215</v>
      </c>
    </row>
    <row r="35054" spans="129:129" x14ac:dyDescent="0.2">
      <c r="DY35054" s="185" t="s">
        <v>215</v>
      </c>
    </row>
    <row r="35055" spans="129:129" x14ac:dyDescent="0.2">
      <c r="DY35055" s="185" t="s">
        <v>215</v>
      </c>
    </row>
    <row r="35056" spans="129:129" x14ac:dyDescent="0.2">
      <c r="DY35056" s="185" t="s">
        <v>215</v>
      </c>
    </row>
    <row r="35057" spans="129:129" x14ac:dyDescent="0.2">
      <c r="DY35057" s="185" t="s">
        <v>215</v>
      </c>
    </row>
    <row r="35058" spans="129:129" x14ac:dyDescent="0.2">
      <c r="DY35058" s="185" t="s">
        <v>215</v>
      </c>
    </row>
    <row r="35059" spans="129:129" x14ac:dyDescent="0.2">
      <c r="DY35059" s="185" t="s">
        <v>215</v>
      </c>
    </row>
    <row r="35060" spans="129:129" x14ac:dyDescent="0.2">
      <c r="DY35060" s="185" t="s">
        <v>215</v>
      </c>
    </row>
    <row r="35061" spans="129:129" x14ac:dyDescent="0.2">
      <c r="DY35061" s="185" t="s">
        <v>215</v>
      </c>
    </row>
    <row r="35062" spans="129:129" x14ac:dyDescent="0.2">
      <c r="DY35062" s="185" t="s">
        <v>215</v>
      </c>
    </row>
    <row r="35063" spans="129:129" x14ac:dyDescent="0.2">
      <c r="DY35063" s="185" t="s">
        <v>215</v>
      </c>
    </row>
    <row r="35064" spans="129:129" x14ac:dyDescent="0.2">
      <c r="DY35064" s="185" t="s">
        <v>215</v>
      </c>
    </row>
    <row r="35065" spans="129:129" x14ac:dyDescent="0.2">
      <c r="DY35065" s="185" t="s">
        <v>215</v>
      </c>
    </row>
    <row r="35066" spans="129:129" x14ac:dyDescent="0.2">
      <c r="DY35066" s="185" t="s">
        <v>215</v>
      </c>
    </row>
    <row r="35067" spans="129:129" x14ac:dyDescent="0.2">
      <c r="DY35067" s="185" t="s">
        <v>215</v>
      </c>
    </row>
    <row r="35068" spans="129:129" x14ac:dyDescent="0.2">
      <c r="DY35068" s="185" t="s">
        <v>215</v>
      </c>
    </row>
    <row r="35069" spans="129:129" x14ac:dyDescent="0.2">
      <c r="DY35069" s="185" t="s">
        <v>215</v>
      </c>
    </row>
    <row r="35070" spans="129:129" x14ac:dyDescent="0.2">
      <c r="DY35070" s="185" t="s">
        <v>215</v>
      </c>
    </row>
    <row r="35071" spans="129:129" x14ac:dyDescent="0.2">
      <c r="DY35071" s="185" t="s">
        <v>215</v>
      </c>
    </row>
    <row r="35072" spans="129:129" x14ac:dyDescent="0.2">
      <c r="DY35072" s="185" t="s">
        <v>215</v>
      </c>
    </row>
    <row r="35073" spans="129:129" x14ac:dyDescent="0.2">
      <c r="DY35073" s="185" t="s">
        <v>215</v>
      </c>
    </row>
    <row r="35074" spans="129:129" x14ac:dyDescent="0.2">
      <c r="DY35074" s="185" t="s">
        <v>215</v>
      </c>
    </row>
    <row r="35075" spans="129:129" x14ac:dyDescent="0.2">
      <c r="DY35075" s="185" t="s">
        <v>215</v>
      </c>
    </row>
    <row r="35076" spans="129:129" x14ac:dyDescent="0.2">
      <c r="DY35076" s="185" t="s">
        <v>215</v>
      </c>
    </row>
    <row r="35077" spans="129:129" x14ac:dyDescent="0.2">
      <c r="DY35077" s="185" t="s">
        <v>215</v>
      </c>
    </row>
    <row r="35078" spans="129:129" x14ac:dyDescent="0.2">
      <c r="DY35078" s="185" t="s">
        <v>215</v>
      </c>
    </row>
    <row r="35079" spans="129:129" x14ac:dyDescent="0.2">
      <c r="DY35079" s="185" t="s">
        <v>215</v>
      </c>
    </row>
    <row r="35080" spans="129:129" x14ac:dyDescent="0.2">
      <c r="DY35080" s="185" t="s">
        <v>215</v>
      </c>
    </row>
    <row r="35081" spans="129:129" x14ac:dyDescent="0.2">
      <c r="DY35081" s="185" t="s">
        <v>215</v>
      </c>
    </row>
    <row r="35082" spans="129:129" x14ac:dyDescent="0.2">
      <c r="DY35082" s="185" t="s">
        <v>215</v>
      </c>
    </row>
    <row r="35083" spans="129:129" x14ac:dyDescent="0.2">
      <c r="DY35083" s="185" t="s">
        <v>215</v>
      </c>
    </row>
    <row r="35084" spans="129:129" x14ac:dyDescent="0.2">
      <c r="DY35084" s="185" t="s">
        <v>215</v>
      </c>
    </row>
    <row r="35085" spans="129:129" x14ac:dyDescent="0.2">
      <c r="DY35085" s="185" t="s">
        <v>215</v>
      </c>
    </row>
    <row r="35086" spans="129:129" x14ac:dyDescent="0.2">
      <c r="DY35086" s="185" t="s">
        <v>215</v>
      </c>
    </row>
    <row r="35087" spans="129:129" x14ac:dyDescent="0.2">
      <c r="DY35087" s="185" t="s">
        <v>215</v>
      </c>
    </row>
    <row r="35088" spans="129:129" x14ac:dyDescent="0.2">
      <c r="DY35088" s="185" t="s">
        <v>215</v>
      </c>
    </row>
    <row r="35089" spans="129:129" x14ac:dyDescent="0.2">
      <c r="DY35089" s="185" t="s">
        <v>215</v>
      </c>
    </row>
    <row r="35090" spans="129:129" x14ac:dyDescent="0.2">
      <c r="DY35090" s="185" t="s">
        <v>215</v>
      </c>
    </row>
    <row r="35091" spans="129:129" x14ac:dyDescent="0.2">
      <c r="DY35091" s="185" t="s">
        <v>215</v>
      </c>
    </row>
    <row r="35092" spans="129:129" x14ac:dyDescent="0.2">
      <c r="DY35092" s="185" t="s">
        <v>215</v>
      </c>
    </row>
    <row r="35093" spans="129:129" x14ac:dyDescent="0.2">
      <c r="DY35093" s="185" t="s">
        <v>215</v>
      </c>
    </row>
    <row r="35094" spans="129:129" x14ac:dyDescent="0.2">
      <c r="DY35094" s="185" t="s">
        <v>215</v>
      </c>
    </row>
    <row r="35095" spans="129:129" x14ac:dyDescent="0.2">
      <c r="DY35095" s="185" t="s">
        <v>215</v>
      </c>
    </row>
    <row r="35096" spans="129:129" x14ac:dyDescent="0.2">
      <c r="DY35096" s="185" t="s">
        <v>215</v>
      </c>
    </row>
    <row r="35097" spans="129:129" x14ac:dyDescent="0.2">
      <c r="DY35097" s="185" t="s">
        <v>215</v>
      </c>
    </row>
    <row r="35098" spans="129:129" x14ac:dyDescent="0.2">
      <c r="DY35098" s="185" t="s">
        <v>215</v>
      </c>
    </row>
    <row r="35099" spans="129:129" x14ac:dyDescent="0.2">
      <c r="DY35099" s="185" t="s">
        <v>215</v>
      </c>
    </row>
    <row r="35100" spans="129:129" x14ac:dyDescent="0.2">
      <c r="DY35100" s="185" t="s">
        <v>215</v>
      </c>
    </row>
    <row r="35101" spans="129:129" x14ac:dyDescent="0.2">
      <c r="DY35101" s="185" t="s">
        <v>215</v>
      </c>
    </row>
    <row r="35102" spans="129:129" x14ac:dyDescent="0.2">
      <c r="DY35102" s="185" t="s">
        <v>215</v>
      </c>
    </row>
    <row r="35103" spans="129:129" x14ac:dyDescent="0.2">
      <c r="DY35103" s="185" t="s">
        <v>215</v>
      </c>
    </row>
    <row r="35104" spans="129:129" x14ac:dyDescent="0.2">
      <c r="DY35104" s="185" t="s">
        <v>215</v>
      </c>
    </row>
    <row r="35105" spans="129:129" x14ac:dyDescent="0.2">
      <c r="DY35105" s="185" t="s">
        <v>215</v>
      </c>
    </row>
    <row r="35106" spans="129:129" x14ac:dyDescent="0.2">
      <c r="DY35106" s="185" t="s">
        <v>215</v>
      </c>
    </row>
    <row r="35107" spans="129:129" x14ac:dyDescent="0.2">
      <c r="DY35107" s="185" t="s">
        <v>215</v>
      </c>
    </row>
    <row r="35108" spans="129:129" x14ac:dyDescent="0.2">
      <c r="DY35108" s="185" t="s">
        <v>215</v>
      </c>
    </row>
    <row r="35109" spans="129:129" x14ac:dyDescent="0.2">
      <c r="DY35109" s="185" t="s">
        <v>215</v>
      </c>
    </row>
    <row r="35110" spans="129:129" x14ac:dyDescent="0.2">
      <c r="DY35110" s="185" t="s">
        <v>215</v>
      </c>
    </row>
    <row r="35111" spans="129:129" x14ac:dyDescent="0.2">
      <c r="DY35111" s="185" t="s">
        <v>215</v>
      </c>
    </row>
    <row r="35112" spans="129:129" x14ac:dyDescent="0.2">
      <c r="DY35112" s="185" t="s">
        <v>215</v>
      </c>
    </row>
    <row r="35113" spans="129:129" x14ac:dyDescent="0.2">
      <c r="DY35113" s="185" t="s">
        <v>215</v>
      </c>
    </row>
    <row r="35114" spans="129:129" x14ac:dyDescent="0.2">
      <c r="DY35114" s="185" t="s">
        <v>215</v>
      </c>
    </row>
    <row r="35115" spans="129:129" x14ac:dyDescent="0.2">
      <c r="DY35115" s="185" t="s">
        <v>215</v>
      </c>
    </row>
    <row r="35116" spans="129:129" x14ac:dyDescent="0.2">
      <c r="DY35116" s="185" t="s">
        <v>215</v>
      </c>
    </row>
    <row r="35117" spans="129:129" x14ac:dyDescent="0.2">
      <c r="DY35117" s="185" t="s">
        <v>215</v>
      </c>
    </row>
    <row r="35118" spans="129:129" x14ac:dyDescent="0.2">
      <c r="DY35118" s="185" t="s">
        <v>215</v>
      </c>
    </row>
    <row r="35119" spans="129:129" x14ac:dyDescent="0.2">
      <c r="DY35119" s="185" t="s">
        <v>215</v>
      </c>
    </row>
    <row r="35120" spans="129:129" x14ac:dyDescent="0.2">
      <c r="DY35120" s="185" t="s">
        <v>215</v>
      </c>
    </row>
    <row r="35121" spans="129:129" x14ac:dyDescent="0.2">
      <c r="DY35121" s="185" t="s">
        <v>215</v>
      </c>
    </row>
    <row r="35122" spans="129:129" x14ac:dyDescent="0.2">
      <c r="DY35122" s="185" t="s">
        <v>215</v>
      </c>
    </row>
    <row r="35123" spans="129:129" x14ac:dyDescent="0.2">
      <c r="DY35123" s="185" t="s">
        <v>215</v>
      </c>
    </row>
    <row r="35124" spans="129:129" x14ac:dyDescent="0.2">
      <c r="DY35124" s="185" t="s">
        <v>215</v>
      </c>
    </row>
    <row r="35125" spans="129:129" x14ac:dyDescent="0.2">
      <c r="DY35125" s="185" t="s">
        <v>215</v>
      </c>
    </row>
    <row r="35126" spans="129:129" x14ac:dyDescent="0.2">
      <c r="DY35126" s="185" t="s">
        <v>215</v>
      </c>
    </row>
    <row r="35127" spans="129:129" x14ac:dyDescent="0.2">
      <c r="DY35127" s="185" t="s">
        <v>215</v>
      </c>
    </row>
    <row r="35128" spans="129:129" x14ac:dyDescent="0.2">
      <c r="DY35128" s="185" t="s">
        <v>215</v>
      </c>
    </row>
    <row r="35129" spans="129:129" x14ac:dyDescent="0.2">
      <c r="DY35129" s="185" t="s">
        <v>215</v>
      </c>
    </row>
    <row r="35130" spans="129:129" x14ac:dyDescent="0.2">
      <c r="DY35130" s="185" t="s">
        <v>215</v>
      </c>
    </row>
    <row r="35131" spans="129:129" x14ac:dyDescent="0.2">
      <c r="DY35131" s="185" t="s">
        <v>215</v>
      </c>
    </row>
    <row r="35132" spans="129:129" x14ac:dyDescent="0.2">
      <c r="DY35132" s="185" t="s">
        <v>215</v>
      </c>
    </row>
    <row r="35133" spans="129:129" x14ac:dyDescent="0.2">
      <c r="DY35133" s="185" t="s">
        <v>215</v>
      </c>
    </row>
    <row r="35134" spans="129:129" x14ac:dyDescent="0.2">
      <c r="DY35134" s="185" t="s">
        <v>215</v>
      </c>
    </row>
    <row r="35135" spans="129:129" x14ac:dyDescent="0.2">
      <c r="DY35135" s="185" t="s">
        <v>215</v>
      </c>
    </row>
    <row r="35136" spans="129:129" x14ac:dyDescent="0.2">
      <c r="DY35136" s="185" t="s">
        <v>215</v>
      </c>
    </row>
    <row r="35137" spans="129:129" x14ac:dyDescent="0.2">
      <c r="DY35137" s="185" t="s">
        <v>215</v>
      </c>
    </row>
    <row r="35138" spans="129:129" x14ac:dyDescent="0.2">
      <c r="DY35138" s="185" t="s">
        <v>215</v>
      </c>
    </row>
    <row r="35139" spans="129:129" x14ac:dyDescent="0.2">
      <c r="DY35139" s="185" t="s">
        <v>215</v>
      </c>
    </row>
    <row r="35140" spans="129:129" x14ac:dyDescent="0.2">
      <c r="DY35140" s="185" t="s">
        <v>215</v>
      </c>
    </row>
    <row r="35141" spans="129:129" x14ac:dyDescent="0.2">
      <c r="DY35141" s="185" t="s">
        <v>215</v>
      </c>
    </row>
    <row r="35142" spans="129:129" x14ac:dyDescent="0.2">
      <c r="DY35142" s="185" t="s">
        <v>215</v>
      </c>
    </row>
    <row r="35143" spans="129:129" x14ac:dyDescent="0.2">
      <c r="DY35143" s="185" t="s">
        <v>215</v>
      </c>
    </row>
    <row r="35144" spans="129:129" x14ac:dyDescent="0.2">
      <c r="DY35144" s="185" t="s">
        <v>215</v>
      </c>
    </row>
    <row r="35145" spans="129:129" x14ac:dyDescent="0.2">
      <c r="DY35145" s="185" t="s">
        <v>215</v>
      </c>
    </row>
    <row r="35146" spans="129:129" x14ac:dyDescent="0.2">
      <c r="DY35146" s="185" t="s">
        <v>215</v>
      </c>
    </row>
    <row r="35147" spans="129:129" x14ac:dyDescent="0.2">
      <c r="DY35147" s="185" t="s">
        <v>215</v>
      </c>
    </row>
    <row r="35148" spans="129:129" x14ac:dyDescent="0.2">
      <c r="DY35148" s="185" t="s">
        <v>215</v>
      </c>
    </row>
    <row r="35149" spans="129:129" x14ac:dyDescent="0.2">
      <c r="DY35149" s="185" t="s">
        <v>215</v>
      </c>
    </row>
    <row r="35150" spans="129:129" x14ac:dyDescent="0.2">
      <c r="DY35150" s="185" t="s">
        <v>215</v>
      </c>
    </row>
    <row r="35151" spans="129:129" x14ac:dyDescent="0.2">
      <c r="DY35151" s="185" t="s">
        <v>215</v>
      </c>
    </row>
    <row r="35152" spans="129:129" x14ac:dyDescent="0.2">
      <c r="DY35152" s="185" t="s">
        <v>215</v>
      </c>
    </row>
    <row r="35153" spans="129:129" x14ac:dyDescent="0.2">
      <c r="DY35153" s="185" t="s">
        <v>215</v>
      </c>
    </row>
    <row r="35154" spans="129:129" x14ac:dyDescent="0.2">
      <c r="DY35154" s="185" t="s">
        <v>215</v>
      </c>
    </row>
    <row r="35155" spans="129:129" x14ac:dyDescent="0.2">
      <c r="DY35155" s="185" t="s">
        <v>215</v>
      </c>
    </row>
    <row r="35156" spans="129:129" x14ac:dyDescent="0.2">
      <c r="DY35156" s="185" t="s">
        <v>215</v>
      </c>
    </row>
    <row r="35157" spans="129:129" x14ac:dyDescent="0.2">
      <c r="DY35157" s="185" t="s">
        <v>215</v>
      </c>
    </row>
    <row r="35158" spans="129:129" x14ac:dyDescent="0.2">
      <c r="DY35158" s="185" t="s">
        <v>215</v>
      </c>
    </row>
    <row r="35159" spans="129:129" x14ac:dyDescent="0.2">
      <c r="DY35159" s="185" t="s">
        <v>215</v>
      </c>
    </row>
    <row r="35160" spans="129:129" x14ac:dyDescent="0.2">
      <c r="DY35160" s="185" t="s">
        <v>215</v>
      </c>
    </row>
    <row r="35161" spans="129:129" x14ac:dyDescent="0.2">
      <c r="DY35161" s="185" t="s">
        <v>215</v>
      </c>
    </row>
    <row r="35162" spans="129:129" x14ac:dyDescent="0.2">
      <c r="DY35162" s="185" t="s">
        <v>215</v>
      </c>
    </row>
    <row r="35163" spans="129:129" x14ac:dyDescent="0.2">
      <c r="DY35163" s="185" t="s">
        <v>215</v>
      </c>
    </row>
    <row r="35164" spans="129:129" x14ac:dyDescent="0.2">
      <c r="DY35164" s="185" t="s">
        <v>215</v>
      </c>
    </row>
    <row r="35165" spans="129:129" x14ac:dyDescent="0.2">
      <c r="DY35165" s="185" t="s">
        <v>215</v>
      </c>
    </row>
    <row r="35166" spans="129:129" x14ac:dyDescent="0.2">
      <c r="DY35166" s="185" t="s">
        <v>215</v>
      </c>
    </row>
    <row r="35167" spans="129:129" x14ac:dyDescent="0.2">
      <c r="DY35167" s="185" t="s">
        <v>215</v>
      </c>
    </row>
    <row r="35168" spans="129:129" x14ac:dyDescent="0.2">
      <c r="DY35168" s="185" t="s">
        <v>215</v>
      </c>
    </row>
    <row r="35169" spans="129:129" x14ac:dyDescent="0.2">
      <c r="DY35169" s="185" t="s">
        <v>215</v>
      </c>
    </row>
    <row r="35170" spans="129:129" x14ac:dyDescent="0.2">
      <c r="DY35170" s="185" t="s">
        <v>215</v>
      </c>
    </row>
    <row r="35171" spans="129:129" x14ac:dyDescent="0.2">
      <c r="DY35171" s="185" t="s">
        <v>215</v>
      </c>
    </row>
    <row r="35172" spans="129:129" x14ac:dyDescent="0.2">
      <c r="DY35172" s="185" t="s">
        <v>215</v>
      </c>
    </row>
    <row r="35173" spans="129:129" x14ac:dyDescent="0.2">
      <c r="DY35173" s="185" t="s">
        <v>215</v>
      </c>
    </row>
    <row r="35174" spans="129:129" x14ac:dyDescent="0.2">
      <c r="DY35174" s="185" t="s">
        <v>215</v>
      </c>
    </row>
    <row r="35175" spans="129:129" x14ac:dyDescent="0.2">
      <c r="DY35175" s="185" t="s">
        <v>215</v>
      </c>
    </row>
    <row r="35176" spans="129:129" x14ac:dyDescent="0.2">
      <c r="DY35176" s="185" t="s">
        <v>215</v>
      </c>
    </row>
    <row r="35177" spans="129:129" x14ac:dyDescent="0.2">
      <c r="DY35177" s="185" t="s">
        <v>215</v>
      </c>
    </row>
    <row r="35178" spans="129:129" x14ac:dyDescent="0.2">
      <c r="DY35178" s="185" t="s">
        <v>215</v>
      </c>
    </row>
    <row r="35179" spans="129:129" x14ac:dyDescent="0.2">
      <c r="DY35179" s="185" t="s">
        <v>215</v>
      </c>
    </row>
    <row r="35180" spans="129:129" x14ac:dyDescent="0.2">
      <c r="DY35180" s="185" t="s">
        <v>215</v>
      </c>
    </row>
    <row r="35181" spans="129:129" x14ac:dyDescent="0.2">
      <c r="DY35181" s="185" t="s">
        <v>215</v>
      </c>
    </row>
    <row r="35182" spans="129:129" x14ac:dyDescent="0.2">
      <c r="DY35182" s="185" t="s">
        <v>215</v>
      </c>
    </row>
    <row r="35183" spans="129:129" x14ac:dyDescent="0.2">
      <c r="DY35183" s="185" t="s">
        <v>215</v>
      </c>
    </row>
    <row r="35184" spans="129:129" x14ac:dyDescent="0.2">
      <c r="DY35184" s="185" t="s">
        <v>215</v>
      </c>
    </row>
    <row r="35185" spans="129:129" x14ac:dyDescent="0.2">
      <c r="DY35185" s="185" t="s">
        <v>215</v>
      </c>
    </row>
    <row r="35186" spans="129:129" x14ac:dyDescent="0.2">
      <c r="DY35186" s="185" t="s">
        <v>215</v>
      </c>
    </row>
    <row r="35187" spans="129:129" x14ac:dyDescent="0.2">
      <c r="DY35187" s="185" t="s">
        <v>215</v>
      </c>
    </row>
    <row r="35188" spans="129:129" x14ac:dyDescent="0.2">
      <c r="DY35188" s="185" t="s">
        <v>215</v>
      </c>
    </row>
    <row r="35189" spans="129:129" x14ac:dyDescent="0.2">
      <c r="DY35189" s="185" t="s">
        <v>215</v>
      </c>
    </row>
    <row r="35190" spans="129:129" x14ac:dyDescent="0.2">
      <c r="DY35190" s="185" t="s">
        <v>215</v>
      </c>
    </row>
    <row r="35191" spans="129:129" x14ac:dyDescent="0.2">
      <c r="DY35191" s="185" t="s">
        <v>215</v>
      </c>
    </row>
    <row r="35192" spans="129:129" x14ac:dyDescent="0.2">
      <c r="DY35192" s="185" t="s">
        <v>215</v>
      </c>
    </row>
    <row r="35193" spans="129:129" x14ac:dyDescent="0.2">
      <c r="DY35193" s="185" t="s">
        <v>215</v>
      </c>
    </row>
    <row r="35194" spans="129:129" x14ac:dyDescent="0.2">
      <c r="DY35194" s="185" t="s">
        <v>215</v>
      </c>
    </row>
    <row r="35195" spans="129:129" x14ac:dyDescent="0.2">
      <c r="DY35195" s="185" t="s">
        <v>215</v>
      </c>
    </row>
    <row r="35196" spans="129:129" x14ac:dyDescent="0.2">
      <c r="DY35196" s="185" t="s">
        <v>215</v>
      </c>
    </row>
    <row r="35197" spans="129:129" x14ac:dyDescent="0.2">
      <c r="DY35197" s="185" t="s">
        <v>215</v>
      </c>
    </row>
    <row r="35198" spans="129:129" x14ac:dyDescent="0.2">
      <c r="DY35198" s="185" t="s">
        <v>215</v>
      </c>
    </row>
    <row r="35199" spans="129:129" x14ac:dyDescent="0.2">
      <c r="DY35199" s="185" t="s">
        <v>215</v>
      </c>
    </row>
    <row r="35200" spans="129:129" x14ac:dyDescent="0.2">
      <c r="DY35200" s="185" t="s">
        <v>215</v>
      </c>
    </row>
    <row r="35201" spans="129:129" x14ac:dyDescent="0.2">
      <c r="DY35201" s="185" t="s">
        <v>215</v>
      </c>
    </row>
    <row r="35202" spans="129:129" x14ac:dyDescent="0.2">
      <c r="DY35202" s="185" t="s">
        <v>215</v>
      </c>
    </row>
    <row r="35203" spans="129:129" x14ac:dyDescent="0.2">
      <c r="DY35203" s="185" t="s">
        <v>215</v>
      </c>
    </row>
    <row r="35204" spans="129:129" x14ac:dyDescent="0.2">
      <c r="DY35204" s="185" t="s">
        <v>215</v>
      </c>
    </row>
    <row r="35205" spans="129:129" x14ac:dyDescent="0.2">
      <c r="DY35205" s="185" t="s">
        <v>215</v>
      </c>
    </row>
    <row r="35206" spans="129:129" x14ac:dyDescent="0.2">
      <c r="DY35206" s="185" t="s">
        <v>215</v>
      </c>
    </row>
    <row r="35207" spans="129:129" x14ac:dyDescent="0.2">
      <c r="DY35207" s="185" t="s">
        <v>215</v>
      </c>
    </row>
    <row r="35208" spans="129:129" x14ac:dyDescent="0.2">
      <c r="DY35208" s="185" t="s">
        <v>215</v>
      </c>
    </row>
    <row r="35209" spans="129:129" x14ac:dyDescent="0.2">
      <c r="DY35209" s="185" t="s">
        <v>215</v>
      </c>
    </row>
    <row r="35210" spans="129:129" x14ac:dyDescent="0.2">
      <c r="DY35210" s="185" t="s">
        <v>215</v>
      </c>
    </row>
    <row r="35211" spans="129:129" x14ac:dyDescent="0.2">
      <c r="DY35211" s="185" t="s">
        <v>215</v>
      </c>
    </row>
    <row r="35212" spans="129:129" x14ac:dyDescent="0.2">
      <c r="DY35212" s="185" t="s">
        <v>215</v>
      </c>
    </row>
    <row r="35213" spans="129:129" x14ac:dyDescent="0.2">
      <c r="DY35213" s="185" t="s">
        <v>215</v>
      </c>
    </row>
    <row r="35214" spans="129:129" x14ac:dyDescent="0.2">
      <c r="DY35214" s="185" t="s">
        <v>215</v>
      </c>
    </row>
    <row r="35215" spans="129:129" x14ac:dyDescent="0.2">
      <c r="DY35215" s="185" t="s">
        <v>215</v>
      </c>
    </row>
    <row r="35216" spans="129:129" x14ac:dyDescent="0.2">
      <c r="DY35216" s="185" t="s">
        <v>215</v>
      </c>
    </row>
    <row r="35217" spans="129:129" x14ac:dyDescent="0.2">
      <c r="DY35217" s="185" t="s">
        <v>215</v>
      </c>
    </row>
    <row r="35218" spans="129:129" x14ac:dyDescent="0.2">
      <c r="DY35218" s="185" t="s">
        <v>215</v>
      </c>
    </row>
    <row r="35219" spans="129:129" x14ac:dyDescent="0.2">
      <c r="DY35219" s="185" t="s">
        <v>215</v>
      </c>
    </row>
    <row r="35220" spans="129:129" x14ac:dyDescent="0.2">
      <c r="DY35220" s="185" t="s">
        <v>215</v>
      </c>
    </row>
    <row r="35221" spans="129:129" x14ac:dyDescent="0.2">
      <c r="DY35221" s="185" t="s">
        <v>215</v>
      </c>
    </row>
    <row r="35222" spans="129:129" x14ac:dyDescent="0.2">
      <c r="DY35222" s="185" t="s">
        <v>215</v>
      </c>
    </row>
    <row r="35223" spans="129:129" x14ac:dyDescent="0.2">
      <c r="DY35223" s="185" t="s">
        <v>215</v>
      </c>
    </row>
    <row r="35224" spans="129:129" x14ac:dyDescent="0.2">
      <c r="DY35224" s="185" t="s">
        <v>215</v>
      </c>
    </row>
    <row r="35225" spans="129:129" x14ac:dyDescent="0.2">
      <c r="DY35225" s="185" t="s">
        <v>215</v>
      </c>
    </row>
    <row r="35226" spans="129:129" x14ac:dyDescent="0.2">
      <c r="DY35226" s="185" t="s">
        <v>215</v>
      </c>
    </row>
    <row r="35227" spans="129:129" x14ac:dyDescent="0.2">
      <c r="DY35227" s="185" t="s">
        <v>215</v>
      </c>
    </row>
    <row r="35228" spans="129:129" x14ac:dyDescent="0.2">
      <c r="DY35228" s="185" t="s">
        <v>215</v>
      </c>
    </row>
    <row r="35229" spans="129:129" x14ac:dyDescent="0.2">
      <c r="DY35229" s="185" t="s">
        <v>215</v>
      </c>
    </row>
    <row r="35230" spans="129:129" x14ac:dyDescent="0.2">
      <c r="DY35230" s="185" t="s">
        <v>215</v>
      </c>
    </row>
    <row r="35231" spans="129:129" x14ac:dyDescent="0.2">
      <c r="DY35231" s="185" t="s">
        <v>215</v>
      </c>
    </row>
    <row r="35232" spans="129:129" x14ac:dyDescent="0.2">
      <c r="DY35232" s="185" t="s">
        <v>215</v>
      </c>
    </row>
    <row r="35233" spans="129:129" x14ac:dyDescent="0.2">
      <c r="DY35233" s="185" t="s">
        <v>215</v>
      </c>
    </row>
    <row r="35234" spans="129:129" x14ac:dyDescent="0.2">
      <c r="DY35234" s="185" t="s">
        <v>215</v>
      </c>
    </row>
    <row r="35235" spans="129:129" x14ac:dyDescent="0.2">
      <c r="DY35235" s="185" t="s">
        <v>215</v>
      </c>
    </row>
    <row r="35236" spans="129:129" x14ac:dyDescent="0.2">
      <c r="DY35236" s="185" t="s">
        <v>215</v>
      </c>
    </row>
    <row r="35237" spans="129:129" x14ac:dyDescent="0.2">
      <c r="DY35237" s="185" t="s">
        <v>215</v>
      </c>
    </row>
    <row r="35238" spans="129:129" x14ac:dyDescent="0.2">
      <c r="DY35238" s="185" t="s">
        <v>215</v>
      </c>
    </row>
    <row r="35239" spans="129:129" x14ac:dyDescent="0.2">
      <c r="DY35239" s="185" t="s">
        <v>215</v>
      </c>
    </row>
    <row r="35240" spans="129:129" x14ac:dyDescent="0.2">
      <c r="DY35240" s="185" t="s">
        <v>215</v>
      </c>
    </row>
    <row r="35241" spans="129:129" x14ac:dyDescent="0.2">
      <c r="DY35241" s="185" t="s">
        <v>215</v>
      </c>
    </row>
    <row r="35242" spans="129:129" x14ac:dyDescent="0.2">
      <c r="DY35242" s="185" t="s">
        <v>215</v>
      </c>
    </row>
    <row r="35243" spans="129:129" x14ac:dyDescent="0.2">
      <c r="DY35243" s="185" t="s">
        <v>215</v>
      </c>
    </row>
    <row r="35244" spans="129:129" x14ac:dyDescent="0.2">
      <c r="DY35244" s="185" t="s">
        <v>215</v>
      </c>
    </row>
    <row r="35245" spans="129:129" x14ac:dyDescent="0.2">
      <c r="DY35245" s="185" t="s">
        <v>215</v>
      </c>
    </row>
    <row r="35246" spans="129:129" x14ac:dyDescent="0.2">
      <c r="DY35246" s="185" t="s">
        <v>215</v>
      </c>
    </row>
    <row r="35247" spans="129:129" x14ac:dyDescent="0.2">
      <c r="DY35247" s="185" t="s">
        <v>215</v>
      </c>
    </row>
    <row r="35248" spans="129:129" x14ac:dyDescent="0.2">
      <c r="DY35248" s="185" t="s">
        <v>215</v>
      </c>
    </row>
    <row r="35249" spans="129:129" x14ac:dyDescent="0.2">
      <c r="DY35249" s="185" t="s">
        <v>215</v>
      </c>
    </row>
    <row r="35250" spans="129:129" x14ac:dyDescent="0.2">
      <c r="DY35250" s="185" t="s">
        <v>215</v>
      </c>
    </row>
    <row r="35251" spans="129:129" x14ac:dyDescent="0.2">
      <c r="DY35251" s="185" t="s">
        <v>215</v>
      </c>
    </row>
    <row r="35252" spans="129:129" x14ac:dyDescent="0.2">
      <c r="DY35252" s="185" t="s">
        <v>215</v>
      </c>
    </row>
    <row r="35253" spans="129:129" x14ac:dyDescent="0.2">
      <c r="DY35253" s="185" t="s">
        <v>215</v>
      </c>
    </row>
    <row r="35254" spans="129:129" x14ac:dyDescent="0.2">
      <c r="DY35254" s="185" t="s">
        <v>215</v>
      </c>
    </row>
    <row r="35255" spans="129:129" x14ac:dyDescent="0.2">
      <c r="DY35255" s="185" t="s">
        <v>215</v>
      </c>
    </row>
    <row r="35256" spans="129:129" x14ac:dyDescent="0.2">
      <c r="DY35256" s="185" t="s">
        <v>215</v>
      </c>
    </row>
    <row r="35257" spans="129:129" x14ac:dyDescent="0.2">
      <c r="DY35257" s="185" t="s">
        <v>215</v>
      </c>
    </row>
    <row r="35258" spans="129:129" x14ac:dyDescent="0.2">
      <c r="DY35258" s="185" t="s">
        <v>215</v>
      </c>
    </row>
    <row r="35259" spans="129:129" x14ac:dyDescent="0.2">
      <c r="DY35259" s="185" t="s">
        <v>215</v>
      </c>
    </row>
    <row r="35260" spans="129:129" x14ac:dyDescent="0.2">
      <c r="DY35260" s="185" t="s">
        <v>215</v>
      </c>
    </row>
    <row r="35261" spans="129:129" x14ac:dyDescent="0.2">
      <c r="DY35261" s="185" t="s">
        <v>215</v>
      </c>
    </row>
    <row r="35262" spans="129:129" x14ac:dyDescent="0.2">
      <c r="DY35262" s="185" t="s">
        <v>215</v>
      </c>
    </row>
    <row r="35263" spans="129:129" x14ac:dyDescent="0.2">
      <c r="DY35263" s="185" t="s">
        <v>215</v>
      </c>
    </row>
    <row r="35264" spans="129:129" x14ac:dyDescent="0.2">
      <c r="DY35264" s="185" t="s">
        <v>215</v>
      </c>
    </row>
    <row r="35265" spans="129:129" x14ac:dyDescent="0.2">
      <c r="DY35265" s="185" t="s">
        <v>215</v>
      </c>
    </row>
    <row r="35266" spans="129:129" x14ac:dyDescent="0.2">
      <c r="DY35266" s="185" t="s">
        <v>215</v>
      </c>
    </row>
    <row r="35267" spans="129:129" x14ac:dyDescent="0.2">
      <c r="DY35267" s="185" t="s">
        <v>215</v>
      </c>
    </row>
    <row r="35268" spans="129:129" x14ac:dyDescent="0.2">
      <c r="DY35268" s="185" t="s">
        <v>215</v>
      </c>
    </row>
    <row r="35269" spans="129:129" x14ac:dyDescent="0.2">
      <c r="DY35269" s="185" t="s">
        <v>215</v>
      </c>
    </row>
    <row r="35270" spans="129:129" x14ac:dyDescent="0.2">
      <c r="DY35270" s="185" t="s">
        <v>215</v>
      </c>
    </row>
    <row r="35271" spans="129:129" x14ac:dyDescent="0.2">
      <c r="DY35271" s="185" t="s">
        <v>215</v>
      </c>
    </row>
    <row r="35272" spans="129:129" x14ac:dyDescent="0.2">
      <c r="DY35272" s="185" t="s">
        <v>215</v>
      </c>
    </row>
    <row r="35273" spans="129:129" x14ac:dyDescent="0.2">
      <c r="DY35273" s="185" t="s">
        <v>215</v>
      </c>
    </row>
    <row r="35274" spans="129:129" x14ac:dyDescent="0.2">
      <c r="DY35274" s="185" t="s">
        <v>215</v>
      </c>
    </row>
    <row r="35275" spans="129:129" x14ac:dyDescent="0.2">
      <c r="DY35275" s="185" t="s">
        <v>215</v>
      </c>
    </row>
    <row r="35276" spans="129:129" x14ac:dyDescent="0.2">
      <c r="DY35276" s="185" t="s">
        <v>215</v>
      </c>
    </row>
    <row r="35277" spans="129:129" x14ac:dyDescent="0.2">
      <c r="DY35277" s="185" t="s">
        <v>215</v>
      </c>
    </row>
    <row r="35278" spans="129:129" x14ac:dyDescent="0.2">
      <c r="DY35278" s="185" t="s">
        <v>215</v>
      </c>
    </row>
    <row r="35279" spans="129:129" x14ac:dyDescent="0.2">
      <c r="DY35279" s="185" t="s">
        <v>215</v>
      </c>
    </row>
    <row r="35280" spans="129:129" x14ac:dyDescent="0.2">
      <c r="DY35280" s="185" t="s">
        <v>215</v>
      </c>
    </row>
    <row r="35281" spans="129:129" x14ac:dyDescent="0.2">
      <c r="DY35281" s="185" t="s">
        <v>215</v>
      </c>
    </row>
    <row r="35282" spans="129:129" x14ac:dyDescent="0.2">
      <c r="DY35282" s="185" t="s">
        <v>215</v>
      </c>
    </row>
    <row r="35283" spans="129:129" x14ac:dyDescent="0.2">
      <c r="DY35283" s="185" t="s">
        <v>215</v>
      </c>
    </row>
    <row r="35284" spans="129:129" x14ac:dyDescent="0.2">
      <c r="DY35284" s="185" t="s">
        <v>215</v>
      </c>
    </row>
    <row r="35285" spans="129:129" x14ac:dyDescent="0.2">
      <c r="DY35285" s="185" t="s">
        <v>215</v>
      </c>
    </row>
    <row r="35286" spans="129:129" x14ac:dyDescent="0.2">
      <c r="DY35286" s="185" t="s">
        <v>215</v>
      </c>
    </row>
    <row r="35287" spans="129:129" x14ac:dyDescent="0.2">
      <c r="DY35287" s="185" t="s">
        <v>215</v>
      </c>
    </row>
    <row r="35288" spans="129:129" x14ac:dyDescent="0.2">
      <c r="DY35288" s="185" t="s">
        <v>215</v>
      </c>
    </row>
    <row r="35289" spans="129:129" x14ac:dyDescent="0.2">
      <c r="DY35289" s="185" t="s">
        <v>215</v>
      </c>
    </row>
    <row r="35290" spans="129:129" x14ac:dyDescent="0.2">
      <c r="DY35290" s="185" t="s">
        <v>215</v>
      </c>
    </row>
    <row r="35291" spans="129:129" x14ac:dyDescent="0.2">
      <c r="DY35291" s="185" t="s">
        <v>215</v>
      </c>
    </row>
    <row r="35292" spans="129:129" x14ac:dyDescent="0.2">
      <c r="DY35292" s="185" t="s">
        <v>215</v>
      </c>
    </row>
    <row r="35293" spans="129:129" x14ac:dyDescent="0.2">
      <c r="DY35293" s="185" t="s">
        <v>215</v>
      </c>
    </row>
    <row r="35294" spans="129:129" x14ac:dyDescent="0.2">
      <c r="DY35294" s="185" t="s">
        <v>215</v>
      </c>
    </row>
    <row r="35295" spans="129:129" x14ac:dyDescent="0.2">
      <c r="DY35295" s="185" t="s">
        <v>215</v>
      </c>
    </row>
    <row r="35296" spans="129:129" x14ac:dyDescent="0.2">
      <c r="DY35296" s="185" t="s">
        <v>215</v>
      </c>
    </row>
    <row r="35297" spans="129:129" x14ac:dyDescent="0.2">
      <c r="DY35297" s="185" t="s">
        <v>215</v>
      </c>
    </row>
    <row r="35298" spans="129:129" x14ac:dyDescent="0.2">
      <c r="DY35298" s="185" t="s">
        <v>215</v>
      </c>
    </row>
    <row r="35299" spans="129:129" x14ac:dyDescent="0.2">
      <c r="DY35299" s="185" t="s">
        <v>215</v>
      </c>
    </row>
    <row r="35300" spans="129:129" x14ac:dyDescent="0.2">
      <c r="DY35300" s="185" t="s">
        <v>215</v>
      </c>
    </row>
    <row r="35301" spans="129:129" x14ac:dyDescent="0.2">
      <c r="DY35301" s="185" t="s">
        <v>215</v>
      </c>
    </row>
    <row r="35302" spans="129:129" x14ac:dyDescent="0.2">
      <c r="DY35302" s="185" t="s">
        <v>215</v>
      </c>
    </row>
    <row r="35303" spans="129:129" x14ac:dyDescent="0.2">
      <c r="DY35303" s="185" t="s">
        <v>215</v>
      </c>
    </row>
    <row r="35304" spans="129:129" x14ac:dyDescent="0.2">
      <c r="DY35304" s="185" t="s">
        <v>215</v>
      </c>
    </row>
    <row r="35305" spans="129:129" x14ac:dyDescent="0.2">
      <c r="DY35305" s="185" t="s">
        <v>215</v>
      </c>
    </row>
    <row r="35306" spans="129:129" x14ac:dyDescent="0.2">
      <c r="DY35306" s="185" t="s">
        <v>215</v>
      </c>
    </row>
    <row r="35307" spans="129:129" x14ac:dyDescent="0.2">
      <c r="DY35307" s="185" t="s">
        <v>215</v>
      </c>
    </row>
    <row r="35308" spans="129:129" x14ac:dyDescent="0.2">
      <c r="DY35308" s="185" t="s">
        <v>215</v>
      </c>
    </row>
    <row r="35309" spans="129:129" x14ac:dyDescent="0.2">
      <c r="DY35309" s="185" t="s">
        <v>215</v>
      </c>
    </row>
    <row r="35310" spans="129:129" x14ac:dyDescent="0.2">
      <c r="DY35310" s="185" t="s">
        <v>215</v>
      </c>
    </row>
    <row r="35311" spans="129:129" x14ac:dyDescent="0.2">
      <c r="DY35311" s="185" t="s">
        <v>215</v>
      </c>
    </row>
    <row r="35312" spans="129:129" x14ac:dyDescent="0.2">
      <c r="DY35312" s="185" t="s">
        <v>215</v>
      </c>
    </row>
    <row r="35313" spans="129:129" x14ac:dyDescent="0.2">
      <c r="DY35313" s="185" t="s">
        <v>215</v>
      </c>
    </row>
    <row r="35314" spans="129:129" x14ac:dyDescent="0.2">
      <c r="DY35314" s="185" t="s">
        <v>215</v>
      </c>
    </row>
    <row r="35315" spans="129:129" x14ac:dyDescent="0.2">
      <c r="DY35315" s="185" t="s">
        <v>215</v>
      </c>
    </row>
    <row r="35316" spans="129:129" x14ac:dyDescent="0.2">
      <c r="DY35316" s="185" t="s">
        <v>215</v>
      </c>
    </row>
    <row r="35317" spans="129:129" x14ac:dyDescent="0.2">
      <c r="DY35317" s="185" t="s">
        <v>215</v>
      </c>
    </row>
    <row r="35318" spans="129:129" x14ac:dyDescent="0.2">
      <c r="DY35318" s="185" t="s">
        <v>215</v>
      </c>
    </row>
    <row r="35319" spans="129:129" x14ac:dyDescent="0.2">
      <c r="DY35319" s="185" t="s">
        <v>215</v>
      </c>
    </row>
    <row r="35320" spans="129:129" x14ac:dyDescent="0.2">
      <c r="DY35320" s="185" t="s">
        <v>215</v>
      </c>
    </row>
    <row r="35321" spans="129:129" x14ac:dyDescent="0.2">
      <c r="DY35321" s="185" t="s">
        <v>215</v>
      </c>
    </row>
    <row r="35322" spans="129:129" x14ac:dyDescent="0.2">
      <c r="DY35322" s="185" t="s">
        <v>215</v>
      </c>
    </row>
    <row r="35323" spans="129:129" x14ac:dyDescent="0.2">
      <c r="DY35323" s="185" t="s">
        <v>215</v>
      </c>
    </row>
    <row r="35324" spans="129:129" x14ac:dyDescent="0.2">
      <c r="DY35324" s="185" t="s">
        <v>215</v>
      </c>
    </row>
    <row r="35325" spans="129:129" x14ac:dyDescent="0.2">
      <c r="DY35325" s="185" t="s">
        <v>215</v>
      </c>
    </row>
    <row r="35326" spans="129:129" x14ac:dyDescent="0.2">
      <c r="DY35326" s="185" t="s">
        <v>215</v>
      </c>
    </row>
    <row r="35327" spans="129:129" x14ac:dyDescent="0.2">
      <c r="DY35327" s="185" t="s">
        <v>215</v>
      </c>
    </row>
    <row r="35328" spans="129:129" x14ac:dyDescent="0.2">
      <c r="DY35328" s="185" t="s">
        <v>215</v>
      </c>
    </row>
    <row r="35329" spans="129:129" x14ac:dyDescent="0.2">
      <c r="DY35329" s="185" t="s">
        <v>215</v>
      </c>
    </row>
    <row r="35330" spans="129:129" x14ac:dyDescent="0.2">
      <c r="DY35330" s="185" t="s">
        <v>215</v>
      </c>
    </row>
    <row r="35331" spans="129:129" x14ac:dyDescent="0.2">
      <c r="DY35331" s="185" t="s">
        <v>215</v>
      </c>
    </row>
    <row r="35332" spans="129:129" x14ac:dyDescent="0.2">
      <c r="DY35332" s="185" t="s">
        <v>215</v>
      </c>
    </row>
    <row r="35333" spans="129:129" x14ac:dyDescent="0.2">
      <c r="DY35333" s="185" t="s">
        <v>215</v>
      </c>
    </row>
    <row r="35334" spans="129:129" x14ac:dyDescent="0.2">
      <c r="DY35334" s="185" t="s">
        <v>215</v>
      </c>
    </row>
    <row r="35335" spans="129:129" x14ac:dyDescent="0.2">
      <c r="DY35335" s="185" t="s">
        <v>215</v>
      </c>
    </row>
    <row r="35336" spans="129:129" x14ac:dyDescent="0.2">
      <c r="DY35336" s="185" t="s">
        <v>215</v>
      </c>
    </row>
    <row r="35337" spans="129:129" x14ac:dyDescent="0.2">
      <c r="DY35337" s="185" t="s">
        <v>215</v>
      </c>
    </row>
    <row r="35338" spans="129:129" x14ac:dyDescent="0.2">
      <c r="DY35338" s="185" t="s">
        <v>215</v>
      </c>
    </row>
    <row r="35339" spans="129:129" x14ac:dyDescent="0.2">
      <c r="DY35339" s="185" t="s">
        <v>215</v>
      </c>
    </row>
    <row r="35340" spans="129:129" x14ac:dyDescent="0.2">
      <c r="DY35340" s="185" t="s">
        <v>215</v>
      </c>
    </row>
    <row r="35341" spans="129:129" x14ac:dyDescent="0.2">
      <c r="DY35341" s="185" t="s">
        <v>215</v>
      </c>
    </row>
    <row r="35342" spans="129:129" x14ac:dyDescent="0.2">
      <c r="DY35342" s="185" t="s">
        <v>215</v>
      </c>
    </row>
    <row r="35343" spans="129:129" x14ac:dyDescent="0.2">
      <c r="DY35343" s="185" t="s">
        <v>215</v>
      </c>
    </row>
    <row r="35344" spans="129:129" x14ac:dyDescent="0.2">
      <c r="DY35344" s="185" t="s">
        <v>215</v>
      </c>
    </row>
    <row r="35345" spans="129:129" x14ac:dyDescent="0.2">
      <c r="DY35345" s="185" t="s">
        <v>215</v>
      </c>
    </row>
    <row r="35346" spans="129:129" x14ac:dyDescent="0.2">
      <c r="DY35346" s="185" t="s">
        <v>215</v>
      </c>
    </row>
    <row r="35347" spans="129:129" x14ac:dyDescent="0.2">
      <c r="DY35347" s="185" t="s">
        <v>215</v>
      </c>
    </row>
    <row r="35348" spans="129:129" x14ac:dyDescent="0.2">
      <c r="DY35348" s="185" t="s">
        <v>215</v>
      </c>
    </row>
    <row r="35349" spans="129:129" x14ac:dyDescent="0.2">
      <c r="DY35349" s="185" t="s">
        <v>215</v>
      </c>
    </row>
    <row r="35350" spans="129:129" x14ac:dyDescent="0.2">
      <c r="DY35350" s="185" t="s">
        <v>215</v>
      </c>
    </row>
    <row r="35351" spans="129:129" x14ac:dyDescent="0.2">
      <c r="DY35351" s="185" t="s">
        <v>215</v>
      </c>
    </row>
    <row r="35352" spans="129:129" x14ac:dyDescent="0.2">
      <c r="DY35352" s="185" t="s">
        <v>215</v>
      </c>
    </row>
    <row r="35353" spans="129:129" x14ac:dyDescent="0.2">
      <c r="DY35353" s="185" t="s">
        <v>215</v>
      </c>
    </row>
    <row r="35354" spans="129:129" x14ac:dyDescent="0.2">
      <c r="DY35354" s="185" t="s">
        <v>215</v>
      </c>
    </row>
    <row r="35355" spans="129:129" x14ac:dyDescent="0.2">
      <c r="DY35355" s="185" t="s">
        <v>215</v>
      </c>
    </row>
    <row r="35356" spans="129:129" x14ac:dyDescent="0.2">
      <c r="DY35356" s="185" t="s">
        <v>215</v>
      </c>
    </row>
    <row r="35357" spans="129:129" x14ac:dyDescent="0.2">
      <c r="DY35357" s="185" t="s">
        <v>215</v>
      </c>
    </row>
    <row r="35358" spans="129:129" x14ac:dyDescent="0.2">
      <c r="DY35358" s="185" t="s">
        <v>215</v>
      </c>
    </row>
    <row r="35359" spans="129:129" x14ac:dyDescent="0.2">
      <c r="DY35359" s="185" t="s">
        <v>215</v>
      </c>
    </row>
    <row r="35360" spans="129:129" x14ac:dyDescent="0.2">
      <c r="DY35360" s="185" t="s">
        <v>215</v>
      </c>
    </row>
    <row r="35361" spans="129:129" x14ac:dyDescent="0.2">
      <c r="DY35361" s="185" t="s">
        <v>215</v>
      </c>
    </row>
    <row r="35362" spans="129:129" x14ac:dyDescent="0.2">
      <c r="DY35362" s="185" t="s">
        <v>215</v>
      </c>
    </row>
    <row r="35363" spans="129:129" x14ac:dyDescent="0.2">
      <c r="DY35363" s="185" t="s">
        <v>215</v>
      </c>
    </row>
    <row r="35364" spans="129:129" x14ac:dyDescent="0.2">
      <c r="DY35364" s="185" t="s">
        <v>215</v>
      </c>
    </row>
    <row r="35365" spans="129:129" x14ac:dyDescent="0.2">
      <c r="DY35365" s="185" t="s">
        <v>215</v>
      </c>
    </row>
    <row r="35366" spans="129:129" x14ac:dyDescent="0.2">
      <c r="DY35366" s="185" t="s">
        <v>215</v>
      </c>
    </row>
    <row r="35367" spans="129:129" x14ac:dyDescent="0.2">
      <c r="DY35367" s="185" t="s">
        <v>215</v>
      </c>
    </row>
    <row r="35368" spans="129:129" x14ac:dyDescent="0.2">
      <c r="DY35368" s="185" t="s">
        <v>215</v>
      </c>
    </row>
    <row r="35369" spans="129:129" x14ac:dyDescent="0.2">
      <c r="DY35369" s="185" t="s">
        <v>215</v>
      </c>
    </row>
    <row r="35370" spans="129:129" x14ac:dyDescent="0.2">
      <c r="DY35370" s="185" t="s">
        <v>215</v>
      </c>
    </row>
    <row r="35371" spans="129:129" x14ac:dyDescent="0.2">
      <c r="DY35371" s="185" t="s">
        <v>215</v>
      </c>
    </row>
    <row r="35372" spans="129:129" x14ac:dyDescent="0.2">
      <c r="DY35372" s="185" t="s">
        <v>215</v>
      </c>
    </row>
    <row r="35373" spans="129:129" x14ac:dyDescent="0.2">
      <c r="DY35373" s="185" t="s">
        <v>215</v>
      </c>
    </row>
    <row r="35374" spans="129:129" x14ac:dyDescent="0.2">
      <c r="DY35374" s="185" t="s">
        <v>215</v>
      </c>
    </row>
    <row r="35375" spans="129:129" x14ac:dyDescent="0.2">
      <c r="DY35375" s="185" t="s">
        <v>215</v>
      </c>
    </row>
    <row r="35376" spans="129:129" x14ac:dyDescent="0.2">
      <c r="DY35376" s="185" t="s">
        <v>215</v>
      </c>
    </row>
    <row r="35377" spans="129:129" x14ac:dyDescent="0.2">
      <c r="DY35377" s="185" t="s">
        <v>215</v>
      </c>
    </row>
    <row r="35378" spans="129:129" x14ac:dyDescent="0.2">
      <c r="DY35378" s="185" t="s">
        <v>215</v>
      </c>
    </row>
    <row r="35379" spans="129:129" x14ac:dyDescent="0.2">
      <c r="DY35379" s="185" t="s">
        <v>215</v>
      </c>
    </row>
    <row r="35380" spans="129:129" x14ac:dyDescent="0.2">
      <c r="DY35380" s="185" t="s">
        <v>215</v>
      </c>
    </row>
    <row r="35381" spans="129:129" x14ac:dyDescent="0.2">
      <c r="DY35381" s="185" t="s">
        <v>215</v>
      </c>
    </row>
    <row r="35382" spans="129:129" x14ac:dyDescent="0.2">
      <c r="DY35382" s="185" t="s">
        <v>215</v>
      </c>
    </row>
    <row r="35383" spans="129:129" x14ac:dyDescent="0.2">
      <c r="DY35383" s="185" t="s">
        <v>215</v>
      </c>
    </row>
    <row r="35384" spans="129:129" x14ac:dyDescent="0.2">
      <c r="DY35384" s="185" t="s">
        <v>215</v>
      </c>
    </row>
    <row r="35385" spans="129:129" x14ac:dyDescent="0.2">
      <c r="DY35385" s="185" t="s">
        <v>215</v>
      </c>
    </row>
    <row r="35386" spans="129:129" x14ac:dyDescent="0.2">
      <c r="DY35386" s="185" t="s">
        <v>215</v>
      </c>
    </row>
    <row r="35387" spans="129:129" x14ac:dyDescent="0.2">
      <c r="DY35387" s="185" t="s">
        <v>215</v>
      </c>
    </row>
    <row r="35388" spans="129:129" x14ac:dyDescent="0.2">
      <c r="DY35388" s="185" t="s">
        <v>215</v>
      </c>
    </row>
    <row r="35389" spans="129:129" x14ac:dyDescent="0.2">
      <c r="DY35389" s="185" t="s">
        <v>215</v>
      </c>
    </row>
    <row r="35390" spans="129:129" x14ac:dyDescent="0.2">
      <c r="DY35390" s="185" t="s">
        <v>215</v>
      </c>
    </row>
    <row r="35391" spans="129:129" x14ac:dyDescent="0.2">
      <c r="DY35391" s="185" t="s">
        <v>215</v>
      </c>
    </row>
    <row r="35392" spans="129:129" x14ac:dyDescent="0.2">
      <c r="DY35392" s="185" t="s">
        <v>215</v>
      </c>
    </row>
    <row r="35393" spans="129:129" x14ac:dyDescent="0.2">
      <c r="DY35393" s="185" t="s">
        <v>215</v>
      </c>
    </row>
    <row r="35394" spans="129:129" x14ac:dyDescent="0.2">
      <c r="DY35394" s="185" t="s">
        <v>215</v>
      </c>
    </row>
    <row r="35395" spans="129:129" x14ac:dyDescent="0.2">
      <c r="DY35395" s="185" t="s">
        <v>215</v>
      </c>
    </row>
    <row r="35396" spans="129:129" x14ac:dyDescent="0.2">
      <c r="DY35396" s="185" t="s">
        <v>215</v>
      </c>
    </row>
    <row r="35397" spans="129:129" x14ac:dyDescent="0.2">
      <c r="DY35397" s="185" t="s">
        <v>215</v>
      </c>
    </row>
    <row r="35398" spans="129:129" x14ac:dyDescent="0.2">
      <c r="DY35398" s="185" t="s">
        <v>215</v>
      </c>
    </row>
    <row r="35399" spans="129:129" x14ac:dyDescent="0.2">
      <c r="DY35399" s="185" t="s">
        <v>215</v>
      </c>
    </row>
    <row r="35400" spans="129:129" x14ac:dyDescent="0.2">
      <c r="DY35400" s="185" t="s">
        <v>215</v>
      </c>
    </row>
    <row r="35401" spans="129:129" x14ac:dyDescent="0.2">
      <c r="DY35401" s="185" t="s">
        <v>215</v>
      </c>
    </row>
    <row r="35402" spans="129:129" x14ac:dyDescent="0.2">
      <c r="DY35402" s="185" t="s">
        <v>215</v>
      </c>
    </row>
    <row r="35403" spans="129:129" x14ac:dyDescent="0.2">
      <c r="DY35403" s="185" t="s">
        <v>215</v>
      </c>
    </row>
    <row r="35404" spans="129:129" x14ac:dyDescent="0.2">
      <c r="DY35404" s="185" t="s">
        <v>215</v>
      </c>
    </row>
    <row r="35405" spans="129:129" x14ac:dyDescent="0.2">
      <c r="DY35405" s="185" t="s">
        <v>215</v>
      </c>
    </row>
    <row r="35406" spans="129:129" x14ac:dyDescent="0.2">
      <c r="DY35406" s="185" t="s">
        <v>215</v>
      </c>
    </row>
    <row r="35407" spans="129:129" x14ac:dyDescent="0.2">
      <c r="DY35407" s="185" t="s">
        <v>215</v>
      </c>
    </row>
    <row r="35408" spans="129:129" x14ac:dyDescent="0.2">
      <c r="DY35408" s="185" t="s">
        <v>215</v>
      </c>
    </row>
    <row r="35409" spans="129:129" x14ac:dyDescent="0.2">
      <c r="DY35409" s="185" t="s">
        <v>215</v>
      </c>
    </row>
    <row r="35410" spans="129:129" x14ac:dyDescent="0.2">
      <c r="DY35410" s="185" t="s">
        <v>215</v>
      </c>
    </row>
    <row r="35411" spans="129:129" x14ac:dyDescent="0.2">
      <c r="DY35411" s="185" t="s">
        <v>215</v>
      </c>
    </row>
    <row r="35412" spans="129:129" x14ac:dyDescent="0.2">
      <c r="DY35412" s="185" t="s">
        <v>215</v>
      </c>
    </row>
    <row r="35413" spans="129:129" x14ac:dyDescent="0.2">
      <c r="DY35413" s="185" t="s">
        <v>215</v>
      </c>
    </row>
    <row r="35414" spans="129:129" x14ac:dyDescent="0.2">
      <c r="DY35414" s="185" t="s">
        <v>215</v>
      </c>
    </row>
    <row r="35415" spans="129:129" x14ac:dyDescent="0.2">
      <c r="DY35415" s="185" t="s">
        <v>215</v>
      </c>
    </row>
    <row r="35416" spans="129:129" x14ac:dyDescent="0.2">
      <c r="DY35416" s="185" t="s">
        <v>215</v>
      </c>
    </row>
    <row r="35417" spans="129:129" x14ac:dyDescent="0.2">
      <c r="DY35417" s="185" t="s">
        <v>215</v>
      </c>
    </row>
    <row r="35418" spans="129:129" x14ac:dyDescent="0.2">
      <c r="DY35418" s="185" t="s">
        <v>215</v>
      </c>
    </row>
    <row r="35419" spans="129:129" x14ac:dyDescent="0.2">
      <c r="DY35419" s="185" t="s">
        <v>215</v>
      </c>
    </row>
    <row r="35420" spans="129:129" x14ac:dyDescent="0.2">
      <c r="DY35420" s="185" t="s">
        <v>215</v>
      </c>
    </row>
    <row r="35421" spans="129:129" x14ac:dyDescent="0.2">
      <c r="DY35421" s="185" t="s">
        <v>215</v>
      </c>
    </row>
    <row r="35422" spans="129:129" x14ac:dyDescent="0.2">
      <c r="DY35422" s="185" t="s">
        <v>215</v>
      </c>
    </row>
    <row r="35423" spans="129:129" x14ac:dyDescent="0.2">
      <c r="DY35423" s="185" t="s">
        <v>215</v>
      </c>
    </row>
    <row r="35424" spans="129:129" x14ac:dyDescent="0.2">
      <c r="DY35424" s="185" t="s">
        <v>215</v>
      </c>
    </row>
    <row r="35425" spans="129:129" x14ac:dyDescent="0.2">
      <c r="DY35425" s="185" t="s">
        <v>215</v>
      </c>
    </row>
    <row r="35426" spans="129:129" x14ac:dyDescent="0.2">
      <c r="DY35426" s="185" t="s">
        <v>215</v>
      </c>
    </row>
    <row r="35427" spans="129:129" x14ac:dyDescent="0.2">
      <c r="DY35427" s="185" t="s">
        <v>215</v>
      </c>
    </row>
    <row r="35428" spans="129:129" x14ac:dyDescent="0.2">
      <c r="DY35428" s="185" t="s">
        <v>215</v>
      </c>
    </row>
    <row r="35429" spans="129:129" x14ac:dyDescent="0.2">
      <c r="DY35429" s="185" t="s">
        <v>215</v>
      </c>
    </row>
    <row r="35430" spans="129:129" x14ac:dyDescent="0.2">
      <c r="DY35430" s="185" t="s">
        <v>215</v>
      </c>
    </row>
    <row r="35431" spans="129:129" x14ac:dyDescent="0.2">
      <c r="DY35431" s="185" t="s">
        <v>215</v>
      </c>
    </row>
    <row r="35432" spans="129:129" x14ac:dyDescent="0.2">
      <c r="DY35432" s="185" t="s">
        <v>215</v>
      </c>
    </row>
    <row r="35433" spans="129:129" x14ac:dyDescent="0.2">
      <c r="DY35433" s="185" t="s">
        <v>215</v>
      </c>
    </row>
    <row r="35434" spans="129:129" x14ac:dyDescent="0.2">
      <c r="DY35434" s="185" t="s">
        <v>215</v>
      </c>
    </row>
    <row r="35435" spans="129:129" x14ac:dyDescent="0.2">
      <c r="DY35435" s="185" t="s">
        <v>215</v>
      </c>
    </row>
    <row r="35436" spans="129:129" x14ac:dyDescent="0.2">
      <c r="DY35436" s="185" t="s">
        <v>215</v>
      </c>
    </row>
    <row r="35437" spans="129:129" x14ac:dyDescent="0.2">
      <c r="DY35437" s="185" t="s">
        <v>215</v>
      </c>
    </row>
    <row r="35438" spans="129:129" x14ac:dyDescent="0.2">
      <c r="DY35438" s="185" t="s">
        <v>215</v>
      </c>
    </row>
    <row r="35439" spans="129:129" x14ac:dyDescent="0.2">
      <c r="DY35439" s="185" t="s">
        <v>215</v>
      </c>
    </row>
    <row r="35440" spans="129:129" x14ac:dyDescent="0.2">
      <c r="DY35440" s="185" t="s">
        <v>215</v>
      </c>
    </row>
    <row r="35441" spans="129:129" x14ac:dyDescent="0.2">
      <c r="DY35441" s="185" t="s">
        <v>215</v>
      </c>
    </row>
    <row r="35442" spans="129:129" x14ac:dyDescent="0.2">
      <c r="DY35442" s="185" t="s">
        <v>215</v>
      </c>
    </row>
    <row r="35443" spans="129:129" x14ac:dyDescent="0.2">
      <c r="DY35443" s="185" t="s">
        <v>215</v>
      </c>
    </row>
    <row r="35444" spans="129:129" x14ac:dyDescent="0.2">
      <c r="DY35444" s="185" t="s">
        <v>215</v>
      </c>
    </row>
    <row r="35445" spans="129:129" x14ac:dyDescent="0.2">
      <c r="DY35445" s="185" t="s">
        <v>215</v>
      </c>
    </row>
    <row r="35446" spans="129:129" x14ac:dyDescent="0.2">
      <c r="DY35446" s="185" t="s">
        <v>215</v>
      </c>
    </row>
    <row r="35447" spans="129:129" x14ac:dyDescent="0.2">
      <c r="DY35447" s="185" t="s">
        <v>215</v>
      </c>
    </row>
    <row r="35448" spans="129:129" x14ac:dyDescent="0.2">
      <c r="DY35448" s="185" t="s">
        <v>215</v>
      </c>
    </row>
    <row r="35449" spans="129:129" x14ac:dyDescent="0.2">
      <c r="DY35449" s="185" t="s">
        <v>215</v>
      </c>
    </row>
    <row r="35450" spans="129:129" x14ac:dyDescent="0.2">
      <c r="DY35450" s="185" t="s">
        <v>215</v>
      </c>
    </row>
    <row r="35451" spans="129:129" x14ac:dyDescent="0.2">
      <c r="DY35451" s="185" t="s">
        <v>215</v>
      </c>
    </row>
    <row r="35452" spans="129:129" x14ac:dyDescent="0.2">
      <c r="DY35452" s="185" t="s">
        <v>215</v>
      </c>
    </row>
    <row r="35453" spans="129:129" x14ac:dyDescent="0.2">
      <c r="DY35453" s="185" t="s">
        <v>215</v>
      </c>
    </row>
    <row r="35454" spans="129:129" x14ac:dyDescent="0.2">
      <c r="DY35454" s="185" t="s">
        <v>215</v>
      </c>
    </row>
    <row r="35455" spans="129:129" x14ac:dyDescent="0.2">
      <c r="DY35455" s="185" t="s">
        <v>215</v>
      </c>
    </row>
    <row r="35456" spans="129:129" x14ac:dyDescent="0.2">
      <c r="DY35456" s="185" t="s">
        <v>215</v>
      </c>
    </row>
    <row r="35457" spans="129:129" x14ac:dyDescent="0.2">
      <c r="DY35457" s="185" t="s">
        <v>215</v>
      </c>
    </row>
    <row r="35458" spans="129:129" x14ac:dyDescent="0.2">
      <c r="DY35458" s="185" t="s">
        <v>215</v>
      </c>
    </row>
    <row r="35459" spans="129:129" x14ac:dyDescent="0.2">
      <c r="DY35459" s="185" t="s">
        <v>215</v>
      </c>
    </row>
    <row r="35460" spans="129:129" x14ac:dyDescent="0.2">
      <c r="DY35460" s="185" t="s">
        <v>215</v>
      </c>
    </row>
    <row r="35461" spans="129:129" x14ac:dyDescent="0.2">
      <c r="DY35461" s="185" t="s">
        <v>215</v>
      </c>
    </row>
    <row r="35462" spans="129:129" x14ac:dyDescent="0.2">
      <c r="DY35462" s="185" t="s">
        <v>215</v>
      </c>
    </row>
    <row r="35463" spans="129:129" x14ac:dyDescent="0.2">
      <c r="DY35463" s="185" t="s">
        <v>215</v>
      </c>
    </row>
    <row r="35464" spans="129:129" x14ac:dyDescent="0.2">
      <c r="DY35464" s="185" t="s">
        <v>215</v>
      </c>
    </row>
    <row r="35465" spans="129:129" x14ac:dyDescent="0.2">
      <c r="DY35465" s="185" t="s">
        <v>215</v>
      </c>
    </row>
    <row r="35466" spans="129:129" x14ac:dyDescent="0.2">
      <c r="DY35466" s="185" t="s">
        <v>215</v>
      </c>
    </row>
    <row r="35467" spans="129:129" x14ac:dyDescent="0.2">
      <c r="DY35467" s="185" t="s">
        <v>215</v>
      </c>
    </row>
    <row r="35468" spans="129:129" x14ac:dyDescent="0.2">
      <c r="DY35468" s="185" t="s">
        <v>215</v>
      </c>
    </row>
    <row r="35469" spans="129:129" x14ac:dyDescent="0.2">
      <c r="DY35469" s="185" t="s">
        <v>215</v>
      </c>
    </row>
    <row r="35470" spans="129:129" x14ac:dyDescent="0.2">
      <c r="DY35470" s="185" t="s">
        <v>215</v>
      </c>
    </row>
    <row r="35471" spans="129:129" x14ac:dyDescent="0.2">
      <c r="DY35471" s="185" t="s">
        <v>215</v>
      </c>
    </row>
    <row r="35472" spans="129:129" x14ac:dyDescent="0.2">
      <c r="DY35472" s="185" t="s">
        <v>215</v>
      </c>
    </row>
    <row r="35473" spans="129:129" x14ac:dyDescent="0.2">
      <c r="DY35473" s="185" t="s">
        <v>215</v>
      </c>
    </row>
    <row r="35474" spans="129:129" x14ac:dyDescent="0.2">
      <c r="DY35474" s="185" t="s">
        <v>215</v>
      </c>
    </row>
    <row r="35475" spans="129:129" x14ac:dyDescent="0.2">
      <c r="DY35475" s="185" t="s">
        <v>215</v>
      </c>
    </row>
    <row r="35476" spans="129:129" x14ac:dyDescent="0.2">
      <c r="DY35476" s="185" t="s">
        <v>215</v>
      </c>
    </row>
    <row r="35477" spans="129:129" x14ac:dyDescent="0.2">
      <c r="DY35477" s="185" t="s">
        <v>215</v>
      </c>
    </row>
    <row r="35478" spans="129:129" x14ac:dyDescent="0.2">
      <c r="DY35478" s="185" t="s">
        <v>215</v>
      </c>
    </row>
    <row r="35479" spans="129:129" x14ac:dyDescent="0.2">
      <c r="DY35479" s="185" t="s">
        <v>215</v>
      </c>
    </row>
    <row r="35480" spans="129:129" x14ac:dyDescent="0.2">
      <c r="DY35480" s="185" t="s">
        <v>215</v>
      </c>
    </row>
    <row r="35481" spans="129:129" x14ac:dyDescent="0.2">
      <c r="DY35481" s="185" t="s">
        <v>215</v>
      </c>
    </row>
    <row r="35482" spans="129:129" x14ac:dyDescent="0.2">
      <c r="DY35482" s="185" t="s">
        <v>215</v>
      </c>
    </row>
    <row r="35483" spans="129:129" x14ac:dyDescent="0.2">
      <c r="DY35483" s="185" t="s">
        <v>215</v>
      </c>
    </row>
    <row r="35484" spans="129:129" x14ac:dyDescent="0.2">
      <c r="DY35484" s="185" t="s">
        <v>215</v>
      </c>
    </row>
    <row r="35485" spans="129:129" x14ac:dyDescent="0.2">
      <c r="DY35485" s="185" t="s">
        <v>215</v>
      </c>
    </row>
    <row r="35486" spans="129:129" x14ac:dyDescent="0.2">
      <c r="DY35486" s="185" t="s">
        <v>215</v>
      </c>
    </row>
    <row r="35487" spans="129:129" x14ac:dyDescent="0.2">
      <c r="DY35487" s="185" t="s">
        <v>215</v>
      </c>
    </row>
    <row r="35488" spans="129:129" x14ac:dyDescent="0.2">
      <c r="DY35488" s="185" t="s">
        <v>215</v>
      </c>
    </row>
    <row r="35489" spans="129:129" x14ac:dyDescent="0.2">
      <c r="DY35489" s="185" t="s">
        <v>215</v>
      </c>
    </row>
    <row r="35490" spans="129:129" x14ac:dyDescent="0.2">
      <c r="DY35490" s="185" t="s">
        <v>215</v>
      </c>
    </row>
    <row r="35491" spans="129:129" x14ac:dyDescent="0.2">
      <c r="DY35491" s="185" t="s">
        <v>215</v>
      </c>
    </row>
    <row r="35492" spans="129:129" x14ac:dyDescent="0.2">
      <c r="DY35492" s="185" t="s">
        <v>215</v>
      </c>
    </row>
    <row r="35493" spans="129:129" x14ac:dyDescent="0.2">
      <c r="DY35493" s="185" t="s">
        <v>215</v>
      </c>
    </row>
    <row r="35494" spans="129:129" x14ac:dyDescent="0.2">
      <c r="DY35494" s="185" t="s">
        <v>215</v>
      </c>
    </row>
    <row r="35495" spans="129:129" x14ac:dyDescent="0.2">
      <c r="DY35495" s="185" t="s">
        <v>215</v>
      </c>
    </row>
    <row r="35496" spans="129:129" x14ac:dyDescent="0.2">
      <c r="DY35496" s="185" t="s">
        <v>215</v>
      </c>
    </row>
    <row r="35497" spans="129:129" x14ac:dyDescent="0.2">
      <c r="DY35497" s="185" t="s">
        <v>215</v>
      </c>
    </row>
    <row r="35498" spans="129:129" x14ac:dyDescent="0.2">
      <c r="DY35498" s="185" t="s">
        <v>215</v>
      </c>
    </row>
    <row r="35499" spans="129:129" x14ac:dyDescent="0.2">
      <c r="DY35499" s="185" t="s">
        <v>215</v>
      </c>
    </row>
    <row r="35500" spans="129:129" x14ac:dyDescent="0.2">
      <c r="DY35500" s="185" t="s">
        <v>215</v>
      </c>
    </row>
    <row r="35501" spans="129:129" x14ac:dyDescent="0.2">
      <c r="DY35501" s="185" t="s">
        <v>215</v>
      </c>
    </row>
    <row r="35502" spans="129:129" x14ac:dyDescent="0.2">
      <c r="DY35502" s="185" t="s">
        <v>215</v>
      </c>
    </row>
    <row r="35503" spans="129:129" x14ac:dyDescent="0.2">
      <c r="DY35503" s="185" t="s">
        <v>215</v>
      </c>
    </row>
    <row r="35504" spans="129:129" x14ac:dyDescent="0.2">
      <c r="DY35504" s="185" t="s">
        <v>215</v>
      </c>
    </row>
    <row r="35505" spans="129:129" x14ac:dyDescent="0.2">
      <c r="DY35505" s="185" t="s">
        <v>215</v>
      </c>
    </row>
    <row r="35506" spans="129:129" x14ac:dyDescent="0.2">
      <c r="DY35506" s="185" t="s">
        <v>215</v>
      </c>
    </row>
    <row r="35507" spans="129:129" x14ac:dyDescent="0.2">
      <c r="DY35507" s="185" t="s">
        <v>215</v>
      </c>
    </row>
    <row r="35508" spans="129:129" x14ac:dyDescent="0.2">
      <c r="DY35508" s="185" t="s">
        <v>215</v>
      </c>
    </row>
    <row r="35509" spans="129:129" x14ac:dyDescent="0.2">
      <c r="DY35509" s="185" t="s">
        <v>215</v>
      </c>
    </row>
    <row r="35510" spans="129:129" x14ac:dyDescent="0.2">
      <c r="DY35510" s="185" t="s">
        <v>215</v>
      </c>
    </row>
    <row r="35511" spans="129:129" x14ac:dyDescent="0.2">
      <c r="DY35511" s="185" t="s">
        <v>215</v>
      </c>
    </row>
    <row r="35512" spans="129:129" x14ac:dyDescent="0.2">
      <c r="DY35512" s="185" t="s">
        <v>215</v>
      </c>
    </row>
    <row r="35513" spans="129:129" x14ac:dyDescent="0.2">
      <c r="DY35513" s="185" t="s">
        <v>215</v>
      </c>
    </row>
    <row r="35514" spans="129:129" x14ac:dyDescent="0.2">
      <c r="DY35514" s="185" t="s">
        <v>215</v>
      </c>
    </row>
    <row r="35515" spans="129:129" x14ac:dyDescent="0.2">
      <c r="DY35515" s="185" t="s">
        <v>215</v>
      </c>
    </row>
    <row r="35516" spans="129:129" x14ac:dyDescent="0.2">
      <c r="DY35516" s="185" t="s">
        <v>215</v>
      </c>
    </row>
    <row r="35517" spans="129:129" x14ac:dyDescent="0.2">
      <c r="DY35517" s="185" t="s">
        <v>215</v>
      </c>
    </row>
    <row r="35518" spans="129:129" x14ac:dyDescent="0.2">
      <c r="DY35518" s="185" t="s">
        <v>215</v>
      </c>
    </row>
    <row r="35519" spans="129:129" x14ac:dyDescent="0.2">
      <c r="DY35519" s="185" t="s">
        <v>215</v>
      </c>
    </row>
    <row r="35520" spans="129:129" x14ac:dyDescent="0.2">
      <c r="DY35520" s="185" t="s">
        <v>215</v>
      </c>
    </row>
    <row r="35521" spans="129:129" x14ac:dyDescent="0.2">
      <c r="DY35521" s="185" t="s">
        <v>215</v>
      </c>
    </row>
    <row r="35522" spans="129:129" x14ac:dyDescent="0.2">
      <c r="DY35522" s="185" t="s">
        <v>215</v>
      </c>
    </row>
    <row r="35523" spans="129:129" x14ac:dyDescent="0.2">
      <c r="DY35523" s="185" t="s">
        <v>215</v>
      </c>
    </row>
    <row r="35524" spans="129:129" x14ac:dyDescent="0.2">
      <c r="DY35524" s="185" t="s">
        <v>215</v>
      </c>
    </row>
    <row r="35525" spans="129:129" x14ac:dyDescent="0.2">
      <c r="DY35525" s="185" t="s">
        <v>215</v>
      </c>
    </row>
    <row r="35526" spans="129:129" x14ac:dyDescent="0.2">
      <c r="DY35526" s="185" t="s">
        <v>215</v>
      </c>
    </row>
    <row r="35527" spans="129:129" x14ac:dyDescent="0.2">
      <c r="DY35527" s="185" t="s">
        <v>215</v>
      </c>
    </row>
    <row r="35528" spans="129:129" x14ac:dyDescent="0.2">
      <c r="DY35528" s="185" t="s">
        <v>215</v>
      </c>
    </row>
    <row r="35529" spans="129:129" x14ac:dyDescent="0.2">
      <c r="DY35529" s="185" t="s">
        <v>215</v>
      </c>
    </row>
    <row r="35530" spans="129:129" x14ac:dyDescent="0.2">
      <c r="DY35530" s="185" t="s">
        <v>215</v>
      </c>
    </row>
    <row r="35531" spans="129:129" x14ac:dyDescent="0.2">
      <c r="DY35531" s="185" t="s">
        <v>215</v>
      </c>
    </row>
    <row r="35532" spans="129:129" x14ac:dyDescent="0.2">
      <c r="DY35532" s="185" t="s">
        <v>215</v>
      </c>
    </row>
    <row r="35533" spans="129:129" x14ac:dyDescent="0.2">
      <c r="DY35533" s="185" t="s">
        <v>215</v>
      </c>
    </row>
    <row r="35534" spans="129:129" x14ac:dyDescent="0.2">
      <c r="DY35534" s="185" t="s">
        <v>215</v>
      </c>
    </row>
    <row r="35535" spans="129:129" x14ac:dyDescent="0.2">
      <c r="DY35535" s="185" t="s">
        <v>215</v>
      </c>
    </row>
    <row r="35536" spans="129:129" x14ac:dyDescent="0.2">
      <c r="DY35536" s="185" t="s">
        <v>215</v>
      </c>
    </row>
    <row r="35537" spans="129:129" x14ac:dyDescent="0.2">
      <c r="DY35537" s="185" t="s">
        <v>215</v>
      </c>
    </row>
    <row r="35538" spans="129:129" x14ac:dyDescent="0.2">
      <c r="DY35538" s="185" t="s">
        <v>215</v>
      </c>
    </row>
    <row r="35539" spans="129:129" x14ac:dyDescent="0.2">
      <c r="DY35539" s="185" t="s">
        <v>215</v>
      </c>
    </row>
    <row r="35540" spans="129:129" x14ac:dyDescent="0.2">
      <c r="DY35540" s="185" t="s">
        <v>215</v>
      </c>
    </row>
    <row r="35541" spans="129:129" x14ac:dyDescent="0.2">
      <c r="DY35541" s="185" t="s">
        <v>215</v>
      </c>
    </row>
    <row r="35542" spans="129:129" x14ac:dyDescent="0.2">
      <c r="DY35542" s="185" t="s">
        <v>215</v>
      </c>
    </row>
    <row r="35543" spans="129:129" x14ac:dyDescent="0.2">
      <c r="DY35543" s="185" t="s">
        <v>215</v>
      </c>
    </row>
    <row r="35544" spans="129:129" x14ac:dyDescent="0.2">
      <c r="DY35544" s="185" t="s">
        <v>215</v>
      </c>
    </row>
    <row r="35545" spans="129:129" x14ac:dyDescent="0.2">
      <c r="DY35545" s="185" t="s">
        <v>215</v>
      </c>
    </row>
    <row r="35546" spans="129:129" x14ac:dyDescent="0.2">
      <c r="DY35546" s="185" t="s">
        <v>215</v>
      </c>
    </row>
    <row r="35547" spans="129:129" x14ac:dyDescent="0.2">
      <c r="DY35547" s="185" t="s">
        <v>215</v>
      </c>
    </row>
    <row r="35548" spans="129:129" x14ac:dyDescent="0.2">
      <c r="DY35548" s="185" t="s">
        <v>215</v>
      </c>
    </row>
    <row r="35549" spans="129:129" x14ac:dyDescent="0.2">
      <c r="DY35549" s="185" t="s">
        <v>215</v>
      </c>
    </row>
    <row r="35550" spans="129:129" x14ac:dyDescent="0.2">
      <c r="DY35550" s="185" t="s">
        <v>215</v>
      </c>
    </row>
    <row r="35551" spans="129:129" x14ac:dyDescent="0.2">
      <c r="DY35551" s="185" t="s">
        <v>215</v>
      </c>
    </row>
    <row r="35552" spans="129:129" x14ac:dyDescent="0.2">
      <c r="DY35552" s="185" t="s">
        <v>215</v>
      </c>
    </row>
    <row r="35553" spans="129:129" x14ac:dyDescent="0.2">
      <c r="DY35553" s="185" t="s">
        <v>215</v>
      </c>
    </row>
    <row r="35554" spans="129:129" x14ac:dyDescent="0.2">
      <c r="DY35554" s="185" t="s">
        <v>215</v>
      </c>
    </row>
    <row r="35555" spans="129:129" x14ac:dyDescent="0.2">
      <c r="DY35555" s="185" t="s">
        <v>215</v>
      </c>
    </row>
    <row r="35556" spans="129:129" x14ac:dyDescent="0.2">
      <c r="DY35556" s="185" t="s">
        <v>215</v>
      </c>
    </row>
    <row r="35557" spans="129:129" x14ac:dyDescent="0.2">
      <c r="DY35557" s="185" t="s">
        <v>215</v>
      </c>
    </row>
    <row r="35558" spans="129:129" x14ac:dyDescent="0.2">
      <c r="DY35558" s="185" t="s">
        <v>215</v>
      </c>
    </row>
    <row r="35559" spans="129:129" x14ac:dyDescent="0.2">
      <c r="DY35559" s="185" t="s">
        <v>215</v>
      </c>
    </row>
    <row r="35560" spans="129:129" x14ac:dyDescent="0.2">
      <c r="DY35560" s="185" t="s">
        <v>215</v>
      </c>
    </row>
    <row r="35561" spans="129:129" x14ac:dyDescent="0.2">
      <c r="DY35561" s="185" t="s">
        <v>215</v>
      </c>
    </row>
    <row r="35562" spans="129:129" x14ac:dyDescent="0.2">
      <c r="DY35562" s="185" t="s">
        <v>215</v>
      </c>
    </row>
    <row r="35563" spans="129:129" x14ac:dyDescent="0.2">
      <c r="DY35563" s="185" t="s">
        <v>215</v>
      </c>
    </row>
    <row r="35564" spans="129:129" x14ac:dyDescent="0.2">
      <c r="DY35564" s="185" t="s">
        <v>215</v>
      </c>
    </row>
    <row r="35565" spans="129:129" x14ac:dyDescent="0.2">
      <c r="DY35565" s="185" t="s">
        <v>215</v>
      </c>
    </row>
    <row r="35566" spans="129:129" x14ac:dyDescent="0.2">
      <c r="DY35566" s="185" t="s">
        <v>215</v>
      </c>
    </row>
    <row r="35567" spans="129:129" x14ac:dyDescent="0.2">
      <c r="DY35567" s="185" t="s">
        <v>215</v>
      </c>
    </row>
    <row r="35568" spans="129:129" x14ac:dyDescent="0.2">
      <c r="DY35568" s="185" t="s">
        <v>215</v>
      </c>
    </row>
    <row r="35569" spans="129:129" x14ac:dyDescent="0.2">
      <c r="DY35569" s="185" t="s">
        <v>215</v>
      </c>
    </row>
    <row r="35570" spans="129:129" x14ac:dyDescent="0.2">
      <c r="DY35570" s="185" t="s">
        <v>215</v>
      </c>
    </row>
    <row r="35571" spans="129:129" x14ac:dyDescent="0.2">
      <c r="DY35571" s="185" t="s">
        <v>215</v>
      </c>
    </row>
    <row r="35572" spans="129:129" x14ac:dyDescent="0.2">
      <c r="DY35572" s="185" t="s">
        <v>215</v>
      </c>
    </row>
    <row r="35573" spans="129:129" x14ac:dyDescent="0.2">
      <c r="DY35573" s="185" t="s">
        <v>215</v>
      </c>
    </row>
    <row r="35574" spans="129:129" x14ac:dyDescent="0.2">
      <c r="DY35574" s="185" t="s">
        <v>215</v>
      </c>
    </row>
    <row r="35575" spans="129:129" x14ac:dyDescent="0.2">
      <c r="DY35575" s="185" t="s">
        <v>215</v>
      </c>
    </row>
    <row r="35576" spans="129:129" x14ac:dyDescent="0.2">
      <c r="DY35576" s="185" t="s">
        <v>215</v>
      </c>
    </row>
    <row r="35577" spans="129:129" x14ac:dyDescent="0.2">
      <c r="DY35577" s="185" t="s">
        <v>215</v>
      </c>
    </row>
    <row r="35578" spans="129:129" x14ac:dyDescent="0.2">
      <c r="DY35578" s="185" t="s">
        <v>215</v>
      </c>
    </row>
    <row r="35579" spans="129:129" x14ac:dyDescent="0.2">
      <c r="DY35579" s="185" t="s">
        <v>215</v>
      </c>
    </row>
    <row r="35580" spans="129:129" x14ac:dyDescent="0.2">
      <c r="DY35580" s="185" t="s">
        <v>215</v>
      </c>
    </row>
    <row r="35581" spans="129:129" x14ac:dyDescent="0.2">
      <c r="DY35581" s="185" t="s">
        <v>215</v>
      </c>
    </row>
    <row r="35582" spans="129:129" x14ac:dyDescent="0.2">
      <c r="DY35582" s="185" t="s">
        <v>215</v>
      </c>
    </row>
    <row r="35583" spans="129:129" x14ac:dyDescent="0.2">
      <c r="DY35583" s="185" t="s">
        <v>215</v>
      </c>
    </row>
    <row r="35584" spans="129:129" x14ac:dyDescent="0.2">
      <c r="DY35584" s="185" t="s">
        <v>215</v>
      </c>
    </row>
    <row r="35585" spans="129:129" x14ac:dyDescent="0.2">
      <c r="DY35585" s="185" t="s">
        <v>215</v>
      </c>
    </row>
    <row r="35586" spans="129:129" x14ac:dyDescent="0.2">
      <c r="DY35586" s="185" t="s">
        <v>215</v>
      </c>
    </row>
    <row r="35587" spans="129:129" x14ac:dyDescent="0.2">
      <c r="DY35587" s="185" t="s">
        <v>215</v>
      </c>
    </row>
    <row r="35588" spans="129:129" x14ac:dyDescent="0.2">
      <c r="DY35588" s="185" t="s">
        <v>215</v>
      </c>
    </row>
    <row r="35589" spans="129:129" x14ac:dyDescent="0.2">
      <c r="DY35589" s="185" t="s">
        <v>215</v>
      </c>
    </row>
    <row r="35590" spans="129:129" x14ac:dyDescent="0.2">
      <c r="DY35590" s="185" t="s">
        <v>215</v>
      </c>
    </row>
    <row r="35591" spans="129:129" x14ac:dyDescent="0.2">
      <c r="DY35591" s="185" t="s">
        <v>215</v>
      </c>
    </row>
    <row r="35592" spans="129:129" x14ac:dyDescent="0.2">
      <c r="DY35592" s="185" t="s">
        <v>215</v>
      </c>
    </row>
    <row r="35593" spans="129:129" x14ac:dyDescent="0.2">
      <c r="DY35593" s="185" t="s">
        <v>215</v>
      </c>
    </row>
    <row r="35594" spans="129:129" x14ac:dyDescent="0.2">
      <c r="DY35594" s="185" t="s">
        <v>215</v>
      </c>
    </row>
    <row r="35595" spans="129:129" x14ac:dyDescent="0.2">
      <c r="DY35595" s="185" t="s">
        <v>215</v>
      </c>
    </row>
    <row r="35596" spans="129:129" x14ac:dyDescent="0.2">
      <c r="DY35596" s="185" t="s">
        <v>215</v>
      </c>
    </row>
    <row r="35597" spans="129:129" x14ac:dyDescent="0.2">
      <c r="DY35597" s="185" t="s">
        <v>215</v>
      </c>
    </row>
    <row r="35598" spans="129:129" x14ac:dyDescent="0.2">
      <c r="DY35598" s="185" t="s">
        <v>215</v>
      </c>
    </row>
    <row r="35599" spans="129:129" x14ac:dyDescent="0.2">
      <c r="DY35599" s="185" t="s">
        <v>215</v>
      </c>
    </row>
    <row r="35600" spans="129:129" x14ac:dyDescent="0.2">
      <c r="DY35600" s="185" t="s">
        <v>215</v>
      </c>
    </row>
    <row r="35601" spans="129:129" x14ac:dyDescent="0.2">
      <c r="DY35601" s="185" t="s">
        <v>215</v>
      </c>
    </row>
    <row r="35602" spans="129:129" x14ac:dyDescent="0.2">
      <c r="DY35602" s="185" t="s">
        <v>215</v>
      </c>
    </row>
    <row r="35603" spans="129:129" x14ac:dyDescent="0.2">
      <c r="DY35603" s="185" t="s">
        <v>215</v>
      </c>
    </row>
    <row r="35604" spans="129:129" x14ac:dyDescent="0.2">
      <c r="DY35604" s="185" t="s">
        <v>215</v>
      </c>
    </row>
    <row r="35605" spans="129:129" x14ac:dyDescent="0.2">
      <c r="DY35605" s="185" t="s">
        <v>215</v>
      </c>
    </row>
    <row r="35606" spans="129:129" x14ac:dyDescent="0.2">
      <c r="DY35606" s="185" t="s">
        <v>215</v>
      </c>
    </row>
    <row r="35607" spans="129:129" x14ac:dyDescent="0.2">
      <c r="DY35607" s="185" t="s">
        <v>215</v>
      </c>
    </row>
    <row r="35608" spans="129:129" x14ac:dyDescent="0.2">
      <c r="DY35608" s="185" t="s">
        <v>215</v>
      </c>
    </row>
    <row r="35609" spans="129:129" x14ac:dyDescent="0.2">
      <c r="DY35609" s="185" t="s">
        <v>215</v>
      </c>
    </row>
    <row r="35610" spans="129:129" x14ac:dyDescent="0.2">
      <c r="DY35610" s="185" t="s">
        <v>215</v>
      </c>
    </row>
    <row r="35611" spans="129:129" x14ac:dyDescent="0.2">
      <c r="DY35611" s="185" t="s">
        <v>215</v>
      </c>
    </row>
    <row r="35612" spans="129:129" x14ac:dyDescent="0.2">
      <c r="DY35612" s="185" t="s">
        <v>215</v>
      </c>
    </row>
    <row r="35613" spans="129:129" x14ac:dyDescent="0.2">
      <c r="DY35613" s="185" t="s">
        <v>215</v>
      </c>
    </row>
    <row r="35614" spans="129:129" x14ac:dyDescent="0.2">
      <c r="DY35614" s="185" t="s">
        <v>215</v>
      </c>
    </row>
    <row r="35615" spans="129:129" x14ac:dyDescent="0.2">
      <c r="DY35615" s="185" t="s">
        <v>215</v>
      </c>
    </row>
    <row r="35616" spans="129:129" x14ac:dyDescent="0.2">
      <c r="DY35616" s="185" t="s">
        <v>215</v>
      </c>
    </row>
    <row r="35617" spans="129:129" x14ac:dyDescent="0.2">
      <c r="DY35617" s="185" t="s">
        <v>215</v>
      </c>
    </row>
    <row r="35618" spans="129:129" x14ac:dyDescent="0.2">
      <c r="DY35618" s="185" t="s">
        <v>215</v>
      </c>
    </row>
    <row r="35619" spans="129:129" x14ac:dyDescent="0.2">
      <c r="DY35619" s="185" t="s">
        <v>215</v>
      </c>
    </row>
    <row r="35620" spans="129:129" x14ac:dyDescent="0.2">
      <c r="DY35620" s="185" t="s">
        <v>215</v>
      </c>
    </row>
    <row r="35621" spans="129:129" x14ac:dyDescent="0.2">
      <c r="DY35621" s="185" t="s">
        <v>215</v>
      </c>
    </row>
    <row r="35622" spans="129:129" x14ac:dyDescent="0.2">
      <c r="DY35622" s="185" t="s">
        <v>215</v>
      </c>
    </row>
    <row r="35623" spans="129:129" x14ac:dyDescent="0.2">
      <c r="DY35623" s="185" t="s">
        <v>215</v>
      </c>
    </row>
    <row r="35624" spans="129:129" x14ac:dyDescent="0.2">
      <c r="DY35624" s="185" t="s">
        <v>215</v>
      </c>
    </row>
    <row r="35625" spans="129:129" x14ac:dyDescent="0.2">
      <c r="DY35625" s="185" t="s">
        <v>215</v>
      </c>
    </row>
    <row r="35626" spans="129:129" x14ac:dyDescent="0.2">
      <c r="DY35626" s="185" t="s">
        <v>215</v>
      </c>
    </row>
    <row r="35627" spans="129:129" x14ac:dyDescent="0.2">
      <c r="DY35627" s="185" t="s">
        <v>215</v>
      </c>
    </row>
    <row r="35628" spans="129:129" x14ac:dyDescent="0.2">
      <c r="DY35628" s="185" t="s">
        <v>215</v>
      </c>
    </row>
    <row r="35629" spans="129:129" x14ac:dyDescent="0.2">
      <c r="DY35629" s="185" t="s">
        <v>215</v>
      </c>
    </row>
    <row r="35630" spans="129:129" x14ac:dyDescent="0.2">
      <c r="DY35630" s="185" t="s">
        <v>215</v>
      </c>
    </row>
    <row r="35631" spans="129:129" x14ac:dyDescent="0.2">
      <c r="DY35631" s="185" t="s">
        <v>215</v>
      </c>
    </row>
    <row r="35632" spans="129:129" x14ac:dyDescent="0.2">
      <c r="DY35632" s="185" t="s">
        <v>215</v>
      </c>
    </row>
    <row r="35633" spans="129:129" x14ac:dyDescent="0.2">
      <c r="DY35633" s="185" t="s">
        <v>215</v>
      </c>
    </row>
    <row r="35634" spans="129:129" x14ac:dyDescent="0.2">
      <c r="DY35634" s="185" t="s">
        <v>215</v>
      </c>
    </row>
    <row r="35635" spans="129:129" x14ac:dyDescent="0.2">
      <c r="DY35635" s="185" t="s">
        <v>215</v>
      </c>
    </row>
    <row r="35636" spans="129:129" x14ac:dyDescent="0.2">
      <c r="DY35636" s="185" t="s">
        <v>215</v>
      </c>
    </row>
    <row r="35637" spans="129:129" x14ac:dyDescent="0.2">
      <c r="DY35637" s="185" t="s">
        <v>215</v>
      </c>
    </row>
    <row r="35638" spans="129:129" x14ac:dyDescent="0.2">
      <c r="DY35638" s="185" t="s">
        <v>215</v>
      </c>
    </row>
    <row r="35639" spans="129:129" x14ac:dyDescent="0.2">
      <c r="DY35639" s="185" t="s">
        <v>215</v>
      </c>
    </row>
    <row r="35640" spans="129:129" x14ac:dyDescent="0.2">
      <c r="DY35640" s="185" t="s">
        <v>215</v>
      </c>
    </row>
    <row r="35641" spans="129:129" x14ac:dyDescent="0.2">
      <c r="DY35641" s="185" t="s">
        <v>215</v>
      </c>
    </row>
    <row r="35642" spans="129:129" x14ac:dyDescent="0.2">
      <c r="DY35642" s="185" t="s">
        <v>215</v>
      </c>
    </row>
    <row r="35643" spans="129:129" x14ac:dyDescent="0.2">
      <c r="DY35643" s="185" t="s">
        <v>215</v>
      </c>
    </row>
    <row r="35644" spans="129:129" x14ac:dyDescent="0.2">
      <c r="DY35644" s="185" t="s">
        <v>215</v>
      </c>
    </row>
    <row r="35645" spans="129:129" x14ac:dyDescent="0.2">
      <c r="DY35645" s="185" t="s">
        <v>215</v>
      </c>
    </row>
    <row r="35646" spans="129:129" x14ac:dyDescent="0.2">
      <c r="DY35646" s="185" t="s">
        <v>215</v>
      </c>
    </row>
    <row r="35647" spans="129:129" x14ac:dyDescent="0.2">
      <c r="DY35647" s="185" t="s">
        <v>215</v>
      </c>
    </row>
    <row r="35648" spans="129:129" x14ac:dyDescent="0.2">
      <c r="DY35648" s="185" t="s">
        <v>215</v>
      </c>
    </row>
    <row r="35649" spans="129:129" x14ac:dyDescent="0.2">
      <c r="DY35649" s="185" t="s">
        <v>215</v>
      </c>
    </row>
    <row r="35650" spans="129:129" x14ac:dyDescent="0.2">
      <c r="DY35650" s="185" t="s">
        <v>215</v>
      </c>
    </row>
    <row r="35651" spans="129:129" x14ac:dyDescent="0.2">
      <c r="DY35651" s="185" t="s">
        <v>215</v>
      </c>
    </row>
    <row r="35652" spans="129:129" x14ac:dyDescent="0.2">
      <c r="DY35652" s="185" t="s">
        <v>215</v>
      </c>
    </row>
    <row r="35653" spans="129:129" x14ac:dyDescent="0.2">
      <c r="DY35653" s="185" t="s">
        <v>215</v>
      </c>
    </row>
    <row r="35654" spans="129:129" x14ac:dyDescent="0.2">
      <c r="DY35654" s="185" t="s">
        <v>215</v>
      </c>
    </row>
    <row r="35655" spans="129:129" x14ac:dyDescent="0.2">
      <c r="DY35655" s="185" t="s">
        <v>215</v>
      </c>
    </row>
    <row r="35656" spans="129:129" x14ac:dyDescent="0.2">
      <c r="DY35656" s="185" t="s">
        <v>215</v>
      </c>
    </row>
    <row r="35657" spans="129:129" x14ac:dyDescent="0.2">
      <c r="DY35657" s="185" t="s">
        <v>215</v>
      </c>
    </row>
    <row r="35658" spans="129:129" x14ac:dyDescent="0.2">
      <c r="DY35658" s="185" t="s">
        <v>215</v>
      </c>
    </row>
    <row r="35659" spans="129:129" x14ac:dyDescent="0.2">
      <c r="DY35659" s="185" t="s">
        <v>215</v>
      </c>
    </row>
    <row r="35660" spans="129:129" x14ac:dyDescent="0.2">
      <c r="DY35660" s="185" t="s">
        <v>215</v>
      </c>
    </row>
    <row r="35661" spans="129:129" x14ac:dyDescent="0.2">
      <c r="DY35661" s="185" t="s">
        <v>215</v>
      </c>
    </row>
    <row r="35662" spans="129:129" x14ac:dyDescent="0.2">
      <c r="DY35662" s="185" t="s">
        <v>215</v>
      </c>
    </row>
    <row r="35663" spans="129:129" x14ac:dyDescent="0.2">
      <c r="DY35663" s="185" t="s">
        <v>215</v>
      </c>
    </row>
    <row r="35664" spans="129:129" x14ac:dyDescent="0.2">
      <c r="DY35664" s="185" t="s">
        <v>215</v>
      </c>
    </row>
    <row r="35665" spans="129:129" x14ac:dyDescent="0.2">
      <c r="DY35665" s="185" t="s">
        <v>215</v>
      </c>
    </row>
    <row r="35666" spans="129:129" x14ac:dyDescent="0.2">
      <c r="DY35666" s="185" t="s">
        <v>215</v>
      </c>
    </row>
    <row r="35667" spans="129:129" x14ac:dyDescent="0.2">
      <c r="DY35667" s="185" t="s">
        <v>215</v>
      </c>
    </row>
    <row r="35668" spans="129:129" x14ac:dyDescent="0.2">
      <c r="DY35668" s="185" t="s">
        <v>215</v>
      </c>
    </row>
    <row r="35669" spans="129:129" x14ac:dyDescent="0.2">
      <c r="DY35669" s="185" t="s">
        <v>215</v>
      </c>
    </row>
    <row r="35670" spans="129:129" x14ac:dyDescent="0.2">
      <c r="DY35670" s="185" t="s">
        <v>215</v>
      </c>
    </row>
    <row r="35671" spans="129:129" x14ac:dyDescent="0.2">
      <c r="DY35671" s="185" t="s">
        <v>215</v>
      </c>
    </row>
    <row r="35672" spans="129:129" x14ac:dyDescent="0.2">
      <c r="DY35672" s="185" t="s">
        <v>215</v>
      </c>
    </row>
    <row r="35673" spans="129:129" x14ac:dyDescent="0.2">
      <c r="DY35673" s="185" t="s">
        <v>215</v>
      </c>
    </row>
    <row r="35674" spans="129:129" x14ac:dyDescent="0.2">
      <c r="DY35674" s="185" t="s">
        <v>215</v>
      </c>
    </row>
    <row r="35675" spans="129:129" x14ac:dyDescent="0.2">
      <c r="DY35675" s="185" t="s">
        <v>215</v>
      </c>
    </row>
    <row r="35676" spans="129:129" x14ac:dyDescent="0.2">
      <c r="DY35676" s="185" t="s">
        <v>215</v>
      </c>
    </row>
    <row r="35677" spans="129:129" x14ac:dyDescent="0.2">
      <c r="DY35677" s="185" t="s">
        <v>215</v>
      </c>
    </row>
    <row r="35678" spans="129:129" x14ac:dyDescent="0.2">
      <c r="DY35678" s="185" t="s">
        <v>215</v>
      </c>
    </row>
    <row r="35679" spans="129:129" x14ac:dyDescent="0.2">
      <c r="DY35679" s="185" t="s">
        <v>215</v>
      </c>
    </row>
    <row r="35680" spans="129:129" x14ac:dyDescent="0.2">
      <c r="DY35680" s="185" t="s">
        <v>215</v>
      </c>
    </row>
    <row r="35681" spans="129:129" x14ac:dyDescent="0.2">
      <c r="DY35681" s="185" t="s">
        <v>215</v>
      </c>
    </row>
    <row r="35682" spans="129:129" x14ac:dyDescent="0.2">
      <c r="DY35682" s="185" t="s">
        <v>215</v>
      </c>
    </row>
    <row r="35683" spans="129:129" x14ac:dyDescent="0.2">
      <c r="DY35683" s="185" t="s">
        <v>215</v>
      </c>
    </row>
    <row r="35684" spans="129:129" x14ac:dyDescent="0.2">
      <c r="DY35684" s="185" t="s">
        <v>215</v>
      </c>
    </row>
    <row r="35685" spans="129:129" x14ac:dyDescent="0.2">
      <c r="DY35685" s="185" t="s">
        <v>215</v>
      </c>
    </row>
    <row r="35686" spans="129:129" x14ac:dyDescent="0.2">
      <c r="DY35686" s="185" t="s">
        <v>215</v>
      </c>
    </row>
    <row r="35687" spans="129:129" x14ac:dyDescent="0.2">
      <c r="DY35687" s="185" t="s">
        <v>215</v>
      </c>
    </row>
    <row r="35688" spans="129:129" x14ac:dyDescent="0.2">
      <c r="DY35688" s="185" t="s">
        <v>215</v>
      </c>
    </row>
    <row r="35689" spans="129:129" x14ac:dyDescent="0.2">
      <c r="DY35689" s="185" t="s">
        <v>215</v>
      </c>
    </row>
    <row r="35690" spans="129:129" x14ac:dyDescent="0.2">
      <c r="DY35690" s="185" t="s">
        <v>215</v>
      </c>
    </row>
    <row r="35691" spans="129:129" x14ac:dyDescent="0.2">
      <c r="DY35691" s="185" t="s">
        <v>215</v>
      </c>
    </row>
    <row r="35692" spans="129:129" x14ac:dyDescent="0.2">
      <c r="DY35692" s="185" t="s">
        <v>215</v>
      </c>
    </row>
    <row r="35693" spans="129:129" x14ac:dyDescent="0.2">
      <c r="DY35693" s="185" t="s">
        <v>215</v>
      </c>
    </row>
    <row r="35694" spans="129:129" x14ac:dyDescent="0.2">
      <c r="DY35694" s="185" t="s">
        <v>215</v>
      </c>
    </row>
    <row r="35695" spans="129:129" x14ac:dyDescent="0.2">
      <c r="DY35695" s="185" t="s">
        <v>215</v>
      </c>
    </row>
    <row r="35696" spans="129:129" x14ac:dyDescent="0.2">
      <c r="DY35696" s="185" t="s">
        <v>215</v>
      </c>
    </row>
    <row r="35697" spans="129:129" x14ac:dyDescent="0.2">
      <c r="DY35697" s="185" t="s">
        <v>215</v>
      </c>
    </row>
    <row r="35698" spans="129:129" x14ac:dyDescent="0.2">
      <c r="DY35698" s="185" t="s">
        <v>215</v>
      </c>
    </row>
    <row r="35699" spans="129:129" x14ac:dyDescent="0.2">
      <c r="DY35699" s="185" t="s">
        <v>215</v>
      </c>
    </row>
    <row r="35700" spans="129:129" x14ac:dyDescent="0.2">
      <c r="DY35700" s="185" t="s">
        <v>215</v>
      </c>
    </row>
    <row r="35701" spans="129:129" x14ac:dyDescent="0.2">
      <c r="DY35701" s="185" t="s">
        <v>215</v>
      </c>
    </row>
    <row r="35702" spans="129:129" x14ac:dyDescent="0.2">
      <c r="DY35702" s="185" t="s">
        <v>215</v>
      </c>
    </row>
    <row r="35703" spans="129:129" x14ac:dyDescent="0.2">
      <c r="DY35703" s="185" t="s">
        <v>215</v>
      </c>
    </row>
    <row r="35704" spans="129:129" x14ac:dyDescent="0.2">
      <c r="DY35704" s="185" t="s">
        <v>215</v>
      </c>
    </row>
    <row r="35705" spans="129:129" x14ac:dyDescent="0.2">
      <c r="DY35705" s="185" t="s">
        <v>215</v>
      </c>
    </row>
    <row r="35706" spans="129:129" x14ac:dyDescent="0.2">
      <c r="DY35706" s="185" t="s">
        <v>215</v>
      </c>
    </row>
    <row r="35707" spans="129:129" x14ac:dyDescent="0.2">
      <c r="DY35707" s="185" t="s">
        <v>215</v>
      </c>
    </row>
    <row r="35708" spans="129:129" x14ac:dyDescent="0.2">
      <c r="DY35708" s="185" t="s">
        <v>215</v>
      </c>
    </row>
    <row r="35709" spans="129:129" x14ac:dyDescent="0.2">
      <c r="DY35709" s="185" t="s">
        <v>215</v>
      </c>
    </row>
    <row r="35710" spans="129:129" x14ac:dyDescent="0.2">
      <c r="DY35710" s="185" t="s">
        <v>215</v>
      </c>
    </row>
    <row r="35711" spans="129:129" x14ac:dyDescent="0.2">
      <c r="DY35711" s="185" t="s">
        <v>215</v>
      </c>
    </row>
    <row r="35712" spans="129:129" x14ac:dyDescent="0.2">
      <c r="DY35712" s="185" t="s">
        <v>215</v>
      </c>
    </row>
    <row r="35713" spans="129:129" x14ac:dyDescent="0.2">
      <c r="DY35713" s="185" t="s">
        <v>215</v>
      </c>
    </row>
    <row r="35714" spans="129:129" x14ac:dyDescent="0.2">
      <c r="DY35714" s="185" t="s">
        <v>215</v>
      </c>
    </row>
    <row r="35715" spans="129:129" x14ac:dyDescent="0.2">
      <c r="DY35715" s="185" t="s">
        <v>215</v>
      </c>
    </row>
    <row r="35716" spans="129:129" x14ac:dyDescent="0.2">
      <c r="DY35716" s="185" t="s">
        <v>215</v>
      </c>
    </row>
    <row r="35717" spans="129:129" x14ac:dyDescent="0.2">
      <c r="DY35717" s="185" t="s">
        <v>215</v>
      </c>
    </row>
    <row r="35718" spans="129:129" x14ac:dyDescent="0.2">
      <c r="DY35718" s="185" t="s">
        <v>215</v>
      </c>
    </row>
    <row r="35719" spans="129:129" x14ac:dyDescent="0.2">
      <c r="DY35719" s="185" t="s">
        <v>215</v>
      </c>
    </row>
    <row r="35720" spans="129:129" x14ac:dyDescent="0.2">
      <c r="DY35720" s="185" t="s">
        <v>215</v>
      </c>
    </row>
    <row r="35721" spans="129:129" x14ac:dyDescent="0.2">
      <c r="DY35721" s="185" t="s">
        <v>215</v>
      </c>
    </row>
    <row r="35722" spans="129:129" x14ac:dyDescent="0.2">
      <c r="DY35722" s="185" t="s">
        <v>215</v>
      </c>
    </row>
    <row r="35723" spans="129:129" x14ac:dyDescent="0.2">
      <c r="DY35723" s="185" t="s">
        <v>215</v>
      </c>
    </row>
    <row r="35724" spans="129:129" x14ac:dyDescent="0.2">
      <c r="DY35724" s="185" t="s">
        <v>215</v>
      </c>
    </row>
    <row r="35725" spans="129:129" x14ac:dyDescent="0.2">
      <c r="DY35725" s="185" t="s">
        <v>215</v>
      </c>
    </row>
    <row r="35726" spans="129:129" x14ac:dyDescent="0.2">
      <c r="DY35726" s="185" t="s">
        <v>215</v>
      </c>
    </row>
    <row r="35727" spans="129:129" x14ac:dyDescent="0.2">
      <c r="DY35727" s="185" t="s">
        <v>215</v>
      </c>
    </row>
    <row r="35728" spans="129:129" x14ac:dyDescent="0.2">
      <c r="DY35728" s="185" t="s">
        <v>215</v>
      </c>
    </row>
    <row r="35729" spans="129:129" x14ac:dyDescent="0.2">
      <c r="DY35729" s="185" t="s">
        <v>215</v>
      </c>
    </row>
    <row r="35730" spans="129:129" x14ac:dyDescent="0.2">
      <c r="DY35730" s="185" t="s">
        <v>215</v>
      </c>
    </row>
    <row r="35731" spans="129:129" x14ac:dyDescent="0.2">
      <c r="DY35731" s="185" t="s">
        <v>215</v>
      </c>
    </row>
    <row r="35732" spans="129:129" x14ac:dyDescent="0.2">
      <c r="DY35732" s="185" t="s">
        <v>215</v>
      </c>
    </row>
    <row r="35733" spans="129:129" x14ac:dyDescent="0.2">
      <c r="DY35733" s="185" t="s">
        <v>215</v>
      </c>
    </row>
    <row r="35734" spans="129:129" x14ac:dyDescent="0.2">
      <c r="DY35734" s="185" t="s">
        <v>215</v>
      </c>
    </row>
    <row r="35735" spans="129:129" x14ac:dyDescent="0.2">
      <c r="DY35735" s="185" t="s">
        <v>215</v>
      </c>
    </row>
    <row r="35736" spans="129:129" x14ac:dyDescent="0.2">
      <c r="DY35736" s="185" t="s">
        <v>215</v>
      </c>
    </row>
    <row r="35737" spans="129:129" x14ac:dyDescent="0.2">
      <c r="DY35737" s="185" t="s">
        <v>215</v>
      </c>
    </row>
    <row r="35738" spans="129:129" x14ac:dyDescent="0.2">
      <c r="DY35738" s="185" t="s">
        <v>215</v>
      </c>
    </row>
    <row r="35739" spans="129:129" x14ac:dyDescent="0.2">
      <c r="DY35739" s="185" t="s">
        <v>215</v>
      </c>
    </row>
    <row r="35740" spans="129:129" x14ac:dyDescent="0.2">
      <c r="DY35740" s="185" t="s">
        <v>215</v>
      </c>
    </row>
    <row r="35741" spans="129:129" x14ac:dyDescent="0.2">
      <c r="DY35741" s="185" t="s">
        <v>215</v>
      </c>
    </row>
    <row r="35742" spans="129:129" x14ac:dyDescent="0.2">
      <c r="DY35742" s="185" t="s">
        <v>215</v>
      </c>
    </row>
    <row r="35743" spans="129:129" x14ac:dyDescent="0.2">
      <c r="DY35743" s="185" t="s">
        <v>215</v>
      </c>
    </row>
    <row r="35744" spans="129:129" x14ac:dyDescent="0.2">
      <c r="DY35744" s="185" t="s">
        <v>215</v>
      </c>
    </row>
    <row r="35745" spans="129:129" x14ac:dyDescent="0.2">
      <c r="DY35745" s="185" t="s">
        <v>215</v>
      </c>
    </row>
    <row r="35746" spans="129:129" x14ac:dyDescent="0.2">
      <c r="DY35746" s="185" t="s">
        <v>215</v>
      </c>
    </row>
    <row r="35747" spans="129:129" x14ac:dyDescent="0.2">
      <c r="DY35747" s="185" t="s">
        <v>215</v>
      </c>
    </row>
    <row r="35748" spans="129:129" x14ac:dyDescent="0.2">
      <c r="DY35748" s="185" t="s">
        <v>215</v>
      </c>
    </row>
    <row r="35749" spans="129:129" x14ac:dyDescent="0.2">
      <c r="DY35749" s="185" t="s">
        <v>215</v>
      </c>
    </row>
    <row r="35750" spans="129:129" x14ac:dyDescent="0.2">
      <c r="DY35750" s="185" t="s">
        <v>215</v>
      </c>
    </row>
    <row r="35751" spans="129:129" x14ac:dyDescent="0.2">
      <c r="DY35751" s="185" t="s">
        <v>215</v>
      </c>
    </row>
    <row r="35752" spans="129:129" x14ac:dyDescent="0.2">
      <c r="DY35752" s="185" t="s">
        <v>215</v>
      </c>
    </row>
    <row r="35753" spans="129:129" x14ac:dyDescent="0.2">
      <c r="DY35753" s="185" t="s">
        <v>215</v>
      </c>
    </row>
    <row r="35754" spans="129:129" x14ac:dyDescent="0.2">
      <c r="DY35754" s="185" t="s">
        <v>215</v>
      </c>
    </row>
    <row r="35755" spans="129:129" x14ac:dyDescent="0.2">
      <c r="DY35755" s="185" t="s">
        <v>215</v>
      </c>
    </row>
    <row r="35756" spans="129:129" x14ac:dyDescent="0.2">
      <c r="DY35756" s="185" t="s">
        <v>215</v>
      </c>
    </row>
    <row r="35757" spans="129:129" x14ac:dyDescent="0.2">
      <c r="DY35757" s="185" t="s">
        <v>215</v>
      </c>
    </row>
    <row r="35758" spans="129:129" x14ac:dyDescent="0.2">
      <c r="DY35758" s="185" t="s">
        <v>215</v>
      </c>
    </row>
    <row r="35759" spans="129:129" x14ac:dyDescent="0.2">
      <c r="DY35759" s="185" t="s">
        <v>215</v>
      </c>
    </row>
    <row r="35760" spans="129:129" x14ac:dyDescent="0.2">
      <c r="DY35760" s="185" t="s">
        <v>215</v>
      </c>
    </row>
    <row r="35761" spans="129:129" x14ac:dyDescent="0.2">
      <c r="DY35761" s="185" t="s">
        <v>215</v>
      </c>
    </row>
    <row r="35762" spans="129:129" x14ac:dyDescent="0.2">
      <c r="DY35762" s="185" t="s">
        <v>215</v>
      </c>
    </row>
    <row r="35763" spans="129:129" x14ac:dyDescent="0.2">
      <c r="DY35763" s="185" t="s">
        <v>215</v>
      </c>
    </row>
    <row r="35764" spans="129:129" x14ac:dyDescent="0.2">
      <c r="DY35764" s="185" t="s">
        <v>215</v>
      </c>
    </row>
    <row r="35765" spans="129:129" x14ac:dyDescent="0.2">
      <c r="DY35765" s="185" t="s">
        <v>215</v>
      </c>
    </row>
    <row r="35766" spans="129:129" x14ac:dyDescent="0.2">
      <c r="DY35766" s="185" t="s">
        <v>215</v>
      </c>
    </row>
    <row r="35767" spans="129:129" x14ac:dyDescent="0.2">
      <c r="DY35767" s="185" t="s">
        <v>215</v>
      </c>
    </row>
    <row r="35768" spans="129:129" x14ac:dyDescent="0.2">
      <c r="DY35768" s="185" t="s">
        <v>215</v>
      </c>
    </row>
    <row r="35769" spans="129:129" x14ac:dyDescent="0.2">
      <c r="DY35769" s="185" t="s">
        <v>215</v>
      </c>
    </row>
    <row r="35770" spans="129:129" x14ac:dyDescent="0.2">
      <c r="DY35770" s="185" t="s">
        <v>215</v>
      </c>
    </row>
    <row r="35771" spans="129:129" x14ac:dyDescent="0.2">
      <c r="DY35771" s="185" t="s">
        <v>215</v>
      </c>
    </row>
    <row r="35772" spans="129:129" x14ac:dyDescent="0.2">
      <c r="DY35772" s="185" t="s">
        <v>215</v>
      </c>
    </row>
    <row r="35773" spans="129:129" x14ac:dyDescent="0.2">
      <c r="DY35773" s="185" t="s">
        <v>215</v>
      </c>
    </row>
    <row r="35774" spans="129:129" x14ac:dyDescent="0.2">
      <c r="DY35774" s="185" t="s">
        <v>215</v>
      </c>
    </row>
    <row r="35775" spans="129:129" x14ac:dyDescent="0.2">
      <c r="DY35775" s="185" t="s">
        <v>215</v>
      </c>
    </row>
    <row r="35776" spans="129:129" x14ac:dyDescent="0.2">
      <c r="DY35776" s="185" t="s">
        <v>215</v>
      </c>
    </row>
    <row r="35777" spans="129:129" x14ac:dyDescent="0.2">
      <c r="DY35777" s="185" t="s">
        <v>215</v>
      </c>
    </row>
    <row r="35778" spans="129:129" x14ac:dyDescent="0.2">
      <c r="DY35778" s="185" t="s">
        <v>215</v>
      </c>
    </row>
    <row r="35779" spans="129:129" x14ac:dyDescent="0.2">
      <c r="DY35779" s="185" t="s">
        <v>215</v>
      </c>
    </row>
    <row r="35780" spans="129:129" x14ac:dyDescent="0.2">
      <c r="DY35780" s="185" t="s">
        <v>215</v>
      </c>
    </row>
    <row r="35781" spans="129:129" x14ac:dyDescent="0.2">
      <c r="DY35781" s="185" t="s">
        <v>215</v>
      </c>
    </row>
    <row r="35782" spans="129:129" x14ac:dyDescent="0.2">
      <c r="DY35782" s="185" t="s">
        <v>215</v>
      </c>
    </row>
    <row r="35783" spans="129:129" x14ac:dyDescent="0.2">
      <c r="DY35783" s="185" t="s">
        <v>215</v>
      </c>
    </row>
    <row r="35784" spans="129:129" x14ac:dyDescent="0.2">
      <c r="DY35784" s="185" t="s">
        <v>215</v>
      </c>
    </row>
    <row r="35785" spans="129:129" x14ac:dyDescent="0.2">
      <c r="DY35785" s="185" t="s">
        <v>215</v>
      </c>
    </row>
    <row r="35786" spans="129:129" x14ac:dyDescent="0.2">
      <c r="DY35786" s="185" t="s">
        <v>215</v>
      </c>
    </row>
    <row r="35787" spans="129:129" x14ac:dyDescent="0.2">
      <c r="DY35787" s="185" t="s">
        <v>215</v>
      </c>
    </row>
    <row r="35788" spans="129:129" x14ac:dyDescent="0.2">
      <c r="DY35788" s="185" t="s">
        <v>215</v>
      </c>
    </row>
    <row r="35789" spans="129:129" x14ac:dyDescent="0.2">
      <c r="DY35789" s="185" t="s">
        <v>215</v>
      </c>
    </row>
    <row r="35790" spans="129:129" x14ac:dyDescent="0.2">
      <c r="DY35790" s="185" t="s">
        <v>215</v>
      </c>
    </row>
    <row r="35791" spans="129:129" x14ac:dyDescent="0.2">
      <c r="DY35791" s="185" t="s">
        <v>215</v>
      </c>
    </row>
    <row r="35792" spans="129:129" x14ac:dyDescent="0.2">
      <c r="DY35792" s="185" t="s">
        <v>215</v>
      </c>
    </row>
    <row r="35793" spans="129:129" x14ac:dyDescent="0.2">
      <c r="DY35793" s="185" t="s">
        <v>215</v>
      </c>
    </row>
    <row r="35794" spans="129:129" x14ac:dyDescent="0.2">
      <c r="DY35794" s="185" t="s">
        <v>215</v>
      </c>
    </row>
    <row r="35795" spans="129:129" x14ac:dyDescent="0.2">
      <c r="DY35795" s="185" t="s">
        <v>215</v>
      </c>
    </row>
    <row r="35796" spans="129:129" x14ac:dyDescent="0.2">
      <c r="DY35796" s="185" t="s">
        <v>215</v>
      </c>
    </row>
    <row r="35797" spans="129:129" x14ac:dyDescent="0.2">
      <c r="DY35797" s="185" t="s">
        <v>215</v>
      </c>
    </row>
    <row r="35798" spans="129:129" x14ac:dyDescent="0.2">
      <c r="DY35798" s="185" t="s">
        <v>215</v>
      </c>
    </row>
    <row r="35799" spans="129:129" x14ac:dyDescent="0.2">
      <c r="DY35799" s="185" t="s">
        <v>215</v>
      </c>
    </row>
    <row r="35800" spans="129:129" x14ac:dyDescent="0.2">
      <c r="DY35800" s="185" t="s">
        <v>215</v>
      </c>
    </row>
    <row r="35801" spans="129:129" x14ac:dyDescent="0.2">
      <c r="DY35801" s="185" t="s">
        <v>215</v>
      </c>
    </row>
    <row r="35802" spans="129:129" x14ac:dyDescent="0.2">
      <c r="DY35802" s="185" t="s">
        <v>215</v>
      </c>
    </row>
    <row r="35803" spans="129:129" x14ac:dyDescent="0.2">
      <c r="DY35803" s="185" t="s">
        <v>215</v>
      </c>
    </row>
    <row r="35804" spans="129:129" x14ac:dyDescent="0.2">
      <c r="DY35804" s="185" t="s">
        <v>215</v>
      </c>
    </row>
    <row r="35805" spans="129:129" x14ac:dyDescent="0.2">
      <c r="DY35805" s="185" t="s">
        <v>215</v>
      </c>
    </row>
    <row r="35806" spans="129:129" x14ac:dyDescent="0.2">
      <c r="DY35806" s="185" t="s">
        <v>215</v>
      </c>
    </row>
    <row r="35807" spans="129:129" x14ac:dyDescent="0.2">
      <c r="DY35807" s="185" t="s">
        <v>215</v>
      </c>
    </row>
    <row r="35808" spans="129:129" x14ac:dyDescent="0.2">
      <c r="DY35808" s="185" t="s">
        <v>215</v>
      </c>
    </row>
    <row r="35809" spans="129:129" x14ac:dyDescent="0.2">
      <c r="DY35809" s="185" t="s">
        <v>215</v>
      </c>
    </row>
    <row r="35810" spans="129:129" x14ac:dyDescent="0.2">
      <c r="DY35810" s="185" t="s">
        <v>215</v>
      </c>
    </row>
    <row r="35811" spans="129:129" x14ac:dyDescent="0.2">
      <c r="DY35811" s="185" t="s">
        <v>215</v>
      </c>
    </row>
    <row r="35812" spans="129:129" x14ac:dyDescent="0.2">
      <c r="DY35812" s="185" t="s">
        <v>215</v>
      </c>
    </row>
    <row r="35813" spans="129:129" x14ac:dyDescent="0.2">
      <c r="DY35813" s="185" t="s">
        <v>215</v>
      </c>
    </row>
    <row r="35814" spans="129:129" x14ac:dyDescent="0.2">
      <c r="DY35814" s="185" t="s">
        <v>215</v>
      </c>
    </row>
    <row r="35815" spans="129:129" x14ac:dyDescent="0.2">
      <c r="DY35815" s="185" t="s">
        <v>215</v>
      </c>
    </row>
    <row r="35816" spans="129:129" x14ac:dyDescent="0.2">
      <c r="DY35816" s="185" t="s">
        <v>215</v>
      </c>
    </row>
    <row r="35817" spans="129:129" x14ac:dyDescent="0.2">
      <c r="DY35817" s="185" t="s">
        <v>215</v>
      </c>
    </row>
    <row r="35818" spans="129:129" x14ac:dyDescent="0.2">
      <c r="DY35818" s="185" t="s">
        <v>215</v>
      </c>
    </row>
    <row r="35819" spans="129:129" x14ac:dyDescent="0.2">
      <c r="DY35819" s="185" t="s">
        <v>215</v>
      </c>
    </row>
    <row r="35820" spans="129:129" x14ac:dyDescent="0.2">
      <c r="DY35820" s="185" t="s">
        <v>215</v>
      </c>
    </row>
    <row r="35821" spans="129:129" x14ac:dyDescent="0.2">
      <c r="DY35821" s="185" t="s">
        <v>215</v>
      </c>
    </row>
    <row r="35822" spans="129:129" x14ac:dyDescent="0.2">
      <c r="DY35822" s="185" t="s">
        <v>215</v>
      </c>
    </row>
    <row r="35823" spans="129:129" x14ac:dyDescent="0.2">
      <c r="DY35823" s="185" t="s">
        <v>215</v>
      </c>
    </row>
    <row r="35824" spans="129:129" x14ac:dyDescent="0.2">
      <c r="DY35824" s="185" t="s">
        <v>215</v>
      </c>
    </row>
    <row r="35825" spans="129:129" x14ac:dyDescent="0.2">
      <c r="DY35825" s="185" t="s">
        <v>215</v>
      </c>
    </row>
    <row r="35826" spans="129:129" x14ac:dyDescent="0.2">
      <c r="DY35826" s="185" t="s">
        <v>215</v>
      </c>
    </row>
    <row r="35827" spans="129:129" x14ac:dyDescent="0.2">
      <c r="DY35827" s="185" t="s">
        <v>215</v>
      </c>
    </row>
    <row r="35828" spans="129:129" x14ac:dyDescent="0.2">
      <c r="DY35828" s="185" t="s">
        <v>215</v>
      </c>
    </row>
    <row r="35829" spans="129:129" x14ac:dyDescent="0.2">
      <c r="DY35829" s="185" t="s">
        <v>215</v>
      </c>
    </row>
    <row r="35830" spans="129:129" x14ac:dyDescent="0.2">
      <c r="DY35830" s="185" t="s">
        <v>215</v>
      </c>
    </row>
    <row r="35831" spans="129:129" x14ac:dyDescent="0.2">
      <c r="DY35831" s="185" t="s">
        <v>215</v>
      </c>
    </row>
    <row r="35832" spans="129:129" x14ac:dyDescent="0.2">
      <c r="DY35832" s="185" t="s">
        <v>215</v>
      </c>
    </row>
    <row r="35833" spans="129:129" x14ac:dyDescent="0.2">
      <c r="DY35833" s="185" t="s">
        <v>215</v>
      </c>
    </row>
    <row r="35834" spans="129:129" x14ac:dyDescent="0.2">
      <c r="DY35834" s="185" t="s">
        <v>215</v>
      </c>
    </row>
    <row r="35835" spans="129:129" x14ac:dyDescent="0.2">
      <c r="DY35835" s="185" t="s">
        <v>215</v>
      </c>
    </row>
    <row r="35836" spans="129:129" x14ac:dyDescent="0.2">
      <c r="DY35836" s="185" t="s">
        <v>215</v>
      </c>
    </row>
    <row r="35837" spans="129:129" x14ac:dyDescent="0.2">
      <c r="DY35837" s="185" t="s">
        <v>215</v>
      </c>
    </row>
    <row r="35838" spans="129:129" x14ac:dyDescent="0.2">
      <c r="DY35838" s="185" t="s">
        <v>215</v>
      </c>
    </row>
    <row r="35839" spans="129:129" x14ac:dyDescent="0.2">
      <c r="DY35839" s="185" t="s">
        <v>215</v>
      </c>
    </row>
    <row r="35840" spans="129:129" x14ac:dyDescent="0.2">
      <c r="DY35840" s="185" t="s">
        <v>215</v>
      </c>
    </row>
    <row r="35841" spans="129:129" x14ac:dyDescent="0.2">
      <c r="DY35841" s="185" t="s">
        <v>215</v>
      </c>
    </row>
    <row r="35842" spans="129:129" x14ac:dyDescent="0.2">
      <c r="DY35842" s="185" t="s">
        <v>215</v>
      </c>
    </row>
    <row r="35843" spans="129:129" x14ac:dyDescent="0.2">
      <c r="DY35843" s="185" t="s">
        <v>215</v>
      </c>
    </row>
    <row r="35844" spans="129:129" x14ac:dyDescent="0.2">
      <c r="DY35844" s="185" t="s">
        <v>215</v>
      </c>
    </row>
    <row r="35845" spans="129:129" x14ac:dyDescent="0.2">
      <c r="DY35845" s="185" t="s">
        <v>215</v>
      </c>
    </row>
    <row r="35846" spans="129:129" x14ac:dyDescent="0.2">
      <c r="DY35846" s="185" t="s">
        <v>215</v>
      </c>
    </row>
    <row r="35847" spans="129:129" x14ac:dyDescent="0.2">
      <c r="DY35847" s="185" t="s">
        <v>215</v>
      </c>
    </row>
    <row r="35848" spans="129:129" x14ac:dyDescent="0.2">
      <c r="DY35848" s="185" t="s">
        <v>215</v>
      </c>
    </row>
    <row r="35849" spans="129:129" x14ac:dyDescent="0.2">
      <c r="DY35849" s="185" t="s">
        <v>215</v>
      </c>
    </row>
    <row r="35850" spans="129:129" x14ac:dyDescent="0.2">
      <c r="DY35850" s="185" t="s">
        <v>215</v>
      </c>
    </row>
    <row r="35851" spans="129:129" x14ac:dyDescent="0.2">
      <c r="DY35851" s="185" t="s">
        <v>215</v>
      </c>
    </row>
    <row r="35852" spans="129:129" x14ac:dyDescent="0.2">
      <c r="DY35852" s="185" t="s">
        <v>215</v>
      </c>
    </row>
    <row r="35853" spans="129:129" x14ac:dyDescent="0.2">
      <c r="DY35853" s="185" t="s">
        <v>215</v>
      </c>
    </row>
    <row r="35854" spans="129:129" x14ac:dyDescent="0.2">
      <c r="DY35854" s="185" t="s">
        <v>215</v>
      </c>
    </row>
    <row r="35855" spans="129:129" x14ac:dyDescent="0.2">
      <c r="DY35855" s="185" t="s">
        <v>215</v>
      </c>
    </row>
    <row r="35856" spans="129:129" x14ac:dyDescent="0.2">
      <c r="DY35856" s="185" t="s">
        <v>215</v>
      </c>
    </row>
    <row r="35857" spans="129:129" x14ac:dyDescent="0.2">
      <c r="DY35857" s="185" t="s">
        <v>215</v>
      </c>
    </row>
    <row r="35858" spans="129:129" x14ac:dyDescent="0.2">
      <c r="DY35858" s="185" t="s">
        <v>215</v>
      </c>
    </row>
    <row r="35859" spans="129:129" x14ac:dyDescent="0.2">
      <c r="DY35859" s="185" t="s">
        <v>215</v>
      </c>
    </row>
    <row r="35860" spans="129:129" x14ac:dyDescent="0.2">
      <c r="DY35860" s="185" t="s">
        <v>215</v>
      </c>
    </row>
    <row r="35861" spans="129:129" x14ac:dyDescent="0.2">
      <c r="DY35861" s="185" t="s">
        <v>215</v>
      </c>
    </row>
    <row r="35862" spans="129:129" x14ac:dyDescent="0.2">
      <c r="DY35862" s="185" t="s">
        <v>215</v>
      </c>
    </row>
    <row r="35863" spans="129:129" x14ac:dyDescent="0.2">
      <c r="DY35863" s="185" t="s">
        <v>215</v>
      </c>
    </row>
    <row r="35864" spans="129:129" x14ac:dyDescent="0.2">
      <c r="DY35864" s="185" t="s">
        <v>215</v>
      </c>
    </row>
    <row r="35865" spans="129:129" x14ac:dyDescent="0.2">
      <c r="DY35865" s="185" t="s">
        <v>215</v>
      </c>
    </row>
    <row r="35866" spans="129:129" x14ac:dyDescent="0.2">
      <c r="DY35866" s="185" t="s">
        <v>215</v>
      </c>
    </row>
    <row r="35867" spans="129:129" x14ac:dyDescent="0.2">
      <c r="DY35867" s="185" t="s">
        <v>215</v>
      </c>
    </row>
    <row r="35868" spans="129:129" x14ac:dyDescent="0.2">
      <c r="DY35868" s="185" t="s">
        <v>215</v>
      </c>
    </row>
    <row r="35869" spans="129:129" x14ac:dyDescent="0.2">
      <c r="DY35869" s="185" t="s">
        <v>215</v>
      </c>
    </row>
    <row r="35870" spans="129:129" x14ac:dyDescent="0.2">
      <c r="DY35870" s="185" t="s">
        <v>215</v>
      </c>
    </row>
    <row r="35871" spans="129:129" x14ac:dyDescent="0.2">
      <c r="DY35871" s="185" t="s">
        <v>215</v>
      </c>
    </row>
    <row r="35872" spans="129:129" x14ac:dyDescent="0.2">
      <c r="DY35872" s="185" t="s">
        <v>215</v>
      </c>
    </row>
    <row r="35873" spans="129:129" x14ac:dyDescent="0.2">
      <c r="DY35873" s="185" t="s">
        <v>215</v>
      </c>
    </row>
    <row r="35874" spans="129:129" x14ac:dyDescent="0.2">
      <c r="DY35874" s="185" t="s">
        <v>215</v>
      </c>
    </row>
    <row r="35875" spans="129:129" x14ac:dyDescent="0.2">
      <c r="DY35875" s="185" t="s">
        <v>215</v>
      </c>
    </row>
    <row r="35876" spans="129:129" x14ac:dyDescent="0.2">
      <c r="DY35876" s="185" t="s">
        <v>215</v>
      </c>
    </row>
    <row r="35877" spans="129:129" x14ac:dyDescent="0.2">
      <c r="DY35877" s="185" t="s">
        <v>215</v>
      </c>
    </row>
    <row r="35878" spans="129:129" x14ac:dyDescent="0.2">
      <c r="DY35878" s="185" t="s">
        <v>215</v>
      </c>
    </row>
    <row r="35879" spans="129:129" x14ac:dyDescent="0.2">
      <c r="DY35879" s="185" t="s">
        <v>215</v>
      </c>
    </row>
    <row r="35880" spans="129:129" x14ac:dyDescent="0.2">
      <c r="DY35880" s="185" t="s">
        <v>215</v>
      </c>
    </row>
    <row r="35881" spans="129:129" x14ac:dyDescent="0.2">
      <c r="DY35881" s="185" t="s">
        <v>215</v>
      </c>
    </row>
    <row r="35882" spans="129:129" x14ac:dyDescent="0.2">
      <c r="DY35882" s="185" t="s">
        <v>215</v>
      </c>
    </row>
    <row r="35883" spans="129:129" x14ac:dyDescent="0.2">
      <c r="DY35883" s="185" t="s">
        <v>215</v>
      </c>
    </row>
    <row r="35884" spans="129:129" x14ac:dyDescent="0.2">
      <c r="DY35884" s="185" t="s">
        <v>215</v>
      </c>
    </row>
    <row r="35885" spans="129:129" x14ac:dyDescent="0.2">
      <c r="DY35885" s="185" t="s">
        <v>215</v>
      </c>
    </row>
    <row r="35886" spans="129:129" x14ac:dyDescent="0.2">
      <c r="DY35886" s="185" t="s">
        <v>215</v>
      </c>
    </row>
    <row r="35887" spans="129:129" x14ac:dyDescent="0.2">
      <c r="DY35887" s="185" t="s">
        <v>215</v>
      </c>
    </row>
    <row r="35888" spans="129:129" x14ac:dyDescent="0.2">
      <c r="DY35888" s="185" t="s">
        <v>215</v>
      </c>
    </row>
    <row r="35889" spans="129:129" x14ac:dyDescent="0.2">
      <c r="DY35889" s="185" t="s">
        <v>215</v>
      </c>
    </row>
    <row r="35890" spans="129:129" x14ac:dyDescent="0.2">
      <c r="DY35890" s="185" t="s">
        <v>215</v>
      </c>
    </row>
    <row r="35891" spans="129:129" x14ac:dyDescent="0.2">
      <c r="DY35891" s="185" t="s">
        <v>215</v>
      </c>
    </row>
    <row r="35892" spans="129:129" x14ac:dyDescent="0.2">
      <c r="DY35892" s="185" t="s">
        <v>215</v>
      </c>
    </row>
    <row r="35893" spans="129:129" x14ac:dyDescent="0.2">
      <c r="DY35893" s="185" t="s">
        <v>215</v>
      </c>
    </row>
    <row r="35894" spans="129:129" x14ac:dyDescent="0.2">
      <c r="DY35894" s="185" t="s">
        <v>215</v>
      </c>
    </row>
    <row r="35895" spans="129:129" x14ac:dyDescent="0.2">
      <c r="DY35895" s="185" t="s">
        <v>215</v>
      </c>
    </row>
    <row r="35896" spans="129:129" x14ac:dyDescent="0.2">
      <c r="DY35896" s="185" t="s">
        <v>215</v>
      </c>
    </row>
    <row r="35897" spans="129:129" x14ac:dyDescent="0.2">
      <c r="DY35897" s="185" t="s">
        <v>215</v>
      </c>
    </row>
    <row r="35898" spans="129:129" x14ac:dyDescent="0.2">
      <c r="DY35898" s="185" t="s">
        <v>215</v>
      </c>
    </row>
    <row r="35899" spans="129:129" x14ac:dyDescent="0.2">
      <c r="DY35899" s="185" t="s">
        <v>215</v>
      </c>
    </row>
    <row r="35900" spans="129:129" x14ac:dyDescent="0.2">
      <c r="DY35900" s="185" t="s">
        <v>215</v>
      </c>
    </row>
    <row r="35901" spans="129:129" x14ac:dyDescent="0.2">
      <c r="DY35901" s="185" t="s">
        <v>215</v>
      </c>
    </row>
    <row r="35902" spans="129:129" x14ac:dyDescent="0.2">
      <c r="DY35902" s="185" t="s">
        <v>215</v>
      </c>
    </row>
    <row r="35903" spans="129:129" x14ac:dyDescent="0.2">
      <c r="DY35903" s="185" t="s">
        <v>215</v>
      </c>
    </row>
    <row r="35904" spans="129:129" x14ac:dyDescent="0.2">
      <c r="DY35904" s="185" t="s">
        <v>215</v>
      </c>
    </row>
    <row r="35905" spans="129:129" x14ac:dyDescent="0.2">
      <c r="DY35905" s="185" t="s">
        <v>215</v>
      </c>
    </row>
    <row r="35906" spans="129:129" x14ac:dyDescent="0.2">
      <c r="DY35906" s="185" t="s">
        <v>215</v>
      </c>
    </row>
    <row r="35907" spans="129:129" x14ac:dyDescent="0.2">
      <c r="DY35907" s="185" t="s">
        <v>215</v>
      </c>
    </row>
    <row r="35908" spans="129:129" x14ac:dyDescent="0.2">
      <c r="DY35908" s="185" t="s">
        <v>215</v>
      </c>
    </row>
    <row r="35909" spans="129:129" x14ac:dyDescent="0.2">
      <c r="DY35909" s="185" t="s">
        <v>215</v>
      </c>
    </row>
    <row r="35910" spans="129:129" x14ac:dyDescent="0.2">
      <c r="DY35910" s="185" t="s">
        <v>215</v>
      </c>
    </row>
    <row r="35911" spans="129:129" x14ac:dyDescent="0.2">
      <c r="DY35911" s="185" t="s">
        <v>215</v>
      </c>
    </row>
    <row r="35912" spans="129:129" x14ac:dyDescent="0.2">
      <c r="DY35912" s="185" t="s">
        <v>215</v>
      </c>
    </row>
    <row r="35913" spans="129:129" x14ac:dyDescent="0.2">
      <c r="DY35913" s="185" t="s">
        <v>215</v>
      </c>
    </row>
    <row r="35914" spans="129:129" x14ac:dyDescent="0.2">
      <c r="DY35914" s="185" t="s">
        <v>215</v>
      </c>
    </row>
    <row r="35915" spans="129:129" x14ac:dyDescent="0.2">
      <c r="DY35915" s="185" t="s">
        <v>215</v>
      </c>
    </row>
    <row r="35916" spans="129:129" x14ac:dyDescent="0.2">
      <c r="DY35916" s="185" t="s">
        <v>215</v>
      </c>
    </row>
    <row r="35917" spans="129:129" x14ac:dyDescent="0.2">
      <c r="DY35917" s="185" t="s">
        <v>215</v>
      </c>
    </row>
    <row r="35918" spans="129:129" x14ac:dyDescent="0.2">
      <c r="DY35918" s="185" t="s">
        <v>215</v>
      </c>
    </row>
    <row r="35919" spans="129:129" x14ac:dyDescent="0.2">
      <c r="DY35919" s="185" t="s">
        <v>215</v>
      </c>
    </row>
    <row r="35920" spans="129:129" x14ac:dyDescent="0.2">
      <c r="DY35920" s="185" t="s">
        <v>215</v>
      </c>
    </row>
    <row r="35921" spans="129:129" x14ac:dyDescent="0.2">
      <c r="DY35921" s="185" t="s">
        <v>215</v>
      </c>
    </row>
    <row r="35922" spans="129:129" x14ac:dyDescent="0.2">
      <c r="DY35922" s="185" t="s">
        <v>215</v>
      </c>
    </row>
    <row r="35923" spans="129:129" x14ac:dyDescent="0.2">
      <c r="DY35923" s="185" t="s">
        <v>215</v>
      </c>
    </row>
    <row r="35924" spans="129:129" x14ac:dyDescent="0.2">
      <c r="DY35924" s="185" t="s">
        <v>215</v>
      </c>
    </row>
    <row r="35925" spans="129:129" x14ac:dyDescent="0.2">
      <c r="DY35925" s="185" t="s">
        <v>215</v>
      </c>
    </row>
    <row r="35926" spans="129:129" x14ac:dyDescent="0.2">
      <c r="DY35926" s="185" t="s">
        <v>215</v>
      </c>
    </row>
    <row r="35927" spans="129:129" x14ac:dyDescent="0.2">
      <c r="DY35927" s="185" t="s">
        <v>215</v>
      </c>
    </row>
    <row r="35928" spans="129:129" x14ac:dyDescent="0.2">
      <c r="DY35928" s="185" t="s">
        <v>215</v>
      </c>
    </row>
    <row r="35929" spans="129:129" x14ac:dyDescent="0.2">
      <c r="DY35929" s="185" t="s">
        <v>215</v>
      </c>
    </row>
    <row r="35930" spans="129:129" x14ac:dyDescent="0.2">
      <c r="DY35930" s="185" t="s">
        <v>215</v>
      </c>
    </row>
    <row r="35931" spans="129:129" x14ac:dyDescent="0.2">
      <c r="DY35931" s="185" t="s">
        <v>215</v>
      </c>
    </row>
    <row r="35932" spans="129:129" x14ac:dyDescent="0.2">
      <c r="DY35932" s="185" t="s">
        <v>215</v>
      </c>
    </row>
    <row r="35933" spans="129:129" x14ac:dyDescent="0.2">
      <c r="DY35933" s="185" t="s">
        <v>215</v>
      </c>
    </row>
    <row r="35934" spans="129:129" x14ac:dyDescent="0.2">
      <c r="DY35934" s="185" t="s">
        <v>215</v>
      </c>
    </row>
    <row r="35935" spans="129:129" x14ac:dyDescent="0.2">
      <c r="DY35935" s="185" t="s">
        <v>215</v>
      </c>
    </row>
    <row r="35936" spans="129:129" x14ac:dyDescent="0.2">
      <c r="DY35936" s="185" t="s">
        <v>215</v>
      </c>
    </row>
    <row r="35937" spans="129:129" x14ac:dyDescent="0.2">
      <c r="DY35937" s="185" t="s">
        <v>215</v>
      </c>
    </row>
    <row r="35938" spans="129:129" x14ac:dyDescent="0.2">
      <c r="DY35938" s="185" t="s">
        <v>215</v>
      </c>
    </row>
    <row r="35939" spans="129:129" x14ac:dyDescent="0.2">
      <c r="DY35939" s="185" t="s">
        <v>215</v>
      </c>
    </row>
    <row r="35940" spans="129:129" x14ac:dyDescent="0.2">
      <c r="DY35940" s="185" t="s">
        <v>215</v>
      </c>
    </row>
    <row r="35941" spans="129:129" x14ac:dyDescent="0.2">
      <c r="DY35941" s="185" t="s">
        <v>215</v>
      </c>
    </row>
    <row r="35942" spans="129:129" x14ac:dyDescent="0.2">
      <c r="DY35942" s="185" t="s">
        <v>215</v>
      </c>
    </row>
    <row r="35943" spans="129:129" x14ac:dyDescent="0.2">
      <c r="DY35943" s="185" t="s">
        <v>215</v>
      </c>
    </row>
    <row r="35944" spans="129:129" x14ac:dyDescent="0.2">
      <c r="DY35944" s="185" t="s">
        <v>215</v>
      </c>
    </row>
    <row r="35945" spans="129:129" x14ac:dyDescent="0.2">
      <c r="DY35945" s="185" t="s">
        <v>215</v>
      </c>
    </row>
    <row r="35946" spans="129:129" x14ac:dyDescent="0.2">
      <c r="DY35946" s="185" t="s">
        <v>215</v>
      </c>
    </row>
    <row r="35947" spans="129:129" x14ac:dyDescent="0.2">
      <c r="DY35947" s="185" t="s">
        <v>215</v>
      </c>
    </row>
    <row r="35948" spans="129:129" x14ac:dyDescent="0.2">
      <c r="DY35948" s="185" t="s">
        <v>215</v>
      </c>
    </row>
    <row r="35949" spans="129:129" x14ac:dyDescent="0.2">
      <c r="DY35949" s="185" t="s">
        <v>215</v>
      </c>
    </row>
    <row r="35950" spans="129:129" x14ac:dyDescent="0.2">
      <c r="DY35950" s="185" t="s">
        <v>215</v>
      </c>
    </row>
    <row r="35951" spans="129:129" x14ac:dyDescent="0.2">
      <c r="DY35951" s="185" t="s">
        <v>215</v>
      </c>
    </row>
    <row r="35952" spans="129:129" x14ac:dyDescent="0.2">
      <c r="DY35952" s="185" t="s">
        <v>215</v>
      </c>
    </row>
    <row r="35953" spans="129:129" x14ac:dyDescent="0.2">
      <c r="DY35953" s="185" t="s">
        <v>215</v>
      </c>
    </row>
    <row r="35954" spans="129:129" x14ac:dyDescent="0.2">
      <c r="DY35954" s="185" t="s">
        <v>215</v>
      </c>
    </row>
    <row r="35955" spans="129:129" x14ac:dyDescent="0.2">
      <c r="DY35955" s="185" t="s">
        <v>215</v>
      </c>
    </row>
    <row r="35956" spans="129:129" x14ac:dyDescent="0.2">
      <c r="DY35956" s="185" t="s">
        <v>215</v>
      </c>
    </row>
    <row r="35957" spans="129:129" x14ac:dyDescent="0.2">
      <c r="DY35957" s="185" t="s">
        <v>215</v>
      </c>
    </row>
    <row r="35958" spans="129:129" x14ac:dyDescent="0.2">
      <c r="DY35958" s="185" t="s">
        <v>215</v>
      </c>
    </row>
    <row r="35959" spans="129:129" x14ac:dyDescent="0.2">
      <c r="DY35959" s="185" t="s">
        <v>215</v>
      </c>
    </row>
    <row r="35960" spans="129:129" x14ac:dyDescent="0.2">
      <c r="DY35960" s="185" t="s">
        <v>215</v>
      </c>
    </row>
    <row r="35961" spans="129:129" x14ac:dyDescent="0.2">
      <c r="DY35961" s="185" t="s">
        <v>215</v>
      </c>
    </row>
    <row r="35962" spans="129:129" x14ac:dyDescent="0.2">
      <c r="DY35962" s="185" t="s">
        <v>215</v>
      </c>
    </row>
    <row r="35963" spans="129:129" x14ac:dyDescent="0.2">
      <c r="DY35963" s="185" t="s">
        <v>215</v>
      </c>
    </row>
    <row r="35964" spans="129:129" x14ac:dyDescent="0.2">
      <c r="DY35964" s="185" t="s">
        <v>215</v>
      </c>
    </row>
    <row r="35965" spans="129:129" x14ac:dyDescent="0.2">
      <c r="DY35965" s="185" t="s">
        <v>215</v>
      </c>
    </row>
    <row r="35966" spans="129:129" x14ac:dyDescent="0.2">
      <c r="DY35966" s="185" t="s">
        <v>215</v>
      </c>
    </row>
    <row r="35967" spans="129:129" x14ac:dyDescent="0.2">
      <c r="DY35967" s="185" t="s">
        <v>215</v>
      </c>
    </row>
    <row r="35968" spans="129:129" x14ac:dyDescent="0.2">
      <c r="DY35968" s="185" t="s">
        <v>215</v>
      </c>
    </row>
    <row r="35969" spans="129:129" x14ac:dyDescent="0.2">
      <c r="DY35969" s="185" t="s">
        <v>215</v>
      </c>
    </row>
    <row r="35970" spans="129:129" x14ac:dyDescent="0.2">
      <c r="DY35970" s="185" t="s">
        <v>215</v>
      </c>
    </row>
    <row r="35971" spans="129:129" x14ac:dyDescent="0.2">
      <c r="DY35971" s="185" t="s">
        <v>215</v>
      </c>
    </row>
    <row r="35972" spans="129:129" x14ac:dyDescent="0.2">
      <c r="DY35972" s="185" t="s">
        <v>215</v>
      </c>
    </row>
    <row r="35973" spans="129:129" x14ac:dyDescent="0.2">
      <c r="DY35973" s="185" t="s">
        <v>215</v>
      </c>
    </row>
    <row r="35974" spans="129:129" x14ac:dyDescent="0.2">
      <c r="DY35974" s="185" t="s">
        <v>215</v>
      </c>
    </row>
    <row r="35975" spans="129:129" x14ac:dyDescent="0.2">
      <c r="DY35975" s="185" t="s">
        <v>215</v>
      </c>
    </row>
    <row r="35976" spans="129:129" x14ac:dyDescent="0.2">
      <c r="DY35976" s="185" t="s">
        <v>215</v>
      </c>
    </row>
    <row r="35977" spans="129:129" x14ac:dyDescent="0.2">
      <c r="DY35977" s="185" t="s">
        <v>215</v>
      </c>
    </row>
    <row r="35978" spans="129:129" x14ac:dyDescent="0.2">
      <c r="DY35978" s="185" t="s">
        <v>215</v>
      </c>
    </row>
    <row r="35979" spans="129:129" x14ac:dyDescent="0.2">
      <c r="DY35979" s="185" t="s">
        <v>215</v>
      </c>
    </row>
    <row r="35980" spans="129:129" x14ac:dyDescent="0.2">
      <c r="DY35980" s="185" t="s">
        <v>215</v>
      </c>
    </row>
    <row r="35981" spans="129:129" x14ac:dyDescent="0.2">
      <c r="DY35981" s="185" t="s">
        <v>215</v>
      </c>
    </row>
    <row r="35982" spans="129:129" x14ac:dyDescent="0.2">
      <c r="DY35982" s="185" t="s">
        <v>215</v>
      </c>
    </row>
    <row r="35983" spans="129:129" x14ac:dyDescent="0.2">
      <c r="DY35983" s="185" t="s">
        <v>215</v>
      </c>
    </row>
    <row r="35984" spans="129:129" x14ac:dyDescent="0.2">
      <c r="DY35984" s="185" t="s">
        <v>215</v>
      </c>
    </row>
    <row r="35985" spans="129:129" x14ac:dyDescent="0.2">
      <c r="DY35985" s="185" t="s">
        <v>215</v>
      </c>
    </row>
    <row r="35986" spans="129:129" x14ac:dyDescent="0.2">
      <c r="DY35986" s="185" t="s">
        <v>215</v>
      </c>
    </row>
    <row r="35987" spans="129:129" x14ac:dyDescent="0.2">
      <c r="DY35987" s="185" t="s">
        <v>215</v>
      </c>
    </row>
    <row r="35988" spans="129:129" x14ac:dyDescent="0.2">
      <c r="DY35988" s="185" t="s">
        <v>215</v>
      </c>
    </row>
    <row r="35989" spans="129:129" x14ac:dyDescent="0.2">
      <c r="DY35989" s="185" t="s">
        <v>215</v>
      </c>
    </row>
    <row r="35990" spans="129:129" x14ac:dyDescent="0.2">
      <c r="DY35990" s="185" t="s">
        <v>215</v>
      </c>
    </row>
    <row r="35991" spans="129:129" x14ac:dyDescent="0.2">
      <c r="DY35991" s="185" t="s">
        <v>215</v>
      </c>
    </row>
    <row r="35992" spans="129:129" x14ac:dyDescent="0.2">
      <c r="DY35992" s="185" t="s">
        <v>215</v>
      </c>
    </row>
    <row r="35993" spans="129:129" x14ac:dyDescent="0.2">
      <c r="DY35993" s="185" t="s">
        <v>215</v>
      </c>
    </row>
    <row r="35994" spans="129:129" x14ac:dyDescent="0.2">
      <c r="DY35994" s="185" t="s">
        <v>215</v>
      </c>
    </row>
    <row r="35995" spans="129:129" x14ac:dyDescent="0.2">
      <c r="DY35995" s="185" t="s">
        <v>215</v>
      </c>
    </row>
    <row r="35996" spans="129:129" x14ac:dyDescent="0.2">
      <c r="DY35996" s="185" t="s">
        <v>215</v>
      </c>
    </row>
    <row r="35997" spans="129:129" x14ac:dyDescent="0.2">
      <c r="DY35997" s="185" t="s">
        <v>215</v>
      </c>
    </row>
    <row r="35998" spans="129:129" x14ac:dyDescent="0.2">
      <c r="DY35998" s="185" t="s">
        <v>215</v>
      </c>
    </row>
    <row r="35999" spans="129:129" x14ac:dyDescent="0.2">
      <c r="DY35999" s="185" t="s">
        <v>215</v>
      </c>
    </row>
    <row r="36000" spans="129:129" x14ac:dyDescent="0.2">
      <c r="DY36000" s="185" t="s">
        <v>215</v>
      </c>
    </row>
    <row r="36001" spans="129:129" x14ac:dyDescent="0.2">
      <c r="DY36001" s="185" t="s">
        <v>215</v>
      </c>
    </row>
    <row r="36002" spans="129:129" x14ac:dyDescent="0.2">
      <c r="DY36002" s="185" t="s">
        <v>215</v>
      </c>
    </row>
    <row r="36003" spans="129:129" x14ac:dyDescent="0.2">
      <c r="DY36003" s="185" t="s">
        <v>215</v>
      </c>
    </row>
    <row r="36004" spans="129:129" x14ac:dyDescent="0.2">
      <c r="DY36004" s="185" t="s">
        <v>215</v>
      </c>
    </row>
    <row r="36005" spans="129:129" x14ac:dyDescent="0.2">
      <c r="DY36005" s="185" t="s">
        <v>215</v>
      </c>
    </row>
    <row r="36006" spans="129:129" x14ac:dyDescent="0.2">
      <c r="DY36006" s="185" t="s">
        <v>215</v>
      </c>
    </row>
    <row r="36007" spans="129:129" x14ac:dyDescent="0.2">
      <c r="DY36007" s="185" t="s">
        <v>215</v>
      </c>
    </row>
    <row r="36008" spans="129:129" x14ac:dyDescent="0.2">
      <c r="DY36008" s="185" t="s">
        <v>215</v>
      </c>
    </row>
    <row r="36009" spans="129:129" x14ac:dyDescent="0.2">
      <c r="DY36009" s="185" t="s">
        <v>215</v>
      </c>
    </row>
    <row r="36010" spans="129:129" x14ac:dyDescent="0.2">
      <c r="DY36010" s="185" t="s">
        <v>215</v>
      </c>
    </row>
    <row r="36011" spans="129:129" x14ac:dyDescent="0.2">
      <c r="DY36011" s="185" t="s">
        <v>215</v>
      </c>
    </row>
    <row r="36012" spans="129:129" x14ac:dyDescent="0.2">
      <c r="DY36012" s="185" t="s">
        <v>215</v>
      </c>
    </row>
    <row r="36013" spans="129:129" x14ac:dyDescent="0.2">
      <c r="DY36013" s="185" t="s">
        <v>215</v>
      </c>
    </row>
    <row r="36014" spans="129:129" x14ac:dyDescent="0.2">
      <c r="DY36014" s="185" t="s">
        <v>215</v>
      </c>
    </row>
    <row r="36015" spans="129:129" x14ac:dyDescent="0.2">
      <c r="DY36015" s="185" t="s">
        <v>215</v>
      </c>
    </row>
    <row r="36016" spans="129:129" x14ac:dyDescent="0.2">
      <c r="DY36016" s="185" t="s">
        <v>215</v>
      </c>
    </row>
    <row r="36017" spans="129:129" x14ac:dyDescent="0.2">
      <c r="DY36017" s="185" t="s">
        <v>215</v>
      </c>
    </row>
    <row r="36018" spans="129:129" x14ac:dyDescent="0.2">
      <c r="DY36018" s="185" t="s">
        <v>215</v>
      </c>
    </row>
    <row r="36019" spans="129:129" x14ac:dyDescent="0.2">
      <c r="DY36019" s="185" t="s">
        <v>215</v>
      </c>
    </row>
    <row r="36020" spans="129:129" x14ac:dyDescent="0.2">
      <c r="DY36020" s="185" t="s">
        <v>215</v>
      </c>
    </row>
    <row r="36021" spans="129:129" x14ac:dyDescent="0.2">
      <c r="DY36021" s="185" t="s">
        <v>215</v>
      </c>
    </row>
    <row r="36022" spans="129:129" x14ac:dyDescent="0.2">
      <c r="DY36022" s="185" t="s">
        <v>215</v>
      </c>
    </row>
    <row r="36023" spans="129:129" x14ac:dyDescent="0.2">
      <c r="DY36023" s="185" t="s">
        <v>215</v>
      </c>
    </row>
    <row r="36024" spans="129:129" x14ac:dyDescent="0.2">
      <c r="DY36024" s="185" t="s">
        <v>215</v>
      </c>
    </row>
    <row r="36025" spans="129:129" x14ac:dyDescent="0.2">
      <c r="DY36025" s="185" t="s">
        <v>215</v>
      </c>
    </row>
    <row r="36026" spans="129:129" x14ac:dyDescent="0.2">
      <c r="DY36026" s="185" t="s">
        <v>215</v>
      </c>
    </row>
    <row r="36027" spans="129:129" x14ac:dyDescent="0.2">
      <c r="DY36027" s="185" t="s">
        <v>215</v>
      </c>
    </row>
    <row r="36028" spans="129:129" x14ac:dyDescent="0.2">
      <c r="DY36028" s="185" t="s">
        <v>215</v>
      </c>
    </row>
    <row r="36029" spans="129:129" x14ac:dyDescent="0.2">
      <c r="DY36029" s="185" t="s">
        <v>215</v>
      </c>
    </row>
    <row r="36030" spans="129:129" x14ac:dyDescent="0.2">
      <c r="DY36030" s="185" t="s">
        <v>215</v>
      </c>
    </row>
    <row r="36031" spans="129:129" x14ac:dyDescent="0.2">
      <c r="DY36031" s="185" t="s">
        <v>215</v>
      </c>
    </row>
    <row r="36032" spans="129:129" x14ac:dyDescent="0.2">
      <c r="DY36032" s="185" t="s">
        <v>215</v>
      </c>
    </row>
    <row r="36033" spans="129:129" x14ac:dyDescent="0.2">
      <c r="DY36033" s="185" t="s">
        <v>215</v>
      </c>
    </row>
    <row r="36034" spans="129:129" x14ac:dyDescent="0.2">
      <c r="DY36034" s="185" t="s">
        <v>215</v>
      </c>
    </row>
    <row r="36035" spans="129:129" x14ac:dyDescent="0.2">
      <c r="DY36035" s="185" t="s">
        <v>215</v>
      </c>
    </row>
    <row r="36036" spans="129:129" x14ac:dyDescent="0.2">
      <c r="DY36036" s="185" t="s">
        <v>215</v>
      </c>
    </row>
    <row r="36037" spans="129:129" x14ac:dyDescent="0.2">
      <c r="DY36037" s="185" t="s">
        <v>215</v>
      </c>
    </row>
    <row r="36038" spans="129:129" x14ac:dyDescent="0.2">
      <c r="DY36038" s="185" t="s">
        <v>215</v>
      </c>
    </row>
    <row r="36039" spans="129:129" x14ac:dyDescent="0.2">
      <c r="DY36039" s="185" t="s">
        <v>215</v>
      </c>
    </row>
    <row r="36040" spans="129:129" x14ac:dyDescent="0.2">
      <c r="DY36040" s="185" t="s">
        <v>215</v>
      </c>
    </row>
    <row r="36041" spans="129:129" x14ac:dyDescent="0.2">
      <c r="DY36041" s="185" t="s">
        <v>215</v>
      </c>
    </row>
    <row r="36042" spans="129:129" x14ac:dyDescent="0.2">
      <c r="DY36042" s="185" t="s">
        <v>215</v>
      </c>
    </row>
    <row r="36043" spans="129:129" x14ac:dyDescent="0.2">
      <c r="DY36043" s="185" t="s">
        <v>215</v>
      </c>
    </row>
    <row r="36044" spans="129:129" x14ac:dyDescent="0.2">
      <c r="DY36044" s="185" t="s">
        <v>215</v>
      </c>
    </row>
    <row r="36045" spans="129:129" x14ac:dyDescent="0.2">
      <c r="DY36045" s="185" t="s">
        <v>215</v>
      </c>
    </row>
    <row r="36046" spans="129:129" x14ac:dyDescent="0.2">
      <c r="DY36046" s="185" t="s">
        <v>215</v>
      </c>
    </row>
    <row r="36047" spans="129:129" x14ac:dyDescent="0.2">
      <c r="DY36047" s="185" t="s">
        <v>215</v>
      </c>
    </row>
    <row r="36048" spans="129:129" x14ac:dyDescent="0.2">
      <c r="DY36048" s="185" t="s">
        <v>215</v>
      </c>
    </row>
    <row r="36049" spans="129:129" x14ac:dyDescent="0.2">
      <c r="DY36049" s="185" t="s">
        <v>215</v>
      </c>
    </row>
    <row r="36050" spans="129:129" x14ac:dyDescent="0.2">
      <c r="DY36050" s="185" t="s">
        <v>215</v>
      </c>
    </row>
    <row r="36051" spans="129:129" x14ac:dyDescent="0.2">
      <c r="DY36051" s="185" t="s">
        <v>215</v>
      </c>
    </row>
    <row r="36052" spans="129:129" x14ac:dyDescent="0.2">
      <c r="DY36052" s="185" t="s">
        <v>215</v>
      </c>
    </row>
    <row r="36053" spans="129:129" x14ac:dyDescent="0.2">
      <c r="DY36053" s="185" t="s">
        <v>215</v>
      </c>
    </row>
    <row r="36054" spans="129:129" x14ac:dyDescent="0.2">
      <c r="DY36054" s="185" t="s">
        <v>215</v>
      </c>
    </row>
    <row r="36055" spans="129:129" x14ac:dyDescent="0.2">
      <c r="DY36055" s="185" t="s">
        <v>215</v>
      </c>
    </row>
    <row r="36056" spans="129:129" x14ac:dyDescent="0.2">
      <c r="DY36056" s="185" t="s">
        <v>215</v>
      </c>
    </row>
    <row r="36057" spans="129:129" x14ac:dyDescent="0.2">
      <c r="DY36057" s="185" t="s">
        <v>215</v>
      </c>
    </row>
    <row r="36058" spans="129:129" x14ac:dyDescent="0.2">
      <c r="DY36058" s="185" t="s">
        <v>215</v>
      </c>
    </row>
    <row r="36059" spans="129:129" x14ac:dyDescent="0.2">
      <c r="DY36059" s="185" t="s">
        <v>215</v>
      </c>
    </row>
    <row r="36060" spans="129:129" x14ac:dyDescent="0.2">
      <c r="DY36060" s="185" t="s">
        <v>215</v>
      </c>
    </row>
    <row r="36061" spans="129:129" x14ac:dyDescent="0.2">
      <c r="DY36061" s="185" t="s">
        <v>215</v>
      </c>
    </row>
    <row r="36062" spans="129:129" x14ac:dyDescent="0.2">
      <c r="DY36062" s="185" t="s">
        <v>215</v>
      </c>
    </row>
    <row r="36063" spans="129:129" x14ac:dyDescent="0.2">
      <c r="DY36063" s="185" t="s">
        <v>215</v>
      </c>
    </row>
    <row r="36064" spans="129:129" x14ac:dyDescent="0.2">
      <c r="DY36064" s="185" t="s">
        <v>215</v>
      </c>
    </row>
    <row r="36065" spans="129:129" x14ac:dyDescent="0.2">
      <c r="DY36065" s="185" t="s">
        <v>215</v>
      </c>
    </row>
    <row r="36066" spans="129:129" x14ac:dyDescent="0.2">
      <c r="DY36066" s="185" t="s">
        <v>215</v>
      </c>
    </row>
    <row r="36067" spans="129:129" x14ac:dyDescent="0.2">
      <c r="DY36067" s="185" t="s">
        <v>215</v>
      </c>
    </row>
    <row r="36068" spans="129:129" x14ac:dyDescent="0.2">
      <c r="DY36068" s="185" t="s">
        <v>215</v>
      </c>
    </row>
    <row r="36069" spans="129:129" x14ac:dyDescent="0.2">
      <c r="DY36069" s="185" t="s">
        <v>215</v>
      </c>
    </row>
    <row r="36070" spans="129:129" x14ac:dyDescent="0.2">
      <c r="DY36070" s="185" t="s">
        <v>215</v>
      </c>
    </row>
    <row r="36071" spans="129:129" x14ac:dyDescent="0.2">
      <c r="DY36071" s="185" t="s">
        <v>215</v>
      </c>
    </row>
    <row r="36072" spans="129:129" x14ac:dyDescent="0.2">
      <c r="DY36072" s="185" t="s">
        <v>215</v>
      </c>
    </row>
    <row r="36073" spans="129:129" x14ac:dyDescent="0.2">
      <c r="DY36073" s="185" t="s">
        <v>215</v>
      </c>
    </row>
    <row r="36074" spans="129:129" x14ac:dyDescent="0.2">
      <c r="DY36074" s="185" t="s">
        <v>215</v>
      </c>
    </row>
    <row r="36075" spans="129:129" x14ac:dyDescent="0.2">
      <c r="DY36075" s="185" t="s">
        <v>215</v>
      </c>
    </row>
    <row r="36076" spans="129:129" x14ac:dyDescent="0.2">
      <c r="DY36076" s="185" t="s">
        <v>215</v>
      </c>
    </row>
    <row r="36077" spans="129:129" x14ac:dyDescent="0.2">
      <c r="DY36077" s="185" t="s">
        <v>215</v>
      </c>
    </row>
    <row r="36078" spans="129:129" x14ac:dyDescent="0.2">
      <c r="DY36078" s="185" t="s">
        <v>215</v>
      </c>
    </row>
    <row r="36079" spans="129:129" x14ac:dyDescent="0.2">
      <c r="DY36079" s="185" t="s">
        <v>215</v>
      </c>
    </row>
    <row r="36080" spans="129:129" x14ac:dyDescent="0.2">
      <c r="DY36080" s="185" t="s">
        <v>215</v>
      </c>
    </row>
    <row r="36081" spans="129:129" x14ac:dyDescent="0.2">
      <c r="DY36081" s="185" t="s">
        <v>215</v>
      </c>
    </row>
    <row r="36082" spans="129:129" x14ac:dyDescent="0.2">
      <c r="DY36082" s="185" t="s">
        <v>215</v>
      </c>
    </row>
    <row r="36083" spans="129:129" x14ac:dyDescent="0.2">
      <c r="DY36083" s="185" t="s">
        <v>215</v>
      </c>
    </row>
    <row r="36084" spans="129:129" x14ac:dyDescent="0.2">
      <c r="DY36084" s="185" t="s">
        <v>215</v>
      </c>
    </row>
    <row r="36085" spans="129:129" x14ac:dyDescent="0.2">
      <c r="DY36085" s="185" t="s">
        <v>215</v>
      </c>
    </row>
    <row r="36086" spans="129:129" x14ac:dyDescent="0.2">
      <c r="DY36086" s="185" t="s">
        <v>215</v>
      </c>
    </row>
    <row r="36087" spans="129:129" x14ac:dyDescent="0.2">
      <c r="DY36087" s="185" t="s">
        <v>215</v>
      </c>
    </row>
    <row r="36088" spans="129:129" x14ac:dyDescent="0.2">
      <c r="DY36088" s="185" t="s">
        <v>215</v>
      </c>
    </row>
    <row r="36089" spans="129:129" x14ac:dyDescent="0.2">
      <c r="DY36089" s="185" t="s">
        <v>215</v>
      </c>
    </row>
    <row r="36090" spans="129:129" x14ac:dyDescent="0.2">
      <c r="DY36090" s="185" t="s">
        <v>215</v>
      </c>
    </row>
    <row r="36091" spans="129:129" x14ac:dyDescent="0.2">
      <c r="DY36091" s="185" t="s">
        <v>215</v>
      </c>
    </row>
    <row r="36092" spans="129:129" x14ac:dyDescent="0.2">
      <c r="DY36092" s="185" t="s">
        <v>215</v>
      </c>
    </row>
    <row r="36093" spans="129:129" x14ac:dyDescent="0.2">
      <c r="DY36093" s="185" t="s">
        <v>215</v>
      </c>
    </row>
    <row r="36094" spans="129:129" x14ac:dyDescent="0.2">
      <c r="DY36094" s="185" t="s">
        <v>215</v>
      </c>
    </row>
    <row r="36095" spans="129:129" x14ac:dyDescent="0.2">
      <c r="DY36095" s="185" t="s">
        <v>215</v>
      </c>
    </row>
    <row r="36096" spans="129:129" x14ac:dyDescent="0.2">
      <c r="DY36096" s="185" t="s">
        <v>215</v>
      </c>
    </row>
    <row r="36097" spans="129:129" x14ac:dyDescent="0.2">
      <c r="DY36097" s="185" t="s">
        <v>215</v>
      </c>
    </row>
    <row r="36098" spans="129:129" x14ac:dyDescent="0.2">
      <c r="DY36098" s="185" t="s">
        <v>215</v>
      </c>
    </row>
    <row r="36099" spans="129:129" x14ac:dyDescent="0.2">
      <c r="DY36099" s="185" t="s">
        <v>215</v>
      </c>
    </row>
    <row r="36100" spans="129:129" x14ac:dyDescent="0.2">
      <c r="DY36100" s="185" t="s">
        <v>215</v>
      </c>
    </row>
    <row r="36101" spans="129:129" x14ac:dyDescent="0.2">
      <c r="DY36101" s="185" t="s">
        <v>215</v>
      </c>
    </row>
    <row r="36102" spans="129:129" x14ac:dyDescent="0.2">
      <c r="DY36102" s="185" t="s">
        <v>215</v>
      </c>
    </row>
    <row r="36103" spans="129:129" x14ac:dyDescent="0.2">
      <c r="DY36103" s="185" t="s">
        <v>215</v>
      </c>
    </row>
    <row r="36104" spans="129:129" x14ac:dyDescent="0.2">
      <c r="DY36104" s="185" t="s">
        <v>215</v>
      </c>
    </row>
    <row r="36105" spans="129:129" x14ac:dyDescent="0.2">
      <c r="DY36105" s="185" t="s">
        <v>215</v>
      </c>
    </row>
    <row r="36106" spans="129:129" x14ac:dyDescent="0.2">
      <c r="DY36106" s="185" t="s">
        <v>215</v>
      </c>
    </row>
    <row r="36107" spans="129:129" x14ac:dyDescent="0.2">
      <c r="DY36107" s="185" t="s">
        <v>215</v>
      </c>
    </row>
    <row r="36108" spans="129:129" x14ac:dyDescent="0.2">
      <c r="DY36108" s="185" t="s">
        <v>215</v>
      </c>
    </row>
    <row r="36109" spans="129:129" x14ac:dyDescent="0.2">
      <c r="DY36109" s="185" t="s">
        <v>215</v>
      </c>
    </row>
    <row r="36110" spans="129:129" x14ac:dyDescent="0.2">
      <c r="DY36110" s="185" t="s">
        <v>215</v>
      </c>
    </row>
    <row r="36111" spans="129:129" x14ac:dyDescent="0.2">
      <c r="DY36111" s="185" t="s">
        <v>215</v>
      </c>
    </row>
    <row r="36112" spans="129:129" x14ac:dyDescent="0.2">
      <c r="DY36112" s="185" t="s">
        <v>215</v>
      </c>
    </row>
    <row r="36113" spans="129:129" x14ac:dyDescent="0.2">
      <c r="DY36113" s="185" t="s">
        <v>215</v>
      </c>
    </row>
    <row r="36114" spans="129:129" x14ac:dyDescent="0.2">
      <c r="DY36114" s="185" t="s">
        <v>215</v>
      </c>
    </row>
    <row r="36115" spans="129:129" x14ac:dyDescent="0.2">
      <c r="DY36115" s="185" t="s">
        <v>215</v>
      </c>
    </row>
    <row r="36116" spans="129:129" x14ac:dyDescent="0.2">
      <c r="DY36116" s="185" t="s">
        <v>215</v>
      </c>
    </row>
    <row r="36117" spans="129:129" x14ac:dyDescent="0.2">
      <c r="DY36117" s="185" t="s">
        <v>215</v>
      </c>
    </row>
    <row r="36118" spans="129:129" x14ac:dyDescent="0.2">
      <c r="DY36118" s="185" t="s">
        <v>215</v>
      </c>
    </row>
    <row r="36119" spans="129:129" x14ac:dyDescent="0.2">
      <c r="DY36119" s="185" t="s">
        <v>215</v>
      </c>
    </row>
    <row r="36120" spans="129:129" x14ac:dyDescent="0.2">
      <c r="DY36120" s="185" t="s">
        <v>215</v>
      </c>
    </row>
    <row r="36121" spans="129:129" x14ac:dyDescent="0.2">
      <c r="DY36121" s="185" t="s">
        <v>215</v>
      </c>
    </row>
    <row r="36122" spans="129:129" x14ac:dyDescent="0.2">
      <c r="DY36122" s="185" t="s">
        <v>215</v>
      </c>
    </row>
    <row r="36123" spans="129:129" x14ac:dyDescent="0.2">
      <c r="DY36123" s="185" t="s">
        <v>215</v>
      </c>
    </row>
    <row r="36124" spans="129:129" x14ac:dyDescent="0.2">
      <c r="DY36124" s="185" t="s">
        <v>215</v>
      </c>
    </row>
    <row r="36125" spans="129:129" x14ac:dyDescent="0.2">
      <c r="DY36125" s="185" t="s">
        <v>215</v>
      </c>
    </row>
    <row r="36126" spans="129:129" x14ac:dyDescent="0.2">
      <c r="DY36126" s="185" t="s">
        <v>215</v>
      </c>
    </row>
    <row r="36127" spans="129:129" x14ac:dyDescent="0.2">
      <c r="DY36127" s="185" t="s">
        <v>215</v>
      </c>
    </row>
    <row r="36128" spans="129:129" x14ac:dyDescent="0.2">
      <c r="DY36128" s="185" t="s">
        <v>215</v>
      </c>
    </row>
    <row r="36129" spans="129:129" x14ac:dyDescent="0.2">
      <c r="DY36129" s="185" t="s">
        <v>215</v>
      </c>
    </row>
    <row r="36130" spans="129:129" x14ac:dyDescent="0.2">
      <c r="DY36130" s="185" t="s">
        <v>215</v>
      </c>
    </row>
    <row r="36131" spans="129:129" x14ac:dyDescent="0.2">
      <c r="DY36131" s="185" t="s">
        <v>215</v>
      </c>
    </row>
    <row r="36132" spans="129:129" x14ac:dyDescent="0.2">
      <c r="DY36132" s="185" t="s">
        <v>215</v>
      </c>
    </row>
    <row r="36133" spans="129:129" x14ac:dyDescent="0.2">
      <c r="DY36133" s="185" t="s">
        <v>215</v>
      </c>
    </row>
    <row r="36134" spans="129:129" x14ac:dyDescent="0.2">
      <c r="DY36134" s="185" t="s">
        <v>215</v>
      </c>
    </row>
    <row r="36135" spans="129:129" x14ac:dyDescent="0.2">
      <c r="DY36135" s="185" t="s">
        <v>215</v>
      </c>
    </row>
    <row r="36136" spans="129:129" x14ac:dyDescent="0.2">
      <c r="DY36136" s="185" t="s">
        <v>215</v>
      </c>
    </row>
    <row r="36137" spans="129:129" x14ac:dyDescent="0.2">
      <c r="DY36137" s="185" t="s">
        <v>215</v>
      </c>
    </row>
    <row r="36138" spans="129:129" x14ac:dyDescent="0.2">
      <c r="DY36138" s="185" t="s">
        <v>215</v>
      </c>
    </row>
    <row r="36139" spans="129:129" x14ac:dyDescent="0.2">
      <c r="DY36139" s="185" t="s">
        <v>215</v>
      </c>
    </row>
    <row r="36140" spans="129:129" x14ac:dyDescent="0.2">
      <c r="DY36140" s="185" t="s">
        <v>215</v>
      </c>
    </row>
    <row r="36141" spans="129:129" x14ac:dyDescent="0.2">
      <c r="DY36141" s="185" t="s">
        <v>215</v>
      </c>
    </row>
    <row r="36142" spans="129:129" x14ac:dyDescent="0.2">
      <c r="DY36142" s="185" t="s">
        <v>215</v>
      </c>
    </row>
    <row r="36143" spans="129:129" x14ac:dyDescent="0.2">
      <c r="DY36143" s="185" t="s">
        <v>215</v>
      </c>
    </row>
    <row r="36144" spans="129:129" x14ac:dyDescent="0.2">
      <c r="DY36144" s="185" t="s">
        <v>215</v>
      </c>
    </row>
    <row r="36145" spans="129:129" x14ac:dyDescent="0.2">
      <c r="DY36145" s="185" t="s">
        <v>215</v>
      </c>
    </row>
    <row r="36146" spans="129:129" x14ac:dyDescent="0.2">
      <c r="DY36146" s="185" t="s">
        <v>215</v>
      </c>
    </row>
    <row r="36147" spans="129:129" x14ac:dyDescent="0.2">
      <c r="DY36147" s="185" t="s">
        <v>215</v>
      </c>
    </row>
    <row r="36148" spans="129:129" x14ac:dyDescent="0.2">
      <c r="DY36148" s="185" t="s">
        <v>215</v>
      </c>
    </row>
    <row r="36149" spans="129:129" x14ac:dyDescent="0.2">
      <c r="DY36149" s="185" t="s">
        <v>215</v>
      </c>
    </row>
    <row r="36150" spans="129:129" x14ac:dyDescent="0.2">
      <c r="DY36150" s="185" t="s">
        <v>215</v>
      </c>
    </row>
    <row r="36151" spans="129:129" x14ac:dyDescent="0.2">
      <c r="DY36151" s="185" t="s">
        <v>215</v>
      </c>
    </row>
    <row r="36152" spans="129:129" x14ac:dyDescent="0.2">
      <c r="DY36152" s="185" t="s">
        <v>215</v>
      </c>
    </row>
    <row r="36153" spans="129:129" x14ac:dyDescent="0.2">
      <c r="DY36153" s="185" t="s">
        <v>215</v>
      </c>
    </row>
    <row r="36154" spans="129:129" x14ac:dyDescent="0.2">
      <c r="DY36154" s="185" t="s">
        <v>215</v>
      </c>
    </row>
    <row r="36155" spans="129:129" x14ac:dyDescent="0.2">
      <c r="DY36155" s="185" t="s">
        <v>215</v>
      </c>
    </row>
    <row r="36156" spans="129:129" x14ac:dyDescent="0.2">
      <c r="DY36156" s="185" t="s">
        <v>215</v>
      </c>
    </row>
    <row r="36157" spans="129:129" x14ac:dyDescent="0.2">
      <c r="DY36157" s="185" t="s">
        <v>215</v>
      </c>
    </row>
    <row r="36158" spans="129:129" x14ac:dyDescent="0.2">
      <c r="DY36158" s="185" t="s">
        <v>215</v>
      </c>
    </row>
    <row r="36159" spans="129:129" x14ac:dyDescent="0.2">
      <c r="DY36159" s="185" t="s">
        <v>215</v>
      </c>
    </row>
    <row r="36160" spans="129:129" x14ac:dyDescent="0.2">
      <c r="DY36160" s="185" t="s">
        <v>215</v>
      </c>
    </row>
    <row r="36161" spans="129:129" x14ac:dyDescent="0.2">
      <c r="DY36161" s="185" t="s">
        <v>215</v>
      </c>
    </row>
    <row r="36162" spans="129:129" x14ac:dyDescent="0.2">
      <c r="DY36162" s="185" t="s">
        <v>215</v>
      </c>
    </row>
    <row r="36163" spans="129:129" x14ac:dyDescent="0.2">
      <c r="DY36163" s="185" t="s">
        <v>215</v>
      </c>
    </row>
    <row r="36164" spans="129:129" x14ac:dyDescent="0.2">
      <c r="DY36164" s="185" t="s">
        <v>215</v>
      </c>
    </row>
    <row r="36165" spans="129:129" x14ac:dyDescent="0.2">
      <c r="DY36165" s="185" t="s">
        <v>215</v>
      </c>
    </row>
    <row r="36166" spans="129:129" x14ac:dyDescent="0.2">
      <c r="DY36166" s="185" t="s">
        <v>215</v>
      </c>
    </row>
    <row r="36167" spans="129:129" x14ac:dyDescent="0.2">
      <c r="DY36167" s="185" t="s">
        <v>215</v>
      </c>
    </row>
    <row r="36168" spans="129:129" x14ac:dyDescent="0.2">
      <c r="DY36168" s="185" t="s">
        <v>215</v>
      </c>
    </row>
    <row r="36169" spans="129:129" x14ac:dyDescent="0.2">
      <c r="DY36169" s="185" t="s">
        <v>215</v>
      </c>
    </row>
    <row r="36170" spans="129:129" x14ac:dyDescent="0.2">
      <c r="DY36170" s="185" t="s">
        <v>215</v>
      </c>
    </row>
    <row r="36171" spans="129:129" x14ac:dyDescent="0.2">
      <c r="DY36171" s="185" t="s">
        <v>215</v>
      </c>
    </row>
    <row r="36172" spans="129:129" x14ac:dyDescent="0.2">
      <c r="DY36172" s="185" t="s">
        <v>215</v>
      </c>
    </row>
    <row r="36173" spans="129:129" x14ac:dyDescent="0.2">
      <c r="DY36173" s="185" t="s">
        <v>215</v>
      </c>
    </row>
    <row r="36174" spans="129:129" x14ac:dyDescent="0.2">
      <c r="DY36174" s="185" t="s">
        <v>215</v>
      </c>
    </row>
    <row r="36175" spans="129:129" x14ac:dyDescent="0.2">
      <c r="DY36175" s="185" t="s">
        <v>215</v>
      </c>
    </row>
    <row r="36176" spans="129:129" x14ac:dyDescent="0.2">
      <c r="DY36176" s="185" t="s">
        <v>215</v>
      </c>
    </row>
    <row r="36177" spans="129:129" x14ac:dyDescent="0.2">
      <c r="DY36177" s="185" t="s">
        <v>215</v>
      </c>
    </row>
    <row r="36178" spans="129:129" x14ac:dyDescent="0.2">
      <c r="DY36178" s="185" t="s">
        <v>215</v>
      </c>
    </row>
    <row r="36179" spans="129:129" x14ac:dyDescent="0.2">
      <c r="DY36179" s="185" t="s">
        <v>215</v>
      </c>
    </row>
    <row r="36180" spans="129:129" x14ac:dyDescent="0.2">
      <c r="DY36180" s="185" t="s">
        <v>215</v>
      </c>
    </row>
    <row r="36181" spans="129:129" x14ac:dyDescent="0.2">
      <c r="DY36181" s="185" t="s">
        <v>215</v>
      </c>
    </row>
    <row r="36182" spans="129:129" x14ac:dyDescent="0.2">
      <c r="DY36182" s="185" t="s">
        <v>215</v>
      </c>
    </row>
    <row r="36183" spans="129:129" x14ac:dyDescent="0.2">
      <c r="DY36183" s="185" t="s">
        <v>215</v>
      </c>
    </row>
    <row r="36184" spans="129:129" x14ac:dyDescent="0.2">
      <c r="DY36184" s="185" t="s">
        <v>215</v>
      </c>
    </row>
    <row r="36185" spans="129:129" x14ac:dyDescent="0.2">
      <c r="DY36185" s="185" t="s">
        <v>215</v>
      </c>
    </row>
    <row r="36186" spans="129:129" x14ac:dyDescent="0.2">
      <c r="DY36186" s="185" t="s">
        <v>215</v>
      </c>
    </row>
    <row r="36187" spans="129:129" x14ac:dyDescent="0.2">
      <c r="DY36187" s="185" t="s">
        <v>215</v>
      </c>
    </row>
    <row r="36188" spans="129:129" x14ac:dyDescent="0.2">
      <c r="DY36188" s="185" t="s">
        <v>215</v>
      </c>
    </row>
    <row r="36189" spans="129:129" x14ac:dyDescent="0.2">
      <c r="DY36189" s="185" t="s">
        <v>215</v>
      </c>
    </row>
    <row r="36190" spans="129:129" x14ac:dyDescent="0.2">
      <c r="DY36190" s="185" t="s">
        <v>215</v>
      </c>
    </row>
    <row r="36191" spans="129:129" x14ac:dyDescent="0.2">
      <c r="DY36191" s="185" t="s">
        <v>215</v>
      </c>
    </row>
    <row r="36192" spans="129:129" x14ac:dyDescent="0.2">
      <c r="DY36192" s="185" t="s">
        <v>215</v>
      </c>
    </row>
    <row r="36193" spans="129:129" x14ac:dyDescent="0.2">
      <c r="DY36193" s="185" t="s">
        <v>215</v>
      </c>
    </row>
    <row r="36194" spans="129:129" x14ac:dyDescent="0.2">
      <c r="DY36194" s="185" t="s">
        <v>215</v>
      </c>
    </row>
    <row r="36195" spans="129:129" x14ac:dyDescent="0.2">
      <c r="DY36195" s="185" t="s">
        <v>215</v>
      </c>
    </row>
    <row r="36196" spans="129:129" x14ac:dyDescent="0.2">
      <c r="DY36196" s="185" t="s">
        <v>215</v>
      </c>
    </row>
    <row r="36197" spans="129:129" x14ac:dyDescent="0.2">
      <c r="DY36197" s="185" t="s">
        <v>215</v>
      </c>
    </row>
    <row r="36198" spans="129:129" x14ac:dyDescent="0.2">
      <c r="DY36198" s="185" t="s">
        <v>215</v>
      </c>
    </row>
    <row r="36199" spans="129:129" x14ac:dyDescent="0.2">
      <c r="DY36199" s="185" t="s">
        <v>215</v>
      </c>
    </row>
    <row r="36200" spans="129:129" x14ac:dyDescent="0.2">
      <c r="DY36200" s="185" t="s">
        <v>215</v>
      </c>
    </row>
    <row r="36201" spans="129:129" x14ac:dyDescent="0.2">
      <c r="DY36201" s="185" t="s">
        <v>215</v>
      </c>
    </row>
    <row r="36202" spans="129:129" x14ac:dyDescent="0.2">
      <c r="DY36202" s="185" t="s">
        <v>215</v>
      </c>
    </row>
    <row r="36203" spans="129:129" x14ac:dyDescent="0.2">
      <c r="DY36203" s="185" t="s">
        <v>215</v>
      </c>
    </row>
    <row r="36204" spans="129:129" x14ac:dyDescent="0.2">
      <c r="DY36204" s="185" t="s">
        <v>215</v>
      </c>
    </row>
    <row r="36205" spans="129:129" x14ac:dyDescent="0.2">
      <c r="DY36205" s="185" t="s">
        <v>215</v>
      </c>
    </row>
    <row r="36206" spans="129:129" x14ac:dyDescent="0.2">
      <c r="DY36206" s="185" t="s">
        <v>215</v>
      </c>
    </row>
    <row r="36207" spans="129:129" x14ac:dyDescent="0.2">
      <c r="DY36207" s="185" t="s">
        <v>215</v>
      </c>
    </row>
    <row r="36208" spans="129:129" x14ac:dyDescent="0.2">
      <c r="DY36208" s="185" t="s">
        <v>215</v>
      </c>
    </row>
    <row r="36209" spans="129:129" x14ac:dyDescent="0.2">
      <c r="DY36209" s="185" t="s">
        <v>215</v>
      </c>
    </row>
    <row r="36210" spans="129:129" x14ac:dyDescent="0.2">
      <c r="DY36210" s="185" t="s">
        <v>215</v>
      </c>
    </row>
    <row r="36211" spans="129:129" x14ac:dyDescent="0.2">
      <c r="DY36211" s="185" t="s">
        <v>215</v>
      </c>
    </row>
    <row r="36212" spans="129:129" x14ac:dyDescent="0.2">
      <c r="DY36212" s="185" t="s">
        <v>215</v>
      </c>
    </row>
    <row r="36213" spans="129:129" x14ac:dyDescent="0.2">
      <c r="DY36213" s="185" t="s">
        <v>215</v>
      </c>
    </row>
    <row r="36214" spans="129:129" x14ac:dyDescent="0.2">
      <c r="DY36214" s="185" t="s">
        <v>215</v>
      </c>
    </row>
    <row r="36215" spans="129:129" x14ac:dyDescent="0.2">
      <c r="DY36215" s="185" t="s">
        <v>215</v>
      </c>
    </row>
    <row r="36216" spans="129:129" x14ac:dyDescent="0.2">
      <c r="DY36216" s="185" t="s">
        <v>215</v>
      </c>
    </row>
    <row r="36217" spans="129:129" x14ac:dyDescent="0.2">
      <c r="DY36217" s="185" t="s">
        <v>215</v>
      </c>
    </row>
    <row r="36218" spans="129:129" x14ac:dyDescent="0.2">
      <c r="DY36218" s="185" t="s">
        <v>215</v>
      </c>
    </row>
    <row r="36219" spans="129:129" x14ac:dyDescent="0.2">
      <c r="DY36219" s="185" t="s">
        <v>215</v>
      </c>
    </row>
    <row r="36220" spans="129:129" x14ac:dyDescent="0.2">
      <c r="DY36220" s="185" t="s">
        <v>215</v>
      </c>
    </row>
    <row r="36221" spans="129:129" x14ac:dyDescent="0.2">
      <c r="DY36221" s="185" t="s">
        <v>215</v>
      </c>
    </row>
    <row r="36222" spans="129:129" x14ac:dyDescent="0.2">
      <c r="DY36222" s="185" t="s">
        <v>215</v>
      </c>
    </row>
    <row r="36223" spans="129:129" x14ac:dyDescent="0.2">
      <c r="DY36223" s="185" t="s">
        <v>215</v>
      </c>
    </row>
    <row r="36224" spans="129:129" x14ac:dyDescent="0.2">
      <c r="DY36224" s="185" t="s">
        <v>215</v>
      </c>
    </row>
    <row r="36225" spans="129:129" x14ac:dyDescent="0.2">
      <c r="DY36225" s="185" t="s">
        <v>215</v>
      </c>
    </row>
    <row r="36226" spans="129:129" x14ac:dyDescent="0.2">
      <c r="DY36226" s="185" t="s">
        <v>215</v>
      </c>
    </row>
    <row r="36227" spans="129:129" x14ac:dyDescent="0.2">
      <c r="DY36227" s="185" t="s">
        <v>215</v>
      </c>
    </row>
    <row r="36228" spans="129:129" x14ac:dyDescent="0.2">
      <c r="DY36228" s="185" t="s">
        <v>215</v>
      </c>
    </row>
    <row r="36229" spans="129:129" x14ac:dyDescent="0.2">
      <c r="DY36229" s="185" t="s">
        <v>215</v>
      </c>
    </row>
    <row r="36230" spans="129:129" x14ac:dyDescent="0.2">
      <c r="DY36230" s="185" t="s">
        <v>215</v>
      </c>
    </row>
    <row r="36231" spans="129:129" x14ac:dyDescent="0.2">
      <c r="DY36231" s="185" t="s">
        <v>215</v>
      </c>
    </row>
    <row r="36232" spans="129:129" x14ac:dyDescent="0.2">
      <c r="DY36232" s="185" t="s">
        <v>215</v>
      </c>
    </row>
    <row r="36233" spans="129:129" x14ac:dyDescent="0.2">
      <c r="DY36233" s="185" t="s">
        <v>215</v>
      </c>
    </row>
    <row r="36234" spans="129:129" x14ac:dyDescent="0.2">
      <c r="DY36234" s="185" t="s">
        <v>215</v>
      </c>
    </row>
    <row r="36235" spans="129:129" x14ac:dyDescent="0.2">
      <c r="DY36235" s="185" t="s">
        <v>215</v>
      </c>
    </row>
    <row r="36236" spans="129:129" x14ac:dyDescent="0.2">
      <c r="DY36236" s="185" t="s">
        <v>215</v>
      </c>
    </row>
    <row r="36237" spans="129:129" x14ac:dyDescent="0.2">
      <c r="DY36237" s="185" t="s">
        <v>215</v>
      </c>
    </row>
    <row r="36238" spans="129:129" x14ac:dyDescent="0.2">
      <c r="DY36238" s="185" t="s">
        <v>215</v>
      </c>
    </row>
    <row r="36239" spans="129:129" x14ac:dyDescent="0.2">
      <c r="DY36239" s="185" t="s">
        <v>215</v>
      </c>
    </row>
    <row r="36240" spans="129:129" x14ac:dyDescent="0.2">
      <c r="DY36240" s="185" t="s">
        <v>215</v>
      </c>
    </row>
    <row r="36241" spans="129:129" x14ac:dyDescent="0.2">
      <c r="DY36241" s="185" t="s">
        <v>215</v>
      </c>
    </row>
    <row r="36242" spans="129:129" x14ac:dyDescent="0.2">
      <c r="DY36242" s="185" t="s">
        <v>215</v>
      </c>
    </row>
    <row r="36243" spans="129:129" x14ac:dyDescent="0.2">
      <c r="DY36243" s="185" t="s">
        <v>215</v>
      </c>
    </row>
    <row r="36244" spans="129:129" x14ac:dyDescent="0.2">
      <c r="DY36244" s="185" t="s">
        <v>215</v>
      </c>
    </row>
    <row r="36245" spans="129:129" x14ac:dyDescent="0.2">
      <c r="DY36245" s="185" t="s">
        <v>215</v>
      </c>
    </row>
    <row r="36246" spans="129:129" x14ac:dyDescent="0.2">
      <c r="DY36246" s="185" t="s">
        <v>215</v>
      </c>
    </row>
    <row r="36247" spans="129:129" x14ac:dyDescent="0.2">
      <c r="DY36247" s="185" t="s">
        <v>215</v>
      </c>
    </row>
    <row r="36248" spans="129:129" x14ac:dyDescent="0.2">
      <c r="DY36248" s="185" t="s">
        <v>215</v>
      </c>
    </row>
    <row r="36249" spans="129:129" x14ac:dyDescent="0.2">
      <c r="DY36249" s="185" t="s">
        <v>215</v>
      </c>
    </row>
    <row r="36250" spans="129:129" x14ac:dyDescent="0.2">
      <c r="DY36250" s="185" t="s">
        <v>215</v>
      </c>
    </row>
    <row r="36251" spans="129:129" x14ac:dyDescent="0.2">
      <c r="DY36251" s="185" t="s">
        <v>215</v>
      </c>
    </row>
    <row r="36252" spans="129:129" x14ac:dyDescent="0.2">
      <c r="DY36252" s="185" t="s">
        <v>215</v>
      </c>
    </row>
    <row r="36253" spans="129:129" x14ac:dyDescent="0.2">
      <c r="DY36253" s="185" t="s">
        <v>215</v>
      </c>
    </row>
    <row r="36254" spans="129:129" x14ac:dyDescent="0.2">
      <c r="DY36254" s="185" t="s">
        <v>215</v>
      </c>
    </row>
    <row r="36255" spans="129:129" x14ac:dyDescent="0.2">
      <c r="DY36255" s="185" t="s">
        <v>215</v>
      </c>
    </row>
    <row r="36256" spans="129:129" x14ac:dyDescent="0.2">
      <c r="DY36256" s="185" t="s">
        <v>215</v>
      </c>
    </row>
    <row r="36257" spans="129:129" x14ac:dyDescent="0.2">
      <c r="DY36257" s="185" t="s">
        <v>215</v>
      </c>
    </row>
    <row r="36258" spans="129:129" x14ac:dyDescent="0.2">
      <c r="DY36258" s="185" t="s">
        <v>215</v>
      </c>
    </row>
    <row r="36259" spans="129:129" x14ac:dyDescent="0.2">
      <c r="DY36259" s="185" t="s">
        <v>215</v>
      </c>
    </row>
    <row r="36260" spans="129:129" x14ac:dyDescent="0.2">
      <c r="DY36260" s="185" t="s">
        <v>215</v>
      </c>
    </row>
    <row r="36261" spans="129:129" x14ac:dyDescent="0.2">
      <c r="DY36261" s="185" t="s">
        <v>215</v>
      </c>
    </row>
    <row r="36262" spans="129:129" x14ac:dyDescent="0.2">
      <c r="DY36262" s="185" t="s">
        <v>215</v>
      </c>
    </row>
    <row r="36263" spans="129:129" x14ac:dyDescent="0.2">
      <c r="DY36263" s="185" t="s">
        <v>215</v>
      </c>
    </row>
    <row r="36264" spans="129:129" x14ac:dyDescent="0.2">
      <c r="DY36264" s="185" t="s">
        <v>215</v>
      </c>
    </row>
    <row r="36265" spans="129:129" x14ac:dyDescent="0.2">
      <c r="DY36265" s="185" t="s">
        <v>215</v>
      </c>
    </row>
    <row r="36266" spans="129:129" x14ac:dyDescent="0.2">
      <c r="DY36266" s="185" t="s">
        <v>215</v>
      </c>
    </row>
    <row r="36267" spans="129:129" x14ac:dyDescent="0.2">
      <c r="DY36267" s="185" t="s">
        <v>215</v>
      </c>
    </row>
    <row r="36268" spans="129:129" x14ac:dyDescent="0.2">
      <c r="DY36268" s="185" t="s">
        <v>215</v>
      </c>
    </row>
    <row r="36269" spans="129:129" x14ac:dyDescent="0.2">
      <c r="DY36269" s="185" t="s">
        <v>215</v>
      </c>
    </row>
    <row r="36270" spans="129:129" x14ac:dyDescent="0.2">
      <c r="DY36270" s="185" t="s">
        <v>215</v>
      </c>
    </row>
    <row r="36271" spans="129:129" x14ac:dyDescent="0.2">
      <c r="DY36271" s="185" t="s">
        <v>215</v>
      </c>
    </row>
    <row r="36272" spans="129:129" x14ac:dyDescent="0.2">
      <c r="DY36272" s="185" t="s">
        <v>215</v>
      </c>
    </row>
    <row r="36273" spans="129:129" x14ac:dyDescent="0.2">
      <c r="DY36273" s="185" t="s">
        <v>215</v>
      </c>
    </row>
    <row r="36274" spans="129:129" x14ac:dyDescent="0.2">
      <c r="DY36274" s="185" t="s">
        <v>215</v>
      </c>
    </row>
    <row r="36275" spans="129:129" x14ac:dyDescent="0.2">
      <c r="DY36275" s="185" t="s">
        <v>215</v>
      </c>
    </row>
    <row r="36276" spans="129:129" x14ac:dyDescent="0.2">
      <c r="DY36276" s="185" t="s">
        <v>215</v>
      </c>
    </row>
    <row r="36277" spans="129:129" x14ac:dyDescent="0.2">
      <c r="DY36277" s="185" t="s">
        <v>215</v>
      </c>
    </row>
    <row r="36278" spans="129:129" x14ac:dyDescent="0.2">
      <c r="DY36278" s="185" t="s">
        <v>215</v>
      </c>
    </row>
    <row r="36279" spans="129:129" x14ac:dyDescent="0.2">
      <c r="DY36279" s="185" t="s">
        <v>215</v>
      </c>
    </row>
    <row r="36280" spans="129:129" x14ac:dyDescent="0.2">
      <c r="DY36280" s="185" t="s">
        <v>215</v>
      </c>
    </row>
    <row r="36281" spans="129:129" x14ac:dyDescent="0.2">
      <c r="DY36281" s="185" t="s">
        <v>215</v>
      </c>
    </row>
    <row r="36282" spans="129:129" x14ac:dyDescent="0.2">
      <c r="DY36282" s="185" t="s">
        <v>215</v>
      </c>
    </row>
    <row r="36283" spans="129:129" x14ac:dyDescent="0.2">
      <c r="DY36283" s="185" t="s">
        <v>215</v>
      </c>
    </row>
    <row r="36284" spans="129:129" x14ac:dyDescent="0.2">
      <c r="DY36284" s="185" t="s">
        <v>215</v>
      </c>
    </row>
    <row r="36285" spans="129:129" x14ac:dyDescent="0.2">
      <c r="DY36285" s="185" t="s">
        <v>215</v>
      </c>
    </row>
    <row r="36286" spans="129:129" x14ac:dyDescent="0.2">
      <c r="DY36286" s="185" t="s">
        <v>215</v>
      </c>
    </row>
    <row r="36287" spans="129:129" x14ac:dyDescent="0.2">
      <c r="DY36287" s="185" t="s">
        <v>215</v>
      </c>
    </row>
    <row r="36288" spans="129:129" x14ac:dyDescent="0.2">
      <c r="DY36288" s="185" t="s">
        <v>215</v>
      </c>
    </row>
    <row r="36289" spans="129:129" x14ac:dyDescent="0.2">
      <c r="DY36289" s="185" t="s">
        <v>215</v>
      </c>
    </row>
    <row r="36290" spans="129:129" x14ac:dyDescent="0.2">
      <c r="DY36290" s="185" t="s">
        <v>215</v>
      </c>
    </row>
    <row r="36291" spans="129:129" x14ac:dyDescent="0.2">
      <c r="DY36291" s="185" t="s">
        <v>215</v>
      </c>
    </row>
    <row r="36292" spans="129:129" x14ac:dyDescent="0.2">
      <c r="DY36292" s="185" t="s">
        <v>215</v>
      </c>
    </row>
    <row r="36293" spans="129:129" x14ac:dyDescent="0.2">
      <c r="DY36293" s="185" t="s">
        <v>215</v>
      </c>
    </row>
    <row r="36294" spans="129:129" x14ac:dyDescent="0.2">
      <c r="DY36294" s="185" t="s">
        <v>215</v>
      </c>
    </row>
    <row r="36295" spans="129:129" x14ac:dyDescent="0.2">
      <c r="DY36295" s="185" t="s">
        <v>215</v>
      </c>
    </row>
    <row r="36296" spans="129:129" x14ac:dyDescent="0.2">
      <c r="DY36296" s="185" t="s">
        <v>215</v>
      </c>
    </row>
    <row r="36297" spans="129:129" x14ac:dyDescent="0.2">
      <c r="DY36297" s="185" t="s">
        <v>215</v>
      </c>
    </row>
    <row r="36298" spans="129:129" x14ac:dyDescent="0.2">
      <c r="DY36298" s="185" t="s">
        <v>215</v>
      </c>
    </row>
    <row r="36299" spans="129:129" x14ac:dyDescent="0.2">
      <c r="DY36299" s="185" t="s">
        <v>215</v>
      </c>
    </row>
    <row r="36300" spans="129:129" x14ac:dyDescent="0.2">
      <c r="DY36300" s="185" t="s">
        <v>215</v>
      </c>
    </row>
    <row r="36301" spans="129:129" x14ac:dyDescent="0.2">
      <c r="DY36301" s="185" t="s">
        <v>215</v>
      </c>
    </row>
    <row r="36302" spans="129:129" x14ac:dyDescent="0.2">
      <c r="DY36302" s="185" t="s">
        <v>215</v>
      </c>
    </row>
    <row r="36303" spans="129:129" x14ac:dyDescent="0.2">
      <c r="DY36303" s="185" t="s">
        <v>215</v>
      </c>
    </row>
    <row r="36304" spans="129:129" x14ac:dyDescent="0.2">
      <c r="DY36304" s="185" t="s">
        <v>215</v>
      </c>
    </row>
    <row r="36305" spans="129:129" x14ac:dyDescent="0.2">
      <c r="DY36305" s="185" t="s">
        <v>215</v>
      </c>
    </row>
    <row r="36306" spans="129:129" x14ac:dyDescent="0.2">
      <c r="DY36306" s="185" t="s">
        <v>215</v>
      </c>
    </row>
    <row r="36307" spans="129:129" x14ac:dyDescent="0.2">
      <c r="DY36307" s="185" t="s">
        <v>215</v>
      </c>
    </row>
    <row r="36308" spans="129:129" x14ac:dyDescent="0.2">
      <c r="DY36308" s="185" t="s">
        <v>215</v>
      </c>
    </row>
    <row r="36309" spans="129:129" x14ac:dyDescent="0.2">
      <c r="DY36309" s="185" t="s">
        <v>215</v>
      </c>
    </row>
    <row r="36310" spans="129:129" x14ac:dyDescent="0.2">
      <c r="DY36310" s="185" t="s">
        <v>215</v>
      </c>
    </row>
    <row r="36311" spans="129:129" x14ac:dyDescent="0.2">
      <c r="DY36311" s="185" t="s">
        <v>215</v>
      </c>
    </row>
    <row r="36312" spans="129:129" x14ac:dyDescent="0.2">
      <c r="DY36312" s="185" t="s">
        <v>215</v>
      </c>
    </row>
    <row r="36313" spans="129:129" x14ac:dyDescent="0.2">
      <c r="DY36313" s="185" t="s">
        <v>215</v>
      </c>
    </row>
    <row r="36314" spans="129:129" x14ac:dyDescent="0.2">
      <c r="DY36314" s="185" t="s">
        <v>215</v>
      </c>
    </row>
    <row r="36315" spans="129:129" x14ac:dyDescent="0.2">
      <c r="DY36315" s="185" t="s">
        <v>215</v>
      </c>
    </row>
    <row r="36316" spans="129:129" x14ac:dyDescent="0.2">
      <c r="DY36316" s="185" t="s">
        <v>215</v>
      </c>
    </row>
    <row r="36317" spans="129:129" x14ac:dyDescent="0.2">
      <c r="DY36317" s="185" t="s">
        <v>215</v>
      </c>
    </row>
    <row r="36318" spans="129:129" x14ac:dyDescent="0.2">
      <c r="DY36318" s="185" t="s">
        <v>215</v>
      </c>
    </row>
    <row r="36319" spans="129:129" x14ac:dyDescent="0.2">
      <c r="DY36319" s="185" t="s">
        <v>215</v>
      </c>
    </row>
    <row r="36320" spans="129:129" x14ac:dyDescent="0.2">
      <c r="DY36320" s="185" t="s">
        <v>215</v>
      </c>
    </row>
    <row r="36321" spans="129:129" x14ac:dyDescent="0.2">
      <c r="DY36321" s="185" t="s">
        <v>215</v>
      </c>
    </row>
    <row r="36322" spans="129:129" x14ac:dyDescent="0.2">
      <c r="DY36322" s="185" t="s">
        <v>215</v>
      </c>
    </row>
    <row r="36323" spans="129:129" x14ac:dyDescent="0.2">
      <c r="DY36323" s="185" t="s">
        <v>215</v>
      </c>
    </row>
    <row r="36324" spans="129:129" x14ac:dyDescent="0.2">
      <c r="DY36324" s="185" t="s">
        <v>215</v>
      </c>
    </row>
    <row r="36325" spans="129:129" x14ac:dyDescent="0.2">
      <c r="DY36325" s="185" t="s">
        <v>215</v>
      </c>
    </row>
    <row r="36326" spans="129:129" x14ac:dyDescent="0.2">
      <c r="DY36326" s="185" t="s">
        <v>215</v>
      </c>
    </row>
    <row r="36327" spans="129:129" x14ac:dyDescent="0.2">
      <c r="DY36327" s="185" t="s">
        <v>215</v>
      </c>
    </row>
    <row r="36328" spans="129:129" x14ac:dyDescent="0.2">
      <c r="DY36328" s="185" t="s">
        <v>215</v>
      </c>
    </row>
    <row r="36329" spans="129:129" x14ac:dyDescent="0.2">
      <c r="DY36329" s="185" t="s">
        <v>215</v>
      </c>
    </row>
    <row r="36330" spans="129:129" x14ac:dyDescent="0.2">
      <c r="DY36330" s="185" t="s">
        <v>215</v>
      </c>
    </row>
    <row r="36331" spans="129:129" x14ac:dyDescent="0.2">
      <c r="DY36331" s="185" t="s">
        <v>215</v>
      </c>
    </row>
    <row r="36332" spans="129:129" x14ac:dyDescent="0.2">
      <c r="DY36332" s="185" t="s">
        <v>215</v>
      </c>
    </row>
    <row r="36333" spans="129:129" x14ac:dyDescent="0.2">
      <c r="DY36333" s="185" t="s">
        <v>215</v>
      </c>
    </row>
    <row r="36334" spans="129:129" x14ac:dyDescent="0.2">
      <c r="DY36334" s="185" t="s">
        <v>215</v>
      </c>
    </row>
    <row r="36335" spans="129:129" x14ac:dyDescent="0.2">
      <c r="DY36335" s="185" t="s">
        <v>215</v>
      </c>
    </row>
    <row r="36336" spans="129:129" x14ac:dyDescent="0.2">
      <c r="DY36336" s="185" t="s">
        <v>215</v>
      </c>
    </row>
    <row r="36337" spans="129:129" x14ac:dyDescent="0.2">
      <c r="DY36337" s="185" t="s">
        <v>215</v>
      </c>
    </row>
    <row r="36338" spans="129:129" x14ac:dyDescent="0.2">
      <c r="DY36338" s="185" t="s">
        <v>215</v>
      </c>
    </row>
    <row r="36339" spans="129:129" x14ac:dyDescent="0.2">
      <c r="DY36339" s="185" t="s">
        <v>215</v>
      </c>
    </row>
    <row r="36340" spans="129:129" x14ac:dyDescent="0.2">
      <c r="DY36340" s="185" t="s">
        <v>215</v>
      </c>
    </row>
    <row r="36341" spans="129:129" x14ac:dyDescent="0.2">
      <c r="DY36341" s="185" t="s">
        <v>215</v>
      </c>
    </row>
    <row r="36342" spans="129:129" x14ac:dyDescent="0.2">
      <c r="DY36342" s="185" t="s">
        <v>215</v>
      </c>
    </row>
    <row r="36343" spans="129:129" x14ac:dyDescent="0.2">
      <c r="DY36343" s="185" t="s">
        <v>215</v>
      </c>
    </row>
    <row r="36344" spans="129:129" x14ac:dyDescent="0.2">
      <c r="DY36344" s="185" t="s">
        <v>215</v>
      </c>
    </row>
    <row r="36345" spans="129:129" x14ac:dyDescent="0.2">
      <c r="DY36345" s="185" t="s">
        <v>215</v>
      </c>
    </row>
    <row r="36346" spans="129:129" x14ac:dyDescent="0.2">
      <c r="DY36346" s="185" t="s">
        <v>215</v>
      </c>
    </row>
    <row r="36347" spans="129:129" x14ac:dyDescent="0.2">
      <c r="DY36347" s="185" t="s">
        <v>215</v>
      </c>
    </row>
    <row r="36348" spans="129:129" x14ac:dyDescent="0.2">
      <c r="DY36348" s="185" t="s">
        <v>215</v>
      </c>
    </row>
    <row r="36349" spans="129:129" x14ac:dyDescent="0.2">
      <c r="DY36349" s="185" t="s">
        <v>215</v>
      </c>
    </row>
    <row r="36350" spans="129:129" x14ac:dyDescent="0.2">
      <c r="DY36350" s="185" t="s">
        <v>215</v>
      </c>
    </row>
    <row r="36351" spans="129:129" x14ac:dyDescent="0.2">
      <c r="DY36351" s="185" t="s">
        <v>215</v>
      </c>
    </row>
    <row r="36352" spans="129:129" x14ac:dyDescent="0.2">
      <c r="DY36352" s="185" t="s">
        <v>215</v>
      </c>
    </row>
    <row r="36353" spans="129:129" x14ac:dyDescent="0.2">
      <c r="DY36353" s="185" t="s">
        <v>215</v>
      </c>
    </row>
    <row r="36354" spans="129:129" x14ac:dyDescent="0.2">
      <c r="DY36354" s="185" t="s">
        <v>215</v>
      </c>
    </row>
    <row r="36355" spans="129:129" x14ac:dyDescent="0.2">
      <c r="DY36355" s="185" t="s">
        <v>215</v>
      </c>
    </row>
    <row r="36356" spans="129:129" x14ac:dyDescent="0.2">
      <c r="DY36356" s="185" t="s">
        <v>215</v>
      </c>
    </row>
    <row r="36357" spans="129:129" x14ac:dyDescent="0.2">
      <c r="DY36357" s="185" t="s">
        <v>215</v>
      </c>
    </row>
    <row r="36358" spans="129:129" x14ac:dyDescent="0.2">
      <c r="DY36358" s="185" t="s">
        <v>215</v>
      </c>
    </row>
    <row r="36359" spans="129:129" x14ac:dyDescent="0.2">
      <c r="DY36359" s="185" t="s">
        <v>215</v>
      </c>
    </row>
    <row r="36360" spans="129:129" x14ac:dyDescent="0.2">
      <c r="DY36360" s="185" t="s">
        <v>215</v>
      </c>
    </row>
    <row r="36361" spans="129:129" x14ac:dyDescent="0.2">
      <c r="DY36361" s="185" t="s">
        <v>215</v>
      </c>
    </row>
    <row r="36362" spans="129:129" x14ac:dyDescent="0.2">
      <c r="DY36362" s="185" t="s">
        <v>215</v>
      </c>
    </row>
    <row r="36363" spans="129:129" x14ac:dyDescent="0.2">
      <c r="DY36363" s="185" t="s">
        <v>215</v>
      </c>
    </row>
    <row r="36364" spans="129:129" x14ac:dyDescent="0.2">
      <c r="DY36364" s="185" t="s">
        <v>215</v>
      </c>
    </row>
    <row r="36365" spans="129:129" x14ac:dyDescent="0.2">
      <c r="DY36365" s="185" t="s">
        <v>215</v>
      </c>
    </row>
    <row r="36366" spans="129:129" x14ac:dyDescent="0.2">
      <c r="DY36366" s="185" t="s">
        <v>215</v>
      </c>
    </row>
    <row r="36367" spans="129:129" x14ac:dyDescent="0.2">
      <c r="DY36367" s="185" t="s">
        <v>215</v>
      </c>
    </row>
    <row r="36368" spans="129:129" x14ac:dyDescent="0.2">
      <c r="DY36368" s="185" t="s">
        <v>215</v>
      </c>
    </row>
    <row r="36369" spans="129:129" x14ac:dyDescent="0.2">
      <c r="DY36369" s="185" t="s">
        <v>215</v>
      </c>
    </row>
    <row r="36370" spans="129:129" x14ac:dyDescent="0.2">
      <c r="DY36370" s="185" t="s">
        <v>215</v>
      </c>
    </row>
    <row r="36371" spans="129:129" x14ac:dyDescent="0.2">
      <c r="DY36371" s="185" t="s">
        <v>215</v>
      </c>
    </row>
    <row r="36372" spans="129:129" x14ac:dyDescent="0.2">
      <c r="DY36372" s="185" t="s">
        <v>215</v>
      </c>
    </row>
    <row r="36373" spans="129:129" x14ac:dyDescent="0.2">
      <c r="DY36373" s="185" t="s">
        <v>215</v>
      </c>
    </row>
    <row r="36374" spans="129:129" x14ac:dyDescent="0.2">
      <c r="DY36374" s="185" t="s">
        <v>215</v>
      </c>
    </row>
    <row r="36375" spans="129:129" x14ac:dyDescent="0.2">
      <c r="DY36375" s="185" t="s">
        <v>215</v>
      </c>
    </row>
    <row r="36376" spans="129:129" x14ac:dyDescent="0.2">
      <c r="DY36376" s="185" t="s">
        <v>215</v>
      </c>
    </row>
    <row r="36377" spans="129:129" x14ac:dyDescent="0.2">
      <c r="DY36377" s="185" t="s">
        <v>215</v>
      </c>
    </row>
    <row r="36378" spans="129:129" x14ac:dyDescent="0.2">
      <c r="DY36378" s="185" t="s">
        <v>215</v>
      </c>
    </row>
    <row r="36379" spans="129:129" x14ac:dyDescent="0.2">
      <c r="DY36379" s="185" t="s">
        <v>215</v>
      </c>
    </row>
    <row r="36380" spans="129:129" x14ac:dyDescent="0.2">
      <c r="DY36380" s="185" t="s">
        <v>215</v>
      </c>
    </row>
    <row r="36381" spans="129:129" x14ac:dyDescent="0.2">
      <c r="DY36381" s="185" t="s">
        <v>215</v>
      </c>
    </row>
    <row r="36382" spans="129:129" x14ac:dyDescent="0.2">
      <c r="DY36382" s="185" t="s">
        <v>215</v>
      </c>
    </row>
    <row r="36383" spans="129:129" x14ac:dyDescent="0.2">
      <c r="DY36383" s="185" t="s">
        <v>215</v>
      </c>
    </row>
    <row r="36384" spans="129:129" x14ac:dyDescent="0.2">
      <c r="DY36384" s="185" t="s">
        <v>215</v>
      </c>
    </row>
    <row r="36385" spans="129:129" x14ac:dyDescent="0.2">
      <c r="DY36385" s="185" t="s">
        <v>215</v>
      </c>
    </row>
    <row r="36386" spans="129:129" x14ac:dyDescent="0.2">
      <c r="DY36386" s="185" t="s">
        <v>215</v>
      </c>
    </row>
    <row r="36387" spans="129:129" x14ac:dyDescent="0.2">
      <c r="DY36387" s="185" t="s">
        <v>215</v>
      </c>
    </row>
    <row r="36388" spans="129:129" x14ac:dyDescent="0.2">
      <c r="DY36388" s="185" t="s">
        <v>215</v>
      </c>
    </row>
    <row r="36389" spans="129:129" x14ac:dyDescent="0.2">
      <c r="DY36389" s="185" t="s">
        <v>215</v>
      </c>
    </row>
    <row r="36390" spans="129:129" x14ac:dyDescent="0.2">
      <c r="DY36390" s="185" t="s">
        <v>215</v>
      </c>
    </row>
    <row r="36391" spans="129:129" x14ac:dyDescent="0.2">
      <c r="DY36391" s="185" t="s">
        <v>215</v>
      </c>
    </row>
    <row r="36392" spans="129:129" x14ac:dyDescent="0.2">
      <c r="DY36392" s="185" t="s">
        <v>215</v>
      </c>
    </row>
    <row r="36393" spans="129:129" x14ac:dyDescent="0.2">
      <c r="DY36393" s="185" t="s">
        <v>215</v>
      </c>
    </row>
    <row r="36394" spans="129:129" x14ac:dyDescent="0.2">
      <c r="DY36394" s="185" t="s">
        <v>215</v>
      </c>
    </row>
    <row r="36395" spans="129:129" x14ac:dyDescent="0.2">
      <c r="DY36395" s="185" t="s">
        <v>215</v>
      </c>
    </row>
    <row r="36396" spans="129:129" x14ac:dyDescent="0.2">
      <c r="DY36396" s="185" t="s">
        <v>215</v>
      </c>
    </row>
    <row r="36397" spans="129:129" x14ac:dyDescent="0.2">
      <c r="DY36397" s="185" t="s">
        <v>215</v>
      </c>
    </row>
    <row r="36398" spans="129:129" x14ac:dyDescent="0.2">
      <c r="DY36398" s="185" t="s">
        <v>215</v>
      </c>
    </row>
    <row r="36399" spans="129:129" x14ac:dyDescent="0.2">
      <c r="DY36399" s="185" t="s">
        <v>215</v>
      </c>
    </row>
    <row r="36400" spans="129:129" x14ac:dyDescent="0.2">
      <c r="DY36400" s="185" t="s">
        <v>215</v>
      </c>
    </row>
    <row r="36401" spans="129:129" x14ac:dyDescent="0.2">
      <c r="DY36401" s="185" t="s">
        <v>215</v>
      </c>
    </row>
    <row r="36402" spans="129:129" x14ac:dyDescent="0.2">
      <c r="DY36402" s="185" t="s">
        <v>215</v>
      </c>
    </row>
    <row r="36403" spans="129:129" x14ac:dyDescent="0.2">
      <c r="DY36403" s="185" t="s">
        <v>215</v>
      </c>
    </row>
    <row r="36404" spans="129:129" x14ac:dyDescent="0.2">
      <c r="DY36404" s="185" t="s">
        <v>215</v>
      </c>
    </row>
    <row r="36405" spans="129:129" x14ac:dyDescent="0.2">
      <c r="DY36405" s="185" t="s">
        <v>215</v>
      </c>
    </row>
    <row r="36406" spans="129:129" x14ac:dyDescent="0.2">
      <c r="DY36406" s="185" t="s">
        <v>215</v>
      </c>
    </row>
    <row r="36407" spans="129:129" x14ac:dyDescent="0.2">
      <c r="DY36407" s="185" t="s">
        <v>215</v>
      </c>
    </row>
    <row r="36408" spans="129:129" x14ac:dyDescent="0.2">
      <c r="DY36408" s="185" t="s">
        <v>215</v>
      </c>
    </row>
    <row r="36409" spans="129:129" x14ac:dyDescent="0.2">
      <c r="DY36409" s="185" t="s">
        <v>215</v>
      </c>
    </row>
    <row r="36410" spans="129:129" x14ac:dyDescent="0.2">
      <c r="DY36410" s="185" t="s">
        <v>215</v>
      </c>
    </row>
    <row r="36411" spans="129:129" x14ac:dyDescent="0.2">
      <c r="DY36411" s="185" t="s">
        <v>215</v>
      </c>
    </row>
    <row r="36412" spans="129:129" x14ac:dyDescent="0.2">
      <c r="DY36412" s="185" t="s">
        <v>215</v>
      </c>
    </row>
    <row r="36413" spans="129:129" x14ac:dyDescent="0.2">
      <c r="DY36413" s="185" t="s">
        <v>215</v>
      </c>
    </row>
    <row r="36414" spans="129:129" x14ac:dyDescent="0.2">
      <c r="DY36414" s="185" t="s">
        <v>215</v>
      </c>
    </row>
    <row r="36415" spans="129:129" x14ac:dyDescent="0.2">
      <c r="DY36415" s="185" t="s">
        <v>215</v>
      </c>
    </row>
    <row r="36416" spans="129:129" x14ac:dyDescent="0.2">
      <c r="DY36416" s="185" t="s">
        <v>215</v>
      </c>
    </row>
    <row r="36417" spans="129:129" x14ac:dyDescent="0.2">
      <c r="DY36417" s="185" t="s">
        <v>215</v>
      </c>
    </row>
    <row r="36418" spans="129:129" x14ac:dyDescent="0.2">
      <c r="DY36418" s="185" t="s">
        <v>215</v>
      </c>
    </row>
    <row r="36419" spans="129:129" x14ac:dyDescent="0.2">
      <c r="DY36419" s="185" t="s">
        <v>215</v>
      </c>
    </row>
    <row r="36420" spans="129:129" x14ac:dyDescent="0.2">
      <c r="DY36420" s="185" t="s">
        <v>215</v>
      </c>
    </row>
    <row r="36421" spans="129:129" x14ac:dyDescent="0.2">
      <c r="DY36421" s="185" t="s">
        <v>215</v>
      </c>
    </row>
    <row r="36422" spans="129:129" x14ac:dyDescent="0.2">
      <c r="DY36422" s="185" t="s">
        <v>215</v>
      </c>
    </row>
    <row r="36423" spans="129:129" x14ac:dyDescent="0.2">
      <c r="DY36423" s="185" t="s">
        <v>215</v>
      </c>
    </row>
    <row r="36424" spans="129:129" x14ac:dyDescent="0.2">
      <c r="DY36424" s="185" t="s">
        <v>215</v>
      </c>
    </row>
    <row r="36425" spans="129:129" x14ac:dyDescent="0.2">
      <c r="DY36425" s="185" t="s">
        <v>215</v>
      </c>
    </row>
    <row r="36426" spans="129:129" x14ac:dyDescent="0.2">
      <c r="DY36426" s="185" t="s">
        <v>215</v>
      </c>
    </row>
    <row r="36427" spans="129:129" x14ac:dyDescent="0.2">
      <c r="DY36427" s="185" t="s">
        <v>215</v>
      </c>
    </row>
    <row r="36428" spans="129:129" x14ac:dyDescent="0.2">
      <c r="DY36428" s="185" t="s">
        <v>215</v>
      </c>
    </row>
    <row r="36429" spans="129:129" x14ac:dyDescent="0.2">
      <c r="DY36429" s="185" t="s">
        <v>215</v>
      </c>
    </row>
    <row r="36430" spans="129:129" x14ac:dyDescent="0.2">
      <c r="DY36430" s="185" t="s">
        <v>215</v>
      </c>
    </row>
    <row r="36431" spans="129:129" x14ac:dyDescent="0.2">
      <c r="DY36431" s="185" t="s">
        <v>215</v>
      </c>
    </row>
    <row r="36432" spans="129:129" x14ac:dyDescent="0.2">
      <c r="DY36432" s="185" t="s">
        <v>215</v>
      </c>
    </row>
    <row r="36433" spans="129:129" x14ac:dyDescent="0.2">
      <c r="DY36433" s="185" t="s">
        <v>215</v>
      </c>
    </row>
    <row r="36434" spans="129:129" x14ac:dyDescent="0.2">
      <c r="DY36434" s="185" t="s">
        <v>215</v>
      </c>
    </row>
    <row r="36435" spans="129:129" x14ac:dyDescent="0.2">
      <c r="DY36435" s="185" t="s">
        <v>215</v>
      </c>
    </row>
    <row r="36436" spans="129:129" x14ac:dyDescent="0.2">
      <c r="DY36436" s="185" t="s">
        <v>215</v>
      </c>
    </row>
    <row r="36437" spans="129:129" x14ac:dyDescent="0.2">
      <c r="DY36437" s="185" t="s">
        <v>215</v>
      </c>
    </row>
    <row r="36438" spans="129:129" x14ac:dyDescent="0.2">
      <c r="DY36438" s="185" t="s">
        <v>215</v>
      </c>
    </row>
    <row r="36439" spans="129:129" x14ac:dyDescent="0.2">
      <c r="DY36439" s="185" t="s">
        <v>215</v>
      </c>
    </row>
    <row r="36440" spans="129:129" x14ac:dyDescent="0.2">
      <c r="DY36440" s="185" t="s">
        <v>215</v>
      </c>
    </row>
    <row r="36441" spans="129:129" x14ac:dyDescent="0.2">
      <c r="DY36441" s="185" t="s">
        <v>215</v>
      </c>
    </row>
    <row r="36442" spans="129:129" x14ac:dyDescent="0.2">
      <c r="DY36442" s="185" t="s">
        <v>215</v>
      </c>
    </row>
    <row r="36443" spans="129:129" x14ac:dyDescent="0.2">
      <c r="DY36443" s="185" t="s">
        <v>215</v>
      </c>
    </row>
    <row r="36444" spans="129:129" x14ac:dyDescent="0.2">
      <c r="DY36444" s="185" t="s">
        <v>215</v>
      </c>
    </row>
    <row r="36445" spans="129:129" x14ac:dyDescent="0.2">
      <c r="DY36445" s="185" t="s">
        <v>215</v>
      </c>
    </row>
    <row r="36446" spans="129:129" x14ac:dyDescent="0.2">
      <c r="DY36446" s="185" t="s">
        <v>215</v>
      </c>
    </row>
    <row r="36447" spans="129:129" x14ac:dyDescent="0.2">
      <c r="DY36447" s="185" t="s">
        <v>215</v>
      </c>
    </row>
    <row r="36448" spans="129:129" x14ac:dyDescent="0.2">
      <c r="DY36448" s="185" t="s">
        <v>215</v>
      </c>
    </row>
    <row r="36449" spans="129:129" x14ac:dyDescent="0.2">
      <c r="DY36449" s="185" t="s">
        <v>215</v>
      </c>
    </row>
    <row r="36450" spans="129:129" x14ac:dyDescent="0.2">
      <c r="DY36450" s="185" t="s">
        <v>215</v>
      </c>
    </row>
    <row r="36451" spans="129:129" x14ac:dyDescent="0.2">
      <c r="DY36451" s="185" t="s">
        <v>215</v>
      </c>
    </row>
    <row r="36452" spans="129:129" x14ac:dyDescent="0.2">
      <c r="DY36452" s="185" t="s">
        <v>215</v>
      </c>
    </row>
    <row r="36453" spans="129:129" x14ac:dyDescent="0.2">
      <c r="DY36453" s="185" t="s">
        <v>215</v>
      </c>
    </row>
    <row r="36454" spans="129:129" x14ac:dyDescent="0.2">
      <c r="DY36454" s="185" t="s">
        <v>215</v>
      </c>
    </row>
    <row r="36455" spans="129:129" x14ac:dyDescent="0.2">
      <c r="DY36455" s="185" t="s">
        <v>215</v>
      </c>
    </row>
    <row r="36456" spans="129:129" x14ac:dyDescent="0.2">
      <c r="DY36456" s="185" t="s">
        <v>215</v>
      </c>
    </row>
    <row r="36457" spans="129:129" x14ac:dyDescent="0.2">
      <c r="DY36457" s="185" t="s">
        <v>215</v>
      </c>
    </row>
    <row r="36458" spans="129:129" x14ac:dyDescent="0.2">
      <c r="DY36458" s="185" t="s">
        <v>215</v>
      </c>
    </row>
    <row r="36459" spans="129:129" x14ac:dyDescent="0.2">
      <c r="DY36459" s="185" t="s">
        <v>215</v>
      </c>
    </row>
    <row r="36460" spans="129:129" x14ac:dyDescent="0.2">
      <c r="DY36460" s="185" t="s">
        <v>215</v>
      </c>
    </row>
    <row r="36461" spans="129:129" x14ac:dyDescent="0.2">
      <c r="DY36461" s="185" t="s">
        <v>215</v>
      </c>
    </row>
    <row r="36462" spans="129:129" x14ac:dyDescent="0.2">
      <c r="DY36462" s="185" t="s">
        <v>215</v>
      </c>
    </row>
    <row r="36463" spans="129:129" x14ac:dyDescent="0.2">
      <c r="DY36463" s="185" t="s">
        <v>215</v>
      </c>
    </row>
    <row r="36464" spans="129:129" x14ac:dyDescent="0.2">
      <c r="DY36464" s="185" t="s">
        <v>215</v>
      </c>
    </row>
    <row r="36465" spans="129:129" x14ac:dyDescent="0.2">
      <c r="DY36465" s="185" t="s">
        <v>215</v>
      </c>
    </row>
    <row r="36466" spans="129:129" x14ac:dyDescent="0.2">
      <c r="DY36466" s="185" t="s">
        <v>215</v>
      </c>
    </row>
    <row r="36467" spans="129:129" x14ac:dyDescent="0.2">
      <c r="DY36467" s="185" t="s">
        <v>215</v>
      </c>
    </row>
    <row r="36468" spans="129:129" x14ac:dyDescent="0.2">
      <c r="DY36468" s="185" t="s">
        <v>215</v>
      </c>
    </row>
    <row r="36469" spans="129:129" x14ac:dyDescent="0.2">
      <c r="DY36469" s="185" t="s">
        <v>215</v>
      </c>
    </row>
    <row r="36470" spans="129:129" x14ac:dyDescent="0.2">
      <c r="DY36470" s="185" t="s">
        <v>215</v>
      </c>
    </row>
    <row r="36471" spans="129:129" x14ac:dyDescent="0.2">
      <c r="DY36471" s="185" t="s">
        <v>215</v>
      </c>
    </row>
    <row r="36472" spans="129:129" x14ac:dyDescent="0.2">
      <c r="DY36472" s="185" t="s">
        <v>215</v>
      </c>
    </row>
    <row r="36473" spans="129:129" x14ac:dyDescent="0.2">
      <c r="DY36473" s="185" t="s">
        <v>215</v>
      </c>
    </row>
    <row r="36474" spans="129:129" x14ac:dyDescent="0.2">
      <c r="DY36474" s="185" t="s">
        <v>215</v>
      </c>
    </row>
    <row r="36475" spans="129:129" x14ac:dyDescent="0.2">
      <c r="DY36475" s="185" t="s">
        <v>215</v>
      </c>
    </row>
    <row r="36476" spans="129:129" x14ac:dyDescent="0.2">
      <c r="DY36476" s="185" t="s">
        <v>215</v>
      </c>
    </row>
    <row r="36477" spans="129:129" x14ac:dyDescent="0.2">
      <c r="DY36477" s="185" t="s">
        <v>215</v>
      </c>
    </row>
    <row r="36478" spans="129:129" x14ac:dyDescent="0.2">
      <c r="DY36478" s="185" t="s">
        <v>215</v>
      </c>
    </row>
    <row r="36479" spans="129:129" x14ac:dyDescent="0.2">
      <c r="DY36479" s="185" t="s">
        <v>215</v>
      </c>
    </row>
    <row r="36480" spans="129:129" x14ac:dyDescent="0.2">
      <c r="DY36480" s="185" t="s">
        <v>215</v>
      </c>
    </row>
    <row r="36481" spans="129:129" x14ac:dyDescent="0.2">
      <c r="DY36481" s="185" t="s">
        <v>215</v>
      </c>
    </row>
    <row r="36482" spans="129:129" x14ac:dyDescent="0.2">
      <c r="DY36482" s="185" t="s">
        <v>215</v>
      </c>
    </row>
    <row r="36483" spans="129:129" x14ac:dyDescent="0.2">
      <c r="DY36483" s="185" t="s">
        <v>215</v>
      </c>
    </row>
    <row r="36484" spans="129:129" x14ac:dyDescent="0.2">
      <c r="DY36484" s="185" t="s">
        <v>215</v>
      </c>
    </row>
    <row r="36485" spans="129:129" x14ac:dyDescent="0.2">
      <c r="DY36485" s="185" t="s">
        <v>215</v>
      </c>
    </row>
    <row r="36486" spans="129:129" x14ac:dyDescent="0.2">
      <c r="DY36486" s="185" t="s">
        <v>215</v>
      </c>
    </row>
    <row r="36487" spans="129:129" x14ac:dyDescent="0.2">
      <c r="DY36487" s="185" t="s">
        <v>215</v>
      </c>
    </row>
    <row r="36488" spans="129:129" x14ac:dyDescent="0.2">
      <c r="DY36488" s="185" t="s">
        <v>215</v>
      </c>
    </row>
    <row r="36489" spans="129:129" x14ac:dyDescent="0.2">
      <c r="DY36489" s="185" t="s">
        <v>215</v>
      </c>
    </row>
    <row r="36490" spans="129:129" x14ac:dyDescent="0.2">
      <c r="DY36490" s="185" t="s">
        <v>215</v>
      </c>
    </row>
    <row r="36491" spans="129:129" x14ac:dyDescent="0.2">
      <c r="DY36491" s="185" t="s">
        <v>215</v>
      </c>
    </row>
    <row r="36492" spans="129:129" x14ac:dyDescent="0.2">
      <c r="DY36492" s="185" t="s">
        <v>215</v>
      </c>
    </row>
    <row r="36493" spans="129:129" x14ac:dyDescent="0.2">
      <c r="DY36493" s="185" t="s">
        <v>215</v>
      </c>
    </row>
    <row r="36494" spans="129:129" x14ac:dyDescent="0.2">
      <c r="DY36494" s="185" t="s">
        <v>215</v>
      </c>
    </row>
    <row r="36495" spans="129:129" x14ac:dyDescent="0.2">
      <c r="DY36495" s="185" t="s">
        <v>215</v>
      </c>
    </row>
    <row r="36496" spans="129:129" x14ac:dyDescent="0.2">
      <c r="DY36496" s="185" t="s">
        <v>215</v>
      </c>
    </row>
    <row r="36497" spans="129:129" x14ac:dyDescent="0.2">
      <c r="DY36497" s="185" t="s">
        <v>215</v>
      </c>
    </row>
    <row r="36498" spans="129:129" x14ac:dyDescent="0.2">
      <c r="DY36498" s="185" t="s">
        <v>215</v>
      </c>
    </row>
    <row r="36499" spans="129:129" x14ac:dyDescent="0.2">
      <c r="DY36499" s="185" t="s">
        <v>215</v>
      </c>
    </row>
    <row r="36500" spans="129:129" x14ac:dyDescent="0.2">
      <c r="DY36500" s="185" t="s">
        <v>215</v>
      </c>
    </row>
    <row r="36501" spans="129:129" x14ac:dyDescent="0.2">
      <c r="DY36501" s="185" t="s">
        <v>215</v>
      </c>
    </row>
    <row r="36502" spans="129:129" x14ac:dyDescent="0.2">
      <c r="DY36502" s="185" t="s">
        <v>215</v>
      </c>
    </row>
    <row r="36503" spans="129:129" x14ac:dyDescent="0.2">
      <c r="DY36503" s="185" t="s">
        <v>215</v>
      </c>
    </row>
    <row r="36504" spans="129:129" x14ac:dyDescent="0.2">
      <c r="DY36504" s="185" t="s">
        <v>215</v>
      </c>
    </row>
    <row r="36505" spans="129:129" x14ac:dyDescent="0.2">
      <c r="DY36505" s="185" t="s">
        <v>215</v>
      </c>
    </row>
    <row r="36506" spans="129:129" x14ac:dyDescent="0.2">
      <c r="DY36506" s="185" t="s">
        <v>215</v>
      </c>
    </row>
    <row r="36507" spans="129:129" x14ac:dyDescent="0.2">
      <c r="DY36507" s="185" t="s">
        <v>215</v>
      </c>
    </row>
    <row r="36508" spans="129:129" x14ac:dyDescent="0.2">
      <c r="DY36508" s="185" t="s">
        <v>215</v>
      </c>
    </row>
    <row r="36509" spans="129:129" x14ac:dyDescent="0.2">
      <c r="DY36509" s="185" t="s">
        <v>215</v>
      </c>
    </row>
    <row r="36510" spans="129:129" x14ac:dyDescent="0.2">
      <c r="DY36510" s="185" t="s">
        <v>215</v>
      </c>
    </row>
    <row r="36511" spans="129:129" x14ac:dyDescent="0.2">
      <c r="DY36511" s="185" t="s">
        <v>215</v>
      </c>
    </row>
    <row r="36512" spans="129:129" x14ac:dyDescent="0.2">
      <c r="DY36512" s="185" t="s">
        <v>215</v>
      </c>
    </row>
    <row r="36513" spans="129:129" x14ac:dyDescent="0.2">
      <c r="DY36513" s="185" t="s">
        <v>215</v>
      </c>
    </row>
    <row r="36514" spans="129:129" x14ac:dyDescent="0.2">
      <c r="DY36514" s="185" t="s">
        <v>215</v>
      </c>
    </row>
    <row r="36515" spans="129:129" x14ac:dyDescent="0.2">
      <c r="DY36515" s="185" t="s">
        <v>215</v>
      </c>
    </row>
    <row r="36516" spans="129:129" x14ac:dyDescent="0.2">
      <c r="DY36516" s="185" t="s">
        <v>215</v>
      </c>
    </row>
    <row r="36517" spans="129:129" x14ac:dyDescent="0.2">
      <c r="DY36517" s="185" t="s">
        <v>215</v>
      </c>
    </row>
    <row r="36518" spans="129:129" x14ac:dyDescent="0.2">
      <c r="DY36518" s="185" t="s">
        <v>215</v>
      </c>
    </row>
    <row r="36519" spans="129:129" x14ac:dyDescent="0.2">
      <c r="DY36519" s="185" t="s">
        <v>215</v>
      </c>
    </row>
    <row r="36520" spans="129:129" x14ac:dyDescent="0.2">
      <c r="DY36520" s="185" t="s">
        <v>215</v>
      </c>
    </row>
    <row r="36521" spans="129:129" x14ac:dyDescent="0.2">
      <c r="DY36521" s="185" t="s">
        <v>215</v>
      </c>
    </row>
    <row r="36522" spans="129:129" x14ac:dyDescent="0.2">
      <c r="DY36522" s="185" t="s">
        <v>215</v>
      </c>
    </row>
    <row r="36523" spans="129:129" x14ac:dyDescent="0.2">
      <c r="DY36523" s="185" t="s">
        <v>215</v>
      </c>
    </row>
    <row r="36524" spans="129:129" x14ac:dyDescent="0.2">
      <c r="DY36524" s="185" t="s">
        <v>215</v>
      </c>
    </row>
    <row r="36525" spans="129:129" x14ac:dyDescent="0.2">
      <c r="DY36525" s="185" t="s">
        <v>215</v>
      </c>
    </row>
    <row r="36526" spans="129:129" x14ac:dyDescent="0.2">
      <c r="DY36526" s="185" t="s">
        <v>215</v>
      </c>
    </row>
    <row r="36527" spans="129:129" x14ac:dyDescent="0.2">
      <c r="DY36527" s="185" t="s">
        <v>215</v>
      </c>
    </row>
    <row r="36528" spans="129:129" x14ac:dyDescent="0.2">
      <c r="DY36528" s="185" t="s">
        <v>215</v>
      </c>
    </row>
    <row r="36529" spans="129:129" x14ac:dyDescent="0.2">
      <c r="DY36529" s="185" t="s">
        <v>215</v>
      </c>
    </row>
    <row r="36530" spans="129:129" x14ac:dyDescent="0.2">
      <c r="DY36530" s="185" t="s">
        <v>215</v>
      </c>
    </row>
    <row r="36531" spans="129:129" x14ac:dyDescent="0.2">
      <c r="DY36531" s="185" t="s">
        <v>215</v>
      </c>
    </row>
    <row r="36532" spans="129:129" x14ac:dyDescent="0.2">
      <c r="DY36532" s="185" t="s">
        <v>215</v>
      </c>
    </row>
    <row r="36533" spans="129:129" x14ac:dyDescent="0.2">
      <c r="DY36533" s="185" t="s">
        <v>215</v>
      </c>
    </row>
    <row r="36534" spans="129:129" x14ac:dyDescent="0.2">
      <c r="DY36534" s="185" t="s">
        <v>215</v>
      </c>
    </row>
    <row r="36535" spans="129:129" x14ac:dyDescent="0.2">
      <c r="DY36535" s="185" t="s">
        <v>215</v>
      </c>
    </row>
    <row r="36536" spans="129:129" x14ac:dyDescent="0.2">
      <c r="DY36536" s="185" t="s">
        <v>215</v>
      </c>
    </row>
    <row r="36537" spans="129:129" x14ac:dyDescent="0.2">
      <c r="DY36537" s="185" t="s">
        <v>215</v>
      </c>
    </row>
    <row r="36538" spans="129:129" x14ac:dyDescent="0.2">
      <c r="DY36538" s="185" t="s">
        <v>215</v>
      </c>
    </row>
    <row r="36539" spans="129:129" x14ac:dyDescent="0.2">
      <c r="DY36539" s="185" t="s">
        <v>215</v>
      </c>
    </row>
    <row r="36540" spans="129:129" x14ac:dyDescent="0.2">
      <c r="DY36540" s="185" t="s">
        <v>215</v>
      </c>
    </row>
    <row r="36541" spans="129:129" x14ac:dyDescent="0.2">
      <c r="DY36541" s="185" t="s">
        <v>215</v>
      </c>
    </row>
    <row r="36542" spans="129:129" x14ac:dyDescent="0.2">
      <c r="DY36542" s="185" t="s">
        <v>215</v>
      </c>
    </row>
    <row r="36543" spans="129:129" x14ac:dyDescent="0.2">
      <c r="DY36543" s="185" t="s">
        <v>215</v>
      </c>
    </row>
    <row r="36544" spans="129:129" x14ac:dyDescent="0.2">
      <c r="DY36544" s="185" t="s">
        <v>215</v>
      </c>
    </row>
    <row r="36545" spans="129:129" x14ac:dyDescent="0.2">
      <c r="DY36545" s="185" t="s">
        <v>215</v>
      </c>
    </row>
    <row r="36546" spans="129:129" x14ac:dyDescent="0.2">
      <c r="DY36546" s="185" t="s">
        <v>215</v>
      </c>
    </row>
    <row r="36547" spans="129:129" x14ac:dyDescent="0.2">
      <c r="DY36547" s="185" t="s">
        <v>215</v>
      </c>
    </row>
    <row r="36548" spans="129:129" x14ac:dyDescent="0.2">
      <c r="DY36548" s="185" t="s">
        <v>215</v>
      </c>
    </row>
    <row r="36549" spans="129:129" x14ac:dyDescent="0.2">
      <c r="DY36549" s="185" t="s">
        <v>215</v>
      </c>
    </row>
    <row r="36550" spans="129:129" x14ac:dyDescent="0.2">
      <c r="DY36550" s="185" t="s">
        <v>215</v>
      </c>
    </row>
    <row r="36551" spans="129:129" x14ac:dyDescent="0.2">
      <c r="DY36551" s="185" t="s">
        <v>215</v>
      </c>
    </row>
    <row r="36552" spans="129:129" x14ac:dyDescent="0.2">
      <c r="DY36552" s="185" t="s">
        <v>215</v>
      </c>
    </row>
    <row r="36553" spans="129:129" x14ac:dyDescent="0.2">
      <c r="DY36553" s="185" t="s">
        <v>215</v>
      </c>
    </row>
    <row r="36554" spans="129:129" x14ac:dyDescent="0.2">
      <c r="DY36554" s="185" t="s">
        <v>215</v>
      </c>
    </row>
    <row r="36555" spans="129:129" x14ac:dyDescent="0.2">
      <c r="DY36555" s="185" t="s">
        <v>215</v>
      </c>
    </row>
    <row r="36556" spans="129:129" x14ac:dyDescent="0.2">
      <c r="DY36556" s="185" t="s">
        <v>215</v>
      </c>
    </row>
    <row r="36557" spans="129:129" x14ac:dyDescent="0.2">
      <c r="DY36557" s="185" t="s">
        <v>215</v>
      </c>
    </row>
    <row r="36558" spans="129:129" x14ac:dyDescent="0.2">
      <c r="DY36558" s="185" t="s">
        <v>215</v>
      </c>
    </row>
    <row r="36559" spans="129:129" x14ac:dyDescent="0.2">
      <c r="DY36559" s="185" t="s">
        <v>215</v>
      </c>
    </row>
    <row r="36560" spans="129:129" x14ac:dyDescent="0.2">
      <c r="DY36560" s="185" t="s">
        <v>215</v>
      </c>
    </row>
    <row r="36561" spans="129:129" x14ac:dyDescent="0.2">
      <c r="DY36561" s="185" t="s">
        <v>215</v>
      </c>
    </row>
    <row r="36562" spans="129:129" x14ac:dyDescent="0.2">
      <c r="DY36562" s="185" t="s">
        <v>215</v>
      </c>
    </row>
    <row r="36563" spans="129:129" x14ac:dyDescent="0.2">
      <c r="DY36563" s="185" t="s">
        <v>215</v>
      </c>
    </row>
    <row r="36564" spans="129:129" x14ac:dyDescent="0.2">
      <c r="DY36564" s="185" t="s">
        <v>215</v>
      </c>
    </row>
    <row r="36565" spans="129:129" x14ac:dyDescent="0.2">
      <c r="DY36565" s="185" t="s">
        <v>215</v>
      </c>
    </row>
    <row r="36566" spans="129:129" x14ac:dyDescent="0.2">
      <c r="DY36566" s="185" t="s">
        <v>215</v>
      </c>
    </row>
    <row r="36567" spans="129:129" x14ac:dyDescent="0.2">
      <c r="DY36567" s="185" t="s">
        <v>215</v>
      </c>
    </row>
    <row r="36568" spans="129:129" x14ac:dyDescent="0.2">
      <c r="DY36568" s="185" t="s">
        <v>215</v>
      </c>
    </row>
    <row r="36569" spans="129:129" x14ac:dyDescent="0.2">
      <c r="DY36569" s="185" t="s">
        <v>215</v>
      </c>
    </row>
    <row r="36570" spans="129:129" x14ac:dyDescent="0.2">
      <c r="DY36570" s="185" t="s">
        <v>215</v>
      </c>
    </row>
    <row r="36571" spans="129:129" x14ac:dyDescent="0.2">
      <c r="DY36571" s="185" t="s">
        <v>215</v>
      </c>
    </row>
    <row r="36572" spans="129:129" x14ac:dyDescent="0.2">
      <c r="DY36572" s="185" t="s">
        <v>215</v>
      </c>
    </row>
    <row r="36573" spans="129:129" x14ac:dyDescent="0.2">
      <c r="DY36573" s="185" t="s">
        <v>215</v>
      </c>
    </row>
    <row r="36574" spans="129:129" x14ac:dyDescent="0.2">
      <c r="DY36574" s="185" t="s">
        <v>215</v>
      </c>
    </row>
    <row r="36575" spans="129:129" x14ac:dyDescent="0.2">
      <c r="DY36575" s="185" t="s">
        <v>215</v>
      </c>
    </row>
    <row r="36576" spans="129:129" x14ac:dyDescent="0.2">
      <c r="DY36576" s="185" t="s">
        <v>215</v>
      </c>
    </row>
    <row r="36577" spans="129:129" x14ac:dyDescent="0.2">
      <c r="DY36577" s="185" t="s">
        <v>215</v>
      </c>
    </row>
    <row r="36578" spans="129:129" x14ac:dyDescent="0.2">
      <c r="DY36578" s="185" t="s">
        <v>215</v>
      </c>
    </row>
    <row r="36579" spans="129:129" x14ac:dyDescent="0.2">
      <c r="DY36579" s="185" t="s">
        <v>215</v>
      </c>
    </row>
    <row r="36580" spans="129:129" x14ac:dyDescent="0.2">
      <c r="DY36580" s="185" t="s">
        <v>215</v>
      </c>
    </row>
    <row r="36581" spans="129:129" x14ac:dyDescent="0.2">
      <c r="DY36581" s="185" t="s">
        <v>215</v>
      </c>
    </row>
    <row r="36582" spans="129:129" x14ac:dyDescent="0.2">
      <c r="DY36582" s="185" t="s">
        <v>215</v>
      </c>
    </row>
    <row r="36583" spans="129:129" x14ac:dyDescent="0.2">
      <c r="DY36583" s="185" t="s">
        <v>215</v>
      </c>
    </row>
    <row r="36584" spans="129:129" x14ac:dyDescent="0.2">
      <c r="DY36584" s="185" t="s">
        <v>215</v>
      </c>
    </row>
    <row r="36585" spans="129:129" x14ac:dyDescent="0.2">
      <c r="DY36585" s="185" t="s">
        <v>215</v>
      </c>
    </row>
    <row r="36586" spans="129:129" x14ac:dyDescent="0.2">
      <c r="DY36586" s="185" t="s">
        <v>215</v>
      </c>
    </row>
    <row r="36587" spans="129:129" x14ac:dyDescent="0.2">
      <c r="DY36587" s="185" t="s">
        <v>215</v>
      </c>
    </row>
    <row r="36588" spans="129:129" x14ac:dyDescent="0.2">
      <c r="DY36588" s="185" t="s">
        <v>215</v>
      </c>
    </row>
    <row r="36589" spans="129:129" x14ac:dyDescent="0.2">
      <c r="DY36589" s="185" t="s">
        <v>215</v>
      </c>
    </row>
    <row r="36590" spans="129:129" x14ac:dyDescent="0.2">
      <c r="DY36590" s="185" t="s">
        <v>215</v>
      </c>
    </row>
    <row r="36591" spans="129:129" x14ac:dyDescent="0.2">
      <c r="DY36591" s="185" t="s">
        <v>215</v>
      </c>
    </row>
    <row r="36592" spans="129:129" x14ac:dyDescent="0.2">
      <c r="DY36592" s="185" t="s">
        <v>215</v>
      </c>
    </row>
    <row r="36593" spans="129:129" x14ac:dyDescent="0.2">
      <c r="DY36593" s="185" t="s">
        <v>215</v>
      </c>
    </row>
    <row r="36594" spans="129:129" x14ac:dyDescent="0.2">
      <c r="DY36594" s="185" t="s">
        <v>215</v>
      </c>
    </row>
    <row r="36595" spans="129:129" x14ac:dyDescent="0.2">
      <c r="DY36595" s="185" t="s">
        <v>215</v>
      </c>
    </row>
    <row r="36596" spans="129:129" x14ac:dyDescent="0.2">
      <c r="DY36596" s="185" t="s">
        <v>215</v>
      </c>
    </row>
    <row r="36597" spans="129:129" x14ac:dyDescent="0.2">
      <c r="DY36597" s="185" t="s">
        <v>215</v>
      </c>
    </row>
    <row r="36598" spans="129:129" x14ac:dyDescent="0.2">
      <c r="DY36598" s="185" t="s">
        <v>215</v>
      </c>
    </row>
    <row r="36599" spans="129:129" x14ac:dyDescent="0.2">
      <c r="DY36599" s="185" t="s">
        <v>215</v>
      </c>
    </row>
    <row r="36600" spans="129:129" x14ac:dyDescent="0.2">
      <c r="DY36600" s="185" t="s">
        <v>215</v>
      </c>
    </row>
    <row r="36601" spans="129:129" x14ac:dyDescent="0.2">
      <c r="DY36601" s="185" t="s">
        <v>215</v>
      </c>
    </row>
    <row r="36602" spans="129:129" x14ac:dyDescent="0.2">
      <c r="DY36602" s="185" t="s">
        <v>215</v>
      </c>
    </row>
    <row r="36603" spans="129:129" x14ac:dyDescent="0.2">
      <c r="DY36603" s="185" t="s">
        <v>215</v>
      </c>
    </row>
    <row r="36604" spans="129:129" x14ac:dyDescent="0.2">
      <c r="DY36604" s="185" t="s">
        <v>215</v>
      </c>
    </row>
    <row r="36605" spans="129:129" x14ac:dyDescent="0.2">
      <c r="DY36605" s="185" t="s">
        <v>215</v>
      </c>
    </row>
    <row r="36606" spans="129:129" x14ac:dyDescent="0.2">
      <c r="DY36606" s="185" t="s">
        <v>215</v>
      </c>
    </row>
    <row r="36607" spans="129:129" x14ac:dyDescent="0.2">
      <c r="DY36607" s="185" t="s">
        <v>215</v>
      </c>
    </row>
    <row r="36608" spans="129:129" x14ac:dyDescent="0.2">
      <c r="DY36608" s="185" t="s">
        <v>215</v>
      </c>
    </row>
    <row r="36609" spans="129:129" x14ac:dyDescent="0.2">
      <c r="DY36609" s="185" t="s">
        <v>215</v>
      </c>
    </row>
    <row r="36610" spans="129:129" x14ac:dyDescent="0.2">
      <c r="DY36610" s="185" t="s">
        <v>215</v>
      </c>
    </row>
    <row r="36611" spans="129:129" x14ac:dyDescent="0.2">
      <c r="DY36611" s="185" t="s">
        <v>215</v>
      </c>
    </row>
    <row r="36612" spans="129:129" x14ac:dyDescent="0.2">
      <c r="DY36612" s="185" t="s">
        <v>215</v>
      </c>
    </row>
    <row r="36613" spans="129:129" x14ac:dyDescent="0.2">
      <c r="DY36613" s="185" t="s">
        <v>215</v>
      </c>
    </row>
    <row r="36614" spans="129:129" x14ac:dyDescent="0.2">
      <c r="DY36614" s="185" t="s">
        <v>215</v>
      </c>
    </row>
    <row r="36615" spans="129:129" x14ac:dyDescent="0.2">
      <c r="DY36615" s="185" t="s">
        <v>215</v>
      </c>
    </row>
    <row r="36616" spans="129:129" x14ac:dyDescent="0.2">
      <c r="DY36616" s="185" t="s">
        <v>215</v>
      </c>
    </row>
    <row r="36617" spans="129:129" x14ac:dyDescent="0.2">
      <c r="DY36617" s="185" t="s">
        <v>215</v>
      </c>
    </row>
    <row r="36618" spans="129:129" x14ac:dyDescent="0.2">
      <c r="DY36618" s="185" t="s">
        <v>215</v>
      </c>
    </row>
    <row r="36619" spans="129:129" x14ac:dyDescent="0.2">
      <c r="DY36619" s="185" t="s">
        <v>215</v>
      </c>
    </row>
    <row r="36620" spans="129:129" x14ac:dyDescent="0.2">
      <c r="DY36620" s="185" t="s">
        <v>215</v>
      </c>
    </row>
    <row r="36621" spans="129:129" x14ac:dyDescent="0.2">
      <c r="DY36621" s="185" t="s">
        <v>215</v>
      </c>
    </row>
    <row r="36622" spans="129:129" x14ac:dyDescent="0.2">
      <c r="DY36622" s="185" t="s">
        <v>215</v>
      </c>
    </row>
    <row r="36623" spans="129:129" x14ac:dyDescent="0.2">
      <c r="DY36623" s="185" t="s">
        <v>215</v>
      </c>
    </row>
    <row r="36624" spans="129:129" x14ac:dyDescent="0.2">
      <c r="DY36624" s="185" t="s">
        <v>215</v>
      </c>
    </row>
    <row r="36625" spans="129:129" x14ac:dyDescent="0.2">
      <c r="DY36625" s="185" t="s">
        <v>215</v>
      </c>
    </row>
    <row r="36626" spans="129:129" x14ac:dyDescent="0.2">
      <c r="DY36626" s="185" t="s">
        <v>215</v>
      </c>
    </row>
    <row r="36627" spans="129:129" x14ac:dyDescent="0.2">
      <c r="DY36627" s="185" t="s">
        <v>215</v>
      </c>
    </row>
    <row r="36628" spans="129:129" x14ac:dyDescent="0.2">
      <c r="DY36628" s="185" t="s">
        <v>215</v>
      </c>
    </row>
    <row r="36629" spans="129:129" x14ac:dyDescent="0.2">
      <c r="DY36629" s="185" t="s">
        <v>215</v>
      </c>
    </row>
    <row r="36630" spans="129:129" x14ac:dyDescent="0.2">
      <c r="DY36630" s="185" t="s">
        <v>215</v>
      </c>
    </row>
    <row r="36631" spans="129:129" x14ac:dyDescent="0.2">
      <c r="DY36631" s="185" t="s">
        <v>215</v>
      </c>
    </row>
    <row r="36632" spans="129:129" x14ac:dyDescent="0.2">
      <c r="DY36632" s="185" t="s">
        <v>215</v>
      </c>
    </row>
    <row r="36633" spans="129:129" x14ac:dyDescent="0.2">
      <c r="DY36633" s="185" t="s">
        <v>215</v>
      </c>
    </row>
    <row r="36634" spans="129:129" x14ac:dyDescent="0.2">
      <c r="DY36634" s="185" t="s">
        <v>215</v>
      </c>
    </row>
    <row r="36635" spans="129:129" x14ac:dyDescent="0.2">
      <c r="DY36635" s="185" t="s">
        <v>215</v>
      </c>
    </row>
    <row r="36636" spans="129:129" x14ac:dyDescent="0.2">
      <c r="DY36636" s="185" t="s">
        <v>215</v>
      </c>
    </row>
    <row r="36637" spans="129:129" x14ac:dyDescent="0.2">
      <c r="DY36637" s="185" t="s">
        <v>215</v>
      </c>
    </row>
    <row r="36638" spans="129:129" x14ac:dyDescent="0.2">
      <c r="DY36638" s="185" t="s">
        <v>215</v>
      </c>
    </row>
    <row r="36639" spans="129:129" x14ac:dyDescent="0.2">
      <c r="DY36639" s="185" t="s">
        <v>215</v>
      </c>
    </row>
    <row r="36640" spans="129:129" x14ac:dyDescent="0.2">
      <c r="DY36640" s="185" t="s">
        <v>215</v>
      </c>
    </row>
    <row r="36641" spans="129:129" x14ac:dyDescent="0.2">
      <c r="DY36641" s="185" t="s">
        <v>215</v>
      </c>
    </row>
    <row r="36642" spans="129:129" x14ac:dyDescent="0.2">
      <c r="DY36642" s="185" t="s">
        <v>215</v>
      </c>
    </row>
    <row r="36643" spans="129:129" x14ac:dyDescent="0.2">
      <c r="DY36643" s="185" t="s">
        <v>215</v>
      </c>
    </row>
    <row r="36644" spans="129:129" x14ac:dyDescent="0.2">
      <c r="DY36644" s="185" t="s">
        <v>215</v>
      </c>
    </row>
    <row r="36645" spans="129:129" x14ac:dyDescent="0.2">
      <c r="DY36645" s="185" t="s">
        <v>215</v>
      </c>
    </row>
    <row r="36646" spans="129:129" x14ac:dyDescent="0.2">
      <c r="DY36646" s="185" t="s">
        <v>215</v>
      </c>
    </row>
    <row r="36647" spans="129:129" x14ac:dyDescent="0.2">
      <c r="DY36647" s="185" t="s">
        <v>215</v>
      </c>
    </row>
    <row r="36648" spans="129:129" x14ac:dyDescent="0.2">
      <c r="DY36648" s="185" t="s">
        <v>215</v>
      </c>
    </row>
    <row r="36649" spans="129:129" x14ac:dyDescent="0.2">
      <c r="DY36649" s="185" t="s">
        <v>215</v>
      </c>
    </row>
    <row r="36650" spans="129:129" x14ac:dyDescent="0.2">
      <c r="DY36650" s="185" t="s">
        <v>215</v>
      </c>
    </row>
    <row r="36651" spans="129:129" x14ac:dyDescent="0.2">
      <c r="DY36651" s="185" t="s">
        <v>215</v>
      </c>
    </row>
    <row r="36652" spans="129:129" x14ac:dyDescent="0.2">
      <c r="DY36652" s="185" t="s">
        <v>215</v>
      </c>
    </row>
    <row r="36653" spans="129:129" x14ac:dyDescent="0.2">
      <c r="DY36653" s="185" t="s">
        <v>215</v>
      </c>
    </row>
    <row r="36654" spans="129:129" x14ac:dyDescent="0.2">
      <c r="DY36654" s="185" t="s">
        <v>215</v>
      </c>
    </row>
    <row r="36655" spans="129:129" x14ac:dyDescent="0.2">
      <c r="DY36655" s="185" t="s">
        <v>215</v>
      </c>
    </row>
    <row r="36656" spans="129:129" x14ac:dyDescent="0.2">
      <c r="DY36656" s="185" t="s">
        <v>215</v>
      </c>
    </row>
    <row r="36657" spans="129:129" x14ac:dyDescent="0.2">
      <c r="DY36657" s="185" t="s">
        <v>215</v>
      </c>
    </row>
    <row r="36658" spans="129:129" x14ac:dyDescent="0.2">
      <c r="DY36658" s="185" t="s">
        <v>215</v>
      </c>
    </row>
    <row r="36659" spans="129:129" x14ac:dyDescent="0.2">
      <c r="DY36659" s="185" t="s">
        <v>215</v>
      </c>
    </row>
    <row r="36660" spans="129:129" x14ac:dyDescent="0.2">
      <c r="DY36660" s="185" t="s">
        <v>215</v>
      </c>
    </row>
    <row r="36661" spans="129:129" x14ac:dyDescent="0.2">
      <c r="DY36661" s="185" t="s">
        <v>215</v>
      </c>
    </row>
    <row r="36662" spans="129:129" x14ac:dyDescent="0.2">
      <c r="DY36662" s="185" t="s">
        <v>215</v>
      </c>
    </row>
    <row r="36663" spans="129:129" x14ac:dyDescent="0.2">
      <c r="DY36663" s="185" t="s">
        <v>215</v>
      </c>
    </row>
    <row r="36664" spans="129:129" x14ac:dyDescent="0.2">
      <c r="DY36664" s="185" t="s">
        <v>215</v>
      </c>
    </row>
    <row r="36665" spans="129:129" x14ac:dyDescent="0.2">
      <c r="DY36665" s="185" t="s">
        <v>215</v>
      </c>
    </row>
    <row r="36666" spans="129:129" x14ac:dyDescent="0.2">
      <c r="DY36666" s="185" t="s">
        <v>215</v>
      </c>
    </row>
    <row r="36667" spans="129:129" x14ac:dyDescent="0.2">
      <c r="DY36667" s="185" t="s">
        <v>215</v>
      </c>
    </row>
    <row r="36668" spans="129:129" x14ac:dyDescent="0.2">
      <c r="DY36668" s="185" t="s">
        <v>215</v>
      </c>
    </row>
    <row r="36669" spans="129:129" x14ac:dyDescent="0.2">
      <c r="DY36669" s="185" t="s">
        <v>215</v>
      </c>
    </row>
    <row r="36670" spans="129:129" x14ac:dyDescent="0.2">
      <c r="DY36670" s="185" t="s">
        <v>215</v>
      </c>
    </row>
    <row r="36671" spans="129:129" x14ac:dyDescent="0.2">
      <c r="DY36671" s="185" t="s">
        <v>215</v>
      </c>
    </row>
    <row r="36672" spans="129:129" x14ac:dyDescent="0.2">
      <c r="DY36672" s="185" t="s">
        <v>215</v>
      </c>
    </row>
    <row r="36673" spans="129:129" x14ac:dyDescent="0.2">
      <c r="DY36673" s="185" t="s">
        <v>215</v>
      </c>
    </row>
    <row r="36674" spans="129:129" x14ac:dyDescent="0.2">
      <c r="DY36674" s="185" t="s">
        <v>215</v>
      </c>
    </row>
    <row r="36675" spans="129:129" x14ac:dyDescent="0.2">
      <c r="DY36675" s="185" t="s">
        <v>215</v>
      </c>
    </row>
    <row r="36676" spans="129:129" x14ac:dyDescent="0.2">
      <c r="DY36676" s="185" t="s">
        <v>215</v>
      </c>
    </row>
    <row r="36677" spans="129:129" x14ac:dyDescent="0.2">
      <c r="DY36677" s="185" t="s">
        <v>215</v>
      </c>
    </row>
    <row r="36678" spans="129:129" x14ac:dyDescent="0.2">
      <c r="DY36678" s="185" t="s">
        <v>215</v>
      </c>
    </row>
    <row r="36679" spans="129:129" x14ac:dyDescent="0.2">
      <c r="DY36679" s="185" t="s">
        <v>215</v>
      </c>
    </row>
    <row r="36680" spans="129:129" x14ac:dyDescent="0.2">
      <c r="DY36680" s="185" t="s">
        <v>215</v>
      </c>
    </row>
    <row r="36681" spans="129:129" x14ac:dyDescent="0.2">
      <c r="DY36681" s="185" t="s">
        <v>215</v>
      </c>
    </row>
    <row r="36682" spans="129:129" x14ac:dyDescent="0.2">
      <c r="DY36682" s="185" t="s">
        <v>215</v>
      </c>
    </row>
    <row r="36683" spans="129:129" x14ac:dyDescent="0.2">
      <c r="DY36683" s="185" t="s">
        <v>215</v>
      </c>
    </row>
    <row r="36684" spans="129:129" x14ac:dyDescent="0.2">
      <c r="DY36684" s="185" t="s">
        <v>215</v>
      </c>
    </row>
    <row r="36685" spans="129:129" x14ac:dyDescent="0.2">
      <c r="DY36685" s="185" t="s">
        <v>215</v>
      </c>
    </row>
    <row r="36686" spans="129:129" x14ac:dyDescent="0.2">
      <c r="DY36686" s="185" t="s">
        <v>215</v>
      </c>
    </row>
    <row r="36687" spans="129:129" x14ac:dyDescent="0.2">
      <c r="DY36687" s="185" t="s">
        <v>215</v>
      </c>
    </row>
    <row r="36688" spans="129:129" x14ac:dyDescent="0.2">
      <c r="DY36688" s="185" t="s">
        <v>215</v>
      </c>
    </row>
    <row r="36689" spans="129:129" x14ac:dyDescent="0.2">
      <c r="DY36689" s="185" t="s">
        <v>215</v>
      </c>
    </row>
    <row r="36690" spans="129:129" x14ac:dyDescent="0.2">
      <c r="DY36690" s="185" t="s">
        <v>215</v>
      </c>
    </row>
    <row r="36691" spans="129:129" x14ac:dyDescent="0.2">
      <c r="DY36691" s="185" t="s">
        <v>215</v>
      </c>
    </row>
    <row r="36692" spans="129:129" x14ac:dyDescent="0.2">
      <c r="DY36692" s="185" t="s">
        <v>215</v>
      </c>
    </row>
    <row r="36693" spans="129:129" x14ac:dyDescent="0.2">
      <c r="DY36693" s="185" t="s">
        <v>215</v>
      </c>
    </row>
    <row r="36694" spans="129:129" x14ac:dyDescent="0.2">
      <c r="DY36694" s="185" t="s">
        <v>215</v>
      </c>
    </row>
    <row r="36695" spans="129:129" x14ac:dyDescent="0.2">
      <c r="DY36695" s="185" t="s">
        <v>215</v>
      </c>
    </row>
    <row r="36696" spans="129:129" x14ac:dyDescent="0.2">
      <c r="DY36696" s="185" t="s">
        <v>215</v>
      </c>
    </row>
    <row r="36697" spans="129:129" x14ac:dyDescent="0.2">
      <c r="DY36697" s="185" t="s">
        <v>215</v>
      </c>
    </row>
    <row r="36698" spans="129:129" x14ac:dyDescent="0.2">
      <c r="DY36698" s="185" t="s">
        <v>215</v>
      </c>
    </row>
    <row r="36699" spans="129:129" x14ac:dyDescent="0.2">
      <c r="DY36699" s="185" t="s">
        <v>215</v>
      </c>
    </row>
    <row r="36700" spans="129:129" x14ac:dyDescent="0.2">
      <c r="DY36700" s="185" t="s">
        <v>215</v>
      </c>
    </row>
    <row r="36701" spans="129:129" x14ac:dyDescent="0.2">
      <c r="DY36701" s="185" t="s">
        <v>215</v>
      </c>
    </row>
    <row r="36702" spans="129:129" x14ac:dyDescent="0.2">
      <c r="DY36702" s="185" t="s">
        <v>215</v>
      </c>
    </row>
    <row r="36703" spans="129:129" x14ac:dyDescent="0.2">
      <c r="DY36703" s="185" t="s">
        <v>215</v>
      </c>
    </row>
    <row r="36704" spans="129:129" x14ac:dyDescent="0.2">
      <c r="DY36704" s="185" t="s">
        <v>215</v>
      </c>
    </row>
    <row r="36705" spans="129:129" x14ac:dyDescent="0.2">
      <c r="DY36705" s="185" t="s">
        <v>215</v>
      </c>
    </row>
    <row r="36706" spans="129:129" x14ac:dyDescent="0.2">
      <c r="DY36706" s="185" t="s">
        <v>215</v>
      </c>
    </row>
    <row r="36707" spans="129:129" x14ac:dyDescent="0.2">
      <c r="DY36707" s="185" t="s">
        <v>215</v>
      </c>
    </row>
    <row r="36708" spans="129:129" x14ac:dyDescent="0.2">
      <c r="DY36708" s="185" t="s">
        <v>215</v>
      </c>
    </row>
    <row r="36709" spans="129:129" x14ac:dyDescent="0.2">
      <c r="DY36709" s="185" t="s">
        <v>215</v>
      </c>
    </row>
    <row r="36710" spans="129:129" x14ac:dyDescent="0.2">
      <c r="DY36710" s="185" t="s">
        <v>215</v>
      </c>
    </row>
    <row r="36711" spans="129:129" x14ac:dyDescent="0.2">
      <c r="DY36711" s="185" t="s">
        <v>215</v>
      </c>
    </row>
    <row r="36712" spans="129:129" x14ac:dyDescent="0.2">
      <c r="DY36712" s="185" t="s">
        <v>215</v>
      </c>
    </row>
    <row r="36713" spans="129:129" x14ac:dyDescent="0.2">
      <c r="DY36713" s="185" t="s">
        <v>215</v>
      </c>
    </row>
    <row r="36714" spans="129:129" x14ac:dyDescent="0.2">
      <c r="DY36714" s="185" t="s">
        <v>215</v>
      </c>
    </row>
    <row r="36715" spans="129:129" x14ac:dyDescent="0.2">
      <c r="DY36715" s="185" t="s">
        <v>215</v>
      </c>
    </row>
    <row r="36716" spans="129:129" x14ac:dyDescent="0.2">
      <c r="DY36716" s="185" t="s">
        <v>215</v>
      </c>
    </row>
    <row r="36717" spans="129:129" x14ac:dyDescent="0.2">
      <c r="DY36717" s="185" t="s">
        <v>215</v>
      </c>
    </row>
    <row r="36718" spans="129:129" x14ac:dyDescent="0.2">
      <c r="DY36718" s="185" t="s">
        <v>215</v>
      </c>
    </row>
    <row r="36719" spans="129:129" x14ac:dyDescent="0.2">
      <c r="DY36719" s="185" t="s">
        <v>215</v>
      </c>
    </row>
    <row r="36720" spans="129:129" x14ac:dyDescent="0.2">
      <c r="DY36720" s="185" t="s">
        <v>215</v>
      </c>
    </row>
    <row r="36721" spans="129:129" x14ac:dyDescent="0.2">
      <c r="DY36721" s="185" t="s">
        <v>215</v>
      </c>
    </row>
    <row r="36722" spans="129:129" x14ac:dyDescent="0.2">
      <c r="DY36722" s="185" t="s">
        <v>215</v>
      </c>
    </row>
    <row r="36723" spans="129:129" x14ac:dyDescent="0.2">
      <c r="DY36723" s="185" t="s">
        <v>215</v>
      </c>
    </row>
    <row r="36724" spans="129:129" x14ac:dyDescent="0.2">
      <c r="DY36724" s="185" t="s">
        <v>215</v>
      </c>
    </row>
    <row r="36725" spans="129:129" x14ac:dyDescent="0.2">
      <c r="DY36725" s="185" t="s">
        <v>215</v>
      </c>
    </row>
    <row r="36726" spans="129:129" x14ac:dyDescent="0.2">
      <c r="DY36726" s="185" t="s">
        <v>215</v>
      </c>
    </row>
    <row r="36727" spans="129:129" x14ac:dyDescent="0.2">
      <c r="DY36727" s="185" t="s">
        <v>215</v>
      </c>
    </row>
    <row r="36728" spans="129:129" x14ac:dyDescent="0.2">
      <c r="DY36728" s="185" t="s">
        <v>215</v>
      </c>
    </row>
    <row r="36729" spans="129:129" x14ac:dyDescent="0.2">
      <c r="DY36729" s="185" t="s">
        <v>215</v>
      </c>
    </row>
    <row r="36730" spans="129:129" x14ac:dyDescent="0.2">
      <c r="DY36730" s="185" t="s">
        <v>215</v>
      </c>
    </row>
    <row r="36731" spans="129:129" x14ac:dyDescent="0.2">
      <c r="DY36731" s="185" t="s">
        <v>215</v>
      </c>
    </row>
    <row r="36732" spans="129:129" x14ac:dyDescent="0.2">
      <c r="DY36732" s="185" t="s">
        <v>215</v>
      </c>
    </row>
    <row r="36733" spans="129:129" x14ac:dyDescent="0.2">
      <c r="DY36733" s="185" t="s">
        <v>215</v>
      </c>
    </row>
    <row r="36734" spans="129:129" x14ac:dyDescent="0.2">
      <c r="DY36734" s="185" t="s">
        <v>215</v>
      </c>
    </row>
    <row r="36735" spans="129:129" x14ac:dyDescent="0.2">
      <c r="DY36735" s="185" t="s">
        <v>215</v>
      </c>
    </row>
    <row r="36736" spans="129:129" x14ac:dyDescent="0.2">
      <c r="DY36736" s="185" t="s">
        <v>215</v>
      </c>
    </row>
    <row r="36737" spans="129:129" x14ac:dyDescent="0.2">
      <c r="DY36737" s="185" t="s">
        <v>215</v>
      </c>
    </row>
    <row r="36738" spans="129:129" x14ac:dyDescent="0.2">
      <c r="DY36738" s="185" t="s">
        <v>215</v>
      </c>
    </row>
    <row r="36739" spans="129:129" x14ac:dyDescent="0.2">
      <c r="DY36739" s="185" t="s">
        <v>215</v>
      </c>
    </row>
    <row r="36740" spans="129:129" x14ac:dyDescent="0.2">
      <c r="DY36740" s="185" t="s">
        <v>215</v>
      </c>
    </row>
    <row r="36741" spans="129:129" x14ac:dyDescent="0.2">
      <c r="DY36741" s="185" t="s">
        <v>215</v>
      </c>
    </row>
    <row r="36742" spans="129:129" x14ac:dyDescent="0.2">
      <c r="DY36742" s="185" t="s">
        <v>215</v>
      </c>
    </row>
    <row r="36743" spans="129:129" x14ac:dyDescent="0.2">
      <c r="DY36743" s="185" t="s">
        <v>215</v>
      </c>
    </row>
    <row r="36744" spans="129:129" x14ac:dyDescent="0.2">
      <c r="DY36744" s="185" t="s">
        <v>215</v>
      </c>
    </row>
    <row r="36745" spans="129:129" x14ac:dyDescent="0.2">
      <c r="DY36745" s="185" t="s">
        <v>215</v>
      </c>
    </row>
    <row r="36746" spans="129:129" x14ac:dyDescent="0.2">
      <c r="DY36746" s="185" t="s">
        <v>215</v>
      </c>
    </row>
    <row r="36747" spans="129:129" x14ac:dyDescent="0.2">
      <c r="DY36747" s="185" t="s">
        <v>215</v>
      </c>
    </row>
    <row r="36748" spans="129:129" x14ac:dyDescent="0.2">
      <c r="DY36748" s="185" t="s">
        <v>215</v>
      </c>
    </row>
    <row r="36749" spans="129:129" x14ac:dyDescent="0.2">
      <c r="DY36749" s="185" t="s">
        <v>215</v>
      </c>
    </row>
    <row r="36750" spans="129:129" x14ac:dyDescent="0.2">
      <c r="DY36750" s="185" t="s">
        <v>215</v>
      </c>
    </row>
    <row r="36751" spans="129:129" x14ac:dyDescent="0.2">
      <c r="DY36751" s="185" t="s">
        <v>215</v>
      </c>
    </row>
    <row r="36752" spans="129:129" x14ac:dyDescent="0.2">
      <c r="DY36752" s="185" t="s">
        <v>215</v>
      </c>
    </row>
    <row r="36753" spans="129:129" x14ac:dyDescent="0.2">
      <c r="DY36753" s="185" t="s">
        <v>215</v>
      </c>
    </row>
    <row r="36754" spans="129:129" x14ac:dyDescent="0.2">
      <c r="DY36754" s="185" t="s">
        <v>215</v>
      </c>
    </row>
    <row r="36755" spans="129:129" x14ac:dyDescent="0.2">
      <c r="DY36755" s="185" t="s">
        <v>215</v>
      </c>
    </row>
    <row r="36756" spans="129:129" x14ac:dyDescent="0.2">
      <c r="DY36756" s="185" t="s">
        <v>215</v>
      </c>
    </row>
    <row r="36757" spans="129:129" x14ac:dyDescent="0.2">
      <c r="DY36757" s="185" t="s">
        <v>215</v>
      </c>
    </row>
    <row r="36758" spans="129:129" x14ac:dyDescent="0.2">
      <c r="DY36758" s="185" t="s">
        <v>215</v>
      </c>
    </row>
    <row r="36759" spans="129:129" x14ac:dyDescent="0.2">
      <c r="DY36759" s="185" t="s">
        <v>215</v>
      </c>
    </row>
    <row r="36760" spans="129:129" x14ac:dyDescent="0.2">
      <c r="DY36760" s="185" t="s">
        <v>215</v>
      </c>
    </row>
    <row r="36761" spans="129:129" x14ac:dyDescent="0.2">
      <c r="DY36761" s="185" t="s">
        <v>215</v>
      </c>
    </row>
    <row r="36762" spans="129:129" x14ac:dyDescent="0.2">
      <c r="DY36762" s="185" t="s">
        <v>215</v>
      </c>
    </row>
    <row r="36763" spans="129:129" x14ac:dyDescent="0.2">
      <c r="DY36763" s="185" t="s">
        <v>215</v>
      </c>
    </row>
    <row r="36764" spans="129:129" x14ac:dyDescent="0.2">
      <c r="DY36764" s="185" t="s">
        <v>215</v>
      </c>
    </row>
    <row r="36765" spans="129:129" x14ac:dyDescent="0.2">
      <c r="DY36765" s="185" t="s">
        <v>215</v>
      </c>
    </row>
    <row r="36766" spans="129:129" x14ac:dyDescent="0.2">
      <c r="DY36766" s="185" t="s">
        <v>215</v>
      </c>
    </row>
    <row r="36767" spans="129:129" x14ac:dyDescent="0.2">
      <c r="DY36767" s="185" t="s">
        <v>215</v>
      </c>
    </row>
    <row r="36768" spans="129:129" x14ac:dyDescent="0.2">
      <c r="DY36768" s="185" t="s">
        <v>215</v>
      </c>
    </row>
    <row r="36769" spans="129:129" x14ac:dyDescent="0.2">
      <c r="DY36769" s="185" t="s">
        <v>215</v>
      </c>
    </row>
    <row r="36770" spans="129:129" x14ac:dyDescent="0.2">
      <c r="DY36770" s="185" t="s">
        <v>215</v>
      </c>
    </row>
    <row r="36771" spans="129:129" x14ac:dyDescent="0.2">
      <c r="DY36771" s="185" t="s">
        <v>215</v>
      </c>
    </row>
    <row r="36772" spans="129:129" x14ac:dyDescent="0.2">
      <c r="DY36772" s="185" t="s">
        <v>215</v>
      </c>
    </row>
    <row r="36773" spans="129:129" x14ac:dyDescent="0.2">
      <c r="DY36773" s="185" t="s">
        <v>215</v>
      </c>
    </row>
    <row r="36774" spans="129:129" x14ac:dyDescent="0.2">
      <c r="DY36774" s="185" t="s">
        <v>215</v>
      </c>
    </row>
    <row r="36775" spans="129:129" x14ac:dyDescent="0.2">
      <c r="DY36775" s="185" t="s">
        <v>215</v>
      </c>
    </row>
    <row r="36776" spans="129:129" x14ac:dyDescent="0.2">
      <c r="DY36776" s="185" t="s">
        <v>215</v>
      </c>
    </row>
    <row r="36777" spans="129:129" x14ac:dyDescent="0.2">
      <c r="DY36777" s="185" t="s">
        <v>215</v>
      </c>
    </row>
    <row r="36778" spans="129:129" x14ac:dyDescent="0.2">
      <c r="DY36778" s="185" t="s">
        <v>215</v>
      </c>
    </row>
    <row r="36779" spans="129:129" x14ac:dyDescent="0.2">
      <c r="DY36779" s="185" t="s">
        <v>215</v>
      </c>
    </row>
    <row r="36780" spans="129:129" x14ac:dyDescent="0.2">
      <c r="DY36780" s="185" t="s">
        <v>215</v>
      </c>
    </row>
    <row r="36781" spans="129:129" x14ac:dyDescent="0.2">
      <c r="DY36781" s="185" t="s">
        <v>215</v>
      </c>
    </row>
    <row r="36782" spans="129:129" x14ac:dyDescent="0.2">
      <c r="DY36782" s="185" t="s">
        <v>215</v>
      </c>
    </row>
    <row r="36783" spans="129:129" x14ac:dyDescent="0.2">
      <c r="DY36783" s="185" t="s">
        <v>215</v>
      </c>
    </row>
    <row r="36784" spans="129:129" x14ac:dyDescent="0.2">
      <c r="DY36784" s="185" t="s">
        <v>215</v>
      </c>
    </row>
    <row r="36785" spans="129:129" x14ac:dyDescent="0.2">
      <c r="DY36785" s="185" t="s">
        <v>215</v>
      </c>
    </row>
    <row r="36786" spans="129:129" x14ac:dyDescent="0.2">
      <c r="DY36786" s="185" t="s">
        <v>215</v>
      </c>
    </row>
    <row r="36787" spans="129:129" x14ac:dyDescent="0.2">
      <c r="DY36787" s="185" t="s">
        <v>215</v>
      </c>
    </row>
    <row r="36788" spans="129:129" x14ac:dyDescent="0.2">
      <c r="DY36788" s="185" t="s">
        <v>215</v>
      </c>
    </row>
    <row r="36789" spans="129:129" x14ac:dyDescent="0.2">
      <c r="DY36789" s="185" t="s">
        <v>215</v>
      </c>
    </row>
    <row r="36790" spans="129:129" x14ac:dyDescent="0.2">
      <c r="DY36790" s="185" t="s">
        <v>215</v>
      </c>
    </row>
    <row r="36791" spans="129:129" x14ac:dyDescent="0.2">
      <c r="DY36791" s="185" t="s">
        <v>215</v>
      </c>
    </row>
    <row r="36792" spans="129:129" x14ac:dyDescent="0.2">
      <c r="DY36792" s="185" t="s">
        <v>215</v>
      </c>
    </row>
    <row r="36793" spans="129:129" x14ac:dyDescent="0.2">
      <c r="DY36793" s="185" t="s">
        <v>215</v>
      </c>
    </row>
    <row r="36794" spans="129:129" x14ac:dyDescent="0.2">
      <c r="DY36794" s="185" t="s">
        <v>215</v>
      </c>
    </row>
    <row r="36795" spans="129:129" x14ac:dyDescent="0.2">
      <c r="DY36795" s="185" t="s">
        <v>215</v>
      </c>
    </row>
    <row r="36796" spans="129:129" x14ac:dyDescent="0.2">
      <c r="DY36796" s="185" t="s">
        <v>215</v>
      </c>
    </row>
    <row r="36797" spans="129:129" x14ac:dyDescent="0.2">
      <c r="DY36797" s="185" t="s">
        <v>215</v>
      </c>
    </row>
    <row r="36798" spans="129:129" x14ac:dyDescent="0.2">
      <c r="DY36798" s="185" t="s">
        <v>215</v>
      </c>
    </row>
    <row r="36799" spans="129:129" x14ac:dyDescent="0.2">
      <c r="DY36799" s="185" t="s">
        <v>215</v>
      </c>
    </row>
    <row r="36800" spans="129:129" x14ac:dyDescent="0.2">
      <c r="DY36800" s="185" t="s">
        <v>215</v>
      </c>
    </row>
    <row r="36801" spans="129:129" x14ac:dyDescent="0.2">
      <c r="DY36801" s="185" t="s">
        <v>215</v>
      </c>
    </row>
    <row r="36802" spans="129:129" x14ac:dyDescent="0.2">
      <c r="DY36802" s="185" t="s">
        <v>215</v>
      </c>
    </row>
    <row r="36803" spans="129:129" x14ac:dyDescent="0.2">
      <c r="DY36803" s="185" t="s">
        <v>215</v>
      </c>
    </row>
    <row r="36804" spans="129:129" x14ac:dyDescent="0.2">
      <c r="DY36804" s="185" t="s">
        <v>215</v>
      </c>
    </row>
    <row r="36805" spans="129:129" x14ac:dyDescent="0.2">
      <c r="DY36805" s="185" t="s">
        <v>215</v>
      </c>
    </row>
    <row r="36806" spans="129:129" x14ac:dyDescent="0.2">
      <c r="DY36806" s="185" t="s">
        <v>215</v>
      </c>
    </row>
    <row r="36807" spans="129:129" x14ac:dyDescent="0.2">
      <c r="DY36807" s="185" t="s">
        <v>215</v>
      </c>
    </row>
    <row r="36808" spans="129:129" x14ac:dyDescent="0.2">
      <c r="DY36808" s="185" t="s">
        <v>215</v>
      </c>
    </row>
    <row r="36809" spans="129:129" x14ac:dyDescent="0.2">
      <c r="DY36809" s="185" t="s">
        <v>215</v>
      </c>
    </row>
    <row r="36810" spans="129:129" x14ac:dyDescent="0.2">
      <c r="DY36810" s="185" t="s">
        <v>215</v>
      </c>
    </row>
    <row r="36811" spans="129:129" x14ac:dyDescent="0.2">
      <c r="DY36811" s="185" t="s">
        <v>215</v>
      </c>
    </row>
    <row r="36812" spans="129:129" x14ac:dyDescent="0.2">
      <c r="DY36812" s="185" t="s">
        <v>215</v>
      </c>
    </row>
    <row r="36813" spans="129:129" x14ac:dyDescent="0.2">
      <c r="DY36813" s="185" t="s">
        <v>215</v>
      </c>
    </row>
    <row r="36814" spans="129:129" x14ac:dyDescent="0.2">
      <c r="DY36814" s="185" t="s">
        <v>215</v>
      </c>
    </row>
    <row r="36815" spans="129:129" x14ac:dyDescent="0.2">
      <c r="DY36815" s="185" t="s">
        <v>215</v>
      </c>
    </row>
    <row r="36816" spans="129:129" x14ac:dyDescent="0.2">
      <c r="DY36816" s="185" t="s">
        <v>215</v>
      </c>
    </row>
    <row r="36817" spans="129:129" x14ac:dyDescent="0.2">
      <c r="DY36817" s="185" t="s">
        <v>215</v>
      </c>
    </row>
    <row r="36818" spans="129:129" x14ac:dyDescent="0.2">
      <c r="DY36818" s="185" t="s">
        <v>215</v>
      </c>
    </row>
    <row r="36819" spans="129:129" x14ac:dyDescent="0.2">
      <c r="DY36819" s="185" t="s">
        <v>215</v>
      </c>
    </row>
    <row r="36820" spans="129:129" x14ac:dyDescent="0.2">
      <c r="DY36820" s="185" t="s">
        <v>215</v>
      </c>
    </row>
    <row r="36821" spans="129:129" x14ac:dyDescent="0.2">
      <c r="DY36821" s="185" t="s">
        <v>215</v>
      </c>
    </row>
    <row r="36822" spans="129:129" x14ac:dyDescent="0.2">
      <c r="DY36822" s="185" t="s">
        <v>215</v>
      </c>
    </row>
    <row r="36823" spans="129:129" x14ac:dyDescent="0.2">
      <c r="DY36823" s="185" t="s">
        <v>215</v>
      </c>
    </row>
    <row r="36824" spans="129:129" x14ac:dyDescent="0.2">
      <c r="DY36824" s="185" t="s">
        <v>215</v>
      </c>
    </row>
    <row r="36825" spans="129:129" x14ac:dyDescent="0.2">
      <c r="DY36825" s="185" t="s">
        <v>215</v>
      </c>
    </row>
    <row r="36826" spans="129:129" x14ac:dyDescent="0.2">
      <c r="DY36826" s="185" t="s">
        <v>215</v>
      </c>
    </row>
    <row r="36827" spans="129:129" x14ac:dyDescent="0.2">
      <c r="DY36827" s="185" t="s">
        <v>215</v>
      </c>
    </row>
    <row r="36828" spans="129:129" x14ac:dyDescent="0.2">
      <c r="DY36828" s="185" t="s">
        <v>215</v>
      </c>
    </row>
    <row r="36829" spans="129:129" x14ac:dyDescent="0.2">
      <c r="DY36829" s="185" t="s">
        <v>215</v>
      </c>
    </row>
    <row r="36830" spans="129:129" x14ac:dyDescent="0.2">
      <c r="DY36830" s="185" t="s">
        <v>215</v>
      </c>
    </row>
    <row r="36831" spans="129:129" x14ac:dyDescent="0.2">
      <c r="DY36831" s="185" t="s">
        <v>215</v>
      </c>
    </row>
    <row r="36832" spans="129:129" x14ac:dyDescent="0.2">
      <c r="DY36832" s="185" t="s">
        <v>215</v>
      </c>
    </row>
    <row r="36833" spans="129:129" x14ac:dyDescent="0.2">
      <c r="DY36833" s="185" t="s">
        <v>215</v>
      </c>
    </row>
    <row r="36834" spans="129:129" x14ac:dyDescent="0.2">
      <c r="DY36834" s="185" t="s">
        <v>215</v>
      </c>
    </row>
    <row r="36835" spans="129:129" x14ac:dyDescent="0.2">
      <c r="DY36835" s="185" t="s">
        <v>215</v>
      </c>
    </row>
    <row r="36836" spans="129:129" x14ac:dyDescent="0.2">
      <c r="DY36836" s="185" t="s">
        <v>215</v>
      </c>
    </row>
    <row r="36837" spans="129:129" x14ac:dyDescent="0.2">
      <c r="DY36837" s="185" t="s">
        <v>215</v>
      </c>
    </row>
    <row r="36838" spans="129:129" x14ac:dyDescent="0.2">
      <c r="DY36838" s="185" t="s">
        <v>215</v>
      </c>
    </row>
    <row r="36839" spans="129:129" x14ac:dyDescent="0.2">
      <c r="DY36839" s="185" t="s">
        <v>215</v>
      </c>
    </row>
    <row r="36840" spans="129:129" x14ac:dyDescent="0.2">
      <c r="DY36840" s="185" t="s">
        <v>215</v>
      </c>
    </row>
    <row r="36841" spans="129:129" x14ac:dyDescent="0.2">
      <c r="DY36841" s="185" t="s">
        <v>215</v>
      </c>
    </row>
    <row r="36842" spans="129:129" x14ac:dyDescent="0.2">
      <c r="DY36842" s="185" t="s">
        <v>215</v>
      </c>
    </row>
    <row r="36843" spans="129:129" x14ac:dyDescent="0.2">
      <c r="DY36843" s="185" t="s">
        <v>215</v>
      </c>
    </row>
    <row r="36844" spans="129:129" x14ac:dyDescent="0.2">
      <c r="DY36844" s="185" t="s">
        <v>215</v>
      </c>
    </row>
    <row r="36845" spans="129:129" x14ac:dyDescent="0.2">
      <c r="DY36845" s="185" t="s">
        <v>215</v>
      </c>
    </row>
    <row r="36846" spans="129:129" x14ac:dyDescent="0.2">
      <c r="DY36846" s="185" t="s">
        <v>215</v>
      </c>
    </row>
    <row r="36847" spans="129:129" x14ac:dyDescent="0.2">
      <c r="DY36847" s="185" t="s">
        <v>215</v>
      </c>
    </row>
    <row r="36848" spans="129:129" x14ac:dyDescent="0.2">
      <c r="DY36848" s="185" t="s">
        <v>215</v>
      </c>
    </row>
    <row r="36849" spans="129:129" x14ac:dyDescent="0.2">
      <c r="DY36849" s="185" t="s">
        <v>215</v>
      </c>
    </row>
    <row r="36850" spans="129:129" x14ac:dyDescent="0.2">
      <c r="DY36850" s="185" t="s">
        <v>215</v>
      </c>
    </row>
    <row r="36851" spans="129:129" x14ac:dyDescent="0.2">
      <c r="DY36851" s="185" t="s">
        <v>215</v>
      </c>
    </row>
    <row r="36852" spans="129:129" x14ac:dyDescent="0.2">
      <c r="DY36852" s="185" t="s">
        <v>215</v>
      </c>
    </row>
    <row r="36853" spans="129:129" x14ac:dyDescent="0.2">
      <c r="DY36853" s="185" t="s">
        <v>215</v>
      </c>
    </row>
    <row r="36854" spans="129:129" x14ac:dyDescent="0.2">
      <c r="DY36854" s="185" t="s">
        <v>215</v>
      </c>
    </row>
    <row r="36855" spans="129:129" x14ac:dyDescent="0.2">
      <c r="DY36855" s="185" t="s">
        <v>215</v>
      </c>
    </row>
    <row r="36856" spans="129:129" x14ac:dyDescent="0.2">
      <c r="DY36856" s="185" t="s">
        <v>215</v>
      </c>
    </row>
    <row r="36857" spans="129:129" x14ac:dyDescent="0.2">
      <c r="DY36857" s="185" t="s">
        <v>215</v>
      </c>
    </row>
    <row r="36858" spans="129:129" x14ac:dyDescent="0.2">
      <c r="DY36858" s="185" t="s">
        <v>215</v>
      </c>
    </row>
    <row r="36859" spans="129:129" x14ac:dyDescent="0.2">
      <c r="DY36859" s="185" t="s">
        <v>215</v>
      </c>
    </row>
    <row r="36860" spans="129:129" x14ac:dyDescent="0.2">
      <c r="DY36860" s="185" t="s">
        <v>215</v>
      </c>
    </row>
    <row r="36861" spans="129:129" x14ac:dyDescent="0.2">
      <c r="DY36861" s="185" t="s">
        <v>215</v>
      </c>
    </row>
    <row r="36862" spans="129:129" x14ac:dyDescent="0.2">
      <c r="DY36862" s="185" t="s">
        <v>215</v>
      </c>
    </row>
    <row r="36863" spans="129:129" x14ac:dyDescent="0.2">
      <c r="DY36863" s="185" t="s">
        <v>215</v>
      </c>
    </row>
    <row r="36864" spans="129:129" x14ac:dyDescent="0.2">
      <c r="DY36864" s="185" t="s">
        <v>215</v>
      </c>
    </row>
    <row r="36865" spans="129:129" x14ac:dyDescent="0.2">
      <c r="DY36865" s="185" t="s">
        <v>215</v>
      </c>
    </row>
    <row r="36866" spans="129:129" x14ac:dyDescent="0.2">
      <c r="DY36866" s="185" t="s">
        <v>215</v>
      </c>
    </row>
    <row r="36867" spans="129:129" x14ac:dyDescent="0.2">
      <c r="DY36867" s="185" t="s">
        <v>215</v>
      </c>
    </row>
    <row r="36868" spans="129:129" x14ac:dyDescent="0.2">
      <c r="DY36868" s="185" t="s">
        <v>215</v>
      </c>
    </row>
    <row r="36869" spans="129:129" x14ac:dyDescent="0.2">
      <c r="DY36869" s="185" t="s">
        <v>215</v>
      </c>
    </row>
    <row r="36870" spans="129:129" x14ac:dyDescent="0.2">
      <c r="DY36870" s="185" t="s">
        <v>215</v>
      </c>
    </row>
    <row r="36871" spans="129:129" x14ac:dyDescent="0.2">
      <c r="DY36871" s="185" t="s">
        <v>215</v>
      </c>
    </row>
    <row r="36872" spans="129:129" x14ac:dyDescent="0.2">
      <c r="DY36872" s="185" t="s">
        <v>215</v>
      </c>
    </row>
    <row r="36873" spans="129:129" x14ac:dyDescent="0.2">
      <c r="DY36873" s="185" t="s">
        <v>215</v>
      </c>
    </row>
    <row r="36874" spans="129:129" x14ac:dyDescent="0.2">
      <c r="DY36874" s="185" t="s">
        <v>215</v>
      </c>
    </row>
    <row r="36875" spans="129:129" x14ac:dyDescent="0.2">
      <c r="DY36875" s="185" t="s">
        <v>215</v>
      </c>
    </row>
    <row r="36876" spans="129:129" x14ac:dyDescent="0.2">
      <c r="DY36876" s="185" t="s">
        <v>215</v>
      </c>
    </row>
    <row r="36877" spans="129:129" x14ac:dyDescent="0.2">
      <c r="DY36877" s="185" t="s">
        <v>215</v>
      </c>
    </row>
    <row r="36878" spans="129:129" x14ac:dyDescent="0.2">
      <c r="DY36878" s="185" t="s">
        <v>215</v>
      </c>
    </row>
    <row r="36879" spans="129:129" x14ac:dyDescent="0.2">
      <c r="DY36879" s="185" t="s">
        <v>215</v>
      </c>
    </row>
    <row r="36880" spans="129:129" x14ac:dyDescent="0.2">
      <c r="DY36880" s="185" t="s">
        <v>215</v>
      </c>
    </row>
    <row r="36881" spans="129:129" x14ac:dyDescent="0.2">
      <c r="DY36881" s="185" t="s">
        <v>215</v>
      </c>
    </row>
    <row r="36882" spans="129:129" x14ac:dyDescent="0.2">
      <c r="DY36882" s="185" t="s">
        <v>215</v>
      </c>
    </row>
    <row r="36883" spans="129:129" x14ac:dyDescent="0.2">
      <c r="DY36883" s="185" t="s">
        <v>215</v>
      </c>
    </row>
    <row r="36884" spans="129:129" x14ac:dyDescent="0.2">
      <c r="DY36884" s="185" t="s">
        <v>215</v>
      </c>
    </row>
    <row r="36885" spans="129:129" x14ac:dyDescent="0.2">
      <c r="DY36885" s="185" t="s">
        <v>215</v>
      </c>
    </row>
    <row r="36886" spans="129:129" x14ac:dyDescent="0.2">
      <c r="DY36886" s="185" t="s">
        <v>215</v>
      </c>
    </row>
    <row r="36887" spans="129:129" x14ac:dyDescent="0.2">
      <c r="DY36887" s="185" t="s">
        <v>215</v>
      </c>
    </row>
    <row r="36888" spans="129:129" x14ac:dyDescent="0.2">
      <c r="DY36888" s="185" t="s">
        <v>215</v>
      </c>
    </row>
    <row r="36889" spans="129:129" x14ac:dyDescent="0.2">
      <c r="DY36889" s="185" t="s">
        <v>215</v>
      </c>
    </row>
    <row r="36890" spans="129:129" x14ac:dyDescent="0.2">
      <c r="DY36890" s="185" t="s">
        <v>215</v>
      </c>
    </row>
    <row r="36891" spans="129:129" x14ac:dyDescent="0.2">
      <c r="DY36891" s="185" t="s">
        <v>215</v>
      </c>
    </row>
    <row r="36892" spans="129:129" x14ac:dyDescent="0.2">
      <c r="DY36892" s="185" t="s">
        <v>215</v>
      </c>
    </row>
    <row r="36893" spans="129:129" x14ac:dyDescent="0.2">
      <c r="DY36893" s="185" t="s">
        <v>215</v>
      </c>
    </row>
    <row r="36894" spans="129:129" x14ac:dyDescent="0.2">
      <c r="DY36894" s="185" t="s">
        <v>215</v>
      </c>
    </row>
    <row r="36895" spans="129:129" x14ac:dyDescent="0.2">
      <c r="DY36895" s="185" t="s">
        <v>215</v>
      </c>
    </row>
    <row r="36896" spans="129:129" x14ac:dyDescent="0.2">
      <c r="DY36896" s="185" t="s">
        <v>215</v>
      </c>
    </row>
    <row r="36897" spans="129:129" x14ac:dyDescent="0.2">
      <c r="DY36897" s="185" t="s">
        <v>215</v>
      </c>
    </row>
    <row r="36898" spans="129:129" x14ac:dyDescent="0.2">
      <c r="DY36898" s="185" t="s">
        <v>215</v>
      </c>
    </row>
    <row r="36899" spans="129:129" x14ac:dyDescent="0.2">
      <c r="DY36899" s="185" t="s">
        <v>215</v>
      </c>
    </row>
    <row r="36900" spans="129:129" x14ac:dyDescent="0.2">
      <c r="DY36900" s="185" t="s">
        <v>215</v>
      </c>
    </row>
    <row r="36901" spans="129:129" x14ac:dyDescent="0.2">
      <c r="DY36901" s="185" t="s">
        <v>215</v>
      </c>
    </row>
    <row r="36902" spans="129:129" x14ac:dyDescent="0.2">
      <c r="DY36902" s="185" t="s">
        <v>215</v>
      </c>
    </row>
    <row r="36903" spans="129:129" x14ac:dyDescent="0.2">
      <c r="DY36903" s="185" t="s">
        <v>215</v>
      </c>
    </row>
    <row r="36904" spans="129:129" x14ac:dyDescent="0.2">
      <c r="DY36904" s="185" t="s">
        <v>215</v>
      </c>
    </row>
    <row r="36905" spans="129:129" x14ac:dyDescent="0.2">
      <c r="DY36905" s="185" t="s">
        <v>215</v>
      </c>
    </row>
    <row r="36906" spans="129:129" x14ac:dyDescent="0.2">
      <c r="DY36906" s="185" t="s">
        <v>215</v>
      </c>
    </row>
    <row r="36907" spans="129:129" x14ac:dyDescent="0.2">
      <c r="DY36907" s="185" t="s">
        <v>215</v>
      </c>
    </row>
    <row r="36908" spans="129:129" x14ac:dyDescent="0.2">
      <c r="DY36908" s="185" t="s">
        <v>215</v>
      </c>
    </row>
    <row r="36909" spans="129:129" x14ac:dyDescent="0.2">
      <c r="DY36909" s="185" t="s">
        <v>215</v>
      </c>
    </row>
    <row r="36910" spans="129:129" x14ac:dyDescent="0.2">
      <c r="DY36910" s="185" t="s">
        <v>215</v>
      </c>
    </row>
    <row r="36911" spans="129:129" x14ac:dyDescent="0.2">
      <c r="DY36911" s="185" t="s">
        <v>215</v>
      </c>
    </row>
    <row r="36912" spans="129:129" x14ac:dyDescent="0.2">
      <c r="DY36912" s="185" t="s">
        <v>215</v>
      </c>
    </row>
    <row r="36913" spans="129:129" x14ac:dyDescent="0.2">
      <c r="DY36913" s="185" t="s">
        <v>215</v>
      </c>
    </row>
    <row r="36914" spans="129:129" x14ac:dyDescent="0.2">
      <c r="DY36914" s="185" t="s">
        <v>215</v>
      </c>
    </row>
    <row r="36915" spans="129:129" x14ac:dyDescent="0.2">
      <c r="DY36915" s="185" t="s">
        <v>215</v>
      </c>
    </row>
    <row r="36916" spans="129:129" x14ac:dyDescent="0.2">
      <c r="DY36916" s="185" t="s">
        <v>215</v>
      </c>
    </row>
    <row r="36917" spans="129:129" x14ac:dyDescent="0.2">
      <c r="DY36917" s="185" t="s">
        <v>215</v>
      </c>
    </row>
    <row r="36918" spans="129:129" x14ac:dyDescent="0.2">
      <c r="DY36918" s="185" t="s">
        <v>215</v>
      </c>
    </row>
    <row r="36919" spans="129:129" x14ac:dyDescent="0.2">
      <c r="DY36919" s="185" t="s">
        <v>215</v>
      </c>
    </row>
    <row r="36920" spans="129:129" x14ac:dyDescent="0.2">
      <c r="DY36920" s="185" t="s">
        <v>215</v>
      </c>
    </row>
    <row r="36921" spans="129:129" x14ac:dyDescent="0.2">
      <c r="DY36921" s="185" t="s">
        <v>215</v>
      </c>
    </row>
    <row r="36922" spans="129:129" x14ac:dyDescent="0.2">
      <c r="DY36922" s="185" t="s">
        <v>215</v>
      </c>
    </row>
    <row r="36923" spans="129:129" x14ac:dyDescent="0.2">
      <c r="DY36923" s="185" t="s">
        <v>215</v>
      </c>
    </row>
    <row r="36924" spans="129:129" x14ac:dyDescent="0.2">
      <c r="DY36924" s="185" t="s">
        <v>215</v>
      </c>
    </row>
    <row r="36925" spans="129:129" x14ac:dyDescent="0.2">
      <c r="DY36925" s="185" t="s">
        <v>215</v>
      </c>
    </row>
    <row r="36926" spans="129:129" x14ac:dyDescent="0.2">
      <c r="DY36926" s="185" t="s">
        <v>215</v>
      </c>
    </row>
    <row r="36927" spans="129:129" x14ac:dyDescent="0.2">
      <c r="DY36927" s="185" t="s">
        <v>215</v>
      </c>
    </row>
    <row r="36928" spans="129:129" x14ac:dyDescent="0.2">
      <c r="DY36928" s="185" t="s">
        <v>215</v>
      </c>
    </row>
    <row r="36929" spans="129:129" x14ac:dyDescent="0.2">
      <c r="DY36929" s="185" t="s">
        <v>215</v>
      </c>
    </row>
    <row r="36930" spans="129:129" x14ac:dyDescent="0.2">
      <c r="DY36930" s="185" t="s">
        <v>215</v>
      </c>
    </row>
    <row r="36931" spans="129:129" x14ac:dyDescent="0.2">
      <c r="DY36931" s="185" t="s">
        <v>215</v>
      </c>
    </row>
    <row r="36932" spans="129:129" x14ac:dyDescent="0.2">
      <c r="DY36932" s="185" t="s">
        <v>215</v>
      </c>
    </row>
    <row r="36933" spans="129:129" x14ac:dyDescent="0.2">
      <c r="DY36933" s="185" t="s">
        <v>215</v>
      </c>
    </row>
    <row r="36934" spans="129:129" x14ac:dyDescent="0.2">
      <c r="DY36934" s="185" t="s">
        <v>215</v>
      </c>
    </row>
    <row r="36935" spans="129:129" x14ac:dyDescent="0.2">
      <c r="DY36935" s="185" t="s">
        <v>215</v>
      </c>
    </row>
    <row r="36936" spans="129:129" x14ac:dyDescent="0.2">
      <c r="DY36936" s="185" t="s">
        <v>215</v>
      </c>
    </row>
    <row r="36937" spans="129:129" x14ac:dyDescent="0.2">
      <c r="DY36937" s="185" t="s">
        <v>215</v>
      </c>
    </row>
    <row r="36938" spans="129:129" x14ac:dyDescent="0.2">
      <c r="DY36938" s="185" t="s">
        <v>215</v>
      </c>
    </row>
    <row r="36939" spans="129:129" x14ac:dyDescent="0.2">
      <c r="DY36939" s="185" t="s">
        <v>215</v>
      </c>
    </row>
    <row r="36940" spans="129:129" x14ac:dyDescent="0.2">
      <c r="DY36940" s="185" t="s">
        <v>215</v>
      </c>
    </row>
    <row r="36941" spans="129:129" x14ac:dyDescent="0.2">
      <c r="DY36941" s="185" t="s">
        <v>215</v>
      </c>
    </row>
    <row r="36942" spans="129:129" x14ac:dyDescent="0.2">
      <c r="DY36942" s="185" t="s">
        <v>215</v>
      </c>
    </row>
    <row r="36943" spans="129:129" x14ac:dyDescent="0.2">
      <c r="DY36943" s="185" t="s">
        <v>215</v>
      </c>
    </row>
    <row r="36944" spans="129:129" x14ac:dyDescent="0.2">
      <c r="DY36944" s="185" t="s">
        <v>215</v>
      </c>
    </row>
    <row r="36945" spans="129:129" x14ac:dyDescent="0.2">
      <c r="DY36945" s="185" t="s">
        <v>215</v>
      </c>
    </row>
    <row r="36946" spans="129:129" x14ac:dyDescent="0.2">
      <c r="DY36946" s="185" t="s">
        <v>215</v>
      </c>
    </row>
    <row r="36947" spans="129:129" x14ac:dyDescent="0.2">
      <c r="DY36947" s="185" t="s">
        <v>215</v>
      </c>
    </row>
    <row r="36948" spans="129:129" x14ac:dyDescent="0.2">
      <c r="DY36948" s="185" t="s">
        <v>215</v>
      </c>
    </row>
    <row r="36949" spans="129:129" x14ac:dyDescent="0.2">
      <c r="DY36949" s="185" t="s">
        <v>215</v>
      </c>
    </row>
    <row r="36950" spans="129:129" x14ac:dyDescent="0.2">
      <c r="DY36950" s="185" t="s">
        <v>215</v>
      </c>
    </row>
    <row r="36951" spans="129:129" x14ac:dyDescent="0.2">
      <c r="DY36951" s="185" t="s">
        <v>215</v>
      </c>
    </row>
    <row r="36952" spans="129:129" x14ac:dyDescent="0.2">
      <c r="DY36952" s="185" t="s">
        <v>215</v>
      </c>
    </row>
    <row r="36953" spans="129:129" x14ac:dyDescent="0.2">
      <c r="DY36953" s="185" t="s">
        <v>215</v>
      </c>
    </row>
    <row r="36954" spans="129:129" x14ac:dyDescent="0.2">
      <c r="DY36954" s="185" t="s">
        <v>215</v>
      </c>
    </row>
    <row r="36955" spans="129:129" x14ac:dyDescent="0.2">
      <c r="DY36955" s="185" t="s">
        <v>215</v>
      </c>
    </row>
    <row r="36956" spans="129:129" x14ac:dyDescent="0.2">
      <c r="DY36956" s="185" t="s">
        <v>215</v>
      </c>
    </row>
    <row r="36957" spans="129:129" x14ac:dyDescent="0.2">
      <c r="DY36957" s="185" t="s">
        <v>215</v>
      </c>
    </row>
    <row r="36958" spans="129:129" x14ac:dyDescent="0.2">
      <c r="DY36958" s="185" t="s">
        <v>215</v>
      </c>
    </row>
    <row r="36959" spans="129:129" x14ac:dyDescent="0.2">
      <c r="DY36959" s="185" t="s">
        <v>215</v>
      </c>
    </row>
    <row r="36960" spans="129:129" x14ac:dyDescent="0.2">
      <c r="DY36960" s="185" t="s">
        <v>215</v>
      </c>
    </row>
    <row r="36961" spans="129:129" x14ac:dyDescent="0.2">
      <c r="DY36961" s="185" t="s">
        <v>215</v>
      </c>
    </row>
    <row r="36962" spans="129:129" x14ac:dyDescent="0.2">
      <c r="DY36962" s="185" t="s">
        <v>215</v>
      </c>
    </row>
    <row r="36963" spans="129:129" x14ac:dyDescent="0.2">
      <c r="DY36963" s="185" t="s">
        <v>215</v>
      </c>
    </row>
    <row r="36964" spans="129:129" x14ac:dyDescent="0.2">
      <c r="DY36964" s="185" t="s">
        <v>215</v>
      </c>
    </row>
    <row r="36965" spans="129:129" x14ac:dyDescent="0.2">
      <c r="DY36965" s="185" t="s">
        <v>215</v>
      </c>
    </row>
    <row r="36966" spans="129:129" x14ac:dyDescent="0.2">
      <c r="DY36966" s="185" t="s">
        <v>215</v>
      </c>
    </row>
    <row r="36967" spans="129:129" x14ac:dyDescent="0.2">
      <c r="DY36967" s="185" t="s">
        <v>215</v>
      </c>
    </row>
    <row r="36968" spans="129:129" x14ac:dyDescent="0.2">
      <c r="DY36968" s="185" t="s">
        <v>215</v>
      </c>
    </row>
    <row r="36969" spans="129:129" x14ac:dyDescent="0.2">
      <c r="DY36969" s="185" t="s">
        <v>215</v>
      </c>
    </row>
    <row r="36970" spans="129:129" x14ac:dyDescent="0.2">
      <c r="DY36970" s="185" t="s">
        <v>215</v>
      </c>
    </row>
    <row r="36971" spans="129:129" x14ac:dyDescent="0.2">
      <c r="DY36971" s="185" t="s">
        <v>215</v>
      </c>
    </row>
    <row r="36972" spans="129:129" x14ac:dyDescent="0.2">
      <c r="DY36972" s="185" t="s">
        <v>215</v>
      </c>
    </row>
    <row r="36973" spans="129:129" x14ac:dyDescent="0.2">
      <c r="DY36973" s="185" t="s">
        <v>215</v>
      </c>
    </row>
    <row r="36974" spans="129:129" x14ac:dyDescent="0.2">
      <c r="DY36974" s="185" t="s">
        <v>215</v>
      </c>
    </row>
    <row r="36975" spans="129:129" x14ac:dyDescent="0.2">
      <c r="DY36975" s="185" t="s">
        <v>215</v>
      </c>
    </row>
    <row r="36976" spans="129:129" x14ac:dyDescent="0.2">
      <c r="DY36976" s="185" t="s">
        <v>215</v>
      </c>
    </row>
    <row r="36977" spans="129:129" x14ac:dyDescent="0.2">
      <c r="DY36977" s="185" t="s">
        <v>215</v>
      </c>
    </row>
    <row r="36978" spans="129:129" x14ac:dyDescent="0.2">
      <c r="DY36978" s="185" t="s">
        <v>215</v>
      </c>
    </row>
    <row r="36979" spans="129:129" x14ac:dyDescent="0.2">
      <c r="DY36979" s="185" t="s">
        <v>215</v>
      </c>
    </row>
    <row r="36980" spans="129:129" x14ac:dyDescent="0.2">
      <c r="DY36980" s="185" t="s">
        <v>215</v>
      </c>
    </row>
    <row r="36981" spans="129:129" x14ac:dyDescent="0.2">
      <c r="DY36981" s="185" t="s">
        <v>215</v>
      </c>
    </row>
    <row r="36982" spans="129:129" x14ac:dyDescent="0.2">
      <c r="DY36982" s="185" t="s">
        <v>215</v>
      </c>
    </row>
    <row r="36983" spans="129:129" x14ac:dyDescent="0.2">
      <c r="DY36983" s="185" t="s">
        <v>215</v>
      </c>
    </row>
    <row r="36984" spans="129:129" x14ac:dyDescent="0.2">
      <c r="DY36984" s="185" t="s">
        <v>215</v>
      </c>
    </row>
    <row r="36985" spans="129:129" x14ac:dyDescent="0.2">
      <c r="DY36985" s="185" t="s">
        <v>215</v>
      </c>
    </row>
    <row r="36986" spans="129:129" x14ac:dyDescent="0.2">
      <c r="DY36986" s="185" t="s">
        <v>215</v>
      </c>
    </row>
    <row r="36987" spans="129:129" x14ac:dyDescent="0.2">
      <c r="DY36987" s="185" t="s">
        <v>215</v>
      </c>
    </row>
    <row r="36988" spans="129:129" x14ac:dyDescent="0.2">
      <c r="DY36988" s="185" t="s">
        <v>215</v>
      </c>
    </row>
    <row r="36989" spans="129:129" x14ac:dyDescent="0.2">
      <c r="DY36989" s="185" t="s">
        <v>215</v>
      </c>
    </row>
    <row r="36990" spans="129:129" x14ac:dyDescent="0.2">
      <c r="DY36990" s="185" t="s">
        <v>215</v>
      </c>
    </row>
    <row r="36991" spans="129:129" x14ac:dyDescent="0.2">
      <c r="DY36991" s="185" t="s">
        <v>215</v>
      </c>
    </row>
    <row r="36992" spans="129:129" x14ac:dyDescent="0.2">
      <c r="DY36992" s="185" t="s">
        <v>215</v>
      </c>
    </row>
    <row r="36993" spans="129:129" x14ac:dyDescent="0.2">
      <c r="DY36993" s="185" t="s">
        <v>215</v>
      </c>
    </row>
    <row r="36994" spans="129:129" x14ac:dyDescent="0.2">
      <c r="DY36994" s="185" t="s">
        <v>215</v>
      </c>
    </row>
    <row r="36995" spans="129:129" x14ac:dyDescent="0.2">
      <c r="DY36995" s="185" t="s">
        <v>215</v>
      </c>
    </row>
    <row r="36996" spans="129:129" x14ac:dyDescent="0.2">
      <c r="DY36996" s="185" t="s">
        <v>215</v>
      </c>
    </row>
    <row r="36997" spans="129:129" x14ac:dyDescent="0.2">
      <c r="DY36997" s="185" t="s">
        <v>215</v>
      </c>
    </row>
    <row r="36998" spans="129:129" x14ac:dyDescent="0.2">
      <c r="DY36998" s="185" t="s">
        <v>215</v>
      </c>
    </row>
    <row r="36999" spans="129:129" x14ac:dyDescent="0.2">
      <c r="DY36999" s="185" t="s">
        <v>215</v>
      </c>
    </row>
    <row r="37000" spans="129:129" x14ac:dyDescent="0.2">
      <c r="DY37000" s="185" t="s">
        <v>215</v>
      </c>
    </row>
    <row r="37001" spans="129:129" x14ac:dyDescent="0.2">
      <c r="DY37001" s="185" t="s">
        <v>215</v>
      </c>
    </row>
    <row r="37002" spans="129:129" x14ac:dyDescent="0.2">
      <c r="DY37002" s="185" t="s">
        <v>215</v>
      </c>
    </row>
    <row r="37003" spans="129:129" x14ac:dyDescent="0.2">
      <c r="DY37003" s="185" t="s">
        <v>215</v>
      </c>
    </row>
    <row r="37004" spans="129:129" x14ac:dyDescent="0.2">
      <c r="DY37004" s="185" t="s">
        <v>215</v>
      </c>
    </row>
    <row r="37005" spans="129:129" x14ac:dyDescent="0.2">
      <c r="DY37005" s="185" t="s">
        <v>215</v>
      </c>
    </row>
    <row r="37006" spans="129:129" x14ac:dyDescent="0.2">
      <c r="DY37006" s="185" t="s">
        <v>215</v>
      </c>
    </row>
    <row r="37007" spans="129:129" x14ac:dyDescent="0.2">
      <c r="DY37007" s="185" t="s">
        <v>215</v>
      </c>
    </row>
    <row r="37008" spans="129:129" x14ac:dyDescent="0.2">
      <c r="DY37008" s="185" t="s">
        <v>215</v>
      </c>
    </row>
    <row r="37009" spans="129:129" x14ac:dyDescent="0.2">
      <c r="DY37009" s="185" t="s">
        <v>215</v>
      </c>
    </row>
    <row r="37010" spans="129:129" x14ac:dyDescent="0.2">
      <c r="DY37010" s="185" t="s">
        <v>215</v>
      </c>
    </row>
    <row r="37011" spans="129:129" x14ac:dyDescent="0.2">
      <c r="DY37011" s="185" t="s">
        <v>215</v>
      </c>
    </row>
    <row r="37012" spans="129:129" x14ac:dyDescent="0.2">
      <c r="DY37012" s="185" t="s">
        <v>215</v>
      </c>
    </row>
    <row r="37013" spans="129:129" x14ac:dyDescent="0.2">
      <c r="DY37013" s="185" t="s">
        <v>215</v>
      </c>
    </row>
    <row r="37014" spans="129:129" x14ac:dyDescent="0.2">
      <c r="DY37014" s="185" t="s">
        <v>215</v>
      </c>
    </row>
    <row r="37015" spans="129:129" x14ac:dyDescent="0.2">
      <c r="DY37015" s="185" t="s">
        <v>215</v>
      </c>
    </row>
    <row r="37016" spans="129:129" x14ac:dyDescent="0.2">
      <c r="DY37016" s="185" t="s">
        <v>215</v>
      </c>
    </row>
    <row r="37017" spans="129:129" x14ac:dyDescent="0.2">
      <c r="DY37017" s="185" t="s">
        <v>215</v>
      </c>
    </row>
    <row r="37018" spans="129:129" x14ac:dyDescent="0.2">
      <c r="DY37018" s="185" t="s">
        <v>215</v>
      </c>
    </row>
    <row r="37019" spans="129:129" x14ac:dyDescent="0.2">
      <c r="DY37019" s="185" t="s">
        <v>215</v>
      </c>
    </row>
    <row r="37020" spans="129:129" x14ac:dyDescent="0.2">
      <c r="DY37020" s="185" t="s">
        <v>215</v>
      </c>
    </row>
    <row r="37021" spans="129:129" x14ac:dyDescent="0.2">
      <c r="DY37021" s="185" t="s">
        <v>215</v>
      </c>
    </row>
    <row r="37022" spans="129:129" x14ac:dyDescent="0.2">
      <c r="DY37022" s="185" t="s">
        <v>215</v>
      </c>
    </row>
    <row r="37023" spans="129:129" x14ac:dyDescent="0.2">
      <c r="DY37023" s="185" t="s">
        <v>215</v>
      </c>
    </row>
    <row r="37024" spans="129:129" x14ac:dyDescent="0.2">
      <c r="DY37024" s="185" t="s">
        <v>215</v>
      </c>
    </row>
    <row r="37025" spans="129:129" x14ac:dyDescent="0.2">
      <c r="DY37025" s="185" t="s">
        <v>215</v>
      </c>
    </row>
    <row r="37026" spans="129:129" x14ac:dyDescent="0.2">
      <c r="DY37026" s="185" t="s">
        <v>215</v>
      </c>
    </row>
    <row r="37027" spans="129:129" x14ac:dyDescent="0.2">
      <c r="DY37027" s="185" t="s">
        <v>215</v>
      </c>
    </row>
    <row r="37028" spans="129:129" x14ac:dyDescent="0.2">
      <c r="DY37028" s="185" t="s">
        <v>215</v>
      </c>
    </row>
    <row r="37029" spans="129:129" x14ac:dyDescent="0.2">
      <c r="DY37029" s="185" t="s">
        <v>215</v>
      </c>
    </row>
    <row r="37030" spans="129:129" x14ac:dyDescent="0.2">
      <c r="DY37030" s="185" t="s">
        <v>215</v>
      </c>
    </row>
    <row r="37031" spans="129:129" x14ac:dyDescent="0.2">
      <c r="DY37031" s="185" t="s">
        <v>215</v>
      </c>
    </row>
    <row r="37032" spans="129:129" x14ac:dyDescent="0.2">
      <c r="DY37032" s="185" t="s">
        <v>215</v>
      </c>
    </row>
    <row r="37033" spans="129:129" x14ac:dyDescent="0.2">
      <c r="DY37033" s="185" t="s">
        <v>215</v>
      </c>
    </row>
    <row r="37034" spans="129:129" x14ac:dyDescent="0.2">
      <c r="DY37034" s="185" t="s">
        <v>215</v>
      </c>
    </row>
    <row r="37035" spans="129:129" x14ac:dyDescent="0.2">
      <c r="DY37035" s="185" t="s">
        <v>215</v>
      </c>
    </row>
    <row r="37036" spans="129:129" x14ac:dyDescent="0.2">
      <c r="DY37036" s="185" t="s">
        <v>215</v>
      </c>
    </row>
    <row r="37037" spans="129:129" x14ac:dyDescent="0.2">
      <c r="DY37037" s="185" t="s">
        <v>215</v>
      </c>
    </row>
    <row r="37038" spans="129:129" x14ac:dyDescent="0.2">
      <c r="DY37038" s="185" t="s">
        <v>215</v>
      </c>
    </row>
    <row r="37039" spans="129:129" x14ac:dyDescent="0.2">
      <c r="DY37039" s="185" t="s">
        <v>215</v>
      </c>
    </row>
    <row r="37040" spans="129:129" x14ac:dyDescent="0.2">
      <c r="DY37040" s="185" t="s">
        <v>215</v>
      </c>
    </row>
    <row r="37041" spans="129:129" x14ac:dyDescent="0.2">
      <c r="DY37041" s="185" t="s">
        <v>215</v>
      </c>
    </row>
    <row r="37042" spans="129:129" x14ac:dyDescent="0.2">
      <c r="DY37042" s="185" t="s">
        <v>215</v>
      </c>
    </row>
    <row r="37043" spans="129:129" x14ac:dyDescent="0.2">
      <c r="DY37043" s="185" t="s">
        <v>215</v>
      </c>
    </row>
    <row r="37044" spans="129:129" x14ac:dyDescent="0.2">
      <c r="DY37044" s="185" t="s">
        <v>215</v>
      </c>
    </row>
    <row r="37045" spans="129:129" x14ac:dyDescent="0.2">
      <c r="DY37045" s="185" t="s">
        <v>215</v>
      </c>
    </row>
    <row r="37046" spans="129:129" x14ac:dyDescent="0.2">
      <c r="DY37046" s="185" t="s">
        <v>215</v>
      </c>
    </row>
    <row r="37047" spans="129:129" x14ac:dyDescent="0.2">
      <c r="DY37047" s="185" t="s">
        <v>215</v>
      </c>
    </row>
    <row r="37048" spans="129:129" x14ac:dyDescent="0.2">
      <c r="DY37048" s="185" t="s">
        <v>215</v>
      </c>
    </row>
    <row r="37049" spans="129:129" x14ac:dyDescent="0.2">
      <c r="DY37049" s="185" t="s">
        <v>215</v>
      </c>
    </row>
    <row r="37050" spans="129:129" x14ac:dyDescent="0.2">
      <c r="DY37050" s="185" t="s">
        <v>215</v>
      </c>
    </row>
    <row r="37051" spans="129:129" x14ac:dyDescent="0.2">
      <c r="DY37051" s="185" t="s">
        <v>215</v>
      </c>
    </row>
    <row r="37052" spans="129:129" x14ac:dyDescent="0.2">
      <c r="DY37052" s="185" t="s">
        <v>215</v>
      </c>
    </row>
    <row r="37053" spans="129:129" x14ac:dyDescent="0.2">
      <c r="DY37053" s="185" t="s">
        <v>215</v>
      </c>
    </row>
    <row r="37054" spans="129:129" x14ac:dyDescent="0.2">
      <c r="DY37054" s="185" t="s">
        <v>215</v>
      </c>
    </row>
    <row r="37055" spans="129:129" x14ac:dyDescent="0.2">
      <c r="DY37055" s="185" t="s">
        <v>215</v>
      </c>
    </row>
    <row r="37056" spans="129:129" x14ac:dyDescent="0.2">
      <c r="DY37056" s="185" t="s">
        <v>215</v>
      </c>
    </row>
    <row r="37057" spans="129:129" x14ac:dyDescent="0.2">
      <c r="DY37057" s="185" t="s">
        <v>215</v>
      </c>
    </row>
    <row r="37058" spans="129:129" x14ac:dyDescent="0.2">
      <c r="DY37058" s="185" t="s">
        <v>215</v>
      </c>
    </row>
    <row r="37059" spans="129:129" x14ac:dyDescent="0.2">
      <c r="DY37059" s="185" t="s">
        <v>215</v>
      </c>
    </row>
    <row r="37060" spans="129:129" x14ac:dyDescent="0.2">
      <c r="DY37060" s="185" t="s">
        <v>215</v>
      </c>
    </row>
    <row r="37061" spans="129:129" x14ac:dyDescent="0.2">
      <c r="DY37061" s="185" t="s">
        <v>215</v>
      </c>
    </row>
    <row r="37062" spans="129:129" x14ac:dyDescent="0.2">
      <c r="DY37062" s="185" t="s">
        <v>215</v>
      </c>
    </row>
    <row r="37063" spans="129:129" x14ac:dyDescent="0.2">
      <c r="DY37063" s="185" t="s">
        <v>215</v>
      </c>
    </row>
    <row r="37064" spans="129:129" x14ac:dyDescent="0.2">
      <c r="DY37064" s="185" t="s">
        <v>215</v>
      </c>
    </row>
    <row r="37065" spans="129:129" x14ac:dyDescent="0.2">
      <c r="DY37065" s="185" t="s">
        <v>215</v>
      </c>
    </row>
    <row r="37066" spans="129:129" x14ac:dyDescent="0.2">
      <c r="DY37066" s="185" t="s">
        <v>215</v>
      </c>
    </row>
    <row r="37067" spans="129:129" x14ac:dyDescent="0.2">
      <c r="DY37067" s="185" t="s">
        <v>215</v>
      </c>
    </row>
    <row r="37068" spans="129:129" x14ac:dyDescent="0.2">
      <c r="DY37068" s="185" t="s">
        <v>215</v>
      </c>
    </row>
    <row r="37069" spans="129:129" x14ac:dyDescent="0.2">
      <c r="DY37069" s="185" t="s">
        <v>215</v>
      </c>
    </row>
    <row r="37070" spans="129:129" x14ac:dyDescent="0.2">
      <c r="DY37070" s="185" t="s">
        <v>215</v>
      </c>
    </row>
    <row r="37071" spans="129:129" x14ac:dyDescent="0.2">
      <c r="DY37071" s="185" t="s">
        <v>215</v>
      </c>
    </row>
    <row r="37072" spans="129:129" x14ac:dyDescent="0.2">
      <c r="DY37072" s="185" t="s">
        <v>215</v>
      </c>
    </row>
    <row r="37073" spans="129:129" x14ac:dyDescent="0.2">
      <c r="DY37073" s="185" t="s">
        <v>215</v>
      </c>
    </row>
    <row r="37074" spans="129:129" x14ac:dyDescent="0.2">
      <c r="DY37074" s="185" t="s">
        <v>215</v>
      </c>
    </row>
    <row r="37075" spans="129:129" x14ac:dyDescent="0.2">
      <c r="DY37075" s="185" t="s">
        <v>215</v>
      </c>
    </row>
    <row r="37076" spans="129:129" x14ac:dyDescent="0.2">
      <c r="DY37076" s="185" t="s">
        <v>215</v>
      </c>
    </row>
    <row r="37077" spans="129:129" x14ac:dyDescent="0.2">
      <c r="DY37077" s="185" t="s">
        <v>215</v>
      </c>
    </row>
    <row r="37078" spans="129:129" x14ac:dyDescent="0.2">
      <c r="DY37078" s="185" t="s">
        <v>215</v>
      </c>
    </row>
    <row r="37079" spans="129:129" x14ac:dyDescent="0.2">
      <c r="DY37079" s="185" t="s">
        <v>215</v>
      </c>
    </row>
    <row r="37080" spans="129:129" x14ac:dyDescent="0.2">
      <c r="DY37080" s="185" t="s">
        <v>215</v>
      </c>
    </row>
    <row r="37081" spans="129:129" x14ac:dyDescent="0.2">
      <c r="DY37081" s="185" t="s">
        <v>215</v>
      </c>
    </row>
    <row r="37082" spans="129:129" x14ac:dyDescent="0.2">
      <c r="DY37082" s="185" t="s">
        <v>215</v>
      </c>
    </row>
    <row r="37083" spans="129:129" x14ac:dyDescent="0.2">
      <c r="DY37083" s="185" t="s">
        <v>215</v>
      </c>
    </row>
    <row r="37084" spans="129:129" x14ac:dyDescent="0.2">
      <c r="DY37084" s="185" t="s">
        <v>215</v>
      </c>
    </row>
    <row r="37085" spans="129:129" x14ac:dyDescent="0.2">
      <c r="DY37085" s="185" t="s">
        <v>215</v>
      </c>
    </row>
    <row r="37086" spans="129:129" x14ac:dyDescent="0.2">
      <c r="DY37086" s="185" t="s">
        <v>215</v>
      </c>
    </row>
    <row r="37087" spans="129:129" x14ac:dyDescent="0.2">
      <c r="DY37087" s="185" t="s">
        <v>215</v>
      </c>
    </row>
    <row r="37088" spans="129:129" x14ac:dyDescent="0.2">
      <c r="DY37088" s="185" t="s">
        <v>215</v>
      </c>
    </row>
    <row r="37089" spans="129:129" x14ac:dyDescent="0.2">
      <c r="DY37089" s="185" t="s">
        <v>215</v>
      </c>
    </row>
    <row r="37090" spans="129:129" x14ac:dyDescent="0.2">
      <c r="DY37090" s="185" t="s">
        <v>215</v>
      </c>
    </row>
    <row r="37091" spans="129:129" x14ac:dyDescent="0.2">
      <c r="DY37091" s="185" t="s">
        <v>215</v>
      </c>
    </row>
    <row r="37092" spans="129:129" x14ac:dyDescent="0.2">
      <c r="DY37092" s="185" t="s">
        <v>215</v>
      </c>
    </row>
    <row r="37093" spans="129:129" x14ac:dyDescent="0.2">
      <c r="DY37093" s="185" t="s">
        <v>215</v>
      </c>
    </row>
    <row r="37094" spans="129:129" x14ac:dyDescent="0.2">
      <c r="DY37094" s="185" t="s">
        <v>215</v>
      </c>
    </row>
    <row r="37095" spans="129:129" x14ac:dyDescent="0.2">
      <c r="DY37095" s="185" t="s">
        <v>215</v>
      </c>
    </row>
    <row r="37096" spans="129:129" x14ac:dyDescent="0.2">
      <c r="DY37096" s="185" t="s">
        <v>215</v>
      </c>
    </row>
    <row r="37097" spans="129:129" x14ac:dyDescent="0.2">
      <c r="DY37097" s="185" t="s">
        <v>215</v>
      </c>
    </row>
    <row r="37098" spans="129:129" x14ac:dyDescent="0.2">
      <c r="DY37098" s="185" t="s">
        <v>215</v>
      </c>
    </row>
    <row r="37099" spans="129:129" x14ac:dyDescent="0.2">
      <c r="DY37099" s="185" t="s">
        <v>215</v>
      </c>
    </row>
    <row r="37100" spans="129:129" x14ac:dyDescent="0.2">
      <c r="DY37100" s="185" t="s">
        <v>215</v>
      </c>
    </row>
    <row r="37101" spans="129:129" x14ac:dyDescent="0.2">
      <c r="DY37101" s="185" t="s">
        <v>215</v>
      </c>
    </row>
    <row r="37102" spans="129:129" x14ac:dyDescent="0.2">
      <c r="DY37102" s="185" t="s">
        <v>215</v>
      </c>
    </row>
    <row r="37103" spans="129:129" x14ac:dyDescent="0.2">
      <c r="DY37103" s="185" t="s">
        <v>215</v>
      </c>
    </row>
    <row r="37104" spans="129:129" x14ac:dyDescent="0.2">
      <c r="DY37104" s="185" t="s">
        <v>215</v>
      </c>
    </row>
    <row r="37105" spans="129:129" x14ac:dyDescent="0.2">
      <c r="DY37105" s="185" t="s">
        <v>215</v>
      </c>
    </row>
    <row r="37106" spans="129:129" x14ac:dyDescent="0.2">
      <c r="DY37106" s="185" t="s">
        <v>215</v>
      </c>
    </row>
    <row r="37107" spans="129:129" x14ac:dyDescent="0.2">
      <c r="DY37107" s="185" t="s">
        <v>215</v>
      </c>
    </row>
    <row r="37108" spans="129:129" x14ac:dyDescent="0.2">
      <c r="DY37108" s="185" t="s">
        <v>215</v>
      </c>
    </row>
    <row r="37109" spans="129:129" x14ac:dyDescent="0.2">
      <c r="DY37109" s="185" t="s">
        <v>215</v>
      </c>
    </row>
    <row r="37110" spans="129:129" x14ac:dyDescent="0.2">
      <c r="DY37110" s="185" t="s">
        <v>215</v>
      </c>
    </row>
    <row r="37111" spans="129:129" x14ac:dyDescent="0.2">
      <c r="DY37111" s="185" t="s">
        <v>215</v>
      </c>
    </row>
    <row r="37112" spans="129:129" x14ac:dyDescent="0.2">
      <c r="DY37112" s="185" t="s">
        <v>215</v>
      </c>
    </row>
    <row r="37113" spans="129:129" x14ac:dyDescent="0.2">
      <c r="DY37113" s="185" t="s">
        <v>215</v>
      </c>
    </row>
    <row r="37114" spans="129:129" x14ac:dyDescent="0.2">
      <c r="DY37114" s="185" t="s">
        <v>215</v>
      </c>
    </row>
    <row r="37115" spans="129:129" x14ac:dyDescent="0.2">
      <c r="DY37115" s="185" t="s">
        <v>215</v>
      </c>
    </row>
    <row r="37116" spans="129:129" x14ac:dyDescent="0.2">
      <c r="DY37116" s="185" t="s">
        <v>215</v>
      </c>
    </row>
    <row r="37117" spans="129:129" x14ac:dyDescent="0.2">
      <c r="DY37117" s="185" t="s">
        <v>215</v>
      </c>
    </row>
    <row r="37118" spans="129:129" x14ac:dyDescent="0.2">
      <c r="DY37118" s="185" t="s">
        <v>215</v>
      </c>
    </row>
    <row r="37119" spans="129:129" x14ac:dyDescent="0.2">
      <c r="DY37119" s="185" t="s">
        <v>215</v>
      </c>
    </row>
    <row r="37120" spans="129:129" x14ac:dyDescent="0.2">
      <c r="DY37120" s="185" t="s">
        <v>215</v>
      </c>
    </row>
    <row r="37121" spans="129:129" x14ac:dyDescent="0.2">
      <c r="DY37121" s="185" t="s">
        <v>215</v>
      </c>
    </row>
    <row r="37122" spans="129:129" x14ac:dyDescent="0.2">
      <c r="DY37122" s="185" t="s">
        <v>215</v>
      </c>
    </row>
    <row r="37123" spans="129:129" x14ac:dyDescent="0.2">
      <c r="DY37123" s="185" t="s">
        <v>215</v>
      </c>
    </row>
    <row r="37124" spans="129:129" x14ac:dyDescent="0.2">
      <c r="DY37124" s="185" t="s">
        <v>215</v>
      </c>
    </row>
    <row r="37125" spans="129:129" x14ac:dyDescent="0.2">
      <c r="DY37125" s="185" t="s">
        <v>215</v>
      </c>
    </row>
    <row r="37126" spans="129:129" x14ac:dyDescent="0.2">
      <c r="DY37126" s="185" t="s">
        <v>215</v>
      </c>
    </row>
    <row r="37127" spans="129:129" x14ac:dyDescent="0.2">
      <c r="DY37127" s="185" t="s">
        <v>215</v>
      </c>
    </row>
    <row r="37128" spans="129:129" x14ac:dyDescent="0.2">
      <c r="DY37128" s="185" t="s">
        <v>215</v>
      </c>
    </row>
    <row r="37129" spans="129:129" x14ac:dyDescent="0.2">
      <c r="DY37129" s="185" t="s">
        <v>215</v>
      </c>
    </row>
    <row r="37130" spans="129:129" x14ac:dyDescent="0.2">
      <c r="DY37130" s="185" t="s">
        <v>215</v>
      </c>
    </row>
    <row r="37131" spans="129:129" x14ac:dyDescent="0.2">
      <c r="DY37131" s="185" t="s">
        <v>215</v>
      </c>
    </row>
    <row r="37132" spans="129:129" x14ac:dyDescent="0.2">
      <c r="DY37132" s="185" t="s">
        <v>215</v>
      </c>
    </row>
    <row r="37133" spans="129:129" x14ac:dyDescent="0.2">
      <c r="DY37133" s="185" t="s">
        <v>215</v>
      </c>
    </row>
    <row r="37134" spans="129:129" x14ac:dyDescent="0.2">
      <c r="DY37134" s="185" t="s">
        <v>215</v>
      </c>
    </row>
    <row r="37135" spans="129:129" x14ac:dyDescent="0.2">
      <c r="DY37135" s="185" t="s">
        <v>215</v>
      </c>
    </row>
    <row r="37136" spans="129:129" x14ac:dyDescent="0.2">
      <c r="DY37136" s="185" t="s">
        <v>215</v>
      </c>
    </row>
    <row r="37137" spans="129:129" x14ac:dyDescent="0.2">
      <c r="DY37137" s="185" t="s">
        <v>215</v>
      </c>
    </row>
    <row r="37138" spans="129:129" x14ac:dyDescent="0.2">
      <c r="DY37138" s="185" t="s">
        <v>215</v>
      </c>
    </row>
    <row r="37139" spans="129:129" x14ac:dyDescent="0.2">
      <c r="DY37139" s="185" t="s">
        <v>215</v>
      </c>
    </row>
    <row r="37140" spans="129:129" x14ac:dyDescent="0.2">
      <c r="DY37140" s="185" t="s">
        <v>215</v>
      </c>
    </row>
    <row r="37141" spans="129:129" x14ac:dyDescent="0.2">
      <c r="DY37141" s="185" t="s">
        <v>215</v>
      </c>
    </row>
    <row r="37142" spans="129:129" x14ac:dyDescent="0.2">
      <c r="DY37142" s="185" t="s">
        <v>215</v>
      </c>
    </row>
    <row r="37143" spans="129:129" x14ac:dyDescent="0.2">
      <c r="DY37143" s="185" t="s">
        <v>215</v>
      </c>
    </row>
    <row r="37144" spans="129:129" x14ac:dyDescent="0.2">
      <c r="DY37144" s="185" t="s">
        <v>215</v>
      </c>
    </row>
    <row r="37145" spans="129:129" x14ac:dyDescent="0.2">
      <c r="DY37145" s="185" t="s">
        <v>215</v>
      </c>
    </row>
    <row r="37146" spans="129:129" x14ac:dyDescent="0.2">
      <c r="DY37146" s="185" t="s">
        <v>215</v>
      </c>
    </row>
    <row r="37147" spans="129:129" x14ac:dyDescent="0.2">
      <c r="DY37147" s="185" t="s">
        <v>215</v>
      </c>
    </row>
    <row r="37148" spans="129:129" x14ac:dyDescent="0.2">
      <c r="DY37148" s="185" t="s">
        <v>215</v>
      </c>
    </row>
    <row r="37149" spans="129:129" x14ac:dyDescent="0.2">
      <c r="DY37149" s="185" t="s">
        <v>215</v>
      </c>
    </row>
    <row r="37150" spans="129:129" x14ac:dyDescent="0.2">
      <c r="DY37150" s="185" t="s">
        <v>215</v>
      </c>
    </row>
    <row r="37151" spans="129:129" x14ac:dyDescent="0.2">
      <c r="DY37151" s="185" t="s">
        <v>215</v>
      </c>
    </row>
    <row r="37152" spans="129:129" x14ac:dyDescent="0.2">
      <c r="DY37152" s="185" t="s">
        <v>215</v>
      </c>
    </row>
    <row r="37153" spans="129:129" x14ac:dyDescent="0.2">
      <c r="DY37153" s="185" t="s">
        <v>215</v>
      </c>
    </row>
    <row r="37154" spans="129:129" x14ac:dyDescent="0.2">
      <c r="DY37154" s="185" t="s">
        <v>215</v>
      </c>
    </row>
    <row r="37155" spans="129:129" x14ac:dyDescent="0.2">
      <c r="DY37155" s="185" t="s">
        <v>215</v>
      </c>
    </row>
    <row r="37156" spans="129:129" x14ac:dyDescent="0.2">
      <c r="DY37156" s="185" t="s">
        <v>215</v>
      </c>
    </row>
    <row r="37157" spans="129:129" x14ac:dyDescent="0.2">
      <c r="DY37157" s="185" t="s">
        <v>215</v>
      </c>
    </row>
    <row r="37158" spans="129:129" x14ac:dyDescent="0.2">
      <c r="DY37158" s="185" t="s">
        <v>215</v>
      </c>
    </row>
    <row r="37159" spans="129:129" x14ac:dyDescent="0.2">
      <c r="DY37159" s="185" t="s">
        <v>215</v>
      </c>
    </row>
    <row r="37160" spans="129:129" x14ac:dyDescent="0.2">
      <c r="DY37160" s="185" t="s">
        <v>215</v>
      </c>
    </row>
    <row r="37161" spans="129:129" x14ac:dyDescent="0.2">
      <c r="DY37161" s="185" t="s">
        <v>215</v>
      </c>
    </row>
    <row r="37162" spans="129:129" x14ac:dyDescent="0.2">
      <c r="DY37162" s="185" t="s">
        <v>215</v>
      </c>
    </row>
    <row r="37163" spans="129:129" x14ac:dyDescent="0.2">
      <c r="DY37163" s="185" t="s">
        <v>215</v>
      </c>
    </row>
    <row r="37164" spans="129:129" x14ac:dyDescent="0.2">
      <c r="DY37164" s="185" t="s">
        <v>215</v>
      </c>
    </row>
    <row r="37165" spans="129:129" x14ac:dyDescent="0.2">
      <c r="DY37165" s="185" t="s">
        <v>215</v>
      </c>
    </row>
    <row r="37166" spans="129:129" x14ac:dyDescent="0.2">
      <c r="DY37166" s="185" t="s">
        <v>215</v>
      </c>
    </row>
    <row r="37167" spans="129:129" x14ac:dyDescent="0.2">
      <c r="DY37167" s="185" t="s">
        <v>215</v>
      </c>
    </row>
    <row r="37168" spans="129:129" x14ac:dyDescent="0.2">
      <c r="DY37168" s="185" t="s">
        <v>215</v>
      </c>
    </row>
    <row r="37169" spans="129:129" x14ac:dyDescent="0.2">
      <c r="DY37169" s="185" t="s">
        <v>215</v>
      </c>
    </row>
    <row r="37170" spans="129:129" x14ac:dyDescent="0.2">
      <c r="DY37170" s="185" t="s">
        <v>215</v>
      </c>
    </row>
    <row r="37171" spans="129:129" x14ac:dyDescent="0.2">
      <c r="DY37171" s="185" t="s">
        <v>215</v>
      </c>
    </row>
    <row r="37172" spans="129:129" x14ac:dyDescent="0.2">
      <c r="DY37172" s="185" t="s">
        <v>215</v>
      </c>
    </row>
    <row r="37173" spans="129:129" x14ac:dyDescent="0.2">
      <c r="DY37173" s="185" t="s">
        <v>215</v>
      </c>
    </row>
    <row r="37174" spans="129:129" x14ac:dyDescent="0.2">
      <c r="DY37174" s="185" t="s">
        <v>215</v>
      </c>
    </row>
    <row r="37175" spans="129:129" x14ac:dyDescent="0.2">
      <c r="DY37175" s="185" t="s">
        <v>215</v>
      </c>
    </row>
    <row r="37176" spans="129:129" x14ac:dyDescent="0.2">
      <c r="DY37176" s="185" t="s">
        <v>215</v>
      </c>
    </row>
    <row r="37177" spans="129:129" x14ac:dyDescent="0.2">
      <c r="DY37177" s="185" t="s">
        <v>215</v>
      </c>
    </row>
    <row r="37178" spans="129:129" x14ac:dyDescent="0.2">
      <c r="DY37178" s="185" t="s">
        <v>215</v>
      </c>
    </row>
    <row r="37179" spans="129:129" x14ac:dyDescent="0.2">
      <c r="DY37179" s="185" t="s">
        <v>215</v>
      </c>
    </row>
    <row r="37180" spans="129:129" x14ac:dyDescent="0.2">
      <c r="DY37180" s="185" t="s">
        <v>215</v>
      </c>
    </row>
    <row r="37181" spans="129:129" x14ac:dyDescent="0.2">
      <c r="DY37181" s="185" t="s">
        <v>215</v>
      </c>
    </row>
    <row r="37182" spans="129:129" x14ac:dyDescent="0.2">
      <c r="DY37182" s="185" t="s">
        <v>215</v>
      </c>
    </row>
    <row r="37183" spans="129:129" x14ac:dyDescent="0.2">
      <c r="DY37183" s="185" t="s">
        <v>215</v>
      </c>
    </row>
    <row r="37184" spans="129:129" x14ac:dyDescent="0.2">
      <c r="DY37184" s="185" t="s">
        <v>215</v>
      </c>
    </row>
    <row r="37185" spans="129:129" x14ac:dyDescent="0.2">
      <c r="DY37185" s="185" t="s">
        <v>215</v>
      </c>
    </row>
    <row r="37186" spans="129:129" x14ac:dyDescent="0.2">
      <c r="DY37186" s="185" t="s">
        <v>215</v>
      </c>
    </row>
    <row r="37187" spans="129:129" x14ac:dyDescent="0.2">
      <c r="DY37187" s="185" t="s">
        <v>215</v>
      </c>
    </row>
    <row r="37188" spans="129:129" x14ac:dyDescent="0.2">
      <c r="DY37188" s="185" t="s">
        <v>215</v>
      </c>
    </row>
    <row r="37189" spans="129:129" x14ac:dyDescent="0.2">
      <c r="DY37189" s="185" t="s">
        <v>215</v>
      </c>
    </row>
    <row r="37190" spans="129:129" x14ac:dyDescent="0.2">
      <c r="DY37190" s="185" t="s">
        <v>215</v>
      </c>
    </row>
    <row r="37191" spans="129:129" x14ac:dyDescent="0.2">
      <c r="DY37191" s="185" t="s">
        <v>215</v>
      </c>
    </row>
    <row r="37192" spans="129:129" x14ac:dyDescent="0.2">
      <c r="DY37192" s="185" t="s">
        <v>215</v>
      </c>
    </row>
    <row r="37193" spans="129:129" x14ac:dyDescent="0.2">
      <c r="DY37193" s="185" t="s">
        <v>215</v>
      </c>
    </row>
    <row r="37194" spans="129:129" x14ac:dyDescent="0.2">
      <c r="DY37194" s="185" t="s">
        <v>215</v>
      </c>
    </row>
    <row r="37195" spans="129:129" x14ac:dyDescent="0.2">
      <c r="DY37195" s="185" t="s">
        <v>215</v>
      </c>
    </row>
    <row r="37196" spans="129:129" x14ac:dyDescent="0.2">
      <c r="DY37196" s="185" t="s">
        <v>215</v>
      </c>
    </row>
    <row r="37197" spans="129:129" x14ac:dyDescent="0.2">
      <c r="DY37197" s="185" t="s">
        <v>215</v>
      </c>
    </row>
    <row r="37198" spans="129:129" x14ac:dyDescent="0.2">
      <c r="DY37198" s="185" t="s">
        <v>215</v>
      </c>
    </row>
    <row r="37199" spans="129:129" x14ac:dyDescent="0.2">
      <c r="DY37199" s="185" t="s">
        <v>215</v>
      </c>
    </row>
    <row r="37200" spans="129:129" x14ac:dyDescent="0.2">
      <c r="DY37200" s="185" t="s">
        <v>215</v>
      </c>
    </row>
    <row r="37201" spans="129:129" x14ac:dyDescent="0.2">
      <c r="DY37201" s="185" t="s">
        <v>215</v>
      </c>
    </row>
    <row r="37202" spans="129:129" x14ac:dyDescent="0.2">
      <c r="DY37202" s="185" t="s">
        <v>215</v>
      </c>
    </row>
    <row r="37203" spans="129:129" x14ac:dyDescent="0.2">
      <c r="DY37203" s="185" t="s">
        <v>215</v>
      </c>
    </row>
    <row r="37204" spans="129:129" x14ac:dyDescent="0.2">
      <c r="DY37204" s="185" t="s">
        <v>215</v>
      </c>
    </row>
    <row r="37205" spans="129:129" x14ac:dyDescent="0.2">
      <c r="DY37205" s="185" t="s">
        <v>215</v>
      </c>
    </row>
    <row r="37206" spans="129:129" x14ac:dyDescent="0.2">
      <c r="DY37206" s="185" t="s">
        <v>215</v>
      </c>
    </row>
    <row r="37207" spans="129:129" x14ac:dyDescent="0.2">
      <c r="DY37207" s="185" t="s">
        <v>215</v>
      </c>
    </row>
    <row r="37208" spans="129:129" x14ac:dyDescent="0.2">
      <c r="DY37208" s="185" t="s">
        <v>215</v>
      </c>
    </row>
    <row r="37209" spans="129:129" x14ac:dyDescent="0.2">
      <c r="DY37209" s="185" t="s">
        <v>215</v>
      </c>
    </row>
    <row r="37210" spans="129:129" x14ac:dyDescent="0.2">
      <c r="DY37210" s="185" t="s">
        <v>215</v>
      </c>
    </row>
    <row r="37211" spans="129:129" x14ac:dyDescent="0.2">
      <c r="DY37211" s="185" t="s">
        <v>215</v>
      </c>
    </row>
    <row r="37212" spans="129:129" x14ac:dyDescent="0.2">
      <c r="DY37212" s="185" t="s">
        <v>215</v>
      </c>
    </row>
    <row r="37213" spans="129:129" x14ac:dyDescent="0.2">
      <c r="DY37213" s="185" t="s">
        <v>215</v>
      </c>
    </row>
    <row r="37214" spans="129:129" x14ac:dyDescent="0.2">
      <c r="DY37214" s="185" t="s">
        <v>215</v>
      </c>
    </row>
    <row r="37215" spans="129:129" x14ac:dyDescent="0.2">
      <c r="DY37215" s="185" t="s">
        <v>215</v>
      </c>
    </row>
    <row r="37216" spans="129:129" x14ac:dyDescent="0.2">
      <c r="DY37216" s="185" t="s">
        <v>215</v>
      </c>
    </row>
    <row r="37217" spans="129:129" x14ac:dyDescent="0.2">
      <c r="DY37217" s="185" t="s">
        <v>215</v>
      </c>
    </row>
    <row r="37218" spans="129:129" x14ac:dyDescent="0.2">
      <c r="DY37218" s="185" t="s">
        <v>215</v>
      </c>
    </row>
    <row r="37219" spans="129:129" x14ac:dyDescent="0.2">
      <c r="DY37219" s="185" t="s">
        <v>215</v>
      </c>
    </row>
    <row r="37220" spans="129:129" x14ac:dyDescent="0.2">
      <c r="DY37220" s="185" t="s">
        <v>215</v>
      </c>
    </row>
    <row r="37221" spans="129:129" x14ac:dyDescent="0.2">
      <c r="DY37221" s="185" t="s">
        <v>215</v>
      </c>
    </row>
    <row r="37222" spans="129:129" x14ac:dyDescent="0.2">
      <c r="DY37222" s="185" t="s">
        <v>215</v>
      </c>
    </row>
    <row r="37223" spans="129:129" x14ac:dyDescent="0.2">
      <c r="DY37223" s="185" t="s">
        <v>215</v>
      </c>
    </row>
    <row r="37224" spans="129:129" x14ac:dyDescent="0.2">
      <c r="DY37224" s="185" t="s">
        <v>215</v>
      </c>
    </row>
    <row r="37225" spans="129:129" x14ac:dyDescent="0.2">
      <c r="DY37225" s="185" t="s">
        <v>215</v>
      </c>
    </row>
    <row r="37226" spans="129:129" x14ac:dyDescent="0.2">
      <c r="DY37226" s="185" t="s">
        <v>215</v>
      </c>
    </row>
    <row r="37227" spans="129:129" x14ac:dyDescent="0.2">
      <c r="DY37227" s="185" t="s">
        <v>215</v>
      </c>
    </row>
    <row r="37228" spans="129:129" x14ac:dyDescent="0.2">
      <c r="DY37228" s="185" t="s">
        <v>215</v>
      </c>
    </row>
    <row r="37229" spans="129:129" x14ac:dyDescent="0.2">
      <c r="DY37229" s="185" t="s">
        <v>215</v>
      </c>
    </row>
    <row r="37230" spans="129:129" x14ac:dyDescent="0.2">
      <c r="DY37230" s="185" t="s">
        <v>215</v>
      </c>
    </row>
    <row r="37231" spans="129:129" x14ac:dyDescent="0.2">
      <c r="DY37231" s="185" t="s">
        <v>215</v>
      </c>
    </row>
    <row r="37232" spans="129:129" x14ac:dyDescent="0.2">
      <c r="DY37232" s="185" t="s">
        <v>215</v>
      </c>
    </row>
    <row r="37233" spans="129:129" x14ac:dyDescent="0.2">
      <c r="DY37233" s="185" t="s">
        <v>215</v>
      </c>
    </row>
    <row r="37234" spans="129:129" x14ac:dyDescent="0.2">
      <c r="DY37234" s="185" t="s">
        <v>215</v>
      </c>
    </row>
    <row r="37235" spans="129:129" x14ac:dyDescent="0.2">
      <c r="DY37235" s="185" t="s">
        <v>215</v>
      </c>
    </row>
    <row r="37236" spans="129:129" x14ac:dyDescent="0.2">
      <c r="DY37236" s="185" t="s">
        <v>215</v>
      </c>
    </row>
    <row r="37237" spans="129:129" x14ac:dyDescent="0.2">
      <c r="DY37237" s="185" t="s">
        <v>215</v>
      </c>
    </row>
    <row r="37238" spans="129:129" x14ac:dyDescent="0.2">
      <c r="DY37238" s="185" t="s">
        <v>215</v>
      </c>
    </row>
    <row r="37239" spans="129:129" x14ac:dyDescent="0.2">
      <c r="DY37239" s="185" t="s">
        <v>215</v>
      </c>
    </row>
    <row r="37240" spans="129:129" x14ac:dyDescent="0.2">
      <c r="DY37240" s="185" t="s">
        <v>215</v>
      </c>
    </row>
    <row r="37241" spans="129:129" x14ac:dyDescent="0.2">
      <c r="DY37241" s="185" t="s">
        <v>215</v>
      </c>
    </row>
    <row r="37242" spans="129:129" x14ac:dyDescent="0.2">
      <c r="DY37242" s="185" t="s">
        <v>215</v>
      </c>
    </row>
    <row r="37243" spans="129:129" x14ac:dyDescent="0.2">
      <c r="DY37243" s="185" t="s">
        <v>215</v>
      </c>
    </row>
    <row r="37244" spans="129:129" x14ac:dyDescent="0.2">
      <c r="DY37244" s="185" t="s">
        <v>215</v>
      </c>
    </row>
    <row r="37245" spans="129:129" x14ac:dyDescent="0.2">
      <c r="DY37245" s="185" t="s">
        <v>215</v>
      </c>
    </row>
    <row r="37246" spans="129:129" x14ac:dyDescent="0.2">
      <c r="DY37246" s="185" t="s">
        <v>215</v>
      </c>
    </row>
    <row r="37247" spans="129:129" x14ac:dyDescent="0.2">
      <c r="DY37247" s="185" t="s">
        <v>215</v>
      </c>
    </row>
    <row r="37248" spans="129:129" x14ac:dyDescent="0.2">
      <c r="DY37248" s="185" t="s">
        <v>215</v>
      </c>
    </row>
    <row r="37249" spans="129:129" x14ac:dyDescent="0.2">
      <c r="DY37249" s="185" t="s">
        <v>215</v>
      </c>
    </row>
    <row r="37250" spans="129:129" x14ac:dyDescent="0.2">
      <c r="DY37250" s="185" t="s">
        <v>215</v>
      </c>
    </row>
    <row r="37251" spans="129:129" x14ac:dyDescent="0.2">
      <c r="DY37251" s="185" t="s">
        <v>215</v>
      </c>
    </row>
    <row r="37252" spans="129:129" x14ac:dyDescent="0.2">
      <c r="DY37252" s="185" t="s">
        <v>215</v>
      </c>
    </row>
    <row r="37253" spans="129:129" x14ac:dyDescent="0.2">
      <c r="DY37253" s="185" t="s">
        <v>215</v>
      </c>
    </row>
    <row r="37254" spans="129:129" x14ac:dyDescent="0.2">
      <c r="DY37254" s="185" t="s">
        <v>215</v>
      </c>
    </row>
    <row r="37255" spans="129:129" x14ac:dyDescent="0.2">
      <c r="DY37255" s="185" t="s">
        <v>215</v>
      </c>
    </row>
    <row r="37256" spans="129:129" x14ac:dyDescent="0.2">
      <c r="DY37256" s="185" t="s">
        <v>215</v>
      </c>
    </row>
    <row r="37257" spans="129:129" x14ac:dyDescent="0.2">
      <c r="DY37257" s="185" t="s">
        <v>215</v>
      </c>
    </row>
    <row r="37258" spans="129:129" x14ac:dyDescent="0.2">
      <c r="DY37258" s="185" t="s">
        <v>215</v>
      </c>
    </row>
    <row r="37259" spans="129:129" x14ac:dyDescent="0.2">
      <c r="DY37259" s="185" t="s">
        <v>215</v>
      </c>
    </row>
    <row r="37260" spans="129:129" x14ac:dyDescent="0.2">
      <c r="DY37260" s="185" t="s">
        <v>215</v>
      </c>
    </row>
    <row r="37261" spans="129:129" x14ac:dyDescent="0.2">
      <c r="DY37261" s="185" t="s">
        <v>215</v>
      </c>
    </row>
    <row r="37262" spans="129:129" x14ac:dyDescent="0.2">
      <c r="DY37262" s="185" t="s">
        <v>215</v>
      </c>
    </row>
    <row r="37263" spans="129:129" x14ac:dyDescent="0.2">
      <c r="DY37263" s="185" t="s">
        <v>215</v>
      </c>
    </row>
    <row r="37264" spans="129:129" x14ac:dyDescent="0.2">
      <c r="DY37264" s="185" t="s">
        <v>215</v>
      </c>
    </row>
    <row r="37265" spans="129:129" x14ac:dyDescent="0.2">
      <c r="DY37265" s="185" t="s">
        <v>215</v>
      </c>
    </row>
    <row r="37266" spans="129:129" x14ac:dyDescent="0.2">
      <c r="DY37266" s="185" t="s">
        <v>215</v>
      </c>
    </row>
    <row r="37267" spans="129:129" x14ac:dyDescent="0.2">
      <c r="DY37267" s="185" t="s">
        <v>215</v>
      </c>
    </row>
    <row r="37268" spans="129:129" x14ac:dyDescent="0.2">
      <c r="DY37268" s="185" t="s">
        <v>215</v>
      </c>
    </row>
    <row r="37269" spans="129:129" x14ac:dyDescent="0.2">
      <c r="DY37269" s="185" t="s">
        <v>215</v>
      </c>
    </row>
    <row r="37270" spans="129:129" x14ac:dyDescent="0.2">
      <c r="DY37270" s="185" t="s">
        <v>215</v>
      </c>
    </row>
    <row r="37271" spans="129:129" x14ac:dyDescent="0.2">
      <c r="DY37271" s="185" t="s">
        <v>215</v>
      </c>
    </row>
    <row r="37272" spans="129:129" x14ac:dyDescent="0.2">
      <c r="DY37272" s="185" t="s">
        <v>215</v>
      </c>
    </row>
    <row r="37273" spans="129:129" x14ac:dyDescent="0.2">
      <c r="DY37273" s="185" t="s">
        <v>215</v>
      </c>
    </row>
    <row r="37274" spans="129:129" x14ac:dyDescent="0.2">
      <c r="DY37274" s="185" t="s">
        <v>215</v>
      </c>
    </row>
    <row r="37275" spans="129:129" x14ac:dyDescent="0.2">
      <c r="DY37275" s="185" t="s">
        <v>215</v>
      </c>
    </row>
    <row r="37276" spans="129:129" x14ac:dyDescent="0.2">
      <c r="DY37276" s="185" t="s">
        <v>215</v>
      </c>
    </row>
    <row r="37277" spans="129:129" x14ac:dyDescent="0.2">
      <c r="DY37277" s="185" t="s">
        <v>215</v>
      </c>
    </row>
    <row r="37278" spans="129:129" x14ac:dyDescent="0.2">
      <c r="DY37278" s="185" t="s">
        <v>215</v>
      </c>
    </row>
    <row r="37279" spans="129:129" x14ac:dyDescent="0.2">
      <c r="DY37279" s="185" t="s">
        <v>215</v>
      </c>
    </row>
    <row r="37280" spans="129:129" x14ac:dyDescent="0.2">
      <c r="DY37280" s="185" t="s">
        <v>215</v>
      </c>
    </row>
    <row r="37281" spans="129:129" x14ac:dyDescent="0.2">
      <c r="DY37281" s="185" t="s">
        <v>215</v>
      </c>
    </row>
    <row r="37282" spans="129:129" x14ac:dyDescent="0.2">
      <c r="DY37282" s="185" t="s">
        <v>215</v>
      </c>
    </row>
    <row r="37283" spans="129:129" x14ac:dyDescent="0.2">
      <c r="DY37283" s="185" t="s">
        <v>215</v>
      </c>
    </row>
    <row r="37284" spans="129:129" x14ac:dyDescent="0.2">
      <c r="DY37284" s="185" t="s">
        <v>215</v>
      </c>
    </row>
    <row r="37285" spans="129:129" x14ac:dyDescent="0.2">
      <c r="DY37285" s="185" t="s">
        <v>215</v>
      </c>
    </row>
    <row r="37286" spans="129:129" x14ac:dyDescent="0.2">
      <c r="DY37286" s="185" t="s">
        <v>215</v>
      </c>
    </row>
    <row r="37287" spans="129:129" x14ac:dyDescent="0.2">
      <c r="DY37287" s="185" t="s">
        <v>215</v>
      </c>
    </row>
    <row r="37288" spans="129:129" x14ac:dyDescent="0.2">
      <c r="DY37288" s="185" t="s">
        <v>215</v>
      </c>
    </row>
    <row r="37289" spans="129:129" x14ac:dyDescent="0.2">
      <c r="DY37289" s="185" t="s">
        <v>215</v>
      </c>
    </row>
    <row r="37290" spans="129:129" x14ac:dyDescent="0.2">
      <c r="DY37290" s="185" t="s">
        <v>215</v>
      </c>
    </row>
    <row r="37291" spans="129:129" x14ac:dyDescent="0.2">
      <c r="DY37291" s="185" t="s">
        <v>215</v>
      </c>
    </row>
    <row r="37292" spans="129:129" x14ac:dyDescent="0.2">
      <c r="DY37292" s="185" t="s">
        <v>215</v>
      </c>
    </row>
    <row r="37293" spans="129:129" x14ac:dyDescent="0.2">
      <c r="DY37293" s="185" t="s">
        <v>215</v>
      </c>
    </row>
    <row r="37294" spans="129:129" x14ac:dyDescent="0.2">
      <c r="DY37294" s="185" t="s">
        <v>215</v>
      </c>
    </row>
    <row r="37295" spans="129:129" x14ac:dyDescent="0.2">
      <c r="DY37295" s="185" t="s">
        <v>215</v>
      </c>
    </row>
    <row r="37296" spans="129:129" x14ac:dyDescent="0.2">
      <c r="DY37296" s="185" t="s">
        <v>215</v>
      </c>
    </row>
    <row r="37297" spans="129:129" x14ac:dyDescent="0.2">
      <c r="DY37297" s="185" t="s">
        <v>215</v>
      </c>
    </row>
    <row r="37298" spans="129:129" x14ac:dyDescent="0.2">
      <c r="DY37298" s="185" t="s">
        <v>215</v>
      </c>
    </row>
    <row r="37299" spans="129:129" x14ac:dyDescent="0.2">
      <c r="DY37299" s="185" t="s">
        <v>215</v>
      </c>
    </row>
    <row r="37300" spans="129:129" x14ac:dyDescent="0.2">
      <c r="DY37300" s="185" t="s">
        <v>215</v>
      </c>
    </row>
    <row r="37301" spans="129:129" x14ac:dyDescent="0.2">
      <c r="DY37301" s="185" t="s">
        <v>215</v>
      </c>
    </row>
    <row r="37302" spans="129:129" x14ac:dyDescent="0.2">
      <c r="DY37302" s="185" t="s">
        <v>215</v>
      </c>
    </row>
    <row r="37303" spans="129:129" x14ac:dyDescent="0.2">
      <c r="DY37303" s="185" t="s">
        <v>215</v>
      </c>
    </row>
    <row r="37304" spans="129:129" x14ac:dyDescent="0.2">
      <c r="DY37304" s="185" t="s">
        <v>215</v>
      </c>
    </row>
    <row r="37305" spans="129:129" x14ac:dyDescent="0.2">
      <c r="DY37305" s="185" t="s">
        <v>215</v>
      </c>
    </row>
    <row r="37306" spans="129:129" x14ac:dyDescent="0.2">
      <c r="DY37306" s="185" t="s">
        <v>215</v>
      </c>
    </row>
    <row r="37307" spans="129:129" x14ac:dyDescent="0.2">
      <c r="DY37307" s="185" t="s">
        <v>215</v>
      </c>
    </row>
    <row r="37308" spans="129:129" x14ac:dyDescent="0.2">
      <c r="DY37308" s="185" t="s">
        <v>215</v>
      </c>
    </row>
    <row r="37309" spans="129:129" x14ac:dyDescent="0.2">
      <c r="DY37309" s="185" t="s">
        <v>215</v>
      </c>
    </row>
    <row r="37310" spans="129:129" x14ac:dyDescent="0.2">
      <c r="DY37310" s="185" t="s">
        <v>215</v>
      </c>
    </row>
    <row r="37311" spans="129:129" x14ac:dyDescent="0.2">
      <c r="DY37311" s="185" t="s">
        <v>215</v>
      </c>
    </row>
    <row r="37312" spans="129:129" x14ac:dyDescent="0.2">
      <c r="DY37312" s="185" t="s">
        <v>215</v>
      </c>
    </row>
    <row r="37313" spans="129:129" x14ac:dyDescent="0.2">
      <c r="DY37313" s="185" t="s">
        <v>215</v>
      </c>
    </row>
    <row r="37314" spans="129:129" x14ac:dyDescent="0.2">
      <c r="DY37314" s="185" t="s">
        <v>215</v>
      </c>
    </row>
    <row r="37315" spans="129:129" x14ac:dyDescent="0.2">
      <c r="DY37315" s="185" t="s">
        <v>215</v>
      </c>
    </row>
    <row r="37316" spans="129:129" x14ac:dyDescent="0.2">
      <c r="DY37316" s="185" t="s">
        <v>215</v>
      </c>
    </row>
    <row r="37317" spans="129:129" x14ac:dyDescent="0.2">
      <c r="DY37317" s="185" t="s">
        <v>215</v>
      </c>
    </row>
    <row r="37318" spans="129:129" x14ac:dyDescent="0.2">
      <c r="DY37318" s="185" t="s">
        <v>215</v>
      </c>
    </row>
    <row r="37319" spans="129:129" x14ac:dyDescent="0.2">
      <c r="DY37319" s="185" t="s">
        <v>215</v>
      </c>
    </row>
    <row r="37320" spans="129:129" x14ac:dyDescent="0.2">
      <c r="DY37320" s="185" t="s">
        <v>215</v>
      </c>
    </row>
    <row r="37321" spans="129:129" x14ac:dyDescent="0.2">
      <c r="DY37321" s="185" t="s">
        <v>215</v>
      </c>
    </row>
    <row r="37322" spans="129:129" x14ac:dyDescent="0.2">
      <c r="DY37322" s="185" t="s">
        <v>215</v>
      </c>
    </row>
    <row r="37323" spans="129:129" x14ac:dyDescent="0.2">
      <c r="DY37323" s="185" t="s">
        <v>215</v>
      </c>
    </row>
    <row r="37324" spans="129:129" x14ac:dyDescent="0.2">
      <c r="DY37324" s="185" t="s">
        <v>215</v>
      </c>
    </row>
    <row r="37325" spans="129:129" x14ac:dyDescent="0.2">
      <c r="DY37325" s="185" t="s">
        <v>215</v>
      </c>
    </row>
    <row r="37326" spans="129:129" x14ac:dyDescent="0.2">
      <c r="DY37326" s="185" t="s">
        <v>215</v>
      </c>
    </row>
    <row r="37327" spans="129:129" x14ac:dyDescent="0.2">
      <c r="DY37327" s="185" t="s">
        <v>215</v>
      </c>
    </row>
    <row r="37328" spans="129:129" x14ac:dyDescent="0.2">
      <c r="DY37328" s="185" t="s">
        <v>215</v>
      </c>
    </row>
    <row r="37329" spans="129:129" x14ac:dyDescent="0.2">
      <c r="DY37329" s="185" t="s">
        <v>215</v>
      </c>
    </row>
    <row r="37330" spans="129:129" x14ac:dyDescent="0.2">
      <c r="DY37330" s="185" t="s">
        <v>215</v>
      </c>
    </row>
    <row r="37331" spans="129:129" x14ac:dyDescent="0.2">
      <c r="DY37331" s="185" t="s">
        <v>215</v>
      </c>
    </row>
    <row r="37332" spans="129:129" x14ac:dyDescent="0.2">
      <c r="DY37332" s="185" t="s">
        <v>215</v>
      </c>
    </row>
    <row r="37333" spans="129:129" x14ac:dyDescent="0.2">
      <c r="DY37333" s="185" t="s">
        <v>215</v>
      </c>
    </row>
    <row r="37334" spans="129:129" x14ac:dyDescent="0.2">
      <c r="DY37334" s="185" t="s">
        <v>215</v>
      </c>
    </row>
    <row r="37335" spans="129:129" x14ac:dyDescent="0.2">
      <c r="DY37335" s="185" t="s">
        <v>215</v>
      </c>
    </row>
    <row r="37336" spans="129:129" x14ac:dyDescent="0.2">
      <c r="DY37336" s="185" t="s">
        <v>215</v>
      </c>
    </row>
    <row r="37337" spans="129:129" x14ac:dyDescent="0.2">
      <c r="DY37337" s="185" t="s">
        <v>215</v>
      </c>
    </row>
    <row r="37338" spans="129:129" x14ac:dyDescent="0.2">
      <c r="DY37338" s="185" t="s">
        <v>215</v>
      </c>
    </row>
    <row r="37339" spans="129:129" x14ac:dyDescent="0.2">
      <c r="DY37339" s="185" t="s">
        <v>215</v>
      </c>
    </row>
    <row r="37340" spans="129:129" x14ac:dyDescent="0.2">
      <c r="DY37340" s="185" t="s">
        <v>215</v>
      </c>
    </row>
    <row r="37341" spans="129:129" x14ac:dyDescent="0.2">
      <c r="DY37341" s="185" t="s">
        <v>215</v>
      </c>
    </row>
    <row r="37342" spans="129:129" x14ac:dyDescent="0.2">
      <c r="DY37342" s="185" t="s">
        <v>215</v>
      </c>
    </row>
    <row r="37343" spans="129:129" x14ac:dyDescent="0.2">
      <c r="DY37343" s="185" t="s">
        <v>215</v>
      </c>
    </row>
    <row r="37344" spans="129:129" x14ac:dyDescent="0.2">
      <c r="DY37344" s="185" t="s">
        <v>215</v>
      </c>
    </row>
    <row r="37345" spans="129:129" x14ac:dyDescent="0.2">
      <c r="DY37345" s="185" t="s">
        <v>215</v>
      </c>
    </row>
    <row r="37346" spans="129:129" x14ac:dyDescent="0.2">
      <c r="DY37346" s="185" t="s">
        <v>215</v>
      </c>
    </row>
    <row r="37347" spans="129:129" x14ac:dyDescent="0.2">
      <c r="DY37347" s="185" t="s">
        <v>215</v>
      </c>
    </row>
    <row r="37348" spans="129:129" x14ac:dyDescent="0.2">
      <c r="DY37348" s="185" t="s">
        <v>215</v>
      </c>
    </row>
    <row r="37349" spans="129:129" x14ac:dyDescent="0.2">
      <c r="DY37349" s="185" t="s">
        <v>215</v>
      </c>
    </row>
    <row r="37350" spans="129:129" x14ac:dyDescent="0.2">
      <c r="DY37350" s="185" t="s">
        <v>215</v>
      </c>
    </row>
    <row r="37351" spans="129:129" x14ac:dyDescent="0.2">
      <c r="DY37351" s="185" t="s">
        <v>215</v>
      </c>
    </row>
    <row r="37352" spans="129:129" x14ac:dyDescent="0.2">
      <c r="DY37352" s="185" t="s">
        <v>215</v>
      </c>
    </row>
    <row r="37353" spans="129:129" x14ac:dyDescent="0.2">
      <c r="DY37353" s="185" t="s">
        <v>215</v>
      </c>
    </row>
    <row r="37354" spans="129:129" x14ac:dyDescent="0.2">
      <c r="DY37354" s="185" t="s">
        <v>215</v>
      </c>
    </row>
    <row r="37355" spans="129:129" x14ac:dyDescent="0.2">
      <c r="DY37355" s="185" t="s">
        <v>215</v>
      </c>
    </row>
    <row r="37356" spans="129:129" x14ac:dyDescent="0.2">
      <c r="DY37356" s="185" t="s">
        <v>215</v>
      </c>
    </row>
    <row r="37357" spans="129:129" x14ac:dyDescent="0.2">
      <c r="DY37357" s="185" t="s">
        <v>215</v>
      </c>
    </row>
    <row r="37358" spans="129:129" x14ac:dyDescent="0.2">
      <c r="DY37358" s="185" t="s">
        <v>215</v>
      </c>
    </row>
    <row r="37359" spans="129:129" x14ac:dyDescent="0.2">
      <c r="DY37359" s="185" t="s">
        <v>215</v>
      </c>
    </row>
    <row r="37360" spans="129:129" x14ac:dyDescent="0.2">
      <c r="DY37360" s="185" t="s">
        <v>215</v>
      </c>
    </row>
    <row r="37361" spans="129:129" x14ac:dyDescent="0.2">
      <c r="DY37361" s="185" t="s">
        <v>215</v>
      </c>
    </row>
    <row r="37362" spans="129:129" x14ac:dyDescent="0.2">
      <c r="DY37362" s="185" t="s">
        <v>215</v>
      </c>
    </row>
    <row r="37363" spans="129:129" x14ac:dyDescent="0.2">
      <c r="DY37363" s="185" t="s">
        <v>215</v>
      </c>
    </row>
    <row r="37364" spans="129:129" x14ac:dyDescent="0.2">
      <c r="DY37364" s="185" t="s">
        <v>215</v>
      </c>
    </row>
    <row r="37365" spans="129:129" x14ac:dyDescent="0.2">
      <c r="DY37365" s="185" t="s">
        <v>215</v>
      </c>
    </row>
    <row r="37366" spans="129:129" x14ac:dyDescent="0.2">
      <c r="DY37366" s="185" t="s">
        <v>215</v>
      </c>
    </row>
    <row r="37367" spans="129:129" x14ac:dyDescent="0.2">
      <c r="DY37367" s="185" t="s">
        <v>215</v>
      </c>
    </row>
    <row r="37368" spans="129:129" x14ac:dyDescent="0.2">
      <c r="DY37368" s="185" t="s">
        <v>215</v>
      </c>
    </row>
    <row r="37369" spans="129:129" x14ac:dyDescent="0.2">
      <c r="DY37369" s="185" t="s">
        <v>215</v>
      </c>
    </row>
    <row r="37370" spans="129:129" x14ac:dyDescent="0.2">
      <c r="DY37370" s="185" t="s">
        <v>215</v>
      </c>
    </row>
    <row r="37371" spans="129:129" x14ac:dyDescent="0.2">
      <c r="DY37371" s="185" t="s">
        <v>215</v>
      </c>
    </row>
    <row r="37372" spans="129:129" x14ac:dyDescent="0.2">
      <c r="DY37372" s="185" t="s">
        <v>215</v>
      </c>
    </row>
    <row r="37373" spans="129:129" x14ac:dyDescent="0.2">
      <c r="DY37373" s="185" t="s">
        <v>215</v>
      </c>
    </row>
    <row r="37374" spans="129:129" x14ac:dyDescent="0.2">
      <c r="DY37374" s="185" t="s">
        <v>215</v>
      </c>
    </row>
    <row r="37375" spans="129:129" x14ac:dyDescent="0.2">
      <c r="DY37375" s="185" t="s">
        <v>215</v>
      </c>
    </row>
    <row r="37376" spans="129:129" x14ac:dyDescent="0.2">
      <c r="DY37376" s="185" t="s">
        <v>215</v>
      </c>
    </row>
    <row r="37377" spans="129:129" x14ac:dyDescent="0.2">
      <c r="DY37377" s="185" t="s">
        <v>215</v>
      </c>
    </row>
    <row r="37378" spans="129:129" x14ac:dyDescent="0.2">
      <c r="DY37378" s="185" t="s">
        <v>215</v>
      </c>
    </row>
    <row r="37379" spans="129:129" x14ac:dyDescent="0.2">
      <c r="DY37379" s="185" t="s">
        <v>215</v>
      </c>
    </row>
    <row r="37380" spans="129:129" x14ac:dyDescent="0.2">
      <c r="DY37380" s="185" t="s">
        <v>215</v>
      </c>
    </row>
    <row r="37381" spans="129:129" x14ac:dyDescent="0.2">
      <c r="DY37381" s="185" t="s">
        <v>215</v>
      </c>
    </row>
    <row r="37382" spans="129:129" x14ac:dyDescent="0.2">
      <c r="DY37382" s="185" t="s">
        <v>215</v>
      </c>
    </row>
    <row r="37383" spans="129:129" x14ac:dyDescent="0.2">
      <c r="DY37383" s="185" t="s">
        <v>215</v>
      </c>
    </row>
    <row r="37384" spans="129:129" x14ac:dyDescent="0.2">
      <c r="DY37384" s="185" t="s">
        <v>215</v>
      </c>
    </row>
    <row r="37385" spans="129:129" x14ac:dyDescent="0.2">
      <c r="DY37385" s="185" t="s">
        <v>215</v>
      </c>
    </row>
    <row r="37386" spans="129:129" x14ac:dyDescent="0.2">
      <c r="DY37386" s="185" t="s">
        <v>215</v>
      </c>
    </row>
    <row r="37387" spans="129:129" x14ac:dyDescent="0.2">
      <c r="DY37387" s="185" t="s">
        <v>215</v>
      </c>
    </row>
    <row r="37388" spans="129:129" x14ac:dyDescent="0.2">
      <c r="DY37388" s="185" t="s">
        <v>215</v>
      </c>
    </row>
    <row r="37389" spans="129:129" x14ac:dyDescent="0.2">
      <c r="DY37389" s="185" t="s">
        <v>215</v>
      </c>
    </row>
    <row r="37390" spans="129:129" x14ac:dyDescent="0.2">
      <c r="DY37390" s="185" t="s">
        <v>215</v>
      </c>
    </row>
    <row r="37391" spans="129:129" x14ac:dyDescent="0.2">
      <c r="DY37391" s="185" t="s">
        <v>215</v>
      </c>
    </row>
    <row r="37392" spans="129:129" x14ac:dyDescent="0.2">
      <c r="DY37392" s="185" t="s">
        <v>215</v>
      </c>
    </row>
    <row r="37393" spans="129:129" x14ac:dyDescent="0.2">
      <c r="DY37393" s="185" t="s">
        <v>215</v>
      </c>
    </row>
    <row r="37394" spans="129:129" x14ac:dyDescent="0.2">
      <c r="DY37394" s="185" t="s">
        <v>215</v>
      </c>
    </row>
    <row r="37395" spans="129:129" x14ac:dyDescent="0.2">
      <c r="DY37395" s="185" t="s">
        <v>215</v>
      </c>
    </row>
    <row r="37396" spans="129:129" x14ac:dyDescent="0.2">
      <c r="DY37396" s="185" t="s">
        <v>215</v>
      </c>
    </row>
    <row r="37397" spans="129:129" x14ac:dyDescent="0.2">
      <c r="DY37397" s="185" t="s">
        <v>215</v>
      </c>
    </row>
    <row r="37398" spans="129:129" x14ac:dyDescent="0.2">
      <c r="DY37398" s="185" t="s">
        <v>215</v>
      </c>
    </row>
    <row r="37399" spans="129:129" x14ac:dyDescent="0.2">
      <c r="DY37399" s="185" t="s">
        <v>215</v>
      </c>
    </row>
    <row r="37400" spans="129:129" x14ac:dyDescent="0.2">
      <c r="DY37400" s="185" t="s">
        <v>215</v>
      </c>
    </row>
    <row r="37401" spans="129:129" x14ac:dyDescent="0.2">
      <c r="DY37401" s="185" t="s">
        <v>215</v>
      </c>
    </row>
    <row r="37402" spans="129:129" x14ac:dyDescent="0.2">
      <c r="DY37402" s="185" t="s">
        <v>215</v>
      </c>
    </row>
    <row r="37403" spans="129:129" x14ac:dyDescent="0.2">
      <c r="DY37403" s="185" t="s">
        <v>215</v>
      </c>
    </row>
    <row r="37404" spans="129:129" x14ac:dyDescent="0.2">
      <c r="DY37404" s="185" t="s">
        <v>215</v>
      </c>
    </row>
    <row r="37405" spans="129:129" x14ac:dyDescent="0.2">
      <c r="DY37405" s="185" t="s">
        <v>215</v>
      </c>
    </row>
    <row r="37406" spans="129:129" x14ac:dyDescent="0.2">
      <c r="DY37406" s="185" t="s">
        <v>215</v>
      </c>
    </row>
    <row r="37407" spans="129:129" x14ac:dyDescent="0.2">
      <c r="DY37407" s="185" t="s">
        <v>215</v>
      </c>
    </row>
    <row r="37408" spans="129:129" x14ac:dyDescent="0.2">
      <c r="DY37408" s="185" t="s">
        <v>215</v>
      </c>
    </row>
    <row r="37409" spans="129:129" x14ac:dyDescent="0.2">
      <c r="DY37409" s="185" t="s">
        <v>215</v>
      </c>
    </row>
    <row r="37410" spans="129:129" x14ac:dyDescent="0.2">
      <c r="DY37410" s="185" t="s">
        <v>215</v>
      </c>
    </row>
    <row r="37411" spans="129:129" x14ac:dyDescent="0.2">
      <c r="DY37411" s="185" t="s">
        <v>215</v>
      </c>
    </row>
    <row r="37412" spans="129:129" x14ac:dyDescent="0.2">
      <c r="DY37412" s="185" t="s">
        <v>215</v>
      </c>
    </row>
    <row r="37413" spans="129:129" x14ac:dyDescent="0.2">
      <c r="DY37413" s="185" t="s">
        <v>215</v>
      </c>
    </row>
    <row r="37414" spans="129:129" x14ac:dyDescent="0.2">
      <c r="DY37414" s="185" t="s">
        <v>215</v>
      </c>
    </row>
    <row r="37415" spans="129:129" x14ac:dyDescent="0.2">
      <c r="DY37415" s="185" t="s">
        <v>215</v>
      </c>
    </row>
    <row r="37416" spans="129:129" x14ac:dyDescent="0.2">
      <c r="DY37416" s="185" t="s">
        <v>215</v>
      </c>
    </row>
    <row r="37417" spans="129:129" x14ac:dyDescent="0.2">
      <c r="DY37417" s="185" t="s">
        <v>215</v>
      </c>
    </row>
    <row r="37418" spans="129:129" x14ac:dyDescent="0.2">
      <c r="DY37418" s="185" t="s">
        <v>215</v>
      </c>
    </row>
    <row r="37419" spans="129:129" x14ac:dyDescent="0.2">
      <c r="DY37419" s="185" t="s">
        <v>215</v>
      </c>
    </row>
    <row r="37420" spans="129:129" x14ac:dyDescent="0.2">
      <c r="DY37420" s="185" t="s">
        <v>215</v>
      </c>
    </row>
    <row r="37421" spans="129:129" x14ac:dyDescent="0.2">
      <c r="DY37421" s="185" t="s">
        <v>215</v>
      </c>
    </row>
    <row r="37422" spans="129:129" x14ac:dyDescent="0.2">
      <c r="DY37422" s="185" t="s">
        <v>215</v>
      </c>
    </row>
    <row r="37423" spans="129:129" x14ac:dyDescent="0.2">
      <c r="DY37423" s="185" t="s">
        <v>215</v>
      </c>
    </row>
    <row r="37424" spans="129:129" x14ac:dyDescent="0.2">
      <c r="DY37424" s="185" t="s">
        <v>215</v>
      </c>
    </row>
    <row r="37425" spans="129:129" x14ac:dyDescent="0.2">
      <c r="DY37425" s="185" t="s">
        <v>215</v>
      </c>
    </row>
    <row r="37426" spans="129:129" x14ac:dyDescent="0.2">
      <c r="DY37426" s="185" t="s">
        <v>215</v>
      </c>
    </row>
    <row r="37427" spans="129:129" x14ac:dyDescent="0.2">
      <c r="DY37427" s="185" t="s">
        <v>215</v>
      </c>
    </row>
    <row r="37428" spans="129:129" x14ac:dyDescent="0.2">
      <c r="DY37428" s="185" t="s">
        <v>215</v>
      </c>
    </row>
    <row r="37429" spans="129:129" x14ac:dyDescent="0.2">
      <c r="DY37429" s="185" t="s">
        <v>215</v>
      </c>
    </row>
    <row r="37430" spans="129:129" x14ac:dyDescent="0.2">
      <c r="DY37430" s="185" t="s">
        <v>215</v>
      </c>
    </row>
    <row r="37431" spans="129:129" x14ac:dyDescent="0.2">
      <c r="DY37431" s="185" t="s">
        <v>215</v>
      </c>
    </row>
    <row r="37432" spans="129:129" x14ac:dyDescent="0.2">
      <c r="DY37432" s="185" t="s">
        <v>215</v>
      </c>
    </row>
    <row r="37433" spans="129:129" x14ac:dyDescent="0.2">
      <c r="DY37433" s="185" t="s">
        <v>215</v>
      </c>
    </row>
    <row r="37434" spans="129:129" x14ac:dyDescent="0.2">
      <c r="DY37434" s="185" t="s">
        <v>215</v>
      </c>
    </row>
    <row r="37435" spans="129:129" x14ac:dyDescent="0.2">
      <c r="DY37435" s="185" t="s">
        <v>215</v>
      </c>
    </row>
    <row r="37436" spans="129:129" x14ac:dyDescent="0.2">
      <c r="DY37436" s="185" t="s">
        <v>215</v>
      </c>
    </row>
    <row r="37437" spans="129:129" x14ac:dyDescent="0.2">
      <c r="DY37437" s="185" t="s">
        <v>215</v>
      </c>
    </row>
    <row r="37438" spans="129:129" x14ac:dyDescent="0.2">
      <c r="DY37438" s="185" t="s">
        <v>215</v>
      </c>
    </row>
    <row r="37439" spans="129:129" x14ac:dyDescent="0.2">
      <c r="DY37439" s="185" t="s">
        <v>215</v>
      </c>
    </row>
    <row r="37440" spans="129:129" x14ac:dyDescent="0.2">
      <c r="DY37440" s="185" t="s">
        <v>215</v>
      </c>
    </row>
    <row r="37441" spans="129:129" x14ac:dyDescent="0.2">
      <c r="DY37441" s="185" t="s">
        <v>215</v>
      </c>
    </row>
    <row r="37442" spans="129:129" x14ac:dyDescent="0.2">
      <c r="DY37442" s="185" t="s">
        <v>215</v>
      </c>
    </row>
    <row r="37443" spans="129:129" x14ac:dyDescent="0.2">
      <c r="DY37443" s="185" t="s">
        <v>215</v>
      </c>
    </row>
    <row r="37444" spans="129:129" x14ac:dyDescent="0.2">
      <c r="DY37444" s="185" t="s">
        <v>215</v>
      </c>
    </row>
    <row r="37445" spans="129:129" x14ac:dyDescent="0.2">
      <c r="DY37445" s="185" t="s">
        <v>215</v>
      </c>
    </row>
    <row r="37446" spans="129:129" x14ac:dyDescent="0.2">
      <c r="DY37446" s="185" t="s">
        <v>215</v>
      </c>
    </row>
    <row r="37447" spans="129:129" x14ac:dyDescent="0.2">
      <c r="DY37447" s="185" t="s">
        <v>215</v>
      </c>
    </row>
    <row r="37448" spans="129:129" x14ac:dyDescent="0.2">
      <c r="DY37448" s="185" t="s">
        <v>215</v>
      </c>
    </row>
    <row r="37449" spans="129:129" x14ac:dyDescent="0.2">
      <c r="DY37449" s="185" t="s">
        <v>215</v>
      </c>
    </row>
    <row r="37450" spans="129:129" x14ac:dyDescent="0.2">
      <c r="DY37450" s="185" t="s">
        <v>215</v>
      </c>
    </row>
    <row r="37451" spans="129:129" x14ac:dyDescent="0.2">
      <c r="DY37451" s="185" t="s">
        <v>215</v>
      </c>
    </row>
    <row r="37452" spans="129:129" x14ac:dyDescent="0.2">
      <c r="DY37452" s="185" t="s">
        <v>215</v>
      </c>
    </row>
    <row r="37453" spans="129:129" x14ac:dyDescent="0.2">
      <c r="DY37453" s="185" t="s">
        <v>215</v>
      </c>
    </row>
    <row r="37454" spans="129:129" x14ac:dyDescent="0.2">
      <c r="DY37454" s="185" t="s">
        <v>215</v>
      </c>
    </row>
    <row r="37455" spans="129:129" x14ac:dyDescent="0.2">
      <c r="DY37455" s="185" t="s">
        <v>215</v>
      </c>
    </row>
    <row r="37456" spans="129:129" x14ac:dyDescent="0.2">
      <c r="DY37456" s="185" t="s">
        <v>215</v>
      </c>
    </row>
    <row r="37457" spans="129:129" x14ac:dyDescent="0.2">
      <c r="DY37457" s="185" t="s">
        <v>215</v>
      </c>
    </row>
    <row r="37458" spans="129:129" x14ac:dyDescent="0.2">
      <c r="DY37458" s="185" t="s">
        <v>215</v>
      </c>
    </row>
    <row r="37459" spans="129:129" x14ac:dyDescent="0.2">
      <c r="DY37459" s="185" t="s">
        <v>215</v>
      </c>
    </row>
    <row r="37460" spans="129:129" x14ac:dyDescent="0.2">
      <c r="DY37460" s="185" t="s">
        <v>215</v>
      </c>
    </row>
    <row r="37461" spans="129:129" x14ac:dyDescent="0.2">
      <c r="DY37461" s="185" t="s">
        <v>215</v>
      </c>
    </row>
    <row r="37462" spans="129:129" x14ac:dyDescent="0.2">
      <c r="DY37462" s="185" t="s">
        <v>215</v>
      </c>
    </row>
    <row r="37463" spans="129:129" x14ac:dyDescent="0.2">
      <c r="DY37463" s="185" t="s">
        <v>215</v>
      </c>
    </row>
    <row r="37464" spans="129:129" x14ac:dyDescent="0.2">
      <c r="DY37464" s="185" t="s">
        <v>215</v>
      </c>
    </row>
    <row r="37465" spans="129:129" x14ac:dyDescent="0.2">
      <c r="DY37465" s="185" t="s">
        <v>215</v>
      </c>
    </row>
    <row r="37466" spans="129:129" x14ac:dyDescent="0.2">
      <c r="DY37466" s="185" t="s">
        <v>215</v>
      </c>
    </row>
    <row r="37467" spans="129:129" x14ac:dyDescent="0.2">
      <c r="DY37467" s="185" t="s">
        <v>215</v>
      </c>
    </row>
    <row r="37468" spans="129:129" x14ac:dyDescent="0.2">
      <c r="DY37468" s="185" t="s">
        <v>215</v>
      </c>
    </row>
    <row r="37469" spans="129:129" x14ac:dyDescent="0.2">
      <c r="DY37469" s="185" t="s">
        <v>215</v>
      </c>
    </row>
    <row r="37470" spans="129:129" x14ac:dyDescent="0.2">
      <c r="DY37470" s="185" t="s">
        <v>215</v>
      </c>
    </row>
    <row r="37471" spans="129:129" x14ac:dyDescent="0.2">
      <c r="DY37471" s="185" t="s">
        <v>215</v>
      </c>
    </row>
    <row r="37472" spans="129:129" x14ac:dyDescent="0.2">
      <c r="DY37472" s="185" t="s">
        <v>215</v>
      </c>
    </row>
    <row r="37473" spans="129:129" x14ac:dyDescent="0.2">
      <c r="DY37473" s="185" t="s">
        <v>215</v>
      </c>
    </row>
    <row r="37474" spans="129:129" x14ac:dyDescent="0.2">
      <c r="DY37474" s="185" t="s">
        <v>215</v>
      </c>
    </row>
    <row r="37475" spans="129:129" x14ac:dyDescent="0.2">
      <c r="DY37475" s="185" t="s">
        <v>215</v>
      </c>
    </row>
    <row r="37476" spans="129:129" x14ac:dyDescent="0.2">
      <c r="DY37476" s="185" t="s">
        <v>215</v>
      </c>
    </row>
    <row r="37477" spans="129:129" x14ac:dyDescent="0.2">
      <c r="DY37477" s="185" t="s">
        <v>215</v>
      </c>
    </row>
    <row r="37478" spans="129:129" x14ac:dyDescent="0.2">
      <c r="DY37478" s="185" t="s">
        <v>215</v>
      </c>
    </row>
    <row r="37479" spans="129:129" x14ac:dyDescent="0.2">
      <c r="DY37479" s="185" t="s">
        <v>215</v>
      </c>
    </row>
    <row r="37480" spans="129:129" x14ac:dyDescent="0.2">
      <c r="DY37480" s="185" t="s">
        <v>215</v>
      </c>
    </row>
    <row r="37481" spans="129:129" x14ac:dyDescent="0.2">
      <c r="DY37481" s="185" t="s">
        <v>215</v>
      </c>
    </row>
    <row r="37482" spans="129:129" x14ac:dyDescent="0.2">
      <c r="DY37482" s="185" t="s">
        <v>215</v>
      </c>
    </row>
    <row r="37483" spans="129:129" x14ac:dyDescent="0.2">
      <c r="DY37483" s="185" t="s">
        <v>215</v>
      </c>
    </row>
    <row r="37484" spans="129:129" x14ac:dyDescent="0.2">
      <c r="DY37484" s="185" t="s">
        <v>215</v>
      </c>
    </row>
    <row r="37485" spans="129:129" x14ac:dyDescent="0.2">
      <c r="DY37485" s="185" t="s">
        <v>215</v>
      </c>
    </row>
    <row r="37486" spans="129:129" x14ac:dyDescent="0.2">
      <c r="DY37486" s="185" t="s">
        <v>215</v>
      </c>
    </row>
    <row r="37487" spans="129:129" x14ac:dyDescent="0.2">
      <c r="DY37487" s="185" t="s">
        <v>215</v>
      </c>
    </row>
    <row r="37488" spans="129:129" x14ac:dyDescent="0.2">
      <c r="DY37488" s="185" t="s">
        <v>215</v>
      </c>
    </row>
    <row r="37489" spans="129:129" x14ac:dyDescent="0.2">
      <c r="DY37489" s="185" t="s">
        <v>215</v>
      </c>
    </row>
    <row r="37490" spans="129:129" x14ac:dyDescent="0.2">
      <c r="DY37490" s="185" t="s">
        <v>215</v>
      </c>
    </row>
    <row r="37491" spans="129:129" x14ac:dyDescent="0.2">
      <c r="DY37491" s="185" t="s">
        <v>215</v>
      </c>
    </row>
    <row r="37492" spans="129:129" x14ac:dyDescent="0.2">
      <c r="DY37492" s="185" t="s">
        <v>215</v>
      </c>
    </row>
    <row r="37493" spans="129:129" x14ac:dyDescent="0.2">
      <c r="DY37493" s="185" t="s">
        <v>215</v>
      </c>
    </row>
    <row r="37494" spans="129:129" x14ac:dyDescent="0.2">
      <c r="DY37494" s="185" t="s">
        <v>215</v>
      </c>
    </row>
    <row r="37495" spans="129:129" x14ac:dyDescent="0.2">
      <c r="DY37495" s="185" t="s">
        <v>215</v>
      </c>
    </row>
    <row r="37496" spans="129:129" x14ac:dyDescent="0.2">
      <c r="DY37496" s="185" t="s">
        <v>215</v>
      </c>
    </row>
    <row r="37497" spans="129:129" x14ac:dyDescent="0.2">
      <c r="DY37497" s="185" t="s">
        <v>215</v>
      </c>
    </row>
    <row r="37498" spans="129:129" x14ac:dyDescent="0.2">
      <c r="DY37498" s="185" t="s">
        <v>215</v>
      </c>
    </row>
    <row r="37499" spans="129:129" x14ac:dyDescent="0.2">
      <c r="DY37499" s="185" t="s">
        <v>215</v>
      </c>
    </row>
    <row r="37500" spans="129:129" x14ac:dyDescent="0.2">
      <c r="DY37500" s="185" t="s">
        <v>215</v>
      </c>
    </row>
    <row r="37501" spans="129:129" x14ac:dyDescent="0.2">
      <c r="DY37501" s="185" t="s">
        <v>215</v>
      </c>
    </row>
    <row r="37502" spans="129:129" x14ac:dyDescent="0.2">
      <c r="DY37502" s="185" t="s">
        <v>215</v>
      </c>
    </row>
    <row r="37503" spans="129:129" x14ac:dyDescent="0.2">
      <c r="DY37503" s="185" t="s">
        <v>215</v>
      </c>
    </row>
    <row r="37504" spans="129:129" x14ac:dyDescent="0.2">
      <c r="DY37504" s="185" t="s">
        <v>215</v>
      </c>
    </row>
    <row r="37505" spans="129:129" x14ac:dyDescent="0.2">
      <c r="DY37505" s="185" t="s">
        <v>215</v>
      </c>
    </row>
    <row r="37506" spans="129:129" x14ac:dyDescent="0.2">
      <c r="DY37506" s="185" t="s">
        <v>215</v>
      </c>
    </row>
    <row r="37507" spans="129:129" x14ac:dyDescent="0.2">
      <c r="DY37507" s="185" t="s">
        <v>215</v>
      </c>
    </row>
    <row r="37508" spans="129:129" x14ac:dyDescent="0.2">
      <c r="DY37508" s="185" t="s">
        <v>215</v>
      </c>
    </row>
    <row r="37509" spans="129:129" x14ac:dyDescent="0.2">
      <c r="DY37509" s="185" t="s">
        <v>215</v>
      </c>
    </row>
    <row r="37510" spans="129:129" x14ac:dyDescent="0.2">
      <c r="DY37510" s="185" t="s">
        <v>215</v>
      </c>
    </row>
    <row r="37511" spans="129:129" x14ac:dyDescent="0.2">
      <c r="DY37511" s="185" t="s">
        <v>215</v>
      </c>
    </row>
    <row r="37512" spans="129:129" x14ac:dyDescent="0.2">
      <c r="DY37512" s="185" t="s">
        <v>215</v>
      </c>
    </row>
    <row r="37513" spans="129:129" x14ac:dyDescent="0.2">
      <c r="DY37513" s="185" t="s">
        <v>215</v>
      </c>
    </row>
    <row r="37514" spans="129:129" x14ac:dyDescent="0.2">
      <c r="DY37514" s="185" t="s">
        <v>215</v>
      </c>
    </row>
    <row r="37515" spans="129:129" x14ac:dyDescent="0.2">
      <c r="DY37515" s="185" t="s">
        <v>215</v>
      </c>
    </row>
    <row r="37516" spans="129:129" x14ac:dyDescent="0.2">
      <c r="DY37516" s="185" t="s">
        <v>215</v>
      </c>
    </row>
    <row r="37517" spans="129:129" x14ac:dyDescent="0.2">
      <c r="DY37517" s="185" t="s">
        <v>215</v>
      </c>
    </row>
    <row r="37518" spans="129:129" x14ac:dyDescent="0.2">
      <c r="DY37518" s="185" t="s">
        <v>215</v>
      </c>
    </row>
    <row r="37519" spans="129:129" x14ac:dyDescent="0.2">
      <c r="DY37519" s="185" t="s">
        <v>215</v>
      </c>
    </row>
    <row r="37520" spans="129:129" x14ac:dyDescent="0.2">
      <c r="DY37520" s="185" t="s">
        <v>215</v>
      </c>
    </row>
    <row r="37521" spans="129:129" x14ac:dyDescent="0.2">
      <c r="DY37521" s="185" t="s">
        <v>215</v>
      </c>
    </row>
    <row r="37522" spans="129:129" x14ac:dyDescent="0.2">
      <c r="DY37522" s="185" t="s">
        <v>215</v>
      </c>
    </row>
    <row r="37523" spans="129:129" x14ac:dyDescent="0.2">
      <c r="DY37523" s="185" t="s">
        <v>215</v>
      </c>
    </row>
    <row r="37524" spans="129:129" x14ac:dyDescent="0.2">
      <c r="DY37524" s="185" t="s">
        <v>215</v>
      </c>
    </row>
    <row r="37525" spans="129:129" x14ac:dyDescent="0.2">
      <c r="DY37525" s="185" t="s">
        <v>215</v>
      </c>
    </row>
    <row r="37526" spans="129:129" x14ac:dyDescent="0.2">
      <c r="DY37526" s="185" t="s">
        <v>215</v>
      </c>
    </row>
    <row r="37527" spans="129:129" x14ac:dyDescent="0.2">
      <c r="DY37527" s="185" t="s">
        <v>215</v>
      </c>
    </row>
    <row r="37528" spans="129:129" x14ac:dyDescent="0.2">
      <c r="DY37528" s="185" t="s">
        <v>215</v>
      </c>
    </row>
    <row r="37529" spans="129:129" x14ac:dyDescent="0.2">
      <c r="DY37529" s="185" t="s">
        <v>215</v>
      </c>
    </row>
    <row r="37530" spans="129:129" x14ac:dyDescent="0.2">
      <c r="DY37530" s="185" t="s">
        <v>215</v>
      </c>
    </row>
    <row r="37531" spans="129:129" x14ac:dyDescent="0.2">
      <c r="DY37531" s="185" t="s">
        <v>215</v>
      </c>
    </row>
    <row r="37532" spans="129:129" x14ac:dyDescent="0.2">
      <c r="DY37532" s="185" t="s">
        <v>215</v>
      </c>
    </row>
    <row r="37533" spans="129:129" x14ac:dyDescent="0.2">
      <c r="DY37533" s="185" t="s">
        <v>215</v>
      </c>
    </row>
    <row r="37534" spans="129:129" x14ac:dyDescent="0.2">
      <c r="DY37534" s="185" t="s">
        <v>215</v>
      </c>
    </row>
    <row r="37535" spans="129:129" x14ac:dyDescent="0.2">
      <c r="DY37535" s="185" t="s">
        <v>215</v>
      </c>
    </row>
    <row r="37536" spans="129:129" x14ac:dyDescent="0.2">
      <c r="DY37536" s="185" t="s">
        <v>215</v>
      </c>
    </row>
    <row r="37537" spans="129:129" x14ac:dyDescent="0.2">
      <c r="DY37537" s="185" t="s">
        <v>215</v>
      </c>
    </row>
    <row r="37538" spans="129:129" x14ac:dyDescent="0.2">
      <c r="DY37538" s="185" t="s">
        <v>215</v>
      </c>
    </row>
    <row r="37539" spans="129:129" x14ac:dyDescent="0.2">
      <c r="DY37539" s="185" t="s">
        <v>215</v>
      </c>
    </row>
    <row r="37540" spans="129:129" x14ac:dyDescent="0.2">
      <c r="DY37540" s="185" t="s">
        <v>215</v>
      </c>
    </row>
    <row r="37541" spans="129:129" x14ac:dyDescent="0.2">
      <c r="DY37541" s="185" t="s">
        <v>215</v>
      </c>
    </row>
    <row r="37542" spans="129:129" x14ac:dyDescent="0.2">
      <c r="DY37542" s="185" t="s">
        <v>215</v>
      </c>
    </row>
    <row r="37543" spans="129:129" x14ac:dyDescent="0.2">
      <c r="DY37543" s="185" t="s">
        <v>215</v>
      </c>
    </row>
    <row r="37544" spans="129:129" x14ac:dyDescent="0.2">
      <c r="DY37544" s="185" t="s">
        <v>215</v>
      </c>
    </row>
    <row r="37545" spans="129:129" x14ac:dyDescent="0.2">
      <c r="DY37545" s="185" t="s">
        <v>215</v>
      </c>
    </row>
    <row r="37546" spans="129:129" x14ac:dyDescent="0.2">
      <c r="DY37546" s="185" t="s">
        <v>215</v>
      </c>
    </row>
    <row r="37547" spans="129:129" x14ac:dyDescent="0.2">
      <c r="DY37547" s="185" t="s">
        <v>215</v>
      </c>
    </row>
    <row r="37548" spans="129:129" x14ac:dyDescent="0.2">
      <c r="DY37548" s="185" t="s">
        <v>215</v>
      </c>
    </row>
    <row r="37549" spans="129:129" x14ac:dyDescent="0.2">
      <c r="DY37549" s="185" t="s">
        <v>215</v>
      </c>
    </row>
    <row r="37550" spans="129:129" x14ac:dyDescent="0.2">
      <c r="DY37550" s="185" t="s">
        <v>215</v>
      </c>
    </row>
    <row r="37551" spans="129:129" x14ac:dyDescent="0.2">
      <c r="DY37551" s="185" t="s">
        <v>215</v>
      </c>
    </row>
    <row r="37552" spans="129:129" x14ac:dyDescent="0.2">
      <c r="DY37552" s="185" t="s">
        <v>215</v>
      </c>
    </row>
    <row r="37553" spans="129:129" x14ac:dyDescent="0.2">
      <c r="DY37553" s="185" t="s">
        <v>215</v>
      </c>
    </row>
    <row r="37554" spans="129:129" x14ac:dyDescent="0.2">
      <c r="DY37554" s="185" t="s">
        <v>215</v>
      </c>
    </row>
    <row r="37555" spans="129:129" x14ac:dyDescent="0.2">
      <c r="DY37555" s="185" t="s">
        <v>215</v>
      </c>
    </row>
    <row r="37556" spans="129:129" x14ac:dyDescent="0.2">
      <c r="DY37556" s="185" t="s">
        <v>215</v>
      </c>
    </row>
    <row r="37557" spans="129:129" x14ac:dyDescent="0.2">
      <c r="DY37557" s="185" t="s">
        <v>215</v>
      </c>
    </row>
    <row r="37558" spans="129:129" x14ac:dyDescent="0.2">
      <c r="DY37558" s="185" t="s">
        <v>215</v>
      </c>
    </row>
    <row r="37559" spans="129:129" x14ac:dyDescent="0.2">
      <c r="DY37559" s="185" t="s">
        <v>215</v>
      </c>
    </row>
    <row r="37560" spans="129:129" x14ac:dyDescent="0.2">
      <c r="DY37560" s="185" t="s">
        <v>215</v>
      </c>
    </row>
    <row r="37561" spans="129:129" x14ac:dyDescent="0.2">
      <c r="DY37561" s="185" t="s">
        <v>215</v>
      </c>
    </row>
    <row r="37562" spans="129:129" x14ac:dyDescent="0.2">
      <c r="DY37562" s="185" t="s">
        <v>215</v>
      </c>
    </row>
    <row r="37563" spans="129:129" x14ac:dyDescent="0.2">
      <c r="DY37563" s="185" t="s">
        <v>215</v>
      </c>
    </row>
    <row r="37564" spans="129:129" x14ac:dyDescent="0.2">
      <c r="DY37564" s="185" t="s">
        <v>215</v>
      </c>
    </row>
    <row r="37565" spans="129:129" x14ac:dyDescent="0.2">
      <c r="DY37565" s="185" t="s">
        <v>215</v>
      </c>
    </row>
    <row r="37566" spans="129:129" x14ac:dyDescent="0.2">
      <c r="DY37566" s="185" t="s">
        <v>215</v>
      </c>
    </row>
    <row r="37567" spans="129:129" x14ac:dyDescent="0.2">
      <c r="DY37567" s="185" t="s">
        <v>215</v>
      </c>
    </row>
    <row r="37568" spans="129:129" x14ac:dyDescent="0.2">
      <c r="DY37568" s="185" t="s">
        <v>215</v>
      </c>
    </row>
    <row r="37569" spans="129:129" x14ac:dyDescent="0.2">
      <c r="DY37569" s="185" t="s">
        <v>215</v>
      </c>
    </row>
    <row r="37570" spans="129:129" x14ac:dyDescent="0.2">
      <c r="DY37570" s="185" t="s">
        <v>215</v>
      </c>
    </row>
    <row r="37571" spans="129:129" x14ac:dyDescent="0.2">
      <c r="DY37571" s="185" t="s">
        <v>215</v>
      </c>
    </row>
    <row r="37572" spans="129:129" x14ac:dyDescent="0.2">
      <c r="DY37572" s="185" t="s">
        <v>215</v>
      </c>
    </row>
    <row r="37573" spans="129:129" x14ac:dyDescent="0.2">
      <c r="DY37573" s="185" t="s">
        <v>215</v>
      </c>
    </row>
    <row r="37574" spans="129:129" x14ac:dyDescent="0.2">
      <c r="DY37574" s="185" t="s">
        <v>215</v>
      </c>
    </row>
    <row r="37575" spans="129:129" x14ac:dyDescent="0.2">
      <c r="DY37575" s="185" t="s">
        <v>215</v>
      </c>
    </row>
    <row r="37576" spans="129:129" x14ac:dyDescent="0.2">
      <c r="DY37576" s="185" t="s">
        <v>215</v>
      </c>
    </row>
    <row r="37577" spans="129:129" x14ac:dyDescent="0.2">
      <c r="DY37577" s="185" t="s">
        <v>215</v>
      </c>
    </row>
    <row r="37578" spans="129:129" x14ac:dyDescent="0.2">
      <c r="DY37578" s="185" t="s">
        <v>215</v>
      </c>
    </row>
    <row r="37579" spans="129:129" x14ac:dyDescent="0.2">
      <c r="DY37579" s="185" t="s">
        <v>215</v>
      </c>
    </row>
    <row r="37580" spans="129:129" x14ac:dyDescent="0.2">
      <c r="DY37580" s="185" t="s">
        <v>215</v>
      </c>
    </row>
    <row r="37581" spans="129:129" x14ac:dyDescent="0.2">
      <c r="DY37581" s="185" t="s">
        <v>215</v>
      </c>
    </row>
    <row r="37582" spans="129:129" x14ac:dyDescent="0.2">
      <c r="DY37582" s="185" t="s">
        <v>215</v>
      </c>
    </row>
    <row r="37583" spans="129:129" x14ac:dyDescent="0.2">
      <c r="DY37583" s="185" t="s">
        <v>215</v>
      </c>
    </row>
    <row r="37584" spans="129:129" x14ac:dyDescent="0.2">
      <c r="DY37584" s="185" t="s">
        <v>215</v>
      </c>
    </row>
    <row r="37585" spans="129:129" x14ac:dyDescent="0.2">
      <c r="DY37585" s="185" t="s">
        <v>215</v>
      </c>
    </row>
    <row r="37586" spans="129:129" x14ac:dyDescent="0.2">
      <c r="DY37586" s="185" t="s">
        <v>215</v>
      </c>
    </row>
    <row r="37587" spans="129:129" x14ac:dyDescent="0.2">
      <c r="DY37587" s="185" t="s">
        <v>215</v>
      </c>
    </row>
    <row r="37588" spans="129:129" x14ac:dyDescent="0.2">
      <c r="DY37588" s="185" t="s">
        <v>215</v>
      </c>
    </row>
    <row r="37589" spans="129:129" x14ac:dyDescent="0.2">
      <c r="DY37589" s="185" t="s">
        <v>215</v>
      </c>
    </row>
    <row r="37590" spans="129:129" x14ac:dyDescent="0.2">
      <c r="DY37590" s="185" t="s">
        <v>215</v>
      </c>
    </row>
    <row r="37591" spans="129:129" x14ac:dyDescent="0.2">
      <c r="DY37591" s="185" t="s">
        <v>215</v>
      </c>
    </row>
    <row r="37592" spans="129:129" x14ac:dyDescent="0.2">
      <c r="DY37592" s="185" t="s">
        <v>215</v>
      </c>
    </row>
    <row r="37593" spans="129:129" x14ac:dyDescent="0.2">
      <c r="DY37593" s="185" t="s">
        <v>215</v>
      </c>
    </row>
    <row r="37594" spans="129:129" x14ac:dyDescent="0.2">
      <c r="DY37594" s="185" t="s">
        <v>215</v>
      </c>
    </row>
    <row r="37595" spans="129:129" x14ac:dyDescent="0.2">
      <c r="DY37595" s="185" t="s">
        <v>215</v>
      </c>
    </row>
    <row r="37596" spans="129:129" x14ac:dyDescent="0.2">
      <c r="DY37596" s="185" t="s">
        <v>215</v>
      </c>
    </row>
    <row r="37597" spans="129:129" x14ac:dyDescent="0.2">
      <c r="DY37597" s="185" t="s">
        <v>215</v>
      </c>
    </row>
    <row r="37598" spans="129:129" x14ac:dyDescent="0.2">
      <c r="DY37598" s="185" t="s">
        <v>215</v>
      </c>
    </row>
    <row r="37599" spans="129:129" x14ac:dyDescent="0.2">
      <c r="DY37599" s="185" t="s">
        <v>215</v>
      </c>
    </row>
    <row r="37600" spans="129:129" x14ac:dyDescent="0.2">
      <c r="DY37600" s="185" t="s">
        <v>215</v>
      </c>
    </row>
    <row r="37601" spans="129:129" x14ac:dyDescent="0.2">
      <c r="DY37601" s="185" t="s">
        <v>215</v>
      </c>
    </row>
    <row r="37602" spans="129:129" x14ac:dyDescent="0.2">
      <c r="DY37602" s="185" t="s">
        <v>215</v>
      </c>
    </row>
    <row r="37603" spans="129:129" x14ac:dyDescent="0.2">
      <c r="DY37603" s="185" t="s">
        <v>215</v>
      </c>
    </row>
    <row r="37604" spans="129:129" x14ac:dyDescent="0.2">
      <c r="DY37604" s="185" t="s">
        <v>215</v>
      </c>
    </row>
    <row r="37605" spans="129:129" x14ac:dyDescent="0.2">
      <c r="DY37605" s="185" t="s">
        <v>215</v>
      </c>
    </row>
    <row r="37606" spans="129:129" x14ac:dyDescent="0.2">
      <c r="DY37606" s="185" t="s">
        <v>215</v>
      </c>
    </row>
    <row r="37607" spans="129:129" x14ac:dyDescent="0.2">
      <c r="DY37607" s="185" t="s">
        <v>215</v>
      </c>
    </row>
    <row r="37608" spans="129:129" x14ac:dyDescent="0.2">
      <c r="DY37608" s="185" t="s">
        <v>215</v>
      </c>
    </row>
    <row r="37609" spans="129:129" x14ac:dyDescent="0.2">
      <c r="DY37609" s="185" t="s">
        <v>215</v>
      </c>
    </row>
    <row r="37610" spans="129:129" x14ac:dyDescent="0.2">
      <c r="DY37610" s="185" t="s">
        <v>215</v>
      </c>
    </row>
    <row r="37611" spans="129:129" x14ac:dyDescent="0.2">
      <c r="DY37611" s="185" t="s">
        <v>215</v>
      </c>
    </row>
    <row r="37612" spans="129:129" x14ac:dyDescent="0.2">
      <c r="DY37612" s="185" t="s">
        <v>215</v>
      </c>
    </row>
    <row r="37613" spans="129:129" x14ac:dyDescent="0.2">
      <c r="DY37613" s="185" t="s">
        <v>215</v>
      </c>
    </row>
    <row r="37614" spans="129:129" x14ac:dyDescent="0.2">
      <c r="DY37614" s="185" t="s">
        <v>215</v>
      </c>
    </row>
    <row r="37615" spans="129:129" x14ac:dyDescent="0.2">
      <c r="DY37615" s="185" t="s">
        <v>215</v>
      </c>
    </row>
    <row r="37616" spans="129:129" x14ac:dyDescent="0.2">
      <c r="DY37616" s="185" t="s">
        <v>215</v>
      </c>
    </row>
    <row r="37617" spans="129:129" x14ac:dyDescent="0.2">
      <c r="DY37617" s="185" t="s">
        <v>215</v>
      </c>
    </row>
    <row r="37618" spans="129:129" x14ac:dyDescent="0.2">
      <c r="DY37618" s="185" t="s">
        <v>215</v>
      </c>
    </row>
    <row r="37619" spans="129:129" x14ac:dyDescent="0.2">
      <c r="DY37619" s="185" t="s">
        <v>215</v>
      </c>
    </row>
    <row r="37620" spans="129:129" x14ac:dyDescent="0.2">
      <c r="DY37620" s="185" t="s">
        <v>215</v>
      </c>
    </row>
    <row r="37621" spans="129:129" x14ac:dyDescent="0.2">
      <c r="DY37621" s="185" t="s">
        <v>215</v>
      </c>
    </row>
    <row r="37622" spans="129:129" x14ac:dyDescent="0.2">
      <c r="DY37622" s="185" t="s">
        <v>215</v>
      </c>
    </row>
    <row r="37623" spans="129:129" x14ac:dyDescent="0.2">
      <c r="DY37623" s="185" t="s">
        <v>215</v>
      </c>
    </row>
    <row r="37624" spans="129:129" x14ac:dyDescent="0.2">
      <c r="DY37624" s="185" t="s">
        <v>215</v>
      </c>
    </row>
    <row r="37625" spans="129:129" x14ac:dyDescent="0.2">
      <c r="DY37625" s="185" t="s">
        <v>215</v>
      </c>
    </row>
    <row r="37626" spans="129:129" x14ac:dyDescent="0.2">
      <c r="DY37626" s="185" t="s">
        <v>215</v>
      </c>
    </row>
    <row r="37627" spans="129:129" x14ac:dyDescent="0.2">
      <c r="DY37627" s="185" t="s">
        <v>215</v>
      </c>
    </row>
    <row r="37628" spans="129:129" x14ac:dyDescent="0.2">
      <c r="DY37628" s="185" t="s">
        <v>215</v>
      </c>
    </row>
    <row r="37629" spans="129:129" x14ac:dyDescent="0.2">
      <c r="DY37629" s="185" t="s">
        <v>215</v>
      </c>
    </row>
    <row r="37630" spans="129:129" x14ac:dyDescent="0.2">
      <c r="DY37630" s="185" t="s">
        <v>215</v>
      </c>
    </row>
    <row r="37631" spans="129:129" x14ac:dyDescent="0.2">
      <c r="DY37631" s="185" t="s">
        <v>215</v>
      </c>
    </row>
    <row r="37632" spans="129:129" x14ac:dyDescent="0.2">
      <c r="DY37632" s="185" t="s">
        <v>215</v>
      </c>
    </row>
    <row r="37633" spans="129:129" x14ac:dyDescent="0.2">
      <c r="DY37633" s="185" t="s">
        <v>215</v>
      </c>
    </row>
    <row r="37634" spans="129:129" x14ac:dyDescent="0.2">
      <c r="DY37634" s="185" t="s">
        <v>215</v>
      </c>
    </row>
    <row r="37635" spans="129:129" x14ac:dyDescent="0.2">
      <c r="DY37635" s="185" t="s">
        <v>215</v>
      </c>
    </row>
    <row r="37636" spans="129:129" x14ac:dyDescent="0.2">
      <c r="DY37636" s="185" t="s">
        <v>215</v>
      </c>
    </row>
    <row r="37637" spans="129:129" x14ac:dyDescent="0.2">
      <c r="DY37637" s="185" t="s">
        <v>215</v>
      </c>
    </row>
    <row r="37638" spans="129:129" x14ac:dyDescent="0.2">
      <c r="DY37638" s="185" t="s">
        <v>215</v>
      </c>
    </row>
    <row r="37639" spans="129:129" x14ac:dyDescent="0.2">
      <c r="DY37639" s="185" t="s">
        <v>215</v>
      </c>
    </row>
    <row r="37640" spans="129:129" x14ac:dyDescent="0.2">
      <c r="DY37640" s="185" t="s">
        <v>215</v>
      </c>
    </row>
    <row r="37641" spans="129:129" x14ac:dyDescent="0.2">
      <c r="DY37641" s="185" t="s">
        <v>215</v>
      </c>
    </row>
    <row r="37642" spans="129:129" x14ac:dyDescent="0.2">
      <c r="DY37642" s="185" t="s">
        <v>215</v>
      </c>
    </row>
    <row r="37643" spans="129:129" x14ac:dyDescent="0.2">
      <c r="DY37643" s="185" t="s">
        <v>215</v>
      </c>
    </row>
    <row r="37644" spans="129:129" x14ac:dyDescent="0.2">
      <c r="DY37644" s="185" t="s">
        <v>215</v>
      </c>
    </row>
    <row r="37645" spans="129:129" x14ac:dyDescent="0.2">
      <c r="DY37645" s="185" t="s">
        <v>215</v>
      </c>
    </row>
    <row r="37646" spans="129:129" x14ac:dyDescent="0.2">
      <c r="DY37646" s="185" t="s">
        <v>215</v>
      </c>
    </row>
    <row r="37647" spans="129:129" x14ac:dyDescent="0.2">
      <c r="DY37647" s="185" t="s">
        <v>215</v>
      </c>
    </row>
    <row r="37648" spans="129:129" x14ac:dyDescent="0.2">
      <c r="DY37648" s="185" t="s">
        <v>215</v>
      </c>
    </row>
    <row r="37649" spans="129:129" x14ac:dyDescent="0.2">
      <c r="DY37649" s="185" t="s">
        <v>215</v>
      </c>
    </row>
    <row r="37650" spans="129:129" x14ac:dyDescent="0.2">
      <c r="DY37650" s="185" t="s">
        <v>215</v>
      </c>
    </row>
    <row r="37651" spans="129:129" x14ac:dyDescent="0.2">
      <c r="DY37651" s="185" t="s">
        <v>215</v>
      </c>
    </row>
    <row r="37652" spans="129:129" x14ac:dyDescent="0.2">
      <c r="DY37652" s="185" t="s">
        <v>215</v>
      </c>
    </row>
    <row r="37653" spans="129:129" x14ac:dyDescent="0.2">
      <c r="DY37653" s="185" t="s">
        <v>215</v>
      </c>
    </row>
    <row r="37654" spans="129:129" x14ac:dyDescent="0.2">
      <c r="DY37654" s="185" t="s">
        <v>215</v>
      </c>
    </row>
    <row r="37655" spans="129:129" x14ac:dyDescent="0.2">
      <c r="DY37655" s="185" t="s">
        <v>215</v>
      </c>
    </row>
    <row r="37656" spans="129:129" x14ac:dyDescent="0.2">
      <c r="DY37656" s="185" t="s">
        <v>215</v>
      </c>
    </row>
    <row r="37657" spans="129:129" x14ac:dyDescent="0.2">
      <c r="DY37657" s="185" t="s">
        <v>215</v>
      </c>
    </row>
    <row r="37658" spans="129:129" x14ac:dyDescent="0.2">
      <c r="DY37658" s="185" t="s">
        <v>215</v>
      </c>
    </row>
    <row r="37659" spans="129:129" x14ac:dyDescent="0.2">
      <c r="DY37659" s="185" t="s">
        <v>215</v>
      </c>
    </row>
    <row r="37660" spans="129:129" x14ac:dyDescent="0.2">
      <c r="DY37660" s="185" t="s">
        <v>215</v>
      </c>
    </row>
    <row r="37661" spans="129:129" x14ac:dyDescent="0.2">
      <c r="DY37661" s="185" t="s">
        <v>215</v>
      </c>
    </row>
    <row r="37662" spans="129:129" x14ac:dyDescent="0.2">
      <c r="DY37662" s="185" t="s">
        <v>215</v>
      </c>
    </row>
    <row r="37663" spans="129:129" x14ac:dyDescent="0.2">
      <c r="DY37663" s="185" t="s">
        <v>215</v>
      </c>
    </row>
    <row r="37664" spans="129:129" x14ac:dyDescent="0.2">
      <c r="DY37664" s="185" t="s">
        <v>215</v>
      </c>
    </row>
    <row r="37665" spans="129:129" x14ac:dyDescent="0.2">
      <c r="DY37665" s="185" t="s">
        <v>215</v>
      </c>
    </row>
    <row r="37666" spans="129:129" x14ac:dyDescent="0.2">
      <c r="DY37666" s="185" t="s">
        <v>215</v>
      </c>
    </row>
    <row r="37667" spans="129:129" x14ac:dyDescent="0.2">
      <c r="DY37667" s="185" t="s">
        <v>215</v>
      </c>
    </row>
    <row r="37668" spans="129:129" x14ac:dyDescent="0.2">
      <c r="DY37668" s="185" t="s">
        <v>215</v>
      </c>
    </row>
    <row r="37669" spans="129:129" x14ac:dyDescent="0.2">
      <c r="DY37669" s="185" t="s">
        <v>215</v>
      </c>
    </row>
    <row r="37670" spans="129:129" x14ac:dyDescent="0.2">
      <c r="DY37670" s="185" t="s">
        <v>215</v>
      </c>
    </row>
    <row r="37671" spans="129:129" x14ac:dyDescent="0.2">
      <c r="DY37671" s="185" t="s">
        <v>215</v>
      </c>
    </row>
    <row r="37672" spans="129:129" x14ac:dyDescent="0.2">
      <c r="DY37672" s="185" t="s">
        <v>215</v>
      </c>
    </row>
    <row r="37673" spans="129:129" x14ac:dyDescent="0.2">
      <c r="DY37673" s="185" t="s">
        <v>215</v>
      </c>
    </row>
    <row r="37674" spans="129:129" x14ac:dyDescent="0.2">
      <c r="DY37674" s="185" t="s">
        <v>215</v>
      </c>
    </row>
    <row r="37675" spans="129:129" x14ac:dyDescent="0.2">
      <c r="DY37675" s="185" t="s">
        <v>215</v>
      </c>
    </row>
    <row r="37676" spans="129:129" x14ac:dyDescent="0.2">
      <c r="DY37676" s="185" t="s">
        <v>215</v>
      </c>
    </row>
    <row r="37677" spans="129:129" x14ac:dyDescent="0.2">
      <c r="DY37677" s="185" t="s">
        <v>215</v>
      </c>
    </row>
    <row r="37678" spans="129:129" x14ac:dyDescent="0.2">
      <c r="DY37678" s="185" t="s">
        <v>215</v>
      </c>
    </row>
    <row r="37679" spans="129:129" x14ac:dyDescent="0.2">
      <c r="DY37679" s="185" t="s">
        <v>215</v>
      </c>
    </row>
    <row r="37680" spans="129:129" x14ac:dyDescent="0.2">
      <c r="DY37680" s="185" t="s">
        <v>215</v>
      </c>
    </row>
    <row r="37681" spans="129:129" x14ac:dyDescent="0.2">
      <c r="DY37681" s="185" t="s">
        <v>215</v>
      </c>
    </row>
    <row r="37682" spans="129:129" x14ac:dyDescent="0.2">
      <c r="DY37682" s="185" t="s">
        <v>215</v>
      </c>
    </row>
    <row r="37683" spans="129:129" x14ac:dyDescent="0.2">
      <c r="DY37683" s="185" t="s">
        <v>215</v>
      </c>
    </row>
    <row r="37684" spans="129:129" x14ac:dyDescent="0.2">
      <c r="DY37684" s="185" t="s">
        <v>215</v>
      </c>
    </row>
    <row r="37685" spans="129:129" x14ac:dyDescent="0.2">
      <c r="DY37685" s="185" t="s">
        <v>215</v>
      </c>
    </row>
    <row r="37686" spans="129:129" x14ac:dyDescent="0.2">
      <c r="DY37686" s="185" t="s">
        <v>215</v>
      </c>
    </row>
    <row r="37687" spans="129:129" x14ac:dyDescent="0.2">
      <c r="DY37687" s="185" t="s">
        <v>215</v>
      </c>
    </row>
    <row r="37688" spans="129:129" x14ac:dyDescent="0.2">
      <c r="DY37688" s="185" t="s">
        <v>215</v>
      </c>
    </row>
    <row r="37689" spans="129:129" x14ac:dyDescent="0.2">
      <c r="DY37689" s="185" t="s">
        <v>215</v>
      </c>
    </row>
    <row r="37690" spans="129:129" x14ac:dyDescent="0.2">
      <c r="DY37690" s="185" t="s">
        <v>215</v>
      </c>
    </row>
    <row r="37691" spans="129:129" x14ac:dyDescent="0.2">
      <c r="DY37691" s="185" t="s">
        <v>215</v>
      </c>
    </row>
    <row r="37692" spans="129:129" x14ac:dyDescent="0.2">
      <c r="DY37692" s="185" t="s">
        <v>215</v>
      </c>
    </row>
    <row r="37693" spans="129:129" x14ac:dyDescent="0.2">
      <c r="DY37693" s="185" t="s">
        <v>215</v>
      </c>
    </row>
    <row r="37694" spans="129:129" x14ac:dyDescent="0.2">
      <c r="DY37694" s="185" t="s">
        <v>215</v>
      </c>
    </row>
    <row r="37695" spans="129:129" x14ac:dyDescent="0.2">
      <c r="DY37695" s="185" t="s">
        <v>215</v>
      </c>
    </row>
    <row r="37696" spans="129:129" x14ac:dyDescent="0.2">
      <c r="DY37696" s="185" t="s">
        <v>215</v>
      </c>
    </row>
    <row r="37697" spans="129:129" x14ac:dyDescent="0.2">
      <c r="DY37697" s="185" t="s">
        <v>215</v>
      </c>
    </row>
    <row r="37698" spans="129:129" x14ac:dyDescent="0.2">
      <c r="DY37698" s="185" t="s">
        <v>215</v>
      </c>
    </row>
    <row r="37699" spans="129:129" x14ac:dyDescent="0.2">
      <c r="DY37699" s="185" t="s">
        <v>215</v>
      </c>
    </row>
    <row r="37700" spans="129:129" x14ac:dyDescent="0.2">
      <c r="DY37700" s="185" t="s">
        <v>215</v>
      </c>
    </row>
    <row r="37701" spans="129:129" x14ac:dyDescent="0.2">
      <c r="DY37701" s="185" t="s">
        <v>215</v>
      </c>
    </row>
    <row r="37702" spans="129:129" x14ac:dyDescent="0.2">
      <c r="DY37702" s="185" t="s">
        <v>215</v>
      </c>
    </row>
    <row r="37703" spans="129:129" x14ac:dyDescent="0.2">
      <c r="DY37703" s="185" t="s">
        <v>215</v>
      </c>
    </row>
    <row r="37704" spans="129:129" x14ac:dyDescent="0.2">
      <c r="DY37704" s="185" t="s">
        <v>215</v>
      </c>
    </row>
    <row r="37705" spans="129:129" x14ac:dyDescent="0.2">
      <c r="DY37705" s="185" t="s">
        <v>215</v>
      </c>
    </row>
    <row r="37706" spans="129:129" x14ac:dyDescent="0.2">
      <c r="DY37706" s="185" t="s">
        <v>215</v>
      </c>
    </row>
    <row r="37707" spans="129:129" x14ac:dyDescent="0.2">
      <c r="DY37707" s="185" t="s">
        <v>215</v>
      </c>
    </row>
    <row r="37708" spans="129:129" x14ac:dyDescent="0.2">
      <c r="DY37708" s="185" t="s">
        <v>215</v>
      </c>
    </row>
    <row r="37709" spans="129:129" x14ac:dyDescent="0.2">
      <c r="DY37709" s="185" t="s">
        <v>215</v>
      </c>
    </row>
    <row r="37710" spans="129:129" x14ac:dyDescent="0.2">
      <c r="DY37710" s="185" t="s">
        <v>215</v>
      </c>
    </row>
    <row r="37711" spans="129:129" x14ac:dyDescent="0.2">
      <c r="DY37711" s="185" t="s">
        <v>215</v>
      </c>
    </row>
    <row r="37712" spans="129:129" x14ac:dyDescent="0.2">
      <c r="DY37712" s="185" t="s">
        <v>215</v>
      </c>
    </row>
    <row r="37713" spans="129:129" x14ac:dyDescent="0.2">
      <c r="DY37713" s="185" t="s">
        <v>215</v>
      </c>
    </row>
    <row r="37714" spans="129:129" x14ac:dyDescent="0.2">
      <c r="DY37714" s="185" t="s">
        <v>215</v>
      </c>
    </row>
    <row r="37715" spans="129:129" x14ac:dyDescent="0.2">
      <c r="DY37715" s="185" t="s">
        <v>215</v>
      </c>
    </row>
    <row r="37716" spans="129:129" x14ac:dyDescent="0.2">
      <c r="DY37716" s="185" t="s">
        <v>215</v>
      </c>
    </row>
    <row r="37717" spans="129:129" x14ac:dyDescent="0.2">
      <c r="DY37717" s="185" t="s">
        <v>215</v>
      </c>
    </row>
    <row r="37718" spans="129:129" x14ac:dyDescent="0.2">
      <c r="DY37718" s="185" t="s">
        <v>215</v>
      </c>
    </row>
    <row r="37719" spans="129:129" x14ac:dyDescent="0.2">
      <c r="DY37719" s="185" t="s">
        <v>215</v>
      </c>
    </row>
    <row r="37720" spans="129:129" x14ac:dyDescent="0.2">
      <c r="DY37720" s="185" t="s">
        <v>215</v>
      </c>
    </row>
    <row r="37721" spans="129:129" x14ac:dyDescent="0.2">
      <c r="DY37721" s="185" t="s">
        <v>215</v>
      </c>
    </row>
    <row r="37722" spans="129:129" x14ac:dyDescent="0.2">
      <c r="DY37722" s="185" t="s">
        <v>215</v>
      </c>
    </row>
    <row r="37723" spans="129:129" x14ac:dyDescent="0.2">
      <c r="DY37723" s="185" t="s">
        <v>215</v>
      </c>
    </row>
    <row r="37724" spans="129:129" x14ac:dyDescent="0.2">
      <c r="DY37724" s="185" t="s">
        <v>215</v>
      </c>
    </row>
    <row r="37725" spans="129:129" x14ac:dyDescent="0.2">
      <c r="DY37725" s="185" t="s">
        <v>215</v>
      </c>
    </row>
    <row r="37726" spans="129:129" x14ac:dyDescent="0.2">
      <c r="DY37726" s="185" t="s">
        <v>215</v>
      </c>
    </row>
    <row r="37727" spans="129:129" x14ac:dyDescent="0.2">
      <c r="DY37727" s="185" t="s">
        <v>215</v>
      </c>
    </row>
    <row r="37728" spans="129:129" x14ac:dyDescent="0.2">
      <c r="DY37728" s="185" t="s">
        <v>215</v>
      </c>
    </row>
    <row r="37729" spans="129:129" x14ac:dyDescent="0.2">
      <c r="DY37729" s="185" t="s">
        <v>215</v>
      </c>
    </row>
    <row r="37730" spans="129:129" x14ac:dyDescent="0.2">
      <c r="DY37730" s="185" t="s">
        <v>215</v>
      </c>
    </row>
    <row r="37731" spans="129:129" x14ac:dyDescent="0.2">
      <c r="DY37731" s="185" t="s">
        <v>215</v>
      </c>
    </row>
    <row r="37732" spans="129:129" x14ac:dyDescent="0.2">
      <c r="DY37732" s="185" t="s">
        <v>215</v>
      </c>
    </row>
    <row r="37733" spans="129:129" x14ac:dyDescent="0.2">
      <c r="DY37733" s="185" t="s">
        <v>215</v>
      </c>
    </row>
    <row r="37734" spans="129:129" x14ac:dyDescent="0.2">
      <c r="DY37734" s="185" t="s">
        <v>215</v>
      </c>
    </row>
    <row r="37735" spans="129:129" x14ac:dyDescent="0.2">
      <c r="DY37735" s="185" t="s">
        <v>215</v>
      </c>
    </row>
    <row r="37736" spans="129:129" x14ac:dyDescent="0.2">
      <c r="DY37736" s="185" t="s">
        <v>215</v>
      </c>
    </row>
    <row r="37737" spans="129:129" x14ac:dyDescent="0.2">
      <c r="DY37737" s="185" t="s">
        <v>215</v>
      </c>
    </row>
    <row r="37738" spans="129:129" x14ac:dyDescent="0.2">
      <c r="DY37738" s="185" t="s">
        <v>215</v>
      </c>
    </row>
    <row r="37739" spans="129:129" x14ac:dyDescent="0.2">
      <c r="DY37739" s="185" t="s">
        <v>215</v>
      </c>
    </row>
    <row r="37740" spans="129:129" x14ac:dyDescent="0.2">
      <c r="DY37740" s="185" t="s">
        <v>215</v>
      </c>
    </row>
    <row r="37741" spans="129:129" x14ac:dyDescent="0.2">
      <c r="DY37741" s="185" t="s">
        <v>215</v>
      </c>
    </row>
    <row r="37742" spans="129:129" x14ac:dyDescent="0.2">
      <c r="DY37742" s="185" t="s">
        <v>215</v>
      </c>
    </row>
    <row r="37743" spans="129:129" x14ac:dyDescent="0.2">
      <c r="DY37743" s="185" t="s">
        <v>215</v>
      </c>
    </row>
    <row r="37744" spans="129:129" x14ac:dyDescent="0.2">
      <c r="DY37744" s="185" t="s">
        <v>215</v>
      </c>
    </row>
    <row r="37745" spans="129:129" x14ac:dyDescent="0.2">
      <c r="DY37745" s="185" t="s">
        <v>215</v>
      </c>
    </row>
    <row r="37746" spans="129:129" x14ac:dyDescent="0.2">
      <c r="DY37746" s="185" t="s">
        <v>215</v>
      </c>
    </row>
    <row r="37747" spans="129:129" x14ac:dyDescent="0.2">
      <c r="DY37747" s="185" t="s">
        <v>215</v>
      </c>
    </row>
    <row r="37748" spans="129:129" x14ac:dyDescent="0.2">
      <c r="DY37748" s="185" t="s">
        <v>215</v>
      </c>
    </row>
    <row r="37749" spans="129:129" x14ac:dyDescent="0.2">
      <c r="DY37749" s="185" t="s">
        <v>215</v>
      </c>
    </row>
    <row r="37750" spans="129:129" x14ac:dyDescent="0.2">
      <c r="DY37750" s="185" t="s">
        <v>215</v>
      </c>
    </row>
    <row r="37751" spans="129:129" x14ac:dyDescent="0.2">
      <c r="DY37751" s="185" t="s">
        <v>215</v>
      </c>
    </row>
    <row r="37752" spans="129:129" x14ac:dyDescent="0.2">
      <c r="DY37752" s="185" t="s">
        <v>215</v>
      </c>
    </row>
    <row r="37753" spans="129:129" x14ac:dyDescent="0.2">
      <c r="DY37753" s="185" t="s">
        <v>215</v>
      </c>
    </row>
    <row r="37754" spans="129:129" x14ac:dyDescent="0.2">
      <c r="DY37754" s="185" t="s">
        <v>215</v>
      </c>
    </row>
    <row r="37755" spans="129:129" x14ac:dyDescent="0.2">
      <c r="DY37755" s="185" t="s">
        <v>215</v>
      </c>
    </row>
    <row r="37756" spans="129:129" x14ac:dyDescent="0.2">
      <c r="DY37756" s="185" t="s">
        <v>215</v>
      </c>
    </row>
    <row r="37757" spans="129:129" x14ac:dyDescent="0.2">
      <c r="DY37757" s="185" t="s">
        <v>215</v>
      </c>
    </row>
    <row r="37758" spans="129:129" x14ac:dyDescent="0.2">
      <c r="DY37758" s="185" t="s">
        <v>215</v>
      </c>
    </row>
    <row r="37759" spans="129:129" x14ac:dyDescent="0.2">
      <c r="DY37759" s="185" t="s">
        <v>215</v>
      </c>
    </row>
    <row r="37760" spans="129:129" x14ac:dyDescent="0.2">
      <c r="DY37760" s="185" t="s">
        <v>215</v>
      </c>
    </row>
    <row r="37761" spans="129:129" x14ac:dyDescent="0.2">
      <c r="DY37761" s="185" t="s">
        <v>215</v>
      </c>
    </row>
    <row r="37762" spans="129:129" x14ac:dyDescent="0.2">
      <c r="DY37762" s="185" t="s">
        <v>215</v>
      </c>
    </row>
    <row r="37763" spans="129:129" x14ac:dyDescent="0.2">
      <c r="DY37763" s="185" t="s">
        <v>215</v>
      </c>
    </row>
    <row r="37764" spans="129:129" x14ac:dyDescent="0.2">
      <c r="DY37764" s="185" t="s">
        <v>215</v>
      </c>
    </row>
    <row r="37765" spans="129:129" x14ac:dyDescent="0.2">
      <c r="DY37765" s="185" t="s">
        <v>215</v>
      </c>
    </row>
    <row r="37766" spans="129:129" x14ac:dyDescent="0.2">
      <c r="DY37766" s="185" t="s">
        <v>215</v>
      </c>
    </row>
    <row r="37767" spans="129:129" x14ac:dyDescent="0.2">
      <c r="DY37767" s="185" t="s">
        <v>215</v>
      </c>
    </row>
    <row r="37768" spans="129:129" x14ac:dyDescent="0.2">
      <c r="DY37768" s="185" t="s">
        <v>215</v>
      </c>
    </row>
    <row r="37769" spans="129:129" x14ac:dyDescent="0.2">
      <c r="DY37769" s="185" t="s">
        <v>215</v>
      </c>
    </row>
    <row r="37770" spans="129:129" x14ac:dyDescent="0.2">
      <c r="DY37770" s="185" t="s">
        <v>215</v>
      </c>
    </row>
    <row r="37771" spans="129:129" x14ac:dyDescent="0.2">
      <c r="DY37771" s="185" t="s">
        <v>215</v>
      </c>
    </row>
    <row r="37772" spans="129:129" x14ac:dyDescent="0.2">
      <c r="DY37772" s="185" t="s">
        <v>215</v>
      </c>
    </row>
    <row r="37773" spans="129:129" x14ac:dyDescent="0.2">
      <c r="DY37773" s="185" t="s">
        <v>215</v>
      </c>
    </row>
    <row r="37774" spans="129:129" x14ac:dyDescent="0.2">
      <c r="DY37774" s="185" t="s">
        <v>215</v>
      </c>
    </row>
    <row r="37775" spans="129:129" x14ac:dyDescent="0.2">
      <c r="DY37775" s="185" t="s">
        <v>215</v>
      </c>
    </row>
    <row r="37776" spans="129:129" x14ac:dyDescent="0.2">
      <c r="DY37776" s="185" t="s">
        <v>215</v>
      </c>
    </row>
    <row r="37777" spans="129:129" x14ac:dyDescent="0.2">
      <c r="DY37777" s="185" t="s">
        <v>215</v>
      </c>
    </row>
    <row r="37778" spans="129:129" x14ac:dyDescent="0.2">
      <c r="DY37778" s="185" t="s">
        <v>215</v>
      </c>
    </row>
    <row r="37779" spans="129:129" x14ac:dyDescent="0.2">
      <c r="DY37779" s="185" t="s">
        <v>215</v>
      </c>
    </row>
    <row r="37780" spans="129:129" x14ac:dyDescent="0.2">
      <c r="DY37780" s="185" t="s">
        <v>215</v>
      </c>
    </row>
    <row r="37781" spans="129:129" x14ac:dyDescent="0.2">
      <c r="DY37781" s="185" t="s">
        <v>215</v>
      </c>
    </row>
    <row r="37782" spans="129:129" x14ac:dyDescent="0.2">
      <c r="DY37782" s="185" t="s">
        <v>215</v>
      </c>
    </row>
    <row r="37783" spans="129:129" x14ac:dyDescent="0.2">
      <c r="DY37783" s="185" t="s">
        <v>215</v>
      </c>
    </row>
    <row r="37784" spans="129:129" x14ac:dyDescent="0.2">
      <c r="DY37784" s="185" t="s">
        <v>215</v>
      </c>
    </row>
    <row r="37785" spans="129:129" x14ac:dyDescent="0.2">
      <c r="DY37785" s="185" t="s">
        <v>215</v>
      </c>
    </row>
    <row r="37786" spans="129:129" x14ac:dyDescent="0.2">
      <c r="DY37786" s="185" t="s">
        <v>215</v>
      </c>
    </row>
    <row r="37787" spans="129:129" x14ac:dyDescent="0.2">
      <c r="DY37787" s="185" t="s">
        <v>215</v>
      </c>
    </row>
    <row r="37788" spans="129:129" x14ac:dyDescent="0.2">
      <c r="DY37788" s="185" t="s">
        <v>215</v>
      </c>
    </row>
    <row r="37789" spans="129:129" x14ac:dyDescent="0.2">
      <c r="DY37789" s="185" t="s">
        <v>215</v>
      </c>
    </row>
    <row r="37790" spans="129:129" x14ac:dyDescent="0.2">
      <c r="DY37790" s="185" t="s">
        <v>215</v>
      </c>
    </row>
    <row r="37791" spans="129:129" x14ac:dyDescent="0.2">
      <c r="DY37791" s="185" t="s">
        <v>215</v>
      </c>
    </row>
    <row r="37792" spans="129:129" x14ac:dyDescent="0.2">
      <c r="DY37792" s="185" t="s">
        <v>215</v>
      </c>
    </row>
    <row r="37793" spans="129:129" x14ac:dyDescent="0.2">
      <c r="DY37793" s="185" t="s">
        <v>215</v>
      </c>
    </row>
    <row r="37794" spans="129:129" x14ac:dyDescent="0.2">
      <c r="DY37794" s="185" t="s">
        <v>215</v>
      </c>
    </row>
    <row r="37795" spans="129:129" x14ac:dyDescent="0.2">
      <c r="DY37795" s="185" t="s">
        <v>215</v>
      </c>
    </row>
    <row r="37796" spans="129:129" x14ac:dyDescent="0.2">
      <c r="DY37796" s="185" t="s">
        <v>215</v>
      </c>
    </row>
    <row r="37797" spans="129:129" x14ac:dyDescent="0.2">
      <c r="DY37797" s="185" t="s">
        <v>215</v>
      </c>
    </row>
    <row r="37798" spans="129:129" x14ac:dyDescent="0.2">
      <c r="DY37798" s="185" t="s">
        <v>215</v>
      </c>
    </row>
    <row r="37799" spans="129:129" x14ac:dyDescent="0.2">
      <c r="DY37799" s="185" t="s">
        <v>215</v>
      </c>
    </row>
    <row r="37800" spans="129:129" x14ac:dyDescent="0.2">
      <c r="DY37800" s="185" t="s">
        <v>215</v>
      </c>
    </row>
    <row r="37801" spans="129:129" x14ac:dyDescent="0.2">
      <c r="DY37801" s="185" t="s">
        <v>215</v>
      </c>
    </row>
    <row r="37802" spans="129:129" x14ac:dyDescent="0.2">
      <c r="DY37802" s="185" t="s">
        <v>215</v>
      </c>
    </row>
    <row r="37803" spans="129:129" x14ac:dyDescent="0.2">
      <c r="DY37803" s="185" t="s">
        <v>215</v>
      </c>
    </row>
    <row r="37804" spans="129:129" x14ac:dyDescent="0.2">
      <c r="DY37804" s="185" t="s">
        <v>215</v>
      </c>
    </row>
    <row r="37805" spans="129:129" x14ac:dyDescent="0.2">
      <c r="DY37805" s="185" t="s">
        <v>215</v>
      </c>
    </row>
    <row r="37806" spans="129:129" x14ac:dyDescent="0.2">
      <c r="DY37806" s="185" t="s">
        <v>215</v>
      </c>
    </row>
    <row r="37807" spans="129:129" x14ac:dyDescent="0.2">
      <c r="DY37807" s="185" t="s">
        <v>215</v>
      </c>
    </row>
    <row r="37808" spans="129:129" x14ac:dyDescent="0.2">
      <c r="DY37808" s="185" t="s">
        <v>215</v>
      </c>
    </row>
    <row r="37809" spans="129:129" x14ac:dyDescent="0.2">
      <c r="DY37809" s="185" t="s">
        <v>215</v>
      </c>
    </row>
    <row r="37810" spans="129:129" x14ac:dyDescent="0.2">
      <c r="DY37810" s="185" t="s">
        <v>215</v>
      </c>
    </row>
    <row r="37811" spans="129:129" x14ac:dyDescent="0.2">
      <c r="DY37811" s="185" t="s">
        <v>215</v>
      </c>
    </row>
    <row r="37812" spans="129:129" x14ac:dyDescent="0.2">
      <c r="DY37812" s="185" t="s">
        <v>215</v>
      </c>
    </row>
    <row r="37813" spans="129:129" x14ac:dyDescent="0.2">
      <c r="DY37813" s="185" t="s">
        <v>215</v>
      </c>
    </row>
    <row r="37814" spans="129:129" x14ac:dyDescent="0.2">
      <c r="DY37814" s="185" t="s">
        <v>215</v>
      </c>
    </row>
    <row r="37815" spans="129:129" x14ac:dyDescent="0.2">
      <c r="DY37815" s="185" t="s">
        <v>215</v>
      </c>
    </row>
    <row r="37816" spans="129:129" x14ac:dyDescent="0.2">
      <c r="DY37816" s="185" t="s">
        <v>215</v>
      </c>
    </row>
    <row r="37817" spans="129:129" x14ac:dyDescent="0.2">
      <c r="DY37817" s="185" t="s">
        <v>215</v>
      </c>
    </row>
    <row r="37818" spans="129:129" x14ac:dyDescent="0.2">
      <c r="DY37818" s="185" t="s">
        <v>215</v>
      </c>
    </row>
    <row r="37819" spans="129:129" x14ac:dyDescent="0.2">
      <c r="DY37819" s="185" t="s">
        <v>215</v>
      </c>
    </row>
    <row r="37820" spans="129:129" x14ac:dyDescent="0.2">
      <c r="DY37820" s="185" t="s">
        <v>215</v>
      </c>
    </row>
    <row r="37821" spans="129:129" x14ac:dyDescent="0.2">
      <c r="DY37821" s="185" t="s">
        <v>215</v>
      </c>
    </row>
    <row r="37822" spans="129:129" x14ac:dyDescent="0.2">
      <c r="DY37822" s="185" t="s">
        <v>215</v>
      </c>
    </row>
    <row r="37823" spans="129:129" x14ac:dyDescent="0.2">
      <c r="DY37823" s="185" t="s">
        <v>215</v>
      </c>
    </row>
    <row r="37824" spans="129:129" x14ac:dyDescent="0.2">
      <c r="DY37824" s="185" t="s">
        <v>215</v>
      </c>
    </row>
    <row r="37825" spans="129:129" x14ac:dyDescent="0.2">
      <c r="DY37825" s="185" t="s">
        <v>215</v>
      </c>
    </row>
    <row r="37826" spans="129:129" x14ac:dyDescent="0.2">
      <c r="DY37826" s="185" t="s">
        <v>215</v>
      </c>
    </row>
    <row r="37827" spans="129:129" x14ac:dyDescent="0.2">
      <c r="DY37827" s="185" t="s">
        <v>215</v>
      </c>
    </row>
    <row r="37828" spans="129:129" x14ac:dyDescent="0.2">
      <c r="DY37828" s="185" t="s">
        <v>215</v>
      </c>
    </row>
    <row r="37829" spans="129:129" x14ac:dyDescent="0.2">
      <c r="DY37829" s="185" t="s">
        <v>215</v>
      </c>
    </row>
    <row r="37830" spans="129:129" x14ac:dyDescent="0.2">
      <c r="DY37830" s="185" t="s">
        <v>215</v>
      </c>
    </row>
    <row r="37831" spans="129:129" x14ac:dyDescent="0.2">
      <c r="DY37831" s="185" t="s">
        <v>215</v>
      </c>
    </row>
    <row r="37832" spans="129:129" x14ac:dyDescent="0.2">
      <c r="DY37832" s="185" t="s">
        <v>215</v>
      </c>
    </row>
    <row r="37833" spans="129:129" x14ac:dyDescent="0.2">
      <c r="DY37833" s="185" t="s">
        <v>215</v>
      </c>
    </row>
    <row r="37834" spans="129:129" x14ac:dyDescent="0.2">
      <c r="DY37834" s="185" t="s">
        <v>215</v>
      </c>
    </row>
    <row r="37835" spans="129:129" x14ac:dyDescent="0.2">
      <c r="DY37835" s="185" t="s">
        <v>215</v>
      </c>
    </row>
    <row r="37836" spans="129:129" x14ac:dyDescent="0.2">
      <c r="DY37836" s="185" t="s">
        <v>215</v>
      </c>
    </row>
    <row r="37837" spans="129:129" x14ac:dyDescent="0.2">
      <c r="DY37837" s="185" t="s">
        <v>215</v>
      </c>
    </row>
    <row r="37838" spans="129:129" x14ac:dyDescent="0.2">
      <c r="DY37838" s="185" t="s">
        <v>215</v>
      </c>
    </row>
    <row r="37839" spans="129:129" x14ac:dyDescent="0.2">
      <c r="DY37839" s="185" t="s">
        <v>215</v>
      </c>
    </row>
    <row r="37840" spans="129:129" x14ac:dyDescent="0.2">
      <c r="DY37840" s="185" t="s">
        <v>215</v>
      </c>
    </row>
    <row r="37841" spans="129:129" x14ac:dyDescent="0.2">
      <c r="DY37841" s="185" t="s">
        <v>215</v>
      </c>
    </row>
    <row r="37842" spans="129:129" x14ac:dyDescent="0.2">
      <c r="DY37842" s="185" t="s">
        <v>215</v>
      </c>
    </row>
    <row r="37843" spans="129:129" x14ac:dyDescent="0.2">
      <c r="DY37843" s="185" t="s">
        <v>215</v>
      </c>
    </row>
    <row r="37844" spans="129:129" x14ac:dyDescent="0.2">
      <c r="DY37844" s="185" t="s">
        <v>215</v>
      </c>
    </row>
    <row r="37845" spans="129:129" x14ac:dyDescent="0.2">
      <c r="DY37845" s="185" t="s">
        <v>215</v>
      </c>
    </row>
    <row r="37846" spans="129:129" x14ac:dyDescent="0.2">
      <c r="DY37846" s="185" t="s">
        <v>215</v>
      </c>
    </row>
    <row r="37847" spans="129:129" x14ac:dyDescent="0.2">
      <c r="DY37847" s="185" t="s">
        <v>215</v>
      </c>
    </row>
    <row r="37848" spans="129:129" x14ac:dyDescent="0.2">
      <c r="DY37848" s="185" t="s">
        <v>215</v>
      </c>
    </row>
    <row r="37849" spans="129:129" x14ac:dyDescent="0.2">
      <c r="DY37849" s="185" t="s">
        <v>215</v>
      </c>
    </row>
    <row r="37850" spans="129:129" x14ac:dyDescent="0.2">
      <c r="DY37850" s="185" t="s">
        <v>215</v>
      </c>
    </row>
    <row r="37851" spans="129:129" x14ac:dyDescent="0.2">
      <c r="DY37851" s="185" t="s">
        <v>215</v>
      </c>
    </row>
    <row r="37852" spans="129:129" x14ac:dyDescent="0.2">
      <c r="DY37852" s="185" t="s">
        <v>215</v>
      </c>
    </row>
    <row r="37853" spans="129:129" x14ac:dyDescent="0.2">
      <c r="DY37853" s="185" t="s">
        <v>215</v>
      </c>
    </row>
    <row r="37854" spans="129:129" x14ac:dyDescent="0.2">
      <c r="DY37854" s="185" t="s">
        <v>215</v>
      </c>
    </row>
    <row r="37855" spans="129:129" x14ac:dyDescent="0.2">
      <c r="DY37855" s="185" t="s">
        <v>215</v>
      </c>
    </row>
    <row r="37856" spans="129:129" x14ac:dyDescent="0.2">
      <c r="DY37856" s="185" t="s">
        <v>215</v>
      </c>
    </row>
    <row r="37857" spans="129:129" x14ac:dyDescent="0.2">
      <c r="DY37857" s="185" t="s">
        <v>215</v>
      </c>
    </row>
    <row r="37858" spans="129:129" x14ac:dyDescent="0.2">
      <c r="DY37858" s="185" t="s">
        <v>215</v>
      </c>
    </row>
    <row r="37859" spans="129:129" x14ac:dyDescent="0.2">
      <c r="DY37859" s="185" t="s">
        <v>215</v>
      </c>
    </row>
    <row r="37860" spans="129:129" x14ac:dyDescent="0.2">
      <c r="DY37860" s="185" t="s">
        <v>215</v>
      </c>
    </row>
    <row r="37861" spans="129:129" x14ac:dyDescent="0.2">
      <c r="DY37861" s="185" t="s">
        <v>215</v>
      </c>
    </row>
    <row r="37862" spans="129:129" x14ac:dyDescent="0.2">
      <c r="DY37862" s="185" t="s">
        <v>215</v>
      </c>
    </row>
    <row r="37863" spans="129:129" x14ac:dyDescent="0.2">
      <c r="DY37863" s="185" t="s">
        <v>215</v>
      </c>
    </row>
    <row r="37864" spans="129:129" x14ac:dyDescent="0.2">
      <c r="DY37864" s="185" t="s">
        <v>215</v>
      </c>
    </row>
    <row r="37865" spans="129:129" x14ac:dyDescent="0.2">
      <c r="DY37865" s="185" t="s">
        <v>215</v>
      </c>
    </row>
    <row r="37866" spans="129:129" x14ac:dyDescent="0.2">
      <c r="DY37866" s="185" t="s">
        <v>215</v>
      </c>
    </row>
    <row r="37867" spans="129:129" x14ac:dyDescent="0.2">
      <c r="DY37867" s="185" t="s">
        <v>215</v>
      </c>
    </row>
    <row r="37868" spans="129:129" x14ac:dyDescent="0.2">
      <c r="DY37868" s="185" t="s">
        <v>215</v>
      </c>
    </row>
    <row r="37869" spans="129:129" x14ac:dyDescent="0.2">
      <c r="DY37869" s="185" t="s">
        <v>215</v>
      </c>
    </row>
    <row r="37870" spans="129:129" x14ac:dyDescent="0.2">
      <c r="DY37870" s="185" t="s">
        <v>215</v>
      </c>
    </row>
    <row r="37871" spans="129:129" x14ac:dyDescent="0.2">
      <c r="DY37871" s="185" t="s">
        <v>215</v>
      </c>
    </row>
    <row r="37872" spans="129:129" x14ac:dyDescent="0.2">
      <c r="DY37872" s="185" t="s">
        <v>215</v>
      </c>
    </row>
    <row r="37873" spans="129:129" x14ac:dyDescent="0.2">
      <c r="DY37873" s="185" t="s">
        <v>215</v>
      </c>
    </row>
    <row r="37874" spans="129:129" x14ac:dyDescent="0.2">
      <c r="DY37874" s="185" t="s">
        <v>215</v>
      </c>
    </row>
    <row r="37875" spans="129:129" x14ac:dyDescent="0.2">
      <c r="DY37875" s="185" t="s">
        <v>215</v>
      </c>
    </row>
    <row r="37876" spans="129:129" x14ac:dyDescent="0.2">
      <c r="DY37876" s="185" t="s">
        <v>215</v>
      </c>
    </row>
    <row r="37877" spans="129:129" x14ac:dyDescent="0.2">
      <c r="DY37877" s="185" t="s">
        <v>215</v>
      </c>
    </row>
    <row r="37878" spans="129:129" x14ac:dyDescent="0.2">
      <c r="DY37878" s="185" t="s">
        <v>215</v>
      </c>
    </row>
    <row r="37879" spans="129:129" x14ac:dyDescent="0.2">
      <c r="DY37879" s="185" t="s">
        <v>215</v>
      </c>
    </row>
    <row r="37880" spans="129:129" x14ac:dyDescent="0.2">
      <c r="DY37880" s="185" t="s">
        <v>215</v>
      </c>
    </row>
    <row r="37881" spans="129:129" x14ac:dyDescent="0.2">
      <c r="DY37881" s="185" t="s">
        <v>215</v>
      </c>
    </row>
    <row r="37882" spans="129:129" x14ac:dyDescent="0.2">
      <c r="DY37882" s="185" t="s">
        <v>215</v>
      </c>
    </row>
    <row r="37883" spans="129:129" x14ac:dyDescent="0.2">
      <c r="DY37883" s="185" t="s">
        <v>215</v>
      </c>
    </row>
    <row r="37884" spans="129:129" x14ac:dyDescent="0.2">
      <c r="DY37884" s="185" t="s">
        <v>215</v>
      </c>
    </row>
    <row r="37885" spans="129:129" x14ac:dyDescent="0.2">
      <c r="DY37885" s="185" t="s">
        <v>215</v>
      </c>
    </row>
    <row r="37886" spans="129:129" x14ac:dyDescent="0.2">
      <c r="DY37886" s="185" t="s">
        <v>215</v>
      </c>
    </row>
    <row r="37887" spans="129:129" x14ac:dyDescent="0.2">
      <c r="DY37887" s="185" t="s">
        <v>215</v>
      </c>
    </row>
    <row r="37888" spans="129:129" x14ac:dyDescent="0.2">
      <c r="DY37888" s="185" t="s">
        <v>215</v>
      </c>
    </row>
    <row r="37889" spans="129:129" x14ac:dyDescent="0.2">
      <c r="DY37889" s="185" t="s">
        <v>215</v>
      </c>
    </row>
    <row r="37890" spans="129:129" x14ac:dyDescent="0.2">
      <c r="DY37890" s="185" t="s">
        <v>215</v>
      </c>
    </row>
    <row r="37891" spans="129:129" x14ac:dyDescent="0.2">
      <c r="DY37891" s="185" t="s">
        <v>215</v>
      </c>
    </row>
    <row r="37892" spans="129:129" x14ac:dyDescent="0.2">
      <c r="DY37892" s="185" t="s">
        <v>215</v>
      </c>
    </row>
    <row r="37893" spans="129:129" x14ac:dyDescent="0.2">
      <c r="DY37893" s="185" t="s">
        <v>215</v>
      </c>
    </row>
    <row r="37894" spans="129:129" x14ac:dyDescent="0.2">
      <c r="DY37894" s="185" t="s">
        <v>215</v>
      </c>
    </row>
    <row r="37895" spans="129:129" x14ac:dyDescent="0.2">
      <c r="DY37895" s="185" t="s">
        <v>215</v>
      </c>
    </row>
    <row r="37896" spans="129:129" x14ac:dyDescent="0.2">
      <c r="DY37896" s="185" t="s">
        <v>215</v>
      </c>
    </row>
    <row r="37897" spans="129:129" x14ac:dyDescent="0.2">
      <c r="DY37897" s="185" t="s">
        <v>215</v>
      </c>
    </row>
    <row r="37898" spans="129:129" x14ac:dyDescent="0.2">
      <c r="DY37898" s="185" t="s">
        <v>215</v>
      </c>
    </row>
    <row r="37899" spans="129:129" x14ac:dyDescent="0.2">
      <c r="DY37899" s="185" t="s">
        <v>215</v>
      </c>
    </row>
    <row r="37900" spans="129:129" x14ac:dyDescent="0.2">
      <c r="DY37900" s="185" t="s">
        <v>215</v>
      </c>
    </row>
    <row r="37901" spans="129:129" x14ac:dyDescent="0.2">
      <c r="DY37901" s="185" t="s">
        <v>215</v>
      </c>
    </row>
    <row r="37902" spans="129:129" x14ac:dyDescent="0.2">
      <c r="DY37902" s="185" t="s">
        <v>215</v>
      </c>
    </row>
    <row r="37903" spans="129:129" x14ac:dyDescent="0.2">
      <c r="DY37903" s="185" t="s">
        <v>215</v>
      </c>
    </row>
    <row r="37904" spans="129:129" x14ac:dyDescent="0.2">
      <c r="DY37904" s="185" t="s">
        <v>215</v>
      </c>
    </row>
    <row r="37905" spans="129:129" x14ac:dyDescent="0.2">
      <c r="DY37905" s="185" t="s">
        <v>215</v>
      </c>
    </row>
    <row r="37906" spans="129:129" x14ac:dyDescent="0.2">
      <c r="DY37906" s="185" t="s">
        <v>215</v>
      </c>
    </row>
    <row r="37907" spans="129:129" x14ac:dyDescent="0.2">
      <c r="DY37907" s="185" t="s">
        <v>215</v>
      </c>
    </row>
    <row r="37908" spans="129:129" x14ac:dyDescent="0.2">
      <c r="DY37908" s="185" t="s">
        <v>215</v>
      </c>
    </row>
    <row r="37909" spans="129:129" x14ac:dyDescent="0.2">
      <c r="DY37909" s="185" t="s">
        <v>215</v>
      </c>
    </row>
    <row r="37910" spans="129:129" x14ac:dyDescent="0.2">
      <c r="DY37910" s="185" t="s">
        <v>215</v>
      </c>
    </row>
    <row r="37911" spans="129:129" x14ac:dyDescent="0.2">
      <c r="DY37911" s="185" t="s">
        <v>215</v>
      </c>
    </row>
    <row r="37912" spans="129:129" x14ac:dyDescent="0.2">
      <c r="DY37912" s="185" t="s">
        <v>215</v>
      </c>
    </row>
    <row r="37913" spans="129:129" x14ac:dyDescent="0.2">
      <c r="DY37913" s="185" t="s">
        <v>215</v>
      </c>
    </row>
    <row r="37914" spans="129:129" x14ac:dyDescent="0.2">
      <c r="DY37914" s="185" t="s">
        <v>215</v>
      </c>
    </row>
    <row r="37915" spans="129:129" x14ac:dyDescent="0.2">
      <c r="DY37915" s="185" t="s">
        <v>215</v>
      </c>
    </row>
    <row r="37916" spans="129:129" x14ac:dyDescent="0.2">
      <c r="DY37916" s="185" t="s">
        <v>215</v>
      </c>
    </row>
    <row r="37917" spans="129:129" x14ac:dyDescent="0.2">
      <c r="DY37917" s="185" t="s">
        <v>215</v>
      </c>
    </row>
    <row r="37918" spans="129:129" x14ac:dyDescent="0.2">
      <c r="DY37918" s="185" t="s">
        <v>215</v>
      </c>
    </row>
    <row r="37919" spans="129:129" x14ac:dyDescent="0.2">
      <c r="DY37919" s="185" t="s">
        <v>215</v>
      </c>
    </row>
    <row r="37920" spans="129:129" x14ac:dyDescent="0.2">
      <c r="DY37920" s="185" t="s">
        <v>215</v>
      </c>
    </row>
    <row r="37921" spans="129:129" x14ac:dyDescent="0.2">
      <c r="DY37921" s="185" t="s">
        <v>215</v>
      </c>
    </row>
    <row r="37922" spans="129:129" x14ac:dyDescent="0.2">
      <c r="DY37922" s="185" t="s">
        <v>215</v>
      </c>
    </row>
    <row r="37923" spans="129:129" x14ac:dyDescent="0.2">
      <c r="DY37923" s="185" t="s">
        <v>215</v>
      </c>
    </row>
    <row r="37924" spans="129:129" x14ac:dyDescent="0.2">
      <c r="DY37924" s="185" t="s">
        <v>215</v>
      </c>
    </row>
    <row r="37925" spans="129:129" x14ac:dyDescent="0.2">
      <c r="DY37925" s="185" t="s">
        <v>215</v>
      </c>
    </row>
    <row r="37926" spans="129:129" x14ac:dyDescent="0.2">
      <c r="DY37926" s="185" t="s">
        <v>215</v>
      </c>
    </row>
    <row r="37927" spans="129:129" x14ac:dyDescent="0.2">
      <c r="DY37927" s="185" t="s">
        <v>215</v>
      </c>
    </row>
    <row r="37928" spans="129:129" x14ac:dyDescent="0.2">
      <c r="DY37928" s="185" t="s">
        <v>215</v>
      </c>
    </row>
    <row r="37929" spans="129:129" x14ac:dyDescent="0.2">
      <c r="DY37929" s="185" t="s">
        <v>215</v>
      </c>
    </row>
    <row r="37930" spans="129:129" x14ac:dyDescent="0.2">
      <c r="DY37930" s="185" t="s">
        <v>215</v>
      </c>
    </row>
    <row r="37931" spans="129:129" x14ac:dyDescent="0.2">
      <c r="DY37931" s="185" t="s">
        <v>215</v>
      </c>
    </row>
    <row r="37932" spans="129:129" x14ac:dyDescent="0.2">
      <c r="DY37932" s="185" t="s">
        <v>215</v>
      </c>
    </row>
    <row r="37933" spans="129:129" x14ac:dyDescent="0.2">
      <c r="DY37933" s="185" t="s">
        <v>215</v>
      </c>
    </row>
    <row r="37934" spans="129:129" x14ac:dyDescent="0.2">
      <c r="DY37934" s="185" t="s">
        <v>215</v>
      </c>
    </row>
    <row r="37935" spans="129:129" x14ac:dyDescent="0.2">
      <c r="DY37935" s="185" t="s">
        <v>215</v>
      </c>
    </row>
    <row r="37936" spans="129:129" x14ac:dyDescent="0.2">
      <c r="DY37936" s="185" t="s">
        <v>215</v>
      </c>
    </row>
    <row r="37937" spans="129:129" x14ac:dyDescent="0.2">
      <c r="DY37937" s="185" t="s">
        <v>215</v>
      </c>
    </row>
    <row r="37938" spans="129:129" x14ac:dyDescent="0.2">
      <c r="DY37938" s="185" t="s">
        <v>215</v>
      </c>
    </row>
    <row r="37939" spans="129:129" x14ac:dyDescent="0.2">
      <c r="DY37939" s="185" t="s">
        <v>215</v>
      </c>
    </row>
    <row r="37940" spans="129:129" x14ac:dyDescent="0.2">
      <c r="DY37940" s="185" t="s">
        <v>215</v>
      </c>
    </row>
    <row r="37941" spans="129:129" x14ac:dyDescent="0.2">
      <c r="DY37941" s="185" t="s">
        <v>215</v>
      </c>
    </row>
    <row r="37942" spans="129:129" x14ac:dyDescent="0.2">
      <c r="DY37942" s="185" t="s">
        <v>215</v>
      </c>
    </row>
    <row r="37943" spans="129:129" x14ac:dyDescent="0.2">
      <c r="DY37943" s="185" t="s">
        <v>215</v>
      </c>
    </row>
    <row r="37944" spans="129:129" x14ac:dyDescent="0.2">
      <c r="DY37944" s="185" t="s">
        <v>215</v>
      </c>
    </row>
    <row r="37945" spans="129:129" x14ac:dyDescent="0.2">
      <c r="DY37945" s="185" t="s">
        <v>215</v>
      </c>
    </row>
    <row r="37946" spans="129:129" x14ac:dyDescent="0.2">
      <c r="DY37946" s="185" t="s">
        <v>215</v>
      </c>
    </row>
    <row r="37947" spans="129:129" x14ac:dyDescent="0.2">
      <c r="DY37947" s="185" t="s">
        <v>215</v>
      </c>
    </row>
    <row r="37948" spans="129:129" x14ac:dyDescent="0.2">
      <c r="DY37948" s="185" t="s">
        <v>215</v>
      </c>
    </row>
    <row r="37949" spans="129:129" x14ac:dyDescent="0.2">
      <c r="DY37949" s="185" t="s">
        <v>215</v>
      </c>
    </row>
    <row r="37950" spans="129:129" x14ac:dyDescent="0.2">
      <c r="DY37950" s="185" t="s">
        <v>215</v>
      </c>
    </row>
    <row r="37951" spans="129:129" x14ac:dyDescent="0.2">
      <c r="DY37951" s="185" t="s">
        <v>215</v>
      </c>
    </row>
    <row r="37952" spans="129:129" x14ac:dyDescent="0.2">
      <c r="DY37952" s="185" t="s">
        <v>215</v>
      </c>
    </row>
    <row r="37953" spans="129:129" x14ac:dyDescent="0.2">
      <c r="DY37953" s="185" t="s">
        <v>215</v>
      </c>
    </row>
    <row r="37954" spans="129:129" x14ac:dyDescent="0.2">
      <c r="DY37954" s="185" t="s">
        <v>215</v>
      </c>
    </row>
    <row r="37955" spans="129:129" x14ac:dyDescent="0.2">
      <c r="DY37955" s="185" t="s">
        <v>215</v>
      </c>
    </row>
    <row r="37956" spans="129:129" x14ac:dyDescent="0.2">
      <c r="DY37956" s="185" t="s">
        <v>215</v>
      </c>
    </row>
    <row r="37957" spans="129:129" x14ac:dyDescent="0.2">
      <c r="DY37957" s="185" t="s">
        <v>215</v>
      </c>
    </row>
    <row r="37958" spans="129:129" x14ac:dyDescent="0.2">
      <c r="DY37958" s="185" t="s">
        <v>215</v>
      </c>
    </row>
    <row r="37959" spans="129:129" x14ac:dyDescent="0.2">
      <c r="DY37959" s="185" t="s">
        <v>215</v>
      </c>
    </row>
    <row r="37960" spans="129:129" x14ac:dyDescent="0.2">
      <c r="DY37960" s="185" t="s">
        <v>215</v>
      </c>
    </row>
    <row r="37961" spans="129:129" x14ac:dyDescent="0.2">
      <c r="DY37961" s="185" t="s">
        <v>215</v>
      </c>
    </row>
    <row r="37962" spans="129:129" x14ac:dyDescent="0.2">
      <c r="DY37962" s="185" t="s">
        <v>215</v>
      </c>
    </row>
    <row r="37963" spans="129:129" x14ac:dyDescent="0.2">
      <c r="DY37963" s="185" t="s">
        <v>215</v>
      </c>
    </row>
    <row r="37964" spans="129:129" x14ac:dyDescent="0.2">
      <c r="DY37964" s="185" t="s">
        <v>215</v>
      </c>
    </row>
    <row r="37965" spans="129:129" x14ac:dyDescent="0.2">
      <c r="DY37965" s="185" t="s">
        <v>215</v>
      </c>
    </row>
    <row r="37966" spans="129:129" x14ac:dyDescent="0.2">
      <c r="DY37966" s="185" t="s">
        <v>215</v>
      </c>
    </row>
    <row r="37967" spans="129:129" x14ac:dyDescent="0.2">
      <c r="DY37967" s="185" t="s">
        <v>215</v>
      </c>
    </row>
    <row r="37968" spans="129:129" x14ac:dyDescent="0.2">
      <c r="DY37968" s="185" t="s">
        <v>215</v>
      </c>
    </row>
    <row r="37969" spans="129:129" x14ac:dyDescent="0.2">
      <c r="DY37969" s="185" t="s">
        <v>215</v>
      </c>
    </row>
    <row r="37970" spans="129:129" x14ac:dyDescent="0.2">
      <c r="DY37970" s="185" t="s">
        <v>215</v>
      </c>
    </row>
    <row r="37971" spans="129:129" x14ac:dyDescent="0.2">
      <c r="DY37971" s="185" t="s">
        <v>215</v>
      </c>
    </row>
    <row r="37972" spans="129:129" x14ac:dyDescent="0.2">
      <c r="DY37972" s="185" t="s">
        <v>215</v>
      </c>
    </row>
    <row r="37973" spans="129:129" x14ac:dyDescent="0.2">
      <c r="DY37973" s="185" t="s">
        <v>215</v>
      </c>
    </row>
    <row r="37974" spans="129:129" x14ac:dyDescent="0.2">
      <c r="DY37974" s="185" t="s">
        <v>215</v>
      </c>
    </row>
    <row r="37975" spans="129:129" x14ac:dyDescent="0.2">
      <c r="DY37975" s="185" t="s">
        <v>215</v>
      </c>
    </row>
    <row r="37976" spans="129:129" x14ac:dyDescent="0.2">
      <c r="DY37976" s="185" t="s">
        <v>215</v>
      </c>
    </row>
    <row r="37977" spans="129:129" x14ac:dyDescent="0.2">
      <c r="DY37977" s="185" t="s">
        <v>215</v>
      </c>
    </row>
    <row r="37978" spans="129:129" x14ac:dyDescent="0.2">
      <c r="DY37978" s="185" t="s">
        <v>215</v>
      </c>
    </row>
    <row r="37979" spans="129:129" x14ac:dyDescent="0.2">
      <c r="DY37979" s="185" t="s">
        <v>215</v>
      </c>
    </row>
    <row r="37980" spans="129:129" x14ac:dyDescent="0.2">
      <c r="DY37980" s="185" t="s">
        <v>215</v>
      </c>
    </row>
    <row r="37981" spans="129:129" x14ac:dyDescent="0.2">
      <c r="DY37981" s="185" t="s">
        <v>215</v>
      </c>
    </row>
    <row r="37982" spans="129:129" x14ac:dyDescent="0.2">
      <c r="DY37982" s="185" t="s">
        <v>215</v>
      </c>
    </row>
    <row r="37983" spans="129:129" x14ac:dyDescent="0.2">
      <c r="DY37983" s="185" t="s">
        <v>215</v>
      </c>
    </row>
    <row r="37984" spans="129:129" x14ac:dyDescent="0.2">
      <c r="DY37984" s="185" t="s">
        <v>215</v>
      </c>
    </row>
    <row r="37985" spans="129:129" x14ac:dyDescent="0.2">
      <c r="DY37985" s="185" t="s">
        <v>215</v>
      </c>
    </row>
    <row r="37986" spans="129:129" x14ac:dyDescent="0.2">
      <c r="DY37986" s="185" t="s">
        <v>215</v>
      </c>
    </row>
    <row r="37987" spans="129:129" x14ac:dyDescent="0.2">
      <c r="DY37987" s="185" t="s">
        <v>215</v>
      </c>
    </row>
    <row r="37988" spans="129:129" x14ac:dyDescent="0.2">
      <c r="DY37988" s="185" t="s">
        <v>215</v>
      </c>
    </row>
    <row r="37989" spans="129:129" x14ac:dyDescent="0.2">
      <c r="DY37989" s="185" t="s">
        <v>215</v>
      </c>
    </row>
    <row r="37990" spans="129:129" x14ac:dyDescent="0.2">
      <c r="DY37990" s="185" t="s">
        <v>215</v>
      </c>
    </row>
    <row r="37991" spans="129:129" x14ac:dyDescent="0.2">
      <c r="DY37991" s="185" t="s">
        <v>215</v>
      </c>
    </row>
    <row r="37992" spans="129:129" x14ac:dyDescent="0.2">
      <c r="DY37992" s="185" t="s">
        <v>215</v>
      </c>
    </row>
    <row r="37993" spans="129:129" x14ac:dyDescent="0.2">
      <c r="DY37993" s="185" t="s">
        <v>215</v>
      </c>
    </row>
    <row r="37994" spans="129:129" x14ac:dyDescent="0.2">
      <c r="DY37994" s="185" t="s">
        <v>215</v>
      </c>
    </row>
    <row r="37995" spans="129:129" x14ac:dyDescent="0.2">
      <c r="DY37995" s="185" t="s">
        <v>215</v>
      </c>
    </row>
    <row r="37996" spans="129:129" x14ac:dyDescent="0.2">
      <c r="DY37996" s="185" t="s">
        <v>215</v>
      </c>
    </row>
    <row r="37997" spans="129:129" x14ac:dyDescent="0.2">
      <c r="DY37997" s="185" t="s">
        <v>215</v>
      </c>
    </row>
    <row r="37998" spans="129:129" x14ac:dyDescent="0.2">
      <c r="DY37998" s="185" t="s">
        <v>215</v>
      </c>
    </row>
    <row r="37999" spans="129:129" x14ac:dyDescent="0.2">
      <c r="DY37999" s="185" t="s">
        <v>215</v>
      </c>
    </row>
    <row r="38000" spans="129:129" x14ac:dyDescent="0.2">
      <c r="DY38000" s="185" t="s">
        <v>215</v>
      </c>
    </row>
    <row r="38001" spans="129:129" x14ac:dyDescent="0.2">
      <c r="DY38001" s="185" t="s">
        <v>215</v>
      </c>
    </row>
    <row r="38002" spans="129:129" x14ac:dyDescent="0.2">
      <c r="DY38002" s="185" t="s">
        <v>215</v>
      </c>
    </row>
    <row r="38003" spans="129:129" x14ac:dyDescent="0.2">
      <c r="DY38003" s="185" t="s">
        <v>215</v>
      </c>
    </row>
    <row r="38004" spans="129:129" x14ac:dyDescent="0.2">
      <c r="DY38004" s="185" t="s">
        <v>215</v>
      </c>
    </row>
    <row r="38005" spans="129:129" x14ac:dyDescent="0.2">
      <c r="DY38005" s="185" t="s">
        <v>215</v>
      </c>
    </row>
    <row r="38006" spans="129:129" x14ac:dyDescent="0.2">
      <c r="DY38006" s="185" t="s">
        <v>215</v>
      </c>
    </row>
    <row r="38007" spans="129:129" x14ac:dyDescent="0.2">
      <c r="DY38007" s="185" t="s">
        <v>215</v>
      </c>
    </row>
    <row r="38008" spans="129:129" x14ac:dyDescent="0.2">
      <c r="DY38008" s="185" t="s">
        <v>215</v>
      </c>
    </row>
    <row r="38009" spans="129:129" x14ac:dyDescent="0.2">
      <c r="DY38009" s="185" t="s">
        <v>215</v>
      </c>
    </row>
    <row r="38010" spans="129:129" x14ac:dyDescent="0.2">
      <c r="DY38010" s="185" t="s">
        <v>215</v>
      </c>
    </row>
    <row r="38011" spans="129:129" x14ac:dyDescent="0.2">
      <c r="DY38011" s="185" t="s">
        <v>215</v>
      </c>
    </row>
    <row r="38012" spans="129:129" x14ac:dyDescent="0.2">
      <c r="DY38012" s="185" t="s">
        <v>215</v>
      </c>
    </row>
    <row r="38013" spans="129:129" x14ac:dyDescent="0.2">
      <c r="DY38013" s="185" t="s">
        <v>215</v>
      </c>
    </row>
    <row r="38014" spans="129:129" x14ac:dyDescent="0.2">
      <c r="DY38014" s="185" t="s">
        <v>215</v>
      </c>
    </row>
    <row r="38015" spans="129:129" x14ac:dyDescent="0.2">
      <c r="DY38015" s="185" t="s">
        <v>215</v>
      </c>
    </row>
    <row r="38016" spans="129:129" x14ac:dyDescent="0.2">
      <c r="DY38016" s="185" t="s">
        <v>215</v>
      </c>
    </row>
    <row r="38017" spans="129:129" x14ac:dyDescent="0.2">
      <c r="DY38017" s="185" t="s">
        <v>215</v>
      </c>
    </row>
    <row r="38018" spans="129:129" x14ac:dyDescent="0.2">
      <c r="DY38018" s="185" t="s">
        <v>215</v>
      </c>
    </row>
    <row r="38019" spans="129:129" x14ac:dyDescent="0.2">
      <c r="DY38019" s="185" t="s">
        <v>215</v>
      </c>
    </row>
    <row r="38020" spans="129:129" x14ac:dyDescent="0.2">
      <c r="DY38020" s="185" t="s">
        <v>215</v>
      </c>
    </row>
    <row r="38021" spans="129:129" x14ac:dyDescent="0.2">
      <c r="DY38021" s="185" t="s">
        <v>215</v>
      </c>
    </row>
    <row r="38022" spans="129:129" x14ac:dyDescent="0.2">
      <c r="DY38022" s="185" t="s">
        <v>215</v>
      </c>
    </row>
    <row r="38023" spans="129:129" x14ac:dyDescent="0.2">
      <c r="DY38023" s="185" t="s">
        <v>215</v>
      </c>
    </row>
    <row r="38024" spans="129:129" x14ac:dyDescent="0.2">
      <c r="DY38024" s="185" t="s">
        <v>215</v>
      </c>
    </row>
    <row r="38025" spans="129:129" x14ac:dyDescent="0.2">
      <c r="DY38025" s="185" t="s">
        <v>215</v>
      </c>
    </row>
    <row r="38026" spans="129:129" x14ac:dyDescent="0.2">
      <c r="DY38026" s="185" t="s">
        <v>215</v>
      </c>
    </row>
    <row r="38027" spans="129:129" x14ac:dyDescent="0.2">
      <c r="DY38027" s="185" t="s">
        <v>215</v>
      </c>
    </row>
    <row r="38028" spans="129:129" x14ac:dyDescent="0.2">
      <c r="DY38028" s="185" t="s">
        <v>215</v>
      </c>
    </row>
    <row r="38029" spans="129:129" x14ac:dyDescent="0.2">
      <c r="DY38029" s="185" t="s">
        <v>215</v>
      </c>
    </row>
    <row r="38030" spans="129:129" x14ac:dyDescent="0.2">
      <c r="DY38030" s="185" t="s">
        <v>215</v>
      </c>
    </row>
    <row r="38031" spans="129:129" x14ac:dyDescent="0.2">
      <c r="DY38031" s="185" t="s">
        <v>215</v>
      </c>
    </row>
    <row r="38032" spans="129:129" x14ac:dyDescent="0.2">
      <c r="DY38032" s="185" t="s">
        <v>215</v>
      </c>
    </row>
    <row r="38033" spans="129:129" x14ac:dyDescent="0.2">
      <c r="DY38033" s="185" t="s">
        <v>215</v>
      </c>
    </row>
    <row r="38034" spans="129:129" x14ac:dyDescent="0.2">
      <c r="DY38034" s="185" t="s">
        <v>215</v>
      </c>
    </row>
    <row r="38035" spans="129:129" x14ac:dyDescent="0.2">
      <c r="DY38035" s="185" t="s">
        <v>215</v>
      </c>
    </row>
    <row r="38036" spans="129:129" x14ac:dyDescent="0.2">
      <c r="DY38036" s="185" t="s">
        <v>215</v>
      </c>
    </row>
    <row r="38037" spans="129:129" x14ac:dyDescent="0.2">
      <c r="DY38037" s="185" t="s">
        <v>215</v>
      </c>
    </row>
    <row r="38038" spans="129:129" x14ac:dyDescent="0.2">
      <c r="DY38038" s="185" t="s">
        <v>215</v>
      </c>
    </row>
    <row r="38039" spans="129:129" x14ac:dyDescent="0.2">
      <c r="DY38039" s="185" t="s">
        <v>215</v>
      </c>
    </row>
    <row r="38040" spans="129:129" x14ac:dyDescent="0.2">
      <c r="DY38040" s="185" t="s">
        <v>215</v>
      </c>
    </row>
    <row r="38041" spans="129:129" x14ac:dyDescent="0.2">
      <c r="DY38041" s="185" t="s">
        <v>215</v>
      </c>
    </row>
    <row r="38042" spans="129:129" x14ac:dyDescent="0.2">
      <c r="DY38042" s="185" t="s">
        <v>215</v>
      </c>
    </row>
    <row r="38043" spans="129:129" x14ac:dyDescent="0.2">
      <c r="DY38043" s="185" t="s">
        <v>215</v>
      </c>
    </row>
    <row r="38044" spans="129:129" x14ac:dyDescent="0.2">
      <c r="DY38044" s="185" t="s">
        <v>215</v>
      </c>
    </row>
    <row r="38045" spans="129:129" x14ac:dyDescent="0.2">
      <c r="DY38045" s="185" t="s">
        <v>215</v>
      </c>
    </row>
    <row r="38046" spans="129:129" x14ac:dyDescent="0.2">
      <c r="DY38046" s="185" t="s">
        <v>215</v>
      </c>
    </row>
    <row r="38047" spans="129:129" x14ac:dyDescent="0.2">
      <c r="DY38047" s="185" t="s">
        <v>215</v>
      </c>
    </row>
    <row r="38048" spans="129:129" x14ac:dyDescent="0.2">
      <c r="DY38048" s="185" t="s">
        <v>215</v>
      </c>
    </row>
    <row r="38049" spans="129:129" x14ac:dyDescent="0.2">
      <c r="DY38049" s="185" t="s">
        <v>215</v>
      </c>
    </row>
    <row r="38050" spans="129:129" x14ac:dyDescent="0.2">
      <c r="DY38050" s="185" t="s">
        <v>215</v>
      </c>
    </row>
    <row r="38051" spans="129:129" x14ac:dyDescent="0.2">
      <c r="DY38051" s="185" t="s">
        <v>215</v>
      </c>
    </row>
    <row r="38052" spans="129:129" x14ac:dyDescent="0.2">
      <c r="DY38052" s="185" t="s">
        <v>215</v>
      </c>
    </row>
    <row r="38053" spans="129:129" x14ac:dyDescent="0.2">
      <c r="DY38053" s="185" t="s">
        <v>215</v>
      </c>
    </row>
    <row r="38054" spans="129:129" x14ac:dyDescent="0.2">
      <c r="DY38054" s="185" t="s">
        <v>215</v>
      </c>
    </row>
    <row r="38055" spans="129:129" x14ac:dyDescent="0.2">
      <c r="DY38055" s="185" t="s">
        <v>215</v>
      </c>
    </row>
    <row r="38056" spans="129:129" x14ac:dyDescent="0.2">
      <c r="DY38056" s="185" t="s">
        <v>215</v>
      </c>
    </row>
    <row r="38057" spans="129:129" x14ac:dyDescent="0.2">
      <c r="DY38057" s="185" t="s">
        <v>215</v>
      </c>
    </row>
    <row r="38058" spans="129:129" x14ac:dyDescent="0.2">
      <c r="DY38058" s="185" t="s">
        <v>215</v>
      </c>
    </row>
    <row r="38059" spans="129:129" x14ac:dyDescent="0.2">
      <c r="DY38059" s="185" t="s">
        <v>215</v>
      </c>
    </row>
    <row r="38060" spans="129:129" x14ac:dyDescent="0.2">
      <c r="DY38060" s="185" t="s">
        <v>215</v>
      </c>
    </row>
    <row r="38061" spans="129:129" x14ac:dyDescent="0.2">
      <c r="DY38061" s="185" t="s">
        <v>215</v>
      </c>
    </row>
    <row r="38062" spans="129:129" x14ac:dyDescent="0.2">
      <c r="DY38062" s="185" t="s">
        <v>215</v>
      </c>
    </row>
    <row r="38063" spans="129:129" x14ac:dyDescent="0.2">
      <c r="DY38063" s="185" t="s">
        <v>215</v>
      </c>
    </row>
    <row r="38064" spans="129:129" x14ac:dyDescent="0.2">
      <c r="DY38064" s="185" t="s">
        <v>215</v>
      </c>
    </row>
    <row r="38065" spans="129:129" x14ac:dyDescent="0.2">
      <c r="DY38065" s="185" t="s">
        <v>215</v>
      </c>
    </row>
    <row r="38066" spans="129:129" x14ac:dyDescent="0.2">
      <c r="DY38066" s="185" t="s">
        <v>215</v>
      </c>
    </row>
    <row r="38067" spans="129:129" x14ac:dyDescent="0.2">
      <c r="DY38067" s="185" t="s">
        <v>215</v>
      </c>
    </row>
    <row r="38068" spans="129:129" x14ac:dyDescent="0.2">
      <c r="DY38068" s="185" t="s">
        <v>215</v>
      </c>
    </row>
    <row r="38069" spans="129:129" x14ac:dyDescent="0.2">
      <c r="DY38069" s="185" t="s">
        <v>215</v>
      </c>
    </row>
    <row r="38070" spans="129:129" x14ac:dyDescent="0.2">
      <c r="DY38070" s="185" t="s">
        <v>215</v>
      </c>
    </row>
    <row r="38071" spans="129:129" x14ac:dyDescent="0.2">
      <c r="DY38071" s="185" t="s">
        <v>215</v>
      </c>
    </row>
    <row r="38072" spans="129:129" x14ac:dyDescent="0.2">
      <c r="DY38072" s="185" t="s">
        <v>215</v>
      </c>
    </row>
    <row r="38073" spans="129:129" x14ac:dyDescent="0.2">
      <c r="DY38073" s="185" t="s">
        <v>215</v>
      </c>
    </row>
    <row r="38074" spans="129:129" x14ac:dyDescent="0.2">
      <c r="DY38074" s="185" t="s">
        <v>215</v>
      </c>
    </row>
    <row r="38075" spans="129:129" x14ac:dyDescent="0.2">
      <c r="DY38075" s="185" t="s">
        <v>215</v>
      </c>
    </row>
    <row r="38076" spans="129:129" x14ac:dyDescent="0.2">
      <c r="DY38076" s="185" t="s">
        <v>215</v>
      </c>
    </row>
    <row r="38077" spans="129:129" x14ac:dyDescent="0.2">
      <c r="DY38077" s="185" t="s">
        <v>215</v>
      </c>
    </row>
    <row r="38078" spans="129:129" x14ac:dyDescent="0.2">
      <c r="DY38078" s="185" t="s">
        <v>215</v>
      </c>
    </row>
    <row r="38079" spans="129:129" x14ac:dyDescent="0.2">
      <c r="DY38079" s="185" t="s">
        <v>215</v>
      </c>
    </row>
    <row r="38080" spans="129:129" x14ac:dyDescent="0.2">
      <c r="DY38080" s="185" t="s">
        <v>215</v>
      </c>
    </row>
    <row r="38081" spans="129:129" x14ac:dyDescent="0.2">
      <c r="DY38081" s="185" t="s">
        <v>215</v>
      </c>
    </row>
    <row r="38082" spans="129:129" x14ac:dyDescent="0.2">
      <c r="DY38082" s="185" t="s">
        <v>215</v>
      </c>
    </row>
    <row r="38083" spans="129:129" x14ac:dyDescent="0.2">
      <c r="DY38083" s="185" t="s">
        <v>215</v>
      </c>
    </row>
    <row r="38084" spans="129:129" x14ac:dyDescent="0.2">
      <c r="DY38084" s="185" t="s">
        <v>215</v>
      </c>
    </row>
    <row r="38085" spans="129:129" x14ac:dyDescent="0.2">
      <c r="DY38085" s="185" t="s">
        <v>215</v>
      </c>
    </row>
    <row r="38086" spans="129:129" x14ac:dyDescent="0.2">
      <c r="DY38086" s="185" t="s">
        <v>215</v>
      </c>
    </row>
    <row r="38087" spans="129:129" x14ac:dyDescent="0.2">
      <c r="DY38087" s="185" t="s">
        <v>215</v>
      </c>
    </row>
    <row r="38088" spans="129:129" x14ac:dyDescent="0.2">
      <c r="DY38088" s="185" t="s">
        <v>215</v>
      </c>
    </row>
    <row r="38089" spans="129:129" x14ac:dyDescent="0.2">
      <c r="DY38089" s="185" t="s">
        <v>215</v>
      </c>
    </row>
    <row r="38090" spans="129:129" x14ac:dyDescent="0.2">
      <c r="DY38090" s="185" t="s">
        <v>215</v>
      </c>
    </row>
    <row r="38091" spans="129:129" x14ac:dyDescent="0.2">
      <c r="DY38091" s="185" t="s">
        <v>215</v>
      </c>
    </row>
    <row r="38092" spans="129:129" x14ac:dyDescent="0.2">
      <c r="DY38092" s="185" t="s">
        <v>215</v>
      </c>
    </row>
    <row r="38093" spans="129:129" x14ac:dyDescent="0.2">
      <c r="DY38093" s="185" t="s">
        <v>215</v>
      </c>
    </row>
    <row r="38094" spans="129:129" x14ac:dyDescent="0.2">
      <c r="DY38094" s="185" t="s">
        <v>215</v>
      </c>
    </row>
    <row r="38095" spans="129:129" x14ac:dyDescent="0.2">
      <c r="DY38095" s="185" t="s">
        <v>215</v>
      </c>
    </row>
    <row r="38096" spans="129:129" x14ac:dyDescent="0.2">
      <c r="DY38096" s="185" t="s">
        <v>215</v>
      </c>
    </row>
    <row r="38097" spans="129:129" x14ac:dyDescent="0.2">
      <c r="DY38097" s="185" t="s">
        <v>215</v>
      </c>
    </row>
    <row r="38098" spans="129:129" x14ac:dyDescent="0.2">
      <c r="DY38098" s="185" t="s">
        <v>215</v>
      </c>
    </row>
    <row r="38099" spans="129:129" x14ac:dyDescent="0.2">
      <c r="DY38099" s="185" t="s">
        <v>215</v>
      </c>
    </row>
    <row r="38100" spans="129:129" x14ac:dyDescent="0.2">
      <c r="DY38100" s="185" t="s">
        <v>215</v>
      </c>
    </row>
    <row r="38101" spans="129:129" x14ac:dyDescent="0.2">
      <c r="DY38101" s="185" t="s">
        <v>215</v>
      </c>
    </row>
    <row r="38102" spans="129:129" x14ac:dyDescent="0.2">
      <c r="DY38102" s="185" t="s">
        <v>215</v>
      </c>
    </row>
    <row r="38103" spans="129:129" x14ac:dyDescent="0.2">
      <c r="DY38103" s="185" t="s">
        <v>215</v>
      </c>
    </row>
    <row r="38104" spans="129:129" x14ac:dyDescent="0.2">
      <c r="DY38104" s="185" t="s">
        <v>215</v>
      </c>
    </row>
    <row r="38105" spans="129:129" x14ac:dyDescent="0.2">
      <c r="DY38105" s="185" t="s">
        <v>215</v>
      </c>
    </row>
    <row r="38106" spans="129:129" x14ac:dyDescent="0.2">
      <c r="DY38106" s="185" t="s">
        <v>215</v>
      </c>
    </row>
    <row r="38107" spans="129:129" x14ac:dyDescent="0.2">
      <c r="DY38107" s="185" t="s">
        <v>215</v>
      </c>
    </row>
    <row r="38108" spans="129:129" x14ac:dyDescent="0.2">
      <c r="DY38108" s="185" t="s">
        <v>215</v>
      </c>
    </row>
    <row r="38109" spans="129:129" x14ac:dyDescent="0.2">
      <c r="DY38109" s="185" t="s">
        <v>215</v>
      </c>
    </row>
    <row r="38110" spans="129:129" x14ac:dyDescent="0.2">
      <c r="DY38110" s="185" t="s">
        <v>215</v>
      </c>
    </row>
    <row r="38111" spans="129:129" x14ac:dyDescent="0.2">
      <c r="DY38111" s="185" t="s">
        <v>215</v>
      </c>
    </row>
    <row r="38112" spans="129:129" x14ac:dyDescent="0.2">
      <c r="DY38112" s="185" t="s">
        <v>215</v>
      </c>
    </row>
    <row r="38113" spans="129:129" x14ac:dyDescent="0.2">
      <c r="DY38113" s="185" t="s">
        <v>215</v>
      </c>
    </row>
    <row r="38114" spans="129:129" x14ac:dyDescent="0.2">
      <c r="DY38114" s="185" t="s">
        <v>215</v>
      </c>
    </row>
    <row r="38115" spans="129:129" x14ac:dyDescent="0.2">
      <c r="DY38115" s="185" t="s">
        <v>215</v>
      </c>
    </row>
    <row r="38116" spans="129:129" x14ac:dyDescent="0.2">
      <c r="DY38116" s="185" t="s">
        <v>215</v>
      </c>
    </row>
    <row r="38117" spans="129:129" x14ac:dyDescent="0.2">
      <c r="DY38117" s="185" t="s">
        <v>215</v>
      </c>
    </row>
    <row r="38118" spans="129:129" x14ac:dyDescent="0.2">
      <c r="DY38118" s="185" t="s">
        <v>215</v>
      </c>
    </row>
    <row r="38119" spans="129:129" x14ac:dyDescent="0.2">
      <c r="DY38119" s="185" t="s">
        <v>215</v>
      </c>
    </row>
    <row r="38120" spans="129:129" x14ac:dyDescent="0.2">
      <c r="DY38120" s="185" t="s">
        <v>215</v>
      </c>
    </row>
    <row r="38121" spans="129:129" x14ac:dyDescent="0.2">
      <c r="DY38121" s="185" t="s">
        <v>215</v>
      </c>
    </row>
    <row r="38122" spans="129:129" x14ac:dyDescent="0.2">
      <c r="DY38122" s="185" t="s">
        <v>215</v>
      </c>
    </row>
    <row r="38123" spans="129:129" x14ac:dyDescent="0.2">
      <c r="DY38123" s="185" t="s">
        <v>215</v>
      </c>
    </row>
    <row r="38124" spans="129:129" x14ac:dyDescent="0.2">
      <c r="DY38124" s="185" t="s">
        <v>215</v>
      </c>
    </row>
    <row r="38125" spans="129:129" x14ac:dyDescent="0.2">
      <c r="DY38125" s="185" t="s">
        <v>215</v>
      </c>
    </row>
    <row r="38126" spans="129:129" x14ac:dyDescent="0.2">
      <c r="DY38126" s="185" t="s">
        <v>215</v>
      </c>
    </row>
    <row r="38127" spans="129:129" x14ac:dyDescent="0.2">
      <c r="DY38127" s="185" t="s">
        <v>215</v>
      </c>
    </row>
    <row r="38128" spans="129:129" x14ac:dyDescent="0.2">
      <c r="DY38128" s="185" t="s">
        <v>215</v>
      </c>
    </row>
    <row r="38129" spans="129:129" x14ac:dyDescent="0.2">
      <c r="DY38129" s="185" t="s">
        <v>215</v>
      </c>
    </row>
    <row r="38130" spans="129:129" x14ac:dyDescent="0.2">
      <c r="DY38130" s="185" t="s">
        <v>215</v>
      </c>
    </row>
    <row r="38131" spans="129:129" x14ac:dyDescent="0.2">
      <c r="DY38131" s="185" t="s">
        <v>215</v>
      </c>
    </row>
    <row r="38132" spans="129:129" x14ac:dyDescent="0.2">
      <c r="DY38132" s="185" t="s">
        <v>215</v>
      </c>
    </row>
    <row r="38133" spans="129:129" x14ac:dyDescent="0.2">
      <c r="DY38133" s="185" t="s">
        <v>215</v>
      </c>
    </row>
    <row r="38134" spans="129:129" x14ac:dyDescent="0.2">
      <c r="DY38134" s="185" t="s">
        <v>215</v>
      </c>
    </row>
    <row r="38135" spans="129:129" x14ac:dyDescent="0.2">
      <c r="DY38135" s="185" t="s">
        <v>215</v>
      </c>
    </row>
    <row r="38136" spans="129:129" x14ac:dyDescent="0.2">
      <c r="DY38136" s="185" t="s">
        <v>215</v>
      </c>
    </row>
    <row r="38137" spans="129:129" x14ac:dyDescent="0.2">
      <c r="DY38137" s="185" t="s">
        <v>215</v>
      </c>
    </row>
    <row r="38138" spans="129:129" x14ac:dyDescent="0.2">
      <c r="DY38138" s="185" t="s">
        <v>215</v>
      </c>
    </row>
    <row r="38139" spans="129:129" x14ac:dyDescent="0.2">
      <c r="DY38139" s="185" t="s">
        <v>215</v>
      </c>
    </row>
    <row r="38140" spans="129:129" x14ac:dyDescent="0.2">
      <c r="DY38140" s="185" t="s">
        <v>215</v>
      </c>
    </row>
    <row r="38141" spans="129:129" x14ac:dyDescent="0.2">
      <c r="DY38141" s="185" t="s">
        <v>215</v>
      </c>
    </row>
    <row r="38142" spans="129:129" x14ac:dyDescent="0.2">
      <c r="DY38142" s="185" t="s">
        <v>215</v>
      </c>
    </row>
    <row r="38143" spans="129:129" x14ac:dyDescent="0.2">
      <c r="DY38143" s="185" t="s">
        <v>215</v>
      </c>
    </row>
    <row r="38144" spans="129:129" x14ac:dyDescent="0.2">
      <c r="DY38144" s="185" t="s">
        <v>215</v>
      </c>
    </row>
    <row r="38145" spans="129:129" x14ac:dyDescent="0.2">
      <c r="DY38145" s="185" t="s">
        <v>215</v>
      </c>
    </row>
    <row r="38146" spans="129:129" x14ac:dyDescent="0.2">
      <c r="DY38146" s="185" t="s">
        <v>215</v>
      </c>
    </row>
    <row r="38147" spans="129:129" x14ac:dyDescent="0.2">
      <c r="DY38147" s="185" t="s">
        <v>215</v>
      </c>
    </row>
    <row r="38148" spans="129:129" x14ac:dyDescent="0.2">
      <c r="DY38148" s="185" t="s">
        <v>215</v>
      </c>
    </row>
    <row r="38149" spans="129:129" x14ac:dyDescent="0.2">
      <c r="DY38149" s="185" t="s">
        <v>215</v>
      </c>
    </row>
    <row r="38150" spans="129:129" x14ac:dyDescent="0.2">
      <c r="DY38150" s="185" t="s">
        <v>215</v>
      </c>
    </row>
    <row r="38151" spans="129:129" x14ac:dyDescent="0.2">
      <c r="DY38151" s="185" t="s">
        <v>215</v>
      </c>
    </row>
    <row r="38152" spans="129:129" x14ac:dyDescent="0.2">
      <c r="DY38152" s="185" t="s">
        <v>215</v>
      </c>
    </row>
    <row r="38153" spans="129:129" x14ac:dyDescent="0.2">
      <c r="DY38153" s="185" t="s">
        <v>215</v>
      </c>
    </row>
    <row r="38154" spans="129:129" x14ac:dyDescent="0.2">
      <c r="DY38154" s="185" t="s">
        <v>215</v>
      </c>
    </row>
    <row r="38155" spans="129:129" x14ac:dyDescent="0.2">
      <c r="DY38155" s="185" t="s">
        <v>215</v>
      </c>
    </row>
    <row r="38156" spans="129:129" x14ac:dyDescent="0.2">
      <c r="DY38156" s="185" t="s">
        <v>215</v>
      </c>
    </row>
    <row r="38157" spans="129:129" x14ac:dyDescent="0.2">
      <c r="DY38157" s="185" t="s">
        <v>215</v>
      </c>
    </row>
    <row r="38158" spans="129:129" x14ac:dyDescent="0.2">
      <c r="DY38158" s="185" t="s">
        <v>215</v>
      </c>
    </row>
    <row r="38159" spans="129:129" x14ac:dyDescent="0.2">
      <c r="DY38159" s="185" t="s">
        <v>215</v>
      </c>
    </row>
    <row r="38160" spans="129:129" x14ac:dyDescent="0.2">
      <c r="DY38160" s="185" t="s">
        <v>215</v>
      </c>
    </row>
    <row r="38161" spans="129:129" x14ac:dyDescent="0.2">
      <c r="DY38161" s="185" t="s">
        <v>215</v>
      </c>
    </row>
    <row r="38162" spans="129:129" x14ac:dyDescent="0.2">
      <c r="DY38162" s="185" t="s">
        <v>215</v>
      </c>
    </row>
    <row r="38163" spans="129:129" x14ac:dyDescent="0.2">
      <c r="DY38163" s="185" t="s">
        <v>215</v>
      </c>
    </row>
    <row r="38164" spans="129:129" x14ac:dyDescent="0.2">
      <c r="DY38164" s="185" t="s">
        <v>215</v>
      </c>
    </row>
    <row r="38165" spans="129:129" x14ac:dyDescent="0.2">
      <c r="DY38165" s="185" t="s">
        <v>215</v>
      </c>
    </row>
    <row r="38166" spans="129:129" x14ac:dyDescent="0.2">
      <c r="DY38166" s="185" t="s">
        <v>215</v>
      </c>
    </row>
    <row r="38167" spans="129:129" x14ac:dyDescent="0.2">
      <c r="DY38167" s="185" t="s">
        <v>215</v>
      </c>
    </row>
    <row r="38168" spans="129:129" x14ac:dyDescent="0.2">
      <c r="DY38168" s="185" t="s">
        <v>215</v>
      </c>
    </row>
    <row r="38169" spans="129:129" x14ac:dyDescent="0.2">
      <c r="DY38169" s="185" t="s">
        <v>215</v>
      </c>
    </row>
    <row r="38170" spans="129:129" x14ac:dyDescent="0.2">
      <c r="DY38170" s="185" t="s">
        <v>215</v>
      </c>
    </row>
    <row r="38171" spans="129:129" x14ac:dyDescent="0.2">
      <c r="DY38171" s="185" t="s">
        <v>215</v>
      </c>
    </row>
    <row r="38172" spans="129:129" x14ac:dyDescent="0.2">
      <c r="DY38172" s="185" t="s">
        <v>215</v>
      </c>
    </row>
    <row r="38173" spans="129:129" x14ac:dyDescent="0.2">
      <c r="DY38173" s="185" t="s">
        <v>215</v>
      </c>
    </row>
    <row r="38174" spans="129:129" x14ac:dyDescent="0.2">
      <c r="DY38174" s="185" t="s">
        <v>215</v>
      </c>
    </row>
    <row r="38175" spans="129:129" x14ac:dyDescent="0.2">
      <c r="DY38175" s="185" t="s">
        <v>215</v>
      </c>
    </row>
    <row r="38176" spans="129:129" x14ac:dyDescent="0.2">
      <c r="DY38176" s="185" t="s">
        <v>215</v>
      </c>
    </row>
    <row r="38177" spans="129:129" x14ac:dyDescent="0.2">
      <c r="DY38177" s="185" t="s">
        <v>215</v>
      </c>
    </row>
    <row r="38178" spans="129:129" x14ac:dyDescent="0.2">
      <c r="DY38178" s="185" t="s">
        <v>215</v>
      </c>
    </row>
    <row r="38179" spans="129:129" x14ac:dyDescent="0.2">
      <c r="DY38179" s="185" t="s">
        <v>215</v>
      </c>
    </row>
    <row r="38180" spans="129:129" x14ac:dyDescent="0.2">
      <c r="DY38180" s="185" t="s">
        <v>215</v>
      </c>
    </row>
    <row r="38181" spans="129:129" x14ac:dyDescent="0.2">
      <c r="DY38181" s="185" t="s">
        <v>215</v>
      </c>
    </row>
    <row r="38182" spans="129:129" x14ac:dyDescent="0.2">
      <c r="DY38182" s="185" t="s">
        <v>215</v>
      </c>
    </row>
    <row r="38183" spans="129:129" x14ac:dyDescent="0.2">
      <c r="DY38183" s="185" t="s">
        <v>215</v>
      </c>
    </row>
    <row r="38184" spans="129:129" x14ac:dyDescent="0.2">
      <c r="DY38184" s="185" t="s">
        <v>215</v>
      </c>
    </row>
    <row r="38185" spans="129:129" x14ac:dyDescent="0.2">
      <c r="DY38185" s="185" t="s">
        <v>215</v>
      </c>
    </row>
    <row r="38186" spans="129:129" x14ac:dyDescent="0.2">
      <c r="DY38186" s="185" t="s">
        <v>215</v>
      </c>
    </row>
    <row r="38187" spans="129:129" x14ac:dyDescent="0.2">
      <c r="DY38187" s="185" t="s">
        <v>215</v>
      </c>
    </row>
    <row r="38188" spans="129:129" x14ac:dyDescent="0.2">
      <c r="DY38188" s="185" t="s">
        <v>215</v>
      </c>
    </row>
    <row r="38189" spans="129:129" x14ac:dyDescent="0.2">
      <c r="DY38189" s="185" t="s">
        <v>215</v>
      </c>
    </row>
    <row r="38190" spans="129:129" x14ac:dyDescent="0.2">
      <c r="DY38190" s="185" t="s">
        <v>215</v>
      </c>
    </row>
    <row r="38191" spans="129:129" x14ac:dyDescent="0.2">
      <c r="DY38191" s="185" t="s">
        <v>215</v>
      </c>
    </row>
    <row r="38192" spans="129:129" x14ac:dyDescent="0.2">
      <c r="DY38192" s="185" t="s">
        <v>215</v>
      </c>
    </row>
    <row r="38193" spans="129:129" x14ac:dyDescent="0.2">
      <c r="DY38193" s="185" t="s">
        <v>215</v>
      </c>
    </row>
    <row r="38194" spans="129:129" x14ac:dyDescent="0.2">
      <c r="DY38194" s="185" t="s">
        <v>215</v>
      </c>
    </row>
    <row r="38195" spans="129:129" x14ac:dyDescent="0.2">
      <c r="DY38195" s="185" t="s">
        <v>215</v>
      </c>
    </row>
    <row r="38196" spans="129:129" x14ac:dyDescent="0.2">
      <c r="DY38196" s="185" t="s">
        <v>215</v>
      </c>
    </row>
    <row r="38197" spans="129:129" x14ac:dyDescent="0.2">
      <c r="DY38197" s="185" t="s">
        <v>215</v>
      </c>
    </row>
    <row r="38198" spans="129:129" x14ac:dyDescent="0.2">
      <c r="DY38198" s="185" t="s">
        <v>215</v>
      </c>
    </row>
    <row r="38199" spans="129:129" x14ac:dyDescent="0.2">
      <c r="DY38199" s="185" t="s">
        <v>215</v>
      </c>
    </row>
    <row r="38200" spans="129:129" x14ac:dyDescent="0.2">
      <c r="DY38200" s="185" t="s">
        <v>215</v>
      </c>
    </row>
    <row r="38201" spans="129:129" x14ac:dyDescent="0.2">
      <c r="DY38201" s="185" t="s">
        <v>215</v>
      </c>
    </row>
    <row r="38202" spans="129:129" x14ac:dyDescent="0.2">
      <c r="DY38202" s="185" t="s">
        <v>215</v>
      </c>
    </row>
    <row r="38203" spans="129:129" x14ac:dyDescent="0.2">
      <c r="DY38203" s="185" t="s">
        <v>215</v>
      </c>
    </row>
    <row r="38204" spans="129:129" x14ac:dyDescent="0.2">
      <c r="DY38204" s="185" t="s">
        <v>215</v>
      </c>
    </row>
    <row r="38205" spans="129:129" x14ac:dyDescent="0.2">
      <c r="DY38205" s="185" t="s">
        <v>215</v>
      </c>
    </row>
    <row r="38206" spans="129:129" x14ac:dyDescent="0.2">
      <c r="DY38206" s="185" t="s">
        <v>215</v>
      </c>
    </row>
    <row r="38207" spans="129:129" x14ac:dyDescent="0.2">
      <c r="DY38207" s="185" t="s">
        <v>215</v>
      </c>
    </row>
    <row r="38208" spans="129:129" x14ac:dyDescent="0.2">
      <c r="DY38208" s="185" t="s">
        <v>215</v>
      </c>
    </row>
    <row r="38209" spans="129:129" x14ac:dyDescent="0.2">
      <c r="DY38209" s="185" t="s">
        <v>215</v>
      </c>
    </row>
    <row r="38210" spans="129:129" x14ac:dyDescent="0.2">
      <c r="DY38210" s="185" t="s">
        <v>215</v>
      </c>
    </row>
    <row r="38211" spans="129:129" x14ac:dyDescent="0.2">
      <c r="DY38211" s="185" t="s">
        <v>215</v>
      </c>
    </row>
    <row r="38212" spans="129:129" x14ac:dyDescent="0.2">
      <c r="DY38212" s="185" t="s">
        <v>215</v>
      </c>
    </row>
    <row r="38213" spans="129:129" x14ac:dyDescent="0.2">
      <c r="DY38213" s="185" t="s">
        <v>215</v>
      </c>
    </row>
    <row r="38214" spans="129:129" x14ac:dyDescent="0.2">
      <c r="DY38214" s="185" t="s">
        <v>215</v>
      </c>
    </row>
    <row r="38215" spans="129:129" x14ac:dyDescent="0.2">
      <c r="DY38215" s="185" t="s">
        <v>215</v>
      </c>
    </row>
    <row r="38216" spans="129:129" x14ac:dyDescent="0.2">
      <c r="DY38216" s="185" t="s">
        <v>215</v>
      </c>
    </row>
    <row r="38217" spans="129:129" x14ac:dyDescent="0.2">
      <c r="DY38217" s="185" t="s">
        <v>215</v>
      </c>
    </row>
    <row r="38218" spans="129:129" x14ac:dyDescent="0.2">
      <c r="DY38218" s="185" t="s">
        <v>215</v>
      </c>
    </row>
    <row r="38219" spans="129:129" x14ac:dyDescent="0.2">
      <c r="DY38219" s="185" t="s">
        <v>215</v>
      </c>
    </row>
    <row r="38220" spans="129:129" x14ac:dyDescent="0.2">
      <c r="DY38220" s="185" t="s">
        <v>215</v>
      </c>
    </row>
    <row r="38221" spans="129:129" x14ac:dyDescent="0.2">
      <c r="DY38221" s="185" t="s">
        <v>215</v>
      </c>
    </row>
    <row r="38222" spans="129:129" x14ac:dyDescent="0.2">
      <c r="DY38222" s="185" t="s">
        <v>215</v>
      </c>
    </row>
    <row r="38223" spans="129:129" x14ac:dyDescent="0.2">
      <c r="DY38223" s="185" t="s">
        <v>215</v>
      </c>
    </row>
    <row r="38224" spans="129:129" x14ac:dyDescent="0.2">
      <c r="DY38224" s="185" t="s">
        <v>215</v>
      </c>
    </row>
    <row r="38225" spans="129:129" x14ac:dyDescent="0.2">
      <c r="DY38225" s="185" t="s">
        <v>215</v>
      </c>
    </row>
    <row r="38226" spans="129:129" x14ac:dyDescent="0.2">
      <c r="DY38226" s="185" t="s">
        <v>215</v>
      </c>
    </row>
    <row r="38227" spans="129:129" x14ac:dyDescent="0.2">
      <c r="DY38227" s="185" t="s">
        <v>215</v>
      </c>
    </row>
    <row r="38228" spans="129:129" x14ac:dyDescent="0.2">
      <c r="DY38228" s="185" t="s">
        <v>215</v>
      </c>
    </row>
    <row r="38229" spans="129:129" x14ac:dyDescent="0.2">
      <c r="DY38229" s="185" t="s">
        <v>215</v>
      </c>
    </row>
    <row r="38230" spans="129:129" x14ac:dyDescent="0.2">
      <c r="DY38230" s="185" t="s">
        <v>215</v>
      </c>
    </row>
    <row r="38231" spans="129:129" x14ac:dyDescent="0.2">
      <c r="DY38231" s="185" t="s">
        <v>215</v>
      </c>
    </row>
    <row r="38232" spans="129:129" x14ac:dyDescent="0.2">
      <c r="DY38232" s="185" t="s">
        <v>215</v>
      </c>
    </row>
    <row r="38233" spans="129:129" x14ac:dyDescent="0.2">
      <c r="DY38233" s="185" t="s">
        <v>215</v>
      </c>
    </row>
    <row r="38234" spans="129:129" x14ac:dyDescent="0.2">
      <c r="DY38234" s="185" t="s">
        <v>215</v>
      </c>
    </row>
    <row r="38235" spans="129:129" x14ac:dyDescent="0.2">
      <c r="DY38235" s="185" t="s">
        <v>215</v>
      </c>
    </row>
    <row r="38236" spans="129:129" x14ac:dyDescent="0.2">
      <c r="DY38236" s="185" t="s">
        <v>215</v>
      </c>
    </row>
    <row r="38237" spans="129:129" x14ac:dyDescent="0.2">
      <c r="DY38237" s="185" t="s">
        <v>215</v>
      </c>
    </row>
    <row r="38238" spans="129:129" x14ac:dyDescent="0.2">
      <c r="DY38238" s="185" t="s">
        <v>215</v>
      </c>
    </row>
    <row r="38239" spans="129:129" x14ac:dyDescent="0.2">
      <c r="DY38239" s="185" t="s">
        <v>215</v>
      </c>
    </row>
    <row r="38240" spans="129:129" x14ac:dyDescent="0.2">
      <c r="DY38240" s="185" t="s">
        <v>215</v>
      </c>
    </row>
    <row r="38241" spans="129:129" x14ac:dyDescent="0.2">
      <c r="DY38241" s="185" t="s">
        <v>215</v>
      </c>
    </row>
    <row r="38242" spans="129:129" x14ac:dyDescent="0.2">
      <c r="DY38242" s="185" t="s">
        <v>215</v>
      </c>
    </row>
    <row r="38243" spans="129:129" x14ac:dyDescent="0.2">
      <c r="DY38243" s="185" t="s">
        <v>215</v>
      </c>
    </row>
    <row r="38244" spans="129:129" x14ac:dyDescent="0.2">
      <c r="DY38244" s="185" t="s">
        <v>215</v>
      </c>
    </row>
    <row r="38245" spans="129:129" x14ac:dyDescent="0.2">
      <c r="DY38245" s="185" t="s">
        <v>215</v>
      </c>
    </row>
    <row r="38246" spans="129:129" x14ac:dyDescent="0.2">
      <c r="DY38246" s="185" t="s">
        <v>215</v>
      </c>
    </row>
    <row r="38247" spans="129:129" x14ac:dyDescent="0.2">
      <c r="DY38247" s="185" t="s">
        <v>215</v>
      </c>
    </row>
    <row r="38248" spans="129:129" x14ac:dyDescent="0.2">
      <c r="DY38248" s="185" t="s">
        <v>215</v>
      </c>
    </row>
    <row r="38249" spans="129:129" x14ac:dyDescent="0.2">
      <c r="DY38249" s="185" t="s">
        <v>215</v>
      </c>
    </row>
    <row r="38250" spans="129:129" x14ac:dyDescent="0.2">
      <c r="DY38250" s="185" t="s">
        <v>215</v>
      </c>
    </row>
    <row r="38251" spans="129:129" x14ac:dyDescent="0.2">
      <c r="DY38251" s="185" t="s">
        <v>215</v>
      </c>
    </row>
    <row r="38252" spans="129:129" x14ac:dyDescent="0.2">
      <c r="DY38252" s="185" t="s">
        <v>215</v>
      </c>
    </row>
    <row r="38253" spans="129:129" x14ac:dyDescent="0.2">
      <c r="DY38253" s="185" t="s">
        <v>215</v>
      </c>
    </row>
    <row r="38254" spans="129:129" x14ac:dyDescent="0.2">
      <c r="DY38254" s="185" t="s">
        <v>215</v>
      </c>
    </row>
    <row r="38255" spans="129:129" x14ac:dyDescent="0.2">
      <c r="DY38255" s="185" t="s">
        <v>215</v>
      </c>
    </row>
    <row r="38256" spans="129:129" x14ac:dyDescent="0.2">
      <c r="DY38256" s="185" t="s">
        <v>215</v>
      </c>
    </row>
    <row r="38257" spans="129:129" x14ac:dyDescent="0.2">
      <c r="DY38257" s="185" t="s">
        <v>215</v>
      </c>
    </row>
    <row r="38258" spans="129:129" x14ac:dyDescent="0.2">
      <c r="DY38258" s="185" t="s">
        <v>215</v>
      </c>
    </row>
    <row r="38259" spans="129:129" x14ac:dyDescent="0.2">
      <c r="DY38259" s="185" t="s">
        <v>215</v>
      </c>
    </row>
    <row r="38260" spans="129:129" x14ac:dyDescent="0.2">
      <c r="DY38260" s="185" t="s">
        <v>215</v>
      </c>
    </row>
    <row r="38261" spans="129:129" x14ac:dyDescent="0.2">
      <c r="DY38261" s="185" t="s">
        <v>215</v>
      </c>
    </row>
    <row r="38262" spans="129:129" x14ac:dyDescent="0.2">
      <c r="DY38262" s="185" t="s">
        <v>215</v>
      </c>
    </row>
    <row r="38263" spans="129:129" x14ac:dyDescent="0.2">
      <c r="DY38263" s="185" t="s">
        <v>215</v>
      </c>
    </row>
    <row r="38264" spans="129:129" x14ac:dyDescent="0.2">
      <c r="DY38264" s="185" t="s">
        <v>215</v>
      </c>
    </row>
    <row r="38265" spans="129:129" x14ac:dyDescent="0.2">
      <c r="DY38265" s="185" t="s">
        <v>215</v>
      </c>
    </row>
    <row r="38266" spans="129:129" x14ac:dyDescent="0.2">
      <c r="DY38266" s="185" t="s">
        <v>215</v>
      </c>
    </row>
    <row r="38267" spans="129:129" x14ac:dyDescent="0.2">
      <c r="DY38267" s="185" t="s">
        <v>215</v>
      </c>
    </row>
    <row r="38268" spans="129:129" x14ac:dyDescent="0.2">
      <c r="DY38268" s="185" t="s">
        <v>215</v>
      </c>
    </row>
    <row r="38269" spans="129:129" x14ac:dyDescent="0.2">
      <c r="DY38269" s="185" t="s">
        <v>215</v>
      </c>
    </row>
    <row r="38270" spans="129:129" x14ac:dyDescent="0.2">
      <c r="DY38270" s="185" t="s">
        <v>215</v>
      </c>
    </row>
    <row r="38271" spans="129:129" x14ac:dyDescent="0.2">
      <c r="DY38271" s="185" t="s">
        <v>215</v>
      </c>
    </row>
    <row r="38272" spans="129:129" x14ac:dyDescent="0.2">
      <c r="DY38272" s="185" t="s">
        <v>215</v>
      </c>
    </row>
    <row r="38273" spans="129:129" x14ac:dyDescent="0.2">
      <c r="DY38273" s="185" t="s">
        <v>215</v>
      </c>
    </row>
    <row r="38274" spans="129:129" x14ac:dyDescent="0.2">
      <c r="DY38274" s="185" t="s">
        <v>215</v>
      </c>
    </row>
    <row r="38275" spans="129:129" x14ac:dyDescent="0.2">
      <c r="DY38275" s="185" t="s">
        <v>215</v>
      </c>
    </row>
    <row r="38276" spans="129:129" x14ac:dyDescent="0.2">
      <c r="DY38276" s="185" t="s">
        <v>215</v>
      </c>
    </row>
    <row r="38277" spans="129:129" x14ac:dyDescent="0.2">
      <c r="DY38277" s="185" t="s">
        <v>215</v>
      </c>
    </row>
    <row r="38278" spans="129:129" x14ac:dyDescent="0.2">
      <c r="DY38278" s="185" t="s">
        <v>215</v>
      </c>
    </row>
    <row r="38279" spans="129:129" x14ac:dyDescent="0.2">
      <c r="DY38279" s="185" t="s">
        <v>215</v>
      </c>
    </row>
    <row r="38280" spans="129:129" x14ac:dyDescent="0.2">
      <c r="DY38280" s="185" t="s">
        <v>215</v>
      </c>
    </row>
    <row r="38281" spans="129:129" x14ac:dyDescent="0.2">
      <c r="DY38281" s="185" t="s">
        <v>215</v>
      </c>
    </row>
    <row r="38282" spans="129:129" x14ac:dyDescent="0.2">
      <c r="DY38282" s="185" t="s">
        <v>215</v>
      </c>
    </row>
    <row r="38283" spans="129:129" x14ac:dyDescent="0.2">
      <c r="DY38283" s="185" t="s">
        <v>215</v>
      </c>
    </row>
    <row r="38284" spans="129:129" x14ac:dyDescent="0.2">
      <c r="DY38284" s="185" t="s">
        <v>215</v>
      </c>
    </row>
    <row r="38285" spans="129:129" x14ac:dyDescent="0.2">
      <c r="DY38285" s="185" t="s">
        <v>215</v>
      </c>
    </row>
    <row r="38286" spans="129:129" x14ac:dyDescent="0.2">
      <c r="DY38286" s="185" t="s">
        <v>215</v>
      </c>
    </row>
    <row r="38287" spans="129:129" x14ac:dyDescent="0.2">
      <c r="DY38287" s="185" t="s">
        <v>215</v>
      </c>
    </row>
    <row r="38288" spans="129:129" x14ac:dyDescent="0.2">
      <c r="DY38288" s="185" t="s">
        <v>215</v>
      </c>
    </row>
    <row r="38289" spans="129:129" x14ac:dyDescent="0.2">
      <c r="DY38289" s="185" t="s">
        <v>215</v>
      </c>
    </row>
    <row r="38290" spans="129:129" x14ac:dyDescent="0.2">
      <c r="DY38290" s="185" t="s">
        <v>215</v>
      </c>
    </row>
    <row r="38291" spans="129:129" x14ac:dyDescent="0.2">
      <c r="DY38291" s="185" t="s">
        <v>215</v>
      </c>
    </row>
    <row r="38292" spans="129:129" x14ac:dyDescent="0.2">
      <c r="DY38292" s="185" t="s">
        <v>215</v>
      </c>
    </row>
    <row r="38293" spans="129:129" x14ac:dyDescent="0.2">
      <c r="DY38293" s="185" t="s">
        <v>215</v>
      </c>
    </row>
    <row r="38294" spans="129:129" x14ac:dyDescent="0.2">
      <c r="DY38294" s="185" t="s">
        <v>215</v>
      </c>
    </row>
    <row r="38295" spans="129:129" x14ac:dyDescent="0.2">
      <c r="DY38295" s="185" t="s">
        <v>215</v>
      </c>
    </row>
    <row r="38296" spans="129:129" x14ac:dyDescent="0.2">
      <c r="DY38296" s="185" t="s">
        <v>215</v>
      </c>
    </row>
    <row r="38297" spans="129:129" x14ac:dyDescent="0.2">
      <c r="DY38297" s="185" t="s">
        <v>215</v>
      </c>
    </row>
    <row r="38298" spans="129:129" x14ac:dyDescent="0.2">
      <c r="DY38298" s="185" t="s">
        <v>215</v>
      </c>
    </row>
    <row r="38299" spans="129:129" x14ac:dyDescent="0.2">
      <c r="DY38299" s="185" t="s">
        <v>215</v>
      </c>
    </row>
    <row r="38300" spans="129:129" x14ac:dyDescent="0.2">
      <c r="DY38300" s="185" t="s">
        <v>215</v>
      </c>
    </row>
    <row r="38301" spans="129:129" x14ac:dyDescent="0.2">
      <c r="DY38301" s="185" t="s">
        <v>215</v>
      </c>
    </row>
    <row r="38302" spans="129:129" x14ac:dyDescent="0.2">
      <c r="DY38302" s="185" t="s">
        <v>215</v>
      </c>
    </row>
    <row r="38303" spans="129:129" x14ac:dyDescent="0.2">
      <c r="DY38303" s="185" t="s">
        <v>215</v>
      </c>
    </row>
    <row r="38304" spans="129:129" x14ac:dyDescent="0.2">
      <c r="DY38304" s="185" t="s">
        <v>215</v>
      </c>
    </row>
    <row r="38305" spans="129:129" x14ac:dyDescent="0.2">
      <c r="DY38305" s="185" t="s">
        <v>215</v>
      </c>
    </row>
    <row r="38306" spans="129:129" x14ac:dyDescent="0.2">
      <c r="DY38306" s="185" t="s">
        <v>215</v>
      </c>
    </row>
    <row r="38307" spans="129:129" x14ac:dyDescent="0.2">
      <c r="DY38307" s="185" t="s">
        <v>215</v>
      </c>
    </row>
    <row r="38308" spans="129:129" x14ac:dyDescent="0.2">
      <c r="DY38308" s="185" t="s">
        <v>215</v>
      </c>
    </row>
    <row r="38309" spans="129:129" x14ac:dyDescent="0.2">
      <c r="DY38309" s="185" t="s">
        <v>215</v>
      </c>
    </row>
    <row r="38310" spans="129:129" x14ac:dyDescent="0.2">
      <c r="DY38310" s="185" t="s">
        <v>215</v>
      </c>
    </row>
    <row r="38311" spans="129:129" x14ac:dyDescent="0.2">
      <c r="DY38311" s="185" t="s">
        <v>215</v>
      </c>
    </row>
    <row r="38312" spans="129:129" x14ac:dyDescent="0.2">
      <c r="DY38312" s="185" t="s">
        <v>215</v>
      </c>
    </row>
    <row r="38313" spans="129:129" x14ac:dyDescent="0.2">
      <c r="DY38313" s="185" t="s">
        <v>215</v>
      </c>
    </row>
    <row r="38314" spans="129:129" x14ac:dyDescent="0.2">
      <c r="DY38314" s="185" t="s">
        <v>215</v>
      </c>
    </row>
    <row r="38315" spans="129:129" x14ac:dyDescent="0.2">
      <c r="DY38315" s="185" t="s">
        <v>215</v>
      </c>
    </row>
    <row r="38316" spans="129:129" x14ac:dyDescent="0.2">
      <c r="DY38316" s="185" t="s">
        <v>215</v>
      </c>
    </row>
    <row r="38317" spans="129:129" x14ac:dyDescent="0.2">
      <c r="DY38317" s="185" t="s">
        <v>215</v>
      </c>
    </row>
    <row r="38318" spans="129:129" x14ac:dyDescent="0.2">
      <c r="DY38318" s="185" t="s">
        <v>215</v>
      </c>
    </row>
    <row r="38319" spans="129:129" x14ac:dyDescent="0.2">
      <c r="DY38319" s="185" t="s">
        <v>215</v>
      </c>
    </row>
    <row r="38320" spans="129:129" x14ac:dyDescent="0.2">
      <c r="DY38320" s="185" t="s">
        <v>215</v>
      </c>
    </row>
    <row r="38321" spans="129:129" x14ac:dyDescent="0.2">
      <c r="DY38321" s="185" t="s">
        <v>215</v>
      </c>
    </row>
    <row r="38322" spans="129:129" x14ac:dyDescent="0.2">
      <c r="DY38322" s="185" t="s">
        <v>215</v>
      </c>
    </row>
    <row r="38323" spans="129:129" x14ac:dyDescent="0.2">
      <c r="DY38323" s="185" t="s">
        <v>215</v>
      </c>
    </row>
    <row r="38324" spans="129:129" x14ac:dyDescent="0.2">
      <c r="DY38324" s="185" t="s">
        <v>215</v>
      </c>
    </row>
    <row r="38325" spans="129:129" x14ac:dyDescent="0.2">
      <c r="DY38325" s="185" t="s">
        <v>215</v>
      </c>
    </row>
    <row r="38326" spans="129:129" x14ac:dyDescent="0.2">
      <c r="DY38326" s="185" t="s">
        <v>215</v>
      </c>
    </row>
    <row r="38327" spans="129:129" x14ac:dyDescent="0.2">
      <c r="DY38327" s="185" t="s">
        <v>215</v>
      </c>
    </row>
    <row r="38328" spans="129:129" x14ac:dyDescent="0.2">
      <c r="DY38328" s="185" t="s">
        <v>215</v>
      </c>
    </row>
    <row r="38329" spans="129:129" x14ac:dyDescent="0.2">
      <c r="DY38329" s="185" t="s">
        <v>215</v>
      </c>
    </row>
    <row r="38330" spans="129:129" x14ac:dyDescent="0.2">
      <c r="DY38330" s="185" t="s">
        <v>215</v>
      </c>
    </row>
    <row r="38331" spans="129:129" x14ac:dyDescent="0.2">
      <c r="DY38331" s="185" t="s">
        <v>215</v>
      </c>
    </row>
    <row r="38332" spans="129:129" x14ac:dyDescent="0.2">
      <c r="DY38332" s="185" t="s">
        <v>215</v>
      </c>
    </row>
    <row r="38333" spans="129:129" x14ac:dyDescent="0.2">
      <c r="DY38333" s="185" t="s">
        <v>215</v>
      </c>
    </row>
    <row r="38334" spans="129:129" x14ac:dyDescent="0.2">
      <c r="DY38334" s="185" t="s">
        <v>215</v>
      </c>
    </row>
    <row r="38335" spans="129:129" x14ac:dyDescent="0.2">
      <c r="DY38335" s="185" t="s">
        <v>215</v>
      </c>
    </row>
    <row r="38336" spans="129:129" x14ac:dyDescent="0.2">
      <c r="DY38336" s="185" t="s">
        <v>215</v>
      </c>
    </row>
    <row r="38337" spans="129:129" x14ac:dyDescent="0.2">
      <c r="DY38337" s="185" t="s">
        <v>215</v>
      </c>
    </row>
    <row r="38338" spans="129:129" x14ac:dyDescent="0.2">
      <c r="DY38338" s="185" t="s">
        <v>215</v>
      </c>
    </row>
    <row r="38339" spans="129:129" x14ac:dyDescent="0.2">
      <c r="DY38339" s="185" t="s">
        <v>215</v>
      </c>
    </row>
    <row r="38340" spans="129:129" x14ac:dyDescent="0.2">
      <c r="DY38340" s="185" t="s">
        <v>215</v>
      </c>
    </row>
    <row r="38341" spans="129:129" x14ac:dyDescent="0.2">
      <c r="DY38341" s="185" t="s">
        <v>215</v>
      </c>
    </row>
    <row r="38342" spans="129:129" x14ac:dyDescent="0.2">
      <c r="DY38342" s="185" t="s">
        <v>215</v>
      </c>
    </row>
    <row r="38343" spans="129:129" x14ac:dyDescent="0.2">
      <c r="DY38343" s="185" t="s">
        <v>215</v>
      </c>
    </row>
    <row r="38344" spans="129:129" x14ac:dyDescent="0.2">
      <c r="DY38344" s="185" t="s">
        <v>215</v>
      </c>
    </row>
    <row r="38345" spans="129:129" x14ac:dyDescent="0.2">
      <c r="DY38345" s="185" t="s">
        <v>215</v>
      </c>
    </row>
    <row r="38346" spans="129:129" x14ac:dyDescent="0.2">
      <c r="DY38346" s="185" t="s">
        <v>215</v>
      </c>
    </row>
    <row r="38347" spans="129:129" x14ac:dyDescent="0.2">
      <c r="DY38347" s="185" t="s">
        <v>215</v>
      </c>
    </row>
    <row r="38348" spans="129:129" x14ac:dyDescent="0.2">
      <c r="DY38348" s="185" t="s">
        <v>215</v>
      </c>
    </row>
    <row r="38349" spans="129:129" x14ac:dyDescent="0.2">
      <c r="DY38349" s="185" t="s">
        <v>215</v>
      </c>
    </row>
    <row r="38350" spans="129:129" x14ac:dyDescent="0.2">
      <c r="DY38350" s="185" t="s">
        <v>215</v>
      </c>
    </row>
    <row r="38351" spans="129:129" x14ac:dyDescent="0.2">
      <c r="DY38351" s="185" t="s">
        <v>215</v>
      </c>
    </row>
    <row r="38352" spans="129:129" x14ac:dyDescent="0.2">
      <c r="DY38352" s="185" t="s">
        <v>215</v>
      </c>
    </row>
    <row r="38353" spans="129:129" x14ac:dyDescent="0.2">
      <c r="DY38353" s="185" t="s">
        <v>215</v>
      </c>
    </row>
    <row r="38354" spans="129:129" x14ac:dyDescent="0.2">
      <c r="DY38354" s="185" t="s">
        <v>215</v>
      </c>
    </row>
    <row r="38355" spans="129:129" x14ac:dyDescent="0.2">
      <c r="DY38355" s="185" t="s">
        <v>215</v>
      </c>
    </row>
    <row r="38356" spans="129:129" x14ac:dyDescent="0.2">
      <c r="DY38356" s="185" t="s">
        <v>215</v>
      </c>
    </row>
    <row r="38357" spans="129:129" x14ac:dyDescent="0.2">
      <c r="DY38357" s="185" t="s">
        <v>215</v>
      </c>
    </row>
    <row r="38358" spans="129:129" x14ac:dyDescent="0.2">
      <c r="DY38358" s="185" t="s">
        <v>215</v>
      </c>
    </row>
    <row r="38359" spans="129:129" x14ac:dyDescent="0.2">
      <c r="DY38359" s="185" t="s">
        <v>215</v>
      </c>
    </row>
    <row r="38360" spans="129:129" x14ac:dyDescent="0.2">
      <c r="DY38360" s="185" t="s">
        <v>215</v>
      </c>
    </row>
    <row r="38361" spans="129:129" x14ac:dyDescent="0.2">
      <c r="DY38361" s="185" t="s">
        <v>215</v>
      </c>
    </row>
    <row r="38362" spans="129:129" x14ac:dyDescent="0.2">
      <c r="DY38362" s="185" t="s">
        <v>215</v>
      </c>
    </row>
    <row r="38363" spans="129:129" x14ac:dyDescent="0.2">
      <c r="DY38363" s="185" t="s">
        <v>215</v>
      </c>
    </row>
    <row r="38364" spans="129:129" x14ac:dyDescent="0.2">
      <c r="DY38364" s="185" t="s">
        <v>215</v>
      </c>
    </row>
    <row r="38365" spans="129:129" x14ac:dyDescent="0.2">
      <c r="DY38365" s="185" t="s">
        <v>215</v>
      </c>
    </row>
    <row r="38366" spans="129:129" x14ac:dyDescent="0.2">
      <c r="DY38366" s="185" t="s">
        <v>215</v>
      </c>
    </row>
    <row r="38367" spans="129:129" x14ac:dyDescent="0.2">
      <c r="DY38367" s="185" t="s">
        <v>215</v>
      </c>
    </row>
    <row r="38368" spans="129:129" x14ac:dyDescent="0.2">
      <c r="DY38368" s="185" t="s">
        <v>215</v>
      </c>
    </row>
    <row r="38369" spans="129:129" x14ac:dyDescent="0.2">
      <c r="DY38369" s="185" t="s">
        <v>215</v>
      </c>
    </row>
    <row r="38370" spans="129:129" x14ac:dyDescent="0.2">
      <c r="DY38370" s="185" t="s">
        <v>215</v>
      </c>
    </row>
    <row r="38371" spans="129:129" x14ac:dyDescent="0.2">
      <c r="DY38371" s="185" t="s">
        <v>215</v>
      </c>
    </row>
    <row r="38372" spans="129:129" x14ac:dyDescent="0.2">
      <c r="DY38372" s="185" t="s">
        <v>215</v>
      </c>
    </row>
    <row r="38373" spans="129:129" x14ac:dyDescent="0.2">
      <c r="DY38373" s="185" t="s">
        <v>215</v>
      </c>
    </row>
    <row r="38374" spans="129:129" x14ac:dyDescent="0.2">
      <c r="DY38374" s="185" t="s">
        <v>215</v>
      </c>
    </row>
    <row r="38375" spans="129:129" x14ac:dyDescent="0.2">
      <c r="DY38375" s="185" t="s">
        <v>215</v>
      </c>
    </row>
    <row r="38376" spans="129:129" x14ac:dyDescent="0.2">
      <c r="DY38376" s="185" t="s">
        <v>215</v>
      </c>
    </row>
    <row r="38377" spans="129:129" x14ac:dyDescent="0.2">
      <c r="DY38377" s="185" t="s">
        <v>215</v>
      </c>
    </row>
    <row r="38378" spans="129:129" x14ac:dyDescent="0.2">
      <c r="DY38378" s="185" t="s">
        <v>215</v>
      </c>
    </row>
    <row r="38379" spans="129:129" x14ac:dyDescent="0.2">
      <c r="DY38379" s="185" t="s">
        <v>215</v>
      </c>
    </row>
    <row r="38380" spans="129:129" x14ac:dyDescent="0.2">
      <c r="DY38380" s="185" t="s">
        <v>215</v>
      </c>
    </row>
    <row r="38381" spans="129:129" x14ac:dyDescent="0.2">
      <c r="DY38381" s="185" t="s">
        <v>215</v>
      </c>
    </row>
    <row r="38382" spans="129:129" x14ac:dyDescent="0.2">
      <c r="DY38382" s="185" t="s">
        <v>215</v>
      </c>
    </row>
    <row r="38383" spans="129:129" x14ac:dyDescent="0.2">
      <c r="DY38383" s="185" t="s">
        <v>215</v>
      </c>
    </row>
    <row r="38384" spans="129:129" x14ac:dyDescent="0.2">
      <c r="DY38384" s="185" t="s">
        <v>215</v>
      </c>
    </row>
    <row r="38385" spans="129:129" x14ac:dyDescent="0.2">
      <c r="DY38385" s="185" t="s">
        <v>215</v>
      </c>
    </row>
    <row r="38386" spans="129:129" x14ac:dyDescent="0.2">
      <c r="DY38386" s="185" t="s">
        <v>215</v>
      </c>
    </row>
    <row r="38387" spans="129:129" x14ac:dyDescent="0.2">
      <c r="DY38387" s="185" t="s">
        <v>215</v>
      </c>
    </row>
    <row r="38388" spans="129:129" x14ac:dyDescent="0.2">
      <c r="DY38388" s="185" t="s">
        <v>215</v>
      </c>
    </row>
    <row r="38389" spans="129:129" x14ac:dyDescent="0.2">
      <c r="DY38389" s="185" t="s">
        <v>215</v>
      </c>
    </row>
    <row r="38390" spans="129:129" x14ac:dyDescent="0.2">
      <c r="DY38390" s="185" t="s">
        <v>215</v>
      </c>
    </row>
    <row r="38391" spans="129:129" x14ac:dyDescent="0.2">
      <c r="DY38391" s="185" t="s">
        <v>215</v>
      </c>
    </row>
    <row r="38392" spans="129:129" x14ac:dyDescent="0.2">
      <c r="DY38392" s="185" t="s">
        <v>215</v>
      </c>
    </row>
    <row r="38393" spans="129:129" x14ac:dyDescent="0.2">
      <c r="DY38393" s="185" t="s">
        <v>215</v>
      </c>
    </row>
    <row r="38394" spans="129:129" x14ac:dyDescent="0.2">
      <c r="DY38394" s="185" t="s">
        <v>215</v>
      </c>
    </row>
    <row r="38395" spans="129:129" x14ac:dyDescent="0.2">
      <c r="DY38395" s="185" t="s">
        <v>215</v>
      </c>
    </row>
    <row r="38396" spans="129:129" x14ac:dyDescent="0.2">
      <c r="DY38396" s="185" t="s">
        <v>215</v>
      </c>
    </row>
    <row r="38397" spans="129:129" x14ac:dyDescent="0.2">
      <c r="DY38397" s="185" t="s">
        <v>215</v>
      </c>
    </row>
    <row r="38398" spans="129:129" x14ac:dyDescent="0.2">
      <c r="DY38398" s="185" t="s">
        <v>215</v>
      </c>
    </row>
    <row r="38399" spans="129:129" x14ac:dyDescent="0.2">
      <c r="DY38399" s="185" t="s">
        <v>215</v>
      </c>
    </row>
    <row r="38400" spans="129:129" x14ac:dyDescent="0.2">
      <c r="DY38400" s="185" t="s">
        <v>215</v>
      </c>
    </row>
    <row r="38401" spans="129:129" x14ac:dyDescent="0.2">
      <c r="DY38401" s="185" t="s">
        <v>215</v>
      </c>
    </row>
    <row r="38402" spans="129:129" x14ac:dyDescent="0.2">
      <c r="DY38402" s="185" t="s">
        <v>215</v>
      </c>
    </row>
    <row r="38403" spans="129:129" x14ac:dyDescent="0.2">
      <c r="DY38403" s="185" t="s">
        <v>215</v>
      </c>
    </row>
    <row r="38404" spans="129:129" x14ac:dyDescent="0.2">
      <c r="DY38404" s="185" t="s">
        <v>215</v>
      </c>
    </row>
    <row r="38405" spans="129:129" x14ac:dyDescent="0.2">
      <c r="DY38405" s="185" t="s">
        <v>215</v>
      </c>
    </row>
    <row r="38406" spans="129:129" x14ac:dyDescent="0.2">
      <c r="DY38406" s="185" t="s">
        <v>215</v>
      </c>
    </row>
    <row r="38407" spans="129:129" x14ac:dyDescent="0.2">
      <c r="DY38407" s="185" t="s">
        <v>215</v>
      </c>
    </row>
    <row r="38408" spans="129:129" x14ac:dyDescent="0.2">
      <c r="DY38408" s="185" t="s">
        <v>215</v>
      </c>
    </row>
    <row r="38409" spans="129:129" x14ac:dyDescent="0.2">
      <c r="DY38409" s="185" t="s">
        <v>215</v>
      </c>
    </row>
    <row r="38410" spans="129:129" x14ac:dyDescent="0.2">
      <c r="DY38410" s="185" t="s">
        <v>215</v>
      </c>
    </row>
    <row r="38411" spans="129:129" x14ac:dyDescent="0.2">
      <c r="DY38411" s="185" t="s">
        <v>215</v>
      </c>
    </row>
    <row r="38412" spans="129:129" x14ac:dyDescent="0.2">
      <c r="DY38412" s="185" t="s">
        <v>215</v>
      </c>
    </row>
    <row r="38413" spans="129:129" x14ac:dyDescent="0.2">
      <c r="DY38413" s="185" t="s">
        <v>215</v>
      </c>
    </row>
    <row r="38414" spans="129:129" x14ac:dyDescent="0.2">
      <c r="DY38414" s="185" t="s">
        <v>215</v>
      </c>
    </row>
    <row r="38415" spans="129:129" x14ac:dyDescent="0.2">
      <c r="DY38415" s="185" t="s">
        <v>215</v>
      </c>
    </row>
    <row r="38416" spans="129:129" x14ac:dyDescent="0.2">
      <c r="DY38416" s="185" t="s">
        <v>215</v>
      </c>
    </row>
    <row r="38417" spans="129:129" x14ac:dyDescent="0.2">
      <c r="DY38417" s="185" t="s">
        <v>215</v>
      </c>
    </row>
    <row r="38418" spans="129:129" x14ac:dyDescent="0.2">
      <c r="DY38418" s="185" t="s">
        <v>215</v>
      </c>
    </row>
    <row r="38419" spans="129:129" x14ac:dyDescent="0.2">
      <c r="DY38419" s="185" t="s">
        <v>215</v>
      </c>
    </row>
    <row r="38420" spans="129:129" x14ac:dyDescent="0.2">
      <c r="DY38420" s="185" t="s">
        <v>215</v>
      </c>
    </row>
    <row r="38421" spans="129:129" x14ac:dyDescent="0.2">
      <c r="DY38421" s="185" t="s">
        <v>215</v>
      </c>
    </row>
    <row r="38422" spans="129:129" x14ac:dyDescent="0.2">
      <c r="DY38422" s="185" t="s">
        <v>215</v>
      </c>
    </row>
    <row r="38423" spans="129:129" x14ac:dyDescent="0.2">
      <c r="DY38423" s="185" t="s">
        <v>215</v>
      </c>
    </row>
    <row r="38424" spans="129:129" x14ac:dyDescent="0.2">
      <c r="DY38424" s="185" t="s">
        <v>215</v>
      </c>
    </row>
    <row r="38425" spans="129:129" x14ac:dyDescent="0.2">
      <c r="DY38425" s="185" t="s">
        <v>215</v>
      </c>
    </row>
    <row r="38426" spans="129:129" x14ac:dyDescent="0.2">
      <c r="DY38426" s="185" t="s">
        <v>215</v>
      </c>
    </row>
    <row r="38427" spans="129:129" x14ac:dyDescent="0.2">
      <c r="DY38427" s="185" t="s">
        <v>215</v>
      </c>
    </row>
    <row r="38428" spans="129:129" x14ac:dyDescent="0.2">
      <c r="DY38428" s="185" t="s">
        <v>215</v>
      </c>
    </row>
    <row r="38429" spans="129:129" x14ac:dyDescent="0.2">
      <c r="DY38429" s="185" t="s">
        <v>215</v>
      </c>
    </row>
    <row r="38430" spans="129:129" x14ac:dyDescent="0.2">
      <c r="DY38430" s="185" t="s">
        <v>215</v>
      </c>
    </row>
    <row r="38431" spans="129:129" x14ac:dyDescent="0.2">
      <c r="DY38431" s="185" t="s">
        <v>215</v>
      </c>
    </row>
    <row r="38432" spans="129:129" x14ac:dyDescent="0.2">
      <c r="DY38432" s="185" t="s">
        <v>215</v>
      </c>
    </row>
    <row r="38433" spans="129:129" x14ac:dyDescent="0.2">
      <c r="DY38433" s="185" t="s">
        <v>215</v>
      </c>
    </row>
    <row r="38434" spans="129:129" x14ac:dyDescent="0.2">
      <c r="DY38434" s="185" t="s">
        <v>215</v>
      </c>
    </row>
    <row r="38435" spans="129:129" x14ac:dyDescent="0.2">
      <c r="DY38435" s="185" t="s">
        <v>215</v>
      </c>
    </row>
    <row r="38436" spans="129:129" x14ac:dyDescent="0.2">
      <c r="DY38436" s="185" t="s">
        <v>215</v>
      </c>
    </row>
    <row r="38437" spans="129:129" x14ac:dyDescent="0.2">
      <c r="DY38437" s="185" t="s">
        <v>215</v>
      </c>
    </row>
    <row r="38438" spans="129:129" x14ac:dyDescent="0.2">
      <c r="DY38438" s="185" t="s">
        <v>215</v>
      </c>
    </row>
    <row r="38439" spans="129:129" x14ac:dyDescent="0.2">
      <c r="DY38439" s="185" t="s">
        <v>215</v>
      </c>
    </row>
    <row r="38440" spans="129:129" x14ac:dyDescent="0.2">
      <c r="DY38440" s="185" t="s">
        <v>215</v>
      </c>
    </row>
    <row r="38441" spans="129:129" x14ac:dyDescent="0.2">
      <c r="DY38441" s="185" t="s">
        <v>215</v>
      </c>
    </row>
    <row r="38442" spans="129:129" x14ac:dyDescent="0.2">
      <c r="DY38442" s="185" t="s">
        <v>215</v>
      </c>
    </row>
    <row r="38443" spans="129:129" x14ac:dyDescent="0.2">
      <c r="DY38443" s="185" t="s">
        <v>215</v>
      </c>
    </row>
    <row r="38444" spans="129:129" x14ac:dyDescent="0.2">
      <c r="DY38444" s="185" t="s">
        <v>215</v>
      </c>
    </row>
    <row r="38445" spans="129:129" x14ac:dyDescent="0.2">
      <c r="DY38445" s="185" t="s">
        <v>215</v>
      </c>
    </row>
    <row r="38446" spans="129:129" x14ac:dyDescent="0.2">
      <c r="DY38446" s="185" t="s">
        <v>215</v>
      </c>
    </row>
    <row r="38447" spans="129:129" x14ac:dyDescent="0.2">
      <c r="DY38447" s="185" t="s">
        <v>215</v>
      </c>
    </row>
    <row r="38448" spans="129:129" x14ac:dyDescent="0.2">
      <c r="DY38448" s="185" t="s">
        <v>215</v>
      </c>
    </row>
    <row r="38449" spans="129:129" x14ac:dyDescent="0.2">
      <c r="DY38449" s="185" t="s">
        <v>215</v>
      </c>
    </row>
    <row r="38450" spans="129:129" x14ac:dyDescent="0.2">
      <c r="DY38450" s="185" t="s">
        <v>215</v>
      </c>
    </row>
    <row r="38451" spans="129:129" x14ac:dyDescent="0.2">
      <c r="DY38451" s="185" t="s">
        <v>215</v>
      </c>
    </row>
    <row r="38452" spans="129:129" x14ac:dyDescent="0.2">
      <c r="DY38452" s="185" t="s">
        <v>215</v>
      </c>
    </row>
    <row r="38453" spans="129:129" x14ac:dyDescent="0.2">
      <c r="DY38453" s="185" t="s">
        <v>215</v>
      </c>
    </row>
    <row r="38454" spans="129:129" x14ac:dyDescent="0.2">
      <c r="DY38454" s="185" t="s">
        <v>215</v>
      </c>
    </row>
    <row r="38455" spans="129:129" x14ac:dyDescent="0.2">
      <c r="DY38455" s="185" t="s">
        <v>215</v>
      </c>
    </row>
    <row r="38456" spans="129:129" x14ac:dyDescent="0.2">
      <c r="DY38456" s="185" t="s">
        <v>215</v>
      </c>
    </row>
    <row r="38457" spans="129:129" x14ac:dyDescent="0.2">
      <c r="DY38457" s="185" t="s">
        <v>215</v>
      </c>
    </row>
    <row r="38458" spans="129:129" x14ac:dyDescent="0.2">
      <c r="DY38458" s="185" t="s">
        <v>215</v>
      </c>
    </row>
    <row r="38459" spans="129:129" x14ac:dyDescent="0.2">
      <c r="DY38459" s="185" t="s">
        <v>215</v>
      </c>
    </row>
    <row r="38460" spans="129:129" x14ac:dyDescent="0.2">
      <c r="DY38460" s="185" t="s">
        <v>215</v>
      </c>
    </row>
    <row r="38461" spans="129:129" x14ac:dyDescent="0.2">
      <c r="DY38461" s="185" t="s">
        <v>215</v>
      </c>
    </row>
    <row r="38462" spans="129:129" x14ac:dyDescent="0.2">
      <c r="DY38462" s="185" t="s">
        <v>215</v>
      </c>
    </row>
    <row r="38463" spans="129:129" x14ac:dyDescent="0.2">
      <c r="DY38463" s="185" t="s">
        <v>215</v>
      </c>
    </row>
    <row r="38464" spans="129:129" x14ac:dyDescent="0.2">
      <c r="DY38464" s="185" t="s">
        <v>215</v>
      </c>
    </row>
    <row r="38465" spans="129:129" x14ac:dyDescent="0.2">
      <c r="DY38465" s="185" t="s">
        <v>215</v>
      </c>
    </row>
    <row r="38466" spans="129:129" x14ac:dyDescent="0.2">
      <c r="DY38466" s="185" t="s">
        <v>215</v>
      </c>
    </row>
    <row r="38467" spans="129:129" x14ac:dyDescent="0.2">
      <c r="DY38467" s="185" t="s">
        <v>215</v>
      </c>
    </row>
    <row r="38468" spans="129:129" x14ac:dyDescent="0.2">
      <c r="DY38468" s="185" t="s">
        <v>215</v>
      </c>
    </row>
    <row r="38469" spans="129:129" x14ac:dyDescent="0.2">
      <c r="DY38469" s="185" t="s">
        <v>215</v>
      </c>
    </row>
    <row r="38470" spans="129:129" x14ac:dyDescent="0.2">
      <c r="DY38470" s="185" t="s">
        <v>215</v>
      </c>
    </row>
    <row r="38471" spans="129:129" x14ac:dyDescent="0.2">
      <c r="DY38471" s="185" t="s">
        <v>215</v>
      </c>
    </row>
    <row r="38472" spans="129:129" x14ac:dyDescent="0.2">
      <c r="DY38472" s="185" t="s">
        <v>215</v>
      </c>
    </row>
    <row r="38473" spans="129:129" x14ac:dyDescent="0.2">
      <c r="DY38473" s="185" t="s">
        <v>215</v>
      </c>
    </row>
    <row r="38474" spans="129:129" x14ac:dyDescent="0.2">
      <c r="DY38474" s="185" t="s">
        <v>215</v>
      </c>
    </row>
    <row r="38475" spans="129:129" x14ac:dyDescent="0.2">
      <c r="DY38475" s="185" t="s">
        <v>215</v>
      </c>
    </row>
    <row r="38476" spans="129:129" x14ac:dyDescent="0.2">
      <c r="DY38476" s="185" t="s">
        <v>215</v>
      </c>
    </row>
    <row r="38477" spans="129:129" x14ac:dyDescent="0.2">
      <c r="DY38477" s="185" t="s">
        <v>215</v>
      </c>
    </row>
    <row r="38478" spans="129:129" x14ac:dyDescent="0.2">
      <c r="DY38478" s="185" t="s">
        <v>215</v>
      </c>
    </row>
    <row r="38479" spans="129:129" x14ac:dyDescent="0.2">
      <c r="DY38479" s="185" t="s">
        <v>215</v>
      </c>
    </row>
    <row r="38480" spans="129:129" x14ac:dyDescent="0.2">
      <c r="DY38480" s="185" t="s">
        <v>215</v>
      </c>
    </row>
    <row r="38481" spans="129:129" x14ac:dyDescent="0.2">
      <c r="DY38481" s="185" t="s">
        <v>215</v>
      </c>
    </row>
    <row r="38482" spans="129:129" x14ac:dyDescent="0.2">
      <c r="DY38482" s="185" t="s">
        <v>215</v>
      </c>
    </row>
    <row r="38483" spans="129:129" x14ac:dyDescent="0.2">
      <c r="DY38483" s="185" t="s">
        <v>215</v>
      </c>
    </row>
    <row r="38484" spans="129:129" x14ac:dyDescent="0.2">
      <c r="DY38484" s="185" t="s">
        <v>215</v>
      </c>
    </row>
    <row r="38485" spans="129:129" x14ac:dyDescent="0.2">
      <c r="DY38485" s="185" t="s">
        <v>215</v>
      </c>
    </row>
    <row r="38486" spans="129:129" x14ac:dyDescent="0.2">
      <c r="DY38486" s="185" t="s">
        <v>215</v>
      </c>
    </row>
    <row r="38487" spans="129:129" x14ac:dyDescent="0.2">
      <c r="DY38487" s="185" t="s">
        <v>215</v>
      </c>
    </row>
    <row r="38488" spans="129:129" x14ac:dyDescent="0.2">
      <c r="DY38488" s="185" t="s">
        <v>215</v>
      </c>
    </row>
    <row r="38489" spans="129:129" x14ac:dyDescent="0.2">
      <c r="DY38489" s="185" t="s">
        <v>215</v>
      </c>
    </row>
    <row r="38490" spans="129:129" x14ac:dyDescent="0.2">
      <c r="DY38490" s="185" t="s">
        <v>215</v>
      </c>
    </row>
    <row r="38491" spans="129:129" x14ac:dyDescent="0.2">
      <c r="DY38491" s="185" t="s">
        <v>215</v>
      </c>
    </row>
    <row r="38492" spans="129:129" x14ac:dyDescent="0.2">
      <c r="DY38492" s="185" t="s">
        <v>215</v>
      </c>
    </row>
    <row r="38493" spans="129:129" x14ac:dyDescent="0.2">
      <c r="DY38493" s="185" t="s">
        <v>215</v>
      </c>
    </row>
    <row r="38494" spans="129:129" x14ac:dyDescent="0.2">
      <c r="DY38494" s="185" t="s">
        <v>215</v>
      </c>
    </row>
    <row r="38495" spans="129:129" x14ac:dyDescent="0.2">
      <c r="DY38495" s="185" t="s">
        <v>215</v>
      </c>
    </row>
    <row r="38496" spans="129:129" x14ac:dyDescent="0.2">
      <c r="DY38496" s="185" t="s">
        <v>215</v>
      </c>
    </row>
    <row r="38497" spans="129:129" x14ac:dyDescent="0.2">
      <c r="DY38497" s="185" t="s">
        <v>215</v>
      </c>
    </row>
    <row r="38498" spans="129:129" x14ac:dyDescent="0.2">
      <c r="DY38498" s="185" t="s">
        <v>215</v>
      </c>
    </row>
    <row r="38499" spans="129:129" x14ac:dyDescent="0.2">
      <c r="DY38499" s="185" t="s">
        <v>215</v>
      </c>
    </row>
    <row r="38500" spans="129:129" x14ac:dyDescent="0.2">
      <c r="DY38500" s="185" t="s">
        <v>215</v>
      </c>
    </row>
    <row r="38501" spans="129:129" x14ac:dyDescent="0.2">
      <c r="DY38501" s="185" t="s">
        <v>215</v>
      </c>
    </row>
    <row r="38502" spans="129:129" x14ac:dyDescent="0.2">
      <c r="DY38502" s="185" t="s">
        <v>215</v>
      </c>
    </row>
    <row r="38503" spans="129:129" x14ac:dyDescent="0.2">
      <c r="DY38503" s="185" t="s">
        <v>215</v>
      </c>
    </row>
    <row r="38504" spans="129:129" x14ac:dyDescent="0.2">
      <c r="DY38504" s="185" t="s">
        <v>215</v>
      </c>
    </row>
    <row r="38505" spans="129:129" x14ac:dyDescent="0.2">
      <c r="DY38505" s="185" t="s">
        <v>215</v>
      </c>
    </row>
    <row r="38506" spans="129:129" x14ac:dyDescent="0.2">
      <c r="DY38506" s="185" t="s">
        <v>215</v>
      </c>
    </row>
    <row r="38507" spans="129:129" x14ac:dyDescent="0.2">
      <c r="DY38507" s="185" t="s">
        <v>215</v>
      </c>
    </row>
    <row r="38508" spans="129:129" x14ac:dyDescent="0.2">
      <c r="DY38508" s="185" t="s">
        <v>215</v>
      </c>
    </row>
    <row r="38509" spans="129:129" x14ac:dyDescent="0.2">
      <c r="DY38509" s="185" t="s">
        <v>215</v>
      </c>
    </row>
    <row r="38510" spans="129:129" x14ac:dyDescent="0.2">
      <c r="DY38510" s="185" t="s">
        <v>215</v>
      </c>
    </row>
    <row r="38511" spans="129:129" x14ac:dyDescent="0.2">
      <c r="DY38511" s="185" t="s">
        <v>215</v>
      </c>
    </row>
    <row r="38512" spans="129:129" x14ac:dyDescent="0.2">
      <c r="DY38512" s="185" t="s">
        <v>215</v>
      </c>
    </row>
    <row r="38513" spans="129:129" x14ac:dyDescent="0.2">
      <c r="DY38513" s="185" t="s">
        <v>215</v>
      </c>
    </row>
    <row r="38514" spans="129:129" x14ac:dyDescent="0.2">
      <c r="DY38514" s="185" t="s">
        <v>215</v>
      </c>
    </row>
    <row r="38515" spans="129:129" x14ac:dyDescent="0.2">
      <c r="DY38515" s="185" t="s">
        <v>215</v>
      </c>
    </row>
    <row r="38516" spans="129:129" x14ac:dyDescent="0.2">
      <c r="DY38516" s="185" t="s">
        <v>215</v>
      </c>
    </row>
    <row r="38517" spans="129:129" x14ac:dyDescent="0.2">
      <c r="DY38517" s="185" t="s">
        <v>215</v>
      </c>
    </row>
    <row r="38518" spans="129:129" x14ac:dyDescent="0.2">
      <c r="DY38518" s="185" t="s">
        <v>215</v>
      </c>
    </row>
    <row r="38519" spans="129:129" x14ac:dyDescent="0.2">
      <c r="DY38519" s="185" t="s">
        <v>215</v>
      </c>
    </row>
    <row r="38520" spans="129:129" x14ac:dyDescent="0.2">
      <c r="DY38520" s="185" t="s">
        <v>215</v>
      </c>
    </row>
    <row r="38521" spans="129:129" x14ac:dyDescent="0.2">
      <c r="DY38521" s="185" t="s">
        <v>215</v>
      </c>
    </row>
    <row r="38522" spans="129:129" x14ac:dyDescent="0.2">
      <c r="DY38522" s="185" t="s">
        <v>215</v>
      </c>
    </row>
    <row r="38523" spans="129:129" x14ac:dyDescent="0.2">
      <c r="DY38523" s="185" t="s">
        <v>215</v>
      </c>
    </row>
    <row r="38524" spans="129:129" x14ac:dyDescent="0.2">
      <c r="DY38524" s="185" t="s">
        <v>215</v>
      </c>
    </row>
    <row r="38525" spans="129:129" x14ac:dyDescent="0.2">
      <c r="DY38525" s="185" t="s">
        <v>215</v>
      </c>
    </row>
    <row r="38526" spans="129:129" x14ac:dyDescent="0.2">
      <c r="DY38526" s="185" t="s">
        <v>215</v>
      </c>
    </row>
    <row r="38527" spans="129:129" x14ac:dyDescent="0.2">
      <c r="DY38527" s="185" t="s">
        <v>215</v>
      </c>
    </row>
    <row r="38528" spans="129:129" x14ac:dyDescent="0.2">
      <c r="DY38528" s="185" t="s">
        <v>215</v>
      </c>
    </row>
    <row r="38529" spans="129:129" x14ac:dyDescent="0.2">
      <c r="DY38529" s="185" t="s">
        <v>215</v>
      </c>
    </row>
    <row r="38530" spans="129:129" x14ac:dyDescent="0.2">
      <c r="DY38530" s="185" t="s">
        <v>215</v>
      </c>
    </row>
    <row r="38531" spans="129:129" x14ac:dyDescent="0.2">
      <c r="DY38531" s="185" t="s">
        <v>215</v>
      </c>
    </row>
    <row r="38532" spans="129:129" x14ac:dyDescent="0.2">
      <c r="DY38532" s="185" t="s">
        <v>215</v>
      </c>
    </row>
    <row r="38533" spans="129:129" x14ac:dyDescent="0.2">
      <c r="DY38533" s="185" t="s">
        <v>215</v>
      </c>
    </row>
    <row r="38534" spans="129:129" x14ac:dyDescent="0.2">
      <c r="DY38534" s="185" t="s">
        <v>215</v>
      </c>
    </row>
    <row r="38535" spans="129:129" x14ac:dyDescent="0.2">
      <c r="DY38535" s="185" t="s">
        <v>215</v>
      </c>
    </row>
    <row r="38536" spans="129:129" x14ac:dyDescent="0.2">
      <c r="DY38536" s="185" t="s">
        <v>215</v>
      </c>
    </row>
    <row r="38537" spans="129:129" x14ac:dyDescent="0.2">
      <c r="DY38537" s="185" t="s">
        <v>215</v>
      </c>
    </row>
    <row r="38538" spans="129:129" x14ac:dyDescent="0.2">
      <c r="DY38538" s="185" t="s">
        <v>215</v>
      </c>
    </row>
    <row r="38539" spans="129:129" x14ac:dyDescent="0.2">
      <c r="DY38539" s="185" t="s">
        <v>215</v>
      </c>
    </row>
    <row r="38540" spans="129:129" x14ac:dyDescent="0.2">
      <c r="DY38540" s="185" t="s">
        <v>215</v>
      </c>
    </row>
    <row r="38541" spans="129:129" x14ac:dyDescent="0.2">
      <c r="DY38541" s="185" t="s">
        <v>215</v>
      </c>
    </row>
    <row r="38542" spans="129:129" x14ac:dyDescent="0.2">
      <c r="DY38542" s="185" t="s">
        <v>215</v>
      </c>
    </row>
    <row r="38543" spans="129:129" x14ac:dyDescent="0.2">
      <c r="DY38543" s="185" t="s">
        <v>215</v>
      </c>
    </row>
    <row r="38544" spans="129:129" x14ac:dyDescent="0.2">
      <c r="DY38544" s="185" t="s">
        <v>215</v>
      </c>
    </row>
    <row r="38545" spans="129:129" x14ac:dyDescent="0.2">
      <c r="DY38545" s="185" t="s">
        <v>215</v>
      </c>
    </row>
    <row r="38546" spans="129:129" x14ac:dyDescent="0.2">
      <c r="DY38546" s="185" t="s">
        <v>215</v>
      </c>
    </row>
    <row r="38547" spans="129:129" x14ac:dyDescent="0.2">
      <c r="DY38547" s="185" t="s">
        <v>215</v>
      </c>
    </row>
    <row r="38548" spans="129:129" x14ac:dyDescent="0.2">
      <c r="DY38548" s="185" t="s">
        <v>215</v>
      </c>
    </row>
    <row r="38549" spans="129:129" x14ac:dyDescent="0.2">
      <c r="DY38549" s="185" t="s">
        <v>215</v>
      </c>
    </row>
    <row r="38550" spans="129:129" x14ac:dyDescent="0.2">
      <c r="DY38550" s="185" t="s">
        <v>215</v>
      </c>
    </row>
    <row r="38551" spans="129:129" x14ac:dyDescent="0.2">
      <c r="DY38551" s="185" t="s">
        <v>215</v>
      </c>
    </row>
    <row r="38552" spans="129:129" x14ac:dyDescent="0.2">
      <c r="DY38552" s="185" t="s">
        <v>215</v>
      </c>
    </row>
    <row r="38553" spans="129:129" x14ac:dyDescent="0.2">
      <c r="DY38553" s="185" t="s">
        <v>215</v>
      </c>
    </row>
    <row r="38554" spans="129:129" x14ac:dyDescent="0.2">
      <c r="DY38554" s="185" t="s">
        <v>215</v>
      </c>
    </row>
    <row r="38555" spans="129:129" x14ac:dyDescent="0.2">
      <c r="DY38555" s="185" t="s">
        <v>215</v>
      </c>
    </row>
    <row r="38556" spans="129:129" x14ac:dyDescent="0.2">
      <c r="DY38556" s="185" t="s">
        <v>215</v>
      </c>
    </row>
    <row r="38557" spans="129:129" x14ac:dyDescent="0.2">
      <c r="DY38557" s="185" t="s">
        <v>215</v>
      </c>
    </row>
    <row r="38558" spans="129:129" x14ac:dyDescent="0.2">
      <c r="DY38558" s="185" t="s">
        <v>215</v>
      </c>
    </row>
    <row r="38559" spans="129:129" x14ac:dyDescent="0.2">
      <c r="DY38559" s="185" t="s">
        <v>215</v>
      </c>
    </row>
    <row r="38560" spans="129:129" x14ac:dyDescent="0.2">
      <c r="DY38560" s="185" t="s">
        <v>215</v>
      </c>
    </row>
    <row r="38561" spans="129:129" x14ac:dyDescent="0.2">
      <c r="DY38561" s="185" t="s">
        <v>215</v>
      </c>
    </row>
    <row r="38562" spans="129:129" x14ac:dyDescent="0.2">
      <c r="DY38562" s="185" t="s">
        <v>215</v>
      </c>
    </row>
    <row r="38563" spans="129:129" x14ac:dyDescent="0.2">
      <c r="DY38563" s="185" t="s">
        <v>215</v>
      </c>
    </row>
    <row r="38564" spans="129:129" x14ac:dyDescent="0.2">
      <c r="DY38564" s="185" t="s">
        <v>215</v>
      </c>
    </row>
    <row r="38565" spans="129:129" x14ac:dyDescent="0.2">
      <c r="DY38565" s="185" t="s">
        <v>215</v>
      </c>
    </row>
    <row r="38566" spans="129:129" x14ac:dyDescent="0.2">
      <c r="DY38566" s="185" t="s">
        <v>215</v>
      </c>
    </row>
    <row r="38567" spans="129:129" x14ac:dyDescent="0.2">
      <c r="DY38567" s="185" t="s">
        <v>215</v>
      </c>
    </row>
    <row r="38568" spans="129:129" x14ac:dyDescent="0.2">
      <c r="DY38568" s="185" t="s">
        <v>215</v>
      </c>
    </row>
    <row r="38569" spans="129:129" x14ac:dyDescent="0.2">
      <c r="DY38569" s="185" t="s">
        <v>215</v>
      </c>
    </row>
    <row r="38570" spans="129:129" x14ac:dyDescent="0.2">
      <c r="DY38570" s="185" t="s">
        <v>215</v>
      </c>
    </row>
    <row r="38571" spans="129:129" x14ac:dyDescent="0.2">
      <c r="DY38571" s="185" t="s">
        <v>215</v>
      </c>
    </row>
    <row r="38572" spans="129:129" x14ac:dyDescent="0.2">
      <c r="DY38572" s="185" t="s">
        <v>215</v>
      </c>
    </row>
    <row r="38573" spans="129:129" x14ac:dyDescent="0.2">
      <c r="DY38573" s="185" t="s">
        <v>215</v>
      </c>
    </row>
    <row r="38574" spans="129:129" x14ac:dyDescent="0.2">
      <c r="DY38574" s="185" t="s">
        <v>215</v>
      </c>
    </row>
    <row r="38575" spans="129:129" x14ac:dyDescent="0.2">
      <c r="DY38575" s="185" t="s">
        <v>215</v>
      </c>
    </row>
    <row r="38576" spans="129:129" x14ac:dyDescent="0.2">
      <c r="DY38576" s="185" t="s">
        <v>215</v>
      </c>
    </row>
    <row r="38577" spans="129:129" x14ac:dyDescent="0.2">
      <c r="DY38577" s="185" t="s">
        <v>215</v>
      </c>
    </row>
    <row r="38578" spans="129:129" x14ac:dyDescent="0.2">
      <c r="DY38578" s="185" t="s">
        <v>215</v>
      </c>
    </row>
    <row r="38579" spans="129:129" x14ac:dyDescent="0.2">
      <c r="DY38579" s="185" t="s">
        <v>215</v>
      </c>
    </row>
    <row r="38580" spans="129:129" x14ac:dyDescent="0.2">
      <c r="DY38580" s="185" t="s">
        <v>215</v>
      </c>
    </row>
    <row r="38581" spans="129:129" x14ac:dyDescent="0.2">
      <c r="DY38581" s="185" t="s">
        <v>215</v>
      </c>
    </row>
    <row r="38582" spans="129:129" x14ac:dyDescent="0.2">
      <c r="DY38582" s="185" t="s">
        <v>215</v>
      </c>
    </row>
    <row r="38583" spans="129:129" x14ac:dyDescent="0.2">
      <c r="DY38583" s="185" t="s">
        <v>215</v>
      </c>
    </row>
    <row r="38584" spans="129:129" x14ac:dyDescent="0.2">
      <c r="DY38584" s="185" t="s">
        <v>215</v>
      </c>
    </row>
    <row r="38585" spans="129:129" x14ac:dyDescent="0.2">
      <c r="DY38585" s="185" t="s">
        <v>215</v>
      </c>
    </row>
    <row r="38586" spans="129:129" x14ac:dyDescent="0.2">
      <c r="DY38586" s="185" t="s">
        <v>215</v>
      </c>
    </row>
    <row r="38587" spans="129:129" x14ac:dyDescent="0.2">
      <c r="DY38587" s="185" t="s">
        <v>215</v>
      </c>
    </row>
    <row r="38588" spans="129:129" x14ac:dyDescent="0.2">
      <c r="DY38588" s="185" t="s">
        <v>215</v>
      </c>
    </row>
    <row r="38589" spans="129:129" x14ac:dyDescent="0.2">
      <c r="DY38589" s="185" t="s">
        <v>215</v>
      </c>
    </row>
    <row r="38590" spans="129:129" x14ac:dyDescent="0.2">
      <c r="DY38590" s="185" t="s">
        <v>215</v>
      </c>
    </row>
    <row r="38591" spans="129:129" x14ac:dyDescent="0.2">
      <c r="DY38591" s="185" t="s">
        <v>215</v>
      </c>
    </row>
    <row r="38592" spans="129:129" x14ac:dyDescent="0.2">
      <c r="DY38592" s="185" t="s">
        <v>215</v>
      </c>
    </row>
    <row r="38593" spans="129:129" x14ac:dyDescent="0.2">
      <c r="DY38593" s="185" t="s">
        <v>215</v>
      </c>
    </row>
    <row r="38594" spans="129:129" x14ac:dyDescent="0.2">
      <c r="DY38594" s="185" t="s">
        <v>215</v>
      </c>
    </row>
    <row r="38595" spans="129:129" x14ac:dyDescent="0.2">
      <c r="DY38595" s="185" t="s">
        <v>215</v>
      </c>
    </row>
    <row r="38596" spans="129:129" x14ac:dyDescent="0.2">
      <c r="DY38596" s="185" t="s">
        <v>215</v>
      </c>
    </row>
    <row r="38597" spans="129:129" x14ac:dyDescent="0.2">
      <c r="DY38597" s="185" t="s">
        <v>215</v>
      </c>
    </row>
    <row r="38598" spans="129:129" x14ac:dyDescent="0.2">
      <c r="DY38598" s="185" t="s">
        <v>215</v>
      </c>
    </row>
    <row r="38599" spans="129:129" x14ac:dyDescent="0.2">
      <c r="DY38599" s="185" t="s">
        <v>215</v>
      </c>
    </row>
    <row r="38600" spans="129:129" x14ac:dyDescent="0.2">
      <c r="DY38600" s="185" t="s">
        <v>215</v>
      </c>
    </row>
    <row r="38601" spans="129:129" x14ac:dyDescent="0.2">
      <c r="DY38601" s="185" t="s">
        <v>215</v>
      </c>
    </row>
    <row r="38602" spans="129:129" x14ac:dyDescent="0.2">
      <c r="DY38602" s="185" t="s">
        <v>215</v>
      </c>
    </row>
    <row r="38603" spans="129:129" x14ac:dyDescent="0.2">
      <c r="DY38603" s="185" t="s">
        <v>215</v>
      </c>
    </row>
    <row r="38604" spans="129:129" x14ac:dyDescent="0.2">
      <c r="DY38604" s="185" t="s">
        <v>215</v>
      </c>
    </row>
    <row r="38605" spans="129:129" x14ac:dyDescent="0.2">
      <c r="DY38605" s="185" t="s">
        <v>215</v>
      </c>
    </row>
    <row r="38606" spans="129:129" x14ac:dyDescent="0.2">
      <c r="DY38606" s="185" t="s">
        <v>215</v>
      </c>
    </row>
    <row r="38607" spans="129:129" x14ac:dyDescent="0.2">
      <c r="DY38607" s="185" t="s">
        <v>215</v>
      </c>
    </row>
    <row r="38608" spans="129:129" x14ac:dyDescent="0.2">
      <c r="DY38608" s="185" t="s">
        <v>215</v>
      </c>
    </row>
    <row r="38609" spans="129:129" x14ac:dyDescent="0.2">
      <c r="DY38609" s="185" t="s">
        <v>215</v>
      </c>
    </row>
    <row r="38610" spans="129:129" x14ac:dyDescent="0.2">
      <c r="DY38610" s="185" t="s">
        <v>215</v>
      </c>
    </row>
    <row r="38611" spans="129:129" x14ac:dyDescent="0.2">
      <c r="DY38611" s="185" t="s">
        <v>215</v>
      </c>
    </row>
    <row r="38612" spans="129:129" x14ac:dyDescent="0.2">
      <c r="DY38612" s="185" t="s">
        <v>215</v>
      </c>
    </row>
    <row r="38613" spans="129:129" x14ac:dyDescent="0.2">
      <c r="DY38613" s="185" t="s">
        <v>215</v>
      </c>
    </row>
    <row r="38614" spans="129:129" x14ac:dyDescent="0.2">
      <c r="DY38614" s="185" t="s">
        <v>215</v>
      </c>
    </row>
    <row r="38615" spans="129:129" x14ac:dyDescent="0.2">
      <c r="DY38615" s="185" t="s">
        <v>215</v>
      </c>
    </row>
    <row r="38616" spans="129:129" x14ac:dyDescent="0.2">
      <c r="DY38616" s="185" t="s">
        <v>215</v>
      </c>
    </row>
    <row r="38617" spans="129:129" x14ac:dyDescent="0.2">
      <c r="DY38617" s="185" t="s">
        <v>215</v>
      </c>
    </row>
    <row r="38618" spans="129:129" x14ac:dyDescent="0.2">
      <c r="DY38618" s="185" t="s">
        <v>215</v>
      </c>
    </row>
    <row r="38619" spans="129:129" x14ac:dyDescent="0.2">
      <c r="DY38619" s="185" t="s">
        <v>215</v>
      </c>
    </row>
    <row r="38620" spans="129:129" x14ac:dyDescent="0.2">
      <c r="DY38620" s="185" t="s">
        <v>215</v>
      </c>
    </row>
    <row r="38621" spans="129:129" x14ac:dyDescent="0.2">
      <c r="DY38621" s="185" t="s">
        <v>215</v>
      </c>
    </row>
    <row r="38622" spans="129:129" x14ac:dyDescent="0.2">
      <c r="DY38622" s="185" t="s">
        <v>215</v>
      </c>
    </row>
    <row r="38623" spans="129:129" x14ac:dyDescent="0.2">
      <c r="DY38623" s="185" t="s">
        <v>215</v>
      </c>
    </row>
    <row r="38624" spans="129:129" x14ac:dyDescent="0.2">
      <c r="DY38624" s="185" t="s">
        <v>215</v>
      </c>
    </row>
    <row r="38625" spans="129:129" x14ac:dyDescent="0.2">
      <c r="DY38625" s="185" t="s">
        <v>215</v>
      </c>
    </row>
    <row r="38626" spans="129:129" x14ac:dyDescent="0.2">
      <c r="DY38626" s="185" t="s">
        <v>215</v>
      </c>
    </row>
    <row r="38627" spans="129:129" x14ac:dyDescent="0.2">
      <c r="DY38627" s="185" t="s">
        <v>215</v>
      </c>
    </row>
    <row r="38628" spans="129:129" x14ac:dyDescent="0.2">
      <c r="DY38628" s="185" t="s">
        <v>215</v>
      </c>
    </row>
    <row r="38629" spans="129:129" x14ac:dyDescent="0.2">
      <c r="DY38629" s="185" t="s">
        <v>215</v>
      </c>
    </row>
    <row r="38630" spans="129:129" x14ac:dyDescent="0.2">
      <c r="DY38630" s="185" t="s">
        <v>215</v>
      </c>
    </row>
    <row r="38631" spans="129:129" x14ac:dyDescent="0.2">
      <c r="DY38631" s="185" t="s">
        <v>215</v>
      </c>
    </row>
    <row r="38632" spans="129:129" x14ac:dyDescent="0.2">
      <c r="DY38632" s="185" t="s">
        <v>215</v>
      </c>
    </row>
    <row r="38633" spans="129:129" x14ac:dyDescent="0.2">
      <c r="DY38633" s="185" t="s">
        <v>215</v>
      </c>
    </row>
    <row r="38634" spans="129:129" x14ac:dyDescent="0.2">
      <c r="DY38634" s="185" t="s">
        <v>215</v>
      </c>
    </row>
    <row r="38635" spans="129:129" x14ac:dyDescent="0.2">
      <c r="DY38635" s="185" t="s">
        <v>215</v>
      </c>
    </row>
    <row r="38636" spans="129:129" x14ac:dyDescent="0.2">
      <c r="DY38636" s="185" t="s">
        <v>215</v>
      </c>
    </row>
    <row r="38637" spans="129:129" x14ac:dyDescent="0.2">
      <c r="DY38637" s="185" t="s">
        <v>215</v>
      </c>
    </row>
    <row r="38638" spans="129:129" x14ac:dyDescent="0.2">
      <c r="DY38638" s="185" t="s">
        <v>215</v>
      </c>
    </row>
    <row r="38639" spans="129:129" x14ac:dyDescent="0.2">
      <c r="DY38639" s="185" t="s">
        <v>215</v>
      </c>
    </row>
    <row r="38640" spans="129:129" x14ac:dyDescent="0.2">
      <c r="DY38640" s="185" t="s">
        <v>215</v>
      </c>
    </row>
    <row r="38641" spans="129:129" x14ac:dyDescent="0.2">
      <c r="DY38641" s="185" t="s">
        <v>215</v>
      </c>
    </row>
    <row r="38642" spans="129:129" x14ac:dyDescent="0.2">
      <c r="DY38642" s="185" t="s">
        <v>215</v>
      </c>
    </row>
    <row r="38643" spans="129:129" x14ac:dyDescent="0.2">
      <c r="DY38643" s="185" t="s">
        <v>215</v>
      </c>
    </row>
    <row r="38644" spans="129:129" x14ac:dyDescent="0.2">
      <c r="DY38644" s="185" t="s">
        <v>215</v>
      </c>
    </row>
    <row r="38645" spans="129:129" x14ac:dyDescent="0.2">
      <c r="DY38645" s="185" t="s">
        <v>215</v>
      </c>
    </row>
    <row r="38646" spans="129:129" x14ac:dyDescent="0.2">
      <c r="DY38646" s="185" t="s">
        <v>215</v>
      </c>
    </row>
    <row r="38647" spans="129:129" x14ac:dyDescent="0.2">
      <c r="DY38647" s="185" t="s">
        <v>215</v>
      </c>
    </row>
    <row r="38648" spans="129:129" x14ac:dyDescent="0.2">
      <c r="DY38648" s="185" t="s">
        <v>215</v>
      </c>
    </row>
    <row r="38649" spans="129:129" x14ac:dyDescent="0.2">
      <c r="DY38649" s="185" t="s">
        <v>215</v>
      </c>
    </row>
    <row r="38650" spans="129:129" x14ac:dyDescent="0.2">
      <c r="DY38650" s="185" t="s">
        <v>215</v>
      </c>
    </row>
    <row r="38651" spans="129:129" x14ac:dyDescent="0.2">
      <c r="DY38651" s="185" t="s">
        <v>215</v>
      </c>
    </row>
    <row r="38652" spans="129:129" x14ac:dyDescent="0.2">
      <c r="DY38652" s="185" t="s">
        <v>215</v>
      </c>
    </row>
    <row r="38653" spans="129:129" x14ac:dyDescent="0.2">
      <c r="DY38653" s="185" t="s">
        <v>215</v>
      </c>
    </row>
    <row r="38654" spans="129:129" x14ac:dyDescent="0.2">
      <c r="DY38654" s="185" t="s">
        <v>215</v>
      </c>
    </row>
    <row r="38655" spans="129:129" x14ac:dyDescent="0.2">
      <c r="DY38655" s="185" t="s">
        <v>215</v>
      </c>
    </row>
    <row r="38656" spans="129:129" x14ac:dyDescent="0.2">
      <c r="DY38656" s="185" t="s">
        <v>215</v>
      </c>
    </row>
    <row r="38657" spans="129:129" x14ac:dyDescent="0.2">
      <c r="DY38657" s="185" t="s">
        <v>215</v>
      </c>
    </row>
    <row r="38658" spans="129:129" x14ac:dyDescent="0.2">
      <c r="DY38658" s="185" t="s">
        <v>215</v>
      </c>
    </row>
    <row r="38659" spans="129:129" x14ac:dyDescent="0.2">
      <c r="DY38659" s="185" t="s">
        <v>215</v>
      </c>
    </row>
    <row r="38660" spans="129:129" x14ac:dyDescent="0.2">
      <c r="DY38660" s="185" t="s">
        <v>215</v>
      </c>
    </row>
    <row r="38661" spans="129:129" x14ac:dyDescent="0.2">
      <c r="DY38661" s="185" t="s">
        <v>215</v>
      </c>
    </row>
    <row r="38662" spans="129:129" x14ac:dyDescent="0.2">
      <c r="DY38662" s="185" t="s">
        <v>215</v>
      </c>
    </row>
    <row r="38663" spans="129:129" x14ac:dyDescent="0.2">
      <c r="DY38663" s="185" t="s">
        <v>215</v>
      </c>
    </row>
    <row r="38664" spans="129:129" x14ac:dyDescent="0.2">
      <c r="DY38664" s="185" t="s">
        <v>215</v>
      </c>
    </row>
    <row r="38665" spans="129:129" x14ac:dyDescent="0.2">
      <c r="DY38665" s="185" t="s">
        <v>215</v>
      </c>
    </row>
    <row r="38666" spans="129:129" x14ac:dyDescent="0.2">
      <c r="DY38666" s="185" t="s">
        <v>215</v>
      </c>
    </row>
    <row r="38667" spans="129:129" x14ac:dyDescent="0.2">
      <c r="DY38667" s="185" t="s">
        <v>215</v>
      </c>
    </row>
    <row r="38668" spans="129:129" x14ac:dyDescent="0.2">
      <c r="DY38668" s="185" t="s">
        <v>215</v>
      </c>
    </row>
    <row r="38669" spans="129:129" x14ac:dyDescent="0.2">
      <c r="DY38669" s="185" t="s">
        <v>215</v>
      </c>
    </row>
    <row r="38670" spans="129:129" x14ac:dyDescent="0.2">
      <c r="DY38670" s="185" t="s">
        <v>215</v>
      </c>
    </row>
    <row r="38671" spans="129:129" x14ac:dyDescent="0.2">
      <c r="DY38671" s="185" t="s">
        <v>215</v>
      </c>
    </row>
    <row r="38672" spans="129:129" x14ac:dyDescent="0.2">
      <c r="DY38672" s="185" t="s">
        <v>215</v>
      </c>
    </row>
    <row r="38673" spans="129:129" x14ac:dyDescent="0.2">
      <c r="DY38673" s="185" t="s">
        <v>215</v>
      </c>
    </row>
    <row r="38674" spans="129:129" x14ac:dyDescent="0.2">
      <c r="DY38674" s="185" t="s">
        <v>215</v>
      </c>
    </row>
    <row r="38675" spans="129:129" x14ac:dyDescent="0.2">
      <c r="DY38675" s="185" t="s">
        <v>215</v>
      </c>
    </row>
    <row r="38676" spans="129:129" x14ac:dyDescent="0.2">
      <c r="DY38676" s="185" t="s">
        <v>215</v>
      </c>
    </row>
    <row r="38677" spans="129:129" x14ac:dyDescent="0.2">
      <c r="DY38677" s="185" t="s">
        <v>215</v>
      </c>
    </row>
    <row r="38678" spans="129:129" x14ac:dyDescent="0.2">
      <c r="DY38678" s="185" t="s">
        <v>215</v>
      </c>
    </row>
    <row r="38679" spans="129:129" x14ac:dyDescent="0.2">
      <c r="DY38679" s="185" t="s">
        <v>215</v>
      </c>
    </row>
    <row r="38680" spans="129:129" x14ac:dyDescent="0.2">
      <c r="DY38680" s="185" t="s">
        <v>215</v>
      </c>
    </row>
    <row r="38681" spans="129:129" x14ac:dyDescent="0.2">
      <c r="DY38681" s="185" t="s">
        <v>215</v>
      </c>
    </row>
    <row r="38682" spans="129:129" x14ac:dyDescent="0.2">
      <c r="DY38682" s="185" t="s">
        <v>215</v>
      </c>
    </row>
    <row r="38683" spans="129:129" x14ac:dyDescent="0.2">
      <c r="DY38683" s="185" t="s">
        <v>215</v>
      </c>
    </row>
    <row r="38684" spans="129:129" x14ac:dyDescent="0.2">
      <c r="DY38684" s="185" t="s">
        <v>215</v>
      </c>
    </row>
    <row r="38685" spans="129:129" x14ac:dyDescent="0.2">
      <c r="DY38685" s="185" t="s">
        <v>215</v>
      </c>
    </row>
    <row r="38686" spans="129:129" x14ac:dyDescent="0.2">
      <c r="DY38686" s="185" t="s">
        <v>215</v>
      </c>
    </row>
    <row r="38687" spans="129:129" x14ac:dyDescent="0.2">
      <c r="DY38687" s="185" t="s">
        <v>215</v>
      </c>
    </row>
    <row r="38688" spans="129:129" x14ac:dyDescent="0.2">
      <c r="DY38688" s="185" t="s">
        <v>215</v>
      </c>
    </row>
    <row r="38689" spans="129:129" x14ac:dyDescent="0.2">
      <c r="DY38689" s="185" t="s">
        <v>215</v>
      </c>
    </row>
    <row r="38690" spans="129:129" x14ac:dyDescent="0.2">
      <c r="DY38690" s="185" t="s">
        <v>215</v>
      </c>
    </row>
    <row r="38691" spans="129:129" x14ac:dyDescent="0.2">
      <c r="DY38691" s="185" t="s">
        <v>215</v>
      </c>
    </row>
    <row r="38692" spans="129:129" x14ac:dyDescent="0.2">
      <c r="DY38692" s="185" t="s">
        <v>215</v>
      </c>
    </row>
    <row r="38693" spans="129:129" x14ac:dyDescent="0.2">
      <c r="DY38693" s="185" t="s">
        <v>215</v>
      </c>
    </row>
    <row r="38694" spans="129:129" x14ac:dyDescent="0.2">
      <c r="DY38694" s="185" t="s">
        <v>215</v>
      </c>
    </row>
    <row r="38695" spans="129:129" x14ac:dyDescent="0.2">
      <c r="DY38695" s="185" t="s">
        <v>215</v>
      </c>
    </row>
    <row r="38696" spans="129:129" x14ac:dyDescent="0.2">
      <c r="DY38696" s="185" t="s">
        <v>215</v>
      </c>
    </row>
    <row r="38697" spans="129:129" x14ac:dyDescent="0.2">
      <c r="DY38697" s="185" t="s">
        <v>215</v>
      </c>
    </row>
    <row r="38698" spans="129:129" x14ac:dyDescent="0.2">
      <c r="DY38698" s="185" t="s">
        <v>215</v>
      </c>
    </row>
    <row r="38699" spans="129:129" x14ac:dyDescent="0.2">
      <c r="DY38699" s="185" t="s">
        <v>215</v>
      </c>
    </row>
    <row r="38700" spans="129:129" x14ac:dyDescent="0.2">
      <c r="DY38700" s="185" t="s">
        <v>215</v>
      </c>
    </row>
    <row r="38701" spans="129:129" x14ac:dyDescent="0.2">
      <c r="DY38701" s="185" t="s">
        <v>215</v>
      </c>
    </row>
    <row r="38702" spans="129:129" x14ac:dyDescent="0.2">
      <c r="DY38702" s="185" t="s">
        <v>215</v>
      </c>
    </row>
    <row r="38703" spans="129:129" x14ac:dyDescent="0.2">
      <c r="DY38703" s="185" t="s">
        <v>215</v>
      </c>
    </row>
    <row r="38704" spans="129:129" x14ac:dyDescent="0.2">
      <c r="DY38704" s="185" t="s">
        <v>215</v>
      </c>
    </row>
    <row r="38705" spans="129:129" x14ac:dyDescent="0.2">
      <c r="DY38705" s="185" t="s">
        <v>215</v>
      </c>
    </row>
    <row r="38706" spans="129:129" x14ac:dyDescent="0.2">
      <c r="DY38706" s="185" t="s">
        <v>215</v>
      </c>
    </row>
    <row r="38707" spans="129:129" x14ac:dyDescent="0.2">
      <c r="DY38707" s="185" t="s">
        <v>215</v>
      </c>
    </row>
    <row r="38708" spans="129:129" x14ac:dyDescent="0.2">
      <c r="DY38708" s="185" t="s">
        <v>215</v>
      </c>
    </row>
    <row r="38709" spans="129:129" x14ac:dyDescent="0.2">
      <c r="DY38709" s="185" t="s">
        <v>215</v>
      </c>
    </row>
    <row r="38710" spans="129:129" x14ac:dyDescent="0.2">
      <c r="DY38710" s="185" t="s">
        <v>215</v>
      </c>
    </row>
    <row r="38711" spans="129:129" x14ac:dyDescent="0.2">
      <c r="DY38711" s="185" t="s">
        <v>215</v>
      </c>
    </row>
    <row r="38712" spans="129:129" x14ac:dyDescent="0.2">
      <c r="DY38712" s="185" t="s">
        <v>215</v>
      </c>
    </row>
    <row r="38713" spans="129:129" x14ac:dyDescent="0.2">
      <c r="DY38713" s="185" t="s">
        <v>215</v>
      </c>
    </row>
    <row r="38714" spans="129:129" x14ac:dyDescent="0.2">
      <c r="DY38714" s="185" t="s">
        <v>215</v>
      </c>
    </row>
    <row r="38715" spans="129:129" x14ac:dyDescent="0.2">
      <c r="DY38715" s="185" t="s">
        <v>215</v>
      </c>
    </row>
    <row r="38716" spans="129:129" x14ac:dyDescent="0.2">
      <c r="DY38716" s="185" t="s">
        <v>215</v>
      </c>
    </row>
    <row r="38717" spans="129:129" x14ac:dyDescent="0.2">
      <c r="DY38717" s="185" t="s">
        <v>215</v>
      </c>
    </row>
    <row r="38718" spans="129:129" x14ac:dyDescent="0.2">
      <c r="DY38718" s="185" t="s">
        <v>215</v>
      </c>
    </row>
    <row r="38719" spans="129:129" x14ac:dyDescent="0.2">
      <c r="DY38719" s="185" t="s">
        <v>215</v>
      </c>
    </row>
    <row r="38720" spans="129:129" x14ac:dyDescent="0.2">
      <c r="DY38720" s="185" t="s">
        <v>215</v>
      </c>
    </row>
    <row r="38721" spans="129:129" x14ac:dyDescent="0.2">
      <c r="DY38721" s="185" t="s">
        <v>215</v>
      </c>
    </row>
    <row r="38722" spans="129:129" x14ac:dyDescent="0.2">
      <c r="DY38722" s="185" t="s">
        <v>215</v>
      </c>
    </row>
    <row r="38723" spans="129:129" x14ac:dyDescent="0.2">
      <c r="DY38723" s="185" t="s">
        <v>215</v>
      </c>
    </row>
    <row r="38724" spans="129:129" x14ac:dyDescent="0.2">
      <c r="DY38724" s="185" t="s">
        <v>215</v>
      </c>
    </row>
    <row r="38725" spans="129:129" x14ac:dyDescent="0.2">
      <c r="DY38725" s="185" t="s">
        <v>215</v>
      </c>
    </row>
    <row r="38726" spans="129:129" x14ac:dyDescent="0.2">
      <c r="DY38726" s="185" t="s">
        <v>215</v>
      </c>
    </row>
    <row r="38727" spans="129:129" x14ac:dyDescent="0.2">
      <c r="DY38727" s="185" t="s">
        <v>215</v>
      </c>
    </row>
    <row r="38728" spans="129:129" x14ac:dyDescent="0.2">
      <c r="DY38728" s="185" t="s">
        <v>215</v>
      </c>
    </row>
    <row r="38729" spans="129:129" x14ac:dyDescent="0.2">
      <c r="DY38729" s="185" t="s">
        <v>215</v>
      </c>
    </row>
    <row r="38730" spans="129:129" x14ac:dyDescent="0.2">
      <c r="DY38730" s="185" t="s">
        <v>215</v>
      </c>
    </row>
    <row r="38731" spans="129:129" x14ac:dyDescent="0.2">
      <c r="DY38731" s="185" t="s">
        <v>215</v>
      </c>
    </row>
    <row r="38732" spans="129:129" x14ac:dyDescent="0.2">
      <c r="DY38732" s="185" t="s">
        <v>215</v>
      </c>
    </row>
    <row r="38733" spans="129:129" x14ac:dyDescent="0.2">
      <c r="DY38733" s="185" t="s">
        <v>215</v>
      </c>
    </row>
    <row r="38734" spans="129:129" x14ac:dyDescent="0.2">
      <c r="DY38734" s="185" t="s">
        <v>215</v>
      </c>
    </row>
    <row r="38735" spans="129:129" x14ac:dyDescent="0.2">
      <c r="DY38735" s="185" t="s">
        <v>215</v>
      </c>
    </row>
    <row r="38736" spans="129:129" x14ac:dyDescent="0.2">
      <c r="DY38736" s="185" t="s">
        <v>215</v>
      </c>
    </row>
    <row r="38737" spans="129:129" x14ac:dyDescent="0.2">
      <c r="DY38737" s="185" t="s">
        <v>215</v>
      </c>
    </row>
    <row r="38738" spans="129:129" x14ac:dyDescent="0.2">
      <c r="DY38738" s="185" t="s">
        <v>215</v>
      </c>
    </row>
    <row r="38739" spans="129:129" x14ac:dyDescent="0.2">
      <c r="DY38739" s="185" t="s">
        <v>215</v>
      </c>
    </row>
    <row r="38740" spans="129:129" x14ac:dyDescent="0.2">
      <c r="DY38740" s="185" t="s">
        <v>215</v>
      </c>
    </row>
    <row r="38741" spans="129:129" x14ac:dyDescent="0.2">
      <c r="DY38741" s="185" t="s">
        <v>215</v>
      </c>
    </row>
    <row r="38742" spans="129:129" x14ac:dyDescent="0.2">
      <c r="DY38742" s="185" t="s">
        <v>215</v>
      </c>
    </row>
    <row r="38743" spans="129:129" x14ac:dyDescent="0.2">
      <c r="DY38743" s="185" t="s">
        <v>215</v>
      </c>
    </row>
    <row r="38744" spans="129:129" x14ac:dyDescent="0.2">
      <c r="DY38744" s="185" t="s">
        <v>215</v>
      </c>
    </row>
    <row r="38745" spans="129:129" x14ac:dyDescent="0.2">
      <c r="DY38745" s="185" t="s">
        <v>215</v>
      </c>
    </row>
    <row r="38746" spans="129:129" x14ac:dyDescent="0.2">
      <c r="DY38746" s="185" t="s">
        <v>215</v>
      </c>
    </row>
    <row r="38747" spans="129:129" x14ac:dyDescent="0.2">
      <c r="DY38747" s="185" t="s">
        <v>215</v>
      </c>
    </row>
    <row r="38748" spans="129:129" x14ac:dyDescent="0.2">
      <c r="DY38748" s="185" t="s">
        <v>215</v>
      </c>
    </row>
    <row r="38749" spans="129:129" x14ac:dyDescent="0.2">
      <c r="DY38749" s="185" t="s">
        <v>215</v>
      </c>
    </row>
    <row r="38750" spans="129:129" x14ac:dyDescent="0.2">
      <c r="DY38750" s="185" t="s">
        <v>215</v>
      </c>
    </row>
    <row r="38751" spans="129:129" x14ac:dyDescent="0.2">
      <c r="DY38751" s="185" t="s">
        <v>215</v>
      </c>
    </row>
    <row r="38752" spans="129:129" x14ac:dyDescent="0.2">
      <c r="DY38752" s="185" t="s">
        <v>215</v>
      </c>
    </row>
    <row r="38753" spans="129:129" x14ac:dyDescent="0.2">
      <c r="DY38753" s="185" t="s">
        <v>215</v>
      </c>
    </row>
    <row r="38754" spans="129:129" x14ac:dyDescent="0.2">
      <c r="DY38754" s="185" t="s">
        <v>215</v>
      </c>
    </row>
    <row r="38755" spans="129:129" x14ac:dyDescent="0.2">
      <c r="DY38755" s="185" t="s">
        <v>215</v>
      </c>
    </row>
    <row r="38756" spans="129:129" x14ac:dyDescent="0.2">
      <c r="DY38756" s="185" t="s">
        <v>215</v>
      </c>
    </row>
    <row r="38757" spans="129:129" x14ac:dyDescent="0.2">
      <c r="DY38757" s="185" t="s">
        <v>215</v>
      </c>
    </row>
    <row r="38758" spans="129:129" x14ac:dyDescent="0.2">
      <c r="DY38758" s="185" t="s">
        <v>215</v>
      </c>
    </row>
    <row r="38759" spans="129:129" x14ac:dyDescent="0.2">
      <c r="DY38759" s="185" t="s">
        <v>215</v>
      </c>
    </row>
    <row r="38760" spans="129:129" x14ac:dyDescent="0.2">
      <c r="DY38760" s="185" t="s">
        <v>215</v>
      </c>
    </row>
    <row r="38761" spans="129:129" x14ac:dyDescent="0.2">
      <c r="DY38761" s="185" t="s">
        <v>215</v>
      </c>
    </row>
    <row r="38762" spans="129:129" x14ac:dyDescent="0.2">
      <c r="DY38762" s="185" t="s">
        <v>215</v>
      </c>
    </row>
    <row r="38763" spans="129:129" x14ac:dyDescent="0.2">
      <c r="DY38763" s="185" t="s">
        <v>215</v>
      </c>
    </row>
    <row r="38764" spans="129:129" x14ac:dyDescent="0.2">
      <c r="DY38764" s="185" t="s">
        <v>215</v>
      </c>
    </row>
    <row r="38765" spans="129:129" x14ac:dyDescent="0.2">
      <c r="DY38765" s="185" t="s">
        <v>215</v>
      </c>
    </row>
    <row r="38766" spans="129:129" x14ac:dyDescent="0.2">
      <c r="DY38766" s="185" t="s">
        <v>215</v>
      </c>
    </row>
    <row r="38767" spans="129:129" x14ac:dyDescent="0.2">
      <c r="DY38767" s="185" t="s">
        <v>215</v>
      </c>
    </row>
    <row r="38768" spans="129:129" x14ac:dyDescent="0.2">
      <c r="DY38768" s="185" t="s">
        <v>215</v>
      </c>
    </row>
    <row r="38769" spans="129:129" x14ac:dyDescent="0.2">
      <c r="DY38769" s="185" t="s">
        <v>215</v>
      </c>
    </row>
    <row r="38770" spans="129:129" x14ac:dyDescent="0.2">
      <c r="DY38770" s="185" t="s">
        <v>215</v>
      </c>
    </row>
    <row r="38771" spans="129:129" x14ac:dyDescent="0.2">
      <c r="DY38771" s="185" t="s">
        <v>215</v>
      </c>
    </row>
    <row r="38772" spans="129:129" x14ac:dyDescent="0.2">
      <c r="DY38772" s="185" t="s">
        <v>215</v>
      </c>
    </row>
    <row r="38773" spans="129:129" x14ac:dyDescent="0.2">
      <c r="DY38773" s="185" t="s">
        <v>215</v>
      </c>
    </row>
    <row r="38774" spans="129:129" x14ac:dyDescent="0.2">
      <c r="DY38774" s="185" t="s">
        <v>215</v>
      </c>
    </row>
    <row r="38775" spans="129:129" x14ac:dyDescent="0.2">
      <c r="DY38775" s="185" t="s">
        <v>215</v>
      </c>
    </row>
    <row r="38776" spans="129:129" x14ac:dyDescent="0.2">
      <c r="DY38776" s="185" t="s">
        <v>215</v>
      </c>
    </row>
    <row r="38777" spans="129:129" x14ac:dyDescent="0.2">
      <c r="DY38777" s="185" t="s">
        <v>215</v>
      </c>
    </row>
    <row r="38778" spans="129:129" x14ac:dyDescent="0.2">
      <c r="DY38778" s="185" t="s">
        <v>215</v>
      </c>
    </row>
    <row r="38779" spans="129:129" x14ac:dyDescent="0.2">
      <c r="DY38779" s="185" t="s">
        <v>215</v>
      </c>
    </row>
    <row r="38780" spans="129:129" x14ac:dyDescent="0.2">
      <c r="DY38780" s="185" t="s">
        <v>215</v>
      </c>
    </row>
    <row r="38781" spans="129:129" x14ac:dyDescent="0.2">
      <c r="DY38781" s="185" t="s">
        <v>215</v>
      </c>
    </row>
    <row r="38782" spans="129:129" x14ac:dyDescent="0.2">
      <c r="DY38782" s="185" t="s">
        <v>215</v>
      </c>
    </row>
    <row r="38783" spans="129:129" x14ac:dyDescent="0.2">
      <c r="DY38783" s="185" t="s">
        <v>215</v>
      </c>
    </row>
    <row r="38784" spans="129:129" x14ac:dyDescent="0.2">
      <c r="DY38784" s="185" t="s">
        <v>215</v>
      </c>
    </row>
    <row r="38785" spans="129:129" x14ac:dyDescent="0.2">
      <c r="DY38785" s="185" t="s">
        <v>215</v>
      </c>
    </row>
    <row r="38786" spans="129:129" x14ac:dyDescent="0.2">
      <c r="DY38786" s="185" t="s">
        <v>215</v>
      </c>
    </row>
    <row r="38787" spans="129:129" x14ac:dyDescent="0.2">
      <c r="DY38787" s="185" t="s">
        <v>215</v>
      </c>
    </row>
    <row r="38788" spans="129:129" x14ac:dyDescent="0.2">
      <c r="DY38788" s="185" t="s">
        <v>215</v>
      </c>
    </row>
    <row r="38789" spans="129:129" x14ac:dyDescent="0.2">
      <c r="DY38789" s="185" t="s">
        <v>215</v>
      </c>
    </row>
    <row r="38790" spans="129:129" x14ac:dyDescent="0.2">
      <c r="DY38790" s="185" t="s">
        <v>215</v>
      </c>
    </row>
    <row r="38791" spans="129:129" x14ac:dyDescent="0.2">
      <c r="DY38791" s="185" t="s">
        <v>215</v>
      </c>
    </row>
    <row r="38792" spans="129:129" x14ac:dyDescent="0.2">
      <c r="DY38792" s="185" t="s">
        <v>215</v>
      </c>
    </row>
    <row r="38793" spans="129:129" x14ac:dyDescent="0.2">
      <c r="DY38793" s="185" t="s">
        <v>215</v>
      </c>
    </row>
    <row r="38794" spans="129:129" x14ac:dyDescent="0.2">
      <c r="DY38794" s="185" t="s">
        <v>215</v>
      </c>
    </row>
    <row r="38795" spans="129:129" x14ac:dyDescent="0.2">
      <c r="DY38795" s="185" t="s">
        <v>215</v>
      </c>
    </row>
    <row r="38796" spans="129:129" x14ac:dyDescent="0.2">
      <c r="DY38796" s="185" t="s">
        <v>215</v>
      </c>
    </row>
    <row r="38797" spans="129:129" x14ac:dyDescent="0.2">
      <c r="DY38797" s="185" t="s">
        <v>215</v>
      </c>
    </row>
    <row r="38798" spans="129:129" x14ac:dyDescent="0.2">
      <c r="DY38798" s="185" t="s">
        <v>215</v>
      </c>
    </row>
    <row r="38799" spans="129:129" x14ac:dyDescent="0.2">
      <c r="DY38799" s="185" t="s">
        <v>215</v>
      </c>
    </row>
    <row r="38800" spans="129:129" x14ac:dyDescent="0.2">
      <c r="DY38800" s="185" t="s">
        <v>215</v>
      </c>
    </row>
    <row r="38801" spans="129:129" x14ac:dyDescent="0.2">
      <c r="DY38801" s="185" t="s">
        <v>215</v>
      </c>
    </row>
    <row r="38802" spans="129:129" x14ac:dyDescent="0.2">
      <c r="DY38802" s="185" t="s">
        <v>215</v>
      </c>
    </row>
    <row r="38803" spans="129:129" x14ac:dyDescent="0.2">
      <c r="DY38803" s="185" t="s">
        <v>215</v>
      </c>
    </row>
    <row r="38804" spans="129:129" x14ac:dyDescent="0.2">
      <c r="DY38804" s="185" t="s">
        <v>215</v>
      </c>
    </row>
    <row r="38805" spans="129:129" x14ac:dyDescent="0.2">
      <c r="DY38805" s="185" t="s">
        <v>215</v>
      </c>
    </row>
    <row r="38806" spans="129:129" x14ac:dyDescent="0.2">
      <c r="DY38806" s="185" t="s">
        <v>215</v>
      </c>
    </row>
    <row r="38807" spans="129:129" x14ac:dyDescent="0.2">
      <c r="DY38807" s="185" t="s">
        <v>215</v>
      </c>
    </row>
    <row r="38808" spans="129:129" x14ac:dyDescent="0.2">
      <c r="DY38808" s="185" t="s">
        <v>215</v>
      </c>
    </row>
    <row r="38809" spans="129:129" x14ac:dyDescent="0.2">
      <c r="DY38809" s="185" t="s">
        <v>215</v>
      </c>
    </row>
    <row r="38810" spans="129:129" x14ac:dyDescent="0.2">
      <c r="DY38810" s="185" t="s">
        <v>215</v>
      </c>
    </row>
    <row r="38811" spans="129:129" x14ac:dyDescent="0.2">
      <c r="DY38811" s="185" t="s">
        <v>215</v>
      </c>
    </row>
    <row r="38812" spans="129:129" x14ac:dyDescent="0.2">
      <c r="DY38812" s="185" t="s">
        <v>215</v>
      </c>
    </row>
    <row r="38813" spans="129:129" x14ac:dyDescent="0.2">
      <c r="DY38813" s="185" t="s">
        <v>215</v>
      </c>
    </row>
    <row r="38814" spans="129:129" x14ac:dyDescent="0.2">
      <c r="DY38814" s="185" t="s">
        <v>215</v>
      </c>
    </row>
    <row r="38815" spans="129:129" x14ac:dyDescent="0.2">
      <c r="DY38815" s="185" t="s">
        <v>215</v>
      </c>
    </row>
    <row r="38816" spans="129:129" x14ac:dyDescent="0.2">
      <c r="DY38816" s="185" t="s">
        <v>215</v>
      </c>
    </row>
    <row r="38817" spans="129:129" x14ac:dyDescent="0.2">
      <c r="DY38817" s="185" t="s">
        <v>215</v>
      </c>
    </row>
    <row r="38818" spans="129:129" x14ac:dyDescent="0.2">
      <c r="DY38818" s="185" t="s">
        <v>215</v>
      </c>
    </row>
    <row r="38819" spans="129:129" x14ac:dyDescent="0.2">
      <c r="DY38819" s="185" t="s">
        <v>215</v>
      </c>
    </row>
    <row r="38820" spans="129:129" x14ac:dyDescent="0.2">
      <c r="DY38820" s="185" t="s">
        <v>215</v>
      </c>
    </row>
    <row r="38821" spans="129:129" x14ac:dyDescent="0.2">
      <c r="DY38821" s="185" t="s">
        <v>215</v>
      </c>
    </row>
    <row r="38822" spans="129:129" x14ac:dyDescent="0.2">
      <c r="DY38822" s="185" t="s">
        <v>215</v>
      </c>
    </row>
    <row r="38823" spans="129:129" x14ac:dyDescent="0.2">
      <c r="DY38823" s="185" t="s">
        <v>215</v>
      </c>
    </row>
    <row r="38824" spans="129:129" x14ac:dyDescent="0.2">
      <c r="DY38824" s="185" t="s">
        <v>215</v>
      </c>
    </row>
    <row r="38825" spans="129:129" x14ac:dyDescent="0.2">
      <c r="DY38825" s="185" t="s">
        <v>215</v>
      </c>
    </row>
    <row r="38826" spans="129:129" x14ac:dyDescent="0.2">
      <c r="DY38826" s="185" t="s">
        <v>215</v>
      </c>
    </row>
    <row r="38827" spans="129:129" x14ac:dyDescent="0.2">
      <c r="DY38827" s="185" t="s">
        <v>215</v>
      </c>
    </row>
    <row r="38828" spans="129:129" x14ac:dyDescent="0.2">
      <c r="DY38828" s="185" t="s">
        <v>215</v>
      </c>
    </row>
    <row r="38829" spans="129:129" x14ac:dyDescent="0.2">
      <c r="DY38829" s="185" t="s">
        <v>215</v>
      </c>
    </row>
    <row r="38830" spans="129:129" x14ac:dyDescent="0.2">
      <c r="DY38830" s="185" t="s">
        <v>215</v>
      </c>
    </row>
    <row r="38831" spans="129:129" x14ac:dyDescent="0.2">
      <c r="DY38831" s="185" t="s">
        <v>215</v>
      </c>
    </row>
    <row r="38832" spans="129:129" x14ac:dyDescent="0.2">
      <c r="DY38832" s="185" t="s">
        <v>215</v>
      </c>
    </row>
    <row r="38833" spans="129:129" x14ac:dyDescent="0.2">
      <c r="DY38833" s="185" t="s">
        <v>215</v>
      </c>
    </row>
    <row r="38834" spans="129:129" x14ac:dyDescent="0.2">
      <c r="DY38834" s="185" t="s">
        <v>215</v>
      </c>
    </row>
    <row r="38835" spans="129:129" x14ac:dyDescent="0.2">
      <c r="DY38835" s="185" t="s">
        <v>215</v>
      </c>
    </row>
    <row r="38836" spans="129:129" x14ac:dyDescent="0.2">
      <c r="DY38836" s="185" t="s">
        <v>215</v>
      </c>
    </row>
    <row r="38837" spans="129:129" x14ac:dyDescent="0.2">
      <c r="DY38837" s="185" t="s">
        <v>215</v>
      </c>
    </row>
    <row r="38838" spans="129:129" x14ac:dyDescent="0.2">
      <c r="DY38838" s="185" t="s">
        <v>215</v>
      </c>
    </row>
    <row r="38839" spans="129:129" x14ac:dyDescent="0.2">
      <c r="DY38839" s="185" t="s">
        <v>215</v>
      </c>
    </row>
    <row r="38840" spans="129:129" x14ac:dyDescent="0.2">
      <c r="DY38840" s="185" t="s">
        <v>215</v>
      </c>
    </row>
    <row r="38841" spans="129:129" x14ac:dyDescent="0.2">
      <c r="DY38841" s="185" t="s">
        <v>215</v>
      </c>
    </row>
    <row r="38842" spans="129:129" x14ac:dyDescent="0.2">
      <c r="DY38842" s="185" t="s">
        <v>215</v>
      </c>
    </row>
    <row r="38843" spans="129:129" x14ac:dyDescent="0.2">
      <c r="DY38843" s="185" t="s">
        <v>215</v>
      </c>
    </row>
    <row r="38844" spans="129:129" x14ac:dyDescent="0.2">
      <c r="DY38844" s="185" t="s">
        <v>215</v>
      </c>
    </row>
    <row r="38845" spans="129:129" x14ac:dyDescent="0.2">
      <c r="DY38845" s="185" t="s">
        <v>215</v>
      </c>
    </row>
    <row r="38846" spans="129:129" x14ac:dyDescent="0.2">
      <c r="DY38846" s="185" t="s">
        <v>215</v>
      </c>
    </row>
    <row r="38847" spans="129:129" x14ac:dyDescent="0.2">
      <c r="DY38847" s="185" t="s">
        <v>215</v>
      </c>
    </row>
    <row r="38848" spans="129:129" x14ac:dyDescent="0.2">
      <c r="DY38848" s="185" t="s">
        <v>215</v>
      </c>
    </row>
    <row r="38849" spans="129:129" x14ac:dyDescent="0.2">
      <c r="DY38849" s="185" t="s">
        <v>215</v>
      </c>
    </row>
    <row r="38850" spans="129:129" x14ac:dyDescent="0.2">
      <c r="DY38850" s="185" t="s">
        <v>215</v>
      </c>
    </row>
    <row r="38851" spans="129:129" x14ac:dyDescent="0.2">
      <c r="DY38851" s="185" t="s">
        <v>215</v>
      </c>
    </row>
    <row r="38852" spans="129:129" x14ac:dyDescent="0.2">
      <c r="DY38852" s="185" t="s">
        <v>215</v>
      </c>
    </row>
    <row r="38853" spans="129:129" x14ac:dyDescent="0.2">
      <c r="DY38853" s="185" t="s">
        <v>215</v>
      </c>
    </row>
    <row r="38854" spans="129:129" x14ac:dyDescent="0.2">
      <c r="DY38854" s="185" t="s">
        <v>215</v>
      </c>
    </row>
    <row r="38855" spans="129:129" x14ac:dyDescent="0.2">
      <c r="DY38855" s="185" t="s">
        <v>215</v>
      </c>
    </row>
    <row r="38856" spans="129:129" x14ac:dyDescent="0.2">
      <c r="DY38856" s="185" t="s">
        <v>215</v>
      </c>
    </row>
    <row r="38857" spans="129:129" x14ac:dyDescent="0.2">
      <c r="DY38857" s="185" t="s">
        <v>215</v>
      </c>
    </row>
    <row r="38858" spans="129:129" x14ac:dyDescent="0.2">
      <c r="DY38858" s="185" t="s">
        <v>215</v>
      </c>
    </row>
    <row r="38859" spans="129:129" x14ac:dyDescent="0.2">
      <c r="DY38859" s="185" t="s">
        <v>215</v>
      </c>
    </row>
    <row r="38860" spans="129:129" x14ac:dyDescent="0.2">
      <c r="DY38860" s="185" t="s">
        <v>215</v>
      </c>
    </row>
    <row r="38861" spans="129:129" x14ac:dyDescent="0.2">
      <c r="DY38861" s="185" t="s">
        <v>215</v>
      </c>
    </row>
    <row r="38862" spans="129:129" x14ac:dyDescent="0.2">
      <c r="DY38862" s="185" t="s">
        <v>215</v>
      </c>
    </row>
    <row r="38863" spans="129:129" x14ac:dyDescent="0.2">
      <c r="DY38863" s="185" t="s">
        <v>215</v>
      </c>
    </row>
    <row r="38864" spans="129:129" x14ac:dyDescent="0.2">
      <c r="DY38864" s="185" t="s">
        <v>215</v>
      </c>
    </row>
    <row r="38865" spans="129:129" x14ac:dyDescent="0.2">
      <c r="DY38865" s="185" t="s">
        <v>215</v>
      </c>
    </row>
    <row r="38866" spans="129:129" x14ac:dyDescent="0.2">
      <c r="DY38866" s="185" t="s">
        <v>215</v>
      </c>
    </row>
    <row r="38867" spans="129:129" x14ac:dyDescent="0.2">
      <c r="DY38867" s="185" t="s">
        <v>215</v>
      </c>
    </row>
    <row r="38868" spans="129:129" x14ac:dyDescent="0.2">
      <c r="DY38868" s="185" t="s">
        <v>215</v>
      </c>
    </row>
    <row r="38869" spans="129:129" x14ac:dyDescent="0.2">
      <c r="DY38869" s="185" t="s">
        <v>215</v>
      </c>
    </row>
    <row r="38870" spans="129:129" x14ac:dyDescent="0.2">
      <c r="DY38870" s="185" t="s">
        <v>215</v>
      </c>
    </row>
    <row r="38871" spans="129:129" x14ac:dyDescent="0.2">
      <c r="DY38871" s="185" t="s">
        <v>215</v>
      </c>
    </row>
    <row r="38872" spans="129:129" x14ac:dyDescent="0.2">
      <c r="DY38872" s="185" t="s">
        <v>215</v>
      </c>
    </row>
    <row r="38873" spans="129:129" x14ac:dyDescent="0.2">
      <c r="DY38873" s="185" t="s">
        <v>215</v>
      </c>
    </row>
    <row r="38874" spans="129:129" x14ac:dyDescent="0.2">
      <c r="DY38874" s="185" t="s">
        <v>215</v>
      </c>
    </row>
    <row r="38875" spans="129:129" x14ac:dyDescent="0.2">
      <c r="DY38875" s="185" t="s">
        <v>215</v>
      </c>
    </row>
    <row r="38876" spans="129:129" x14ac:dyDescent="0.2">
      <c r="DY38876" s="185" t="s">
        <v>215</v>
      </c>
    </row>
    <row r="38877" spans="129:129" x14ac:dyDescent="0.2">
      <c r="DY38877" s="185" t="s">
        <v>215</v>
      </c>
    </row>
    <row r="38878" spans="129:129" x14ac:dyDescent="0.2">
      <c r="DY38878" s="185" t="s">
        <v>215</v>
      </c>
    </row>
    <row r="38879" spans="129:129" x14ac:dyDescent="0.2">
      <c r="DY38879" s="185" t="s">
        <v>215</v>
      </c>
    </row>
    <row r="38880" spans="129:129" x14ac:dyDescent="0.2">
      <c r="DY38880" s="185" t="s">
        <v>215</v>
      </c>
    </row>
    <row r="38881" spans="129:129" x14ac:dyDescent="0.2">
      <c r="DY38881" s="185" t="s">
        <v>215</v>
      </c>
    </row>
    <row r="38882" spans="129:129" x14ac:dyDescent="0.2">
      <c r="DY38882" s="185" t="s">
        <v>215</v>
      </c>
    </row>
    <row r="38883" spans="129:129" x14ac:dyDescent="0.2">
      <c r="DY38883" s="185" t="s">
        <v>215</v>
      </c>
    </row>
    <row r="38884" spans="129:129" x14ac:dyDescent="0.2">
      <c r="DY38884" s="185" t="s">
        <v>215</v>
      </c>
    </row>
    <row r="38885" spans="129:129" x14ac:dyDescent="0.2">
      <c r="DY38885" s="185" t="s">
        <v>215</v>
      </c>
    </row>
    <row r="38886" spans="129:129" x14ac:dyDescent="0.2">
      <c r="DY38886" s="185" t="s">
        <v>215</v>
      </c>
    </row>
    <row r="38887" spans="129:129" x14ac:dyDescent="0.2">
      <c r="DY38887" s="185" t="s">
        <v>215</v>
      </c>
    </row>
    <row r="38888" spans="129:129" x14ac:dyDescent="0.2">
      <c r="DY38888" s="185" t="s">
        <v>215</v>
      </c>
    </row>
    <row r="38889" spans="129:129" x14ac:dyDescent="0.2">
      <c r="DY38889" s="185" t="s">
        <v>215</v>
      </c>
    </row>
    <row r="38890" spans="129:129" x14ac:dyDescent="0.2">
      <c r="DY38890" s="185" t="s">
        <v>215</v>
      </c>
    </row>
    <row r="38891" spans="129:129" x14ac:dyDescent="0.2">
      <c r="DY38891" s="185" t="s">
        <v>215</v>
      </c>
    </row>
    <row r="38892" spans="129:129" x14ac:dyDescent="0.2">
      <c r="DY38892" s="185" t="s">
        <v>215</v>
      </c>
    </row>
    <row r="38893" spans="129:129" x14ac:dyDescent="0.2">
      <c r="DY38893" s="185" t="s">
        <v>215</v>
      </c>
    </row>
    <row r="38894" spans="129:129" x14ac:dyDescent="0.2">
      <c r="DY38894" s="185" t="s">
        <v>215</v>
      </c>
    </row>
    <row r="38895" spans="129:129" x14ac:dyDescent="0.2">
      <c r="DY38895" s="185" t="s">
        <v>215</v>
      </c>
    </row>
    <row r="38896" spans="129:129" x14ac:dyDescent="0.2">
      <c r="DY38896" s="185" t="s">
        <v>215</v>
      </c>
    </row>
    <row r="38897" spans="129:129" x14ac:dyDescent="0.2">
      <c r="DY38897" s="185" t="s">
        <v>215</v>
      </c>
    </row>
    <row r="38898" spans="129:129" x14ac:dyDescent="0.2">
      <c r="DY38898" s="185" t="s">
        <v>215</v>
      </c>
    </row>
    <row r="38899" spans="129:129" x14ac:dyDescent="0.2">
      <c r="DY38899" s="185" t="s">
        <v>215</v>
      </c>
    </row>
    <row r="38900" spans="129:129" x14ac:dyDescent="0.2">
      <c r="DY38900" s="185" t="s">
        <v>215</v>
      </c>
    </row>
    <row r="38901" spans="129:129" x14ac:dyDescent="0.2">
      <c r="DY38901" s="185" t="s">
        <v>215</v>
      </c>
    </row>
    <row r="38902" spans="129:129" x14ac:dyDescent="0.2">
      <c r="DY38902" s="185" t="s">
        <v>215</v>
      </c>
    </row>
    <row r="38903" spans="129:129" x14ac:dyDescent="0.2">
      <c r="DY38903" s="185" t="s">
        <v>215</v>
      </c>
    </row>
    <row r="38904" spans="129:129" x14ac:dyDescent="0.2">
      <c r="DY38904" s="185" t="s">
        <v>215</v>
      </c>
    </row>
    <row r="38905" spans="129:129" x14ac:dyDescent="0.2">
      <c r="DY38905" s="185" t="s">
        <v>215</v>
      </c>
    </row>
    <row r="38906" spans="129:129" x14ac:dyDescent="0.2">
      <c r="DY38906" s="185" t="s">
        <v>215</v>
      </c>
    </row>
    <row r="38907" spans="129:129" x14ac:dyDescent="0.2">
      <c r="DY38907" s="185" t="s">
        <v>215</v>
      </c>
    </row>
    <row r="38908" spans="129:129" x14ac:dyDescent="0.2">
      <c r="DY38908" s="185" t="s">
        <v>215</v>
      </c>
    </row>
    <row r="38909" spans="129:129" x14ac:dyDescent="0.2">
      <c r="DY38909" s="185" t="s">
        <v>215</v>
      </c>
    </row>
    <row r="38910" spans="129:129" x14ac:dyDescent="0.2">
      <c r="DY38910" s="185" t="s">
        <v>215</v>
      </c>
    </row>
    <row r="38911" spans="129:129" x14ac:dyDescent="0.2">
      <c r="DY38911" s="185" t="s">
        <v>215</v>
      </c>
    </row>
    <row r="38912" spans="129:129" x14ac:dyDescent="0.2">
      <c r="DY38912" s="185" t="s">
        <v>215</v>
      </c>
    </row>
    <row r="38913" spans="129:129" x14ac:dyDescent="0.2">
      <c r="DY38913" s="185" t="s">
        <v>215</v>
      </c>
    </row>
    <row r="38914" spans="129:129" x14ac:dyDescent="0.2">
      <c r="DY38914" s="185" t="s">
        <v>215</v>
      </c>
    </row>
    <row r="38915" spans="129:129" x14ac:dyDescent="0.2">
      <c r="DY38915" s="185" t="s">
        <v>215</v>
      </c>
    </row>
    <row r="38916" spans="129:129" x14ac:dyDescent="0.2">
      <c r="DY38916" s="185" t="s">
        <v>215</v>
      </c>
    </row>
    <row r="38917" spans="129:129" x14ac:dyDescent="0.2">
      <c r="DY38917" s="185" t="s">
        <v>215</v>
      </c>
    </row>
    <row r="38918" spans="129:129" x14ac:dyDescent="0.2">
      <c r="DY38918" s="185" t="s">
        <v>215</v>
      </c>
    </row>
    <row r="38919" spans="129:129" x14ac:dyDescent="0.2">
      <c r="DY38919" s="185" t="s">
        <v>215</v>
      </c>
    </row>
    <row r="38920" spans="129:129" x14ac:dyDescent="0.2">
      <c r="DY38920" s="185" t="s">
        <v>215</v>
      </c>
    </row>
    <row r="38921" spans="129:129" x14ac:dyDescent="0.2">
      <c r="DY38921" s="185" t="s">
        <v>215</v>
      </c>
    </row>
    <row r="38922" spans="129:129" x14ac:dyDescent="0.2">
      <c r="DY38922" s="185" t="s">
        <v>215</v>
      </c>
    </row>
    <row r="38923" spans="129:129" x14ac:dyDescent="0.2">
      <c r="DY38923" s="185" t="s">
        <v>215</v>
      </c>
    </row>
    <row r="38924" spans="129:129" x14ac:dyDescent="0.2">
      <c r="DY38924" s="185" t="s">
        <v>215</v>
      </c>
    </row>
    <row r="38925" spans="129:129" x14ac:dyDescent="0.2">
      <c r="DY38925" s="185" t="s">
        <v>215</v>
      </c>
    </row>
    <row r="38926" spans="129:129" x14ac:dyDescent="0.2">
      <c r="DY38926" s="185" t="s">
        <v>215</v>
      </c>
    </row>
    <row r="38927" spans="129:129" x14ac:dyDescent="0.2">
      <c r="DY38927" s="185" t="s">
        <v>215</v>
      </c>
    </row>
    <row r="38928" spans="129:129" x14ac:dyDescent="0.2">
      <c r="DY38928" s="185" t="s">
        <v>215</v>
      </c>
    </row>
    <row r="38929" spans="129:129" x14ac:dyDescent="0.2">
      <c r="DY38929" s="185" t="s">
        <v>215</v>
      </c>
    </row>
    <row r="38930" spans="129:129" x14ac:dyDescent="0.2">
      <c r="DY38930" s="185" t="s">
        <v>215</v>
      </c>
    </row>
    <row r="38931" spans="129:129" x14ac:dyDescent="0.2">
      <c r="DY38931" s="185" t="s">
        <v>215</v>
      </c>
    </row>
    <row r="38932" spans="129:129" x14ac:dyDescent="0.2">
      <c r="DY38932" s="185" t="s">
        <v>215</v>
      </c>
    </row>
    <row r="38933" spans="129:129" x14ac:dyDescent="0.2">
      <c r="DY38933" s="185" t="s">
        <v>215</v>
      </c>
    </row>
    <row r="38934" spans="129:129" x14ac:dyDescent="0.2">
      <c r="DY38934" s="185" t="s">
        <v>215</v>
      </c>
    </row>
    <row r="38935" spans="129:129" x14ac:dyDescent="0.2">
      <c r="DY38935" s="185" t="s">
        <v>215</v>
      </c>
    </row>
    <row r="38936" spans="129:129" x14ac:dyDescent="0.2">
      <c r="DY38936" s="185" t="s">
        <v>215</v>
      </c>
    </row>
    <row r="38937" spans="129:129" x14ac:dyDescent="0.2">
      <c r="DY38937" s="185" t="s">
        <v>215</v>
      </c>
    </row>
    <row r="38938" spans="129:129" x14ac:dyDescent="0.2">
      <c r="DY38938" s="185" t="s">
        <v>215</v>
      </c>
    </row>
    <row r="38939" spans="129:129" x14ac:dyDescent="0.2">
      <c r="DY38939" s="185" t="s">
        <v>215</v>
      </c>
    </row>
    <row r="38940" spans="129:129" x14ac:dyDescent="0.2">
      <c r="DY38940" s="185" t="s">
        <v>215</v>
      </c>
    </row>
    <row r="38941" spans="129:129" x14ac:dyDescent="0.2">
      <c r="DY38941" s="185" t="s">
        <v>215</v>
      </c>
    </row>
    <row r="38942" spans="129:129" x14ac:dyDescent="0.2">
      <c r="DY38942" s="185" t="s">
        <v>215</v>
      </c>
    </row>
    <row r="38943" spans="129:129" x14ac:dyDescent="0.2">
      <c r="DY38943" s="185" t="s">
        <v>215</v>
      </c>
    </row>
    <row r="38944" spans="129:129" x14ac:dyDescent="0.2">
      <c r="DY38944" s="185" t="s">
        <v>215</v>
      </c>
    </row>
    <row r="38945" spans="129:129" x14ac:dyDescent="0.2">
      <c r="DY38945" s="185" t="s">
        <v>215</v>
      </c>
    </row>
    <row r="38946" spans="129:129" x14ac:dyDescent="0.2">
      <c r="DY38946" s="185" t="s">
        <v>215</v>
      </c>
    </row>
    <row r="38947" spans="129:129" x14ac:dyDescent="0.2">
      <c r="DY38947" s="185" t="s">
        <v>215</v>
      </c>
    </row>
    <row r="38948" spans="129:129" x14ac:dyDescent="0.2">
      <c r="DY38948" s="185" t="s">
        <v>215</v>
      </c>
    </row>
    <row r="38949" spans="129:129" x14ac:dyDescent="0.2">
      <c r="DY38949" s="185" t="s">
        <v>215</v>
      </c>
    </row>
    <row r="38950" spans="129:129" x14ac:dyDescent="0.2">
      <c r="DY38950" s="185" t="s">
        <v>215</v>
      </c>
    </row>
    <row r="38951" spans="129:129" x14ac:dyDescent="0.2">
      <c r="DY38951" s="185" t="s">
        <v>215</v>
      </c>
    </row>
    <row r="38952" spans="129:129" x14ac:dyDescent="0.2">
      <c r="DY38952" s="185" t="s">
        <v>215</v>
      </c>
    </row>
    <row r="38953" spans="129:129" x14ac:dyDescent="0.2">
      <c r="DY38953" s="185" t="s">
        <v>215</v>
      </c>
    </row>
    <row r="38954" spans="129:129" x14ac:dyDescent="0.2">
      <c r="DY38954" s="185" t="s">
        <v>215</v>
      </c>
    </row>
    <row r="38955" spans="129:129" x14ac:dyDescent="0.2">
      <c r="DY38955" s="185" t="s">
        <v>215</v>
      </c>
    </row>
    <row r="38956" spans="129:129" x14ac:dyDescent="0.2">
      <c r="DY38956" s="185" t="s">
        <v>215</v>
      </c>
    </row>
    <row r="38957" spans="129:129" x14ac:dyDescent="0.2">
      <c r="DY38957" s="185" t="s">
        <v>215</v>
      </c>
    </row>
    <row r="38958" spans="129:129" x14ac:dyDescent="0.2">
      <c r="DY38958" s="185" t="s">
        <v>215</v>
      </c>
    </row>
    <row r="38959" spans="129:129" x14ac:dyDescent="0.2">
      <c r="DY38959" s="185" t="s">
        <v>215</v>
      </c>
    </row>
    <row r="38960" spans="129:129" x14ac:dyDescent="0.2">
      <c r="DY38960" s="185" t="s">
        <v>215</v>
      </c>
    </row>
    <row r="38961" spans="129:129" x14ac:dyDescent="0.2">
      <c r="DY38961" s="185" t="s">
        <v>215</v>
      </c>
    </row>
    <row r="38962" spans="129:129" x14ac:dyDescent="0.2">
      <c r="DY38962" s="185" t="s">
        <v>215</v>
      </c>
    </row>
    <row r="38963" spans="129:129" x14ac:dyDescent="0.2">
      <c r="DY38963" s="185" t="s">
        <v>215</v>
      </c>
    </row>
    <row r="38964" spans="129:129" x14ac:dyDescent="0.2">
      <c r="DY38964" s="185" t="s">
        <v>215</v>
      </c>
    </row>
    <row r="38965" spans="129:129" x14ac:dyDescent="0.2">
      <c r="DY38965" s="185" t="s">
        <v>215</v>
      </c>
    </row>
    <row r="38966" spans="129:129" x14ac:dyDescent="0.2">
      <c r="DY38966" s="185" t="s">
        <v>215</v>
      </c>
    </row>
    <row r="38967" spans="129:129" x14ac:dyDescent="0.2">
      <c r="DY38967" s="185" t="s">
        <v>215</v>
      </c>
    </row>
    <row r="38968" spans="129:129" x14ac:dyDescent="0.2">
      <c r="DY38968" s="185" t="s">
        <v>215</v>
      </c>
    </row>
    <row r="38969" spans="129:129" x14ac:dyDescent="0.2">
      <c r="DY38969" s="185" t="s">
        <v>215</v>
      </c>
    </row>
    <row r="38970" spans="129:129" x14ac:dyDescent="0.2">
      <c r="DY38970" s="185" t="s">
        <v>215</v>
      </c>
    </row>
    <row r="38971" spans="129:129" x14ac:dyDescent="0.2">
      <c r="DY38971" s="185" t="s">
        <v>215</v>
      </c>
    </row>
    <row r="38972" spans="129:129" x14ac:dyDescent="0.2">
      <c r="DY38972" s="185" t="s">
        <v>215</v>
      </c>
    </row>
    <row r="38973" spans="129:129" x14ac:dyDescent="0.2">
      <c r="DY38973" s="185" t="s">
        <v>215</v>
      </c>
    </row>
    <row r="38974" spans="129:129" x14ac:dyDescent="0.2">
      <c r="DY38974" s="185" t="s">
        <v>215</v>
      </c>
    </row>
    <row r="38975" spans="129:129" x14ac:dyDescent="0.2">
      <c r="DY38975" s="185" t="s">
        <v>215</v>
      </c>
    </row>
    <row r="38976" spans="129:129" x14ac:dyDescent="0.2">
      <c r="DY38976" s="185" t="s">
        <v>215</v>
      </c>
    </row>
    <row r="38977" spans="129:129" x14ac:dyDescent="0.2">
      <c r="DY38977" s="185" t="s">
        <v>215</v>
      </c>
    </row>
    <row r="38978" spans="129:129" x14ac:dyDescent="0.2">
      <c r="DY38978" s="185" t="s">
        <v>215</v>
      </c>
    </row>
    <row r="38979" spans="129:129" x14ac:dyDescent="0.2">
      <c r="DY38979" s="185" t="s">
        <v>215</v>
      </c>
    </row>
    <row r="38980" spans="129:129" x14ac:dyDescent="0.2">
      <c r="DY38980" s="185" t="s">
        <v>215</v>
      </c>
    </row>
    <row r="38981" spans="129:129" x14ac:dyDescent="0.2">
      <c r="DY38981" s="185" t="s">
        <v>215</v>
      </c>
    </row>
    <row r="38982" spans="129:129" x14ac:dyDescent="0.2">
      <c r="DY38982" s="185" t="s">
        <v>215</v>
      </c>
    </row>
    <row r="38983" spans="129:129" x14ac:dyDescent="0.2">
      <c r="DY38983" s="185" t="s">
        <v>215</v>
      </c>
    </row>
    <row r="38984" spans="129:129" x14ac:dyDescent="0.2">
      <c r="DY38984" s="185" t="s">
        <v>215</v>
      </c>
    </row>
    <row r="38985" spans="129:129" x14ac:dyDescent="0.2">
      <c r="DY38985" s="185" t="s">
        <v>215</v>
      </c>
    </row>
    <row r="38986" spans="129:129" x14ac:dyDescent="0.2">
      <c r="DY38986" s="185" t="s">
        <v>215</v>
      </c>
    </row>
    <row r="38987" spans="129:129" x14ac:dyDescent="0.2">
      <c r="DY38987" s="185" t="s">
        <v>215</v>
      </c>
    </row>
    <row r="38988" spans="129:129" x14ac:dyDescent="0.2">
      <c r="DY38988" s="185" t="s">
        <v>215</v>
      </c>
    </row>
    <row r="38989" spans="129:129" x14ac:dyDescent="0.2">
      <c r="DY38989" s="185" t="s">
        <v>215</v>
      </c>
    </row>
    <row r="38990" spans="129:129" x14ac:dyDescent="0.2">
      <c r="DY38990" s="185" t="s">
        <v>215</v>
      </c>
    </row>
    <row r="38991" spans="129:129" x14ac:dyDescent="0.2">
      <c r="DY38991" s="185" t="s">
        <v>215</v>
      </c>
    </row>
    <row r="38992" spans="129:129" x14ac:dyDescent="0.2">
      <c r="DY38992" s="185" t="s">
        <v>215</v>
      </c>
    </row>
    <row r="38993" spans="129:129" x14ac:dyDescent="0.2">
      <c r="DY38993" s="185" t="s">
        <v>215</v>
      </c>
    </row>
    <row r="38994" spans="129:129" x14ac:dyDescent="0.2">
      <c r="DY38994" s="185" t="s">
        <v>215</v>
      </c>
    </row>
    <row r="38995" spans="129:129" x14ac:dyDescent="0.2">
      <c r="DY38995" s="185" t="s">
        <v>215</v>
      </c>
    </row>
    <row r="38996" spans="129:129" x14ac:dyDescent="0.2">
      <c r="DY38996" s="185" t="s">
        <v>215</v>
      </c>
    </row>
    <row r="38997" spans="129:129" x14ac:dyDescent="0.2">
      <c r="DY38997" s="185" t="s">
        <v>215</v>
      </c>
    </row>
    <row r="38998" spans="129:129" x14ac:dyDescent="0.2">
      <c r="DY38998" s="185" t="s">
        <v>215</v>
      </c>
    </row>
    <row r="38999" spans="129:129" x14ac:dyDescent="0.2">
      <c r="DY38999" s="185" t="s">
        <v>215</v>
      </c>
    </row>
    <row r="39000" spans="129:129" x14ac:dyDescent="0.2">
      <c r="DY39000" s="185" t="s">
        <v>215</v>
      </c>
    </row>
    <row r="39001" spans="129:129" x14ac:dyDescent="0.2">
      <c r="DY39001" s="185" t="s">
        <v>215</v>
      </c>
    </row>
    <row r="39002" spans="129:129" x14ac:dyDescent="0.2">
      <c r="DY39002" s="185" t="s">
        <v>215</v>
      </c>
    </row>
    <row r="39003" spans="129:129" x14ac:dyDescent="0.2">
      <c r="DY39003" s="185" t="s">
        <v>215</v>
      </c>
    </row>
    <row r="39004" spans="129:129" x14ac:dyDescent="0.2">
      <c r="DY39004" s="185" t="s">
        <v>215</v>
      </c>
    </row>
    <row r="39005" spans="129:129" x14ac:dyDescent="0.2">
      <c r="DY39005" s="185" t="s">
        <v>215</v>
      </c>
    </row>
    <row r="39006" spans="129:129" x14ac:dyDescent="0.2">
      <c r="DY39006" s="185" t="s">
        <v>215</v>
      </c>
    </row>
    <row r="39007" spans="129:129" x14ac:dyDescent="0.2">
      <c r="DY39007" s="185" t="s">
        <v>215</v>
      </c>
    </row>
    <row r="39008" spans="129:129" x14ac:dyDescent="0.2">
      <c r="DY39008" s="185" t="s">
        <v>215</v>
      </c>
    </row>
    <row r="39009" spans="129:129" x14ac:dyDescent="0.2">
      <c r="DY39009" s="185" t="s">
        <v>215</v>
      </c>
    </row>
    <row r="39010" spans="129:129" x14ac:dyDescent="0.2">
      <c r="DY39010" s="185" t="s">
        <v>215</v>
      </c>
    </row>
    <row r="39011" spans="129:129" x14ac:dyDescent="0.2">
      <c r="DY39011" s="185" t="s">
        <v>215</v>
      </c>
    </row>
    <row r="39012" spans="129:129" x14ac:dyDescent="0.2">
      <c r="DY39012" s="185" t="s">
        <v>215</v>
      </c>
    </row>
    <row r="39013" spans="129:129" x14ac:dyDescent="0.2">
      <c r="DY39013" s="185" t="s">
        <v>215</v>
      </c>
    </row>
    <row r="39014" spans="129:129" x14ac:dyDescent="0.2">
      <c r="DY39014" s="185" t="s">
        <v>215</v>
      </c>
    </row>
    <row r="39015" spans="129:129" x14ac:dyDescent="0.2">
      <c r="DY39015" s="185" t="s">
        <v>215</v>
      </c>
    </row>
    <row r="39016" spans="129:129" x14ac:dyDescent="0.2">
      <c r="DY39016" s="185" t="s">
        <v>215</v>
      </c>
    </row>
    <row r="39017" spans="129:129" x14ac:dyDescent="0.2">
      <c r="DY39017" s="185" t="s">
        <v>215</v>
      </c>
    </row>
    <row r="39018" spans="129:129" x14ac:dyDescent="0.2">
      <c r="DY39018" s="185" t="s">
        <v>215</v>
      </c>
    </row>
    <row r="39019" spans="129:129" x14ac:dyDescent="0.2">
      <c r="DY39019" s="185" t="s">
        <v>215</v>
      </c>
    </row>
    <row r="39020" spans="129:129" x14ac:dyDescent="0.2">
      <c r="DY39020" s="185" t="s">
        <v>215</v>
      </c>
    </row>
    <row r="39021" spans="129:129" x14ac:dyDescent="0.2">
      <c r="DY39021" s="185" t="s">
        <v>215</v>
      </c>
    </row>
    <row r="39022" spans="129:129" x14ac:dyDescent="0.2">
      <c r="DY39022" s="185" t="s">
        <v>215</v>
      </c>
    </row>
    <row r="39023" spans="129:129" x14ac:dyDescent="0.2">
      <c r="DY39023" s="185" t="s">
        <v>215</v>
      </c>
    </row>
    <row r="39024" spans="129:129" x14ac:dyDescent="0.2">
      <c r="DY39024" s="185" t="s">
        <v>215</v>
      </c>
    </row>
    <row r="39025" spans="129:129" x14ac:dyDescent="0.2">
      <c r="DY39025" s="185" t="s">
        <v>215</v>
      </c>
    </row>
    <row r="39026" spans="129:129" x14ac:dyDescent="0.2">
      <c r="DY39026" s="185" t="s">
        <v>215</v>
      </c>
    </row>
    <row r="39027" spans="129:129" x14ac:dyDescent="0.2">
      <c r="DY39027" s="185" t="s">
        <v>215</v>
      </c>
    </row>
    <row r="39028" spans="129:129" x14ac:dyDescent="0.2">
      <c r="DY39028" s="185" t="s">
        <v>215</v>
      </c>
    </row>
    <row r="39029" spans="129:129" x14ac:dyDescent="0.2">
      <c r="DY39029" s="185" t="s">
        <v>215</v>
      </c>
    </row>
    <row r="39030" spans="129:129" x14ac:dyDescent="0.2">
      <c r="DY39030" s="185" t="s">
        <v>215</v>
      </c>
    </row>
    <row r="39031" spans="129:129" x14ac:dyDescent="0.2">
      <c r="DY39031" s="185" t="s">
        <v>215</v>
      </c>
    </row>
    <row r="39032" spans="129:129" x14ac:dyDescent="0.2">
      <c r="DY39032" s="185" t="s">
        <v>215</v>
      </c>
    </row>
    <row r="39033" spans="129:129" x14ac:dyDescent="0.2">
      <c r="DY39033" s="185" t="s">
        <v>215</v>
      </c>
    </row>
    <row r="39034" spans="129:129" x14ac:dyDescent="0.2">
      <c r="DY39034" s="185" t="s">
        <v>215</v>
      </c>
    </row>
    <row r="39035" spans="129:129" x14ac:dyDescent="0.2">
      <c r="DY39035" s="185" t="s">
        <v>215</v>
      </c>
    </row>
    <row r="39036" spans="129:129" x14ac:dyDescent="0.2">
      <c r="DY39036" s="185" t="s">
        <v>215</v>
      </c>
    </row>
    <row r="39037" spans="129:129" x14ac:dyDescent="0.2">
      <c r="DY39037" s="185" t="s">
        <v>215</v>
      </c>
    </row>
    <row r="39038" spans="129:129" x14ac:dyDescent="0.2">
      <c r="DY39038" s="185" t="s">
        <v>215</v>
      </c>
    </row>
    <row r="39039" spans="129:129" x14ac:dyDescent="0.2">
      <c r="DY39039" s="185" t="s">
        <v>215</v>
      </c>
    </row>
    <row r="39040" spans="129:129" x14ac:dyDescent="0.2">
      <c r="DY39040" s="185" t="s">
        <v>215</v>
      </c>
    </row>
    <row r="39041" spans="129:129" x14ac:dyDescent="0.2">
      <c r="DY39041" s="185" t="s">
        <v>215</v>
      </c>
    </row>
    <row r="39042" spans="129:129" x14ac:dyDescent="0.2">
      <c r="DY39042" s="185" t="s">
        <v>215</v>
      </c>
    </row>
    <row r="39043" spans="129:129" x14ac:dyDescent="0.2">
      <c r="DY39043" s="185" t="s">
        <v>215</v>
      </c>
    </row>
    <row r="39044" spans="129:129" x14ac:dyDescent="0.2">
      <c r="DY39044" s="185" t="s">
        <v>215</v>
      </c>
    </row>
    <row r="39045" spans="129:129" x14ac:dyDescent="0.2">
      <c r="DY39045" s="185" t="s">
        <v>215</v>
      </c>
    </row>
    <row r="39046" spans="129:129" x14ac:dyDescent="0.2">
      <c r="DY39046" s="185" t="s">
        <v>215</v>
      </c>
    </row>
    <row r="39047" spans="129:129" x14ac:dyDescent="0.2">
      <c r="DY39047" s="185" t="s">
        <v>215</v>
      </c>
    </row>
    <row r="39048" spans="129:129" x14ac:dyDescent="0.2">
      <c r="DY39048" s="185" t="s">
        <v>215</v>
      </c>
    </row>
    <row r="39049" spans="129:129" x14ac:dyDescent="0.2">
      <c r="DY39049" s="185" t="s">
        <v>215</v>
      </c>
    </row>
    <row r="39050" spans="129:129" x14ac:dyDescent="0.2">
      <c r="DY39050" s="185" t="s">
        <v>215</v>
      </c>
    </row>
    <row r="39051" spans="129:129" x14ac:dyDescent="0.2">
      <c r="DY39051" s="185" t="s">
        <v>215</v>
      </c>
    </row>
    <row r="39052" spans="129:129" x14ac:dyDescent="0.2">
      <c r="DY39052" s="185" t="s">
        <v>215</v>
      </c>
    </row>
    <row r="39053" spans="129:129" x14ac:dyDescent="0.2">
      <c r="DY39053" s="185" t="s">
        <v>215</v>
      </c>
    </row>
    <row r="39054" spans="129:129" x14ac:dyDescent="0.2">
      <c r="DY39054" s="185" t="s">
        <v>215</v>
      </c>
    </row>
    <row r="39055" spans="129:129" x14ac:dyDescent="0.2">
      <c r="DY39055" s="185" t="s">
        <v>215</v>
      </c>
    </row>
    <row r="39056" spans="129:129" x14ac:dyDescent="0.2">
      <c r="DY39056" s="185" t="s">
        <v>215</v>
      </c>
    </row>
    <row r="39057" spans="129:129" x14ac:dyDescent="0.2">
      <c r="DY39057" s="185" t="s">
        <v>215</v>
      </c>
    </row>
    <row r="39058" spans="129:129" x14ac:dyDescent="0.2">
      <c r="DY39058" s="185" t="s">
        <v>215</v>
      </c>
    </row>
    <row r="39059" spans="129:129" x14ac:dyDescent="0.2">
      <c r="DY39059" s="185" t="s">
        <v>215</v>
      </c>
    </row>
    <row r="39060" spans="129:129" x14ac:dyDescent="0.2">
      <c r="DY39060" s="185" t="s">
        <v>215</v>
      </c>
    </row>
    <row r="39061" spans="129:129" x14ac:dyDescent="0.2">
      <c r="DY39061" s="185" t="s">
        <v>215</v>
      </c>
    </row>
    <row r="39062" spans="129:129" x14ac:dyDescent="0.2">
      <c r="DY39062" s="185" t="s">
        <v>215</v>
      </c>
    </row>
    <row r="39063" spans="129:129" x14ac:dyDescent="0.2">
      <c r="DY39063" s="185" t="s">
        <v>215</v>
      </c>
    </row>
    <row r="39064" spans="129:129" x14ac:dyDescent="0.2">
      <c r="DY39064" s="185" t="s">
        <v>215</v>
      </c>
    </row>
    <row r="39065" spans="129:129" x14ac:dyDescent="0.2">
      <c r="DY39065" s="185" t="s">
        <v>215</v>
      </c>
    </row>
    <row r="39066" spans="129:129" x14ac:dyDescent="0.2">
      <c r="DY39066" s="185" t="s">
        <v>215</v>
      </c>
    </row>
    <row r="39067" spans="129:129" x14ac:dyDescent="0.2">
      <c r="DY39067" s="185" t="s">
        <v>215</v>
      </c>
    </row>
    <row r="39068" spans="129:129" x14ac:dyDescent="0.2">
      <c r="DY39068" s="185" t="s">
        <v>215</v>
      </c>
    </row>
    <row r="39069" spans="129:129" x14ac:dyDescent="0.2">
      <c r="DY39069" s="185" t="s">
        <v>215</v>
      </c>
    </row>
    <row r="39070" spans="129:129" x14ac:dyDescent="0.2">
      <c r="DY39070" s="185" t="s">
        <v>215</v>
      </c>
    </row>
    <row r="39071" spans="129:129" x14ac:dyDescent="0.2">
      <c r="DY39071" s="185" t="s">
        <v>215</v>
      </c>
    </row>
    <row r="39072" spans="129:129" x14ac:dyDescent="0.2">
      <c r="DY39072" s="185" t="s">
        <v>215</v>
      </c>
    </row>
    <row r="39073" spans="129:129" x14ac:dyDescent="0.2">
      <c r="DY39073" s="185" t="s">
        <v>215</v>
      </c>
    </row>
    <row r="39074" spans="129:129" x14ac:dyDescent="0.2">
      <c r="DY39074" s="185" t="s">
        <v>215</v>
      </c>
    </row>
    <row r="39075" spans="129:129" x14ac:dyDescent="0.2">
      <c r="DY39075" s="185" t="s">
        <v>215</v>
      </c>
    </row>
    <row r="39076" spans="129:129" x14ac:dyDescent="0.2">
      <c r="DY39076" s="185" t="s">
        <v>215</v>
      </c>
    </row>
    <row r="39077" spans="129:129" x14ac:dyDescent="0.2">
      <c r="DY39077" s="185" t="s">
        <v>215</v>
      </c>
    </row>
    <row r="39078" spans="129:129" x14ac:dyDescent="0.2">
      <c r="DY39078" s="185" t="s">
        <v>215</v>
      </c>
    </row>
    <row r="39079" spans="129:129" x14ac:dyDescent="0.2">
      <c r="DY39079" s="185" t="s">
        <v>215</v>
      </c>
    </row>
    <row r="39080" spans="129:129" x14ac:dyDescent="0.2">
      <c r="DY39080" s="185" t="s">
        <v>215</v>
      </c>
    </row>
    <row r="39081" spans="129:129" x14ac:dyDescent="0.2">
      <c r="DY39081" s="185" t="s">
        <v>215</v>
      </c>
    </row>
    <row r="39082" spans="129:129" x14ac:dyDescent="0.2">
      <c r="DY39082" s="185" t="s">
        <v>215</v>
      </c>
    </row>
    <row r="39083" spans="129:129" x14ac:dyDescent="0.2">
      <c r="DY39083" s="185" t="s">
        <v>215</v>
      </c>
    </row>
    <row r="39084" spans="129:129" x14ac:dyDescent="0.2">
      <c r="DY39084" s="185" t="s">
        <v>215</v>
      </c>
    </row>
    <row r="39085" spans="129:129" x14ac:dyDescent="0.2">
      <c r="DY39085" s="185" t="s">
        <v>215</v>
      </c>
    </row>
    <row r="39086" spans="129:129" x14ac:dyDescent="0.2">
      <c r="DY39086" s="185" t="s">
        <v>215</v>
      </c>
    </row>
    <row r="39087" spans="129:129" x14ac:dyDescent="0.2">
      <c r="DY39087" s="185" t="s">
        <v>215</v>
      </c>
    </row>
    <row r="39088" spans="129:129" x14ac:dyDescent="0.2">
      <c r="DY39088" s="185" t="s">
        <v>215</v>
      </c>
    </row>
    <row r="39089" spans="129:129" x14ac:dyDescent="0.2">
      <c r="DY39089" s="185" t="s">
        <v>215</v>
      </c>
    </row>
    <row r="39090" spans="129:129" x14ac:dyDescent="0.2">
      <c r="DY39090" s="185" t="s">
        <v>215</v>
      </c>
    </row>
    <row r="39091" spans="129:129" x14ac:dyDescent="0.2">
      <c r="DY39091" s="185" t="s">
        <v>215</v>
      </c>
    </row>
    <row r="39092" spans="129:129" x14ac:dyDescent="0.2">
      <c r="DY39092" s="185" t="s">
        <v>215</v>
      </c>
    </row>
    <row r="39093" spans="129:129" x14ac:dyDescent="0.2">
      <c r="DY39093" s="185" t="s">
        <v>215</v>
      </c>
    </row>
    <row r="39094" spans="129:129" x14ac:dyDescent="0.2">
      <c r="DY39094" s="185" t="s">
        <v>215</v>
      </c>
    </row>
    <row r="39095" spans="129:129" x14ac:dyDescent="0.2">
      <c r="DY39095" s="185" t="s">
        <v>215</v>
      </c>
    </row>
    <row r="39096" spans="129:129" x14ac:dyDescent="0.2">
      <c r="DY39096" s="185" t="s">
        <v>215</v>
      </c>
    </row>
    <row r="39097" spans="129:129" x14ac:dyDescent="0.2">
      <c r="DY39097" s="185" t="s">
        <v>215</v>
      </c>
    </row>
    <row r="39098" spans="129:129" x14ac:dyDescent="0.2">
      <c r="DY39098" s="185" t="s">
        <v>215</v>
      </c>
    </row>
    <row r="39099" spans="129:129" x14ac:dyDescent="0.2">
      <c r="DY39099" s="185" t="s">
        <v>215</v>
      </c>
    </row>
    <row r="39100" spans="129:129" x14ac:dyDescent="0.2">
      <c r="DY39100" s="185" t="s">
        <v>215</v>
      </c>
    </row>
    <row r="39101" spans="129:129" x14ac:dyDescent="0.2">
      <c r="DY39101" s="185" t="s">
        <v>215</v>
      </c>
    </row>
    <row r="39102" spans="129:129" x14ac:dyDescent="0.2">
      <c r="DY39102" s="185" t="s">
        <v>215</v>
      </c>
    </row>
    <row r="39103" spans="129:129" x14ac:dyDescent="0.2">
      <c r="DY39103" s="185" t="s">
        <v>215</v>
      </c>
    </row>
    <row r="39104" spans="129:129" x14ac:dyDescent="0.2">
      <c r="DY39104" s="185" t="s">
        <v>215</v>
      </c>
    </row>
    <row r="39105" spans="129:129" x14ac:dyDescent="0.2">
      <c r="DY39105" s="185" t="s">
        <v>215</v>
      </c>
    </row>
    <row r="39106" spans="129:129" x14ac:dyDescent="0.2">
      <c r="DY39106" s="185" t="s">
        <v>215</v>
      </c>
    </row>
    <row r="39107" spans="129:129" x14ac:dyDescent="0.2">
      <c r="DY39107" s="185" t="s">
        <v>215</v>
      </c>
    </row>
    <row r="39108" spans="129:129" x14ac:dyDescent="0.2">
      <c r="DY39108" s="185" t="s">
        <v>215</v>
      </c>
    </row>
    <row r="39109" spans="129:129" x14ac:dyDescent="0.2">
      <c r="DY39109" s="185" t="s">
        <v>215</v>
      </c>
    </row>
    <row r="39110" spans="129:129" x14ac:dyDescent="0.2">
      <c r="DY39110" s="185" t="s">
        <v>215</v>
      </c>
    </row>
    <row r="39111" spans="129:129" x14ac:dyDescent="0.2">
      <c r="DY39111" s="185" t="s">
        <v>215</v>
      </c>
    </row>
    <row r="39112" spans="129:129" x14ac:dyDescent="0.2">
      <c r="DY39112" s="185" t="s">
        <v>215</v>
      </c>
    </row>
    <row r="39113" spans="129:129" x14ac:dyDescent="0.2">
      <c r="DY39113" s="185" t="s">
        <v>215</v>
      </c>
    </row>
    <row r="39114" spans="129:129" x14ac:dyDescent="0.2">
      <c r="DY39114" s="185" t="s">
        <v>215</v>
      </c>
    </row>
    <row r="39115" spans="129:129" x14ac:dyDescent="0.2">
      <c r="DY39115" s="185" t="s">
        <v>215</v>
      </c>
    </row>
    <row r="39116" spans="129:129" x14ac:dyDescent="0.2">
      <c r="DY39116" s="185" t="s">
        <v>215</v>
      </c>
    </row>
    <row r="39117" spans="129:129" x14ac:dyDescent="0.2">
      <c r="DY39117" s="185" t="s">
        <v>215</v>
      </c>
    </row>
    <row r="39118" spans="129:129" x14ac:dyDescent="0.2">
      <c r="DY39118" s="185" t="s">
        <v>215</v>
      </c>
    </row>
    <row r="39119" spans="129:129" x14ac:dyDescent="0.2">
      <c r="DY39119" s="185" t="s">
        <v>215</v>
      </c>
    </row>
    <row r="39120" spans="129:129" x14ac:dyDescent="0.2">
      <c r="DY39120" s="185" t="s">
        <v>215</v>
      </c>
    </row>
    <row r="39121" spans="129:129" x14ac:dyDescent="0.2">
      <c r="DY39121" s="185" t="s">
        <v>215</v>
      </c>
    </row>
    <row r="39122" spans="129:129" x14ac:dyDescent="0.2">
      <c r="DY39122" s="185" t="s">
        <v>215</v>
      </c>
    </row>
    <row r="39123" spans="129:129" x14ac:dyDescent="0.2">
      <c r="DY39123" s="185" t="s">
        <v>215</v>
      </c>
    </row>
    <row r="39124" spans="129:129" x14ac:dyDescent="0.2">
      <c r="DY39124" s="185" t="s">
        <v>215</v>
      </c>
    </row>
    <row r="39125" spans="129:129" x14ac:dyDescent="0.2">
      <c r="DY39125" s="185" t="s">
        <v>215</v>
      </c>
    </row>
    <row r="39126" spans="129:129" x14ac:dyDescent="0.2">
      <c r="DY39126" s="185" t="s">
        <v>215</v>
      </c>
    </row>
    <row r="39127" spans="129:129" x14ac:dyDescent="0.2">
      <c r="DY39127" s="185" t="s">
        <v>215</v>
      </c>
    </row>
    <row r="39128" spans="129:129" x14ac:dyDescent="0.2">
      <c r="DY39128" s="185" t="s">
        <v>215</v>
      </c>
    </row>
    <row r="39129" spans="129:129" x14ac:dyDescent="0.2">
      <c r="DY39129" s="185" t="s">
        <v>215</v>
      </c>
    </row>
    <row r="39130" spans="129:129" x14ac:dyDescent="0.2">
      <c r="DY39130" s="185" t="s">
        <v>215</v>
      </c>
    </row>
    <row r="39131" spans="129:129" x14ac:dyDescent="0.2">
      <c r="DY39131" s="185" t="s">
        <v>215</v>
      </c>
    </row>
    <row r="39132" spans="129:129" x14ac:dyDescent="0.2">
      <c r="DY39132" s="185" t="s">
        <v>215</v>
      </c>
    </row>
    <row r="39133" spans="129:129" x14ac:dyDescent="0.2">
      <c r="DY39133" s="185" t="s">
        <v>215</v>
      </c>
    </row>
    <row r="39134" spans="129:129" x14ac:dyDescent="0.2">
      <c r="DY39134" s="185" t="s">
        <v>215</v>
      </c>
    </row>
    <row r="39135" spans="129:129" x14ac:dyDescent="0.2">
      <c r="DY39135" s="185" t="s">
        <v>215</v>
      </c>
    </row>
    <row r="39136" spans="129:129" x14ac:dyDescent="0.2">
      <c r="DY39136" s="185" t="s">
        <v>215</v>
      </c>
    </row>
    <row r="39137" spans="129:129" x14ac:dyDescent="0.2">
      <c r="DY39137" s="185" t="s">
        <v>215</v>
      </c>
    </row>
    <row r="39138" spans="129:129" x14ac:dyDescent="0.2">
      <c r="DY39138" s="185" t="s">
        <v>215</v>
      </c>
    </row>
    <row r="39139" spans="129:129" x14ac:dyDescent="0.2">
      <c r="DY39139" s="185" t="s">
        <v>215</v>
      </c>
    </row>
    <row r="39140" spans="129:129" x14ac:dyDescent="0.2">
      <c r="DY39140" s="185" t="s">
        <v>215</v>
      </c>
    </row>
    <row r="39141" spans="129:129" x14ac:dyDescent="0.2">
      <c r="DY39141" s="185" t="s">
        <v>215</v>
      </c>
    </row>
    <row r="39142" spans="129:129" x14ac:dyDescent="0.2">
      <c r="DY39142" s="185" t="s">
        <v>215</v>
      </c>
    </row>
    <row r="39143" spans="129:129" x14ac:dyDescent="0.2">
      <c r="DY39143" s="185" t="s">
        <v>215</v>
      </c>
    </row>
    <row r="39144" spans="129:129" x14ac:dyDescent="0.2">
      <c r="DY39144" s="185" t="s">
        <v>215</v>
      </c>
    </row>
    <row r="39145" spans="129:129" x14ac:dyDescent="0.2">
      <c r="DY39145" s="185" t="s">
        <v>215</v>
      </c>
    </row>
    <row r="39146" spans="129:129" x14ac:dyDescent="0.2">
      <c r="DY39146" s="185" t="s">
        <v>215</v>
      </c>
    </row>
    <row r="39147" spans="129:129" x14ac:dyDescent="0.2">
      <c r="DY39147" s="185" t="s">
        <v>215</v>
      </c>
    </row>
    <row r="39148" spans="129:129" x14ac:dyDescent="0.2">
      <c r="DY39148" s="185" t="s">
        <v>215</v>
      </c>
    </row>
    <row r="39149" spans="129:129" x14ac:dyDescent="0.2">
      <c r="DY39149" s="185" t="s">
        <v>215</v>
      </c>
    </row>
    <row r="39150" spans="129:129" x14ac:dyDescent="0.2">
      <c r="DY39150" s="185" t="s">
        <v>215</v>
      </c>
    </row>
    <row r="39151" spans="129:129" x14ac:dyDescent="0.2">
      <c r="DY39151" s="185" t="s">
        <v>215</v>
      </c>
    </row>
    <row r="39152" spans="129:129" x14ac:dyDescent="0.2">
      <c r="DY39152" s="185" t="s">
        <v>215</v>
      </c>
    </row>
    <row r="39153" spans="129:129" x14ac:dyDescent="0.2">
      <c r="DY39153" s="185" t="s">
        <v>215</v>
      </c>
    </row>
    <row r="39154" spans="129:129" x14ac:dyDescent="0.2">
      <c r="DY39154" s="185" t="s">
        <v>215</v>
      </c>
    </row>
    <row r="39155" spans="129:129" x14ac:dyDescent="0.2">
      <c r="DY39155" s="185" t="s">
        <v>215</v>
      </c>
    </row>
    <row r="39156" spans="129:129" x14ac:dyDescent="0.2">
      <c r="DY39156" s="185" t="s">
        <v>215</v>
      </c>
    </row>
    <row r="39157" spans="129:129" x14ac:dyDescent="0.2">
      <c r="DY39157" s="185" t="s">
        <v>215</v>
      </c>
    </row>
    <row r="39158" spans="129:129" x14ac:dyDescent="0.2">
      <c r="DY39158" s="185" t="s">
        <v>215</v>
      </c>
    </row>
    <row r="39159" spans="129:129" x14ac:dyDescent="0.2">
      <c r="DY39159" s="185" t="s">
        <v>215</v>
      </c>
    </row>
    <row r="39160" spans="129:129" x14ac:dyDescent="0.2">
      <c r="DY39160" s="185" t="s">
        <v>215</v>
      </c>
    </row>
    <row r="39161" spans="129:129" x14ac:dyDescent="0.2">
      <c r="DY39161" s="185" t="s">
        <v>215</v>
      </c>
    </row>
    <row r="39162" spans="129:129" x14ac:dyDescent="0.2">
      <c r="DY39162" s="185" t="s">
        <v>215</v>
      </c>
    </row>
    <row r="39163" spans="129:129" x14ac:dyDescent="0.2">
      <c r="DY39163" s="185" t="s">
        <v>215</v>
      </c>
    </row>
    <row r="39164" spans="129:129" x14ac:dyDescent="0.2">
      <c r="DY39164" s="185" t="s">
        <v>215</v>
      </c>
    </row>
    <row r="39165" spans="129:129" x14ac:dyDescent="0.2">
      <c r="DY39165" s="185" t="s">
        <v>215</v>
      </c>
    </row>
    <row r="39166" spans="129:129" x14ac:dyDescent="0.2">
      <c r="DY39166" s="185" t="s">
        <v>215</v>
      </c>
    </row>
    <row r="39167" spans="129:129" x14ac:dyDescent="0.2">
      <c r="DY39167" s="185" t="s">
        <v>215</v>
      </c>
    </row>
    <row r="39168" spans="129:129" x14ac:dyDescent="0.2">
      <c r="DY39168" s="185" t="s">
        <v>215</v>
      </c>
    </row>
    <row r="39169" spans="129:129" x14ac:dyDescent="0.2">
      <c r="DY39169" s="185" t="s">
        <v>215</v>
      </c>
    </row>
    <row r="39170" spans="129:129" x14ac:dyDescent="0.2">
      <c r="DY39170" s="185" t="s">
        <v>215</v>
      </c>
    </row>
    <row r="39171" spans="129:129" x14ac:dyDescent="0.2">
      <c r="DY39171" s="185" t="s">
        <v>215</v>
      </c>
    </row>
    <row r="39172" spans="129:129" x14ac:dyDescent="0.2">
      <c r="DY39172" s="185" t="s">
        <v>215</v>
      </c>
    </row>
    <row r="39173" spans="129:129" x14ac:dyDescent="0.2">
      <c r="DY39173" s="185" t="s">
        <v>215</v>
      </c>
    </row>
    <row r="39174" spans="129:129" x14ac:dyDescent="0.2">
      <c r="DY39174" s="185" t="s">
        <v>215</v>
      </c>
    </row>
    <row r="39175" spans="129:129" x14ac:dyDescent="0.2">
      <c r="DY39175" s="185" t="s">
        <v>215</v>
      </c>
    </row>
    <row r="39176" spans="129:129" x14ac:dyDescent="0.2">
      <c r="DY39176" s="185" t="s">
        <v>215</v>
      </c>
    </row>
    <row r="39177" spans="129:129" x14ac:dyDescent="0.2">
      <c r="DY39177" s="185" t="s">
        <v>215</v>
      </c>
    </row>
    <row r="39178" spans="129:129" x14ac:dyDescent="0.2">
      <c r="DY39178" s="185" t="s">
        <v>215</v>
      </c>
    </row>
    <row r="39179" spans="129:129" x14ac:dyDescent="0.2">
      <c r="DY39179" s="185" t="s">
        <v>215</v>
      </c>
    </row>
    <row r="39180" spans="129:129" x14ac:dyDescent="0.2">
      <c r="DY39180" s="185" t="s">
        <v>215</v>
      </c>
    </row>
    <row r="39181" spans="129:129" x14ac:dyDescent="0.2">
      <c r="DY39181" s="185" t="s">
        <v>215</v>
      </c>
    </row>
    <row r="39182" spans="129:129" x14ac:dyDescent="0.2">
      <c r="DY39182" s="185" t="s">
        <v>215</v>
      </c>
    </row>
    <row r="39183" spans="129:129" x14ac:dyDescent="0.2">
      <c r="DY39183" s="185" t="s">
        <v>215</v>
      </c>
    </row>
    <row r="39184" spans="129:129" x14ac:dyDescent="0.2">
      <c r="DY39184" s="185" t="s">
        <v>215</v>
      </c>
    </row>
    <row r="39185" spans="129:129" x14ac:dyDescent="0.2">
      <c r="DY39185" s="185" t="s">
        <v>215</v>
      </c>
    </row>
    <row r="39186" spans="129:129" x14ac:dyDescent="0.2">
      <c r="DY39186" s="185" t="s">
        <v>215</v>
      </c>
    </row>
    <row r="39187" spans="129:129" x14ac:dyDescent="0.2">
      <c r="DY39187" s="185" t="s">
        <v>215</v>
      </c>
    </row>
    <row r="39188" spans="129:129" x14ac:dyDescent="0.2">
      <c r="DY39188" s="185" t="s">
        <v>215</v>
      </c>
    </row>
    <row r="39189" spans="129:129" x14ac:dyDescent="0.2">
      <c r="DY39189" s="185" t="s">
        <v>215</v>
      </c>
    </row>
    <row r="39190" spans="129:129" x14ac:dyDescent="0.2">
      <c r="DY39190" s="185" t="s">
        <v>215</v>
      </c>
    </row>
    <row r="39191" spans="129:129" x14ac:dyDescent="0.2">
      <c r="DY39191" s="185" t="s">
        <v>215</v>
      </c>
    </row>
    <row r="39192" spans="129:129" x14ac:dyDescent="0.2">
      <c r="DY39192" s="185" t="s">
        <v>215</v>
      </c>
    </row>
    <row r="39193" spans="129:129" x14ac:dyDescent="0.2">
      <c r="DY39193" s="185" t="s">
        <v>215</v>
      </c>
    </row>
    <row r="39194" spans="129:129" x14ac:dyDescent="0.2">
      <c r="DY39194" s="185" t="s">
        <v>215</v>
      </c>
    </row>
    <row r="39195" spans="129:129" x14ac:dyDescent="0.2">
      <c r="DY39195" s="185" t="s">
        <v>215</v>
      </c>
    </row>
    <row r="39196" spans="129:129" x14ac:dyDescent="0.2">
      <c r="DY39196" s="185" t="s">
        <v>215</v>
      </c>
    </row>
    <row r="39197" spans="129:129" x14ac:dyDescent="0.2">
      <c r="DY39197" s="185" t="s">
        <v>215</v>
      </c>
    </row>
    <row r="39198" spans="129:129" x14ac:dyDescent="0.2">
      <c r="DY39198" s="185" t="s">
        <v>215</v>
      </c>
    </row>
    <row r="39199" spans="129:129" x14ac:dyDescent="0.2">
      <c r="DY39199" s="185" t="s">
        <v>215</v>
      </c>
    </row>
    <row r="39200" spans="129:129" x14ac:dyDescent="0.2">
      <c r="DY39200" s="185" t="s">
        <v>215</v>
      </c>
    </row>
    <row r="39201" spans="129:129" x14ac:dyDescent="0.2">
      <c r="DY39201" s="185" t="s">
        <v>215</v>
      </c>
    </row>
    <row r="39202" spans="129:129" x14ac:dyDescent="0.2">
      <c r="DY39202" s="185" t="s">
        <v>215</v>
      </c>
    </row>
    <row r="39203" spans="129:129" x14ac:dyDescent="0.2">
      <c r="DY39203" s="185" t="s">
        <v>215</v>
      </c>
    </row>
    <row r="39204" spans="129:129" x14ac:dyDescent="0.2">
      <c r="DY39204" s="185" t="s">
        <v>215</v>
      </c>
    </row>
    <row r="39205" spans="129:129" x14ac:dyDescent="0.2">
      <c r="DY39205" s="185" t="s">
        <v>215</v>
      </c>
    </row>
    <row r="39206" spans="129:129" x14ac:dyDescent="0.2">
      <c r="DY39206" s="185" t="s">
        <v>215</v>
      </c>
    </row>
    <row r="39207" spans="129:129" x14ac:dyDescent="0.2">
      <c r="DY39207" s="185" t="s">
        <v>215</v>
      </c>
    </row>
    <row r="39208" spans="129:129" x14ac:dyDescent="0.2">
      <c r="DY39208" s="185" t="s">
        <v>215</v>
      </c>
    </row>
    <row r="39209" spans="129:129" x14ac:dyDescent="0.2">
      <c r="DY39209" s="185" t="s">
        <v>215</v>
      </c>
    </row>
    <row r="39210" spans="129:129" x14ac:dyDescent="0.2">
      <c r="DY39210" s="185" t="s">
        <v>215</v>
      </c>
    </row>
    <row r="39211" spans="129:129" x14ac:dyDescent="0.2">
      <c r="DY39211" s="185" t="s">
        <v>215</v>
      </c>
    </row>
    <row r="39212" spans="129:129" x14ac:dyDescent="0.2">
      <c r="DY39212" s="185" t="s">
        <v>215</v>
      </c>
    </row>
    <row r="39213" spans="129:129" x14ac:dyDescent="0.2">
      <c r="DY39213" s="185" t="s">
        <v>215</v>
      </c>
    </row>
    <row r="39214" spans="129:129" x14ac:dyDescent="0.2">
      <c r="DY39214" s="185" t="s">
        <v>215</v>
      </c>
    </row>
    <row r="39215" spans="129:129" x14ac:dyDescent="0.2">
      <c r="DY39215" s="185" t="s">
        <v>215</v>
      </c>
    </row>
    <row r="39216" spans="129:129" x14ac:dyDescent="0.2">
      <c r="DY39216" s="185" t="s">
        <v>215</v>
      </c>
    </row>
    <row r="39217" spans="129:129" x14ac:dyDescent="0.2">
      <c r="DY39217" s="185" t="s">
        <v>215</v>
      </c>
    </row>
    <row r="39218" spans="129:129" x14ac:dyDescent="0.2">
      <c r="DY39218" s="185" t="s">
        <v>215</v>
      </c>
    </row>
    <row r="39219" spans="129:129" x14ac:dyDescent="0.2">
      <c r="DY39219" s="185" t="s">
        <v>215</v>
      </c>
    </row>
    <row r="39220" spans="129:129" x14ac:dyDescent="0.2">
      <c r="DY39220" s="185" t="s">
        <v>215</v>
      </c>
    </row>
    <row r="39221" spans="129:129" x14ac:dyDescent="0.2">
      <c r="DY39221" s="185" t="s">
        <v>215</v>
      </c>
    </row>
    <row r="39222" spans="129:129" x14ac:dyDescent="0.2">
      <c r="DY39222" s="185" t="s">
        <v>215</v>
      </c>
    </row>
    <row r="39223" spans="129:129" x14ac:dyDescent="0.2">
      <c r="DY39223" s="185" t="s">
        <v>215</v>
      </c>
    </row>
    <row r="39224" spans="129:129" x14ac:dyDescent="0.2">
      <c r="DY39224" s="185" t="s">
        <v>215</v>
      </c>
    </row>
    <row r="39225" spans="129:129" x14ac:dyDescent="0.2">
      <c r="DY39225" s="185" t="s">
        <v>215</v>
      </c>
    </row>
    <row r="39226" spans="129:129" x14ac:dyDescent="0.2">
      <c r="DY39226" s="185" t="s">
        <v>215</v>
      </c>
    </row>
    <row r="39227" spans="129:129" x14ac:dyDescent="0.2">
      <c r="DY39227" s="185" t="s">
        <v>215</v>
      </c>
    </row>
    <row r="39228" spans="129:129" x14ac:dyDescent="0.2">
      <c r="DY39228" s="185" t="s">
        <v>215</v>
      </c>
    </row>
    <row r="39229" spans="129:129" x14ac:dyDescent="0.2">
      <c r="DY39229" s="185" t="s">
        <v>215</v>
      </c>
    </row>
    <row r="39230" spans="129:129" x14ac:dyDescent="0.2">
      <c r="DY39230" s="185" t="s">
        <v>215</v>
      </c>
    </row>
    <row r="39231" spans="129:129" x14ac:dyDescent="0.2">
      <c r="DY39231" s="185" t="s">
        <v>215</v>
      </c>
    </row>
    <row r="39232" spans="129:129" x14ac:dyDescent="0.2">
      <c r="DY39232" s="185" t="s">
        <v>215</v>
      </c>
    </row>
    <row r="39233" spans="129:129" x14ac:dyDescent="0.2">
      <c r="DY39233" s="185" t="s">
        <v>215</v>
      </c>
    </row>
    <row r="39234" spans="129:129" x14ac:dyDescent="0.2">
      <c r="DY39234" s="185" t="s">
        <v>215</v>
      </c>
    </row>
    <row r="39235" spans="129:129" x14ac:dyDescent="0.2">
      <c r="DY39235" s="185" t="s">
        <v>215</v>
      </c>
    </row>
    <row r="39236" spans="129:129" x14ac:dyDescent="0.2">
      <c r="DY39236" s="185" t="s">
        <v>215</v>
      </c>
    </row>
    <row r="39237" spans="129:129" x14ac:dyDescent="0.2">
      <c r="DY39237" s="185" t="s">
        <v>215</v>
      </c>
    </row>
    <row r="39238" spans="129:129" x14ac:dyDescent="0.2">
      <c r="DY39238" s="185" t="s">
        <v>215</v>
      </c>
    </row>
    <row r="39239" spans="129:129" x14ac:dyDescent="0.2">
      <c r="DY39239" s="185" t="s">
        <v>215</v>
      </c>
    </row>
    <row r="39240" spans="129:129" x14ac:dyDescent="0.2">
      <c r="DY39240" s="185" t="s">
        <v>215</v>
      </c>
    </row>
    <row r="39241" spans="129:129" x14ac:dyDescent="0.2">
      <c r="DY39241" s="185" t="s">
        <v>215</v>
      </c>
    </row>
    <row r="39242" spans="129:129" x14ac:dyDescent="0.2">
      <c r="DY39242" s="185" t="s">
        <v>215</v>
      </c>
    </row>
    <row r="39243" spans="129:129" x14ac:dyDescent="0.2">
      <c r="DY39243" s="185" t="s">
        <v>215</v>
      </c>
    </row>
    <row r="39244" spans="129:129" x14ac:dyDescent="0.2">
      <c r="DY39244" s="185" t="s">
        <v>215</v>
      </c>
    </row>
    <row r="39245" spans="129:129" x14ac:dyDescent="0.2">
      <c r="DY39245" s="185" t="s">
        <v>215</v>
      </c>
    </row>
    <row r="39246" spans="129:129" x14ac:dyDescent="0.2">
      <c r="DY39246" s="185" t="s">
        <v>215</v>
      </c>
    </row>
    <row r="39247" spans="129:129" x14ac:dyDescent="0.2">
      <c r="DY39247" s="185" t="s">
        <v>215</v>
      </c>
    </row>
    <row r="39248" spans="129:129" x14ac:dyDescent="0.2">
      <c r="DY39248" s="185" t="s">
        <v>215</v>
      </c>
    </row>
    <row r="39249" spans="129:129" x14ac:dyDescent="0.2">
      <c r="DY39249" s="185" t="s">
        <v>215</v>
      </c>
    </row>
    <row r="39250" spans="129:129" x14ac:dyDescent="0.2">
      <c r="DY39250" s="185" t="s">
        <v>215</v>
      </c>
    </row>
    <row r="39251" spans="129:129" x14ac:dyDescent="0.2">
      <c r="DY39251" s="185" t="s">
        <v>215</v>
      </c>
    </row>
    <row r="39252" spans="129:129" x14ac:dyDescent="0.2">
      <c r="DY39252" s="185" t="s">
        <v>215</v>
      </c>
    </row>
    <row r="39253" spans="129:129" x14ac:dyDescent="0.2">
      <c r="DY39253" s="185" t="s">
        <v>215</v>
      </c>
    </row>
    <row r="39254" spans="129:129" x14ac:dyDescent="0.2">
      <c r="DY39254" s="185" t="s">
        <v>215</v>
      </c>
    </row>
    <row r="39255" spans="129:129" x14ac:dyDescent="0.2">
      <c r="DY39255" s="185" t="s">
        <v>215</v>
      </c>
    </row>
    <row r="39256" spans="129:129" x14ac:dyDescent="0.2">
      <c r="DY39256" s="185" t="s">
        <v>215</v>
      </c>
    </row>
    <row r="39257" spans="129:129" x14ac:dyDescent="0.2">
      <c r="DY39257" s="185" t="s">
        <v>215</v>
      </c>
    </row>
    <row r="39258" spans="129:129" x14ac:dyDescent="0.2">
      <c r="DY39258" s="185" t="s">
        <v>215</v>
      </c>
    </row>
    <row r="39259" spans="129:129" x14ac:dyDescent="0.2">
      <c r="DY39259" s="185" t="s">
        <v>215</v>
      </c>
    </row>
    <row r="39260" spans="129:129" x14ac:dyDescent="0.2">
      <c r="DY39260" s="185" t="s">
        <v>215</v>
      </c>
    </row>
    <row r="39261" spans="129:129" x14ac:dyDescent="0.2">
      <c r="DY39261" s="185" t="s">
        <v>215</v>
      </c>
    </row>
    <row r="39262" spans="129:129" x14ac:dyDescent="0.2">
      <c r="DY39262" s="185" t="s">
        <v>215</v>
      </c>
    </row>
    <row r="39263" spans="129:129" x14ac:dyDescent="0.2">
      <c r="DY39263" s="185" t="s">
        <v>215</v>
      </c>
    </row>
    <row r="39264" spans="129:129" x14ac:dyDescent="0.2">
      <c r="DY39264" s="185" t="s">
        <v>215</v>
      </c>
    </row>
    <row r="39265" spans="129:129" x14ac:dyDescent="0.2">
      <c r="DY39265" s="185" t="s">
        <v>215</v>
      </c>
    </row>
    <row r="39266" spans="129:129" x14ac:dyDescent="0.2">
      <c r="DY39266" s="185" t="s">
        <v>215</v>
      </c>
    </row>
    <row r="39267" spans="129:129" x14ac:dyDescent="0.2">
      <c r="DY39267" s="185" t="s">
        <v>215</v>
      </c>
    </row>
    <row r="39268" spans="129:129" x14ac:dyDescent="0.2">
      <c r="DY39268" s="185" t="s">
        <v>215</v>
      </c>
    </row>
    <row r="39269" spans="129:129" x14ac:dyDescent="0.2">
      <c r="DY39269" s="185" t="s">
        <v>215</v>
      </c>
    </row>
    <row r="39270" spans="129:129" x14ac:dyDescent="0.2">
      <c r="DY39270" s="185" t="s">
        <v>215</v>
      </c>
    </row>
    <row r="39271" spans="129:129" x14ac:dyDescent="0.2">
      <c r="DY39271" s="185" t="s">
        <v>215</v>
      </c>
    </row>
    <row r="39272" spans="129:129" x14ac:dyDescent="0.2">
      <c r="DY39272" s="185" t="s">
        <v>215</v>
      </c>
    </row>
    <row r="39273" spans="129:129" x14ac:dyDescent="0.2">
      <c r="DY39273" s="185" t="s">
        <v>215</v>
      </c>
    </row>
    <row r="39274" spans="129:129" x14ac:dyDescent="0.2">
      <c r="DY39274" s="185" t="s">
        <v>215</v>
      </c>
    </row>
    <row r="39275" spans="129:129" x14ac:dyDescent="0.2">
      <c r="DY39275" s="185" t="s">
        <v>215</v>
      </c>
    </row>
    <row r="39276" spans="129:129" x14ac:dyDescent="0.2">
      <c r="DY39276" s="185" t="s">
        <v>215</v>
      </c>
    </row>
    <row r="39277" spans="129:129" x14ac:dyDescent="0.2">
      <c r="DY39277" s="185" t="s">
        <v>215</v>
      </c>
    </row>
    <row r="39278" spans="129:129" x14ac:dyDescent="0.2">
      <c r="DY39278" s="185" t="s">
        <v>215</v>
      </c>
    </row>
    <row r="39279" spans="129:129" x14ac:dyDescent="0.2">
      <c r="DY39279" s="185" t="s">
        <v>215</v>
      </c>
    </row>
    <row r="39280" spans="129:129" x14ac:dyDescent="0.2">
      <c r="DY39280" s="185" t="s">
        <v>215</v>
      </c>
    </row>
    <row r="39281" spans="129:129" x14ac:dyDescent="0.2">
      <c r="DY39281" s="185" t="s">
        <v>215</v>
      </c>
    </row>
    <row r="39282" spans="129:129" x14ac:dyDescent="0.2">
      <c r="DY39282" s="185" t="s">
        <v>215</v>
      </c>
    </row>
    <row r="39283" spans="129:129" x14ac:dyDescent="0.2">
      <c r="DY39283" s="185" t="s">
        <v>215</v>
      </c>
    </row>
    <row r="39284" spans="129:129" x14ac:dyDescent="0.2">
      <c r="DY39284" s="185" t="s">
        <v>215</v>
      </c>
    </row>
    <row r="39285" spans="129:129" x14ac:dyDescent="0.2">
      <c r="DY39285" s="185" t="s">
        <v>215</v>
      </c>
    </row>
    <row r="39286" spans="129:129" x14ac:dyDescent="0.2">
      <c r="DY39286" s="185" t="s">
        <v>215</v>
      </c>
    </row>
    <row r="39287" spans="129:129" x14ac:dyDescent="0.2">
      <c r="DY39287" s="185" t="s">
        <v>215</v>
      </c>
    </row>
    <row r="39288" spans="129:129" x14ac:dyDescent="0.2">
      <c r="DY39288" s="185" t="s">
        <v>215</v>
      </c>
    </row>
    <row r="39289" spans="129:129" x14ac:dyDescent="0.2">
      <c r="DY39289" s="185" t="s">
        <v>215</v>
      </c>
    </row>
    <row r="39290" spans="129:129" x14ac:dyDescent="0.2">
      <c r="DY39290" s="185" t="s">
        <v>215</v>
      </c>
    </row>
    <row r="39291" spans="129:129" x14ac:dyDescent="0.2">
      <c r="DY39291" s="185" t="s">
        <v>215</v>
      </c>
    </row>
    <row r="39292" spans="129:129" x14ac:dyDescent="0.2">
      <c r="DY39292" s="185" t="s">
        <v>215</v>
      </c>
    </row>
    <row r="39293" spans="129:129" x14ac:dyDescent="0.2">
      <c r="DY39293" s="185" t="s">
        <v>215</v>
      </c>
    </row>
    <row r="39294" spans="129:129" x14ac:dyDescent="0.2">
      <c r="DY39294" s="185" t="s">
        <v>215</v>
      </c>
    </row>
    <row r="39295" spans="129:129" x14ac:dyDescent="0.2">
      <c r="DY39295" s="185" t="s">
        <v>215</v>
      </c>
    </row>
    <row r="39296" spans="129:129" x14ac:dyDescent="0.2">
      <c r="DY39296" s="185" t="s">
        <v>215</v>
      </c>
    </row>
    <row r="39297" spans="129:129" x14ac:dyDescent="0.2">
      <c r="DY39297" s="185" t="s">
        <v>215</v>
      </c>
    </row>
    <row r="39298" spans="129:129" x14ac:dyDescent="0.2">
      <c r="DY39298" s="185" t="s">
        <v>215</v>
      </c>
    </row>
    <row r="39299" spans="129:129" x14ac:dyDescent="0.2">
      <c r="DY39299" s="185" t="s">
        <v>215</v>
      </c>
    </row>
    <row r="39300" spans="129:129" x14ac:dyDescent="0.2">
      <c r="DY39300" s="185" t="s">
        <v>215</v>
      </c>
    </row>
    <row r="39301" spans="129:129" x14ac:dyDescent="0.2">
      <c r="DY39301" s="185" t="s">
        <v>215</v>
      </c>
    </row>
    <row r="39302" spans="129:129" x14ac:dyDescent="0.2">
      <c r="DY39302" s="185" t="s">
        <v>215</v>
      </c>
    </row>
    <row r="39303" spans="129:129" x14ac:dyDescent="0.2">
      <c r="DY39303" s="185" t="s">
        <v>215</v>
      </c>
    </row>
    <row r="39304" spans="129:129" x14ac:dyDescent="0.2">
      <c r="DY39304" s="185" t="s">
        <v>215</v>
      </c>
    </row>
    <row r="39305" spans="129:129" x14ac:dyDescent="0.2">
      <c r="DY39305" s="185" t="s">
        <v>215</v>
      </c>
    </row>
    <row r="39306" spans="129:129" x14ac:dyDescent="0.2">
      <c r="DY39306" s="185" t="s">
        <v>215</v>
      </c>
    </row>
    <row r="39307" spans="129:129" x14ac:dyDescent="0.2">
      <c r="DY39307" s="185" t="s">
        <v>215</v>
      </c>
    </row>
    <row r="39308" spans="129:129" x14ac:dyDescent="0.2">
      <c r="DY39308" s="185" t="s">
        <v>215</v>
      </c>
    </row>
    <row r="39309" spans="129:129" x14ac:dyDescent="0.2">
      <c r="DY39309" s="185" t="s">
        <v>215</v>
      </c>
    </row>
    <row r="39310" spans="129:129" x14ac:dyDescent="0.2">
      <c r="DY39310" s="185" t="s">
        <v>215</v>
      </c>
    </row>
    <row r="39311" spans="129:129" x14ac:dyDescent="0.2">
      <c r="DY39311" s="185" t="s">
        <v>215</v>
      </c>
    </row>
    <row r="39312" spans="129:129" x14ac:dyDescent="0.2">
      <c r="DY39312" s="185" t="s">
        <v>215</v>
      </c>
    </row>
    <row r="39313" spans="129:129" x14ac:dyDescent="0.2">
      <c r="DY39313" s="185" t="s">
        <v>215</v>
      </c>
    </row>
    <row r="39314" spans="129:129" x14ac:dyDescent="0.2">
      <c r="DY39314" s="185" t="s">
        <v>215</v>
      </c>
    </row>
    <row r="39315" spans="129:129" x14ac:dyDescent="0.2">
      <c r="DY39315" s="185" t="s">
        <v>215</v>
      </c>
    </row>
    <row r="39316" spans="129:129" x14ac:dyDescent="0.2">
      <c r="DY39316" s="185" t="s">
        <v>215</v>
      </c>
    </row>
    <row r="39317" spans="129:129" x14ac:dyDescent="0.2">
      <c r="DY39317" s="185" t="s">
        <v>215</v>
      </c>
    </row>
    <row r="39318" spans="129:129" x14ac:dyDescent="0.2">
      <c r="DY39318" s="185" t="s">
        <v>215</v>
      </c>
    </row>
    <row r="39319" spans="129:129" x14ac:dyDescent="0.2">
      <c r="DY39319" s="185" t="s">
        <v>215</v>
      </c>
    </row>
    <row r="39320" spans="129:129" x14ac:dyDescent="0.2">
      <c r="DY39320" s="185" t="s">
        <v>215</v>
      </c>
    </row>
    <row r="39321" spans="129:129" x14ac:dyDescent="0.2">
      <c r="DY39321" s="185" t="s">
        <v>215</v>
      </c>
    </row>
    <row r="39322" spans="129:129" x14ac:dyDescent="0.2">
      <c r="DY39322" s="185" t="s">
        <v>215</v>
      </c>
    </row>
    <row r="39323" spans="129:129" x14ac:dyDescent="0.2">
      <c r="DY39323" s="185" t="s">
        <v>215</v>
      </c>
    </row>
    <row r="39324" spans="129:129" x14ac:dyDescent="0.2">
      <c r="DY39324" s="185" t="s">
        <v>215</v>
      </c>
    </row>
    <row r="39325" spans="129:129" x14ac:dyDescent="0.2">
      <c r="DY39325" s="185" t="s">
        <v>215</v>
      </c>
    </row>
    <row r="39326" spans="129:129" x14ac:dyDescent="0.2">
      <c r="DY39326" s="185" t="s">
        <v>215</v>
      </c>
    </row>
    <row r="39327" spans="129:129" x14ac:dyDescent="0.2">
      <c r="DY39327" s="185" t="s">
        <v>215</v>
      </c>
    </row>
    <row r="39328" spans="129:129" x14ac:dyDescent="0.2">
      <c r="DY39328" s="185" t="s">
        <v>215</v>
      </c>
    </row>
    <row r="39329" spans="129:129" x14ac:dyDescent="0.2">
      <c r="DY39329" s="185" t="s">
        <v>215</v>
      </c>
    </row>
    <row r="39330" spans="129:129" x14ac:dyDescent="0.2">
      <c r="DY39330" s="185" t="s">
        <v>215</v>
      </c>
    </row>
    <row r="39331" spans="129:129" x14ac:dyDescent="0.2">
      <c r="DY39331" s="185" t="s">
        <v>215</v>
      </c>
    </row>
    <row r="39332" spans="129:129" x14ac:dyDescent="0.2">
      <c r="DY39332" s="185" t="s">
        <v>215</v>
      </c>
    </row>
    <row r="39333" spans="129:129" x14ac:dyDescent="0.2">
      <c r="DY39333" s="185" t="s">
        <v>215</v>
      </c>
    </row>
    <row r="39334" spans="129:129" x14ac:dyDescent="0.2">
      <c r="DY39334" s="185" t="s">
        <v>215</v>
      </c>
    </row>
    <row r="39335" spans="129:129" x14ac:dyDescent="0.2">
      <c r="DY39335" s="185" t="s">
        <v>215</v>
      </c>
    </row>
    <row r="39336" spans="129:129" x14ac:dyDescent="0.2">
      <c r="DY39336" s="185" t="s">
        <v>215</v>
      </c>
    </row>
    <row r="39337" spans="129:129" x14ac:dyDescent="0.2">
      <c r="DY39337" s="185" t="s">
        <v>215</v>
      </c>
    </row>
    <row r="39338" spans="129:129" x14ac:dyDescent="0.2">
      <c r="DY39338" s="185" t="s">
        <v>215</v>
      </c>
    </row>
    <row r="39339" spans="129:129" x14ac:dyDescent="0.2">
      <c r="DY39339" s="185" t="s">
        <v>215</v>
      </c>
    </row>
    <row r="39340" spans="129:129" x14ac:dyDescent="0.2">
      <c r="DY39340" s="185" t="s">
        <v>215</v>
      </c>
    </row>
    <row r="39341" spans="129:129" x14ac:dyDescent="0.2">
      <c r="DY39341" s="185" t="s">
        <v>215</v>
      </c>
    </row>
    <row r="39342" spans="129:129" x14ac:dyDescent="0.2">
      <c r="DY39342" s="185" t="s">
        <v>215</v>
      </c>
    </row>
    <row r="39343" spans="129:129" x14ac:dyDescent="0.2">
      <c r="DY39343" s="185" t="s">
        <v>215</v>
      </c>
    </row>
    <row r="39344" spans="129:129" x14ac:dyDescent="0.2">
      <c r="DY39344" s="185" t="s">
        <v>215</v>
      </c>
    </row>
    <row r="39345" spans="129:129" x14ac:dyDescent="0.2">
      <c r="DY39345" s="185" t="s">
        <v>215</v>
      </c>
    </row>
    <row r="39346" spans="129:129" x14ac:dyDescent="0.2">
      <c r="DY39346" s="185" t="s">
        <v>215</v>
      </c>
    </row>
    <row r="39347" spans="129:129" x14ac:dyDescent="0.2">
      <c r="DY39347" s="185" t="s">
        <v>215</v>
      </c>
    </row>
    <row r="39348" spans="129:129" x14ac:dyDescent="0.2">
      <c r="DY39348" s="185" t="s">
        <v>215</v>
      </c>
    </row>
    <row r="39349" spans="129:129" x14ac:dyDescent="0.2">
      <c r="DY39349" s="185" t="s">
        <v>215</v>
      </c>
    </row>
    <row r="39350" spans="129:129" x14ac:dyDescent="0.2">
      <c r="DY39350" s="185" t="s">
        <v>215</v>
      </c>
    </row>
    <row r="39351" spans="129:129" x14ac:dyDescent="0.2">
      <c r="DY39351" s="185" t="s">
        <v>215</v>
      </c>
    </row>
    <row r="39352" spans="129:129" x14ac:dyDescent="0.2">
      <c r="DY39352" s="185" t="s">
        <v>215</v>
      </c>
    </row>
    <row r="39353" spans="129:129" x14ac:dyDescent="0.2">
      <c r="DY39353" s="185" t="s">
        <v>215</v>
      </c>
    </row>
    <row r="39354" spans="129:129" x14ac:dyDescent="0.2">
      <c r="DY39354" s="185" t="s">
        <v>215</v>
      </c>
    </row>
    <row r="39355" spans="129:129" x14ac:dyDescent="0.2">
      <c r="DY39355" s="185" t="s">
        <v>215</v>
      </c>
    </row>
    <row r="39356" spans="129:129" x14ac:dyDescent="0.2">
      <c r="DY39356" s="185" t="s">
        <v>215</v>
      </c>
    </row>
    <row r="39357" spans="129:129" x14ac:dyDescent="0.2">
      <c r="DY39357" s="185" t="s">
        <v>215</v>
      </c>
    </row>
    <row r="39358" spans="129:129" x14ac:dyDescent="0.2">
      <c r="DY39358" s="185" t="s">
        <v>215</v>
      </c>
    </row>
    <row r="39359" spans="129:129" x14ac:dyDescent="0.2">
      <c r="DY39359" s="185" t="s">
        <v>215</v>
      </c>
    </row>
    <row r="39360" spans="129:129" x14ac:dyDescent="0.2">
      <c r="DY39360" s="185" t="s">
        <v>215</v>
      </c>
    </row>
    <row r="39361" spans="129:129" x14ac:dyDescent="0.2">
      <c r="DY39361" s="185" t="s">
        <v>215</v>
      </c>
    </row>
    <row r="39362" spans="129:129" x14ac:dyDescent="0.2">
      <c r="DY39362" s="185" t="s">
        <v>215</v>
      </c>
    </row>
    <row r="39363" spans="129:129" x14ac:dyDescent="0.2">
      <c r="DY39363" s="185" t="s">
        <v>215</v>
      </c>
    </row>
    <row r="39364" spans="129:129" x14ac:dyDescent="0.2">
      <c r="DY39364" s="185" t="s">
        <v>215</v>
      </c>
    </row>
    <row r="39365" spans="129:129" x14ac:dyDescent="0.2">
      <c r="DY39365" s="185" t="s">
        <v>215</v>
      </c>
    </row>
    <row r="39366" spans="129:129" x14ac:dyDescent="0.2">
      <c r="DY39366" s="185" t="s">
        <v>215</v>
      </c>
    </row>
    <row r="39367" spans="129:129" x14ac:dyDescent="0.2">
      <c r="DY39367" s="185" t="s">
        <v>215</v>
      </c>
    </row>
    <row r="39368" spans="129:129" x14ac:dyDescent="0.2">
      <c r="DY39368" s="185" t="s">
        <v>215</v>
      </c>
    </row>
    <row r="39369" spans="129:129" x14ac:dyDescent="0.2">
      <c r="DY39369" s="185" t="s">
        <v>215</v>
      </c>
    </row>
    <row r="39370" spans="129:129" x14ac:dyDescent="0.2">
      <c r="DY39370" s="185" t="s">
        <v>215</v>
      </c>
    </row>
    <row r="39371" spans="129:129" x14ac:dyDescent="0.2">
      <c r="DY39371" s="185" t="s">
        <v>215</v>
      </c>
    </row>
    <row r="39372" spans="129:129" x14ac:dyDescent="0.2">
      <c r="DY39372" s="185" t="s">
        <v>215</v>
      </c>
    </row>
    <row r="39373" spans="129:129" x14ac:dyDescent="0.2">
      <c r="DY39373" s="185" t="s">
        <v>215</v>
      </c>
    </row>
    <row r="39374" spans="129:129" x14ac:dyDescent="0.2">
      <c r="DY39374" s="185" t="s">
        <v>215</v>
      </c>
    </row>
    <row r="39375" spans="129:129" x14ac:dyDescent="0.2">
      <c r="DY39375" s="185" t="s">
        <v>215</v>
      </c>
    </row>
    <row r="39376" spans="129:129" x14ac:dyDescent="0.2">
      <c r="DY39376" s="185" t="s">
        <v>215</v>
      </c>
    </row>
    <row r="39377" spans="129:129" x14ac:dyDescent="0.2">
      <c r="DY39377" s="185" t="s">
        <v>215</v>
      </c>
    </row>
    <row r="39378" spans="129:129" x14ac:dyDescent="0.2">
      <c r="DY39378" s="185" t="s">
        <v>215</v>
      </c>
    </row>
    <row r="39379" spans="129:129" x14ac:dyDescent="0.2">
      <c r="DY39379" s="185" t="s">
        <v>215</v>
      </c>
    </row>
    <row r="39380" spans="129:129" x14ac:dyDescent="0.2">
      <c r="DY39380" s="185" t="s">
        <v>215</v>
      </c>
    </row>
    <row r="39381" spans="129:129" x14ac:dyDescent="0.2">
      <c r="DY39381" s="185" t="s">
        <v>215</v>
      </c>
    </row>
    <row r="39382" spans="129:129" x14ac:dyDescent="0.2">
      <c r="DY39382" s="185" t="s">
        <v>215</v>
      </c>
    </row>
    <row r="39383" spans="129:129" x14ac:dyDescent="0.2">
      <c r="DY39383" s="185" t="s">
        <v>215</v>
      </c>
    </row>
    <row r="39384" spans="129:129" x14ac:dyDescent="0.2">
      <c r="DY39384" s="185" t="s">
        <v>215</v>
      </c>
    </row>
    <row r="39385" spans="129:129" x14ac:dyDescent="0.2">
      <c r="DY39385" s="185" t="s">
        <v>215</v>
      </c>
    </row>
    <row r="39386" spans="129:129" x14ac:dyDescent="0.2">
      <c r="DY39386" s="185" t="s">
        <v>215</v>
      </c>
    </row>
    <row r="39387" spans="129:129" x14ac:dyDescent="0.2">
      <c r="DY39387" s="185" t="s">
        <v>215</v>
      </c>
    </row>
    <row r="39388" spans="129:129" x14ac:dyDescent="0.2">
      <c r="DY39388" s="185" t="s">
        <v>215</v>
      </c>
    </row>
    <row r="39389" spans="129:129" x14ac:dyDescent="0.2">
      <c r="DY39389" s="185" t="s">
        <v>215</v>
      </c>
    </row>
    <row r="39390" spans="129:129" x14ac:dyDescent="0.2">
      <c r="DY39390" s="185" t="s">
        <v>215</v>
      </c>
    </row>
    <row r="39391" spans="129:129" x14ac:dyDescent="0.2">
      <c r="DY39391" s="185" t="s">
        <v>215</v>
      </c>
    </row>
    <row r="39392" spans="129:129" x14ac:dyDescent="0.2">
      <c r="DY39392" s="185" t="s">
        <v>215</v>
      </c>
    </row>
    <row r="39393" spans="129:129" x14ac:dyDescent="0.2">
      <c r="DY39393" s="185" t="s">
        <v>215</v>
      </c>
    </row>
    <row r="39394" spans="129:129" x14ac:dyDescent="0.2">
      <c r="DY39394" s="185" t="s">
        <v>215</v>
      </c>
    </row>
    <row r="39395" spans="129:129" x14ac:dyDescent="0.2">
      <c r="DY39395" s="185" t="s">
        <v>215</v>
      </c>
    </row>
    <row r="39396" spans="129:129" x14ac:dyDescent="0.2">
      <c r="DY39396" s="185" t="s">
        <v>215</v>
      </c>
    </row>
    <row r="39397" spans="129:129" x14ac:dyDescent="0.2">
      <c r="DY39397" s="185" t="s">
        <v>215</v>
      </c>
    </row>
    <row r="39398" spans="129:129" x14ac:dyDescent="0.2">
      <c r="DY39398" s="185" t="s">
        <v>215</v>
      </c>
    </row>
    <row r="39399" spans="129:129" x14ac:dyDescent="0.2">
      <c r="DY39399" s="185" t="s">
        <v>215</v>
      </c>
    </row>
    <row r="39400" spans="129:129" x14ac:dyDescent="0.2">
      <c r="DY39400" s="185" t="s">
        <v>215</v>
      </c>
    </row>
    <row r="39401" spans="129:129" x14ac:dyDescent="0.2">
      <c r="DY39401" s="185" t="s">
        <v>215</v>
      </c>
    </row>
    <row r="39402" spans="129:129" x14ac:dyDescent="0.2">
      <c r="DY39402" s="185" t="s">
        <v>215</v>
      </c>
    </row>
    <row r="39403" spans="129:129" x14ac:dyDescent="0.2">
      <c r="DY39403" s="185" t="s">
        <v>215</v>
      </c>
    </row>
    <row r="39404" spans="129:129" x14ac:dyDescent="0.2">
      <c r="DY39404" s="185" t="s">
        <v>215</v>
      </c>
    </row>
    <row r="39405" spans="129:129" x14ac:dyDescent="0.2">
      <c r="DY39405" s="185" t="s">
        <v>215</v>
      </c>
    </row>
    <row r="39406" spans="129:129" x14ac:dyDescent="0.2">
      <c r="DY39406" s="185" t="s">
        <v>215</v>
      </c>
    </row>
    <row r="39407" spans="129:129" x14ac:dyDescent="0.2">
      <c r="DY39407" s="185" t="s">
        <v>215</v>
      </c>
    </row>
    <row r="39408" spans="129:129" x14ac:dyDescent="0.2">
      <c r="DY39408" s="185" t="s">
        <v>215</v>
      </c>
    </row>
    <row r="39409" spans="129:129" x14ac:dyDescent="0.2">
      <c r="DY39409" s="185" t="s">
        <v>215</v>
      </c>
    </row>
    <row r="39410" spans="129:129" x14ac:dyDescent="0.2">
      <c r="DY39410" s="185" t="s">
        <v>215</v>
      </c>
    </row>
    <row r="39411" spans="129:129" x14ac:dyDescent="0.2">
      <c r="DY39411" s="185" t="s">
        <v>215</v>
      </c>
    </row>
    <row r="39412" spans="129:129" x14ac:dyDescent="0.2">
      <c r="DY39412" s="185" t="s">
        <v>215</v>
      </c>
    </row>
    <row r="39413" spans="129:129" x14ac:dyDescent="0.2">
      <c r="DY39413" s="185" t="s">
        <v>215</v>
      </c>
    </row>
    <row r="39414" spans="129:129" x14ac:dyDescent="0.2">
      <c r="DY39414" s="185" t="s">
        <v>215</v>
      </c>
    </row>
    <row r="39415" spans="129:129" x14ac:dyDescent="0.2">
      <c r="DY39415" s="185" t="s">
        <v>215</v>
      </c>
    </row>
    <row r="39416" spans="129:129" x14ac:dyDescent="0.2">
      <c r="DY39416" s="185" t="s">
        <v>215</v>
      </c>
    </row>
    <row r="39417" spans="129:129" x14ac:dyDescent="0.2">
      <c r="DY39417" s="185" t="s">
        <v>215</v>
      </c>
    </row>
    <row r="39418" spans="129:129" x14ac:dyDescent="0.2">
      <c r="DY39418" s="185" t="s">
        <v>215</v>
      </c>
    </row>
    <row r="39419" spans="129:129" x14ac:dyDescent="0.2">
      <c r="DY39419" s="185" t="s">
        <v>215</v>
      </c>
    </row>
    <row r="39420" spans="129:129" x14ac:dyDescent="0.2">
      <c r="DY39420" s="185" t="s">
        <v>215</v>
      </c>
    </row>
    <row r="39421" spans="129:129" x14ac:dyDescent="0.2">
      <c r="DY39421" s="185" t="s">
        <v>215</v>
      </c>
    </row>
    <row r="39422" spans="129:129" x14ac:dyDescent="0.2">
      <c r="DY39422" s="185" t="s">
        <v>215</v>
      </c>
    </row>
    <row r="39423" spans="129:129" x14ac:dyDescent="0.2">
      <c r="DY39423" s="185" t="s">
        <v>215</v>
      </c>
    </row>
    <row r="39424" spans="129:129" x14ac:dyDescent="0.2">
      <c r="DY39424" s="185" t="s">
        <v>215</v>
      </c>
    </row>
    <row r="39425" spans="129:129" x14ac:dyDescent="0.2">
      <c r="DY39425" s="185" t="s">
        <v>215</v>
      </c>
    </row>
    <row r="39426" spans="129:129" x14ac:dyDescent="0.2">
      <c r="DY39426" s="185" t="s">
        <v>215</v>
      </c>
    </row>
    <row r="39427" spans="129:129" x14ac:dyDescent="0.2">
      <c r="DY39427" s="185" t="s">
        <v>215</v>
      </c>
    </row>
    <row r="39428" spans="129:129" x14ac:dyDescent="0.2">
      <c r="DY39428" s="185" t="s">
        <v>215</v>
      </c>
    </row>
    <row r="39429" spans="129:129" x14ac:dyDescent="0.2">
      <c r="DY39429" s="185" t="s">
        <v>215</v>
      </c>
    </row>
    <row r="39430" spans="129:129" x14ac:dyDescent="0.2">
      <c r="DY39430" s="185" t="s">
        <v>215</v>
      </c>
    </row>
    <row r="39431" spans="129:129" x14ac:dyDescent="0.2">
      <c r="DY39431" s="185" t="s">
        <v>215</v>
      </c>
    </row>
    <row r="39432" spans="129:129" x14ac:dyDescent="0.2">
      <c r="DY39432" s="185" t="s">
        <v>215</v>
      </c>
    </row>
    <row r="39433" spans="129:129" x14ac:dyDescent="0.2">
      <c r="DY39433" s="185" t="s">
        <v>215</v>
      </c>
    </row>
    <row r="39434" spans="129:129" x14ac:dyDescent="0.2">
      <c r="DY39434" s="185" t="s">
        <v>215</v>
      </c>
    </row>
    <row r="39435" spans="129:129" x14ac:dyDescent="0.2">
      <c r="DY39435" s="185" t="s">
        <v>215</v>
      </c>
    </row>
    <row r="39436" spans="129:129" x14ac:dyDescent="0.2">
      <c r="DY39436" s="185" t="s">
        <v>215</v>
      </c>
    </row>
    <row r="39437" spans="129:129" x14ac:dyDescent="0.2">
      <c r="DY39437" s="185" t="s">
        <v>215</v>
      </c>
    </row>
    <row r="39438" spans="129:129" x14ac:dyDescent="0.2">
      <c r="DY39438" s="185" t="s">
        <v>215</v>
      </c>
    </row>
    <row r="39439" spans="129:129" x14ac:dyDescent="0.2">
      <c r="DY39439" s="185" t="s">
        <v>215</v>
      </c>
    </row>
    <row r="39440" spans="129:129" x14ac:dyDescent="0.2">
      <c r="DY39440" s="185" t="s">
        <v>215</v>
      </c>
    </row>
    <row r="39441" spans="129:129" x14ac:dyDescent="0.2">
      <c r="DY39441" s="185" t="s">
        <v>215</v>
      </c>
    </row>
    <row r="39442" spans="129:129" x14ac:dyDescent="0.2">
      <c r="DY39442" s="185" t="s">
        <v>215</v>
      </c>
    </row>
    <row r="39443" spans="129:129" x14ac:dyDescent="0.2">
      <c r="DY39443" s="185" t="s">
        <v>215</v>
      </c>
    </row>
    <row r="39444" spans="129:129" x14ac:dyDescent="0.2">
      <c r="DY39444" s="185" t="s">
        <v>215</v>
      </c>
    </row>
    <row r="39445" spans="129:129" x14ac:dyDescent="0.2">
      <c r="DY39445" s="185" t="s">
        <v>215</v>
      </c>
    </row>
    <row r="39446" spans="129:129" x14ac:dyDescent="0.2">
      <c r="DY39446" s="185" t="s">
        <v>215</v>
      </c>
    </row>
    <row r="39447" spans="129:129" x14ac:dyDescent="0.2">
      <c r="DY39447" s="185" t="s">
        <v>215</v>
      </c>
    </row>
    <row r="39448" spans="129:129" x14ac:dyDescent="0.2">
      <c r="DY39448" s="185" t="s">
        <v>215</v>
      </c>
    </row>
    <row r="39449" spans="129:129" x14ac:dyDescent="0.2">
      <c r="DY39449" s="185" t="s">
        <v>215</v>
      </c>
    </row>
    <row r="39450" spans="129:129" x14ac:dyDescent="0.2">
      <c r="DY39450" s="185" t="s">
        <v>215</v>
      </c>
    </row>
    <row r="39451" spans="129:129" x14ac:dyDescent="0.2">
      <c r="DY39451" s="185" t="s">
        <v>215</v>
      </c>
    </row>
    <row r="39452" spans="129:129" x14ac:dyDescent="0.2">
      <c r="DY39452" s="185" t="s">
        <v>215</v>
      </c>
    </row>
    <row r="39453" spans="129:129" x14ac:dyDescent="0.2">
      <c r="DY39453" s="185" t="s">
        <v>215</v>
      </c>
    </row>
    <row r="39454" spans="129:129" x14ac:dyDescent="0.2">
      <c r="DY39454" s="185" t="s">
        <v>215</v>
      </c>
    </row>
    <row r="39455" spans="129:129" x14ac:dyDescent="0.2">
      <c r="DY39455" s="185" t="s">
        <v>215</v>
      </c>
    </row>
    <row r="39456" spans="129:129" x14ac:dyDescent="0.2">
      <c r="DY39456" s="185" t="s">
        <v>215</v>
      </c>
    </row>
    <row r="39457" spans="129:129" x14ac:dyDescent="0.2">
      <c r="DY39457" s="185" t="s">
        <v>215</v>
      </c>
    </row>
    <row r="39458" spans="129:129" x14ac:dyDescent="0.2">
      <c r="DY39458" s="185" t="s">
        <v>215</v>
      </c>
    </row>
    <row r="39459" spans="129:129" x14ac:dyDescent="0.2">
      <c r="DY39459" s="185" t="s">
        <v>215</v>
      </c>
    </row>
    <row r="39460" spans="129:129" x14ac:dyDescent="0.2">
      <c r="DY39460" s="185" t="s">
        <v>215</v>
      </c>
    </row>
    <row r="39461" spans="129:129" x14ac:dyDescent="0.2">
      <c r="DY39461" s="185" t="s">
        <v>215</v>
      </c>
    </row>
    <row r="39462" spans="129:129" x14ac:dyDescent="0.2">
      <c r="DY39462" s="185" t="s">
        <v>215</v>
      </c>
    </row>
    <row r="39463" spans="129:129" x14ac:dyDescent="0.2">
      <c r="DY39463" s="185" t="s">
        <v>215</v>
      </c>
    </row>
    <row r="39464" spans="129:129" x14ac:dyDescent="0.2">
      <c r="DY39464" s="185" t="s">
        <v>215</v>
      </c>
    </row>
    <row r="39465" spans="129:129" x14ac:dyDescent="0.2">
      <c r="DY39465" s="185" t="s">
        <v>215</v>
      </c>
    </row>
    <row r="39466" spans="129:129" x14ac:dyDescent="0.2">
      <c r="DY39466" s="185" t="s">
        <v>215</v>
      </c>
    </row>
    <row r="39467" spans="129:129" x14ac:dyDescent="0.2">
      <c r="DY39467" s="185" t="s">
        <v>215</v>
      </c>
    </row>
    <row r="39468" spans="129:129" x14ac:dyDescent="0.2">
      <c r="DY39468" s="185" t="s">
        <v>215</v>
      </c>
    </row>
    <row r="39469" spans="129:129" x14ac:dyDescent="0.2">
      <c r="DY39469" s="185" t="s">
        <v>215</v>
      </c>
    </row>
    <row r="39470" spans="129:129" x14ac:dyDescent="0.2">
      <c r="DY39470" s="185" t="s">
        <v>215</v>
      </c>
    </row>
    <row r="39471" spans="129:129" x14ac:dyDescent="0.2">
      <c r="DY39471" s="185" t="s">
        <v>215</v>
      </c>
    </row>
    <row r="39472" spans="129:129" x14ac:dyDescent="0.2">
      <c r="DY39472" s="185" t="s">
        <v>215</v>
      </c>
    </row>
    <row r="39473" spans="129:129" x14ac:dyDescent="0.2">
      <c r="DY39473" s="185" t="s">
        <v>215</v>
      </c>
    </row>
    <row r="39474" spans="129:129" x14ac:dyDescent="0.2">
      <c r="DY39474" s="185" t="s">
        <v>215</v>
      </c>
    </row>
    <row r="39475" spans="129:129" x14ac:dyDescent="0.2">
      <c r="DY39475" s="185" t="s">
        <v>215</v>
      </c>
    </row>
    <row r="39476" spans="129:129" x14ac:dyDescent="0.2">
      <c r="DY39476" s="185" t="s">
        <v>215</v>
      </c>
    </row>
    <row r="39477" spans="129:129" x14ac:dyDescent="0.2">
      <c r="DY39477" s="185" t="s">
        <v>215</v>
      </c>
    </row>
    <row r="39478" spans="129:129" x14ac:dyDescent="0.2">
      <c r="DY39478" s="185" t="s">
        <v>215</v>
      </c>
    </row>
    <row r="39479" spans="129:129" x14ac:dyDescent="0.2">
      <c r="DY39479" s="185" t="s">
        <v>215</v>
      </c>
    </row>
    <row r="39480" spans="129:129" x14ac:dyDescent="0.2">
      <c r="DY39480" s="185" t="s">
        <v>215</v>
      </c>
    </row>
    <row r="39481" spans="129:129" x14ac:dyDescent="0.2">
      <c r="DY39481" s="185" t="s">
        <v>215</v>
      </c>
    </row>
    <row r="39482" spans="129:129" x14ac:dyDescent="0.2">
      <c r="DY39482" s="185" t="s">
        <v>215</v>
      </c>
    </row>
    <row r="39483" spans="129:129" x14ac:dyDescent="0.2">
      <c r="DY39483" s="185" t="s">
        <v>215</v>
      </c>
    </row>
    <row r="39484" spans="129:129" x14ac:dyDescent="0.2">
      <c r="DY39484" s="185" t="s">
        <v>215</v>
      </c>
    </row>
    <row r="39485" spans="129:129" x14ac:dyDescent="0.2">
      <c r="DY39485" s="185" t="s">
        <v>215</v>
      </c>
    </row>
    <row r="39486" spans="129:129" x14ac:dyDescent="0.2">
      <c r="DY39486" s="185" t="s">
        <v>215</v>
      </c>
    </row>
    <row r="39487" spans="129:129" x14ac:dyDescent="0.2">
      <c r="DY39487" s="185" t="s">
        <v>215</v>
      </c>
    </row>
    <row r="39488" spans="129:129" x14ac:dyDescent="0.2">
      <c r="DY39488" s="185" t="s">
        <v>215</v>
      </c>
    </row>
    <row r="39489" spans="129:129" x14ac:dyDescent="0.2">
      <c r="DY39489" s="185" t="s">
        <v>215</v>
      </c>
    </row>
    <row r="39490" spans="129:129" x14ac:dyDescent="0.2">
      <c r="DY39490" s="185" t="s">
        <v>215</v>
      </c>
    </row>
    <row r="39491" spans="129:129" x14ac:dyDescent="0.2">
      <c r="DY39491" s="185" t="s">
        <v>215</v>
      </c>
    </row>
    <row r="39492" spans="129:129" x14ac:dyDescent="0.2">
      <c r="DY39492" s="185" t="s">
        <v>215</v>
      </c>
    </row>
    <row r="39493" spans="129:129" x14ac:dyDescent="0.2">
      <c r="DY39493" s="185" t="s">
        <v>215</v>
      </c>
    </row>
    <row r="39494" spans="129:129" x14ac:dyDescent="0.2">
      <c r="DY39494" s="185" t="s">
        <v>215</v>
      </c>
    </row>
    <row r="39495" spans="129:129" x14ac:dyDescent="0.2">
      <c r="DY39495" s="185" t="s">
        <v>215</v>
      </c>
    </row>
    <row r="39496" spans="129:129" x14ac:dyDescent="0.2">
      <c r="DY39496" s="185" t="s">
        <v>215</v>
      </c>
    </row>
    <row r="39497" spans="129:129" x14ac:dyDescent="0.2">
      <c r="DY39497" s="185" t="s">
        <v>215</v>
      </c>
    </row>
    <row r="39498" spans="129:129" x14ac:dyDescent="0.2">
      <c r="DY39498" s="185" t="s">
        <v>215</v>
      </c>
    </row>
    <row r="39499" spans="129:129" x14ac:dyDescent="0.2">
      <c r="DY39499" s="185" t="s">
        <v>215</v>
      </c>
    </row>
    <row r="39500" spans="129:129" x14ac:dyDescent="0.2">
      <c r="DY39500" s="185" t="s">
        <v>215</v>
      </c>
    </row>
    <row r="39501" spans="129:129" x14ac:dyDescent="0.2">
      <c r="DY39501" s="185" t="s">
        <v>215</v>
      </c>
    </row>
    <row r="39502" spans="129:129" x14ac:dyDescent="0.2">
      <c r="DY39502" s="185" t="s">
        <v>215</v>
      </c>
    </row>
    <row r="39503" spans="129:129" x14ac:dyDescent="0.2">
      <c r="DY39503" s="185" t="s">
        <v>215</v>
      </c>
    </row>
    <row r="39504" spans="129:129" x14ac:dyDescent="0.2">
      <c r="DY39504" s="185" t="s">
        <v>215</v>
      </c>
    </row>
    <row r="39505" spans="129:129" x14ac:dyDescent="0.2">
      <c r="DY39505" s="185" t="s">
        <v>215</v>
      </c>
    </row>
    <row r="39506" spans="129:129" x14ac:dyDescent="0.2">
      <c r="DY39506" s="185" t="s">
        <v>215</v>
      </c>
    </row>
    <row r="39507" spans="129:129" x14ac:dyDescent="0.2">
      <c r="DY39507" s="185" t="s">
        <v>215</v>
      </c>
    </row>
    <row r="39508" spans="129:129" x14ac:dyDescent="0.2">
      <c r="DY39508" s="185" t="s">
        <v>215</v>
      </c>
    </row>
    <row r="39509" spans="129:129" x14ac:dyDescent="0.2">
      <c r="DY39509" s="185" t="s">
        <v>215</v>
      </c>
    </row>
    <row r="39510" spans="129:129" x14ac:dyDescent="0.2">
      <c r="DY39510" s="185" t="s">
        <v>215</v>
      </c>
    </row>
    <row r="39511" spans="129:129" x14ac:dyDescent="0.2">
      <c r="DY39511" s="185" t="s">
        <v>215</v>
      </c>
    </row>
    <row r="39512" spans="129:129" x14ac:dyDescent="0.2">
      <c r="DY39512" s="185" t="s">
        <v>215</v>
      </c>
    </row>
    <row r="39513" spans="129:129" x14ac:dyDescent="0.2">
      <c r="DY39513" s="185" t="s">
        <v>215</v>
      </c>
    </row>
    <row r="39514" spans="129:129" x14ac:dyDescent="0.2">
      <c r="DY39514" s="185" t="s">
        <v>215</v>
      </c>
    </row>
    <row r="39515" spans="129:129" x14ac:dyDescent="0.2">
      <c r="DY39515" s="185" t="s">
        <v>215</v>
      </c>
    </row>
    <row r="39516" spans="129:129" x14ac:dyDescent="0.2">
      <c r="DY39516" s="185" t="s">
        <v>215</v>
      </c>
    </row>
    <row r="39517" spans="129:129" x14ac:dyDescent="0.2">
      <c r="DY39517" s="185" t="s">
        <v>215</v>
      </c>
    </row>
    <row r="39518" spans="129:129" x14ac:dyDescent="0.2">
      <c r="DY39518" s="185" t="s">
        <v>215</v>
      </c>
    </row>
    <row r="39519" spans="129:129" x14ac:dyDescent="0.2">
      <c r="DY39519" s="185" t="s">
        <v>215</v>
      </c>
    </row>
    <row r="39520" spans="129:129" x14ac:dyDescent="0.2">
      <c r="DY39520" s="185" t="s">
        <v>215</v>
      </c>
    </row>
    <row r="39521" spans="129:129" x14ac:dyDescent="0.2">
      <c r="DY39521" s="185" t="s">
        <v>215</v>
      </c>
    </row>
    <row r="39522" spans="129:129" x14ac:dyDescent="0.2">
      <c r="DY39522" s="185" t="s">
        <v>215</v>
      </c>
    </row>
    <row r="39523" spans="129:129" x14ac:dyDescent="0.2">
      <c r="DY39523" s="185" t="s">
        <v>215</v>
      </c>
    </row>
    <row r="39524" spans="129:129" x14ac:dyDescent="0.2">
      <c r="DY39524" s="185" t="s">
        <v>215</v>
      </c>
    </row>
    <row r="39525" spans="129:129" x14ac:dyDescent="0.2">
      <c r="DY39525" s="185" t="s">
        <v>215</v>
      </c>
    </row>
    <row r="39526" spans="129:129" x14ac:dyDescent="0.2">
      <c r="DY39526" s="185" t="s">
        <v>215</v>
      </c>
    </row>
    <row r="39527" spans="129:129" x14ac:dyDescent="0.2">
      <c r="DY39527" s="185" t="s">
        <v>215</v>
      </c>
    </row>
    <row r="39528" spans="129:129" x14ac:dyDescent="0.2">
      <c r="DY39528" s="185" t="s">
        <v>215</v>
      </c>
    </row>
    <row r="39529" spans="129:129" x14ac:dyDescent="0.2">
      <c r="DY39529" s="185" t="s">
        <v>215</v>
      </c>
    </row>
    <row r="39530" spans="129:129" x14ac:dyDescent="0.2">
      <c r="DY39530" s="185" t="s">
        <v>215</v>
      </c>
    </row>
    <row r="39531" spans="129:129" x14ac:dyDescent="0.2">
      <c r="DY39531" s="185" t="s">
        <v>215</v>
      </c>
    </row>
    <row r="39532" spans="129:129" x14ac:dyDescent="0.2">
      <c r="DY39532" s="185" t="s">
        <v>215</v>
      </c>
    </row>
    <row r="39533" spans="129:129" x14ac:dyDescent="0.2">
      <c r="DY39533" s="185" t="s">
        <v>215</v>
      </c>
    </row>
    <row r="39534" spans="129:129" x14ac:dyDescent="0.2">
      <c r="DY39534" s="185" t="s">
        <v>215</v>
      </c>
    </row>
    <row r="39535" spans="129:129" x14ac:dyDescent="0.2">
      <c r="DY39535" s="185" t="s">
        <v>215</v>
      </c>
    </row>
    <row r="39536" spans="129:129" x14ac:dyDescent="0.2">
      <c r="DY39536" s="185" t="s">
        <v>215</v>
      </c>
    </row>
    <row r="39537" spans="129:129" x14ac:dyDescent="0.2">
      <c r="DY39537" s="185" t="s">
        <v>215</v>
      </c>
    </row>
    <row r="39538" spans="129:129" x14ac:dyDescent="0.2">
      <c r="DY39538" s="185" t="s">
        <v>215</v>
      </c>
    </row>
    <row r="39539" spans="129:129" x14ac:dyDescent="0.2">
      <c r="DY39539" s="185" t="s">
        <v>215</v>
      </c>
    </row>
    <row r="39540" spans="129:129" x14ac:dyDescent="0.2">
      <c r="DY39540" s="185" t="s">
        <v>215</v>
      </c>
    </row>
    <row r="39541" spans="129:129" x14ac:dyDescent="0.2">
      <c r="DY39541" s="185" t="s">
        <v>215</v>
      </c>
    </row>
    <row r="39542" spans="129:129" x14ac:dyDescent="0.2">
      <c r="DY39542" s="185" t="s">
        <v>215</v>
      </c>
    </row>
    <row r="39543" spans="129:129" x14ac:dyDescent="0.2">
      <c r="DY39543" s="185" t="s">
        <v>215</v>
      </c>
    </row>
    <row r="39544" spans="129:129" x14ac:dyDescent="0.2">
      <c r="DY39544" s="185" t="s">
        <v>215</v>
      </c>
    </row>
    <row r="39545" spans="129:129" x14ac:dyDescent="0.2">
      <c r="DY39545" s="185" t="s">
        <v>215</v>
      </c>
    </row>
    <row r="39546" spans="129:129" x14ac:dyDescent="0.2">
      <c r="DY39546" s="185" t="s">
        <v>215</v>
      </c>
    </row>
    <row r="39547" spans="129:129" x14ac:dyDescent="0.2">
      <c r="DY39547" s="185" t="s">
        <v>215</v>
      </c>
    </row>
    <row r="39548" spans="129:129" x14ac:dyDescent="0.2">
      <c r="DY39548" s="185" t="s">
        <v>215</v>
      </c>
    </row>
    <row r="39549" spans="129:129" x14ac:dyDescent="0.2">
      <c r="DY39549" s="185" t="s">
        <v>215</v>
      </c>
    </row>
    <row r="39550" spans="129:129" x14ac:dyDescent="0.2">
      <c r="DY39550" s="185" t="s">
        <v>215</v>
      </c>
    </row>
    <row r="39551" spans="129:129" x14ac:dyDescent="0.2">
      <c r="DY39551" s="185" t="s">
        <v>215</v>
      </c>
    </row>
    <row r="39552" spans="129:129" x14ac:dyDescent="0.2">
      <c r="DY39552" s="185" t="s">
        <v>215</v>
      </c>
    </row>
    <row r="39553" spans="129:129" x14ac:dyDescent="0.2">
      <c r="DY39553" s="185" t="s">
        <v>215</v>
      </c>
    </row>
    <row r="39554" spans="129:129" x14ac:dyDescent="0.2">
      <c r="DY39554" s="185" t="s">
        <v>215</v>
      </c>
    </row>
    <row r="39555" spans="129:129" x14ac:dyDescent="0.2">
      <c r="DY39555" s="185" t="s">
        <v>215</v>
      </c>
    </row>
    <row r="39556" spans="129:129" x14ac:dyDescent="0.2">
      <c r="DY39556" s="185" t="s">
        <v>215</v>
      </c>
    </row>
    <row r="39557" spans="129:129" x14ac:dyDescent="0.2">
      <c r="DY39557" s="185" t="s">
        <v>215</v>
      </c>
    </row>
    <row r="39558" spans="129:129" x14ac:dyDescent="0.2">
      <c r="DY39558" s="185" t="s">
        <v>215</v>
      </c>
    </row>
    <row r="39559" spans="129:129" x14ac:dyDescent="0.2">
      <c r="DY39559" s="185" t="s">
        <v>215</v>
      </c>
    </row>
    <row r="39560" spans="129:129" x14ac:dyDescent="0.2">
      <c r="DY39560" s="185" t="s">
        <v>215</v>
      </c>
    </row>
    <row r="39561" spans="129:129" x14ac:dyDescent="0.2">
      <c r="DY39561" s="185" t="s">
        <v>215</v>
      </c>
    </row>
    <row r="39562" spans="129:129" x14ac:dyDescent="0.2">
      <c r="DY39562" s="185" t="s">
        <v>215</v>
      </c>
    </row>
    <row r="39563" spans="129:129" x14ac:dyDescent="0.2">
      <c r="DY39563" s="185" t="s">
        <v>215</v>
      </c>
    </row>
    <row r="39564" spans="129:129" x14ac:dyDescent="0.2">
      <c r="DY39564" s="185" t="s">
        <v>215</v>
      </c>
    </row>
    <row r="39565" spans="129:129" x14ac:dyDescent="0.2">
      <c r="DY39565" s="185" t="s">
        <v>215</v>
      </c>
    </row>
    <row r="39566" spans="129:129" x14ac:dyDescent="0.2">
      <c r="DY39566" s="185" t="s">
        <v>215</v>
      </c>
    </row>
    <row r="39567" spans="129:129" x14ac:dyDescent="0.2">
      <c r="DY39567" s="185" t="s">
        <v>215</v>
      </c>
    </row>
    <row r="39568" spans="129:129" x14ac:dyDescent="0.2">
      <c r="DY39568" s="185" t="s">
        <v>215</v>
      </c>
    </row>
    <row r="39569" spans="129:129" x14ac:dyDescent="0.2">
      <c r="DY39569" s="185" t="s">
        <v>215</v>
      </c>
    </row>
    <row r="39570" spans="129:129" x14ac:dyDescent="0.2">
      <c r="DY39570" s="185" t="s">
        <v>215</v>
      </c>
    </row>
    <row r="39571" spans="129:129" x14ac:dyDescent="0.2">
      <c r="DY39571" s="185" t="s">
        <v>215</v>
      </c>
    </row>
    <row r="39572" spans="129:129" x14ac:dyDescent="0.2">
      <c r="DY39572" s="185" t="s">
        <v>215</v>
      </c>
    </row>
    <row r="39573" spans="129:129" x14ac:dyDescent="0.2">
      <c r="DY39573" s="185" t="s">
        <v>215</v>
      </c>
    </row>
    <row r="39574" spans="129:129" x14ac:dyDescent="0.2">
      <c r="DY39574" s="185" t="s">
        <v>215</v>
      </c>
    </row>
    <row r="39575" spans="129:129" x14ac:dyDescent="0.2">
      <c r="DY39575" s="185" t="s">
        <v>215</v>
      </c>
    </row>
    <row r="39576" spans="129:129" x14ac:dyDescent="0.2">
      <c r="DY39576" s="185" t="s">
        <v>215</v>
      </c>
    </row>
    <row r="39577" spans="129:129" x14ac:dyDescent="0.2">
      <c r="DY39577" s="185" t="s">
        <v>215</v>
      </c>
    </row>
    <row r="39578" spans="129:129" x14ac:dyDescent="0.2">
      <c r="DY39578" s="185" t="s">
        <v>215</v>
      </c>
    </row>
    <row r="39579" spans="129:129" x14ac:dyDescent="0.2">
      <c r="DY39579" s="185" t="s">
        <v>215</v>
      </c>
    </row>
    <row r="39580" spans="129:129" x14ac:dyDescent="0.2">
      <c r="DY39580" s="185" t="s">
        <v>215</v>
      </c>
    </row>
    <row r="39581" spans="129:129" x14ac:dyDescent="0.2">
      <c r="DY39581" s="185" t="s">
        <v>215</v>
      </c>
    </row>
    <row r="39582" spans="129:129" x14ac:dyDescent="0.2">
      <c r="DY39582" s="185" t="s">
        <v>215</v>
      </c>
    </row>
    <row r="39583" spans="129:129" x14ac:dyDescent="0.2">
      <c r="DY39583" s="185" t="s">
        <v>215</v>
      </c>
    </row>
    <row r="39584" spans="129:129" x14ac:dyDescent="0.2">
      <c r="DY39584" s="185" t="s">
        <v>215</v>
      </c>
    </row>
    <row r="39585" spans="129:129" x14ac:dyDescent="0.2">
      <c r="DY39585" s="185" t="s">
        <v>215</v>
      </c>
    </row>
    <row r="39586" spans="129:129" x14ac:dyDescent="0.2">
      <c r="DY39586" s="185" t="s">
        <v>215</v>
      </c>
    </row>
    <row r="39587" spans="129:129" x14ac:dyDescent="0.2">
      <c r="DY39587" s="185" t="s">
        <v>215</v>
      </c>
    </row>
    <row r="39588" spans="129:129" x14ac:dyDescent="0.2">
      <c r="DY39588" s="185" t="s">
        <v>215</v>
      </c>
    </row>
    <row r="39589" spans="129:129" x14ac:dyDescent="0.2">
      <c r="DY39589" s="185" t="s">
        <v>215</v>
      </c>
    </row>
    <row r="39590" spans="129:129" x14ac:dyDescent="0.2">
      <c r="DY39590" s="185" t="s">
        <v>215</v>
      </c>
    </row>
    <row r="39591" spans="129:129" x14ac:dyDescent="0.2">
      <c r="DY39591" s="185" t="s">
        <v>215</v>
      </c>
    </row>
    <row r="39592" spans="129:129" x14ac:dyDescent="0.2">
      <c r="DY39592" s="185" t="s">
        <v>215</v>
      </c>
    </row>
    <row r="39593" spans="129:129" x14ac:dyDescent="0.2">
      <c r="DY39593" s="185" t="s">
        <v>215</v>
      </c>
    </row>
    <row r="39594" spans="129:129" x14ac:dyDescent="0.2">
      <c r="DY39594" s="185" t="s">
        <v>215</v>
      </c>
    </row>
    <row r="39595" spans="129:129" x14ac:dyDescent="0.2">
      <c r="DY39595" s="185" t="s">
        <v>215</v>
      </c>
    </row>
    <row r="39596" spans="129:129" x14ac:dyDescent="0.2">
      <c r="DY39596" s="185" t="s">
        <v>215</v>
      </c>
    </row>
    <row r="39597" spans="129:129" x14ac:dyDescent="0.2">
      <c r="DY39597" s="185" t="s">
        <v>215</v>
      </c>
    </row>
    <row r="39598" spans="129:129" x14ac:dyDescent="0.2">
      <c r="DY39598" s="185" t="s">
        <v>215</v>
      </c>
    </row>
    <row r="39599" spans="129:129" x14ac:dyDescent="0.2">
      <c r="DY39599" s="185" t="s">
        <v>215</v>
      </c>
    </row>
    <row r="39600" spans="129:129" x14ac:dyDescent="0.2">
      <c r="DY39600" s="185" t="s">
        <v>215</v>
      </c>
    </row>
    <row r="39601" spans="129:129" x14ac:dyDescent="0.2">
      <c r="DY39601" s="185" t="s">
        <v>215</v>
      </c>
    </row>
    <row r="39602" spans="129:129" x14ac:dyDescent="0.2">
      <c r="DY39602" s="185" t="s">
        <v>215</v>
      </c>
    </row>
    <row r="39603" spans="129:129" x14ac:dyDescent="0.2">
      <c r="DY39603" s="185" t="s">
        <v>215</v>
      </c>
    </row>
    <row r="39604" spans="129:129" x14ac:dyDescent="0.2">
      <c r="DY39604" s="185" t="s">
        <v>215</v>
      </c>
    </row>
    <row r="39605" spans="129:129" x14ac:dyDescent="0.2">
      <c r="DY39605" s="185" t="s">
        <v>215</v>
      </c>
    </row>
    <row r="39606" spans="129:129" x14ac:dyDescent="0.2">
      <c r="DY39606" s="185" t="s">
        <v>215</v>
      </c>
    </row>
    <row r="39607" spans="129:129" x14ac:dyDescent="0.2">
      <c r="DY39607" s="185" t="s">
        <v>215</v>
      </c>
    </row>
    <row r="39608" spans="129:129" x14ac:dyDescent="0.2">
      <c r="DY39608" s="185" t="s">
        <v>215</v>
      </c>
    </row>
    <row r="39609" spans="129:129" x14ac:dyDescent="0.2">
      <c r="DY39609" s="185" t="s">
        <v>215</v>
      </c>
    </row>
    <row r="39610" spans="129:129" x14ac:dyDescent="0.2">
      <c r="DY39610" s="185" t="s">
        <v>215</v>
      </c>
    </row>
    <row r="39611" spans="129:129" x14ac:dyDescent="0.2">
      <c r="DY39611" s="185" t="s">
        <v>215</v>
      </c>
    </row>
    <row r="39612" spans="129:129" x14ac:dyDescent="0.2">
      <c r="DY39612" s="185" t="s">
        <v>215</v>
      </c>
    </row>
    <row r="39613" spans="129:129" x14ac:dyDescent="0.2">
      <c r="DY39613" s="185" t="s">
        <v>215</v>
      </c>
    </row>
    <row r="39614" spans="129:129" x14ac:dyDescent="0.2">
      <c r="DY39614" s="185" t="s">
        <v>215</v>
      </c>
    </row>
    <row r="39615" spans="129:129" x14ac:dyDescent="0.2">
      <c r="DY39615" s="185" t="s">
        <v>215</v>
      </c>
    </row>
    <row r="39616" spans="129:129" x14ac:dyDescent="0.2">
      <c r="DY39616" s="185" t="s">
        <v>215</v>
      </c>
    </row>
    <row r="39617" spans="129:129" x14ac:dyDescent="0.2">
      <c r="DY39617" s="185" t="s">
        <v>215</v>
      </c>
    </row>
    <row r="39618" spans="129:129" x14ac:dyDescent="0.2">
      <c r="DY39618" s="185" t="s">
        <v>215</v>
      </c>
    </row>
    <row r="39619" spans="129:129" x14ac:dyDescent="0.2">
      <c r="DY39619" s="185" t="s">
        <v>215</v>
      </c>
    </row>
    <row r="39620" spans="129:129" x14ac:dyDescent="0.2">
      <c r="DY39620" s="185" t="s">
        <v>215</v>
      </c>
    </row>
    <row r="39621" spans="129:129" x14ac:dyDescent="0.2">
      <c r="DY39621" s="185" t="s">
        <v>215</v>
      </c>
    </row>
    <row r="39622" spans="129:129" x14ac:dyDescent="0.2">
      <c r="DY39622" s="185" t="s">
        <v>215</v>
      </c>
    </row>
    <row r="39623" spans="129:129" x14ac:dyDescent="0.2">
      <c r="DY39623" s="185" t="s">
        <v>215</v>
      </c>
    </row>
    <row r="39624" spans="129:129" x14ac:dyDescent="0.2">
      <c r="DY39624" s="185" t="s">
        <v>215</v>
      </c>
    </row>
    <row r="39625" spans="129:129" x14ac:dyDescent="0.2">
      <c r="DY39625" s="185" t="s">
        <v>215</v>
      </c>
    </row>
    <row r="39626" spans="129:129" x14ac:dyDescent="0.2">
      <c r="DY39626" s="185" t="s">
        <v>215</v>
      </c>
    </row>
    <row r="39627" spans="129:129" x14ac:dyDescent="0.2">
      <c r="DY39627" s="185" t="s">
        <v>215</v>
      </c>
    </row>
    <row r="39628" spans="129:129" x14ac:dyDescent="0.2">
      <c r="DY39628" s="185" t="s">
        <v>215</v>
      </c>
    </row>
    <row r="39629" spans="129:129" x14ac:dyDescent="0.2">
      <c r="DY39629" s="185" t="s">
        <v>215</v>
      </c>
    </row>
    <row r="39630" spans="129:129" x14ac:dyDescent="0.2">
      <c r="DY39630" s="185" t="s">
        <v>215</v>
      </c>
    </row>
    <row r="39631" spans="129:129" x14ac:dyDescent="0.2">
      <c r="DY39631" s="185" t="s">
        <v>215</v>
      </c>
    </row>
    <row r="39632" spans="129:129" x14ac:dyDescent="0.2">
      <c r="DY39632" s="185" t="s">
        <v>215</v>
      </c>
    </row>
    <row r="39633" spans="129:129" x14ac:dyDescent="0.2">
      <c r="DY39633" s="185" t="s">
        <v>215</v>
      </c>
    </row>
    <row r="39634" spans="129:129" x14ac:dyDescent="0.2">
      <c r="DY39634" s="185" t="s">
        <v>215</v>
      </c>
    </row>
    <row r="39635" spans="129:129" x14ac:dyDescent="0.2">
      <c r="DY39635" s="185" t="s">
        <v>215</v>
      </c>
    </row>
    <row r="39636" spans="129:129" x14ac:dyDescent="0.2">
      <c r="DY39636" s="185" t="s">
        <v>215</v>
      </c>
    </row>
    <row r="39637" spans="129:129" x14ac:dyDescent="0.2">
      <c r="DY39637" s="185" t="s">
        <v>215</v>
      </c>
    </row>
    <row r="39638" spans="129:129" x14ac:dyDescent="0.2">
      <c r="DY39638" s="185" t="s">
        <v>215</v>
      </c>
    </row>
    <row r="39639" spans="129:129" x14ac:dyDescent="0.2">
      <c r="DY39639" s="185" t="s">
        <v>215</v>
      </c>
    </row>
    <row r="39640" spans="129:129" x14ac:dyDescent="0.2">
      <c r="DY39640" s="185" t="s">
        <v>215</v>
      </c>
    </row>
    <row r="39641" spans="129:129" x14ac:dyDescent="0.2">
      <c r="DY39641" s="185" t="s">
        <v>215</v>
      </c>
    </row>
    <row r="39642" spans="129:129" x14ac:dyDescent="0.2">
      <c r="DY39642" s="185" t="s">
        <v>215</v>
      </c>
    </row>
    <row r="39643" spans="129:129" x14ac:dyDescent="0.2">
      <c r="DY39643" s="185" t="s">
        <v>215</v>
      </c>
    </row>
    <row r="39644" spans="129:129" x14ac:dyDescent="0.2">
      <c r="DY39644" s="185" t="s">
        <v>215</v>
      </c>
    </row>
    <row r="39645" spans="129:129" x14ac:dyDescent="0.2">
      <c r="DY39645" s="185" t="s">
        <v>215</v>
      </c>
    </row>
    <row r="39646" spans="129:129" x14ac:dyDescent="0.2">
      <c r="DY39646" s="185" t="s">
        <v>215</v>
      </c>
    </row>
    <row r="39647" spans="129:129" x14ac:dyDescent="0.2">
      <c r="DY39647" s="185" t="s">
        <v>215</v>
      </c>
    </row>
    <row r="39648" spans="129:129" x14ac:dyDescent="0.2">
      <c r="DY39648" s="185" t="s">
        <v>215</v>
      </c>
    </row>
    <row r="39649" spans="129:129" x14ac:dyDescent="0.2">
      <c r="DY39649" s="185" t="s">
        <v>215</v>
      </c>
    </row>
    <row r="39650" spans="129:129" x14ac:dyDescent="0.2">
      <c r="DY39650" s="185" t="s">
        <v>215</v>
      </c>
    </row>
    <row r="39651" spans="129:129" x14ac:dyDescent="0.2">
      <c r="DY39651" s="185" t="s">
        <v>215</v>
      </c>
    </row>
    <row r="39652" spans="129:129" x14ac:dyDescent="0.2">
      <c r="DY39652" s="185" t="s">
        <v>215</v>
      </c>
    </row>
    <row r="39653" spans="129:129" x14ac:dyDescent="0.2">
      <c r="DY39653" s="185" t="s">
        <v>215</v>
      </c>
    </row>
    <row r="39654" spans="129:129" x14ac:dyDescent="0.2">
      <c r="DY39654" s="185" t="s">
        <v>215</v>
      </c>
    </row>
    <row r="39655" spans="129:129" x14ac:dyDescent="0.2">
      <c r="DY39655" s="185" t="s">
        <v>215</v>
      </c>
    </row>
    <row r="39656" spans="129:129" x14ac:dyDescent="0.2">
      <c r="DY39656" s="185" t="s">
        <v>215</v>
      </c>
    </row>
    <row r="39657" spans="129:129" x14ac:dyDescent="0.2">
      <c r="DY39657" s="185" t="s">
        <v>215</v>
      </c>
    </row>
    <row r="39658" spans="129:129" x14ac:dyDescent="0.2">
      <c r="DY39658" s="185" t="s">
        <v>215</v>
      </c>
    </row>
    <row r="39659" spans="129:129" x14ac:dyDescent="0.2">
      <c r="DY39659" s="185" t="s">
        <v>215</v>
      </c>
    </row>
    <row r="39660" spans="129:129" x14ac:dyDescent="0.2">
      <c r="DY39660" s="185" t="s">
        <v>215</v>
      </c>
    </row>
    <row r="39661" spans="129:129" x14ac:dyDescent="0.2">
      <c r="DY39661" s="185" t="s">
        <v>215</v>
      </c>
    </row>
    <row r="39662" spans="129:129" x14ac:dyDescent="0.2">
      <c r="DY39662" s="185" t="s">
        <v>215</v>
      </c>
    </row>
    <row r="39663" spans="129:129" x14ac:dyDescent="0.2">
      <c r="DY39663" s="185" t="s">
        <v>215</v>
      </c>
    </row>
    <row r="39664" spans="129:129" x14ac:dyDescent="0.2">
      <c r="DY39664" s="185" t="s">
        <v>215</v>
      </c>
    </row>
    <row r="39665" spans="129:129" x14ac:dyDescent="0.2">
      <c r="DY39665" s="185" t="s">
        <v>215</v>
      </c>
    </row>
    <row r="39666" spans="129:129" x14ac:dyDescent="0.2">
      <c r="DY39666" s="185" t="s">
        <v>215</v>
      </c>
    </row>
    <row r="39667" spans="129:129" x14ac:dyDescent="0.2">
      <c r="DY39667" s="185" t="s">
        <v>215</v>
      </c>
    </row>
    <row r="39668" spans="129:129" x14ac:dyDescent="0.2">
      <c r="DY39668" s="185" t="s">
        <v>215</v>
      </c>
    </row>
    <row r="39669" spans="129:129" x14ac:dyDescent="0.2">
      <c r="DY39669" s="185" t="s">
        <v>215</v>
      </c>
    </row>
    <row r="39670" spans="129:129" x14ac:dyDescent="0.2">
      <c r="DY39670" s="185" t="s">
        <v>215</v>
      </c>
    </row>
    <row r="39671" spans="129:129" x14ac:dyDescent="0.2">
      <c r="DY39671" s="185" t="s">
        <v>215</v>
      </c>
    </row>
    <row r="39672" spans="129:129" x14ac:dyDescent="0.2">
      <c r="DY39672" s="185" t="s">
        <v>215</v>
      </c>
    </row>
    <row r="39673" spans="129:129" x14ac:dyDescent="0.2">
      <c r="DY39673" s="185" t="s">
        <v>215</v>
      </c>
    </row>
    <row r="39674" spans="129:129" x14ac:dyDescent="0.2">
      <c r="DY39674" s="185" t="s">
        <v>215</v>
      </c>
    </row>
    <row r="39675" spans="129:129" x14ac:dyDescent="0.2">
      <c r="DY39675" s="185" t="s">
        <v>215</v>
      </c>
    </row>
    <row r="39676" spans="129:129" x14ac:dyDescent="0.2">
      <c r="DY39676" s="185" t="s">
        <v>215</v>
      </c>
    </row>
    <row r="39677" spans="129:129" x14ac:dyDescent="0.2">
      <c r="DY39677" s="185" t="s">
        <v>215</v>
      </c>
    </row>
    <row r="39678" spans="129:129" x14ac:dyDescent="0.2">
      <c r="DY39678" s="185" t="s">
        <v>215</v>
      </c>
    </row>
    <row r="39679" spans="129:129" x14ac:dyDescent="0.2">
      <c r="DY39679" s="185" t="s">
        <v>215</v>
      </c>
    </row>
    <row r="39680" spans="129:129" x14ac:dyDescent="0.2">
      <c r="DY39680" s="185" t="s">
        <v>215</v>
      </c>
    </row>
    <row r="39681" spans="129:129" x14ac:dyDescent="0.2">
      <c r="DY39681" s="185" t="s">
        <v>215</v>
      </c>
    </row>
    <row r="39682" spans="129:129" x14ac:dyDescent="0.2">
      <c r="DY39682" s="185" t="s">
        <v>215</v>
      </c>
    </row>
    <row r="39683" spans="129:129" x14ac:dyDescent="0.2">
      <c r="DY39683" s="185" t="s">
        <v>215</v>
      </c>
    </row>
    <row r="39684" spans="129:129" x14ac:dyDescent="0.2">
      <c r="DY39684" s="185" t="s">
        <v>215</v>
      </c>
    </row>
    <row r="39685" spans="129:129" x14ac:dyDescent="0.2">
      <c r="DY39685" s="185" t="s">
        <v>215</v>
      </c>
    </row>
    <row r="39686" spans="129:129" x14ac:dyDescent="0.2">
      <c r="DY39686" s="185" t="s">
        <v>215</v>
      </c>
    </row>
    <row r="39687" spans="129:129" x14ac:dyDescent="0.2">
      <c r="DY39687" s="185" t="s">
        <v>215</v>
      </c>
    </row>
    <row r="39688" spans="129:129" x14ac:dyDescent="0.2">
      <c r="DY39688" s="185" t="s">
        <v>215</v>
      </c>
    </row>
    <row r="39689" spans="129:129" x14ac:dyDescent="0.2">
      <c r="DY39689" s="185" t="s">
        <v>215</v>
      </c>
    </row>
    <row r="39690" spans="129:129" x14ac:dyDescent="0.2">
      <c r="DY39690" s="185" t="s">
        <v>215</v>
      </c>
    </row>
    <row r="39691" spans="129:129" x14ac:dyDescent="0.2">
      <c r="DY39691" s="185" t="s">
        <v>215</v>
      </c>
    </row>
    <row r="39692" spans="129:129" x14ac:dyDescent="0.2">
      <c r="DY39692" s="185" t="s">
        <v>215</v>
      </c>
    </row>
    <row r="39693" spans="129:129" x14ac:dyDescent="0.2">
      <c r="DY39693" s="185" t="s">
        <v>215</v>
      </c>
    </row>
    <row r="39694" spans="129:129" x14ac:dyDescent="0.2">
      <c r="DY39694" s="185" t="s">
        <v>215</v>
      </c>
    </row>
    <row r="39695" spans="129:129" x14ac:dyDescent="0.2">
      <c r="DY39695" s="185" t="s">
        <v>215</v>
      </c>
    </row>
    <row r="39696" spans="129:129" x14ac:dyDescent="0.2">
      <c r="DY39696" s="185" t="s">
        <v>215</v>
      </c>
    </row>
    <row r="39697" spans="129:129" x14ac:dyDescent="0.2">
      <c r="DY39697" s="185" t="s">
        <v>215</v>
      </c>
    </row>
    <row r="39698" spans="129:129" x14ac:dyDescent="0.2">
      <c r="DY39698" s="185" t="s">
        <v>215</v>
      </c>
    </row>
    <row r="39699" spans="129:129" x14ac:dyDescent="0.2">
      <c r="DY39699" s="185" t="s">
        <v>215</v>
      </c>
    </row>
    <row r="39700" spans="129:129" x14ac:dyDescent="0.2">
      <c r="DY39700" s="185" t="s">
        <v>215</v>
      </c>
    </row>
    <row r="39701" spans="129:129" x14ac:dyDescent="0.2">
      <c r="DY39701" s="185" t="s">
        <v>215</v>
      </c>
    </row>
    <row r="39702" spans="129:129" x14ac:dyDescent="0.2">
      <c r="DY39702" s="185" t="s">
        <v>215</v>
      </c>
    </row>
    <row r="39703" spans="129:129" x14ac:dyDescent="0.2">
      <c r="DY39703" s="185" t="s">
        <v>215</v>
      </c>
    </row>
    <row r="39704" spans="129:129" x14ac:dyDescent="0.2">
      <c r="DY39704" s="185" t="s">
        <v>215</v>
      </c>
    </row>
    <row r="39705" spans="129:129" x14ac:dyDescent="0.2">
      <c r="DY39705" s="185" t="s">
        <v>215</v>
      </c>
    </row>
    <row r="39706" spans="129:129" x14ac:dyDescent="0.2">
      <c r="DY39706" s="185" t="s">
        <v>215</v>
      </c>
    </row>
    <row r="39707" spans="129:129" x14ac:dyDescent="0.2">
      <c r="DY39707" s="185" t="s">
        <v>215</v>
      </c>
    </row>
    <row r="39708" spans="129:129" x14ac:dyDescent="0.2">
      <c r="DY39708" s="185" t="s">
        <v>215</v>
      </c>
    </row>
    <row r="39709" spans="129:129" x14ac:dyDescent="0.2">
      <c r="DY39709" s="185" t="s">
        <v>215</v>
      </c>
    </row>
    <row r="39710" spans="129:129" x14ac:dyDescent="0.2">
      <c r="DY39710" s="185" t="s">
        <v>215</v>
      </c>
    </row>
    <row r="39711" spans="129:129" x14ac:dyDescent="0.2">
      <c r="DY39711" s="185" t="s">
        <v>215</v>
      </c>
    </row>
    <row r="39712" spans="129:129" x14ac:dyDescent="0.2">
      <c r="DY39712" s="185" t="s">
        <v>215</v>
      </c>
    </row>
    <row r="39713" spans="129:129" x14ac:dyDescent="0.2">
      <c r="DY39713" s="185" t="s">
        <v>215</v>
      </c>
    </row>
    <row r="39714" spans="129:129" x14ac:dyDescent="0.2">
      <c r="DY39714" s="185" t="s">
        <v>215</v>
      </c>
    </row>
    <row r="39715" spans="129:129" x14ac:dyDescent="0.2">
      <c r="DY39715" s="185" t="s">
        <v>215</v>
      </c>
    </row>
    <row r="39716" spans="129:129" x14ac:dyDescent="0.2">
      <c r="DY39716" s="185" t="s">
        <v>215</v>
      </c>
    </row>
    <row r="39717" spans="129:129" x14ac:dyDescent="0.2">
      <c r="DY39717" s="185" t="s">
        <v>215</v>
      </c>
    </row>
    <row r="39718" spans="129:129" x14ac:dyDescent="0.2">
      <c r="DY39718" s="185" t="s">
        <v>215</v>
      </c>
    </row>
    <row r="39719" spans="129:129" x14ac:dyDescent="0.2">
      <c r="DY39719" s="185" t="s">
        <v>215</v>
      </c>
    </row>
    <row r="39720" spans="129:129" x14ac:dyDescent="0.2">
      <c r="DY39720" s="185" t="s">
        <v>215</v>
      </c>
    </row>
    <row r="39721" spans="129:129" x14ac:dyDescent="0.2">
      <c r="DY39721" s="185" t="s">
        <v>215</v>
      </c>
    </row>
    <row r="39722" spans="129:129" x14ac:dyDescent="0.2">
      <c r="DY39722" s="185" t="s">
        <v>215</v>
      </c>
    </row>
    <row r="39723" spans="129:129" x14ac:dyDescent="0.2">
      <c r="DY39723" s="185" t="s">
        <v>215</v>
      </c>
    </row>
    <row r="39724" spans="129:129" x14ac:dyDescent="0.2">
      <c r="DY39724" s="185" t="s">
        <v>215</v>
      </c>
    </row>
    <row r="39725" spans="129:129" x14ac:dyDescent="0.2">
      <c r="DY39725" s="185" t="s">
        <v>215</v>
      </c>
    </row>
    <row r="39726" spans="129:129" x14ac:dyDescent="0.2">
      <c r="DY39726" s="185" t="s">
        <v>215</v>
      </c>
    </row>
    <row r="39727" spans="129:129" x14ac:dyDescent="0.2">
      <c r="DY39727" s="185" t="s">
        <v>215</v>
      </c>
    </row>
    <row r="39728" spans="129:129" x14ac:dyDescent="0.2">
      <c r="DY39728" s="185" t="s">
        <v>215</v>
      </c>
    </row>
    <row r="39729" spans="129:129" x14ac:dyDescent="0.2">
      <c r="DY39729" s="185" t="s">
        <v>215</v>
      </c>
    </row>
    <row r="39730" spans="129:129" x14ac:dyDescent="0.2">
      <c r="DY39730" s="185" t="s">
        <v>215</v>
      </c>
    </row>
    <row r="39731" spans="129:129" x14ac:dyDescent="0.2">
      <c r="DY39731" s="185" t="s">
        <v>215</v>
      </c>
    </row>
    <row r="39732" spans="129:129" x14ac:dyDescent="0.2">
      <c r="DY39732" s="185" t="s">
        <v>215</v>
      </c>
    </row>
    <row r="39733" spans="129:129" x14ac:dyDescent="0.2">
      <c r="DY39733" s="185" t="s">
        <v>215</v>
      </c>
    </row>
    <row r="39734" spans="129:129" x14ac:dyDescent="0.2">
      <c r="DY39734" s="185" t="s">
        <v>215</v>
      </c>
    </row>
    <row r="39735" spans="129:129" x14ac:dyDescent="0.2">
      <c r="DY39735" s="185" t="s">
        <v>215</v>
      </c>
    </row>
    <row r="39736" spans="129:129" x14ac:dyDescent="0.2">
      <c r="DY39736" s="185" t="s">
        <v>215</v>
      </c>
    </row>
    <row r="39737" spans="129:129" x14ac:dyDescent="0.2">
      <c r="DY39737" s="185" t="s">
        <v>215</v>
      </c>
    </row>
    <row r="39738" spans="129:129" x14ac:dyDescent="0.2">
      <c r="DY39738" s="185" t="s">
        <v>215</v>
      </c>
    </row>
    <row r="39739" spans="129:129" x14ac:dyDescent="0.2">
      <c r="DY39739" s="185" t="s">
        <v>215</v>
      </c>
    </row>
    <row r="39740" spans="129:129" x14ac:dyDescent="0.2">
      <c r="DY39740" s="185" t="s">
        <v>215</v>
      </c>
    </row>
    <row r="39741" spans="129:129" x14ac:dyDescent="0.2">
      <c r="DY39741" s="185" t="s">
        <v>215</v>
      </c>
    </row>
    <row r="39742" spans="129:129" x14ac:dyDescent="0.2">
      <c r="DY39742" s="185" t="s">
        <v>215</v>
      </c>
    </row>
    <row r="39743" spans="129:129" x14ac:dyDescent="0.2">
      <c r="DY39743" s="185" t="s">
        <v>215</v>
      </c>
    </row>
    <row r="39744" spans="129:129" x14ac:dyDescent="0.2">
      <c r="DY39744" s="185" t="s">
        <v>215</v>
      </c>
    </row>
    <row r="39745" spans="129:129" x14ac:dyDescent="0.2">
      <c r="DY39745" s="185" t="s">
        <v>215</v>
      </c>
    </row>
    <row r="39746" spans="129:129" x14ac:dyDescent="0.2">
      <c r="DY39746" s="185" t="s">
        <v>215</v>
      </c>
    </row>
    <row r="39747" spans="129:129" x14ac:dyDescent="0.2">
      <c r="DY39747" s="185" t="s">
        <v>215</v>
      </c>
    </row>
    <row r="39748" spans="129:129" x14ac:dyDescent="0.2">
      <c r="DY39748" s="185" t="s">
        <v>215</v>
      </c>
    </row>
    <row r="39749" spans="129:129" x14ac:dyDescent="0.2">
      <c r="DY39749" s="185" t="s">
        <v>215</v>
      </c>
    </row>
    <row r="39750" spans="129:129" x14ac:dyDescent="0.2">
      <c r="DY39750" s="185" t="s">
        <v>215</v>
      </c>
    </row>
    <row r="39751" spans="129:129" x14ac:dyDescent="0.2">
      <c r="DY39751" s="185" t="s">
        <v>215</v>
      </c>
    </row>
    <row r="39752" spans="129:129" x14ac:dyDescent="0.2">
      <c r="DY39752" s="185" t="s">
        <v>215</v>
      </c>
    </row>
    <row r="39753" spans="129:129" x14ac:dyDescent="0.2">
      <c r="DY39753" s="185" t="s">
        <v>215</v>
      </c>
    </row>
    <row r="39754" spans="129:129" x14ac:dyDescent="0.2">
      <c r="DY39754" s="185" t="s">
        <v>215</v>
      </c>
    </row>
    <row r="39755" spans="129:129" x14ac:dyDescent="0.2">
      <c r="DY39755" s="185" t="s">
        <v>215</v>
      </c>
    </row>
    <row r="39756" spans="129:129" x14ac:dyDescent="0.2">
      <c r="DY39756" s="185" t="s">
        <v>215</v>
      </c>
    </row>
    <row r="39757" spans="129:129" x14ac:dyDescent="0.2">
      <c r="DY39757" s="185" t="s">
        <v>215</v>
      </c>
    </row>
    <row r="39758" spans="129:129" x14ac:dyDescent="0.2">
      <c r="DY39758" s="185" t="s">
        <v>215</v>
      </c>
    </row>
    <row r="39759" spans="129:129" x14ac:dyDescent="0.2">
      <c r="DY39759" s="185" t="s">
        <v>215</v>
      </c>
    </row>
    <row r="39760" spans="129:129" x14ac:dyDescent="0.2">
      <c r="DY39760" s="185" t="s">
        <v>215</v>
      </c>
    </row>
    <row r="39761" spans="129:129" x14ac:dyDescent="0.2">
      <c r="DY39761" s="185" t="s">
        <v>215</v>
      </c>
    </row>
    <row r="39762" spans="129:129" x14ac:dyDescent="0.2">
      <c r="DY39762" s="185" t="s">
        <v>215</v>
      </c>
    </row>
    <row r="39763" spans="129:129" x14ac:dyDescent="0.2">
      <c r="DY39763" s="185" t="s">
        <v>215</v>
      </c>
    </row>
    <row r="39764" spans="129:129" x14ac:dyDescent="0.2">
      <c r="DY39764" s="185" t="s">
        <v>215</v>
      </c>
    </row>
    <row r="39765" spans="129:129" x14ac:dyDescent="0.2">
      <c r="DY39765" s="185" t="s">
        <v>215</v>
      </c>
    </row>
    <row r="39766" spans="129:129" x14ac:dyDescent="0.2">
      <c r="DY39766" s="185" t="s">
        <v>215</v>
      </c>
    </row>
    <row r="39767" spans="129:129" x14ac:dyDescent="0.2">
      <c r="DY39767" s="185" t="s">
        <v>215</v>
      </c>
    </row>
    <row r="39768" spans="129:129" x14ac:dyDescent="0.2">
      <c r="DY39768" s="185" t="s">
        <v>215</v>
      </c>
    </row>
    <row r="39769" spans="129:129" x14ac:dyDescent="0.2">
      <c r="DY39769" s="185" t="s">
        <v>215</v>
      </c>
    </row>
    <row r="39770" spans="129:129" x14ac:dyDescent="0.2">
      <c r="DY39770" s="185" t="s">
        <v>215</v>
      </c>
    </row>
    <row r="39771" spans="129:129" x14ac:dyDescent="0.2">
      <c r="DY39771" s="185" t="s">
        <v>215</v>
      </c>
    </row>
    <row r="39772" spans="129:129" x14ac:dyDescent="0.2">
      <c r="DY39772" s="185" t="s">
        <v>215</v>
      </c>
    </row>
    <row r="39773" spans="129:129" x14ac:dyDescent="0.2">
      <c r="DY39773" s="185" t="s">
        <v>215</v>
      </c>
    </row>
    <row r="39774" spans="129:129" x14ac:dyDescent="0.2">
      <c r="DY39774" s="185" t="s">
        <v>215</v>
      </c>
    </row>
    <row r="39775" spans="129:129" x14ac:dyDescent="0.2">
      <c r="DY39775" s="185" t="s">
        <v>215</v>
      </c>
    </row>
    <row r="39776" spans="129:129" x14ac:dyDescent="0.2">
      <c r="DY39776" s="185" t="s">
        <v>215</v>
      </c>
    </row>
    <row r="39777" spans="129:129" x14ac:dyDescent="0.2">
      <c r="DY39777" s="185" t="s">
        <v>215</v>
      </c>
    </row>
    <row r="39778" spans="129:129" x14ac:dyDescent="0.2">
      <c r="DY39778" s="185" t="s">
        <v>215</v>
      </c>
    </row>
    <row r="39779" spans="129:129" x14ac:dyDescent="0.2">
      <c r="DY39779" s="185" t="s">
        <v>215</v>
      </c>
    </row>
    <row r="39780" spans="129:129" x14ac:dyDescent="0.2">
      <c r="DY39780" s="185" t="s">
        <v>215</v>
      </c>
    </row>
    <row r="39781" spans="129:129" x14ac:dyDescent="0.2">
      <c r="DY39781" s="185" t="s">
        <v>215</v>
      </c>
    </row>
    <row r="39782" spans="129:129" x14ac:dyDescent="0.2">
      <c r="DY39782" s="185" t="s">
        <v>215</v>
      </c>
    </row>
    <row r="39783" spans="129:129" x14ac:dyDescent="0.2">
      <c r="DY39783" s="185" t="s">
        <v>215</v>
      </c>
    </row>
    <row r="39784" spans="129:129" x14ac:dyDescent="0.2">
      <c r="DY39784" s="185" t="s">
        <v>215</v>
      </c>
    </row>
    <row r="39785" spans="129:129" x14ac:dyDescent="0.2">
      <c r="DY39785" s="185" t="s">
        <v>215</v>
      </c>
    </row>
    <row r="39786" spans="129:129" x14ac:dyDescent="0.2">
      <c r="DY39786" s="185" t="s">
        <v>215</v>
      </c>
    </row>
    <row r="39787" spans="129:129" x14ac:dyDescent="0.2">
      <c r="DY39787" s="185" t="s">
        <v>215</v>
      </c>
    </row>
    <row r="39788" spans="129:129" x14ac:dyDescent="0.2">
      <c r="DY39788" s="185" t="s">
        <v>215</v>
      </c>
    </row>
    <row r="39789" spans="129:129" x14ac:dyDescent="0.2">
      <c r="DY39789" s="185" t="s">
        <v>215</v>
      </c>
    </row>
    <row r="39790" spans="129:129" x14ac:dyDescent="0.2">
      <c r="DY39790" s="185" t="s">
        <v>215</v>
      </c>
    </row>
    <row r="39791" spans="129:129" x14ac:dyDescent="0.2">
      <c r="DY39791" s="185" t="s">
        <v>215</v>
      </c>
    </row>
    <row r="39792" spans="129:129" x14ac:dyDescent="0.2">
      <c r="DY39792" s="185" t="s">
        <v>215</v>
      </c>
    </row>
    <row r="39793" spans="129:129" x14ac:dyDescent="0.2">
      <c r="DY39793" s="185" t="s">
        <v>215</v>
      </c>
    </row>
    <row r="39794" spans="129:129" x14ac:dyDescent="0.2">
      <c r="DY39794" s="185" t="s">
        <v>215</v>
      </c>
    </row>
    <row r="39795" spans="129:129" x14ac:dyDescent="0.2">
      <c r="DY39795" s="185" t="s">
        <v>215</v>
      </c>
    </row>
    <row r="39796" spans="129:129" x14ac:dyDescent="0.2">
      <c r="DY39796" s="185" t="s">
        <v>215</v>
      </c>
    </row>
    <row r="39797" spans="129:129" x14ac:dyDescent="0.2">
      <c r="DY39797" s="185" t="s">
        <v>215</v>
      </c>
    </row>
    <row r="39798" spans="129:129" x14ac:dyDescent="0.2">
      <c r="DY39798" s="185" t="s">
        <v>215</v>
      </c>
    </row>
    <row r="39799" spans="129:129" x14ac:dyDescent="0.2">
      <c r="DY39799" s="185" t="s">
        <v>215</v>
      </c>
    </row>
    <row r="39800" spans="129:129" x14ac:dyDescent="0.2">
      <c r="DY39800" s="185" t="s">
        <v>215</v>
      </c>
    </row>
    <row r="39801" spans="129:129" x14ac:dyDescent="0.2">
      <c r="DY39801" s="185" t="s">
        <v>215</v>
      </c>
    </row>
    <row r="39802" spans="129:129" x14ac:dyDescent="0.2">
      <c r="DY39802" s="185" t="s">
        <v>215</v>
      </c>
    </row>
    <row r="39803" spans="129:129" x14ac:dyDescent="0.2">
      <c r="DY39803" s="185" t="s">
        <v>215</v>
      </c>
    </row>
    <row r="39804" spans="129:129" x14ac:dyDescent="0.2">
      <c r="DY39804" s="185" t="s">
        <v>215</v>
      </c>
    </row>
    <row r="39805" spans="129:129" x14ac:dyDescent="0.2">
      <c r="DY39805" s="185" t="s">
        <v>215</v>
      </c>
    </row>
    <row r="39806" spans="129:129" x14ac:dyDescent="0.2">
      <c r="DY39806" s="185" t="s">
        <v>215</v>
      </c>
    </row>
    <row r="39807" spans="129:129" x14ac:dyDescent="0.2">
      <c r="DY39807" s="185" t="s">
        <v>215</v>
      </c>
    </row>
    <row r="39808" spans="129:129" x14ac:dyDescent="0.2">
      <c r="DY39808" s="185" t="s">
        <v>215</v>
      </c>
    </row>
    <row r="39809" spans="129:129" x14ac:dyDescent="0.2">
      <c r="DY39809" s="185" t="s">
        <v>215</v>
      </c>
    </row>
    <row r="39810" spans="129:129" x14ac:dyDescent="0.2">
      <c r="DY39810" s="185" t="s">
        <v>215</v>
      </c>
    </row>
    <row r="39811" spans="129:129" x14ac:dyDescent="0.2">
      <c r="DY39811" s="185" t="s">
        <v>215</v>
      </c>
    </row>
    <row r="39812" spans="129:129" x14ac:dyDescent="0.2">
      <c r="DY39812" s="185" t="s">
        <v>215</v>
      </c>
    </row>
    <row r="39813" spans="129:129" x14ac:dyDescent="0.2">
      <c r="DY39813" s="185" t="s">
        <v>215</v>
      </c>
    </row>
    <row r="39814" spans="129:129" x14ac:dyDescent="0.2">
      <c r="DY39814" s="185" t="s">
        <v>215</v>
      </c>
    </row>
    <row r="39815" spans="129:129" x14ac:dyDescent="0.2">
      <c r="DY39815" s="185" t="s">
        <v>215</v>
      </c>
    </row>
    <row r="39816" spans="129:129" x14ac:dyDescent="0.2">
      <c r="DY39816" s="185" t="s">
        <v>215</v>
      </c>
    </row>
    <row r="39817" spans="129:129" x14ac:dyDescent="0.2">
      <c r="DY39817" s="185" t="s">
        <v>215</v>
      </c>
    </row>
    <row r="39818" spans="129:129" x14ac:dyDescent="0.2">
      <c r="DY39818" s="185" t="s">
        <v>215</v>
      </c>
    </row>
    <row r="39819" spans="129:129" x14ac:dyDescent="0.2">
      <c r="DY39819" s="185" t="s">
        <v>215</v>
      </c>
    </row>
    <row r="39820" spans="129:129" x14ac:dyDescent="0.2">
      <c r="DY39820" s="185" t="s">
        <v>215</v>
      </c>
    </row>
    <row r="39821" spans="129:129" x14ac:dyDescent="0.2">
      <c r="DY39821" s="185" t="s">
        <v>215</v>
      </c>
    </row>
    <row r="39822" spans="129:129" x14ac:dyDescent="0.2">
      <c r="DY39822" s="185" t="s">
        <v>215</v>
      </c>
    </row>
    <row r="39823" spans="129:129" x14ac:dyDescent="0.2">
      <c r="DY39823" s="185" t="s">
        <v>215</v>
      </c>
    </row>
    <row r="39824" spans="129:129" x14ac:dyDescent="0.2">
      <c r="DY39824" s="185" t="s">
        <v>215</v>
      </c>
    </row>
    <row r="39825" spans="129:129" x14ac:dyDescent="0.2">
      <c r="DY39825" s="185" t="s">
        <v>215</v>
      </c>
    </row>
    <row r="39826" spans="129:129" x14ac:dyDescent="0.2">
      <c r="DY39826" s="185" t="s">
        <v>215</v>
      </c>
    </row>
    <row r="39827" spans="129:129" x14ac:dyDescent="0.2">
      <c r="DY39827" s="185" t="s">
        <v>215</v>
      </c>
    </row>
    <row r="39828" spans="129:129" x14ac:dyDescent="0.2">
      <c r="DY39828" s="185" t="s">
        <v>215</v>
      </c>
    </row>
    <row r="39829" spans="129:129" x14ac:dyDescent="0.2">
      <c r="DY39829" s="185" t="s">
        <v>215</v>
      </c>
    </row>
    <row r="39830" spans="129:129" x14ac:dyDescent="0.2">
      <c r="DY39830" s="185" t="s">
        <v>215</v>
      </c>
    </row>
    <row r="39831" spans="129:129" x14ac:dyDescent="0.2">
      <c r="DY39831" s="185" t="s">
        <v>215</v>
      </c>
    </row>
    <row r="39832" spans="129:129" x14ac:dyDescent="0.2">
      <c r="DY39832" s="185" t="s">
        <v>215</v>
      </c>
    </row>
    <row r="39833" spans="129:129" x14ac:dyDescent="0.2">
      <c r="DY39833" s="185" t="s">
        <v>215</v>
      </c>
    </row>
    <row r="39834" spans="129:129" x14ac:dyDescent="0.2">
      <c r="DY39834" s="185" t="s">
        <v>215</v>
      </c>
    </row>
    <row r="39835" spans="129:129" x14ac:dyDescent="0.2">
      <c r="DY39835" s="185" t="s">
        <v>215</v>
      </c>
    </row>
    <row r="39836" spans="129:129" x14ac:dyDescent="0.2">
      <c r="DY39836" s="185" t="s">
        <v>215</v>
      </c>
    </row>
    <row r="39837" spans="129:129" x14ac:dyDescent="0.2">
      <c r="DY39837" s="185" t="s">
        <v>215</v>
      </c>
    </row>
    <row r="39838" spans="129:129" x14ac:dyDescent="0.2">
      <c r="DY39838" s="185" t="s">
        <v>215</v>
      </c>
    </row>
    <row r="39839" spans="129:129" x14ac:dyDescent="0.2">
      <c r="DY39839" s="185" t="s">
        <v>215</v>
      </c>
    </row>
    <row r="39840" spans="129:129" x14ac:dyDescent="0.2">
      <c r="DY39840" s="185" t="s">
        <v>215</v>
      </c>
    </row>
    <row r="39841" spans="129:129" x14ac:dyDescent="0.2">
      <c r="DY39841" s="185" t="s">
        <v>215</v>
      </c>
    </row>
    <row r="39842" spans="129:129" x14ac:dyDescent="0.2">
      <c r="DY39842" s="185" t="s">
        <v>215</v>
      </c>
    </row>
    <row r="39843" spans="129:129" x14ac:dyDescent="0.2">
      <c r="DY39843" s="185" t="s">
        <v>215</v>
      </c>
    </row>
    <row r="39844" spans="129:129" x14ac:dyDescent="0.2">
      <c r="DY39844" s="185" t="s">
        <v>215</v>
      </c>
    </row>
    <row r="39845" spans="129:129" x14ac:dyDescent="0.2">
      <c r="DY39845" s="185" t="s">
        <v>215</v>
      </c>
    </row>
    <row r="39846" spans="129:129" x14ac:dyDescent="0.2">
      <c r="DY39846" s="185" t="s">
        <v>215</v>
      </c>
    </row>
    <row r="39847" spans="129:129" x14ac:dyDescent="0.2">
      <c r="DY39847" s="185" t="s">
        <v>215</v>
      </c>
    </row>
    <row r="39848" spans="129:129" x14ac:dyDescent="0.2">
      <c r="DY39848" s="185" t="s">
        <v>215</v>
      </c>
    </row>
    <row r="39849" spans="129:129" x14ac:dyDescent="0.2">
      <c r="DY39849" s="185" t="s">
        <v>215</v>
      </c>
    </row>
    <row r="39850" spans="129:129" x14ac:dyDescent="0.2">
      <c r="DY39850" s="185" t="s">
        <v>215</v>
      </c>
    </row>
    <row r="39851" spans="129:129" x14ac:dyDescent="0.2">
      <c r="DY39851" s="185" t="s">
        <v>215</v>
      </c>
    </row>
    <row r="39852" spans="129:129" x14ac:dyDescent="0.2">
      <c r="DY39852" s="185" t="s">
        <v>215</v>
      </c>
    </row>
    <row r="39853" spans="129:129" x14ac:dyDescent="0.2">
      <c r="DY39853" s="185" t="s">
        <v>215</v>
      </c>
    </row>
    <row r="39854" spans="129:129" x14ac:dyDescent="0.2">
      <c r="DY39854" s="185" t="s">
        <v>215</v>
      </c>
    </row>
    <row r="39855" spans="129:129" x14ac:dyDescent="0.2">
      <c r="DY39855" s="185" t="s">
        <v>215</v>
      </c>
    </row>
    <row r="39856" spans="129:129" x14ac:dyDescent="0.2">
      <c r="DY39856" s="185" t="s">
        <v>215</v>
      </c>
    </row>
    <row r="39857" spans="129:129" x14ac:dyDescent="0.2">
      <c r="DY39857" s="185" t="s">
        <v>215</v>
      </c>
    </row>
    <row r="39858" spans="129:129" x14ac:dyDescent="0.2">
      <c r="DY39858" s="185" t="s">
        <v>215</v>
      </c>
    </row>
    <row r="39859" spans="129:129" x14ac:dyDescent="0.2">
      <c r="DY39859" s="185" t="s">
        <v>215</v>
      </c>
    </row>
    <row r="39860" spans="129:129" x14ac:dyDescent="0.2">
      <c r="DY39860" s="185" t="s">
        <v>215</v>
      </c>
    </row>
    <row r="39861" spans="129:129" x14ac:dyDescent="0.2">
      <c r="DY39861" s="185" t="s">
        <v>215</v>
      </c>
    </row>
    <row r="39862" spans="129:129" x14ac:dyDescent="0.2">
      <c r="DY39862" s="185" t="s">
        <v>215</v>
      </c>
    </row>
    <row r="39863" spans="129:129" x14ac:dyDescent="0.2">
      <c r="DY39863" s="185" t="s">
        <v>215</v>
      </c>
    </row>
    <row r="39864" spans="129:129" x14ac:dyDescent="0.2">
      <c r="DY39864" s="185" t="s">
        <v>215</v>
      </c>
    </row>
    <row r="39865" spans="129:129" x14ac:dyDescent="0.2">
      <c r="DY39865" s="185" t="s">
        <v>215</v>
      </c>
    </row>
    <row r="39866" spans="129:129" x14ac:dyDescent="0.2">
      <c r="DY39866" s="185" t="s">
        <v>215</v>
      </c>
    </row>
    <row r="39867" spans="129:129" x14ac:dyDescent="0.2">
      <c r="DY39867" s="185" t="s">
        <v>215</v>
      </c>
    </row>
    <row r="39868" spans="129:129" x14ac:dyDescent="0.2">
      <c r="DY39868" s="185" t="s">
        <v>215</v>
      </c>
    </row>
    <row r="39869" spans="129:129" x14ac:dyDescent="0.2">
      <c r="DY39869" s="185" t="s">
        <v>215</v>
      </c>
    </row>
    <row r="39870" spans="129:129" x14ac:dyDescent="0.2">
      <c r="DY39870" s="185" t="s">
        <v>215</v>
      </c>
    </row>
    <row r="39871" spans="129:129" x14ac:dyDescent="0.2">
      <c r="DY39871" s="185" t="s">
        <v>215</v>
      </c>
    </row>
    <row r="39872" spans="129:129" x14ac:dyDescent="0.2">
      <c r="DY39872" s="185" t="s">
        <v>215</v>
      </c>
    </row>
    <row r="39873" spans="129:129" x14ac:dyDescent="0.2">
      <c r="DY39873" s="185" t="s">
        <v>215</v>
      </c>
    </row>
    <row r="39874" spans="129:129" x14ac:dyDescent="0.2">
      <c r="DY39874" s="185" t="s">
        <v>215</v>
      </c>
    </row>
    <row r="39875" spans="129:129" x14ac:dyDescent="0.2">
      <c r="DY39875" s="185" t="s">
        <v>215</v>
      </c>
    </row>
    <row r="39876" spans="129:129" x14ac:dyDescent="0.2">
      <c r="DY39876" s="185" t="s">
        <v>215</v>
      </c>
    </row>
    <row r="39877" spans="129:129" x14ac:dyDescent="0.2">
      <c r="DY39877" s="185" t="s">
        <v>215</v>
      </c>
    </row>
    <row r="39878" spans="129:129" x14ac:dyDescent="0.2">
      <c r="DY39878" s="185" t="s">
        <v>215</v>
      </c>
    </row>
    <row r="39879" spans="129:129" x14ac:dyDescent="0.2">
      <c r="DY39879" s="185" t="s">
        <v>215</v>
      </c>
    </row>
    <row r="39880" spans="129:129" x14ac:dyDescent="0.2">
      <c r="DY39880" s="185" t="s">
        <v>215</v>
      </c>
    </row>
    <row r="39881" spans="129:129" x14ac:dyDescent="0.2">
      <c r="DY39881" s="185" t="s">
        <v>215</v>
      </c>
    </row>
    <row r="39882" spans="129:129" x14ac:dyDescent="0.2">
      <c r="DY39882" s="185" t="s">
        <v>215</v>
      </c>
    </row>
    <row r="39883" spans="129:129" x14ac:dyDescent="0.2">
      <c r="DY39883" s="185" t="s">
        <v>215</v>
      </c>
    </row>
    <row r="39884" spans="129:129" x14ac:dyDescent="0.2">
      <c r="DY39884" s="185" t="s">
        <v>215</v>
      </c>
    </row>
    <row r="39885" spans="129:129" x14ac:dyDescent="0.2">
      <c r="DY39885" s="185" t="s">
        <v>215</v>
      </c>
    </row>
    <row r="39886" spans="129:129" x14ac:dyDescent="0.2">
      <c r="DY39886" s="185" t="s">
        <v>215</v>
      </c>
    </row>
    <row r="39887" spans="129:129" x14ac:dyDescent="0.2">
      <c r="DY39887" s="185" t="s">
        <v>215</v>
      </c>
    </row>
    <row r="39888" spans="129:129" x14ac:dyDescent="0.2">
      <c r="DY39888" s="185" t="s">
        <v>215</v>
      </c>
    </row>
    <row r="39889" spans="129:129" x14ac:dyDescent="0.2">
      <c r="DY39889" s="185" t="s">
        <v>215</v>
      </c>
    </row>
    <row r="39890" spans="129:129" x14ac:dyDescent="0.2">
      <c r="DY39890" s="185" t="s">
        <v>215</v>
      </c>
    </row>
    <row r="39891" spans="129:129" x14ac:dyDescent="0.2">
      <c r="DY39891" s="185" t="s">
        <v>215</v>
      </c>
    </row>
    <row r="39892" spans="129:129" x14ac:dyDescent="0.2">
      <c r="DY39892" s="185" t="s">
        <v>215</v>
      </c>
    </row>
    <row r="39893" spans="129:129" x14ac:dyDescent="0.2">
      <c r="DY39893" s="185" t="s">
        <v>215</v>
      </c>
    </row>
    <row r="39894" spans="129:129" x14ac:dyDescent="0.2">
      <c r="DY39894" s="185" t="s">
        <v>215</v>
      </c>
    </row>
    <row r="39895" spans="129:129" x14ac:dyDescent="0.2">
      <c r="DY39895" s="185" t="s">
        <v>215</v>
      </c>
    </row>
    <row r="39896" spans="129:129" x14ac:dyDescent="0.2">
      <c r="DY39896" s="185" t="s">
        <v>215</v>
      </c>
    </row>
    <row r="39897" spans="129:129" x14ac:dyDescent="0.2">
      <c r="DY39897" s="185" t="s">
        <v>215</v>
      </c>
    </row>
    <row r="39898" spans="129:129" x14ac:dyDescent="0.2">
      <c r="DY39898" s="185" t="s">
        <v>215</v>
      </c>
    </row>
    <row r="39899" spans="129:129" x14ac:dyDescent="0.2">
      <c r="DY39899" s="185" t="s">
        <v>215</v>
      </c>
    </row>
    <row r="39900" spans="129:129" x14ac:dyDescent="0.2">
      <c r="DY39900" s="185" t="s">
        <v>215</v>
      </c>
    </row>
    <row r="39901" spans="129:129" x14ac:dyDescent="0.2">
      <c r="DY39901" s="185" t="s">
        <v>215</v>
      </c>
    </row>
    <row r="39902" spans="129:129" x14ac:dyDescent="0.2">
      <c r="DY39902" s="185" t="s">
        <v>215</v>
      </c>
    </row>
    <row r="39903" spans="129:129" x14ac:dyDescent="0.2">
      <c r="DY39903" s="185" t="s">
        <v>215</v>
      </c>
    </row>
    <row r="39904" spans="129:129" x14ac:dyDescent="0.2">
      <c r="DY39904" s="185" t="s">
        <v>215</v>
      </c>
    </row>
    <row r="39905" spans="129:129" x14ac:dyDescent="0.2">
      <c r="DY39905" s="185" t="s">
        <v>215</v>
      </c>
    </row>
    <row r="39906" spans="129:129" x14ac:dyDescent="0.2">
      <c r="DY39906" s="185" t="s">
        <v>215</v>
      </c>
    </row>
    <row r="39907" spans="129:129" x14ac:dyDescent="0.2">
      <c r="DY39907" s="185" t="s">
        <v>215</v>
      </c>
    </row>
    <row r="39908" spans="129:129" x14ac:dyDescent="0.2">
      <c r="DY39908" s="185" t="s">
        <v>215</v>
      </c>
    </row>
    <row r="39909" spans="129:129" x14ac:dyDescent="0.2">
      <c r="DY39909" s="185" t="s">
        <v>215</v>
      </c>
    </row>
    <row r="39910" spans="129:129" x14ac:dyDescent="0.2">
      <c r="DY39910" s="185" t="s">
        <v>215</v>
      </c>
    </row>
    <row r="39911" spans="129:129" x14ac:dyDescent="0.2">
      <c r="DY39911" s="185" t="s">
        <v>215</v>
      </c>
    </row>
    <row r="39912" spans="129:129" x14ac:dyDescent="0.2">
      <c r="DY39912" s="185" t="s">
        <v>215</v>
      </c>
    </row>
    <row r="39913" spans="129:129" x14ac:dyDescent="0.2">
      <c r="DY39913" s="185" t="s">
        <v>215</v>
      </c>
    </row>
    <row r="39914" spans="129:129" x14ac:dyDescent="0.2">
      <c r="DY39914" s="185" t="s">
        <v>215</v>
      </c>
    </row>
    <row r="39915" spans="129:129" x14ac:dyDescent="0.2">
      <c r="DY39915" s="185" t="s">
        <v>215</v>
      </c>
    </row>
    <row r="39916" spans="129:129" x14ac:dyDescent="0.2">
      <c r="DY39916" s="185" t="s">
        <v>215</v>
      </c>
    </row>
    <row r="39917" spans="129:129" x14ac:dyDescent="0.2">
      <c r="DY39917" s="185" t="s">
        <v>215</v>
      </c>
    </row>
    <row r="39918" spans="129:129" x14ac:dyDescent="0.2">
      <c r="DY39918" s="185" t="s">
        <v>215</v>
      </c>
    </row>
    <row r="39919" spans="129:129" x14ac:dyDescent="0.2">
      <c r="DY39919" s="185" t="s">
        <v>215</v>
      </c>
    </row>
    <row r="39920" spans="129:129" x14ac:dyDescent="0.2">
      <c r="DY39920" s="185" t="s">
        <v>215</v>
      </c>
    </row>
    <row r="39921" spans="129:129" x14ac:dyDescent="0.2">
      <c r="DY39921" s="185" t="s">
        <v>215</v>
      </c>
    </row>
    <row r="39922" spans="129:129" x14ac:dyDescent="0.2">
      <c r="DY39922" s="185" t="s">
        <v>215</v>
      </c>
    </row>
    <row r="39923" spans="129:129" x14ac:dyDescent="0.2">
      <c r="DY39923" s="185" t="s">
        <v>215</v>
      </c>
    </row>
    <row r="39924" spans="129:129" x14ac:dyDescent="0.2">
      <c r="DY39924" s="185" t="s">
        <v>215</v>
      </c>
    </row>
    <row r="39925" spans="129:129" x14ac:dyDescent="0.2">
      <c r="DY39925" s="185" t="s">
        <v>215</v>
      </c>
    </row>
    <row r="39926" spans="129:129" x14ac:dyDescent="0.2">
      <c r="DY39926" s="185" t="s">
        <v>215</v>
      </c>
    </row>
    <row r="39927" spans="129:129" x14ac:dyDescent="0.2">
      <c r="DY39927" s="185" t="s">
        <v>215</v>
      </c>
    </row>
    <row r="39928" spans="129:129" x14ac:dyDescent="0.2">
      <c r="DY39928" s="185" t="s">
        <v>215</v>
      </c>
    </row>
    <row r="39929" spans="129:129" x14ac:dyDescent="0.2">
      <c r="DY39929" s="185" t="s">
        <v>215</v>
      </c>
    </row>
    <row r="39930" spans="129:129" x14ac:dyDescent="0.2">
      <c r="DY39930" s="185" t="s">
        <v>215</v>
      </c>
    </row>
    <row r="39931" spans="129:129" x14ac:dyDescent="0.2">
      <c r="DY39931" s="185" t="s">
        <v>215</v>
      </c>
    </row>
    <row r="39932" spans="129:129" x14ac:dyDescent="0.2">
      <c r="DY39932" s="185" t="s">
        <v>215</v>
      </c>
    </row>
    <row r="39933" spans="129:129" x14ac:dyDescent="0.2">
      <c r="DY39933" s="185" t="s">
        <v>215</v>
      </c>
    </row>
    <row r="39934" spans="129:129" x14ac:dyDescent="0.2">
      <c r="DY39934" s="185" t="s">
        <v>215</v>
      </c>
    </row>
    <row r="39935" spans="129:129" x14ac:dyDescent="0.2">
      <c r="DY39935" s="185" t="s">
        <v>215</v>
      </c>
    </row>
    <row r="39936" spans="129:129" x14ac:dyDescent="0.2">
      <c r="DY39936" s="185" t="s">
        <v>215</v>
      </c>
    </row>
    <row r="39937" spans="129:129" x14ac:dyDescent="0.2">
      <c r="DY39937" s="185" t="s">
        <v>215</v>
      </c>
    </row>
    <row r="39938" spans="129:129" x14ac:dyDescent="0.2">
      <c r="DY39938" s="185" t="s">
        <v>215</v>
      </c>
    </row>
    <row r="39939" spans="129:129" x14ac:dyDescent="0.2">
      <c r="DY39939" s="185" t="s">
        <v>215</v>
      </c>
    </row>
    <row r="39940" spans="129:129" x14ac:dyDescent="0.2">
      <c r="DY39940" s="185" t="s">
        <v>215</v>
      </c>
    </row>
    <row r="39941" spans="129:129" x14ac:dyDescent="0.2">
      <c r="DY39941" s="185" t="s">
        <v>215</v>
      </c>
    </row>
    <row r="39942" spans="129:129" x14ac:dyDescent="0.2">
      <c r="DY39942" s="185" t="s">
        <v>215</v>
      </c>
    </row>
    <row r="39943" spans="129:129" x14ac:dyDescent="0.2">
      <c r="DY39943" s="185" t="s">
        <v>215</v>
      </c>
    </row>
    <row r="39944" spans="129:129" x14ac:dyDescent="0.2">
      <c r="DY39944" s="185" t="s">
        <v>215</v>
      </c>
    </row>
    <row r="39945" spans="129:129" x14ac:dyDescent="0.2">
      <c r="DY39945" s="185" t="s">
        <v>215</v>
      </c>
    </row>
    <row r="39946" spans="129:129" x14ac:dyDescent="0.2">
      <c r="DY39946" s="185" t="s">
        <v>215</v>
      </c>
    </row>
    <row r="39947" spans="129:129" x14ac:dyDescent="0.2">
      <c r="DY39947" s="185" t="s">
        <v>215</v>
      </c>
    </row>
    <row r="39948" spans="129:129" x14ac:dyDescent="0.2">
      <c r="DY39948" s="185" t="s">
        <v>215</v>
      </c>
    </row>
    <row r="39949" spans="129:129" x14ac:dyDescent="0.2">
      <c r="DY39949" s="185" t="s">
        <v>215</v>
      </c>
    </row>
    <row r="39950" spans="129:129" x14ac:dyDescent="0.2">
      <c r="DY39950" s="185" t="s">
        <v>215</v>
      </c>
    </row>
    <row r="39951" spans="129:129" x14ac:dyDescent="0.2">
      <c r="DY39951" s="185" t="s">
        <v>215</v>
      </c>
    </row>
    <row r="39952" spans="129:129" x14ac:dyDescent="0.2">
      <c r="DY39952" s="185" t="s">
        <v>215</v>
      </c>
    </row>
    <row r="39953" spans="129:129" x14ac:dyDescent="0.2">
      <c r="DY39953" s="185" t="s">
        <v>215</v>
      </c>
    </row>
    <row r="39954" spans="129:129" x14ac:dyDescent="0.2">
      <c r="DY39954" s="185" t="s">
        <v>215</v>
      </c>
    </row>
    <row r="39955" spans="129:129" x14ac:dyDescent="0.2">
      <c r="DY39955" s="185" t="s">
        <v>215</v>
      </c>
    </row>
    <row r="39956" spans="129:129" x14ac:dyDescent="0.2">
      <c r="DY39956" s="185" t="s">
        <v>215</v>
      </c>
    </row>
    <row r="39957" spans="129:129" x14ac:dyDescent="0.2">
      <c r="DY39957" s="185" t="s">
        <v>215</v>
      </c>
    </row>
    <row r="39958" spans="129:129" x14ac:dyDescent="0.2">
      <c r="DY39958" s="185" t="s">
        <v>215</v>
      </c>
    </row>
    <row r="39959" spans="129:129" x14ac:dyDescent="0.2">
      <c r="DY39959" s="185" t="s">
        <v>215</v>
      </c>
    </row>
    <row r="39960" spans="129:129" x14ac:dyDescent="0.2">
      <c r="DY39960" s="185" t="s">
        <v>215</v>
      </c>
    </row>
    <row r="39961" spans="129:129" x14ac:dyDescent="0.2">
      <c r="DY39961" s="185" t="s">
        <v>215</v>
      </c>
    </row>
    <row r="39962" spans="129:129" x14ac:dyDescent="0.2">
      <c r="DY39962" s="185" t="s">
        <v>215</v>
      </c>
    </row>
    <row r="39963" spans="129:129" x14ac:dyDescent="0.2">
      <c r="DY39963" s="185" t="s">
        <v>215</v>
      </c>
    </row>
    <row r="39964" spans="129:129" x14ac:dyDescent="0.2">
      <c r="DY39964" s="185" t="s">
        <v>215</v>
      </c>
    </row>
    <row r="39965" spans="129:129" x14ac:dyDescent="0.2">
      <c r="DY39965" s="185" t="s">
        <v>215</v>
      </c>
    </row>
    <row r="39966" spans="129:129" x14ac:dyDescent="0.2">
      <c r="DY39966" s="185" t="s">
        <v>215</v>
      </c>
    </row>
    <row r="39967" spans="129:129" x14ac:dyDescent="0.2">
      <c r="DY39967" s="185" t="s">
        <v>215</v>
      </c>
    </row>
    <row r="39968" spans="129:129" x14ac:dyDescent="0.2">
      <c r="DY39968" s="185" t="s">
        <v>215</v>
      </c>
    </row>
    <row r="39969" spans="129:129" x14ac:dyDescent="0.2">
      <c r="DY39969" s="185" t="s">
        <v>215</v>
      </c>
    </row>
    <row r="39970" spans="129:129" x14ac:dyDescent="0.2">
      <c r="DY39970" s="185" t="s">
        <v>215</v>
      </c>
    </row>
    <row r="39971" spans="129:129" x14ac:dyDescent="0.2">
      <c r="DY39971" s="185" t="s">
        <v>215</v>
      </c>
    </row>
    <row r="39972" spans="129:129" x14ac:dyDescent="0.2">
      <c r="DY39972" s="185" t="s">
        <v>215</v>
      </c>
    </row>
    <row r="39973" spans="129:129" x14ac:dyDescent="0.2">
      <c r="DY39973" s="185" t="s">
        <v>215</v>
      </c>
    </row>
    <row r="39974" spans="129:129" x14ac:dyDescent="0.2">
      <c r="DY39974" s="185" t="s">
        <v>215</v>
      </c>
    </row>
    <row r="39975" spans="129:129" x14ac:dyDescent="0.2">
      <c r="DY39975" s="185" t="s">
        <v>215</v>
      </c>
    </row>
    <row r="39976" spans="129:129" x14ac:dyDescent="0.2">
      <c r="DY39976" s="185" t="s">
        <v>215</v>
      </c>
    </row>
    <row r="39977" spans="129:129" x14ac:dyDescent="0.2">
      <c r="DY39977" s="185" t="s">
        <v>215</v>
      </c>
    </row>
    <row r="39978" spans="129:129" x14ac:dyDescent="0.2">
      <c r="DY39978" s="185" t="s">
        <v>215</v>
      </c>
    </row>
    <row r="39979" spans="129:129" x14ac:dyDescent="0.2">
      <c r="DY39979" s="185" t="s">
        <v>215</v>
      </c>
    </row>
    <row r="39980" spans="129:129" x14ac:dyDescent="0.2">
      <c r="DY39980" s="185" t="s">
        <v>215</v>
      </c>
    </row>
    <row r="39981" spans="129:129" x14ac:dyDescent="0.2">
      <c r="DY39981" s="185" t="s">
        <v>215</v>
      </c>
    </row>
    <row r="39982" spans="129:129" x14ac:dyDescent="0.2">
      <c r="DY39982" s="185" t="s">
        <v>215</v>
      </c>
    </row>
    <row r="39983" spans="129:129" x14ac:dyDescent="0.2">
      <c r="DY39983" s="185" t="s">
        <v>215</v>
      </c>
    </row>
    <row r="39984" spans="129:129" x14ac:dyDescent="0.2">
      <c r="DY39984" s="185" t="s">
        <v>215</v>
      </c>
    </row>
    <row r="39985" spans="129:129" x14ac:dyDescent="0.2">
      <c r="DY39985" s="185" t="s">
        <v>215</v>
      </c>
    </row>
    <row r="39986" spans="129:129" x14ac:dyDescent="0.2">
      <c r="DY39986" s="185" t="s">
        <v>215</v>
      </c>
    </row>
    <row r="39987" spans="129:129" x14ac:dyDescent="0.2">
      <c r="DY39987" s="185" t="s">
        <v>215</v>
      </c>
    </row>
    <row r="39988" spans="129:129" x14ac:dyDescent="0.2">
      <c r="DY39988" s="185" t="s">
        <v>215</v>
      </c>
    </row>
    <row r="39989" spans="129:129" x14ac:dyDescent="0.2">
      <c r="DY39989" s="185" t="s">
        <v>215</v>
      </c>
    </row>
    <row r="39990" spans="129:129" x14ac:dyDescent="0.2">
      <c r="DY39990" s="185" t="s">
        <v>215</v>
      </c>
    </row>
    <row r="39991" spans="129:129" x14ac:dyDescent="0.2">
      <c r="DY39991" s="185" t="s">
        <v>215</v>
      </c>
    </row>
    <row r="39992" spans="129:129" x14ac:dyDescent="0.2">
      <c r="DY39992" s="185" t="s">
        <v>215</v>
      </c>
    </row>
    <row r="39993" spans="129:129" x14ac:dyDescent="0.2">
      <c r="DY39993" s="185" t="s">
        <v>215</v>
      </c>
    </row>
    <row r="39994" spans="129:129" x14ac:dyDescent="0.2">
      <c r="DY39994" s="185" t="s">
        <v>215</v>
      </c>
    </row>
    <row r="39995" spans="129:129" x14ac:dyDescent="0.2">
      <c r="DY39995" s="185" t="s">
        <v>215</v>
      </c>
    </row>
    <row r="39996" spans="129:129" x14ac:dyDescent="0.2">
      <c r="DY39996" s="185" t="s">
        <v>215</v>
      </c>
    </row>
    <row r="39997" spans="129:129" x14ac:dyDescent="0.2">
      <c r="DY39997" s="185" t="s">
        <v>215</v>
      </c>
    </row>
    <row r="39998" spans="129:129" x14ac:dyDescent="0.2">
      <c r="DY39998" s="185" t="s">
        <v>215</v>
      </c>
    </row>
    <row r="39999" spans="129:129" x14ac:dyDescent="0.2">
      <c r="DY39999" s="185" t="s">
        <v>215</v>
      </c>
    </row>
    <row r="40000" spans="129:129" x14ac:dyDescent="0.2">
      <c r="DY40000" s="185" t="s">
        <v>215</v>
      </c>
    </row>
    <row r="40001" spans="129:129" x14ac:dyDescent="0.2">
      <c r="DY40001" s="185" t="s">
        <v>215</v>
      </c>
    </row>
    <row r="40002" spans="129:129" x14ac:dyDescent="0.2">
      <c r="DY40002" s="185" t="s">
        <v>215</v>
      </c>
    </row>
    <row r="40003" spans="129:129" x14ac:dyDescent="0.2">
      <c r="DY40003" s="185" t="s">
        <v>215</v>
      </c>
    </row>
    <row r="40004" spans="129:129" x14ac:dyDescent="0.2">
      <c r="DY40004" s="185" t="s">
        <v>215</v>
      </c>
    </row>
    <row r="40005" spans="129:129" x14ac:dyDescent="0.2">
      <c r="DY40005" s="185" t="s">
        <v>215</v>
      </c>
    </row>
    <row r="40006" spans="129:129" x14ac:dyDescent="0.2">
      <c r="DY40006" s="185" t="s">
        <v>215</v>
      </c>
    </row>
    <row r="40007" spans="129:129" x14ac:dyDescent="0.2">
      <c r="DY40007" s="185" t="s">
        <v>215</v>
      </c>
    </row>
    <row r="40008" spans="129:129" x14ac:dyDescent="0.2">
      <c r="DY40008" s="185" t="s">
        <v>215</v>
      </c>
    </row>
    <row r="40009" spans="129:129" x14ac:dyDescent="0.2">
      <c r="DY40009" s="185" t="s">
        <v>215</v>
      </c>
    </row>
    <row r="40010" spans="129:129" x14ac:dyDescent="0.2">
      <c r="DY40010" s="185" t="s">
        <v>215</v>
      </c>
    </row>
    <row r="40011" spans="129:129" x14ac:dyDescent="0.2">
      <c r="DY40011" s="185" t="s">
        <v>215</v>
      </c>
    </row>
    <row r="40012" spans="129:129" x14ac:dyDescent="0.2">
      <c r="DY40012" s="185" t="s">
        <v>215</v>
      </c>
    </row>
    <row r="40013" spans="129:129" x14ac:dyDescent="0.2">
      <c r="DY40013" s="185" t="s">
        <v>215</v>
      </c>
    </row>
    <row r="40014" spans="129:129" x14ac:dyDescent="0.2">
      <c r="DY40014" s="185" t="s">
        <v>215</v>
      </c>
    </row>
    <row r="40015" spans="129:129" x14ac:dyDescent="0.2">
      <c r="DY40015" s="185" t="s">
        <v>215</v>
      </c>
    </row>
    <row r="40016" spans="129:129" x14ac:dyDescent="0.2">
      <c r="DY40016" s="185" t="s">
        <v>215</v>
      </c>
    </row>
    <row r="40017" spans="129:129" x14ac:dyDescent="0.2">
      <c r="DY40017" s="185" t="s">
        <v>215</v>
      </c>
    </row>
    <row r="40018" spans="129:129" x14ac:dyDescent="0.2">
      <c r="DY40018" s="185" t="s">
        <v>215</v>
      </c>
    </row>
    <row r="40019" spans="129:129" x14ac:dyDescent="0.2">
      <c r="DY40019" s="185" t="s">
        <v>215</v>
      </c>
    </row>
    <row r="40020" spans="129:129" x14ac:dyDescent="0.2">
      <c r="DY40020" s="185" t="s">
        <v>215</v>
      </c>
    </row>
    <row r="40021" spans="129:129" x14ac:dyDescent="0.2">
      <c r="DY40021" s="185" t="s">
        <v>215</v>
      </c>
    </row>
    <row r="40022" spans="129:129" x14ac:dyDescent="0.2">
      <c r="DY40022" s="185" t="s">
        <v>215</v>
      </c>
    </row>
    <row r="40023" spans="129:129" x14ac:dyDescent="0.2">
      <c r="DY40023" s="185" t="s">
        <v>215</v>
      </c>
    </row>
    <row r="40024" spans="129:129" x14ac:dyDescent="0.2">
      <c r="DY40024" s="185" t="s">
        <v>215</v>
      </c>
    </row>
    <row r="40025" spans="129:129" x14ac:dyDescent="0.2">
      <c r="DY40025" s="185" t="s">
        <v>215</v>
      </c>
    </row>
    <row r="40026" spans="129:129" x14ac:dyDescent="0.2">
      <c r="DY40026" s="185" t="s">
        <v>215</v>
      </c>
    </row>
    <row r="40027" spans="129:129" x14ac:dyDescent="0.2">
      <c r="DY40027" s="185" t="s">
        <v>215</v>
      </c>
    </row>
    <row r="40028" spans="129:129" x14ac:dyDescent="0.2">
      <c r="DY40028" s="185" t="s">
        <v>215</v>
      </c>
    </row>
    <row r="40029" spans="129:129" x14ac:dyDescent="0.2">
      <c r="DY40029" s="185" t="s">
        <v>215</v>
      </c>
    </row>
    <row r="40030" spans="129:129" x14ac:dyDescent="0.2">
      <c r="DY40030" s="185" t="s">
        <v>215</v>
      </c>
    </row>
    <row r="40031" spans="129:129" x14ac:dyDescent="0.2">
      <c r="DY40031" s="185" t="s">
        <v>215</v>
      </c>
    </row>
    <row r="40032" spans="129:129" x14ac:dyDescent="0.2">
      <c r="DY40032" s="185" t="s">
        <v>215</v>
      </c>
    </row>
    <row r="40033" spans="129:129" x14ac:dyDescent="0.2">
      <c r="DY40033" s="185" t="s">
        <v>215</v>
      </c>
    </row>
    <row r="40034" spans="129:129" x14ac:dyDescent="0.2">
      <c r="DY40034" s="185" t="s">
        <v>215</v>
      </c>
    </row>
    <row r="40035" spans="129:129" x14ac:dyDescent="0.2">
      <c r="DY40035" s="185" t="s">
        <v>215</v>
      </c>
    </row>
    <row r="40036" spans="129:129" x14ac:dyDescent="0.2">
      <c r="DY40036" s="185" t="s">
        <v>215</v>
      </c>
    </row>
    <row r="40037" spans="129:129" x14ac:dyDescent="0.2">
      <c r="DY40037" s="185" t="s">
        <v>215</v>
      </c>
    </row>
    <row r="40038" spans="129:129" x14ac:dyDescent="0.2">
      <c r="DY40038" s="185" t="s">
        <v>215</v>
      </c>
    </row>
    <row r="40039" spans="129:129" x14ac:dyDescent="0.2">
      <c r="DY40039" s="185" t="s">
        <v>215</v>
      </c>
    </row>
    <row r="40040" spans="129:129" x14ac:dyDescent="0.2">
      <c r="DY40040" s="185" t="s">
        <v>215</v>
      </c>
    </row>
    <row r="40041" spans="129:129" x14ac:dyDescent="0.2">
      <c r="DY40041" s="185" t="s">
        <v>215</v>
      </c>
    </row>
    <row r="40042" spans="129:129" x14ac:dyDescent="0.2">
      <c r="DY40042" s="185" t="s">
        <v>215</v>
      </c>
    </row>
    <row r="40043" spans="129:129" x14ac:dyDescent="0.2">
      <c r="DY40043" s="185" t="s">
        <v>215</v>
      </c>
    </row>
    <row r="40044" spans="129:129" x14ac:dyDescent="0.2">
      <c r="DY40044" s="185" t="s">
        <v>215</v>
      </c>
    </row>
    <row r="40045" spans="129:129" x14ac:dyDescent="0.2">
      <c r="DY40045" s="185" t="s">
        <v>215</v>
      </c>
    </row>
    <row r="40046" spans="129:129" x14ac:dyDescent="0.2">
      <c r="DY40046" s="185" t="s">
        <v>215</v>
      </c>
    </row>
    <row r="40047" spans="129:129" x14ac:dyDescent="0.2">
      <c r="DY40047" s="185" t="s">
        <v>215</v>
      </c>
    </row>
    <row r="40048" spans="129:129" x14ac:dyDescent="0.2">
      <c r="DY40048" s="185" t="s">
        <v>215</v>
      </c>
    </row>
    <row r="40049" spans="129:129" x14ac:dyDescent="0.2">
      <c r="DY40049" s="185" t="s">
        <v>215</v>
      </c>
    </row>
    <row r="40050" spans="129:129" x14ac:dyDescent="0.2">
      <c r="DY40050" s="185" t="s">
        <v>215</v>
      </c>
    </row>
    <row r="40051" spans="129:129" x14ac:dyDescent="0.2">
      <c r="DY40051" s="185" t="s">
        <v>215</v>
      </c>
    </row>
    <row r="40052" spans="129:129" x14ac:dyDescent="0.2">
      <c r="DY40052" s="185" t="s">
        <v>215</v>
      </c>
    </row>
    <row r="40053" spans="129:129" x14ac:dyDescent="0.2">
      <c r="DY40053" s="185" t="s">
        <v>215</v>
      </c>
    </row>
    <row r="40054" spans="129:129" x14ac:dyDescent="0.2">
      <c r="DY40054" s="185" t="s">
        <v>215</v>
      </c>
    </row>
    <row r="40055" spans="129:129" x14ac:dyDescent="0.2">
      <c r="DY40055" s="185" t="s">
        <v>215</v>
      </c>
    </row>
    <row r="40056" spans="129:129" x14ac:dyDescent="0.2">
      <c r="DY40056" s="185" t="s">
        <v>215</v>
      </c>
    </row>
    <row r="40057" spans="129:129" x14ac:dyDescent="0.2">
      <c r="DY40057" s="185" t="s">
        <v>215</v>
      </c>
    </row>
    <row r="40058" spans="129:129" x14ac:dyDescent="0.2">
      <c r="DY40058" s="185" t="s">
        <v>215</v>
      </c>
    </row>
    <row r="40059" spans="129:129" x14ac:dyDescent="0.2">
      <c r="DY40059" s="185" t="s">
        <v>215</v>
      </c>
    </row>
    <row r="40060" spans="129:129" x14ac:dyDescent="0.2">
      <c r="DY40060" s="185" t="s">
        <v>215</v>
      </c>
    </row>
    <row r="40061" spans="129:129" x14ac:dyDescent="0.2">
      <c r="DY40061" s="185" t="s">
        <v>215</v>
      </c>
    </row>
    <row r="40062" spans="129:129" x14ac:dyDescent="0.2">
      <c r="DY40062" s="185" t="s">
        <v>215</v>
      </c>
    </row>
    <row r="40063" spans="129:129" x14ac:dyDescent="0.2">
      <c r="DY40063" s="185" t="s">
        <v>215</v>
      </c>
    </row>
    <row r="40064" spans="129:129" x14ac:dyDescent="0.2">
      <c r="DY40064" s="185" t="s">
        <v>215</v>
      </c>
    </row>
    <row r="40065" spans="129:129" x14ac:dyDescent="0.2">
      <c r="DY40065" s="185" t="s">
        <v>215</v>
      </c>
    </row>
    <row r="40066" spans="129:129" x14ac:dyDescent="0.2">
      <c r="DY40066" s="185" t="s">
        <v>215</v>
      </c>
    </row>
    <row r="40067" spans="129:129" x14ac:dyDescent="0.2">
      <c r="DY40067" s="185" t="s">
        <v>215</v>
      </c>
    </row>
    <row r="40068" spans="129:129" x14ac:dyDescent="0.2">
      <c r="DY40068" s="185" t="s">
        <v>215</v>
      </c>
    </row>
    <row r="40069" spans="129:129" x14ac:dyDescent="0.2">
      <c r="DY40069" s="185" t="s">
        <v>215</v>
      </c>
    </row>
    <row r="40070" spans="129:129" x14ac:dyDescent="0.2">
      <c r="DY40070" s="185" t="s">
        <v>215</v>
      </c>
    </row>
    <row r="40071" spans="129:129" x14ac:dyDescent="0.2">
      <c r="DY40071" s="185" t="s">
        <v>215</v>
      </c>
    </row>
    <row r="40072" spans="129:129" x14ac:dyDescent="0.2">
      <c r="DY40072" s="185" t="s">
        <v>215</v>
      </c>
    </row>
    <row r="40073" spans="129:129" x14ac:dyDescent="0.2">
      <c r="DY40073" s="185" t="s">
        <v>215</v>
      </c>
    </row>
    <row r="40074" spans="129:129" x14ac:dyDescent="0.2">
      <c r="DY40074" s="185" t="s">
        <v>215</v>
      </c>
    </row>
    <row r="40075" spans="129:129" x14ac:dyDescent="0.2">
      <c r="DY40075" s="185" t="s">
        <v>215</v>
      </c>
    </row>
    <row r="40076" spans="129:129" x14ac:dyDescent="0.2">
      <c r="DY40076" s="185" t="s">
        <v>215</v>
      </c>
    </row>
    <row r="40077" spans="129:129" x14ac:dyDescent="0.2">
      <c r="DY40077" s="185" t="s">
        <v>215</v>
      </c>
    </row>
    <row r="40078" spans="129:129" x14ac:dyDescent="0.2">
      <c r="DY40078" s="185" t="s">
        <v>215</v>
      </c>
    </row>
    <row r="40079" spans="129:129" x14ac:dyDescent="0.2">
      <c r="DY40079" s="185" t="s">
        <v>215</v>
      </c>
    </row>
    <row r="40080" spans="129:129" x14ac:dyDescent="0.2">
      <c r="DY40080" s="185" t="s">
        <v>215</v>
      </c>
    </row>
    <row r="40081" spans="129:129" x14ac:dyDescent="0.2">
      <c r="DY40081" s="185" t="s">
        <v>215</v>
      </c>
    </row>
    <row r="40082" spans="129:129" x14ac:dyDescent="0.2">
      <c r="DY40082" s="185" t="s">
        <v>215</v>
      </c>
    </row>
    <row r="40083" spans="129:129" x14ac:dyDescent="0.2">
      <c r="DY40083" s="185" t="s">
        <v>215</v>
      </c>
    </row>
    <row r="40084" spans="129:129" x14ac:dyDescent="0.2">
      <c r="DY40084" s="185" t="s">
        <v>215</v>
      </c>
    </row>
    <row r="40085" spans="129:129" x14ac:dyDescent="0.2">
      <c r="DY40085" s="185" t="s">
        <v>215</v>
      </c>
    </row>
    <row r="40086" spans="129:129" x14ac:dyDescent="0.2">
      <c r="DY40086" s="185" t="s">
        <v>215</v>
      </c>
    </row>
    <row r="40087" spans="129:129" x14ac:dyDescent="0.2">
      <c r="DY40087" s="185" t="s">
        <v>215</v>
      </c>
    </row>
    <row r="40088" spans="129:129" x14ac:dyDescent="0.2">
      <c r="DY40088" s="185" t="s">
        <v>215</v>
      </c>
    </row>
    <row r="40089" spans="129:129" x14ac:dyDescent="0.2">
      <c r="DY40089" s="185" t="s">
        <v>215</v>
      </c>
    </row>
    <row r="40090" spans="129:129" x14ac:dyDescent="0.2">
      <c r="DY40090" s="185" t="s">
        <v>215</v>
      </c>
    </row>
    <row r="40091" spans="129:129" x14ac:dyDescent="0.2">
      <c r="DY40091" s="185" t="s">
        <v>215</v>
      </c>
    </row>
    <row r="40092" spans="129:129" x14ac:dyDescent="0.2">
      <c r="DY40092" s="185" t="s">
        <v>215</v>
      </c>
    </row>
    <row r="40093" spans="129:129" x14ac:dyDescent="0.2">
      <c r="DY40093" s="185" t="s">
        <v>215</v>
      </c>
    </row>
    <row r="40094" spans="129:129" x14ac:dyDescent="0.2">
      <c r="DY40094" s="185" t="s">
        <v>215</v>
      </c>
    </row>
    <row r="40095" spans="129:129" x14ac:dyDescent="0.2">
      <c r="DY40095" s="185" t="s">
        <v>215</v>
      </c>
    </row>
    <row r="40096" spans="129:129" x14ac:dyDescent="0.2">
      <c r="DY40096" s="185" t="s">
        <v>215</v>
      </c>
    </row>
    <row r="40097" spans="129:129" x14ac:dyDescent="0.2">
      <c r="DY40097" s="185" t="s">
        <v>215</v>
      </c>
    </row>
    <row r="40098" spans="129:129" x14ac:dyDescent="0.2">
      <c r="DY40098" s="185" t="s">
        <v>215</v>
      </c>
    </row>
    <row r="40099" spans="129:129" x14ac:dyDescent="0.2">
      <c r="DY40099" s="185" t="s">
        <v>215</v>
      </c>
    </row>
    <row r="40100" spans="129:129" x14ac:dyDescent="0.2">
      <c r="DY40100" s="185" t="s">
        <v>215</v>
      </c>
    </row>
    <row r="40101" spans="129:129" x14ac:dyDescent="0.2">
      <c r="DY40101" s="185" t="s">
        <v>215</v>
      </c>
    </row>
    <row r="40102" spans="129:129" x14ac:dyDescent="0.2">
      <c r="DY40102" s="185" t="s">
        <v>215</v>
      </c>
    </row>
    <row r="40103" spans="129:129" x14ac:dyDescent="0.2">
      <c r="DY40103" s="185" t="s">
        <v>215</v>
      </c>
    </row>
    <row r="40104" spans="129:129" x14ac:dyDescent="0.2">
      <c r="DY40104" s="185" t="s">
        <v>215</v>
      </c>
    </row>
    <row r="40105" spans="129:129" x14ac:dyDescent="0.2">
      <c r="DY40105" s="185" t="s">
        <v>215</v>
      </c>
    </row>
    <row r="40106" spans="129:129" x14ac:dyDescent="0.2">
      <c r="DY40106" s="185" t="s">
        <v>215</v>
      </c>
    </row>
    <row r="40107" spans="129:129" x14ac:dyDescent="0.2">
      <c r="DY40107" s="185" t="s">
        <v>215</v>
      </c>
    </row>
    <row r="40108" spans="129:129" x14ac:dyDescent="0.2">
      <c r="DY40108" s="185" t="s">
        <v>215</v>
      </c>
    </row>
    <row r="40109" spans="129:129" x14ac:dyDescent="0.2">
      <c r="DY40109" s="185" t="s">
        <v>215</v>
      </c>
    </row>
    <row r="40110" spans="129:129" x14ac:dyDescent="0.2">
      <c r="DY40110" s="185" t="s">
        <v>215</v>
      </c>
    </row>
    <row r="40111" spans="129:129" x14ac:dyDescent="0.2">
      <c r="DY40111" s="185" t="s">
        <v>215</v>
      </c>
    </row>
    <row r="40112" spans="129:129" x14ac:dyDescent="0.2">
      <c r="DY40112" s="185" t="s">
        <v>215</v>
      </c>
    </row>
    <row r="40113" spans="129:129" x14ac:dyDescent="0.2">
      <c r="DY40113" s="185" t="s">
        <v>215</v>
      </c>
    </row>
    <row r="40114" spans="129:129" x14ac:dyDescent="0.2">
      <c r="DY40114" s="185" t="s">
        <v>215</v>
      </c>
    </row>
    <row r="40115" spans="129:129" x14ac:dyDescent="0.2">
      <c r="DY40115" s="185" t="s">
        <v>215</v>
      </c>
    </row>
    <row r="40116" spans="129:129" x14ac:dyDescent="0.2">
      <c r="DY40116" s="185" t="s">
        <v>215</v>
      </c>
    </row>
    <row r="40117" spans="129:129" x14ac:dyDescent="0.2">
      <c r="DY40117" s="185" t="s">
        <v>215</v>
      </c>
    </row>
    <row r="40118" spans="129:129" x14ac:dyDescent="0.2">
      <c r="DY40118" s="185" t="s">
        <v>215</v>
      </c>
    </row>
    <row r="40119" spans="129:129" x14ac:dyDescent="0.2">
      <c r="DY40119" s="185" t="s">
        <v>215</v>
      </c>
    </row>
    <row r="40120" spans="129:129" x14ac:dyDescent="0.2">
      <c r="DY40120" s="185" t="s">
        <v>215</v>
      </c>
    </row>
    <row r="40121" spans="129:129" x14ac:dyDescent="0.2">
      <c r="DY40121" s="185" t="s">
        <v>215</v>
      </c>
    </row>
    <row r="40122" spans="129:129" x14ac:dyDescent="0.2">
      <c r="DY40122" s="185" t="s">
        <v>215</v>
      </c>
    </row>
    <row r="40123" spans="129:129" x14ac:dyDescent="0.2">
      <c r="DY40123" s="185" t="s">
        <v>215</v>
      </c>
    </row>
    <row r="40124" spans="129:129" x14ac:dyDescent="0.2">
      <c r="DY40124" s="185" t="s">
        <v>215</v>
      </c>
    </row>
    <row r="40125" spans="129:129" x14ac:dyDescent="0.2">
      <c r="DY40125" s="185" t="s">
        <v>215</v>
      </c>
    </row>
    <row r="40126" spans="129:129" x14ac:dyDescent="0.2">
      <c r="DY40126" s="185" t="s">
        <v>215</v>
      </c>
    </row>
    <row r="40127" spans="129:129" x14ac:dyDescent="0.2">
      <c r="DY40127" s="185" t="s">
        <v>215</v>
      </c>
    </row>
    <row r="40128" spans="129:129" x14ac:dyDescent="0.2">
      <c r="DY40128" s="185" t="s">
        <v>215</v>
      </c>
    </row>
    <row r="40129" spans="129:129" x14ac:dyDescent="0.2">
      <c r="DY40129" s="185" t="s">
        <v>215</v>
      </c>
    </row>
    <row r="40130" spans="129:129" x14ac:dyDescent="0.2">
      <c r="DY40130" s="185" t="s">
        <v>215</v>
      </c>
    </row>
    <row r="40131" spans="129:129" x14ac:dyDescent="0.2">
      <c r="DY40131" s="185" t="s">
        <v>215</v>
      </c>
    </row>
    <row r="40132" spans="129:129" x14ac:dyDescent="0.2">
      <c r="DY40132" s="185" t="s">
        <v>215</v>
      </c>
    </row>
    <row r="40133" spans="129:129" x14ac:dyDescent="0.2">
      <c r="DY40133" s="185" t="s">
        <v>215</v>
      </c>
    </row>
    <row r="40134" spans="129:129" x14ac:dyDescent="0.2">
      <c r="DY40134" s="185" t="s">
        <v>215</v>
      </c>
    </row>
    <row r="40135" spans="129:129" x14ac:dyDescent="0.2">
      <c r="DY40135" s="185" t="s">
        <v>215</v>
      </c>
    </row>
    <row r="40136" spans="129:129" x14ac:dyDescent="0.2">
      <c r="DY40136" s="185" t="s">
        <v>215</v>
      </c>
    </row>
    <row r="40137" spans="129:129" x14ac:dyDescent="0.2">
      <c r="DY40137" s="185" t="s">
        <v>215</v>
      </c>
    </row>
    <row r="40138" spans="129:129" x14ac:dyDescent="0.2">
      <c r="DY40138" s="185" t="s">
        <v>215</v>
      </c>
    </row>
    <row r="40139" spans="129:129" x14ac:dyDescent="0.2">
      <c r="DY40139" s="185" t="s">
        <v>215</v>
      </c>
    </row>
    <row r="40140" spans="129:129" x14ac:dyDescent="0.2">
      <c r="DY40140" s="185" t="s">
        <v>215</v>
      </c>
    </row>
    <row r="40141" spans="129:129" x14ac:dyDescent="0.2">
      <c r="DY40141" s="185" t="s">
        <v>215</v>
      </c>
    </row>
    <row r="40142" spans="129:129" x14ac:dyDescent="0.2">
      <c r="DY40142" s="185" t="s">
        <v>215</v>
      </c>
    </row>
    <row r="40143" spans="129:129" x14ac:dyDescent="0.2">
      <c r="DY40143" s="185" t="s">
        <v>215</v>
      </c>
    </row>
    <row r="40144" spans="129:129" x14ac:dyDescent="0.2">
      <c r="DY40144" s="185" t="s">
        <v>215</v>
      </c>
    </row>
    <row r="40145" spans="129:129" x14ac:dyDescent="0.2">
      <c r="DY40145" s="185" t="s">
        <v>215</v>
      </c>
    </row>
    <row r="40146" spans="129:129" x14ac:dyDescent="0.2">
      <c r="DY40146" s="185" t="s">
        <v>215</v>
      </c>
    </row>
    <row r="40147" spans="129:129" x14ac:dyDescent="0.2">
      <c r="DY40147" s="185" t="s">
        <v>215</v>
      </c>
    </row>
    <row r="40148" spans="129:129" x14ac:dyDescent="0.2">
      <c r="DY40148" s="185" t="s">
        <v>215</v>
      </c>
    </row>
    <row r="40149" spans="129:129" x14ac:dyDescent="0.2">
      <c r="DY40149" s="185" t="s">
        <v>215</v>
      </c>
    </row>
    <row r="40150" spans="129:129" x14ac:dyDescent="0.2">
      <c r="DY40150" s="185" t="s">
        <v>215</v>
      </c>
    </row>
    <row r="40151" spans="129:129" x14ac:dyDescent="0.2">
      <c r="DY40151" s="185" t="s">
        <v>215</v>
      </c>
    </row>
    <row r="40152" spans="129:129" x14ac:dyDescent="0.2">
      <c r="DY40152" s="185" t="s">
        <v>215</v>
      </c>
    </row>
    <row r="40153" spans="129:129" x14ac:dyDescent="0.2">
      <c r="DY40153" s="185" t="s">
        <v>215</v>
      </c>
    </row>
    <row r="40154" spans="129:129" x14ac:dyDescent="0.2">
      <c r="DY40154" s="185" t="s">
        <v>215</v>
      </c>
    </row>
    <row r="40155" spans="129:129" x14ac:dyDescent="0.2">
      <c r="DY40155" s="185" t="s">
        <v>215</v>
      </c>
    </row>
    <row r="40156" spans="129:129" x14ac:dyDescent="0.2">
      <c r="DY40156" s="185" t="s">
        <v>215</v>
      </c>
    </row>
    <row r="40157" spans="129:129" x14ac:dyDescent="0.2">
      <c r="DY40157" s="185" t="s">
        <v>215</v>
      </c>
    </row>
    <row r="40158" spans="129:129" x14ac:dyDescent="0.2">
      <c r="DY40158" s="185" t="s">
        <v>215</v>
      </c>
    </row>
    <row r="40159" spans="129:129" x14ac:dyDescent="0.2">
      <c r="DY40159" s="185" t="s">
        <v>215</v>
      </c>
    </row>
    <row r="40160" spans="129:129" x14ac:dyDescent="0.2">
      <c r="DY40160" s="185" t="s">
        <v>215</v>
      </c>
    </row>
    <row r="40161" spans="129:129" x14ac:dyDescent="0.2">
      <c r="DY40161" s="185" t="s">
        <v>215</v>
      </c>
    </row>
    <row r="40162" spans="129:129" x14ac:dyDescent="0.2">
      <c r="DY40162" s="185" t="s">
        <v>215</v>
      </c>
    </row>
    <row r="40163" spans="129:129" x14ac:dyDescent="0.2">
      <c r="DY40163" s="185" t="s">
        <v>215</v>
      </c>
    </row>
    <row r="40164" spans="129:129" x14ac:dyDescent="0.2">
      <c r="DY40164" s="185" t="s">
        <v>215</v>
      </c>
    </row>
    <row r="40165" spans="129:129" x14ac:dyDescent="0.2">
      <c r="DY40165" s="185" t="s">
        <v>215</v>
      </c>
    </row>
    <row r="40166" spans="129:129" x14ac:dyDescent="0.2">
      <c r="DY40166" s="185" t="s">
        <v>215</v>
      </c>
    </row>
    <row r="40167" spans="129:129" x14ac:dyDescent="0.2">
      <c r="DY40167" s="185" t="s">
        <v>215</v>
      </c>
    </row>
    <row r="40168" spans="129:129" x14ac:dyDescent="0.2">
      <c r="DY40168" s="185" t="s">
        <v>215</v>
      </c>
    </row>
    <row r="40169" spans="129:129" x14ac:dyDescent="0.2">
      <c r="DY40169" s="185" t="s">
        <v>215</v>
      </c>
    </row>
    <row r="40170" spans="129:129" x14ac:dyDescent="0.2">
      <c r="DY40170" s="185" t="s">
        <v>215</v>
      </c>
    </row>
    <row r="40171" spans="129:129" x14ac:dyDescent="0.2">
      <c r="DY40171" s="185" t="s">
        <v>215</v>
      </c>
    </row>
    <row r="40172" spans="129:129" x14ac:dyDescent="0.2">
      <c r="DY40172" s="185" t="s">
        <v>215</v>
      </c>
    </row>
    <row r="40173" spans="129:129" x14ac:dyDescent="0.2">
      <c r="DY40173" s="185" t="s">
        <v>215</v>
      </c>
    </row>
    <row r="40174" spans="129:129" x14ac:dyDescent="0.2">
      <c r="DY40174" s="185" t="s">
        <v>215</v>
      </c>
    </row>
    <row r="40175" spans="129:129" x14ac:dyDescent="0.2">
      <c r="DY40175" s="185" t="s">
        <v>215</v>
      </c>
    </row>
    <row r="40176" spans="129:129" x14ac:dyDescent="0.2">
      <c r="DY40176" s="185" t="s">
        <v>215</v>
      </c>
    </row>
    <row r="40177" spans="129:129" x14ac:dyDescent="0.2">
      <c r="DY40177" s="185" t="s">
        <v>215</v>
      </c>
    </row>
    <row r="40178" spans="129:129" x14ac:dyDescent="0.2">
      <c r="DY40178" s="185" t="s">
        <v>215</v>
      </c>
    </row>
    <row r="40179" spans="129:129" x14ac:dyDescent="0.2">
      <c r="DY40179" s="185" t="s">
        <v>215</v>
      </c>
    </row>
    <row r="40180" spans="129:129" x14ac:dyDescent="0.2">
      <c r="DY40180" s="185" t="s">
        <v>215</v>
      </c>
    </row>
    <row r="40181" spans="129:129" x14ac:dyDescent="0.2">
      <c r="DY40181" s="185" t="s">
        <v>215</v>
      </c>
    </row>
    <row r="40182" spans="129:129" x14ac:dyDescent="0.2">
      <c r="DY40182" s="185" t="s">
        <v>215</v>
      </c>
    </row>
    <row r="40183" spans="129:129" x14ac:dyDescent="0.2">
      <c r="DY40183" s="185" t="s">
        <v>215</v>
      </c>
    </row>
    <row r="40184" spans="129:129" x14ac:dyDescent="0.2">
      <c r="DY40184" s="185" t="s">
        <v>215</v>
      </c>
    </row>
    <row r="40185" spans="129:129" x14ac:dyDescent="0.2">
      <c r="DY40185" s="185" t="s">
        <v>215</v>
      </c>
    </row>
    <row r="40186" spans="129:129" x14ac:dyDescent="0.2">
      <c r="DY40186" s="185" t="s">
        <v>215</v>
      </c>
    </row>
    <row r="40187" spans="129:129" x14ac:dyDescent="0.2">
      <c r="DY40187" s="185" t="s">
        <v>215</v>
      </c>
    </row>
    <row r="40188" spans="129:129" x14ac:dyDescent="0.2">
      <c r="DY40188" s="185" t="s">
        <v>215</v>
      </c>
    </row>
    <row r="40189" spans="129:129" x14ac:dyDescent="0.2">
      <c r="DY40189" s="185" t="s">
        <v>215</v>
      </c>
    </row>
    <row r="40190" spans="129:129" x14ac:dyDescent="0.2">
      <c r="DY40190" s="185" t="s">
        <v>215</v>
      </c>
    </row>
    <row r="40191" spans="129:129" x14ac:dyDescent="0.2">
      <c r="DY40191" s="185" t="s">
        <v>215</v>
      </c>
    </row>
    <row r="40192" spans="129:129" x14ac:dyDescent="0.2">
      <c r="DY40192" s="185" t="s">
        <v>215</v>
      </c>
    </row>
    <row r="40193" spans="129:129" x14ac:dyDescent="0.2">
      <c r="DY40193" s="185" t="s">
        <v>215</v>
      </c>
    </row>
    <row r="40194" spans="129:129" x14ac:dyDescent="0.2">
      <c r="DY40194" s="185" t="s">
        <v>215</v>
      </c>
    </row>
    <row r="40195" spans="129:129" x14ac:dyDescent="0.2">
      <c r="DY40195" s="185" t="s">
        <v>215</v>
      </c>
    </row>
    <row r="40196" spans="129:129" x14ac:dyDescent="0.2">
      <c r="DY40196" s="185" t="s">
        <v>215</v>
      </c>
    </row>
    <row r="40197" spans="129:129" x14ac:dyDescent="0.2">
      <c r="DY40197" s="185" t="s">
        <v>215</v>
      </c>
    </row>
    <row r="40198" spans="129:129" x14ac:dyDescent="0.2">
      <c r="DY40198" s="185" t="s">
        <v>215</v>
      </c>
    </row>
    <row r="40199" spans="129:129" x14ac:dyDescent="0.2">
      <c r="DY40199" s="185" t="s">
        <v>215</v>
      </c>
    </row>
    <row r="40200" spans="129:129" x14ac:dyDescent="0.2">
      <c r="DY40200" s="185" t="s">
        <v>215</v>
      </c>
    </row>
    <row r="40201" spans="129:129" x14ac:dyDescent="0.2">
      <c r="DY40201" s="185" t="s">
        <v>215</v>
      </c>
    </row>
    <row r="40202" spans="129:129" x14ac:dyDescent="0.2">
      <c r="DY40202" s="185" t="s">
        <v>215</v>
      </c>
    </row>
    <row r="40203" spans="129:129" x14ac:dyDescent="0.2">
      <c r="DY40203" s="185" t="s">
        <v>215</v>
      </c>
    </row>
    <row r="40204" spans="129:129" x14ac:dyDescent="0.2">
      <c r="DY40204" s="185" t="s">
        <v>215</v>
      </c>
    </row>
    <row r="40205" spans="129:129" x14ac:dyDescent="0.2">
      <c r="DY40205" s="185" t="s">
        <v>215</v>
      </c>
    </row>
    <row r="40206" spans="129:129" x14ac:dyDescent="0.2">
      <c r="DY40206" s="185" t="s">
        <v>215</v>
      </c>
    </row>
    <row r="40207" spans="129:129" x14ac:dyDescent="0.2">
      <c r="DY40207" s="185" t="s">
        <v>215</v>
      </c>
    </row>
    <row r="40208" spans="129:129" x14ac:dyDescent="0.2">
      <c r="DY40208" s="185" t="s">
        <v>215</v>
      </c>
    </row>
    <row r="40209" spans="129:129" x14ac:dyDescent="0.2">
      <c r="DY40209" s="185" t="s">
        <v>215</v>
      </c>
    </row>
    <row r="40210" spans="129:129" x14ac:dyDescent="0.2">
      <c r="DY40210" s="185" t="s">
        <v>215</v>
      </c>
    </row>
    <row r="40211" spans="129:129" x14ac:dyDescent="0.2">
      <c r="DY40211" s="185" t="s">
        <v>215</v>
      </c>
    </row>
    <row r="40212" spans="129:129" x14ac:dyDescent="0.2">
      <c r="DY40212" s="185" t="s">
        <v>215</v>
      </c>
    </row>
    <row r="40213" spans="129:129" x14ac:dyDescent="0.2">
      <c r="DY40213" s="185" t="s">
        <v>215</v>
      </c>
    </row>
    <row r="40214" spans="129:129" x14ac:dyDescent="0.2">
      <c r="DY40214" s="185" t="s">
        <v>215</v>
      </c>
    </row>
    <row r="40215" spans="129:129" x14ac:dyDescent="0.2">
      <c r="DY40215" s="185" t="s">
        <v>215</v>
      </c>
    </row>
    <row r="40216" spans="129:129" x14ac:dyDescent="0.2">
      <c r="DY40216" s="185" t="s">
        <v>215</v>
      </c>
    </row>
    <row r="40217" spans="129:129" x14ac:dyDescent="0.2">
      <c r="DY40217" s="185" t="s">
        <v>215</v>
      </c>
    </row>
    <row r="40218" spans="129:129" x14ac:dyDescent="0.2">
      <c r="DY40218" s="185" t="s">
        <v>215</v>
      </c>
    </row>
    <row r="40219" spans="129:129" x14ac:dyDescent="0.2">
      <c r="DY40219" s="185" t="s">
        <v>215</v>
      </c>
    </row>
    <row r="40220" spans="129:129" x14ac:dyDescent="0.2">
      <c r="DY40220" s="185" t="s">
        <v>215</v>
      </c>
    </row>
    <row r="40221" spans="129:129" x14ac:dyDescent="0.2">
      <c r="DY40221" s="185" t="s">
        <v>215</v>
      </c>
    </row>
    <row r="40222" spans="129:129" x14ac:dyDescent="0.2">
      <c r="DY40222" s="185" t="s">
        <v>215</v>
      </c>
    </row>
    <row r="40223" spans="129:129" x14ac:dyDescent="0.2">
      <c r="DY40223" s="185" t="s">
        <v>215</v>
      </c>
    </row>
    <row r="40224" spans="129:129" x14ac:dyDescent="0.2">
      <c r="DY40224" s="185" t="s">
        <v>215</v>
      </c>
    </row>
    <row r="40225" spans="129:129" x14ac:dyDescent="0.2">
      <c r="DY40225" s="185" t="s">
        <v>215</v>
      </c>
    </row>
    <row r="40226" spans="129:129" x14ac:dyDescent="0.2">
      <c r="DY40226" s="185" t="s">
        <v>215</v>
      </c>
    </row>
    <row r="40227" spans="129:129" x14ac:dyDescent="0.2">
      <c r="DY40227" s="185" t="s">
        <v>215</v>
      </c>
    </row>
    <row r="40228" spans="129:129" x14ac:dyDescent="0.2">
      <c r="DY40228" s="185" t="s">
        <v>215</v>
      </c>
    </row>
    <row r="40229" spans="129:129" x14ac:dyDescent="0.2">
      <c r="DY40229" s="185" t="s">
        <v>215</v>
      </c>
    </row>
    <row r="40230" spans="129:129" x14ac:dyDescent="0.2">
      <c r="DY40230" s="185" t="s">
        <v>215</v>
      </c>
    </row>
    <row r="40231" spans="129:129" x14ac:dyDescent="0.2">
      <c r="DY40231" s="185" t="s">
        <v>215</v>
      </c>
    </row>
    <row r="40232" spans="129:129" x14ac:dyDescent="0.2">
      <c r="DY40232" s="185" t="s">
        <v>215</v>
      </c>
    </row>
    <row r="40233" spans="129:129" x14ac:dyDescent="0.2">
      <c r="DY40233" s="185" t="s">
        <v>215</v>
      </c>
    </row>
    <row r="40234" spans="129:129" x14ac:dyDescent="0.2">
      <c r="DY40234" s="185" t="s">
        <v>215</v>
      </c>
    </row>
    <row r="40235" spans="129:129" x14ac:dyDescent="0.2">
      <c r="DY40235" s="185" t="s">
        <v>215</v>
      </c>
    </row>
    <row r="40236" spans="129:129" x14ac:dyDescent="0.2">
      <c r="DY40236" s="185" t="s">
        <v>215</v>
      </c>
    </row>
    <row r="40237" spans="129:129" x14ac:dyDescent="0.2">
      <c r="DY40237" s="185" t="s">
        <v>215</v>
      </c>
    </row>
    <row r="40238" spans="129:129" x14ac:dyDescent="0.2">
      <c r="DY40238" s="185" t="s">
        <v>215</v>
      </c>
    </row>
    <row r="40239" spans="129:129" x14ac:dyDescent="0.2">
      <c r="DY40239" s="185" t="s">
        <v>215</v>
      </c>
    </row>
    <row r="40240" spans="129:129" x14ac:dyDescent="0.2">
      <c r="DY40240" s="185" t="s">
        <v>215</v>
      </c>
    </row>
    <row r="40241" spans="129:129" x14ac:dyDescent="0.2">
      <c r="DY40241" s="185" t="s">
        <v>215</v>
      </c>
    </row>
    <row r="40242" spans="129:129" x14ac:dyDescent="0.2">
      <c r="DY40242" s="185" t="s">
        <v>215</v>
      </c>
    </row>
    <row r="40243" spans="129:129" x14ac:dyDescent="0.2">
      <c r="DY40243" s="185" t="s">
        <v>215</v>
      </c>
    </row>
    <row r="40244" spans="129:129" x14ac:dyDescent="0.2">
      <c r="DY40244" s="185" t="s">
        <v>215</v>
      </c>
    </row>
    <row r="40245" spans="129:129" x14ac:dyDescent="0.2">
      <c r="DY40245" s="185" t="s">
        <v>215</v>
      </c>
    </row>
    <row r="40246" spans="129:129" x14ac:dyDescent="0.2">
      <c r="DY40246" s="185" t="s">
        <v>215</v>
      </c>
    </row>
    <row r="40247" spans="129:129" x14ac:dyDescent="0.2">
      <c r="DY40247" s="185" t="s">
        <v>215</v>
      </c>
    </row>
    <row r="40248" spans="129:129" x14ac:dyDescent="0.2">
      <c r="DY40248" s="185" t="s">
        <v>215</v>
      </c>
    </row>
    <row r="40249" spans="129:129" x14ac:dyDescent="0.2">
      <c r="DY40249" s="185" t="s">
        <v>215</v>
      </c>
    </row>
    <row r="40250" spans="129:129" x14ac:dyDescent="0.2">
      <c r="DY40250" s="185" t="s">
        <v>215</v>
      </c>
    </row>
    <row r="40251" spans="129:129" x14ac:dyDescent="0.2">
      <c r="DY40251" s="185" t="s">
        <v>215</v>
      </c>
    </row>
    <row r="40252" spans="129:129" x14ac:dyDescent="0.2">
      <c r="DY40252" s="185" t="s">
        <v>215</v>
      </c>
    </row>
    <row r="40253" spans="129:129" x14ac:dyDescent="0.2">
      <c r="DY40253" s="185" t="s">
        <v>215</v>
      </c>
    </row>
    <row r="40254" spans="129:129" x14ac:dyDescent="0.2">
      <c r="DY40254" s="185" t="s">
        <v>215</v>
      </c>
    </row>
    <row r="40255" spans="129:129" x14ac:dyDescent="0.2">
      <c r="DY40255" s="185" t="s">
        <v>215</v>
      </c>
    </row>
    <row r="40256" spans="129:129" x14ac:dyDescent="0.2">
      <c r="DY40256" s="185" t="s">
        <v>215</v>
      </c>
    </row>
    <row r="40257" spans="129:129" x14ac:dyDescent="0.2">
      <c r="DY40257" s="185" t="s">
        <v>215</v>
      </c>
    </row>
    <row r="40258" spans="129:129" x14ac:dyDescent="0.2">
      <c r="DY40258" s="185" t="s">
        <v>215</v>
      </c>
    </row>
    <row r="40259" spans="129:129" x14ac:dyDescent="0.2">
      <c r="DY40259" s="185" t="s">
        <v>215</v>
      </c>
    </row>
    <row r="40260" spans="129:129" x14ac:dyDescent="0.2">
      <c r="DY40260" s="185" t="s">
        <v>215</v>
      </c>
    </row>
    <row r="40261" spans="129:129" x14ac:dyDescent="0.2">
      <c r="DY40261" s="185" t="s">
        <v>215</v>
      </c>
    </row>
    <row r="40262" spans="129:129" x14ac:dyDescent="0.2">
      <c r="DY40262" s="185" t="s">
        <v>215</v>
      </c>
    </row>
    <row r="40263" spans="129:129" x14ac:dyDescent="0.2">
      <c r="DY40263" s="185" t="s">
        <v>215</v>
      </c>
    </row>
    <row r="40264" spans="129:129" x14ac:dyDescent="0.2">
      <c r="DY40264" s="185" t="s">
        <v>215</v>
      </c>
    </row>
    <row r="40265" spans="129:129" x14ac:dyDescent="0.2">
      <c r="DY40265" s="185" t="s">
        <v>215</v>
      </c>
    </row>
    <row r="40266" spans="129:129" x14ac:dyDescent="0.2">
      <c r="DY40266" s="185" t="s">
        <v>215</v>
      </c>
    </row>
    <row r="40267" spans="129:129" x14ac:dyDescent="0.2">
      <c r="DY40267" s="185" t="s">
        <v>215</v>
      </c>
    </row>
    <row r="40268" spans="129:129" x14ac:dyDescent="0.2">
      <c r="DY40268" s="185" t="s">
        <v>215</v>
      </c>
    </row>
    <row r="40269" spans="129:129" x14ac:dyDescent="0.2">
      <c r="DY40269" s="185" t="s">
        <v>215</v>
      </c>
    </row>
    <row r="40270" spans="129:129" x14ac:dyDescent="0.2">
      <c r="DY40270" s="185" t="s">
        <v>215</v>
      </c>
    </row>
    <row r="40271" spans="129:129" x14ac:dyDescent="0.2">
      <c r="DY40271" s="185" t="s">
        <v>215</v>
      </c>
    </row>
    <row r="40272" spans="129:129" x14ac:dyDescent="0.2">
      <c r="DY40272" s="185" t="s">
        <v>215</v>
      </c>
    </row>
    <row r="40273" spans="129:129" x14ac:dyDescent="0.2">
      <c r="DY40273" s="185" t="s">
        <v>215</v>
      </c>
    </row>
    <row r="40274" spans="129:129" x14ac:dyDescent="0.2">
      <c r="DY40274" s="185" t="s">
        <v>215</v>
      </c>
    </row>
    <row r="40275" spans="129:129" x14ac:dyDescent="0.2">
      <c r="DY40275" s="185" t="s">
        <v>215</v>
      </c>
    </row>
    <row r="40276" spans="129:129" x14ac:dyDescent="0.2">
      <c r="DY40276" s="185" t="s">
        <v>215</v>
      </c>
    </row>
    <row r="40277" spans="129:129" x14ac:dyDescent="0.2">
      <c r="DY40277" s="185" t="s">
        <v>215</v>
      </c>
    </row>
    <row r="40278" spans="129:129" x14ac:dyDescent="0.2">
      <c r="DY40278" s="185" t="s">
        <v>215</v>
      </c>
    </row>
    <row r="40279" spans="129:129" x14ac:dyDescent="0.2">
      <c r="DY40279" s="185" t="s">
        <v>215</v>
      </c>
    </row>
    <row r="40280" spans="129:129" x14ac:dyDescent="0.2">
      <c r="DY40280" s="185" t="s">
        <v>215</v>
      </c>
    </row>
    <row r="40281" spans="129:129" x14ac:dyDescent="0.2">
      <c r="DY40281" s="185" t="s">
        <v>215</v>
      </c>
    </row>
    <row r="40282" spans="129:129" x14ac:dyDescent="0.2">
      <c r="DY40282" s="185" t="s">
        <v>215</v>
      </c>
    </row>
    <row r="40283" spans="129:129" x14ac:dyDescent="0.2">
      <c r="DY40283" s="185" t="s">
        <v>215</v>
      </c>
    </row>
    <row r="40284" spans="129:129" x14ac:dyDescent="0.2">
      <c r="DY40284" s="185" t="s">
        <v>215</v>
      </c>
    </row>
    <row r="40285" spans="129:129" x14ac:dyDescent="0.2">
      <c r="DY40285" s="185" t="s">
        <v>215</v>
      </c>
    </row>
    <row r="40286" spans="129:129" x14ac:dyDescent="0.2">
      <c r="DY40286" s="185" t="s">
        <v>215</v>
      </c>
    </row>
    <row r="40287" spans="129:129" x14ac:dyDescent="0.2">
      <c r="DY40287" s="185" t="s">
        <v>215</v>
      </c>
    </row>
    <row r="40288" spans="129:129" x14ac:dyDescent="0.2">
      <c r="DY40288" s="185" t="s">
        <v>215</v>
      </c>
    </row>
    <row r="40289" spans="129:129" x14ac:dyDescent="0.2">
      <c r="DY40289" s="185" t="s">
        <v>215</v>
      </c>
    </row>
    <row r="40290" spans="129:129" x14ac:dyDescent="0.2">
      <c r="DY40290" s="185" t="s">
        <v>215</v>
      </c>
    </row>
    <row r="40291" spans="129:129" x14ac:dyDescent="0.2">
      <c r="DY40291" s="185" t="s">
        <v>215</v>
      </c>
    </row>
    <row r="40292" spans="129:129" x14ac:dyDescent="0.2">
      <c r="DY40292" s="185" t="s">
        <v>215</v>
      </c>
    </row>
    <row r="40293" spans="129:129" x14ac:dyDescent="0.2">
      <c r="DY40293" s="185" t="s">
        <v>215</v>
      </c>
    </row>
    <row r="40294" spans="129:129" x14ac:dyDescent="0.2">
      <c r="DY40294" s="185" t="s">
        <v>215</v>
      </c>
    </row>
    <row r="40295" spans="129:129" x14ac:dyDescent="0.2">
      <c r="DY40295" s="185" t="s">
        <v>215</v>
      </c>
    </row>
    <row r="40296" spans="129:129" x14ac:dyDescent="0.2">
      <c r="DY40296" s="185" t="s">
        <v>215</v>
      </c>
    </row>
    <row r="40297" spans="129:129" x14ac:dyDescent="0.2">
      <c r="DY40297" s="185" t="s">
        <v>215</v>
      </c>
    </row>
    <row r="40298" spans="129:129" x14ac:dyDescent="0.2">
      <c r="DY40298" s="185" t="s">
        <v>215</v>
      </c>
    </row>
    <row r="40299" spans="129:129" x14ac:dyDescent="0.2">
      <c r="DY40299" s="185" t="s">
        <v>215</v>
      </c>
    </row>
    <row r="40300" spans="129:129" x14ac:dyDescent="0.2">
      <c r="DY40300" s="185" t="s">
        <v>215</v>
      </c>
    </row>
    <row r="40301" spans="129:129" x14ac:dyDescent="0.2">
      <c r="DY40301" s="185" t="s">
        <v>215</v>
      </c>
    </row>
    <row r="40302" spans="129:129" x14ac:dyDescent="0.2">
      <c r="DY40302" s="185" t="s">
        <v>215</v>
      </c>
    </row>
    <row r="40303" spans="129:129" x14ac:dyDescent="0.2">
      <c r="DY40303" s="185" t="s">
        <v>215</v>
      </c>
    </row>
    <row r="40304" spans="129:129" x14ac:dyDescent="0.2">
      <c r="DY40304" s="185" t="s">
        <v>215</v>
      </c>
    </row>
    <row r="40305" spans="129:129" x14ac:dyDescent="0.2">
      <c r="DY40305" s="185" t="s">
        <v>215</v>
      </c>
    </row>
    <row r="40306" spans="129:129" x14ac:dyDescent="0.2">
      <c r="DY40306" s="185" t="s">
        <v>215</v>
      </c>
    </row>
    <row r="40307" spans="129:129" x14ac:dyDescent="0.2">
      <c r="DY40307" s="185" t="s">
        <v>215</v>
      </c>
    </row>
    <row r="40308" spans="129:129" x14ac:dyDescent="0.2">
      <c r="DY40308" s="185" t="s">
        <v>215</v>
      </c>
    </row>
    <row r="40309" spans="129:129" x14ac:dyDescent="0.2">
      <c r="DY40309" s="185" t="s">
        <v>215</v>
      </c>
    </row>
    <row r="40310" spans="129:129" x14ac:dyDescent="0.2">
      <c r="DY40310" s="185" t="s">
        <v>215</v>
      </c>
    </row>
    <row r="40311" spans="129:129" x14ac:dyDescent="0.2">
      <c r="DY40311" s="185" t="s">
        <v>215</v>
      </c>
    </row>
    <row r="40312" spans="129:129" x14ac:dyDescent="0.2">
      <c r="DY40312" s="185" t="s">
        <v>215</v>
      </c>
    </row>
    <row r="40313" spans="129:129" x14ac:dyDescent="0.2">
      <c r="DY40313" s="185" t="s">
        <v>215</v>
      </c>
    </row>
    <row r="40314" spans="129:129" x14ac:dyDescent="0.2">
      <c r="DY40314" s="185" t="s">
        <v>215</v>
      </c>
    </row>
    <row r="40315" spans="129:129" x14ac:dyDescent="0.2">
      <c r="DY40315" s="185" t="s">
        <v>215</v>
      </c>
    </row>
    <row r="40316" spans="129:129" x14ac:dyDescent="0.2">
      <c r="DY40316" s="185" t="s">
        <v>215</v>
      </c>
    </row>
    <row r="40317" spans="129:129" x14ac:dyDescent="0.2">
      <c r="DY40317" s="185" t="s">
        <v>215</v>
      </c>
    </row>
    <row r="40318" spans="129:129" x14ac:dyDescent="0.2">
      <c r="DY40318" s="185" t="s">
        <v>215</v>
      </c>
    </row>
    <row r="40319" spans="129:129" x14ac:dyDescent="0.2">
      <c r="DY40319" s="185" t="s">
        <v>215</v>
      </c>
    </row>
    <row r="40320" spans="129:129" x14ac:dyDescent="0.2">
      <c r="DY40320" s="185" t="s">
        <v>215</v>
      </c>
    </row>
    <row r="40321" spans="129:129" x14ac:dyDescent="0.2">
      <c r="DY40321" s="185" t="s">
        <v>215</v>
      </c>
    </row>
    <row r="40322" spans="129:129" x14ac:dyDescent="0.2">
      <c r="DY40322" s="185" t="s">
        <v>215</v>
      </c>
    </row>
    <row r="40323" spans="129:129" x14ac:dyDescent="0.2">
      <c r="DY40323" s="185" t="s">
        <v>215</v>
      </c>
    </row>
    <row r="40324" spans="129:129" x14ac:dyDescent="0.2">
      <c r="DY40324" s="185" t="s">
        <v>215</v>
      </c>
    </row>
    <row r="40325" spans="129:129" x14ac:dyDescent="0.2">
      <c r="DY40325" s="185" t="s">
        <v>215</v>
      </c>
    </row>
    <row r="40326" spans="129:129" x14ac:dyDescent="0.2">
      <c r="DY40326" s="185" t="s">
        <v>215</v>
      </c>
    </row>
    <row r="40327" spans="129:129" x14ac:dyDescent="0.2">
      <c r="DY40327" s="185" t="s">
        <v>215</v>
      </c>
    </row>
    <row r="40328" spans="129:129" x14ac:dyDescent="0.2">
      <c r="DY40328" s="185" t="s">
        <v>215</v>
      </c>
    </row>
    <row r="40329" spans="129:129" x14ac:dyDescent="0.2">
      <c r="DY40329" s="185" t="s">
        <v>215</v>
      </c>
    </row>
    <row r="40330" spans="129:129" x14ac:dyDescent="0.2">
      <c r="DY40330" s="185" t="s">
        <v>215</v>
      </c>
    </row>
    <row r="40331" spans="129:129" x14ac:dyDescent="0.2">
      <c r="DY40331" s="185" t="s">
        <v>215</v>
      </c>
    </row>
    <row r="40332" spans="129:129" x14ac:dyDescent="0.2">
      <c r="DY40332" s="185" t="s">
        <v>215</v>
      </c>
    </row>
    <row r="40333" spans="129:129" x14ac:dyDescent="0.2">
      <c r="DY40333" s="185" t="s">
        <v>215</v>
      </c>
    </row>
    <row r="40334" spans="129:129" x14ac:dyDescent="0.2">
      <c r="DY40334" s="185" t="s">
        <v>215</v>
      </c>
    </row>
    <row r="40335" spans="129:129" x14ac:dyDescent="0.2">
      <c r="DY40335" s="185" t="s">
        <v>215</v>
      </c>
    </row>
    <row r="40336" spans="129:129" x14ac:dyDescent="0.2">
      <c r="DY40336" s="185" t="s">
        <v>215</v>
      </c>
    </row>
    <row r="40337" spans="129:129" x14ac:dyDescent="0.2">
      <c r="DY40337" s="185" t="s">
        <v>215</v>
      </c>
    </row>
    <row r="40338" spans="129:129" x14ac:dyDescent="0.2">
      <c r="DY40338" s="185" t="s">
        <v>215</v>
      </c>
    </row>
    <row r="40339" spans="129:129" x14ac:dyDescent="0.2">
      <c r="DY40339" s="185" t="s">
        <v>215</v>
      </c>
    </row>
    <row r="40340" spans="129:129" x14ac:dyDescent="0.2">
      <c r="DY40340" s="185" t="s">
        <v>215</v>
      </c>
    </row>
    <row r="40341" spans="129:129" x14ac:dyDescent="0.2">
      <c r="DY40341" s="185" t="s">
        <v>215</v>
      </c>
    </row>
    <row r="40342" spans="129:129" x14ac:dyDescent="0.2">
      <c r="DY40342" s="185" t="s">
        <v>215</v>
      </c>
    </row>
    <row r="40343" spans="129:129" x14ac:dyDescent="0.2">
      <c r="DY40343" s="185" t="s">
        <v>215</v>
      </c>
    </row>
    <row r="40344" spans="129:129" x14ac:dyDescent="0.2">
      <c r="DY40344" s="185" t="s">
        <v>215</v>
      </c>
    </row>
    <row r="40345" spans="129:129" x14ac:dyDescent="0.2">
      <c r="DY40345" s="185" t="s">
        <v>215</v>
      </c>
    </row>
    <row r="40346" spans="129:129" x14ac:dyDescent="0.2">
      <c r="DY40346" s="185" t="s">
        <v>215</v>
      </c>
    </row>
    <row r="40347" spans="129:129" x14ac:dyDescent="0.2">
      <c r="DY40347" s="185" t="s">
        <v>215</v>
      </c>
    </row>
    <row r="40348" spans="129:129" x14ac:dyDescent="0.2">
      <c r="DY40348" s="185" t="s">
        <v>215</v>
      </c>
    </row>
    <row r="40349" spans="129:129" x14ac:dyDescent="0.2">
      <c r="DY40349" s="185" t="s">
        <v>215</v>
      </c>
    </row>
    <row r="40350" spans="129:129" x14ac:dyDescent="0.2">
      <c r="DY40350" s="185" t="s">
        <v>215</v>
      </c>
    </row>
    <row r="40351" spans="129:129" x14ac:dyDescent="0.2">
      <c r="DY40351" s="185" t="s">
        <v>215</v>
      </c>
    </row>
    <row r="40352" spans="129:129" x14ac:dyDescent="0.2">
      <c r="DY40352" s="185" t="s">
        <v>215</v>
      </c>
    </row>
    <row r="40353" spans="129:129" x14ac:dyDescent="0.2">
      <c r="DY40353" s="185" t="s">
        <v>215</v>
      </c>
    </row>
    <row r="40354" spans="129:129" x14ac:dyDescent="0.2">
      <c r="DY40354" s="185" t="s">
        <v>215</v>
      </c>
    </row>
    <row r="40355" spans="129:129" x14ac:dyDescent="0.2">
      <c r="DY40355" s="185" t="s">
        <v>215</v>
      </c>
    </row>
    <row r="40356" spans="129:129" x14ac:dyDescent="0.2">
      <c r="DY40356" s="185" t="s">
        <v>215</v>
      </c>
    </row>
    <row r="40357" spans="129:129" x14ac:dyDescent="0.2">
      <c r="DY40357" s="185" t="s">
        <v>215</v>
      </c>
    </row>
    <row r="40358" spans="129:129" x14ac:dyDescent="0.2">
      <c r="DY40358" s="185" t="s">
        <v>215</v>
      </c>
    </row>
    <row r="40359" spans="129:129" x14ac:dyDescent="0.2">
      <c r="DY40359" s="185" t="s">
        <v>215</v>
      </c>
    </row>
    <row r="40360" spans="129:129" x14ac:dyDescent="0.2">
      <c r="DY40360" s="185" t="s">
        <v>215</v>
      </c>
    </row>
    <row r="40361" spans="129:129" x14ac:dyDescent="0.2">
      <c r="DY40361" s="185" t="s">
        <v>215</v>
      </c>
    </row>
    <row r="40362" spans="129:129" x14ac:dyDescent="0.2">
      <c r="DY40362" s="185" t="s">
        <v>215</v>
      </c>
    </row>
    <row r="40363" spans="129:129" x14ac:dyDescent="0.2">
      <c r="DY40363" s="185" t="s">
        <v>215</v>
      </c>
    </row>
    <row r="40364" spans="129:129" x14ac:dyDescent="0.2">
      <c r="DY40364" s="185" t="s">
        <v>215</v>
      </c>
    </row>
    <row r="40365" spans="129:129" x14ac:dyDescent="0.2">
      <c r="DY40365" s="185" t="s">
        <v>215</v>
      </c>
    </row>
    <row r="40366" spans="129:129" x14ac:dyDescent="0.2">
      <c r="DY40366" s="185" t="s">
        <v>215</v>
      </c>
    </row>
    <row r="40367" spans="129:129" x14ac:dyDescent="0.2">
      <c r="DY40367" s="185" t="s">
        <v>215</v>
      </c>
    </row>
    <row r="40368" spans="129:129" x14ac:dyDescent="0.2">
      <c r="DY40368" s="185" t="s">
        <v>215</v>
      </c>
    </row>
    <row r="40369" spans="129:129" x14ac:dyDescent="0.2">
      <c r="DY40369" s="185" t="s">
        <v>215</v>
      </c>
    </row>
    <row r="40370" spans="129:129" x14ac:dyDescent="0.2">
      <c r="DY40370" s="185" t="s">
        <v>215</v>
      </c>
    </row>
    <row r="40371" spans="129:129" x14ac:dyDescent="0.2">
      <c r="DY40371" s="185" t="s">
        <v>215</v>
      </c>
    </row>
    <row r="40372" spans="129:129" x14ac:dyDescent="0.2">
      <c r="DY40372" s="185" t="s">
        <v>215</v>
      </c>
    </row>
    <row r="40373" spans="129:129" x14ac:dyDescent="0.2">
      <c r="DY40373" s="185" t="s">
        <v>215</v>
      </c>
    </row>
    <row r="40374" spans="129:129" x14ac:dyDescent="0.2">
      <c r="DY40374" s="185" t="s">
        <v>215</v>
      </c>
    </row>
    <row r="40375" spans="129:129" x14ac:dyDescent="0.2">
      <c r="DY40375" s="185" t="s">
        <v>215</v>
      </c>
    </row>
    <row r="40376" spans="129:129" x14ac:dyDescent="0.2">
      <c r="DY40376" s="185" t="s">
        <v>215</v>
      </c>
    </row>
    <row r="40377" spans="129:129" x14ac:dyDescent="0.2">
      <c r="DY40377" s="185" t="s">
        <v>215</v>
      </c>
    </row>
    <row r="40378" spans="129:129" x14ac:dyDescent="0.2">
      <c r="DY40378" s="185" t="s">
        <v>215</v>
      </c>
    </row>
    <row r="40379" spans="129:129" x14ac:dyDescent="0.2">
      <c r="DY40379" s="185" t="s">
        <v>215</v>
      </c>
    </row>
    <row r="40380" spans="129:129" x14ac:dyDescent="0.2">
      <c r="DY40380" s="185" t="s">
        <v>215</v>
      </c>
    </row>
    <row r="40381" spans="129:129" x14ac:dyDescent="0.2">
      <c r="DY40381" s="185" t="s">
        <v>215</v>
      </c>
    </row>
    <row r="40382" spans="129:129" x14ac:dyDescent="0.2">
      <c r="DY40382" s="185" t="s">
        <v>215</v>
      </c>
    </row>
    <row r="40383" spans="129:129" x14ac:dyDescent="0.2">
      <c r="DY40383" s="185" t="s">
        <v>215</v>
      </c>
    </row>
    <row r="40384" spans="129:129" x14ac:dyDescent="0.2">
      <c r="DY40384" s="185" t="s">
        <v>215</v>
      </c>
    </row>
    <row r="40385" spans="129:129" x14ac:dyDescent="0.2">
      <c r="DY40385" s="185" t="s">
        <v>215</v>
      </c>
    </row>
    <row r="40386" spans="129:129" x14ac:dyDescent="0.2">
      <c r="DY40386" s="185" t="s">
        <v>215</v>
      </c>
    </row>
    <row r="40387" spans="129:129" x14ac:dyDescent="0.2">
      <c r="DY40387" s="185" t="s">
        <v>215</v>
      </c>
    </row>
    <row r="40388" spans="129:129" x14ac:dyDescent="0.2">
      <c r="DY40388" s="185" t="s">
        <v>215</v>
      </c>
    </row>
    <row r="40389" spans="129:129" x14ac:dyDescent="0.2">
      <c r="DY40389" s="185" t="s">
        <v>215</v>
      </c>
    </row>
    <row r="40390" spans="129:129" x14ac:dyDescent="0.2">
      <c r="DY40390" s="185" t="s">
        <v>215</v>
      </c>
    </row>
    <row r="40391" spans="129:129" x14ac:dyDescent="0.2">
      <c r="DY40391" s="185" t="s">
        <v>215</v>
      </c>
    </row>
    <row r="40392" spans="129:129" x14ac:dyDescent="0.2">
      <c r="DY40392" s="185" t="s">
        <v>215</v>
      </c>
    </row>
    <row r="40393" spans="129:129" x14ac:dyDescent="0.2">
      <c r="DY40393" s="185" t="s">
        <v>215</v>
      </c>
    </row>
    <row r="40394" spans="129:129" x14ac:dyDescent="0.2">
      <c r="DY40394" s="185" t="s">
        <v>215</v>
      </c>
    </row>
    <row r="40395" spans="129:129" x14ac:dyDescent="0.2">
      <c r="DY40395" s="185" t="s">
        <v>215</v>
      </c>
    </row>
    <row r="40396" spans="129:129" x14ac:dyDescent="0.2">
      <c r="DY40396" s="185" t="s">
        <v>215</v>
      </c>
    </row>
    <row r="40397" spans="129:129" x14ac:dyDescent="0.2">
      <c r="DY40397" s="185" t="s">
        <v>215</v>
      </c>
    </row>
    <row r="40398" spans="129:129" x14ac:dyDescent="0.2">
      <c r="DY40398" s="185" t="s">
        <v>215</v>
      </c>
    </row>
    <row r="40399" spans="129:129" x14ac:dyDescent="0.2">
      <c r="DY40399" s="185" t="s">
        <v>215</v>
      </c>
    </row>
    <row r="40400" spans="129:129" x14ac:dyDescent="0.2">
      <c r="DY40400" s="185" t="s">
        <v>215</v>
      </c>
    </row>
    <row r="40401" spans="129:129" x14ac:dyDescent="0.2">
      <c r="DY40401" s="185" t="s">
        <v>215</v>
      </c>
    </row>
    <row r="40402" spans="129:129" x14ac:dyDescent="0.2">
      <c r="DY40402" s="185" t="s">
        <v>215</v>
      </c>
    </row>
    <row r="40403" spans="129:129" x14ac:dyDescent="0.2">
      <c r="DY40403" s="185" t="s">
        <v>215</v>
      </c>
    </row>
    <row r="40404" spans="129:129" x14ac:dyDescent="0.2">
      <c r="DY40404" s="185" t="s">
        <v>215</v>
      </c>
    </row>
    <row r="40405" spans="129:129" x14ac:dyDescent="0.2">
      <c r="DY40405" s="185" t="s">
        <v>215</v>
      </c>
    </row>
    <row r="40406" spans="129:129" x14ac:dyDescent="0.2">
      <c r="DY40406" s="185" t="s">
        <v>215</v>
      </c>
    </row>
    <row r="40407" spans="129:129" x14ac:dyDescent="0.2">
      <c r="DY40407" s="185" t="s">
        <v>215</v>
      </c>
    </row>
    <row r="40408" spans="129:129" x14ac:dyDescent="0.2">
      <c r="DY40408" s="185" t="s">
        <v>215</v>
      </c>
    </row>
    <row r="40409" spans="129:129" x14ac:dyDescent="0.2">
      <c r="DY40409" s="185" t="s">
        <v>215</v>
      </c>
    </row>
    <row r="40410" spans="129:129" x14ac:dyDescent="0.2">
      <c r="DY40410" s="185" t="s">
        <v>215</v>
      </c>
    </row>
    <row r="40411" spans="129:129" x14ac:dyDescent="0.2">
      <c r="DY40411" s="185" t="s">
        <v>215</v>
      </c>
    </row>
    <row r="40412" spans="129:129" x14ac:dyDescent="0.2">
      <c r="DY40412" s="185" t="s">
        <v>215</v>
      </c>
    </row>
    <row r="40413" spans="129:129" x14ac:dyDescent="0.2">
      <c r="DY40413" s="185" t="s">
        <v>215</v>
      </c>
    </row>
    <row r="40414" spans="129:129" x14ac:dyDescent="0.2">
      <c r="DY40414" s="185" t="s">
        <v>215</v>
      </c>
    </row>
    <row r="40415" spans="129:129" x14ac:dyDescent="0.2">
      <c r="DY40415" s="185" t="s">
        <v>215</v>
      </c>
    </row>
    <row r="40416" spans="129:129" x14ac:dyDescent="0.2">
      <c r="DY40416" s="185" t="s">
        <v>215</v>
      </c>
    </row>
    <row r="40417" spans="129:129" x14ac:dyDescent="0.2">
      <c r="DY40417" s="185" t="s">
        <v>215</v>
      </c>
    </row>
    <row r="40418" spans="129:129" x14ac:dyDescent="0.2">
      <c r="DY40418" s="185" t="s">
        <v>215</v>
      </c>
    </row>
    <row r="40419" spans="129:129" x14ac:dyDescent="0.2">
      <c r="DY40419" s="185" t="s">
        <v>215</v>
      </c>
    </row>
    <row r="40420" spans="129:129" x14ac:dyDescent="0.2">
      <c r="DY40420" s="185" t="s">
        <v>215</v>
      </c>
    </row>
    <row r="40421" spans="129:129" x14ac:dyDescent="0.2">
      <c r="DY40421" s="185" t="s">
        <v>215</v>
      </c>
    </row>
    <row r="40422" spans="129:129" x14ac:dyDescent="0.2">
      <c r="DY40422" s="185" t="s">
        <v>215</v>
      </c>
    </row>
    <row r="40423" spans="129:129" x14ac:dyDescent="0.2">
      <c r="DY40423" s="185" t="s">
        <v>215</v>
      </c>
    </row>
    <row r="40424" spans="129:129" x14ac:dyDescent="0.2">
      <c r="DY40424" s="185" t="s">
        <v>215</v>
      </c>
    </row>
    <row r="40425" spans="129:129" x14ac:dyDescent="0.2">
      <c r="DY40425" s="185" t="s">
        <v>215</v>
      </c>
    </row>
    <row r="40426" spans="129:129" x14ac:dyDescent="0.2">
      <c r="DY40426" s="185" t="s">
        <v>215</v>
      </c>
    </row>
    <row r="40427" spans="129:129" x14ac:dyDescent="0.2">
      <c r="DY40427" s="185" t="s">
        <v>215</v>
      </c>
    </row>
    <row r="40428" spans="129:129" x14ac:dyDescent="0.2">
      <c r="DY40428" s="185" t="s">
        <v>215</v>
      </c>
    </row>
    <row r="40429" spans="129:129" x14ac:dyDescent="0.2">
      <c r="DY40429" s="185" t="s">
        <v>215</v>
      </c>
    </row>
    <row r="40430" spans="129:129" x14ac:dyDescent="0.2">
      <c r="DY40430" s="185" t="s">
        <v>215</v>
      </c>
    </row>
    <row r="40431" spans="129:129" x14ac:dyDescent="0.2">
      <c r="DY40431" s="185" t="s">
        <v>215</v>
      </c>
    </row>
    <row r="40432" spans="129:129" x14ac:dyDescent="0.2">
      <c r="DY40432" s="185" t="s">
        <v>215</v>
      </c>
    </row>
    <row r="40433" spans="129:129" x14ac:dyDescent="0.2">
      <c r="DY40433" s="185" t="s">
        <v>215</v>
      </c>
    </row>
    <row r="40434" spans="129:129" x14ac:dyDescent="0.2">
      <c r="DY40434" s="185" t="s">
        <v>215</v>
      </c>
    </row>
    <row r="40435" spans="129:129" x14ac:dyDescent="0.2">
      <c r="DY40435" s="185" t="s">
        <v>215</v>
      </c>
    </row>
    <row r="40436" spans="129:129" x14ac:dyDescent="0.2">
      <c r="DY40436" s="185" t="s">
        <v>215</v>
      </c>
    </row>
    <row r="40437" spans="129:129" x14ac:dyDescent="0.2">
      <c r="DY40437" s="185" t="s">
        <v>215</v>
      </c>
    </row>
    <row r="40438" spans="129:129" x14ac:dyDescent="0.2">
      <c r="DY40438" s="185" t="s">
        <v>215</v>
      </c>
    </row>
    <row r="40439" spans="129:129" x14ac:dyDescent="0.2">
      <c r="DY40439" s="185" t="s">
        <v>215</v>
      </c>
    </row>
    <row r="40440" spans="129:129" x14ac:dyDescent="0.2">
      <c r="DY40440" s="185" t="s">
        <v>215</v>
      </c>
    </row>
    <row r="40441" spans="129:129" x14ac:dyDescent="0.2">
      <c r="DY40441" s="185" t="s">
        <v>215</v>
      </c>
    </row>
    <row r="40442" spans="129:129" x14ac:dyDescent="0.2">
      <c r="DY40442" s="185" t="s">
        <v>215</v>
      </c>
    </row>
    <row r="40443" spans="129:129" x14ac:dyDescent="0.2">
      <c r="DY40443" s="185" t="s">
        <v>215</v>
      </c>
    </row>
    <row r="40444" spans="129:129" x14ac:dyDescent="0.2">
      <c r="DY40444" s="185" t="s">
        <v>215</v>
      </c>
    </row>
    <row r="40445" spans="129:129" x14ac:dyDescent="0.2">
      <c r="DY40445" s="185" t="s">
        <v>215</v>
      </c>
    </row>
    <row r="40446" spans="129:129" x14ac:dyDescent="0.2">
      <c r="DY40446" s="185" t="s">
        <v>215</v>
      </c>
    </row>
    <row r="40447" spans="129:129" x14ac:dyDescent="0.2">
      <c r="DY40447" s="185" t="s">
        <v>215</v>
      </c>
    </row>
    <row r="40448" spans="129:129" x14ac:dyDescent="0.2">
      <c r="DY40448" s="185" t="s">
        <v>215</v>
      </c>
    </row>
    <row r="40449" spans="129:129" x14ac:dyDescent="0.2">
      <c r="DY40449" s="185" t="s">
        <v>215</v>
      </c>
    </row>
    <row r="40450" spans="129:129" x14ac:dyDescent="0.2">
      <c r="DY40450" s="185" t="s">
        <v>215</v>
      </c>
    </row>
    <row r="40451" spans="129:129" x14ac:dyDescent="0.2">
      <c r="DY40451" s="185" t="s">
        <v>215</v>
      </c>
    </row>
    <row r="40452" spans="129:129" x14ac:dyDescent="0.2">
      <c r="DY40452" s="185" t="s">
        <v>215</v>
      </c>
    </row>
    <row r="40453" spans="129:129" x14ac:dyDescent="0.2">
      <c r="DY40453" s="185" t="s">
        <v>215</v>
      </c>
    </row>
    <row r="40454" spans="129:129" x14ac:dyDescent="0.2">
      <c r="DY40454" s="185" t="s">
        <v>215</v>
      </c>
    </row>
    <row r="40455" spans="129:129" x14ac:dyDescent="0.2">
      <c r="DY40455" s="185" t="s">
        <v>215</v>
      </c>
    </row>
    <row r="40456" spans="129:129" x14ac:dyDescent="0.2">
      <c r="DY40456" s="185" t="s">
        <v>215</v>
      </c>
    </row>
    <row r="40457" spans="129:129" x14ac:dyDescent="0.2">
      <c r="DY40457" s="185" t="s">
        <v>215</v>
      </c>
    </row>
    <row r="40458" spans="129:129" x14ac:dyDescent="0.2">
      <c r="DY40458" s="185" t="s">
        <v>215</v>
      </c>
    </row>
    <row r="40459" spans="129:129" x14ac:dyDescent="0.2">
      <c r="DY40459" s="185" t="s">
        <v>215</v>
      </c>
    </row>
    <row r="40460" spans="129:129" x14ac:dyDescent="0.2">
      <c r="DY40460" s="185" t="s">
        <v>215</v>
      </c>
    </row>
    <row r="40461" spans="129:129" x14ac:dyDescent="0.2">
      <c r="DY40461" s="185" t="s">
        <v>215</v>
      </c>
    </row>
    <row r="40462" spans="129:129" x14ac:dyDescent="0.2">
      <c r="DY40462" s="185" t="s">
        <v>215</v>
      </c>
    </row>
    <row r="40463" spans="129:129" x14ac:dyDescent="0.2">
      <c r="DY40463" s="185" t="s">
        <v>215</v>
      </c>
    </row>
    <row r="40464" spans="129:129" x14ac:dyDescent="0.2">
      <c r="DY40464" s="185" t="s">
        <v>215</v>
      </c>
    </row>
    <row r="40465" spans="129:129" x14ac:dyDescent="0.2">
      <c r="DY40465" s="185" t="s">
        <v>215</v>
      </c>
    </row>
    <row r="40466" spans="129:129" x14ac:dyDescent="0.2">
      <c r="DY40466" s="185" t="s">
        <v>215</v>
      </c>
    </row>
    <row r="40467" spans="129:129" x14ac:dyDescent="0.2">
      <c r="DY40467" s="185" t="s">
        <v>215</v>
      </c>
    </row>
    <row r="40468" spans="129:129" x14ac:dyDescent="0.2">
      <c r="DY40468" s="185" t="s">
        <v>215</v>
      </c>
    </row>
    <row r="40469" spans="129:129" x14ac:dyDescent="0.2">
      <c r="DY40469" s="185" t="s">
        <v>215</v>
      </c>
    </row>
    <row r="40470" spans="129:129" x14ac:dyDescent="0.2">
      <c r="DY40470" s="185" t="s">
        <v>215</v>
      </c>
    </row>
    <row r="40471" spans="129:129" x14ac:dyDescent="0.2">
      <c r="DY40471" s="185" t="s">
        <v>215</v>
      </c>
    </row>
    <row r="40472" spans="129:129" x14ac:dyDescent="0.2">
      <c r="DY40472" s="185" t="s">
        <v>215</v>
      </c>
    </row>
    <row r="40473" spans="129:129" x14ac:dyDescent="0.2">
      <c r="DY40473" s="185" t="s">
        <v>215</v>
      </c>
    </row>
    <row r="40474" spans="129:129" x14ac:dyDescent="0.2">
      <c r="DY40474" s="185" t="s">
        <v>215</v>
      </c>
    </row>
    <row r="40475" spans="129:129" x14ac:dyDescent="0.2">
      <c r="DY40475" s="185" t="s">
        <v>215</v>
      </c>
    </row>
    <row r="40476" spans="129:129" x14ac:dyDescent="0.2">
      <c r="DY40476" s="185" t="s">
        <v>215</v>
      </c>
    </row>
    <row r="40477" spans="129:129" x14ac:dyDescent="0.2">
      <c r="DY40477" s="185" t="s">
        <v>215</v>
      </c>
    </row>
    <row r="40478" spans="129:129" x14ac:dyDescent="0.2">
      <c r="DY40478" s="185" t="s">
        <v>215</v>
      </c>
    </row>
    <row r="40479" spans="129:129" x14ac:dyDescent="0.2">
      <c r="DY40479" s="185" t="s">
        <v>215</v>
      </c>
    </row>
    <row r="40480" spans="129:129" x14ac:dyDescent="0.2">
      <c r="DY40480" s="185" t="s">
        <v>215</v>
      </c>
    </row>
    <row r="40481" spans="129:129" x14ac:dyDescent="0.2">
      <c r="DY40481" s="185" t="s">
        <v>215</v>
      </c>
    </row>
    <row r="40482" spans="129:129" x14ac:dyDescent="0.2">
      <c r="DY40482" s="185" t="s">
        <v>215</v>
      </c>
    </row>
    <row r="40483" spans="129:129" x14ac:dyDescent="0.2">
      <c r="DY40483" s="185" t="s">
        <v>215</v>
      </c>
    </row>
    <row r="40484" spans="129:129" x14ac:dyDescent="0.2">
      <c r="DY40484" s="185" t="s">
        <v>215</v>
      </c>
    </row>
    <row r="40485" spans="129:129" x14ac:dyDescent="0.2">
      <c r="DY40485" s="185" t="s">
        <v>215</v>
      </c>
    </row>
    <row r="40486" spans="129:129" x14ac:dyDescent="0.2">
      <c r="DY40486" s="185" t="s">
        <v>215</v>
      </c>
    </row>
    <row r="40487" spans="129:129" x14ac:dyDescent="0.2">
      <c r="DY40487" s="185" t="s">
        <v>215</v>
      </c>
    </row>
    <row r="40488" spans="129:129" x14ac:dyDescent="0.2">
      <c r="DY40488" s="185" t="s">
        <v>215</v>
      </c>
    </row>
    <row r="40489" spans="129:129" x14ac:dyDescent="0.2">
      <c r="DY40489" s="185" t="s">
        <v>215</v>
      </c>
    </row>
    <row r="40490" spans="129:129" x14ac:dyDescent="0.2">
      <c r="DY40490" s="185" t="s">
        <v>215</v>
      </c>
    </row>
    <row r="40491" spans="129:129" x14ac:dyDescent="0.2">
      <c r="DY40491" s="185" t="s">
        <v>215</v>
      </c>
    </row>
    <row r="40492" spans="129:129" x14ac:dyDescent="0.2">
      <c r="DY40492" s="185" t="s">
        <v>215</v>
      </c>
    </row>
    <row r="40493" spans="129:129" x14ac:dyDescent="0.2">
      <c r="DY40493" s="185" t="s">
        <v>215</v>
      </c>
    </row>
    <row r="40494" spans="129:129" x14ac:dyDescent="0.2">
      <c r="DY40494" s="185" t="s">
        <v>215</v>
      </c>
    </row>
    <row r="40495" spans="129:129" x14ac:dyDescent="0.2">
      <c r="DY40495" s="185" t="s">
        <v>215</v>
      </c>
    </row>
    <row r="40496" spans="129:129" x14ac:dyDescent="0.2">
      <c r="DY40496" s="185" t="s">
        <v>215</v>
      </c>
    </row>
    <row r="40497" spans="129:129" x14ac:dyDescent="0.2">
      <c r="DY40497" s="185" t="s">
        <v>215</v>
      </c>
    </row>
    <row r="40498" spans="129:129" x14ac:dyDescent="0.2">
      <c r="DY40498" s="185" t="s">
        <v>215</v>
      </c>
    </row>
    <row r="40499" spans="129:129" x14ac:dyDescent="0.2">
      <c r="DY40499" s="185" t="s">
        <v>215</v>
      </c>
    </row>
    <row r="40500" spans="129:129" x14ac:dyDescent="0.2">
      <c r="DY40500" s="185" t="s">
        <v>215</v>
      </c>
    </row>
    <row r="40501" spans="129:129" x14ac:dyDescent="0.2">
      <c r="DY40501" s="185" t="s">
        <v>215</v>
      </c>
    </row>
    <row r="40502" spans="129:129" x14ac:dyDescent="0.2">
      <c r="DY40502" s="185" t="s">
        <v>215</v>
      </c>
    </row>
    <row r="40503" spans="129:129" x14ac:dyDescent="0.2">
      <c r="DY40503" s="185" t="s">
        <v>215</v>
      </c>
    </row>
    <row r="40504" spans="129:129" x14ac:dyDescent="0.2">
      <c r="DY40504" s="185" t="s">
        <v>215</v>
      </c>
    </row>
    <row r="40505" spans="129:129" x14ac:dyDescent="0.2">
      <c r="DY40505" s="185" t="s">
        <v>215</v>
      </c>
    </row>
    <row r="40506" spans="129:129" x14ac:dyDescent="0.2">
      <c r="DY40506" s="185" t="s">
        <v>215</v>
      </c>
    </row>
    <row r="40507" spans="129:129" x14ac:dyDescent="0.2">
      <c r="DY40507" s="185" t="s">
        <v>215</v>
      </c>
    </row>
    <row r="40508" spans="129:129" x14ac:dyDescent="0.2">
      <c r="DY40508" s="185" t="s">
        <v>215</v>
      </c>
    </row>
    <row r="40509" spans="129:129" x14ac:dyDescent="0.2">
      <c r="DY40509" s="185" t="s">
        <v>215</v>
      </c>
    </row>
    <row r="40510" spans="129:129" x14ac:dyDescent="0.2">
      <c r="DY40510" s="185" t="s">
        <v>215</v>
      </c>
    </row>
    <row r="40511" spans="129:129" x14ac:dyDescent="0.2">
      <c r="DY40511" s="185" t="s">
        <v>215</v>
      </c>
    </row>
    <row r="40512" spans="129:129" x14ac:dyDescent="0.2">
      <c r="DY40512" s="185" t="s">
        <v>215</v>
      </c>
    </row>
    <row r="40513" spans="129:129" x14ac:dyDescent="0.2">
      <c r="DY40513" s="185" t="s">
        <v>215</v>
      </c>
    </row>
    <row r="40514" spans="129:129" x14ac:dyDescent="0.2">
      <c r="DY40514" s="185" t="s">
        <v>215</v>
      </c>
    </row>
    <row r="40515" spans="129:129" x14ac:dyDescent="0.2">
      <c r="DY40515" s="185" t="s">
        <v>215</v>
      </c>
    </row>
    <row r="40516" spans="129:129" x14ac:dyDescent="0.2">
      <c r="DY40516" s="185" t="s">
        <v>215</v>
      </c>
    </row>
    <row r="40517" spans="129:129" x14ac:dyDescent="0.2">
      <c r="DY40517" s="185" t="s">
        <v>215</v>
      </c>
    </row>
    <row r="40518" spans="129:129" x14ac:dyDescent="0.2">
      <c r="DY40518" s="185" t="s">
        <v>215</v>
      </c>
    </row>
    <row r="40519" spans="129:129" x14ac:dyDescent="0.2">
      <c r="DY40519" s="185" t="s">
        <v>215</v>
      </c>
    </row>
    <row r="40520" spans="129:129" x14ac:dyDescent="0.2">
      <c r="DY40520" s="185" t="s">
        <v>215</v>
      </c>
    </row>
    <row r="40521" spans="129:129" x14ac:dyDescent="0.2">
      <c r="DY40521" s="185" t="s">
        <v>215</v>
      </c>
    </row>
    <row r="40522" spans="129:129" x14ac:dyDescent="0.2">
      <c r="DY40522" s="185" t="s">
        <v>215</v>
      </c>
    </row>
    <row r="40523" spans="129:129" x14ac:dyDescent="0.2">
      <c r="DY40523" s="185" t="s">
        <v>215</v>
      </c>
    </row>
    <row r="40524" spans="129:129" x14ac:dyDescent="0.2">
      <c r="DY40524" s="185" t="s">
        <v>215</v>
      </c>
    </row>
    <row r="40525" spans="129:129" x14ac:dyDescent="0.2">
      <c r="DY40525" s="185" t="s">
        <v>215</v>
      </c>
    </row>
    <row r="40526" spans="129:129" x14ac:dyDescent="0.2">
      <c r="DY40526" s="185" t="s">
        <v>215</v>
      </c>
    </row>
    <row r="40527" spans="129:129" x14ac:dyDescent="0.2">
      <c r="DY40527" s="185" t="s">
        <v>215</v>
      </c>
    </row>
    <row r="40528" spans="129:129" x14ac:dyDescent="0.2">
      <c r="DY40528" s="185" t="s">
        <v>215</v>
      </c>
    </row>
    <row r="40529" spans="129:129" x14ac:dyDescent="0.2">
      <c r="DY40529" s="185" t="s">
        <v>215</v>
      </c>
    </row>
    <row r="40530" spans="129:129" x14ac:dyDescent="0.2">
      <c r="DY40530" s="185" t="s">
        <v>215</v>
      </c>
    </row>
    <row r="40531" spans="129:129" x14ac:dyDescent="0.2">
      <c r="DY40531" s="185" t="s">
        <v>215</v>
      </c>
    </row>
    <row r="40532" spans="129:129" x14ac:dyDescent="0.2">
      <c r="DY40532" s="185" t="s">
        <v>215</v>
      </c>
    </row>
    <row r="40533" spans="129:129" x14ac:dyDescent="0.2">
      <c r="DY40533" s="185" t="s">
        <v>215</v>
      </c>
    </row>
    <row r="40534" spans="129:129" x14ac:dyDescent="0.2">
      <c r="DY40534" s="185" t="s">
        <v>215</v>
      </c>
    </row>
    <row r="40535" spans="129:129" x14ac:dyDescent="0.2">
      <c r="DY40535" s="185" t="s">
        <v>215</v>
      </c>
    </row>
    <row r="40536" spans="129:129" x14ac:dyDescent="0.2">
      <c r="DY40536" s="185" t="s">
        <v>215</v>
      </c>
    </row>
    <row r="40537" spans="129:129" x14ac:dyDescent="0.2">
      <c r="DY40537" s="185" t="s">
        <v>215</v>
      </c>
    </row>
    <row r="40538" spans="129:129" x14ac:dyDescent="0.2">
      <c r="DY40538" s="185" t="s">
        <v>215</v>
      </c>
    </row>
    <row r="40539" spans="129:129" x14ac:dyDescent="0.2">
      <c r="DY40539" s="185" t="s">
        <v>215</v>
      </c>
    </row>
    <row r="40540" spans="129:129" x14ac:dyDescent="0.2">
      <c r="DY40540" s="185" t="s">
        <v>215</v>
      </c>
    </row>
    <row r="40541" spans="129:129" x14ac:dyDescent="0.2">
      <c r="DY40541" s="185" t="s">
        <v>215</v>
      </c>
    </row>
    <row r="40542" spans="129:129" x14ac:dyDescent="0.2">
      <c r="DY40542" s="185" t="s">
        <v>215</v>
      </c>
    </row>
    <row r="40543" spans="129:129" x14ac:dyDescent="0.2">
      <c r="DY40543" s="185" t="s">
        <v>215</v>
      </c>
    </row>
    <row r="40544" spans="129:129" x14ac:dyDescent="0.2">
      <c r="DY40544" s="185" t="s">
        <v>215</v>
      </c>
    </row>
    <row r="40545" spans="129:129" x14ac:dyDescent="0.2">
      <c r="DY40545" s="185" t="s">
        <v>215</v>
      </c>
    </row>
    <row r="40546" spans="129:129" x14ac:dyDescent="0.2">
      <c r="DY40546" s="185" t="s">
        <v>215</v>
      </c>
    </row>
    <row r="40547" spans="129:129" x14ac:dyDescent="0.2">
      <c r="DY40547" s="185" t="s">
        <v>215</v>
      </c>
    </row>
    <row r="40548" spans="129:129" x14ac:dyDescent="0.2">
      <c r="DY40548" s="185" t="s">
        <v>215</v>
      </c>
    </row>
    <row r="40549" spans="129:129" x14ac:dyDescent="0.2">
      <c r="DY40549" s="185" t="s">
        <v>215</v>
      </c>
    </row>
    <row r="40550" spans="129:129" x14ac:dyDescent="0.2">
      <c r="DY40550" s="185" t="s">
        <v>215</v>
      </c>
    </row>
    <row r="40551" spans="129:129" x14ac:dyDescent="0.2">
      <c r="DY40551" s="185" t="s">
        <v>215</v>
      </c>
    </row>
    <row r="40552" spans="129:129" x14ac:dyDescent="0.2">
      <c r="DY40552" s="185" t="s">
        <v>215</v>
      </c>
    </row>
    <row r="40553" spans="129:129" x14ac:dyDescent="0.2">
      <c r="DY40553" s="185" t="s">
        <v>215</v>
      </c>
    </row>
    <row r="40554" spans="129:129" x14ac:dyDescent="0.2">
      <c r="DY40554" s="185" t="s">
        <v>215</v>
      </c>
    </row>
    <row r="40555" spans="129:129" x14ac:dyDescent="0.2">
      <c r="DY40555" s="185" t="s">
        <v>215</v>
      </c>
    </row>
    <row r="40556" spans="129:129" x14ac:dyDescent="0.2">
      <c r="DY40556" s="185" t="s">
        <v>215</v>
      </c>
    </row>
    <row r="40557" spans="129:129" x14ac:dyDescent="0.2">
      <c r="DY40557" s="185" t="s">
        <v>215</v>
      </c>
    </row>
    <row r="40558" spans="129:129" x14ac:dyDescent="0.2">
      <c r="DY40558" s="185" t="s">
        <v>215</v>
      </c>
    </row>
    <row r="40559" spans="129:129" x14ac:dyDescent="0.2">
      <c r="DY40559" s="185" t="s">
        <v>215</v>
      </c>
    </row>
    <row r="40560" spans="129:129" x14ac:dyDescent="0.2">
      <c r="DY40560" s="185" t="s">
        <v>215</v>
      </c>
    </row>
    <row r="40561" spans="129:129" x14ac:dyDescent="0.2">
      <c r="DY40561" s="185" t="s">
        <v>215</v>
      </c>
    </row>
    <row r="40562" spans="129:129" x14ac:dyDescent="0.2">
      <c r="DY40562" s="185" t="s">
        <v>215</v>
      </c>
    </row>
    <row r="40563" spans="129:129" x14ac:dyDescent="0.2">
      <c r="DY40563" s="185" t="s">
        <v>215</v>
      </c>
    </row>
    <row r="40564" spans="129:129" x14ac:dyDescent="0.2">
      <c r="DY40564" s="185" t="s">
        <v>215</v>
      </c>
    </row>
    <row r="40565" spans="129:129" x14ac:dyDescent="0.2">
      <c r="DY40565" s="185" t="s">
        <v>215</v>
      </c>
    </row>
    <row r="40566" spans="129:129" x14ac:dyDescent="0.2">
      <c r="DY40566" s="185" t="s">
        <v>215</v>
      </c>
    </row>
    <row r="40567" spans="129:129" x14ac:dyDescent="0.2">
      <c r="DY40567" s="185" t="s">
        <v>215</v>
      </c>
    </row>
    <row r="40568" spans="129:129" x14ac:dyDescent="0.2">
      <c r="DY40568" s="185" t="s">
        <v>215</v>
      </c>
    </row>
    <row r="40569" spans="129:129" x14ac:dyDescent="0.2">
      <c r="DY40569" s="185" t="s">
        <v>215</v>
      </c>
    </row>
    <row r="40570" spans="129:129" x14ac:dyDescent="0.2">
      <c r="DY40570" s="185" t="s">
        <v>215</v>
      </c>
    </row>
    <row r="40571" spans="129:129" x14ac:dyDescent="0.2">
      <c r="DY40571" s="185" t="s">
        <v>215</v>
      </c>
    </row>
    <row r="40572" spans="129:129" x14ac:dyDescent="0.2">
      <c r="DY40572" s="185" t="s">
        <v>215</v>
      </c>
    </row>
    <row r="40573" spans="129:129" x14ac:dyDescent="0.2">
      <c r="DY40573" s="185" t="s">
        <v>215</v>
      </c>
    </row>
    <row r="40574" spans="129:129" x14ac:dyDescent="0.2">
      <c r="DY40574" s="185" t="s">
        <v>215</v>
      </c>
    </row>
    <row r="40575" spans="129:129" x14ac:dyDescent="0.2">
      <c r="DY40575" s="185" t="s">
        <v>215</v>
      </c>
    </row>
    <row r="40576" spans="129:129" x14ac:dyDescent="0.2">
      <c r="DY40576" s="185" t="s">
        <v>215</v>
      </c>
    </row>
    <row r="40577" spans="129:129" x14ac:dyDescent="0.2">
      <c r="DY40577" s="185" t="s">
        <v>215</v>
      </c>
    </row>
    <row r="40578" spans="129:129" x14ac:dyDescent="0.2">
      <c r="DY40578" s="185" t="s">
        <v>215</v>
      </c>
    </row>
    <row r="40579" spans="129:129" x14ac:dyDescent="0.2">
      <c r="DY40579" s="185" t="s">
        <v>215</v>
      </c>
    </row>
    <row r="40580" spans="129:129" x14ac:dyDescent="0.2">
      <c r="DY40580" s="185" t="s">
        <v>215</v>
      </c>
    </row>
    <row r="40581" spans="129:129" x14ac:dyDescent="0.2">
      <c r="DY40581" s="185" t="s">
        <v>215</v>
      </c>
    </row>
    <row r="40582" spans="129:129" x14ac:dyDescent="0.2">
      <c r="DY40582" s="185" t="s">
        <v>215</v>
      </c>
    </row>
    <row r="40583" spans="129:129" x14ac:dyDescent="0.2">
      <c r="DY40583" s="185" t="s">
        <v>215</v>
      </c>
    </row>
    <row r="40584" spans="129:129" x14ac:dyDescent="0.2">
      <c r="DY40584" s="185" t="s">
        <v>215</v>
      </c>
    </row>
    <row r="40585" spans="129:129" x14ac:dyDescent="0.2">
      <c r="DY40585" s="185" t="s">
        <v>215</v>
      </c>
    </row>
    <row r="40586" spans="129:129" x14ac:dyDescent="0.2">
      <c r="DY40586" s="185" t="s">
        <v>215</v>
      </c>
    </row>
    <row r="40587" spans="129:129" x14ac:dyDescent="0.2">
      <c r="DY40587" s="185" t="s">
        <v>215</v>
      </c>
    </row>
    <row r="40588" spans="129:129" x14ac:dyDescent="0.2">
      <c r="DY40588" s="185" t="s">
        <v>215</v>
      </c>
    </row>
    <row r="40589" spans="129:129" x14ac:dyDescent="0.2">
      <c r="DY40589" s="185" t="s">
        <v>215</v>
      </c>
    </row>
    <row r="40590" spans="129:129" x14ac:dyDescent="0.2">
      <c r="DY40590" s="185" t="s">
        <v>215</v>
      </c>
    </row>
    <row r="40591" spans="129:129" x14ac:dyDescent="0.2">
      <c r="DY40591" s="185" t="s">
        <v>215</v>
      </c>
    </row>
    <row r="40592" spans="129:129" x14ac:dyDescent="0.2">
      <c r="DY40592" s="185" t="s">
        <v>215</v>
      </c>
    </row>
    <row r="40593" spans="129:129" x14ac:dyDescent="0.2">
      <c r="DY40593" s="185" t="s">
        <v>215</v>
      </c>
    </row>
    <row r="40594" spans="129:129" x14ac:dyDescent="0.2">
      <c r="DY40594" s="185" t="s">
        <v>215</v>
      </c>
    </row>
    <row r="40595" spans="129:129" x14ac:dyDescent="0.2">
      <c r="DY40595" s="185" t="s">
        <v>215</v>
      </c>
    </row>
    <row r="40596" spans="129:129" x14ac:dyDescent="0.2">
      <c r="DY40596" s="185" t="s">
        <v>215</v>
      </c>
    </row>
    <row r="40597" spans="129:129" x14ac:dyDescent="0.2">
      <c r="DY40597" s="185" t="s">
        <v>215</v>
      </c>
    </row>
    <row r="40598" spans="129:129" x14ac:dyDescent="0.2">
      <c r="DY40598" s="185" t="s">
        <v>215</v>
      </c>
    </row>
    <row r="40599" spans="129:129" x14ac:dyDescent="0.2">
      <c r="DY40599" s="185" t="s">
        <v>215</v>
      </c>
    </row>
    <row r="40600" spans="129:129" x14ac:dyDescent="0.2">
      <c r="DY40600" s="185" t="s">
        <v>215</v>
      </c>
    </row>
    <row r="40601" spans="129:129" x14ac:dyDescent="0.2">
      <c r="DY40601" s="185" t="s">
        <v>215</v>
      </c>
    </row>
    <row r="40602" spans="129:129" x14ac:dyDescent="0.2">
      <c r="DY40602" s="185" t="s">
        <v>215</v>
      </c>
    </row>
    <row r="40603" spans="129:129" x14ac:dyDescent="0.2">
      <c r="DY40603" s="185" t="s">
        <v>215</v>
      </c>
    </row>
    <row r="40604" spans="129:129" x14ac:dyDescent="0.2">
      <c r="DY40604" s="185" t="s">
        <v>215</v>
      </c>
    </row>
    <row r="40605" spans="129:129" x14ac:dyDescent="0.2">
      <c r="DY40605" s="185" t="s">
        <v>215</v>
      </c>
    </row>
    <row r="40606" spans="129:129" x14ac:dyDescent="0.2">
      <c r="DY40606" s="185" t="s">
        <v>215</v>
      </c>
    </row>
    <row r="40607" spans="129:129" x14ac:dyDescent="0.2">
      <c r="DY40607" s="185" t="s">
        <v>215</v>
      </c>
    </row>
    <row r="40608" spans="129:129" x14ac:dyDescent="0.2">
      <c r="DY40608" s="185" t="s">
        <v>215</v>
      </c>
    </row>
    <row r="40609" spans="129:129" x14ac:dyDescent="0.2">
      <c r="DY40609" s="185" t="s">
        <v>215</v>
      </c>
    </row>
    <row r="40610" spans="129:129" x14ac:dyDescent="0.2">
      <c r="DY40610" s="185" t="s">
        <v>215</v>
      </c>
    </row>
    <row r="40611" spans="129:129" x14ac:dyDescent="0.2">
      <c r="DY40611" s="185" t="s">
        <v>215</v>
      </c>
    </row>
    <row r="40612" spans="129:129" x14ac:dyDescent="0.2">
      <c r="DY40612" s="185" t="s">
        <v>215</v>
      </c>
    </row>
    <row r="40613" spans="129:129" x14ac:dyDescent="0.2">
      <c r="DY40613" s="185" t="s">
        <v>215</v>
      </c>
    </row>
    <row r="40614" spans="129:129" x14ac:dyDescent="0.2">
      <c r="DY40614" s="185" t="s">
        <v>215</v>
      </c>
    </row>
    <row r="40615" spans="129:129" x14ac:dyDescent="0.2">
      <c r="DY40615" s="185" t="s">
        <v>215</v>
      </c>
    </row>
    <row r="40616" spans="129:129" x14ac:dyDescent="0.2">
      <c r="DY40616" s="185" t="s">
        <v>215</v>
      </c>
    </row>
    <row r="40617" spans="129:129" x14ac:dyDescent="0.2">
      <c r="DY40617" s="185" t="s">
        <v>215</v>
      </c>
    </row>
    <row r="40618" spans="129:129" x14ac:dyDescent="0.2">
      <c r="DY40618" s="185" t="s">
        <v>215</v>
      </c>
    </row>
    <row r="40619" spans="129:129" x14ac:dyDescent="0.2">
      <c r="DY40619" s="185" t="s">
        <v>215</v>
      </c>
    </row>
    <row r="40620" spans="129:129" x14ac:dyDescent="0.2">
      <c r="DY40620" s="185" t="s">
        <v>215</v>
      </c>
    </row>
    <row r="40621" spans="129:129" x14ac:dyDescent="0.2">
      <c r="DY40621" s="185" t="s">
        <v>215</v>
      </c>
    </row>
    <row r="40622" spans="129:129" x14ac:dyDescent="0.2">
      <c r="DY40622" s="185" t="s">
        <v>215</v>
      </c>
    </row>
    <row r="40623" spans="129:129" x14ac:dyDescent="0.2">
      <c r="DY40623" s="185" t="s">
        <v>215</v>
      </c>
    </row>
    <row r="40624" spans="129:129" x14ac:dyDescent="0.2">
      <c r="DY40624" s="185" t="s">
        <v>215</v>
      </c>
    </row>
    <row r="40625" spans="129:129" x14ac:dyDescent="0.2">
      <c r="DY40625" s="185" t="s">
        <v>215</v>
      </c>
    </row>
    <row r="40626" spans="129:129" x14ac:dyDescent="0.2">
      <c r="DY40626" s="185" t="s">
        <v>215</v>
      </c>
    </row>
    <row r="40627" spans="129:129" x14ac:dyDescent="0.2">
      <c r="DY40627" s="185" t="s">
        <v>215</v>
      </c>
    </row>
    <row r="40628" spans="129:129" x14ac:dyDescent="0.2">
      <c r="DY40628" s="185" t="s">
        <v>215</v>
      </c>
    </row>
    <row r="40629" spans="129:129" x14ac:dyDescent="0.2">
      <c r="DY40629" s="185" t="s">
        <v>215</v>
      </c>
    </row>
    <row r="40630" spans="129:129" x14ac:dyDescent="0.2">
      <c r="DY40630" s="185" t="s">
        <v>215</v>
      </c>
    </row>
    <row r="40631" spans="129:129" x14ac:dyDescent="0.2">
      <c r="DY40631" s="185" t="s">
        <v>215</v>
      </c>
    </row>
    <row r="40632" spans="129:129" x14ac:dyDescent="0.2">
      <c r="DY40632" s="185" t="s">
        <v>215</v>
      </c>
    </row>
    <row r="40633" spans="129:129" x14ac:dyDescent="0.2">
      <c r="DY40633" s="185" t="s">
        <v>215</v>
      </c>
    </row>
    <row r="40634" spans="129:129" x14ac:dyDescent="0.2">
      <c r="DY40634" s="185" t="s">
        <v>215</v>
      </c>
    </row>
    <row r="40635" spans="129:129" x14ac:dyDescent="0.2">
      <c r="DY40635" s="185" t="s">
        <v>215</v>
      </c>
    </row>
    <row r="40636" spans="129:129" x14ac:dyDescent="0.2">
      <c r="DY40636" s="185" t="s">
        <v>215</v>
      </c>
    </row>
    <row r="40637" spans="129:129" x14ac:dyDescent="0.2">
      <c r="DY40637" s="185" t="s">
        <v>215</v>
      </c>
    </row>
    <row r="40638" spans="129:129" x14ac:dyDescent="0.2">
      <c r="DY40638" s="185" t="s">
        <v>215</v>
      </c>
    </row>
    <row r="40639" spans="129:129" x14ac:dyDescent="0.2">
      <c r="DY40639" s="185" t="s">
        <v>215</v>
      </c>
    </row>
    <row r="40640" spans="129:129" x14ac:dyDescent="0.2">
      <c r="DY40640" s="185" t="s">
        <v>215</v>
      </c>
    </row>
    <row r="40641" spans="129:129" x14ac:dyDescent="0.2">
      <c r="DY40641" s="185" t="s">
        <v>215</v>
      </c>
    </row>
    <row r="40642" spans="129:129" x14ac:dyDescent="0.2">
      <c r="DY40642" s="185" t="s">
        <v>215</v>
      </c>
    </row>
    <row r="40643" spans="129:129" x14ac:dyDescent="0.2">
      <c r="DY40643" s="185" t="s">
        <v>215</v>
      </c>
    </row>
    <row r="40644" spans="129:129" x14ac:dyDescent="0.2">
      <c r="DY40644" s="185" t="s">
        <v>215</v>
      </c>
    </row>
    <row r="40645" spans="129:129" x14ac:dyDescent="0.2">
      <c r="DY40645" s="185" t="s">
        <v>215</v>
      </c>
    </row>
    <row r="40646" spans="129:129" x14ac:dyDescent="0.2">
      <c r="DY40646" s="185" t="s">
        <v>215</v>
      </c>
    </row>
    <row r="40647" spans="129:129" x14ac:dyDescent="0.2">
      <c r="DY40647" s="185" t="s">
        <v>215</v>
      </c>
    </row>
    <row r="40648" spans="129:129" x14ac:dyDescent="0.2">
      <c r="DY40648" s="185" t="s">
        <v>215</v>
      </c>
    </row>
    <row r="40649" spans="129:129" x14ac:dyDescent="0.2">
      <c r="DY40649" s="185" t="s">
        <v>215</v>
      </c>
    </row>
    <row r="40650" spans="129:129" x14ac:dyDescent="0.2">
      <c r="DY40650" s="185" t="s">
        <v>215</v>
      </c>
    </row>
    <row r="40651" spans="129:129" x14ac:dyDescent="0.2">
      <c r="DY40651" s="185" t="s">
        <v>215</v>
      </c>
    </row>
    <row r="40652" spans="129:129" x14ac:dyDescent="0.2">
      <c r="DY40652" s="185" t="s">
        <v>215</v>
      </c>
    </row>
    <row r="40653" spans="129:129" x14ac:dyDescent="0.2">
      <c r="DY40653" s="185" t="s">
        <v>215</v>
      </c>
    </row>
    <row r="40654" spans="129:129" x14ac:dyDescent="0.2">
      <c r="DY40654" s="185" t="s">
        <v>215</v>
      </c>
    </row>
    <row r="40655" spans="129:129" x14ac:dyDescent="0.2">
      <c r="DY40655" s="185" t="s">
        <v>215</v>
      </c>
    </row>
    <row r="40656" spans="129:129" x14ac:dyDescent="0.2">
      <c r="DY40656" s="185" t="s">
        <v>215</v>
      </c>
    </row>
    <row r="40657" spans="129:129" x14ac:dyDescent="0.2">
      <c r="DY40657" s="185" t="s">
        <v>215</v>
      </c>
    </row>
    <row r="40658" spans="129:129" x14ac:dyDescent="0.2">
      <c r="DY40658" s="185" t="s">
        <v>215</v>
      </c>
    </row>
    <row r="40659" spans="129:129" x14ac:dyDescent="0.2">
      <c r="DY40659" s="185" t="s">
        <v>215</v>
      </c>
    </row>
    <row r="40660" spans="129:129" x14ac:dyDescent="0.2">
      <c r="DY40660" s="185" t="s">
        <v>215</v>
      </c>
    </row>
    <row r="40661" spans="129:129" x14ac:dyDescent="0.2">
      <c r="DY40661" s="185" t="s">
        <v>215</v>
      </c>
    </row>
    <row r="40662" spans="129:129" x14ac:dyDescent="0.2">
      <c r="DY40662" s="185" t="s">
        <v>215</v>
      </c>
    </row>
    <row r="40663" spans="129:129" x14ac:dyDescent="0.2">
      <c r="DY40663" s="185" t="s">
        <v>215</v>
      </c>
    </row>
    <row r="40664" spans="129:129" x14ac:dyDescent="0.2">
      <c r="DY40664" s="185" t="s">
        <v>215</v>
      </c>
    </row>
    <row r="40665" spans="129:129" x14ac:dyDescent="0.2">
      <c r="DY40665" s="185" t="s">
        <v>215</v>
      </c>
    </row>
    <row r="40666" spans="129:129" x14ac:dyDescent="0.2">
      <c r="DY40666" s="185" t="s">
        <v>215</v>
      </c>
    </row>
    <row r="40667" spans="129:129" x14ac:dyDescent="0.2">
      <c r="DY40667" s="185" t="s">
        <v>215</v>
      </c>
    </row>
    <row r="40668" spans="129:129" x14ac:dyDescent="0.2">
      <c r="DY40668" s="185" t="s">
        <v>215</v>
      </c>
    </row>
    <row r="40669" spans="129:129" x14ac:dyDescent="0.2">
      <c r="DY40669" s="185" t="s">
        <v>215</v>
      </c>
    </row>
    <row r="40670" spans="129:129" x14ac:dyDescent="0.2">
      <c r="DY40670" s="185" t="s">
        <v>215</v>
      </c>
    </row>
    <row r="40671" spans="129:129" x14ac:dyDescent="0.2">
      <c r="DY40671" s="185" t="s">
        <v>215</v>
      </c>
    </row>
    <row r="40672" spans="129:129" x14ac:dyDescent="0.2">
      <c r="DY40672" s="185" t="s">
        <v>215</v>
      </c>
    </row>
    <row r="40673" spans="129:129" x14ac:dyDescent="0.2">
      <c r="DY40673" s="185" t="s">
        <v>215</v>
      </c>
    </row>
    <row r="40674" spans="129:129" x14ac:dyDescent="0.2">
      <c r="DY40674" s="185" t="s">
        <v>215</v>
      </c>
    </row>
    <row r="40675" spans="129:129" x14ac:dyDescent="0.2">
      <c r="DY40675" s="185" t="s">
        <v>215</v>
      </c>
    </row>
    <row r="40676" spans="129:129" x14ac:dyDescent="0.2">
      <c r="DY40676" s="185" t="s">
        <v>215</v>
      </c>
    </row>
    <row r="40677" spans="129:129" x14ac:dyDescent="0.2">
      <c r="DY40677" s="185" t="s">
        <v>215</v>
      </c>
    </row>
    <row r="40678" spans="129:129" x14ac:dyDescent="0.2">
      <c r="DY40678" s="185" t="s">
        <v>215</v>
      </c>
    </row>
    <row r="40679" spans="129:129" x14ac:dyDescent="0.2">
      <c r="DY40679" s="185" t="s">
        <v>215</v>
      </c>
    </row>
    <row r="40680" spans="129:129" x14ac:dyDescent="0.2">
      <c r="DY40680" s="185" t="s">
        <v>215</v>
      </c>
    </row>
    <row r="40681" spans="129:129" x14ac:dyDescent="0.2">
      <c r="DY40681" s="185" t="s">
        <v>215</v>
      </c>
    </row>
    <row r="40682" spans="129:129" x14ac:dyDescent="0.2">
      <c r="DY40682" s="185" t="s">
        <v>215</v>
      </c>
    </row>
    <row r="40683" spans="129:129" x14ac:dyDescent="0.2">
      <c r="DY40683" s="185" t="s">
        <v>215</v>
      </c>
    </row>
    <row r="40684" spans="129:129" x14ac:dyDescent="0.2">
      <c r="DY40684" s="185" t="s">
        <v>215</v>
      </c>
    </row>
    <row r="40685" spans="129:129" x14ac:dyDescent="0.2">
      <c r="DY40685" s="185" t="s">
        <v>215</v>
      </c>
    </row>
    <row r="40686" spans="129:129" x14ac:dyDescent="0.2">
      <c r="DY40686" s="185" t="s">
        <v>215</v>
      </c>
    </row>
    <row r="40687" spans="129:129" x14ac:dyDescent="0.2">
      <c r="DY40687" s="185" t="s">
        <v>215</v>
      </c>
    </row>
    <row r="40688" spans="129:129" x14ac:dyDescent="0.2">
      <c r="DY40688" s="185" t="s">
        <v>215</v>
      </c>
    </row>
    <row r="40689" spans="129:129" x14ac:dyDescent="0.2">
      <c r="DY40689" s="185" t="s">
        <v>215</v>
      </c>
    </row>
    <row r="40690" spans="129:129" x14ac:dyDescent="0.2">
      <c r="DY40690" s="185" t="s">
        <v>215</v>
      </c>
    </row>
    <row r="40691" spans="129:129" x14ac:dyDescent="0.2">
      <c r="DY40691" s="185" t="s">
        <v>215</v>
      </c>
    </row>
    <row r="40692" spans="129:129" x14ac:dyDescent="0.2">
      <c r="DY40692" s="185" t="s">
        <v>215</v>
      </c>
    </row>
    <row r="40693" spans="129:129" x14ac:dyDescent="0.2">
      <c r="DY40693" s="185" t="s">
        <v>215</v>
      </c>
    </row>
    <row r="40694" spans="129:129" x14ac:dyDescent="0.2">
      <c r="DY40694" s="185" t="s">
        <v>215</v>
      </c>
    </row>
    <row r="40695" spans="129:129" x14ac:dyDescent="0.2">
      <c r="DY40695" s="185" t="s">
        <v>215</v>
      </c>
    </row>
    <row r="40696" spans="129:129" x14ac:dyDescent="0.2">
      <c r="DY40696" s="185" t="s">
        <v>215</v>
      </c>
    </row>
    <row r="40697" spans="129:129" x14ac:dyDescent="0.2">
      <c r="DY40697" s="185" t="s">
        <v>215</v>
      </c>
    </row>
    <row r="40698" spans="129:129" x14ac:dyDescent="0.2">
      <c r="DY40698" s="185" t="s">
        <v>215</v>
      </c>
    </row>
    <row r="40699" spans="129:129" x14ac:dyDescent="0.2">
      <c r="DY40699" s="185" t="s">
        <v>215</v>
      </c>
    </row>
    <row r="40700" spans="129:129" x14ac:dyDescent="0.2">
      <c r="DY40700" s="185" t="s">
        <v>215</v>
      </c>
    </row>
    <row r="40701" spans="129:129" x14ac:dyDescent="0.2">
      <c r="DY40701" s="185" t="s">
        <v>215</v>
      </c>
    </row>
    <row r="40702" spans="129:129" x14ac:dyDescent="0.2">
      <c r="DY40702" s="185" t="s">
        <v>215</v>
      </c>
    </row>
    <row r="40703" spans="129:129" x14ac:dyDescent="0.2">
      <c r="DY40703" s="185" t="s">
        <v>215</v>
      </c>
    </row>
    <row r="40704" spans="129:129" x14ac:dyDescent="0.2">
      <c r="DY40704" s="185" t="s">
        <v>215</v>
      </c>
    </row>
    <row r="40705" spans="129:129" x14ac:dyDescent="0.2">
      <c r="DY40705" s="185" t="s">
        <v>215</v>
      </c>
    </row>
    <row r="40706" spans="129:129" x14ac:dyDescent="0.2">
      <c r="DY40706" s="185" t="s">
        <v>215</v>
      </c>
    </row>
    <row r="40707" spans="129:129" x14ac:dyDescent="0.2">
      <c r="DY40707" s="185" t="s">
        <v>215</v>
      </c>
    </row>
    <row r="40708" spans="129:129" x14ac:dyDescent="0.2">
      <c r="DY40708" s="185" t="s">
        <v>215</v>
      </c>
    </row>
    <row r="40709" spans="129:129" x14ac:dyDescent="0.2">
      <c r="DY40709" s="185" t="s">
        <v>215</v>
      </c>
    </row>
    <row r="40710" spans="129:129" x14ac:dyDescent="0.2">
      <c r="DY40710" s="185" t="s">
        <v>215</v>
      </c>
    </row>
    <row r="40711" spans="129:129" x14ac:dyDescent="0.2">
      <c r="DY40711" s="185" t="s">
        <v>215</v>
      </c>
    </row>
    <row r="40712" spans="129:129" x14ac:dyDescent="0.2">
      <c r="DY40712" s="185" t="s">
        <v>215</v>
      </c>
    </row>
    <row r="40713" spans="129:129" x14ac:dyDescent="0.2">
      <c r="DY40713" s="185" t="s">
        <v>215</v>
      </c>
    </row>
    <row r="40714" spans="129:129" x14ac:dyDescent="0.2">
      <c r="DY40714" s="185" t="s">
        <v>215</v>
      </c>
    </row>
    <row r="40715" spans="129:129" x14ac:dyDescent="0.2">
      <c r="DY40715" s="185" t="s">
        <v>215</v>
      </c>
    </row>
    <row r="40716" spans="129:129" x14ac:dyDescent="0.2">
      <c r="DY40716" s="185" t="s">
        <v>215</v>
      </c>
    </row>
    <row r="40717" spans="129:129" x14ac:dyDescent="0.2">
      <c r="DY40717" s="185" t="s">
        <v>215</v>
      </c>
    </row>
    <row r="40718" spans="129:129" x14ac:dyDescent="0.2">
      <c r="DY40718" s="185" t="s">
        <v>215</v>
      </c>
    </row>
    <row r="40719" spans="129:129" x14ac:dyDescent="0.2">
      <c r="DY40719" s="185" t="s">
        <v>215</v>
      </c>
    </row>
    <row r="40720" spans="129:129" x14ac:dyDescent="0.2">
      <c r="DY40720" s="185" t="s">
        <v>215</v>
      </c>
    </row>
    <row r="40721" spans="129:129" x14ac:dyDescent="0.2">
      <c r="DY40721" s="185" t="s">
        <v>215</v>
      </c>
    </row>
    <row r="40722" spans="129:129" x14ac:dyDescent="0.2">
      <c r="DY40722" s="185" t="s">
        <v>215</v>
      </c>
    </row>
    <row r="40723" spans="129:129" x14ac:dyDescent="0.2">
      <c r="DY40723" s="185" t="s">
        <v>215</v>
      </c>
    </row>
    <row r="40724" spans="129:129" x14ac:dyDescent="0.2">
      <c r="DY40724" s="185" t="s">
        <v>215</v>
      </c>
    </row>
    <row r="40725" spans="129:129" x14ac:dyDescent="0.2">
      <c r="DY40725" s="185" t="s">
        <v>215</v>
      </c>
    </row>
    <row r="40726" spans="129:129" x14ac:dyDescent="0.2">
      <c r="DY40726" s="185" t="s">
        <v>215</v>
      </c>
    </row>
    <row r="40727" spans="129:129" x14ac:dyDescent="0.2">
      <c r="DY40727" s="185" t="s">
        <v>215</v>
      </c>
    </row>
    <row r="40728" spans="129:129" x14ac:dyDescent="0.2">
      <c r="DY40728" s="185" t="s">
        <v>215</v>
      </c>
    </row>
    <row r="40729" spans="129:129" x14ac:dyDescent="0.2">
      <c r="DY40729" s="185" t="s">
        <v>215</v>
      </c>
    </row>
    <row r="40730" spans="129:129" x14ac:dyDescent="0.2">
      <c r="DY40730" s="185" t="s">
        <v>215</v>
      </c>
    </row>
    <row r="40731" spans="129:129" x14ac:dyDescent="0.2">
      <c r="DY40731" s="185" t="s">
        <v>215</v>
      </c>
    </row>
    <row r="40732" spans="129:129" x14ac:dyDescent="0.2">
      <c r="DY40732" s="185" t="s">
        <v>215</v>
      </c>
    </row>
    <row r="40733" spans="129:129" x14ac:dyDescent="0.2">
      <c r="DY40733" s="185" t="s">
        <v>215</v>
      </c>
    </row>
    <row r="40734" spans="129:129" x14ac:dyDescent="0.2">
      <c r="DY40734" s="185" t="s">
        <v>215</v>
      </c>
    </row>
    <row r="40735" spans="129:129" x14ac:dyDescent="0.2">
      <c r="DY40735" s="185" t="s">
        <v>215</v>
      </c>
    </row>
    <row r="40736" spans="129:129" x14ac:dyDescent="0.2">
      <c r="DY40736" s="185" t="s">
        <v>215</v>
      </c>
    </row>
    <row r="40737" spans="129:129" x14ac:dyDescent="0.2">
      <c r="DY40737" s="185" t="s">
        <v>215</v>
      </c>
    </row>
    <row r="40738" spans="129:129" x14ac:dyDescent="0.2">
      <c r="DY40738" s="185" t="s">
        <v>215</v>
      </c>
    </row>
    <row r="40739" spans="129:129" x14ac:dyDescent="0.2">
      <c r="DY40739" s="185" t="s">
        <v>215</v>
      </c>
    </row>
    <row r="40740" spans="129:129" x14ac:dyDescent="0.2">
      <c r="DY40740" s="185" t="s">
        <v>215</v>
      </c>
    </row>
    <row r="40741" spans="129:129" x14ac:dyDescent="0.2">
      <c r="DY40741" s="185" t="s">
        <v>215</v>
      </c>
    </row>
    <row r="40742" spans="129:129" x14ac:dyDescent="0.2">
      <c r="DY40742" s="185" t="s">
        <v>215</v>
      </c>
    </row>
    <row r="40743" spans="129:129" x14ac:dyDescent="0.2">
      <c r="DY40743" s="185" t="s">
        <v>215</v>
      </c>
    </row>
    <row r="40744" spans="129:129" x14ac:dyDescent="0.2">
      <c r="DY40744" s="185" t="s">
        <v>215</v>
      </c>
    </row>
    <row r="40745" spans="129:129" x14ac:dyDescent="0.2">
      <c r="DY40745" s="185" t="s">
        <v>215</v>
      </c>
    </row>
    <row r="40746" spans="129:129" x14ac:dyDescent="0.2">
      <c r="DY40746" s="185" t="s">
        <v>215</v>
      </c>
    </row>
    <row r="40747" spans="129:129" x14ac:dyDescent="0.2">
      <c r="DY40747" s="185" t="s">
        <v>215</v>
      </c>
    </row>
    <row r="40748" spans="129:129" x14ac:dyDescent="0.2">
      <c r="DY40748" s="185" t="s">
        <v>215</v>
      </c>
    </row>
    <row r="40749" spans="129:129" x14ac:dyDescent="0.2">
      <c r="DY40749" s="185" t="s">
        <v>215</v>
      </c>
    </row>
    <row r="40750" spans="129:129" x14ac:dyDescent="0.2">
      <c r="DY40750" s="185" t="s">
        <v>215</v>
      </c>
    </row>
    <row r="40751" spans="129:129" x14ac:dyDescent="0.2">
      <c r="DY40751" s="185" t="s">
        <v>215</v>
      </c>
    </row>
    <row r="40752" spans="129:129" x14ac:dyDescent="0.2">
      <c r="DY40752" s="185" t="s">
        <v>215</v>
      </c>
    </row>
    <row r="40753" spans="129:129" x14ac:dyDescent="0.2">
      <c r="DY40753" s="185" t="s">
        <v>215</v>
      </c>
    </row>
    <row r="40754" spans="129:129" x14ac:dyDescent="0.2">
      <c r="DY40754" s="185" t="s">
        <v>215</v>
      </c>
    </row>
    <row r="40755" spans="129:129" x14ac:dyDescent="0.2">
      <c r="DY40755" s="185" t="s">
        <v>215</v>
      </c>
    </row>
    <row r="40756" spans="129:129" x14ac:dyDescent="0.2">
      <c r="DY40756" s="185" t="s">
        <v>215</v>
      </c>
    </row>
    <row r="40757" spans="129:129" x14ac:dyDescent="0.2">
      <c r="DY40757" s="185" t="s">
        <v>215</v>
      </c>
    </row>
    <row r="40758" spans="129:129" x14ac:dyDescent="0.2">
      <c r="DY40758" s="185" t="s">
        <v>215</v>
      </c>
    </row>
    <row r="40759" spans="129:129" x14ac:dyDescent="0.2">
      <c r="DY40759" s="185" t="s">
        <v>215</v>
      </c>
    </row>
    <row r="40760" spans="129:129" x14ac:dyDescent="0.2">
      <c r="DY40760" s="185" t="s">
        <v>215</v>
      </c>
    </row>
    <row r="40761" spans="129:129" x14ac:dyDescent="0.2">
      <c r="DY40761" s="185" t="s">
        <v>215</v>
      </c>
    </row>
    <row r="40762" spans="129:129" x14ac:dyDescent="0.2">
      <c r="DY40762" s="185" t="s">
        <v>215</v>
      </c>
    </row>
    <row r="40763" spans="129:129" x14ac:dyDescent="0.2">
      <c r="DY40763" s="185" t="s">
        <v>215</v>
      </c>
    </row>
    <row r="40764" spans="129:129" x14ac:dyDescent="0.2">
      <c r="DY40764" s="185" t="s">
        <v>215</v>
      </c>
    </row>
    <row r="40765" spans="129:129" x14ac:dyDescent="0.2">
      <c r="DY40765" s="185" t="s">
        <v>215</v>
      </c>
    </row>
    <row r="40766" spans="129:129" x14ac:dyDescent="0.2">
      <c r="DY40766" s="185" t="s">
        <v>215</v>
      </c>
    </row>
    <row r="40767" spans="129:129" x14ac:dyDescent="0.2">
      <c r="DY40767" s="185" t="s">
        <v>215</v>
      </c>
    </row>
    <row r="40768" spans="129:129" x14ac:dyDescent="0.2">
      <c r="DY40768" s="185" t="s">
        <v>215</v>
      </c>
    </row>
    <row r="40769" spans="129:129" x14ac:dyDescent="0.2">
      <c r="DY40769" s="185" t="s">
        <v>215</v>
      </c>
    </row>
    <row r="40770" spans="129:129" x14ac:dyDescent="0.2">
      <c r="DY40770" s="185" t="s">
        <v>215</v>
      </c>
    </row>
    <row r="40771" spans="129:129" x14ac:dyDescent="0.2">
      <c r="DY40771" s="185" t="s">
        <v>215</v>
      </c>
    </row>
    <row r="40772" spans="129:129" x14ac:dyDescent="0.2">
      <c r="DY40772" s="185" t="s">
        <v>215</v>
      </c>
    </row>
    <row r="40773" spans="129:129" x14ac:dyDescent="0.2">
      <c r="DY40773" s="185" t="s">
        <v>215</v>
      </c>
    </row>
    <row r="40774" spans="129:129" x14ac:dyDescent="0.2">
      <c r="DY40774" s="185" t="s">
        <v>215</v>
      </c>
    </row>
    <row r="40775" spans="129:129" x14ac:dyDescent="0.2">
      <c r="DY40775" s="185" t="s">
        <v>215</v>
      </c>
    </row>
    <row r="40776" spans="129:129" x14ac:dyDescent="0.2">
      <c r="DY40776" s="185" t="s">
        <v>215</v>
      </c>
    </row>
    <row r="40777" spans="129:129" x14ac:dyDescent="0.2">
      <c r="DY40777" s="185" t="s">
        <v>215</v>
      </c>
    </row>
    <row r="40778" spans="129:129" x14ac:dyDescent="0.2">
      <c r="DY40778" s="185" t="s">
        <v>215</v>
      </c>
    </row>
    <row r="40779" spans="129:129" x14ac:dyDescent="0.2">
      <c r="DY40779" s="185" t="s">
        <v>215</v>
      </c>
    </row>
    <row r="40780" spans="129:129" x14ac:dyDescent="0.2">
      <c r="DY40780" s="185" t="s">
        <v>215</v>
      </c>
    </row>
    <row r="40781" spans="129:129" x14ac:dyDescent="0.2">
      <c r="DY40781" s="185" t="s">
        <v>215</v>
      </c>
    </row>
    <row r="40782" spans="129:129" x14ac:dyDescent="0.2">
      <c r="DY40782" s="185" t="s">
        <v>215</v>
      </c>
    </row>
    <row r="40783" spans="129:129" x14ac:dyDescent="0.2">
      <c r="DY40783" s="185" t="s">
        <v>215</v>
      </c>
    </row>
    <row r="40784" spans="129:129" x14ac:dyDescent="0.2">
      <c r="DY40784" s="185" t="s">
        <v>215</v>
      </c>
    </row>
    <row r="40785" spans="129:129" x14ac:dyDescent="0.2">
      <c r="DY40785" s="185" t="s">
        <v>215</v>
      </c>
    </row>
    <row r="40786" spans="129:129" x14ac:dyDescent="0.2">
      <c r="DY40786" s="185" t="s">
        <v>215</v>
      </c>
    </row>
    <row r="40787" spans="129:129" x14ac:dyDescent="0.2">
      <c r="DY40787" s="185" t="s">
        <v>215</v>
      </c>
    </row>
    <row r="40788" spans="129:129" x14ac:dyDescent="0.2">
      <c r="DY40788" s="185" t="s">
        <v>215</v>
      </c>
    </row>
    <row r="40789" spans="129:129" x14ac:dyDescent="0.2">
      <c r="DY40789" s="185" t="s">
        <v>215</v>
      </c>
    </row>
    <row r="40790" spans="129:129" x14ac:dyDescent="0.2">
      <c r="DY40790" s="185" t="s">
        <v>215</v>
      </c>
    </row>
    <row r="40791" spans="129:129" x14ac:dyDescent="0.2">
      <c r="DY40791" s="185" t="s">
        <v>215</v>
      </c>
    </row>
    <row r="40792" spans="129:129" x14ac:dyDescent="0.2">
      <c r="DY40792" s="185" t="s">
        <v>215</v>
      </c>
    </row>
    <row r="40793" spans="129:129" x14ac:dyDescent="0.2">
      <c r="DY40793" s="185" t="s">
        <v>215</v>
      </c>
    </row>
    <row r="40794" spans="129:129" x14ac:dyDescent="0.2">
      <c r="DY40794" s="185" t="s">
        <v>215</v>
      </c>
    </row>
    <row r="40795" spans="129:129" x14ac:dyDescent="0.2">
      <c r="DY40795" s="185" t="s">
        <v>215</v>
      </c>
    </row>
    <row r="40796" spans="129:129" x14ac:dyDescent="0.2">
      <c r="DY40796" s="185" t="s">
        <v>215</v>
      </c>
    </row>
    <row r="40797" spans="129:129" x14ac:dyDescent="0.2">
      <c r="DY40797" s="185" t="s">
        <v>215</v>
      </c>
    </row>
    <row r="40798" spans="129:129" x14ac:dyDescent="0.2">
      <c r="DY40798" s="185" t="s">
        <v>215</v>
      </c>
    </row>
    <row r="40799" spans="129:129" x14ac:dyDescent="0.2">
      <c r="DY40799" s="185" t="s">
        <v>215</v>
      </c>
    </row>
    <row r="40800" spans="129:129" x14ac:dyDescent="0.2">
      <c r="DY40800" s="185" t="s">
        <v>215</v>
      </c>
    </row>
    <row r="40801" spans="129:129" x14ac:dyDescent="0.2">
      <c r="DY40801" s="185" t="s">
        <v>215</v>
      </c>
    </row>
    <row r="40802" spans="129:129" x14ac:dyDescent="0.2">
      <c r="DY40802" s="185" t="s">
        <v>215</v>
      </c>
    </row>
    <row r="40803" spans="129:129" x14ac:dyDescent="0.2">
      <c r="DY40803" s="185" t="s">
        <v>215</v>
      </c>
    </row>
    <row r="40804" spans="129:129" x14ac:dyDescent="0.2">
      <c r="DY40804" s="185" t="s">
        <v>215</v>
      </c>
    </row>
    <row r="40805" spans="129:129" x14ac:dyDescent="0.2">
      <c r="DY40805" s="185" t="s">
        <v>215</v>
      </c>
    </row>
    <row r="40806" spans="129:129" x14ac:dyDescent="0.2">
      <c r="DY40806" s="185" t="s">
        <v>215</v>
      </c>
    </row>
    <row r="40807" spans="129:129" x14ac:dyDescent="0.2">
      <c r="DY40807" s="185" t="s">
        <v>215</v>
      </c>
    </row>
    <row r="40808" spans="129:129" x14ac:dyDescent="0.2">
      <c r="DY40808" s="185" t="s">
        <v>215</v>
      </c>
    </row>
    <row r="40809" spans="129:129" x14ac:dyDescent="0.2">
      <c r="DY40809" s="185" t="s">
        <v>215</v>
      </c>
    </row>
    <row r="40810" spans="129:129" x14ac:dyDescent="0.2">
      <c r="DY40810" s="185" t="s">
        <v>215</v>
      </c>
    </row>
    <row r="40811" spans="129:129" x14ac:dyDescent="0.2">
      <c r="DY40811" s="185" t="s">
        <v>215</v>
      </c>
    </row>
    <row r="40812" spans="129:129" x14ac:dyDescent="0.2">
      <c r="DY40812" s="185" t="s">
        <v>215</v>
      </c>
    </row>
    <row r="40813" spans="129:129" x14ac:dyDescent="0.2">
      <c r="DY40813" s="185" t="s">
        <v>215</v>
      </c>
    </row>
    <row r="40814" spans="129:129" x14ac:dyDescent="0.2">
      <c r="DY40814" s="185" t="s">
        <v>215</v>
      </c>
    </row>
    <row r="40815" spans="129:129" x14ac:dyDescent="0.2">
      <c r="DY40815" s="185" t="s">
        <v>215</v>
      </c>
    </row>
    <row r="40816" spans="129:129" x14ac:dyDescent="0.2">
      <c r="DY40816" s="185" t="s">
        <v>215</v>
      </c>
    </row>
    <row r="40817" spans="129:129" x14ac:dyDescent="0.2">
      <c r="DY40817" s="185" t="s">
        <v>215</v>
      </c>
    </row>
    <row r="40818" spans="129:129" x14ac:dyDescent="0.2">
      <c r="DY40818" s="185" t="s">
        <v>215</v>
      </c>
    </row>
    <row r="40819" spans="129:129" x14ac:dyDescent="0.2">
      <c r="DY40819" s="185" t="s">
        <v>215</v>
      </c>
    </row>
    <row r="40820" spans="129:129" x14ac:dyDescent="0.2">
      <c r="DY40820" s="185" t="s">
        <v>215</v>
      </c>
    </row>
    <row r="40821" spans="129:129" x14ac:dyDescent="0.2">
      <c r="DY40821" s="185" t="s">
        <v>215</v>
      </c>
    </row>
    <row r="40822" spans="129:129" x14ac:dyDescent="0.2">
      <c r="DY40822" s="185" t="s">
        <v>215</v>
      </c>
    </row>
    <row r="40823" spans="129:129" x14ac:dyDescent="0.2">
      <c r="DY40823" s="185" t="s">
        <v>215</v>
      </c>
    </row>
    <row r="40824" spans="129:129" x14ac:dyDescent="0.2">
      <c r="DY40824" s="185" t="s">
        <v>215</v>
      </c>
    </row>
    <row r="40825" spans="129:129" x14ac:dyDescent="0.2">
      <c r="DY40825" s="185" t="s">
        <v>215</v>
      </c>
    </row>
    <row r="40826" spans="129:129" x14ac:dyDescent="0.2">
      <c r="DY40826" s="185" t="s">
        <v>215</v>
      </c>
    </row>
    <row r="40827" spans="129:129" x14ac:dyDescent="0.2">
      <c r="DY40827" s="185" t="s">
        <v>215</v>
      </c>
    </row>
    <row r="40828" spans="129:129" x14ac:dyDescent="0.2">
      <c r="DY40828" s="185" t="s">
        <v>215</v>
      </c>
    </row>
    <row r="40829" spans="129:129" x14ac:dyDescent="0.2">
      <c r="DY40829" s="185" t="s">
        <v>215</v>
      </c>
    </row>
    <row r="40830" spans="129:129" x14ac:dyDescent="0.2">
      <c r="DY40830" s="185" t="s">
        <v>215</v>
      </c>
    </row>
    <row r="40831" spans="129:129" x14ac:dyDescent="0.2">
      <c r="DY40831" s="185" t="s">
        <v>215</v>
      </c>
    </row>
    <row r="40832" spans="129:129" x14ac:dyDescent="0.2">
      <c r="DY40832" s="185" t="s">
        <v>215</v>
      </c>
    </row>
    <row r="40833" spans="129:129" x14ac:dyDescent="0.2">
      <c r="DY40833" s="185" t="s">
        <v>215</v>
      </c>
    </row>
    <row r="40834" spans="129:129" x14ac:dyDescent="0.2">
      <c r="DY40834" s="185" t="s">
        <v>215</v>
      </c>
    </row>
    <row r="40835" spans="129:129" x14ac:dyDescent="0.2">
      <c r="DY40835" s="185" t="s">
        <v>215</v>
      </c>
    </row>
    <row r="40836" spans="129:129" x14ac:dyDescent="0.2">
      <c r="DY40836" s="185" t="s">
        <v>215</v>
      </c>
    </row>
    <row r="40837" spans="129:129" x14ac:dyDescent="0.2">
      <c r="DY40837" s="185" t="s">
        <v>215</v>
      </c>
    </row>
    <row r="40838" spans="129:129" x14ac:dyDescent="0.2">
      <c r="DY40838" s="185" t="s">
        <v>215</v>
      </c>
    </row>
    <row r="40839" spans="129:129" x14ac:dyDescent="0.2">
      <c r="DY40839" s="185" t="s">
        <v>215</v>
      </c>
    </row>
    <row r="40840" spans="129:129" x14ac:dyDescent="0.2">
      <c r="DY40840" s="185" t="s">
        <v>215</v>
      </c>
    </row>
    <row r="40841" spans="129:129" x14ac:dyDescent="0.2">
      <c r="DY40841" s="185" t="s">
        <v>215</v>
      </c>
    </row>
    <row r="40842" spans="129:129" x14ac:dyDescent="0.2">
      <c r="DY40842" s="185" t="s">
        <v>215</v>
      </c>
    </row>
    <row r="40843" spans="129:129" x14ac:dyDescent="0.2">
      <c r="DY40843" s="185" t="s">
        <v>215</v>
      </c>
    </row>
    <row r="40844" spans="129:129" x14ac:dyDescent="0.2">
      <c r="DY40844" s="185" t="s">
        <v>215</v>
      </c>
    </row>
    <row r="40845" spans="129:129" x14ac:dyDescent="0.2">
      <c r="DY40845" s="185" t="s">
        <v>215</v>
      </c>
    </row>
    <row r="40846" spans="129:129" x14ac:dyDescent="0.2">
      <c r="DY40846" s="185" t="s">
        <v>215</v>
      </c>
    </row>
    <row r="40847" spans="129:129" x14ac:dyDescent="0.2">
      <c r="DY40847" s="185" t="s">
        <v>215</v>
      </c>
    </row>
    <row r="40848" spans="129:129" x14ac:dyDescent="0.2">
      <c r="DY40848" s="185" t="s">
        <v>215</v>
      </c>
    </row>
    <row r="40849" spans="129:129" x14ac:dyDescent="0.2">
      <c r="DY40849" s="185" t="s">
        <v>215</v>
      </c>
    </row>
    <row r="40850" spans="129:129" x14ac:dyDescent="0.2">
      <c r="DY40850" s="185" t="s">
        <v>215</v>
      </c>
    </row>
    <row r="40851" spans="129:129" x14ac:dyDescent="0.2">
      <c r="DY40851" s="185" t="s">
        <v>215</v>
      </c>
    </row>
    <row r="40852" spans="129:129" x14ac:dyDescent="0.2">
      <c r="DY40852" s="185" t="s">
        <v>215</v>
      </c>
    </row>
    <row r="40853" spans="129:129" x14ac:dyDescent="0.2">
      <c r="DY40853" s="185" t="s">
        <v>215</v>
      </c>
    </row>
    <row r="40854" spans="129:129" x14ac:dyDescent="0.2">
      <c r="DY40854" s="185" t="s">
        <v>215</v>
      </c>
    </row>
    <row r="40855" spans="129:129" x14ac:dyDescent="0.2">
      <c r="DY40855" s="185" t="s">
        <v>215</v>
      </c>
    </row>
    <row r="40856" spans="129:129" x14ac:dyDescent="0.2">
      <c r="DY40856" s="185" t="s">
        <v>215</v>
      </c>
    </row>
    <row r="40857" spans="129:129" x14ac:dyDescent="0.2">
      <c r="DY40857" s="185" t="s">
        <v>215</v>
      </c>
    </row>
    <row r="40858" spans="129:129" x14ac:dyDescent="0.2">
      <c r="DY40858" s="185" t="s">
        <v>215</v>
      </c>
    </row>
    <row r="40859" spans="129:129" x14ac:dyDescent="0.2">
      <c r="DY40859" s="185" t="s">
        <v>215</v>
      </c>
    </row>
    <row r="40860" spans="129:129" x14ac:dyDescent="0.2">
      <c r="DY40860" s="185" t="s">
        <v>215</v>
      </c>
    </row>
    <row r="40861" spans="129:129" x14ac:dyDescent="0.2">
      <c r="DY40861" s="185" t="s">
        <v>215</v>
      </c>
    </row>
    <row r="40862" spans="129:129" x14ac:dyDescent="0.2">
      <c r="DY40862" s="185" t="s">
        <v>215</v>
      </c>
    </row>
    <row r="40863" spans="129:129" x14ac:dyDescent="0.2">
      <c r="DY40863" s="185" t="s">
        <v>215</v>
      </c>
    </row>
    <row r="40864" spans="129:129" x14ac:dyDescent="0.2">
      <c r="DY40864" s="185" t="s">
        <v>215</v>
      </c>
    </row>
    <row r="40865" spans="129:129" x14ac:dyDescent="0.2">
      <c r="DY40865" s="185" t="s">
        <v>215</v>
      </c>
    </row>
    <row r="40866" spans="129:129" x14ac:dyDescent="0.2">
      <c r="DY40866" s="185" t="s">
        <v>215</v>
      </c>
    </row>
    <row r="40867" spans="129:129" x14ac:dyDescent="0.2">
      <c r="DY40867" s="185" t="s">
        <v>215</v>
      </c>
    </row>
    <row r="40868" spans="129:129" x14ac:dyDescent="0.2">
      <c r="DY40868" s="185" t="s">
        <v>215</v>
      </c>
    </row>
    <row r="40869" spans="129:129" x14ac:dyDescent="0.2">
      <c r="DY40869" s="185" t="s">
        <v>215</v>
      </c>
    </row>
    <row r="40870" spans="129:129" x14ac:dyDescent="0.2">
      <c r="DY40870" s="185" t="s">
        <v>215</v>
      </c>
    </row>
    <row r="40871" spans="129:129" x14ac:dyDescent="0.2">
      <c r="DY40871" s="185" t="s">
        <v>215</v>
      </c>
    </row>
    <row r="40872" spans="129:129" x14ac:dyDescent="0.2">
      <c r="DY40872" s="185" t="s">
        <v>215</v>
      </c>
    </row>
    <row r="40873" spans="129:129" x14ac:dyDescent="0.2">
      <c r="DY40873" s="185" t="s">
        <v>215</v>
      </c>
    </row>
    <row r="40874" spans="129:129" x14ac:dyDescent="0.2">
      <c r="DY40874" s="185" t="s">
        <v>215</v>
      </c>
    </row>
    <row r="40875" spans="129:129" x14ac:dyDescent="0.2">
      <c r="DY40875" s="185" t="s">
        <v>215</v>
      </c>
    </row>
    <row r="40876" spans="129:129" x14ac:dyDescent="0.2">
      <c r="DY40876" s="185" t="s">
        <v>215</v>
      </c>
    </row>
    <row r="40877" spans="129:129" x14ac:dyDescent="0.2">
      <c r="DY40877" s="185" t="s">
        <v>215</v>
      </c>
    </row>
    <row r="40878" spans="129:129" x14ac:dyDescent="0.2">
      <c r="DY40878" s="185" t="s">
        <v>215</v>
      </c>
    </row>
    <row r="40879" spans="129:129" x14ac:dyDescent="0.2">
      <c r="DY40879" s="185" t="s">
        <v>215</v>
      </c>
    </row>
    <row r="40880" spans="129:129" x14ac:dyDescent="0.2">
      <c r="DY40880" s="185" t="s">
        <v>215</v>
      </c>
    </row>
    <row r="40881" spans="129:129" x14ac:dyDescent="0.2">
      <c r="DY40881" s="185" t="s">
        <v>215</v>
      </c>
    </row>
    <row r="40882" spans="129:129" x14ac:dyDescent="0.2">
      <c r="DY40882" s="185" t="s">
        <v>215</v>
      </c>
    </row>
    <row r="40883" spans="129:129" x14ac:dyDescent="0.2">
      <c r="DY40883" s="185" t="s">
        <v>215</v>
      </c>
    </row>
    <row r="40884" spans="129:129" x14ac:dyDescent="0.2">
      <c r="DY40884" s="185" t="s">
        <v>215</v>
      </c>
    </row>
    <row r="40885" spans="129:129" x14ac:dyDescent="0.2">
      <c r="DY40885" s="185" t="s">
        <v>215</v>
      </c>
    </row>
    <row r="40886" spans="129:129" x14ac:dyDescent="0.2">
      <c r="DY40886" s="185" t="s">
        <v>215</v>
      </c>
    </row>
    <row r="40887" spans="129:129" x14ac:dyDescent="0.2">
      <c r="DY40887" s="185" t="s">
        <v>215</v>
      </c>
    </row>
    <row r="40888" spans="129:129" x14ac:dyDescent="0.2">
      <c r="DY40888" s="185" t="s">
        <v>215</v>
      </c>
    </row>
    <row r="40889" spans="129:129" x14ac:dyDescent="0.2">
      <c r="DY40889" s="185" t="s">
        <v>215</v>
      </c>
    </row>
    <row r="40890" spans="129:129" x14ac:dyDescent="0.2">
      <c r="DY40890" s="185" t="s">
        <v>215</v>
      </c>
    </row>
    <row r="40891" spans="129:129" x14ac:dyDescent="0.2">
      <c r="DY40891" s="185" t="s">
        <v>215</v>
      </c>
    </row>
    <row r="40892" spans="129:129" x14ac:dyDescent="0.2">
      <c r="DY40892" s="185" t="s">
        <v>215</v>
      </c>
    </row>
    <row r="40893" spans="129:129" x14ac:dyDescent="0.2">
      <c r="DY40893" s="185" t="s">
        <v>215</v>
      </c>
    </row>
    <row r="40894" spans="129:129" x14ac:dyDescent="0.2">
      <c r="DY40894" s="185" t="s">
        <v>215</v>
      </c>
    </row>
    <row r="40895" spans="129:129" x14ac:dyDescent="0.2">
      <c r="DY40895" s="185" t="s">
        <v>215</v>
      </c>
    </row>
    <row r="40896" spans="129:129" x14ac:dyDescent="0.2">
      <c r="DY40896" s="185" t="s">
        <v>215</v>
      </c>
    </row>
    <row r="40897" spans="129:129" x14ac:dyDescent="0.2">
      <c r="DY40897" s="185" t="s">
        <v>215</v>
      </c>
    </row>
    <row r="40898" spans="129:129" x14ac:dyDescent="0.2">
      <c r="DY40898" s="185" t="s">
        <v>215</v>
      </c>
    </row>
    <row r="40899" spans="129:129" x14ac:dyDescent="0.2">
      <c r="DY40899" s="185" t="s">
        <v>215</v>
      </c>
    </row>
    <row r="40900" spans="129:129" x14ac:dyDescent="0.2">
      <c r="DY40900" s="185" t="s">
        <v>215</v>
      </c>
    </row>
    <row r="40901" spans="129:129" x14ac:dyDescent="0.2">
      <c r="DY40901" s="185" t="s">
        <v>215</v>
      </c>
    </row>
    <row r="40902" spans="129:129" x14ac:dyDescent="0.2">
      <c r="DY40902" s="185" t="s">
        <v>215</v>
      </c>
    </row>
    <row r="40903" spans="129:129" x14ac:dyDescent="0.2">
      <c r="DY40903" s="185" t="s">
        <v>215</v>
      </c>
    </row>
    <row r="40904" spans="129:129" x14ac:dyDescent="0.2">
      <c r="DY40904" s="185" t="s">
        <v>215</v>
      </c>
    </row>
    <row r="40905" spans="129:129" x14ac:dyDescent="0.2">
      <c r="DY40905" s="185" t="s">
        <v>215</v>
      </c>
    </row>
    <row r="40906" spans="129:129" x14ac:dyDescent="0.2">
      <c r="DY40906" s="185" t="s">
        <v>215</v>
      </c>
    </row>
    <row r="40907" spans="129:129" x14ac:dyDescent="0.2">
      <c r="DY40907" s="185" t="s">
        <v>215</v>
      </c>
    </row>
    <row r="40908" spans="129:129" x14ac:dyDescent="0.2">
      <c r="DY40908" s="185" t="s">
        <v>215</v>
      </c>
    </row>
    <row r="40909" spans="129:129" x14ac:dyDescent="0.2">
      <c r="DY40909" s="185" t="s">
        <v>215</v>
      </c>
    </row>
    <row r="40910" spans="129:129" x14ac:dyDescent="0.2">
      <c r="DY40910" s="185" t="s">
        <v>215</v>
      </c>
    </row>
    <row r="40911" spans="129:129" x14ac:dyDescent="0.2">
      <c r="DY40911" s="185" t="s">
        <v>215</v>
      </c>
    </row>
    <row r="40912" spans="129:129" x14ac:dyDescent="0.2">
      <c r="DY40912" s="185" t="s">
        <v>215</v>
      </c>
    </row>
    <row r="40913" spans="129:129" x14ac:dyDescent="0.2">
      <c r="DY40913" s="185" t="s">
        <v>215</v>
      </c>
    </row>
    <row r="40914" spans="129:129" x14ac:dyDescent="0.2">
      <c r="DY40914" s="185" t="s">
        <v>215</v>
      </c>
    </row>
    <row r="40915" spans="129:129" x14ac:dyDescent="0.2">
      <c r="DY40915" s="185" t="s">
        <v>215</v>
      </c>
    </row>
    <row r="40916" spans="129:129" x14ac:dyDescent="0.2">
      <c r="DY40916" s="185" t="s">
        <v>215</v>
      </c>
    </row>
    <row r="40917" spans="129:129" x14ac:dyDescent="0.2">
      <c r="DY40917" s="185" t="s">
        <v>215</v>
      </c>
    </row>
    <row r="40918" spans="129:129" x14ac:dyDescent="0.2">
      <c r="DY40918" s="185" t="s">
        <v>215</v>
      </c>
    </row>
    <row r="40919" spans="129:129" x14ac:dyDescent="0.2">
      <c r="DY40919" s="185" t="s">
        <v>215</v>
      </c>
    </row>
    <row r="40920" spans="129:129" x14ac:dyDescent="0.2">
      <c r="DY40920" s="185" t="s">
        <v>215</v>
      </c>
    </row>
    <row r="40921" spans="129:129" x14ac:dyDescent="0.2">
      <c r="DY40921" s="185" t="s">
        <v>215</v>
      </c>
    </row>
    <row r="40922" spans="129:129" x14ac:dyDescent="0.2">
      <c r="DY40922" s="185" t="s">
        <v>215</v>
      </c>
    </row>
    <row r="40923" spans="129:129" x14ac:dyDescent="0.2">
      <c r="DY40923" s="185" t="s">
        <v>215</v>
      </c>
    </row>
    <row r="40924" spans="129:129" x14ac:dyDescent="0.2">
      <c r="DY40924" s="185" t="s">
        <v>215</v>
      </c>
    </row>
    <row r="40925" spans="129:129" x14ac:dyDescent="0.2">
      <c r="DY40925" s="185" t="s">
        <v>215</v>
      </c>
    </row>
    <row r="40926" spans="129:129" x14ac:dyDescent="0.2">
      <c r="DY40926" s="185" t="s">
        <v>215</v>
      </c>
    </row>
    <row r="40927" spans="129:129" x14ac:dyDescent="0.2">
      <c r="DY40927" s="185" t="s">
        <v>215</v>
      </c>
    </row>
    <row r="40928" spans="129:129" x14ac:dyDescent="0.2">
      <c r="DY40928" s="185" t="s">
        <v>215</v>
      </c>
    </row>
    <row r="40929" spans="129:129" x14ac:dyDescent="0.2">
      <c r="DY40929" s="185" t="s">
        <v>215</v>
      </c>
    </row>
    <row r="40930" spans="129:129" x14ac:dyDescent="0.2">
      <c r="DY40930" s="185" t="s">
        <v>215</v>
      </c>
    </row>
    <row r="40931" spans="129:129" x14ac:dyDescent="0.2">
      <c r="DY40931" s="185" t="s">
        <v>215</v>
      </c>
    </row>
    <row r="40932" spans="129:129" x14ac:dyDescent="0.2">
      <c r="DY40932" s="185" t="s">
        <v>215</v>
      </c>
    </row>
    <row r="40933" spans="129:129" x14ac:dyDescent="0.2">
      <c r="DY40933" s="185" t="s">
        <v>215</v>
      </c>
    </row>
    <row r="40934" spans="129:129" x14ac:dyDescent="0.2">
      <c r="DY40934" s="185" t="s">
        <v>215</v>
      </c>
    </row>
    <row r="40935" spans="129:129" x14ac:dyDescent="0.2">
      <c r="DY40935" s="185" t="s">
        <v>215</v>
      </c>
    </row>
    <row r="40936" spans="129:129" x14ac:dyDescent="0.2">
      <c r="DY40936" s="185" t="s">
        <v>215</v>
      </c>
    </row>
    <row r="40937" spans="129:129" x14ac:dyDescent="0.2">
      <c r="DY40937" s="185" t="s">
        <v>215</v>
      </c>
    </row>
    <row r="40938" spans="129:129" x14ac:dyDescent="0.2">
      <c r="DY40938" s="185" t="s">
        <v>215</v>
      </c>
    </row>
    <row r="40939" spans="129:129" x14ac:dyDescent="0.2">
      <c r="DY40939" s="185" t="s">
        <v>215</v>
      </c>
    </row>
    <row r="40940" spans="129:129" x14ac:dyDescent="0.2">
      <c r="DY40940" s="185" t="s">
        <v>215</v>
      </c>
    </row>
    <row r="40941" spans="129:129" x14ac:dyDescent="0.2">
      <c r="DY40941" s="185" t="s">
        <v>215</v>
      </c>
    </row>
    <row r="40942" spans="129:129" x14ac:dyDescent="0.2">
      <c r="DY40942" s="185" t="s">
        <v>215</v>
      </c>
    </row>
    <row r="40943" spans="129:129" x14ac:dyDescent="0.2">
      <c r="DY40943" s="185" t="s">
        <v>215</v>
      </c>
    </row>
    <row r="40944" spans="129:129" x14ac:dyDescent="0.2">
      <c r="DY40944" s="185" t="s">
        <v>215</v>
      </c>
    </row>
    <row r="40945" spans="129:129" x14ac:dyDescent="0.2">
      <c r="DY40945" s="185" t="s">
        <v>215</v>
      </c>
    </row>
    <row r="40946" spans="129:129" x14ac:dyDescent="0.2">
      <c r="DY40946" s="185" t="s">
        <v>215</v>
      </c>
    </row>
    <row r="40947" spans="129:129" x14ac:dyDescent="0.2">
      <c r="DY40947" s="185" t="s">
        <v>215</v>
      </c>
    </row>
    <row r="40948" spans="129:129" x14ac:dyDescent="0.2">
      <c r="DY40948" s="185" t="s">
        <v>215</v>
      </c>
    </row>
    <row r="40949" spans="129:129" x14ac:dyDescent="0.2">
      <c r="DY40949" s="185" t="s">
        <v>215</v>
      </c>
    </row>
    <row r="40950" spans="129:129" x14ac:dyDescent="0.2">
      <c r="DY40950" s="185" t="s">
        <v>215</v>
      </c>
    </row>
    <row r="40951" spans="129:129" x14ac:dyDescent="0.2">
      <c r="DY40951" s="185" t="s">
        <v>215</v>
      </c>
    </row>
    <row r="40952" spans="129:129" x14ac:dyDescent="0.2">
      <c r="DY40952" s="185" t="s">
        <v>215</v>
      </c>
    </row>
    <row r="40953" spans="129:129" x14ac:dyDescent="0.2">
      <c r="DY40953" s="185" t="s">
        <v>215</v>
      </c>
    </row>
    <row r="40954" spans="129:129" x14ac:dyDescent="0.2">
      <c r="DY40954" s="185" t="s">
        <v>215</v>
      </c>
    </row>
    <row r="40955" spans="129:129" x14ac:dyDescent="0.2">
      <c r="DY40955" s="185" t="s">
        <v>215</v>
      </c>
    </row>
    <row r="40956" spans="129:129" x14ac:dyDescent="0.2">
      <c r="DY40956" s="185" t="s">
        <v>215</v>
      </c>
    </row>
    <row r="40957" spans="129:129" x14ac:dyDescent="0.2">
      <c r="DY40957" s="185" t="s">
        <v>215</v>
      </c>
    </row>
    <row r="40958" spans="129:129" x14ac:dyDescent="0.2">
      <c r="DY40958" s="185" t="s">
        <v>215</v>
      </c>
    </row>
    <row r="40959" spans="129:129" x14ac:dyDescent="0.2">
      <c r="DY40959" s="185" t="s">
        <v>215</v>
      </c>
    </row>
    <row r="40960" spans="129:129" x14ac:dyDescent="0.2">
      <c r="DY40960" s="185" t="s">
        <v>215</v>
      </c>
    </row>
    <row r="40961" spans="129:129" x14ac:dyDescent="0.2">
      <c r="DY40961" s="185" t="s">
        <v>215</v>
      </c>
    </row>
    <row r="40962" spans="129:129" x14ac:dyDescent="0.2">
      <c r="DY40962" s="185" t="s">
        <v>215</v>
      </c>
    </row>
    <row r="40963" spans="129:129" x14ac:dyDescent="0.2">
      <c r="DY40963" s="185" t="s">
        <v>215</v>
      </c>
    </row>
    <row r="40964" spans="129:129" x14ac:dyDescent="0.2">
      <c r="DY40964" s="185" t="s">
        <v>215</v>
      </c>
    </row>
    <row r="40965" spans="129:129" x14ac:dyDescent="0.2">
      <c r="DY40965" s="185" t="s">
        <v>215</v>
      </c>
    </row>
    <row r="40966" spans="129:129" x14ac:dyDescent="0.2">
      <c r="DY40966" s="185" t="s">
        <v>215</v>
      </c>
    </row>
    <row r="40967" spans="129:129" x14ac:dyDescent="0.2">
      <c r="DY40967" s="185" t="s">
        <v>215</v>
      </c>
    </row>
    <row r="40968" spans="129:129" x14ac:dyDescent="0.2">
      <c r="DY40968" s="185" t="s">
        <v>215</v>
      </c>
    </row>
    <row r="40969" spans="129:129" x14ac:dyDescent="0.2">
      <c r="DY40969" s="185" t="s">
        <v>215</v>
      </c>
    </row>
    <row r="40970" spans="129:129" x14ac:dyDescent="0.2">
      <c r="DY40970" s="185" t="s">
        <v>215</v>
      </c>
    </row>
    <row r="40971" spans="129:129" x14ac:dyDescent="0.2">
      <c r="DY40971" s="185" t="s">
        <v>215</v>
      </c>
    </row>
    <row r="40972" spans="129:129" x14ac:dyDescent="0.2">
      <c r="DY40972" s="185" t="s">
        <v>215</v>
      </c>
    </row>
    <row r="40973" spans="129:129" x14ac:dyDescent="0.2">
      <c r="DY40973" s="185" t="s">
        <v>215</v>
      </c>
    </row>
    <row r="40974" spans="129:129" x14ac:dyDescent="0.2">
      <c r="DY40974" s="185" t="s">
        <v>215</v>
      </c>
    </row>
    <row r="40975" spans="129:129" x14ac:dyDescent="0.2">
      <c r="DY40975" s="185" t="s">
        <v>215</v>
      </c>
    </row>
    <row r="40976" spans="129:129" x14ac:dyDescent="0.2">
      <c r="DY40976" s="185" t="s">
        <v>215</v>
      </c>
    </row>
    <row r="40977" spans="129:129" x14ac:dyDescent="0.2">
      <c r="DY40977" s="185" t="s">
        <v>215</v>
      </c>
    </row>
    <row r="40978" spans="129:129" x14ac:dyDescent="0.2">
      <c r="DY40978" s="185" t="s">
        <v>215</v>
      </c>
    </row>
    <row r="40979" spans="129:129" x14ac:dyDescent="0.2">
      <c r="DY40979" s="185" t="s">
        <v>215</v>
      </c>
    </row>
    <row r="40980" spans="129:129" x14ac:dyDescent="0.2">
      <c r="DY40980" s="185" t="s">
        <v>215</v>
      </c>
    </row>
    <row r="40981" spans="129:129" x14ac:dyDescent="0.2">
      <c r="DY40981" s="185" t="s">
        <v>215</v>
      </c>
    </row>
    <row r="40982" spans="129:129" x14ac:dyDescent="0.2">
      <c r="DY40982" s="185" t="s">
        <v>215</v>
      </c>
    </row>
    <row r="40983" spans="129:129" x14ac:dyDescent="0.2">
      <c r="DY40983" s="185" t="s">
        <v>215</v>
      </c>
    </row>
    <row r="40984" spans="129:129" x14ac:dyDescent="0.2">
      <c r="DY40984" s="185" t="s">
        <v>215</v>
      </c>
    </row>
    <row r="40985" spans="129:129" x14ac:dyDescent="0.2">
      <c r="DY40985" s="185" t="s">
        <v>215</v>
      </c>
    </row>
    <row r="40986" spans="129:129" x14ac:dyDescent="0.2">
      <c r="DY40986" s="185" t="s">
        <v>215</v>
      </c>
    </row>
    <row r="40987" spans="129:129" x14ac:dyDescent="0.2">
      <c r="DY40987" s="185" t="s">
        <v>215</v>
      </c>
    </row>
    <row r="40988" spans="129:129" x14ac:dyDescent="0.2">
      <c r="DY40988" s="185" t="s">
        <v>215</v>
      </c>
    </row>
    <row r="40989" spans="129:129" x14ac:dyDescent="0.2">
      <c r="DY40989" s="185" t="s">
        <v>215</v>
      </c>
    </row>
    <row r="40990" spans="129:129" x14ac:dyDescent="0.2">
      <c r="DY40990" s="185" t="s">
        <v>215</v>
      </c>
    </row>
    <row r="40991" spans="129:129" x14ac:dyDescent="0.2">
      <c r="DY40991" s="185" t="s">
        <v>215</v>
      </c>
    </row>
    <row r="40992" spans="129:129" x14ac:dyDescent="0.2">
      <c r="DY40992" s="185" t="s">
        <v>215</v>
      </c>
    </row>
    <row r="40993" spans="129:129" x14ac:dyDescent="0.2">
      <c r="DY40993" s="185" t="s">
        <v>215</v>
      </c>
    </row>
    <row r="40994" spans="129:129" x14ac:dyDescent="0.2">
      <c r="DY40994" s="185" t="s">
        <v>215</v>
      </c>
    </row>
    <row r="40995" spans="129:129" x14ac:dyDescent="0.2">
      <c r="DY40995" s="185" t="s">
        <v>215</v>
      </c>
    </row>
    <row r="40996" spans="129:129" x14ac:dyDescent="0.2">
      <c r="DY40996" s="185" t="s">
        <v>215</v>
      </c>
    </row>
    <row r="40997" spans="129:129" x14ac:dyDescent="0.2">
      <c r="DY40997" s="185" t="s">
        <v>215</v>
      </c>
    </row>
    <row r="40998" spans="129:129" x14ac:dyDescent="0.2">
      <c r="DY40998" s="185" t="s">
        <v>215</v>
      </c>
    </row>
    <row r="40999" spans="129:129" x14ac:dyDescent="0.2">
      <c r="DY40999" s="185" t="s">
        <v>215</v>
      </c>
    </row>
    <row r="41000" spans="129:129" x14ac:dyDescent="0.2">
      <c r="DY41000" s="185" t="s">
        <v>215</v>
      </c>
    </row>
    <row r="41001" spans="129:129" x14ac:dyDescent="0.2">
      <c r="DY41001" s="185" t="s">
        <v>215</v>
      </c>
    </row>
    <row r="41002" spans="129:129" x14ac:dyDescent="0.2">
      <c r="DY41002" s="185" t="s">
        <v>215</v>
      </c>
    </row>
    <row r="41003" spans="129:129" x14ac:dyDescent="0.2">
      <c r="DY41003" s="185" t="s">
        <v>215</v>
      </c>
    </row>
    <row r="41004" spans="129:129" x14ac:dyDescent="0.2">
      <c r="DY41004" s="185" t="s">
        <v>215</v>
      </c>
    </row>
    <row r="41005" spans="129:129" x14ac:dyDescent="0.2">
      <c r="DY41005" s="185" t="s">
        <v>215</v>
      </c>
    </row>
    <row r="41006" spans="129:129" x14ac:dyDescent="0.2">
      <c r="DY41006" s="185" t="s">
        <v>215</v>
      </c>
    </row>
    <row r="41007" spans="129:129" x14ac:dyDescent="0.2">
      <c r="DY41007" s="185" t="s">
        <v>215</v>
      </c>
    </row>
    <row r="41008" spans="129:129" x14ac:dyDescent="0.2">
      <c r="DY41008" s="185" t="s">
        <v>215</v>
      </c>
    </row>
    <row r="41009" spans="129:129" x14ac:dyDescent="0.2">
      <c r="DY41009" s="185" t="s">
        <v>215</v>
      </c>
    </row>
    <row r="41010" spans="129:129" x14ac:dyDescent="0.2">
      <c r="DY41010" s="185" t="s">
        <v>215</v>
      </c>
    </row>
    <row r="41011" spans="129:129" x14ac:dyDescent="0.2">
      <c r="DY41011" s="185" t="s">
        <v>215</v>
      </c>
    </row>
    <row r="41012" spans="129:129" x14ac:dyDescent="0.2">
      <c r="DY41012" s="185" t="s">
        <v>215</v>
      </c>
    </row>
    <row r="41013" spans="129:129" x14ac:dyDescent="0.2">
      <c r="DY41013" s="185" t="s">
        <v>215</v>
      </c>
    </row>
    <row r="41014" spans="129:129" x14ac:dyDescent="0.2">
      <c r="DY41014" s="185" t="s">
        <v>215</v>
      </c>
    </row>
    <row r="41015" spans="129:129" x14ac:dyDescent="0.2">
      <c r="DY41015" s="185" t="s">
        <v>215</v>
      </c>
    </row>
    <row r="41016" spans="129:129" x14ac:dyDescent="0.2">
      <c r="DY41016" s="185" t="s">
        <v>215</v>
      </c>
    </row>
    <row r="41017" spans="129:129" x14ac:dyDescent="0.2">
      <c r="DY41017" s="185" t="s">
        <v>215</v>
      </c>
    </row>
    <row r="41018" spans="129:129" x14ac:dyDescent="0.2">
      <c r="DY41018" s="185" t="s">
        <v>215</v>
      </c>
    </row>
    <row r="41019" spans="129:129" x14ac:dyDescent="0.2">
      <c r="DY41019" s="185" t="s">
        <v>215</v>
      </c>
    </row>
    <row r="41020" spans="129:129" x14ac:dyDescent="0.2">
      <c r="DY41020" s="185" t="s">
        <v>215</v>
      </c>
    </row>
    <row r="41021" spans="129:129" x14ac:dyDescent="0.2">
      <c r="DY41021" s="185" t="s">
        <v>215</v>
      </c>
    </row>
    <row r="41022" spans="129:129" x14ac:dyDescent="0.2">
      <c r="DY41022" s="185" t="s">
        <v>215</v>
      </c>
    </row>
    <row r="41023" spans="129:129" x14ac:dyDescent="0.2">
      <c r="DY41023" s="185" t="s">
        <v>215</v>
      </c>
    </row>
    <row r="41024" spans="129:129" x14ac:dyDescent="0.2">
      <c r="DY41024" s="185" t="s">
        <v>215</v>
      </c>
    </row>
    <row r="41025" spans="129:129" x14ac:dyDescent="0.2">
      <c r="DY41025" s="185" t="s">
        <v>215</v>
      </c>
    </row>
    <row r="41026" spans="129:129" x14ac:dyDescent="0.2">
      <c r="DY41026" s="185" t="s">
        <v>215</v>
      </c>
    </row>
    <row r="41027" spans="129:129" x14ac:dyDescent="0.2">
      <c r="DY41027" s="185" t="s">
        <v>215</v>
      </c>
    </row>
    <row r="41028" spans="129:129" x14ac:dyDescent="0.2">
      <c r="DY41028" s="185" t="s">
        <v>215</v>
      </c>
    </row>
    <row r="41029" spans="129:129" x14ac:dyDescent="0.2">
      <c r="DY41029" s="185" t="s">
        <v>215</v>
      </c>
    </row>
    <row r="41030" spans="129:129" x14ac:dyDescent="0.2">
      <c r="DY41030" s="185" t="s">
        <v>215</v>
      </c>
    </row>
    <row r="41031" spans="129:129" x14ac:dyDescent="0.2">
      <c r="DY41031" s="185" t="s">
        <v>215</v>
      </c>
    </row>
    <row r="41032" spans="129:129" x14ac:dyDescent="0.2">
      <c r="DY41032" s="185" t="s">
        <v>215</v>
      </c>
    </row>
    <row r="41033" spans="129:129" x14ac:dyDescent="0.2">
      <c r="DY41033" s="185" t="s">
        <v>215</v>
      </c>
    </row>
    <row r="41034" spans="129:129" x14ac:dyDescent="0.2">
      <c r="DY41034" s="185" t="s">
        <v>215</v>
      </c>
    </row>
    <row r="41035" spans="129:129" x14ac:dyDescent="0.2">
      <c r="DY41035" s="185" t="s">
        <v>215</v>
      </c>
    </row>
    <row r="41036" spans="129:129" x14ac:dyDescent="0.2">
      <c r="DY41036" s="185" t="s">
        <v>215</v>
      </c>
    </row>
    <row r="41037" spans="129:129" x14ac:dyDescent="0.2">
      <c r="DY41037" s="185" t="s">
        <v>215</v>
      </c>
    </row>
    <row r="41038" spans="129:129" x14ac:dyDescent="0.2">
      <c r="DY41038" s="185" t="s">
        <v>215</v>
      </c>
    </row>
    <row r="41039" spans="129:129" x14ac:dyDescent="0.2">
      <c r="DY41039" s="185" t="s">
        <v>215</v>
      </c>
    </row>
    <row r="41040" spans="129:129" x14ac:dyDescent="0.2">
      <c r="DY41040" s="185" t="s">
        <v>215</v>
      </c>
    </row>
    <row r="41041" spans="129:129" x14ac:dyDescent="0.2">
      <c r="DY41041" s="185" t="s">
        <v>215</v>
      </c>
    </row>
    <row r="41042" spans="129:129" x14ac:dyDescent="0.2">
      <c r="DY41042" s="185" t="s">
        <v>215</v>
      </c>
    </row>
    <row r="41043" spans="129:129" x14ac:dyDescent="0.2">
      <c r="DY41043" s="185" t="s">
        <v>215</v>
      </c>
    </row>
    <row r="41044" spans="129:129" x14ac:dyDescent="0.2">
      <c r="DY41044" s="185" t="s">
        <v>215</v>
      </c>
    </row>
    <row r="41045" spans="129:129" x14ac:dyDescent="0.2">
      <c r="DY41045" s="185" t="s">
        <v>215</v>
      </c>
    </row>
    <row r="41046" spans="129:129" x14ac:dyDescent="0.2">
      <c r="DY41046" s="185" t="s">
        <v>215</v>
      </c>
    </row>
    <row r="41047" spans="129:129" x14ac:dyDescent="0.2">
      <c r="DY41047" s="185" t="s">
        <v>215</v>
      </c>
    </row>
    <row r="41048" spans="129:129" x14ac:dyDescent="0.2">
      <c r="DY41048" s="185" t="s">
        <v>215</v>
      </c>
    </row>
    <row r="41049" spans="129:129" x14ac:dyDescent="0.2">
      <c r="DY41049" s="185" t="s">
        <v>215</v>
      </c>
    </row>
    <row r="41050" spans="129:129" x14ac:dyDescent="0.2">
      <c r="DY41050" s="185" t="s">
        <v>215</v>
      </c>
    </row>
    <row r="41051" spans="129:129" x14ac:dyDescent="0.2">
      <c r="DY41051" s="185" t="s">
        <v>215</v>
      </c>
    </row>
    <row r="41052" spans="129:129" x14ac:dyDescent="0.2">
      <c r="DY41052" s="185" t="s">
        <v>215</v>
      </c>
    </row>
    <row r="41053" spans="129:129" x14ac:dyDescent="0.2">
      <c r="DY41053" s="185" t="s">
        <v>215</v>
      </c>
    </row>
    <row r="41054" spans="129:129" x14ac:dyDescent="0.2">
      <c r="DY41054" s="185" t="s">
        <v>215</v>
      </c>
    </row>
    <row r="41055" spans="129:129" x14ac:dyDescent="0.2">
      <c r="DY41055" s="185" t="s">
        <v>215</v>
      </c>
    </row>
    <row r="41056" spans="129:129" x14ac:dyDescent="0.2">
      <c r="DY41056" s="185" t="s">
        <v>215</v>
      </c>
    </row>
    <row r="41057" spans="129:129" x14ac:dyDescent="0.2">
      <c r="DY41057" s="185" t="s">
        <v>215</v>
      </c>
    </row>
    <row r="41058" spans="129:129" x14ac:dyDescent="0.2">
      <c r="DY41058" s="185" t="s">
        <v>215</v>
      </c>
    </row>
    <row r="41059" spans="129:129" x14ac:dyDescent="0.2">
      <c r="DY41059" s="185" t="s">
        <v>215</v>
      </c>
    </row>
    <row r="41060" spans="129:129" x14ac:dyDescent="0.2">
      <c r="DY41060" s="185" t="s">
        <v>215</v>
      </c>
    </row>
    <row r="41061" spans="129:129" x14ac:dyDescent="0.2">
      <c r="DY41061" s="185" t="s">
        <v>215</v>
      </c>
    </row>
    <row r="41062" spans="129:129" x14ac:dyDescent="0.2">
      <c r="DY41062" s="185" t="s">
        <v>215</v>
      </c>
    </row>
    <row r="41063" spans="129:129" x14ac:dyDescent="0.2">
      <c r="DY41063" s="185" t="s">
        <v>215</v>
      </c>
    </row>
    <row r="41064" spans="129:129" x14ac:dyDescent="0.2">
      <c r="DY41064" s="185" t="s">
        <v>215</v>
      </c>
    </row>
    <row r="41065" spans="129:129" x14ac:dyDescent="0.2">
      <c r="DY41065" s="185" t="s">
        <v>215</v>
      </c>
    </row>
    <row r="41066" spans="129:129" x14ac:dyDescent="0.2">
      <c r="DY41066" s="185" t="s">
        <v>215</v>
      </c>
    </row>
    <row r="41067" spans="129:129" x14ac:dyDescent="0.2">
      <c r="DY41067" s="185" t="s">
        <v>215</v>
      </c>
    </row>
    <row r="41068" spans="129:129" x14ac:dyDescent="0.2">
      <c r="DY41068" s="185" t="s">
        <v>215</v>
      </c>
    </row>
    <row r="41069" spans="129:129" x14ac:dyDescent="0.2">
      <c r="DY41069" s="185" t="s">
        <v>215</v>
      </c>
    </row>
    <row r="41070" spans="129:129" x14ac:dyDescent="0.2">
      <c r="DY41070" s="185" t="s">
        <v>215</v>
      </c>
    </row>
    <row r="41071" spans="129:129" x14ac:dyDescent="0.2">
      <c r="DY41071" s="185" t="s">
        <v>215</v>
      </c>
    </row>
    <row r="41072" spans="129:129" x14ac:dyDescent="0.2">
      <c r="DY41072" s="185" t="s">
        <v>215</v>
      </c>
    </row>
    <row r="41073" spans="129:129" x14ac:dyDescent="0.2">
      <c r="DY41073" s="185" t="s">
        <v>215</v>
      </c>
    </row>
    <row r="41074" spans="129:129" x14ac:dyDescent="0.2">
      <c r="DY41074" s="185" t="s">
        <v>215</v>
      </c>
    </row>
    <row r="41075" spans="129:129" x14ac:dyDescent="0.2">
      <c r="DY41075" s="185" t="s">
        <v>215</v>
      </c>
    </row>
    <row r="41076" spans="129:129" x14ac:dyDescent="0.2">
      <c r="DY41076" s="185" t="s">
        <v>215</v>
      </c>
    </row>
    <row r="41077" spans="129:129" x14ac:dyDescent="0.2">
      <c r="DY41077" s="185" t="s">
        <v>215</v>
      </c>
    </row>
    <row r="41078" spans="129:129" x14ac:dyDescent="0.2">
      <c r="DY41078" s="185" t="s">
        <v>215</v>
      </c>
    </row>
    <row r="41079" spans="129:129" x14ac:dyDescent="0.2">
      <c r="DY41079" s="185" t="s">
        <v>215</v>
      </c>
    </row>
    <row r="41080" spans="129:129" x14ac:dyDescent="0.2">
      <c r="DY41080" s="185" t="s">
        <v>215</v>
      </c>
    </row>
    <row r="41081" spans="129:129" x14ac:dyDescent="0.2">
      <c r="DY41081" s="185" t="s">
        <v>215</v>
      </c>
    </row>
    <row r="41082" spans="129:129" x14ac:dyDescent="0.2">
      <c r="DY41082" s="185" t="s">
        <v>215</v>
      </c>
    </row>
    <row r="41083" spans="129:129" x14ac:dyDescent="0.2">
      <c r="DY41083" s="185" t="s">
        <v>215</v>
      </c>
    </row>
    <row r="41084" spans="129:129" x14ac:dyDescent="0.2">
      <c r="DY41084" s="185" t="s">
        <v>215</v>
      </c>
    </row>
    <row r="41085" spans="129:129" x14ac:dyDescent="0.2">
      <c r="DY41085" s="185" t="s">
        <v>215</v>
      </c>
    </row>
    <row r="41086" spans="129:129" x14ac:dyDescent="0.2">
      <c r="DY41086" s="185" t="s">
        <v>215</v>
      </c>
    </row>
    <row r="41087" spans="129:129" x14ac:dyDescent="0.2">
      <c r="DY41087" s="185" t="s">
        <v>215</v>
      </c>
    </row>
    <row r="41088" spans="129:129" x14ac:dyDescent="0.2">
      <c r="DY41088" s="185" t="s">
        <v>215</v>
      </c>
    </row>
    <row r="41089" spans="129:129" x14ac:dyDescent="0.2">
      <c r="DY41089" s="185" t="s">
        <v>215</v>
      </c>
    </row>
    <row r="41090" spans="129:129" x14ac:dyDescent="0.2">
      <c r="DY41090" s="185" t="s">
        <v>215</v>
      </c>
    </row>
    <row r="41091" spans="129:129" x14ac:dyDescent="0.2">
      <c r="DY41091" s="185" t="s">
        <v>215</v>
      </c>
    </row>
    <row r="41092" spans="129:129" x14ac:dyDescent="0.2">
      <c r="DY41092" s="185" t="s">
        <v>215</v>
      </c>
    </row>
    <row r="41093" spans="129:129" x14ac:dyDescent="0.2">
      <c r="DY41093" s="185" t="s">
        <v>215</v>
      </c>
    </row>
    <row r="41094" spans="129:129" x14ac:dyDescent="0.2">
      <c r="DY41094" s="185" t="s">
        <v>215</v>
      </c>
    </row>
    <row r="41095" spans="129:129" x14ac:dyDescent="0.2">
      <c r="DY41095" s="185" t="s">
        <v>215</v>
      </c>
    </row>
    <row r="41096" spans="129:129" x14ac:dyDescent="0.2">
      <c r="DY41096" s="185" t="s">
        <v>215</v>
      </c>
    </row>
    <row r="41097" spans="129:129" x14ac:dyDescent="0.2">
      <c r="DY41097" s="185" t="s">
        <v>215</v>
      </c>
    </row>
    <row r="41098" spans="129:129" x14ac:dyDescent="0.2">
      <c r="DY41098" s="185" t="s">
        <v>215</v>
      </c>
    </row>
    <row r="41099" spans="129:129" x14ac:dyDescent="0.2">
      <c r="DY41099" s="185" t="s">
        <v>215</v>
      </c>
    </row>
    <row r="41100" spans="129:129" x14ac:dyDescent="0.2">
      <c r="DY41100" s="185" t="s">
        <v>215</v>
      </c>
    </row>
    <row r="41101" spans="129:129" x14ac:dyDescent="0.2">
      <c r="DY41101" s="185" t="s">
        <v>215</v>
      </c>
    </row>
    <row r="41102" spans="129:129" x14ac:dyDescent="0.2">
      <c r="DY41102" s="185" t="s">
        <v>215</v>
      </c>
    </row>
    <row r="41103" spans="129:129" x14ac:dyDescent="0.2">
      <c r="DY41103" s="185" t="s">
        <v>215</v>
      </c>
    </row>
    <row r="41104" spans="129:129" x14ac:dyDescent="0.2">
      <c r="DY41104" s="185" t="s">
        <v>215</v>
      </c>
    </row>
    <row r="41105" spans="129:129" x14ac:dyDescent="0.2">
      <c r="DY41105" s="185" t="s">
        <v>215</v>
      </c>
    </row>
    <row r="41106" spans="129:129" x14ac:dyDescent="0.2">
      <c r="DY41106" s="185" t="s">
        <v>215</v>
      </c>
    </row>
    <row r="41107" spans="129:129" x14ac:dyDescent="0.2">
      <c r="DY41107" s="185" t="s">
        <v>215</v>
      </c>
    </row>
    <row r="41108" spans="129:129" x14ac:dyDescent="0.2">
      <c r="DY41108" s="185" t="s">
        <v>215</v>
      </c>
    </row>
    <row r="41109" spans="129:129" x14ac:dyDescent="0.2">
      <c r="DY41109" s="185" t="s">
        <v>215</v>
      </c>
    </row>
    <row r="41110" spans="129:129" x14ac:dyDescent="0.2">
      <c r="DY41110" s="185" t="s">
        <v>215</v>
      </c>
    </row>
    <row r="41111" spans="129:129" x14ac:dyDescent="0.2">
      <c r="DY41111" s="185" t="s">
        <v>215</v>
      </c>
    </row>
    <row r="41112" spans="129:129" x14ac:dyDescent="0.2">
      <c r="DY41112" s="185" t="s">
        <v>215</v>
      </c>
    </row>
    <row r="41113" spans="129:129" x14ac:dyDescent="0.2">
      <c r="DY41113" s="185" t="s">
        <v>215</v>
      </c>
    </row>
    <row r="41114" spans="129:129" x14ac:dyDescent="0.2">
      <c r="DY41114" s="185" t="s">
        <v>215</v>
      </c>
    </row>
    <row r="41115" spans="129:129" x14ac:dyDescent="0.2">
      <c r="DY41115" s="185" t="s">
        <v>215</v>
      </c>
    </row>
    <row r="41116" spans="129:129" x14ac:dyDescent="0.2">
      <c r="DY41116" s="185" t="s">
        <v>215</v>
      </c>
    </row>
    <row r="41117" spans="129:129" x14ac:dyDescent="0.2">
      <c r="DY41117" s="185" t="s">
        <v>215</v>
      </c>
    </row>
    <row r="41118" spans="129:129" x14ac:dyDescent="0.2">
      <c r="DY41118" s="185" t="s">
        <v>215</v>
      </c>
    </row>
    <row r="41119" spans="129:129" x14ac:dyDescent="0.2">
      <c r="DY41119" s="185" t="s">
        <v>215</v>
      </c>
    </row>
    <row r="41120" spans="129:129" x14ac:dyDescent="0.2">
      <c r="DY41120" s="185" t="s">
        <v>215</v>
      </c>
    </row>
    <row r="41121" spans="129:129" x14ac:dyDescent="0.2">
      <c r="DY41121" s="185" t="s">
        <v>215</v>
      </c>
    </row>
    <row r="41122" spans="129:129" x14ac:dyDescent="0.2">
      <c r="DY41122" s="185" t="s">
        <v>215</v>
      </c>
    </row>
    <row r="41123" spans="129:129" x14ac:dyDescent="0.2">
      <c r="DY41123" s="185" t="s">
        <v>215</v>
      </c>
    </row>
    <row r="41124" spans="129:129" x14ac:dyDescent="0.2">
      <c r="DY41124" s="185" t="s">
        <v>215</v>
      </c>
    </row>
    <row r="41125" spans="129:129" x14ac:dyDescent="0.2">
      <c r="DY41125" s="185" t="s">
        <v>215</v>
      </c>
    </row>
    <row r="41126" spans="129:129" x14ac:dyDescent="0.2">
      <c r="DY41126" s="185" t="s">
        <v>215</v>
      </c>
    </row>
    <row r="41127" spans="129:129" x14ac:dyDescent="0.2">
      <c r="DY41127" s="185" t="s">
        <v>215</v>
      </c>
    </row>
    <row r="41128" spans="129:129" x14ac:dyDescent="0.2">
      <c r="DY41128" s="185" t="s">
        <v>215</v>
      </c>
    </row>
    <row r="41129" spans="129:129" x14ac:dyDescent="0.2">
      <c r="DY41129" s="185" t="s">
        <v>215</v>
      </c>
    </row>
    <row r="41130" spans="129:129" x14ac:dyDescent="0.2">
      <c r="DY41130" s="185" t="s">
        <v>215</v>
      </c>
    </row>
    <row r="41131" spans="129:129" x14ac:dyDescent="0.2">
      <c r="DY41131" s="185" t="s">
        <v>215</v>
      </c>
    </row>
    <row r="41132" spans="129:129" x14ac:dyDescent="0.2">
      <c r="DY41132" s="185" t="s">
        <v>215</v>
      </c>
    </row>
    <row r="41133" spans="129:129" x14ac:dyDescent="0.2">
      <c r="DY41133" s="185" t="s">
        <v>215</v>
      </c>
    </row>
    <row r="41134" spans="129:129" x14ac:dyDescent="0.2">
      <c r="DY41134" s="185" t="s">
        <v>215</v>
      </c>
    </row>
    <row r="41135" spans="129:129" x14ac:dyDescent="0.2">
      <c r="DY41135" s="185" t="s">
        <v>215</v>
      </c>
    </row>
    <row r="41136" spans="129:129" x14ac:dyDescent="0.2">
      <c r="DY41136" s="185" t="s">
        <v>215</v>
      </c>
    </row>
    <row r="41137" spans="129:129" x14ac:dyDescent="0.2">
      <c r="DY41137" s="185" t="s">
        <v>215</v>
      </c>
    </row>
    <row r="41138" spans="129:129" x14ac:dyDescent="0.2">
      <c r="DY41138" s="185" t="s">
        <v>215</v>
      </c>
    </row>
    <row r="41139" spans="129:129" x14ac:dyDescent="0.2">
      <c r="DY41139" s="185" t="s">
        <v>215</v>
      </c>
    </row>
    <row r="41140" spans="129:129" x14ac:dyDescent="0.2">
      <c r="DY41140" s="185" t="s">
        <v>215</v>
      </c>
    </row>
    <row r="41141" spans="129:129" x14ac:dyDescent="0.2">
      <c r="DY41141" s="185" t="s">
        <v>215</v>
      </c>
    </row>
    <row r="41142" spans="129:129" x14ac:dyDescent="0.2">
      <c r="DY41142" s="185" t="s">
        <v>215</v>
      </c>
    </row>
    <row r="41143" spans="129:129" x14ac:dyDescent="0.2">
      <c r="DY41143" s="185" t="s">
        <v>215</v>
      </c>
    </row>
    <row r="41144" spans="129:129" x14ac:dyDescent="0.2">
      <c r="DY41144" s="185" t="s">
        <v>215</v>
      </c>
    </row>
    <row r="41145" spans="129:129" x14ac:dyDescent="0.2">
      <c r="DY41145" s="185" t="s">
        <v>215</v>
      </c>
    </row>
    <row r="41146" spans="129:129" x14ac:dyDescent="0.2">
      <c r="DY41146" s="185" t="s">
        <v>215</v>
      </c>
    </row>
    <row r="41147" spans="129:129" x14ac:dyDescent="0.2">
      <c r="DY41147" s="185" t="s">
        <v>215</v>
      </c>
    </row>
    <row r="41148" spans="129:129" x14ac:dyDescent="0.2">
      <c r="DY41148" s="185" t="s">
        <v>215</v>
      </c>
    </row>
    <row r="41149" spans="129:129" x14ac:dyDescent="0.2">
      <c r="DY41149" s="185" t="s">
        <v>215</v>
      </c>
    </row>
    <row r="41150" spans="129:129" x14ac:dyDescent="0.2">
      <c r="DY41150" s="185" t="s">
        <v>215</v>
      </c>
    </row>
    <row r="41151" spans="129:129" x14ac:dyDescent="0.2">
      <c r="DY41151" s="185" t="s">
        <v>215</v>
      </c>
    </row>
    <row r="41152" spans="129:129" x14ac:dyDescent="0.2">
      <c r="DY41152" s="185" t="s">
        <v>215</v>
      </c>
    </row>
    <row r="41153" spans="129:129" x14ac:dyDescent="0.2">
      <c r="DY41153" s="185" t="s">
        <v>215</v>
      </c>
    </row>
    <row r="41154" spans="129:129" x14ac:dyDescent="0.2">
      <c r="DY41154" s="185" t="s">
        <v>215</v>
      </c>
    </row>
    <row r="41155" spans="129:129" x14ac:dyDescent="0.2">
      <c r="DY41155" s="185" t="s">
        <v>215</v>
      </c>
    </row>
    <row r="41156" spans="129:129" x14ac:dyDescent="0.2">
      <c r="DY41156" s="185" t="s">
        <v>215</v>
      </c>
    </row>
    <row r="41157" spans="129:129" x14ac:dyDescent="0.2">
      <c r="DY41157" s="185" t="s">
        <v>215</v>
      </c>
    </row>
    <row r="41158" spans="129:129" x14ac:dyDescent="0.2">
      <c r="DY41158" s="185" t="s">
        <v>215</v>
      </c>
    </row>
    <row r="41159" spans="129:129" x14ac:dyDescent="0.2">
      <c r="DY41159" s="185" t="s">
        <v>215</v>
      </c>
    </row>
    <row r="41160" spans="129:129" x14ac:dyDescent="0.2">
      <c r="DY41160" s="185" t="s">
        <v>215</v>
      </c>
    </row>
    <row r="41161" spans="129:129" x14ac:dyDescent="0.2">
      <c r="DY41161" s="185" t="s">
        <v>215</v>
      </c>
    </row>
    <row r="41162" spans="129:129" x14ac:dyDescent="0.2">
      <c r="DY41162" s="185" t="s">
        <v>215</v>
      </c>
    </row>
    <row r="41163" spans="129:129" x14ac:dyDescent="0.2">
      <c r="DY41163" s="185" t="s">
        <v>215</v>
      </c>
    </row>
    <row r="41164" spans="129:129" x14ac:dyDescent="0.2">
      <c r="DY41164" s="185" t="s">
        <v>215</v>
      </c>
    </row>
    <row r="41165" spans="129:129" x14ac:dyDescent="0.2">
      <c r="DY41165" s="185" t="s">
        <v>215</v>
      </c>
    </row>
    <row r="41166" spans="129:129" x14ac:dyDescent="0.2">
      <c r="DY41166" s="185" t="s">
        <v>215</v>
      </c>
    </row>
    <row r="41167" spans="129:129" x14ac:dyDescent="0.2">
      <c r="DY41167" s="185" t="s">
        <v>215</v>
      </c>
    </row>
    <row r="41168" spans="129:129" x14ac:dyDescent="0.2">
      <c r="DY41168" s="185" t="s">
        <v>215</v>
      </c>
    </row>
    <row r="41169" spans="129:129" x14ac:dyDescent="0.2">
      <c r="DY41169" s="185" t="s">
        <v>215</v>
      </c>
    </row>
    <row r="41170" spans="129:129" x14ac:dyDescent="0.2">
      <c r="DY41170" s="185" t="s">
        <v>215</v>
      </c>
    </row>
    <row r="41171" spans="129:129" x14ac:dyDescent="0.2">
      <c r="DY41171" s="185" t="s">
        <v>215</v>
      </c>
    </row>
    <row r="41172" spans="129:129" x14ac:dyDescent="0.2">
      <c r="DY41172" s="185" t="s">
        <v>215</v>
      </c>
    </row>
    <row r="41173" spans="129:129" x14ac:dyDescent="0.2">
      <c r="DY41173" s="185" t="s">
        <v>215</v>
      </c>
    </row>
    <row r="41174" spans="129:129" x14ac:dyDescent="0.2">
      <c r="DY41174" s="185" t="s">
        <v>215</v>
      </c>
    </row>
    <row r="41175" spans="129:129" x14ac:dyDescent="0.2">
      <c r="DY41175" s="185" t="s">
        <v>215</v>
      </c>
    </row>
    <row r="41176" spans="129:129" x14ac:dyDescent="0.2">
      <c r="DY41176" s="185" t="s">
        <v>215</v>
      </c>
    </row>
    <row r="41177" spans="129:129" x14ac:dyDescent="0.2">
      <c r="DY41177" s="185" t="s">
        <v>215</v>
      </c>
    </row>
    <row r="41178" spans="129:129" x14ac:dyDescent="0.2">
      <c r="DY41178" s="185" t="s">
        <v>215</v>
      </c>
    </row>
    <row r="41179" spans="129:129" x14ac:dyDescent="0.2">
      <c r="DY41179" s="185" t="s">
        <v>215</v>
      </c>
    </row>
    <row r="41180" spans="129:129" x14ac:dyDescent="0.2">
      <c r="DY41180" s="185" t="s">
        <v>215</v>
      </c>
    </row>
    <row r="41181" spans="129:129" x14ac:dyDescent="0.2">
      <c r="DY41181" s="185" t="s">
        <v>215</v>
      </c>
    </row>
    <row r="41182" spans="129:129" x14ac:dyDescent="0.2">
      <c r="DY41182" s="185" t="s">
        <v>215</v>
      </c>
    </row>
    <row r="41183" spans="129:129" x14ac:dyDescent="0.2">
      <c r="DY41183" s="185" t="s">
        <v>215</v>
      </c>
    </row>
    <row r="41184" spans="129:129" x14ac:dyDescent="0.2">
      <c r="DY41184" s="185" t="s">
        <v>215</v>
      </c>
    </row>
    <row r="41185" spans="129:129" x14ac:dyDescent="0.2">
      <c r="DY41185" s="185" t="s">
        <v>215</v>
      </c>
    </row>
    <row r="41186" spans="129:129" x14ac:dyDescent="0.2">
      <c r="DY41186" s="185" t="s">
        <v>215</v>
      </c>
    </row>
    <row r="41187" spans="129:129" x14ac:dyDescent="0.2">
      <c r="DY41187" s="185" t="s">
        <v>215</v>
      </c>
    </row>
    <row r="41188" spans="129:129" x14ac:dyDescent="0.2">
      <c r="DY41188" s="185" t="s">
        <v>215</v>
      </c>
    </row>
    <row r="41189" spans="129:129" x14ac:dyDescent="0.2">
      <c r="DY41189" s="185" t="s">
        <v>215</v>
      </c>
    </row>
    <row r="41190" spans="129:129" x14ac:dyDescent="0.2">
      <c r="DY41190" s="185" t="s">
        <v>215</v>
      </c>
    </row>
    <row r="41191" spans="129:129" x14ac:dyDescent="0.2">
      <c r="DY41191" s="185" t="s">
        <v>215</v>
      </c>
    </row>
    <row r="41192" spans="129:129" x14ac:dyDescent="0.2">
      <c r="DY41192" s="185" t="s">
        <v>215</v>
      </c>
    </row>
    <row r="41193" spans="129:129" x14ac:dyDescent="0.2">
      <c r="DY41193" s="185" t="s">
        <v>215</v>
      </c>
    </row>
    <row r="41194" spans="129:129" x14ac:dyDescent="0.2">
      <c r="DY41194" s="185" t="s">
        <v>215</v>
      </c>
    </row>
    <row r="41195" spans="129:129" x14ac:dyDescent="0.2">
      <c r="DY41195" s="185" t="s">
        <v>215</v>
      </c>
    </row>
    <row r="41196" spans="129:129" x14ac:dyDescent="0.2">
      <c r="DY41196" s="185" t="s">
        <v>215</v>
      </c>
    </row>
    <row r="41197" spans="129:129" x14ac:dyDescent="0.2">
      <c r="DY41197" s="185" t="s">
        <v>215</v>
      </c>
    </row>
    <row r="41198" spans="129:129" x14ac:dyDescent="0.2">
      <c r="DY41198" s="185" t="s">
        <v>215</v>
      </c>
    </row>
    <row r="41199" spans="129:129" x14ac:dyDescent="0.2">
      <c r="DY41199" s="185" t="s">
        <v>215</v>
      </c>
    </row>
    <row r="41200" spans="129:129" x14ac:dyDescent="0.2">
      <c r="DY41200" s="185" t="s">
        <v>215</v>
      </c>
    </row>
    <row r="41201" spans="129:129" x14ac:dyDescent="0.2">
      <c r="DY41201" s="185" t="s">
        <v>215</v>
      </c>
    </row>
    <row r="41202" spans="129:129" x14ac:dyDescent="0.2">
      <c r="DY41202" s="185" t="s">
        <v>215</v>
      </c>
    </row>
    <row r="41203" spans="129:129" x14ac:dyDescent="0.2">
      <c r="DY41203" s="185" t="s">
        <v>215</v>
      </c>
    </row>
    <row r="41204" spans="129:129" x14ac:dyDescent="0.2">
      <c r="DY41204" s="185" t="s">
        <v>215</v>
      </c>
    </row>
    <row r="41205" spans="129:129" x14ac:dyDescent="0.2">
      <c r="DY41205" s="185" t="s">
        <v>215</v>
      </c>
    </row>
    <row r="41206" spans="129:129" x14ac:dyDescent="0.2">
      <c r="DY41206" s="185" t="s">
        <v>215</v>
      </c>
    </row>
    <row r="41207" spans="129:129" x14ac:dyDescent="0.2">
      <c r="DY41207" s="185" t="s">
        <v>215</v>
      </c>
    </row>
    <row r="41208" spans="129:129" x14ac:dyDescent="0.2">
      <c r="DY41208" s="185" t="s">
        <v>215</v>
      </c>
    </row>
    <row r="41209" spans="129:129" x14ac:dyDescent="0.2">
      <c r="DY41209" s="185" t="s">
        <v>215</v>
      </c>
    </row>
    <row r="41210" spans="129:129" x14ac:dyDescent="0.2">
      <c r="DY41210" s="185" t="s">
        <v>215</v>
      </c>
    </row>
    <row r="41211" spans="129:129" x14ac:dyDescent="0.2">
      <c r="DY41211" s="185" t="s">
        <v>215</v>
      </c>
    </row>
    <row r="41212" spans="129:129" x14ac:dyDescent="0.2">
      <c r="DY41212" s="185" t="s">
        <v>215</v>
      </c>
    </row>
    <row r="41213" spans="129:129" x14ac:dyDescent="0.2">
      <c r="DY41213" s="185" t="s">
        <v>215</v>
      </c>
    </row>
    <row r="41214" spans="129:129" x14ac:dyDescent="0.2">
      <c r="DY41214" s="185" t="s">
        <v>215</v>
      </c>
    </row>
    <row r="41215" spans="129:129" x14ac:dyDescent="0.2">
      <c r="DY41215" s="185" t="s">
        <v>215</v>
      </c>
    </row>
    <row r="41216" spans="129:129" x14ac:dyDescent="0.2">
      <c r="DY41216" s="185" t="s">
        <v>215</v>
      </c>
    </row>
    <row r="41217" spans="129:129" x14ac:dyDescent="0.2">
      <c r="DY41217" s="185" t="s">
        <v>215</v>
      </c>
    </row>
    <row r="41218" spans="129:129" x14ac:dyDescent="0.2">
      <c r="DY41218" s="185" t="s">
        <v>215</v>
      </c>
    </row>
    <row r="41219" spans="129:129" x14ac:dyDescent="0.2">
      <c r="DY41219" s="185" t="s">
        <v>215</v>
      </c>
    </row>
    <row r="41220" spans="129:129" x14ac:dyDescent="0.2">
      <c r="DY41220" s="185" t="s">
        <v>215</v>
      </c>
    </row>
    <row r="41221" spans="129:129" x14ac:dyDescent="0.2">
      <c r="DY41221" s="185" t="s">
        <v>215</v>
      </c>
    </row>
    <row r="41222" spans="129:129" x14ac:dyDescent="0.2">
      <c r="DY41222" s="185" t="s">
        <v>215</v>
      </c>
    </row>
    <row r="41223" spans="129:129" x14ac:dyDescent="0.2">
      <c r="DY41223" s="185" t="s">
        <v>215</v>
      </c>
    </row>
    <row r="41224" spans="129:129" x14ac:dyDescent="0.2">
      <c r="DY41224" s="185" t="s">
        <v>215</v>
      </c>
    </row>
    <row r="41225" spans="129:129" x14ac:dyDescent="0.2">
      <c r="DY41225" s="185" t="s">
        <v>215</v>
      </c>
    </row>
    <row r="41226" spans="129:129" x14ac:dyDescent="0.2">
      <c r="DY41226" s="185" t="s">
        <v>215</v>
      </c>
    </row>
    <row r="41227" spans="129:129" x14ac:dyDescent="0.2">
      <c r="DY41227" s="185" t="s">
        <v>215</v>
      </c>
    </row>
    <row r="41228" spans="129:129" x14ac:dyDescent="0.2">
      <c r="DY41228" s="185" t="s">
        <v>215</v>
      </c>
    </row>
    <row r="41229" spans="129:129" x14ac:dyDescent="0.2">
      <c r="DY41229" s="185" t="s">
        <v>215</v>
      </c>
    </row>
    <row r="41230" spans="129:129" x14ac:dyDescent="0.2">
      <c r="DY41230" s="185" t="s">
        <v>215</v>
      </c>
    </row>
    <row r="41231" spans="129:129" x14ac:dyDescent="0.2">
      <c r="DY41231" s="185" t="s">
        <v>215</v>
      </c>
    </row>
    <row r="41232" spans="129:129" x14ac:dyDescent="0.2">
      <c r="DY41232" s="185" t="s">
        <v>215</v>
      </c>
    </row>
    <row r="41233" spans="129:129" x14ac:dyDescent="0.2">
      <c r="DY41233" s="185" t="s">
        <v>215</v>
      </c>
    </row>
    <row r="41234" spans="129:129" x14ac:dyDescent="0.2">
      <c r="DY41234" s="185" t="s">
        <v>215</v>
      </c>
    </row>
    <row r="41235" spans="129:129" x14ac:dyDescent="0.2">
      <c r="DY41235" s="185" t="s">
        <v>215</v>
      </c>
    </row>
    <row r="41236" spans="129:129" x14ac:dyDescent="0.2">
      <c r="DY41236" s="185" t="s">
        <v>215</v>
      </c>
    </row>
    <row r="41237" spans="129:129" x14ac:dyDescent="0.2">
      <c r="DY41237" s="185" t="s">
        <v>215</v>
      </c>
    </row>
    <row r="41238" spans="129:129" x14ac:dyDescent="0.2">
      <c r="DY41238" s="185" t="s">
        <v>215</v>
      </c>
    </row>
    <row r="41239" spans="129:129" x14ac:dyDescent="0.2">
      <c r="DY41239" s="185" t="s">
        <v>215</v>
      </c>
    </row>
    <row r="41240" spans="129:129" x14ac:dyDescent="0.2">
      <c r="DY41240" s="185" t="s">
        <v>215</v>
      </c>
    </row>
    <row r="41241" spans="129:129" x14ac:dyDescent="0.2">
      <c r="DY41241" s="185" t="s">
        <v>215</v>
      </c>
    </row>
    <row r="41242" spans="129:129" x14ac:dyDescent="0.2">
      <c r="DY41242" s="185" t="s">
        <v>215</v>
      </c>
    </row>
    <row r="41243" spans="129:129" x14ac:dyDescent="0.2">
      <c r="DY41243" s="185" t="s">
        <v>215</v>
      </c>
    </row>
    <row r="41244" spans="129:129" x14ac:dyDescent="0.2">
      <c r="DY41244" s="185" t="s">
        <v>215</v>
      </c>
    </row>
    <row r="41245" spans="129:129" x14ac:dyDescent="0.2">
      <c r="DY41245" s="185" t="s">
        <v>215</v>
      </c>
    </row>
    <row r="41246" spans="129:129" x14ac:dyDescent="0.2">
      <c r="DY41246" s="185" t="s">
        <v>215</v>
      </c>
    </row>
    <row r="41247" spans="129:129" x14ac:dyDescent="0.2">
      <c r="DY41247" s="185" t="s">
        <v>215</v>
      </c>
    </row>
    <row r="41248" spans="129:129" x14ac:dyDescent="0.2">
      <c r="DY41248" s="185" t="s">
        <v>215</v>
      </c>
    </row>
    <row r="41249" spans="129:129" x14ac:dyDescent="0.2">
      <c r="DY41249" s="185" t="s">
        <v>215</v>
      </c>
    </row>
    <row r="41250" spans="129:129" x14ac:dyDescent="0.2">
      <c r="DY41250" s="185" t="s">
        <v>215</v>
      </c>
    </row>
    <row r="41251" spans="129:129" x14ac:dyDescent="0.2">
      <c r="DY41251" s="185" t="s">
        <v>215</v>
      </c>
    </row>
    <row r="41252" spans="129:129" x14ac:dyDescent="0.2">
      <c r="DY41252" s="185" t="s">
        <v>215</v>
      </c>
    </row>
    <row r="41253" spans="129:129" x14ac:dyDescent="0.2">
      <c r="DY41253" s="185" t="s">
        <v>215</v>
      </c>
    </row>
    <row r="41254" spans="129:129" x14ac:dyDescent="0.2">
      <c r="DY41254" s="185" t="s">
        <v>215</v>
      </c>
    </row>
    <row r="41255" spans="129:129" x14ac:dyDescent="0.2">
      <c r="DY41255" s="185" t="s">
        <v>215</v>
      </c>
    </row>
    <row r="41256" spans="129:129" x14ac:dyDescent="0.2">
      <c r="DY41256" s="185" t="s">
        <v>215</v>
      </c>
    </row>
    <row r="41257" spans="129:129" x14ac:dyDescent="0.2">
      <c r="DY41257" s="185" t="s">
        <v>215</v>
      </c>
    </row>
    <row r="41258" spans="129:129" x14ac:dyDescent="0.2">
      <c r="DY41258" s="185" t="s">
        <v>215</v>
      </c>
    </row>
    <row r="41259" spans="129:129" x14ac:dyDescent="0.2">
      <c r="DY41259" s="185" t="s">
        <v>215</v>
      </c>
    </row>
    <row r="41260" spans="129:129" x14ac:dyDescent="0.2">
      <c r="DY41260" s="185" t="s">
        <v>215</v>
      </c>
    </row>
    <row r="41261" spans="129:129" x14ac:dyDescent="0.2">
      <c r="DY41261" s="185" t="s">
        <v>215</v>
      </c>
    </row>
    <row r="41262" spans="129:129" x14ac:dyDescent="0.2">
      <c r="DY41262" s="185" t="s">
        <v>215</v>
      </c>
    </row>
    <row r="41263" spans="129:129" x14ac:dyDescent="0.2">
      <c r="DY41263" s="185" t="s">
        <v>215</v>
      </c>
    </row>
    <row r="41264" spans="129:129" x14ac:dyDescent="0.2">
      <c r="DY41264" s="185" t="s">
        <v>215</v>
      </c>
    </row>
    <row r="41265" spans="129:129" x14ac:dyDescent="0.2">
      <c r="DY41265" s="185" t="s">
        <v>215</v>
      </c>
    </row>
    <row r="41266" spans="129:129" x14ac:dyDescent="0.2">
      <c r="DY41266" s="185" t="s">
        <v>215</v>
      </c>
    </row>
    <row r="41267" spans="129:129" x14ac:dyDescent="0.2">
      <c r="DY41267" s="185" t="s">
        <v>215</v>
      </c>
    </row>
    <row r="41268" spans="129:129" x14ac:dyDescent="0.2">
      <c r="DY41268" s="185" t="s">
        <v>215</v>
      </c>
    </row>
    <row r="41269" spans="129:129" x14ac:dyDescent="0.2">
      <c r="DY41269" s="185" t="s">
        <v>215</v>
      </c>
    </row>
    <row r="41270" spans="129:129" x14ac:dyDescent="0.2">
      <c r="DY41270" s="185" t="s">
        <v>215</v>
      </c>
    </row>
    <row r="41271" spans="129:129" x14ac:dyDescent="0.2">
      <c r="DY41271" s="185" t="s">
        <v>215</v>
      </c>
    </row>
    <row r="41272" spans="129:129" x14ac:dyDescent="0.2">
      <c r="DY41272" s="185" t="s">
        <v>215</v>
      </c>
    </row>
    <row r="41273" spans="129:129" x14ac:dyDescent="0.2">
      <c r="DY41273" s="185" t="s">
        <v>215</v>
      </c>
    </row>
    <row r="41274" spans="129:129" x14ac:dyDescent="0.2">
      <c r="DY41274" s="185" t="s">
        <v>215</v>
      </c>
    </row>
    <row r="41275" spans="129:129" x14ac:dyDescent="0.2">
      <c r="DY41275" s="185" t="s">
        <v>215</v>
      </c>
    </row>
    <row r="41276" spans="129:129" x14ac:dyDescent="0.2">
      <c r="DY41276" s="185" t="s">
        <v>215</v>
      </c>
    </row>
    <row r="41277" spans="129:129" x14ac:dyDescent="0.2">
      <c r="DY41277" s="185" t="s">
        <v>215</v>
      </c>
    </row>
    <row r="41278" spans="129:129" x14ac:dyDescent="0.2">
      <c r="DY41278" s="185" t="s">
        <v>215</v>
      </c>
    </row>
    <row r="41279" spans="129:129" x14ac:dyDescent="0.2">
      <c r="DY41279" s="185" t="s">
        <v>215</v>
      </c>
    </row>
    <row r="41280" spans="129:129" x14ac:dyDescent="0.2">
      <c r="DY41280" s="185" t="s">
        <v>215</v>
      </c>
    </row>
    <row r="41281" spans="129:129" x14ac:dyDescent="0.2">
      <c r="DY41281" s="185" t="s">
        <v>215</v>
      </c>
    </row>
    <row r="41282" spans="129:129" x14ac:dyDescent="0.2">
      <c r="DY41282" s="185" t="s">
        <v>215</v>
      </c>
    </row>
    <row r="41283" spans="129:129" x14ac:dyDescent="0.2">
      <c r="DY41283" s="185" t="s">
        <v>215</v>
      </c>
    </row>
    <row r="41284" spans="129:129" x14ac:dyDescent="0.2">
      <c r="DY41284" s="185" t="s">
        <v>215</v>
      </c>
    </row>
    <row r="41285" spans="129:129" x14ac:dyDescent="0.2">
      <c r="DY41285" s="185" t="s">
        <v>215</v>
      </c>
    </row>
    <row r="41286" spans="129:129" x14ac:dyDescent="0.2">
      <c r="DY41286" s="185" t="s">
        <v>215</v>
      </c>
    </row>
    <row r="41287" spans="129:129" x14ac:dyDescent="0.2">
      <c r="DY41287" s="185" t="s">
        <v>215</v>
      </c>
    </row>
    <row r="41288" spans="129:129" x14ac:dyDescent="0.2">
      <c r="DY41288" s="185" t="s">
        <v>215</v>
      </c>
    </row>
    <row r="41289" spans="129:129" x14ac:dyDescent="0.2">
      <c r="DY41289" s="185" t="s">
        <v>215</v>
      </c>
    </row>
    <row r="41290" spans="129:129" x14ac:dyDescent="0.2">
      <c r="DY41290" s="185" t="s">
        <v>215</v>
      </c>
    </row>
    <row r="41291" spans="129:129" x14ac:dyDescent="0.2">
      <c r="DY41291" s="185" t="s">
        <v>215</v>
      </c>
    </row>
    <row r="41292" spans="129:129" x14ac:dyDescent="0.2">
      <c r="DY41292" s="185" t="s">
        <v>215</v>
      </c>
    </row>
    <row r="41293" spans="129:129" x14ac:dyDescent="0.2">
      <c r="DY41293" s="185" t="s">
        <v>215</v>
      </c>
    </row>
    <row r="41294" spans="129:129" x14ac:dyDescent="0.2">
      <c r="DY41294" s="185" t="s">
        <v>215</v>
      </c>
    </row>
    <row r="41295" spans="129:129" x14ac:dyDescent="0.2">
      <c r="DY41295" s="185" t="s">
        <v>215</v>
      </c>
    </row>
    <row r="41296" spans="129:129" x14ac:dyDescent="0.2">
      <c r="DY41296" s="185" t="s">
        <v>215</v>
      </c>
    </row>
    <row r="41297" spans="129:129" x14ac:dyDescent="0.2">
      <c r="DY41297" s="185" t="s">
        <v>215</v>
      </c>
    </row>
    <row r="41298" spans="129:129" x14ac:dyDescent="0.2">
      <c r="DY41298" s="185" t="s">
        <v>215</v>
      </c>
    </row>
    <row r="41299" spans="129:129" x14ac:dyDescent="0.2">
      <c r="DY41299" s="185" t="s">
        <v>215</v>
      </c>
    </row>
    <row r="41300" spans="129:129" x14ac:dyDescent="0.2">
      <c r="DY41300" s="185" t="s">
        <v>215</v>
      </c>
    </row>
    <row r="41301" spans="129:129" x14ac:dyDescent="0.2">
      <c r="DY41301" s="185" t="s">
        <v>215</v>
      </c>
    </row>
    <row r="41302" spans="129:129" x14ac:dyDescent="0.2">
      <c r="DY41302" s="185" t="s">
        <v>215</v>
      </c>
    </row>
    <row r="41303" spans="129:129" x14ac:dyDescent="0.2">
      <c r="DY41303" s="185" t="s">
        <v>215</v>
      </c>
    </row>
    <row r="41304" spans="129:129" x14ac:dyDescent="0.2">
      <c r="DY41304" s="185" t="s">
        <v>215</v>
      </c>
    </row>
    <row r="41305" spans="129:129" x14ac:dyDescent="0.2">
      <c r="DY41305" s="185" t="s">
        <v>215</v>
      </c>
    </row>
    <row r="41306" spans="129:129" x14ac:dyDescent="0.2">
      <c r="DY41306" s="185" t="s">
        <v>215</v>
      </c>
    </row>
    <row r="41307" spans="129:129" x14ac:dyDescent="0.2">
      <c r="DY41307" s="185" t="s">
        <v>215</v>
      </c>
    </row>
    <row r="41308" spans="129:129" x14ac:dyDescent="0.2">
      <c r="DY41308" s="185" t="s">
        <v>215</v>
      </c>
    </row>
    <row r="41309" spans="129:129" x14ac:dyDescent="0.2">
      <c r="DY41309" s="185" t="s">
        <v>215</v>
      </c>
    </row>
    <row r="41310" spans="129:129" x14ac:dyDescent="0.2">
      <c r="DY41310" s="185" t="s">
        <v>215</v>
      </c>
    </row>
    <row r="41311" spans="129:129" x14ac:dyDescent="0.2">
      <c r="DY41311" s="185" t="s">
        <v>215</v>
      </c>
    </row>
    <row r="41312" spans="129:129" x14ac:dyDescent="0.2">
      <c r="DY41312" s="185" t="s">
        <v>215</v>
      </c>
    </row>
    <row r="41313" spans="129:129" x14ac:dyDescent="0.2">
      <c r="DY41313" s="185" t="s">
        <v>215</v>
      </c>
    </row>
    <row r="41314" spans="129:129" x14ac:dyDescent="0.2">
      <c r="DY41314" s="185" t="s">
        <v>215</v>
      </c>
    </row>
    <row r="41315" spans="129:129" x14ac:dyDescent="0.2">
      <c r="DY41315" s="185" t="s">
        <v>215</v>
      </c>
    </row>
    <row r="41316" spans="129:129" x14ac:dyDescent="0.2">
      <c r="DY41316" s="185" t="s">
        <v>215</v>
      </c>
    </row>
    <row r="41317" spans="129:129" x14ac:dyDescent="0.2">
      <c r="DY41317" s="185" t="s">
        <v>215</v>
      </c>
    </row>
    <row r="41318" spans="129:129" x14ac:dyDescent="0.2">
      <c r="DY41318" s="185" t="s">
        <v>215</v>
      </c>
    </row>
    <row r="41319" spans="129:129" x14ac:dyDescent="0.2">
      <c r="DY41319" s="185" t="s">
        <v>215</v>
      </c>
    </row>
    <row r="41320" spans="129:129" x14ac:dyDescent="0.2">
      <c r="DY41320" s="185" t="s">
        <v>215</v>
      </c>
    </row>
    <row r="41321" spans="129:129" x14ac:dyDescent="0.2">
      <c r="DY41321" s="185" t="s">
        <v>215</v>
      </c>
    </row>
    <row r="41322" spans="129:129" x14ac:dyDescent="0.2">
      <c r="DY41322" s="185" t="s">
        <v>215</v>
      </c>
    </row>
    <row r="41323" spans="129:129" x14ac:dyDescent="0.2">
      <c r="DY41323" s="185" t="s">
        <v>215</v>
      </c>
    </row>
    <row r="41324" spans="129:129" x14ac:dyDescent="0.2">
      <c r="DY41324" s="185" t="s">
        <v>215</v>
      </c>
    </row>
    <row r="41325" spans="129:129" x14ac:dyDescent="0.2">
      <c r="DY41325" s="185" t="s">
        <v>215</v>
      </c>
    </row>
    <row r="41326" spans="129:129" x14ac:dyDescent="0.2">
      <c r="DY41326" s="185" t="s">
        <v>215</v>
      </c>
    </row>
    <row r="41327" spans="129:129" x14ac:dyDescent="0.2">
      <c r="DY41327" s="185" t="s">
        <v>215</v>
      </c>
    </row>
    <row r="41328" spans="129:129" x14ac:dyDescent="0.2">
      <c r="DY41328" s="185" t="s">
        <v>215</v>
      </c>
    </row>
    <row r="41329" spans="129:129" x14ac:dyDescent="0.2">
      <c r="DY41329" s="185" t="s">
        <v>215</v>
      </c>
    </row>
    <row r="41330" spans="129:129" x14ac:dyDescent="0.2">
      <c r="DY41330" s="185" t="s">
        <v>215</v>
      </c>
    </row>
    <row r="41331" spans="129:129" x14ac:dyDescent="0.2">
      <c r="DY41331" s="185" t="s">
        <v>215</v>
      </c>
    </row>
    <row r="41332" spans="129:129" x14ac:dyDescent="0.2">
      <c r="DY41332" s="185" t="s">
        <v>215</v>
      </c>
    </row>
    <row r="41333" spans="129:129" x14ac:dyDescent="0.2">
      <c r="DY41333" s="185" t="s">
        <v>215</v>
      </c>
    </row>
    <row r="41334" spans="129:129" x14ac:dyDescent="0.2">
      <c r="DY41334" s="185" t="s">
        <v>215</v>
      </c>
    </row>
    <row r="41335" spans="129:129" x14ac:dyDescent="0.2">
      <c r="DY41335" s="185" t="s">
        <v>215</v>
      </c>
    </row>
    <row r="41336" spans="129:129" x14ac:dyDescent="0.2">
      <c r="DY41336" s="185" t="s">
        <v>215</v>
      </c>
    </row>
    <row r="41337" spans="129:129" x14ac:dyDescent="0.2">
      <c r="DY41337" s="185" t="s">
        <v>215</v>
      </c>
    </row>
    <row r="41338" spans="129:129" x14ac:dyDescent="0.2">
      <c r="DY41338" s="185" t="s">
        <v>215</v>
      </c>
    </row>
    <row r="41339" spans="129:129" x14ac:dyDescent="0.2">
      <c r="DY41339" s="185" t="s">
        <v>215</v>
      </c>
    </row>
    <row r="41340" spans="129:129" x14ac:dyDescent="0.2">
      <c r="DY41340" s="185" t="s">
        <v>215</v>
      </c>
    </row>
    <row r="41341" spans="129:129" x14ac:dyDescent="0.2">
      <c r="DY41341" s="185" t="s">
        <v>215</v>
      </c>
    </row>
    <row r="41342" spans="129:129" x14ac:dyDescent="0.2">
      <c r="DY41342" s="185" t="s">
        <v>215</v>
      </c>
    </row>
    <row r="41343" spans="129:129" x14ac:dyDescent="0.2">
      <c r="DY41343" s="185" t="s">
        <v>215</v>
      </c>
    </row>
    <row r="41344" spans="129:129" x14ac:dyDescent="0.2">
      <c r="DY41344" s="185" t="s">
        <v>215</v>
      </c>
    </row>
    <row r="41345" spans="129:129" x14ac:dyDescent="0.2">
      <c r="DY41345" s="185" t="s">
        <v>215</v>
      </c>
    </row>
    <row r="41346" spans="129:129" x14ac:dyDescent="0.2">
      <c r="DY41346" s="185" t="s">
        <v>215</v>
      </c>
    </row>
    <row r="41347" spans="129:129" x14ac:dyDescent="0.2">
      <c r="DY41347" s="185" t="s">
        <v>215</v>
      </c>
    </row>
    <row r="41348" spans="129:129" x14ac:dyDescent="0.2">
      <c r="DY41348" s="185" t="s">
        <v>215</v>
      </c>
    </row>
    <row r="41349" spans="129:129" x14ac:dyDescent="0.2">
      <c r="DY41349" s="185" t="s">
        <v>215</v>
      </c>
    </row>
    <row r="41350" spans="129:129" x14ac:dyDescent="0.2">
      <c r="DY41350" s="185" t="s">
        <v>215</v>
      </c>
    </row>
    <row r="41351" spans="129:129" x14ac:dyDescent="0.2">
      <c r="DY41351" s="185" t="s">
        <v>215</v>
      </c>
    </row>
    <row r="41352" spans="129:129" x14ac:dyDescent="0.2">
      <c r="DY41352" s="185" t="s">
        <v>215</v>
      </c>
    </row>
    <row r="41353" spans="129:129" x14ac:dyDescent="0.2">
      <c r="DY41353" s="185" t="s">
        <v>215</v>
      </c>
    </row>
    <row r="41354" spans="129:129" x14ac:dyDescent="0.2">
      <c r="DY41354" s="185" t="s">
        <v>215</v>
      </c>
    </row>
    <row r="41355" spans="129:129" x14ac:dyDescent="0.2">
      <c r="DY41355" s="185" t="s">
        <v>215</v>
      </c>
    </row>
    <row r="41356" spans="129:129" x14ac:dyDescent="0.2">
      <c r="DY41356" s="185" t="s">
        <v>215</v>
      </c>
    </row>
    <row r="41357" spans="129:129" x14ac:dyDescent="0.2">
      <c r="DY41357" s="185" t="s">
        <v>215</v>
      </c>
    </row>
    <row r="41358" spans="129:129" x14ac:dyDescent="0.2">
      <c r="DY41358" s="185" t="s">
        <v>215</v>
      </c>
    </row>
    <row r="41359" spans="129:129" x14ac:dyDescent="0.2">
      <c r="DY41359" s="185" t="s">
        <v>215</v>
      </c>
    </row>
    <row r="41360" spans="129:129" x14ac:dyDescent="0.2">
      <c r="DY41360" s="185" t="s">
        <v>215</v>
      </c>
    </row>
    <row r="41361" spans="129:129" x14ac:dyDescent="0.2">
      <c r="DY41361" s="185" t="s">
        <v>215</v>
      </c>
    </row>
    <row r="41362" spans="129:129" x14ac:dyDescent="0.2">
      <c r="DY41362" s="185" t="s">
        <v>215</v>
      </c>
    </row>
    <row r="41363" spans="129:129" x14ac:dyDescent="0.2">
      <c r="DY41363" s="185" t="s">
        <v>215</v>
      </c>
    </row>
    <row r="41364" spans="129:129" x14ac:dyDescent="0.2">
      <c r="DY41364" s="185" t="s">
        <v>215</v>
      </c>
    </row>
    <row r="41365" spans="129:129" x14ac:dyDescent="0.2">
      <c r="DY41365" s="185" t="s">
        <v>215</v>
      </c>
    </row>
    <row r="41366" spans="129:129" x14ac:dyDescent="0.2">
      <c r="DY41366" s="185" t="s">
        <v>215</v>
      </c>
    </row>
    <row r="41367" spans="129:129" x14ac:dyDescent="0.2">
      <c r="DY41367" s="185" t="s">
        <v>215</v>
      </c>
    </row>
    <row r="41368" spans="129:129" x14ac:dyDescent="0.2">
      <c r="DY41368" s="185" t="s">
        <v>215</v>
      </c>
    </row>
    <row r="41369" spans="129:129" x14ac:dyDescent="0.2">
      <c r="DY41369" s="185" t="s">
        <v>215</v>
      </c>
    </row>
    <row r="41370" spans="129:129" x14ac:dyDescent="0.2">
      <c r="DY41370" s="185" t="s">
        <v>215</v>
      </c>
    </row>
    <row r="41371" spans="129:129" x14ac:dyDescent="0.2">
      <c r="DY41371" s="185" t="s">
        <v>215</v>
      </c>
    </row>
    <row r="41372" spans="129:129" x14ac:dyDescent="0.2">
      <c r="DY41372" s="185" t="s">
        <v>215</v>
      </c>
    </row>
    <row r="41373" spans="129:129" x14ac:dyDescent="0.2">
      <c r="DY41373" s="185" t="s">
        <v>215</v>
      </c>
    </row>
    <row r="41374" spans="129:129" x14ac:dyDescent="0.2">
      <c r="DY41374" s="185" t="s">
        <v>215</v>
      </c>
    </row>
    <row r="41375" spans="129:129" x14ac:dyDescent="0.2">
      <c r="DY41375" s="185" t="s">
        <v>215</v>
      </c>
    </row>
    <row r="41376" spans="129:129" x14ac:dyDescent="0.2">
      <c r="DY41376" s="185" t="s">
        <v>215</v>
      </c>
    </row>
    <row r="41377" spans="129:129" x14ac:dyDescent="0.2">
      <c r="DY41377" s="185" t="s">
        <v>215</v>
      </c>
    </row>
    <row r="41378" spans="129:129" x14ac:dyDescent="0.2">
      <c r="DY41378" s="185" t="s">
        <v>215</v>
      </c>
    </row>
    <row r="41379" spans="129:129" x14ac:dyDescent="0.2">
      <c r="DY41379" s="185" t="s">
        <v>215</v>
      </c>
    </row>
    <row r="41380" spans="129:129" x14ac:dyDescent="0.2">
      <c r="DY41380" s="185" t="s">
        <v>215</v>
      </c>
    </row>
    <row r="41381" spans="129:129" x14ac:dyDescent="0.2">
      <c r="DY41381" s="185" t="s">
        <v>215</v>
      </c>
    </row>
    <row r="41382" spans="129:129" x14ac:dyDescent="0.2">
      <c r="DY41382" s="185" t="s">
        <v>215</v>
      </c>
    </row>
    <row r="41383" spans="129:129" x14ac:dyDescent="0.2">
      <c r="DY41383" s="185" t="s">
        <v>215</v>
      </c>
    </row>
    <row r="41384" spans="129:129" x14ac:dyDescent="0.2">
      <c r="DY41384" s="185" t="s">
        <v>215</v>
      </c>
    </row>
    <row r="41385" spans="129:129" x14ac:dyDescent="0.2">
      <c r="DY41385" s="185" t="s">
        <v>215</v>
      </c>
    </row>
    <row r="41386" spans="129:129" x14ac:dyDescent="0.2">
      <c r="DY41386" s="185" t="s">
        <v>215</v>
      </c>
    </row>
    <row r="41387" spans="129:129" x14ac:dyDescent="0.2">
      <c r="DY41387" s="185" t="s">
        <v>215</v>
      </c>
    </row>
    <row r="41388" spans="129:129" x14ac:dyDescent="0.2">
      <c r="DY41388" s="185" t="s">
        <v>215</v>
      </c>
    </row>
    <row r="41389" spans="129:129" x14ac:dyDescent="0.2">
      <c r="DY41389" s="185" t="s">
        <v>215</v>
      </c>
    </row>
    <row r="41390" spans="129:129" x14ac:dyDescent="0.2">
      <c r="DY41390" s="185" t="s">
        <v>215</v>
      </c>
    </row>
    <row r="41391" spans="129:129" x14ac:dyDescent="0.2">
      <c r="DY41391" s="185" t="s">
        <v>215</v>
      </c>
    </row>
    <row r="41392" spans="129:129" x14ac:dyDescent="0.2">
      <c r="DY41392" s="185" t="s">
        <v>215</v>
      </c>
    </row>
    <row r="41393" spans="129:129" x14ac:dyDescent="0.2">
      <c r="DY41393" s="185" t="s">
        <v>215</v>
      </c>
    </row>
    <row r="41394" spans="129:129" x14ac:dyDescent="0.2">
      <c r="DY41394" s="185" t="s">
        <v>215</v>
      </c>
    </row>
    <row r="41395" spans="129:129" x14ac:dyDescent="0.2">
      <c r="DY41395" s="185" t="s">
        <v>215</v>
      </c>
    </row>
    <row r="41396" spans="129:129" x14ac:dyDescent="0.2">
      <c r="DY41396" s="185" t="s">
        <v>215</v>
      </c>
    </row>
    <row r="41397" spans="129:129" x14ac:dyDescent="0.2">
      <c r="DY41397" s="185" t="s">
        <v>215</v>
      </c>
    </row>
    <row r="41398" spans="129:129" x14ac:dyDescent="0.2">
      <c r="DY41398" s="185" t="s">
        <v>215</v>
      </c>
    </row>
    <row r="41399" spans="129:129" x14ac:dyDescent="0.2">
      <c r="DY41399" s="185" t="s">
        <v>215</v>
      </c>
    </row>
    <row r="41400" spans="129:129" x14ac:dyDescent="0.2">
      <c r="DY41400" s="185" t="s">
        <v>215</v>
      </c>
    </row>
    <row r="41401" spans="129:129" x14ac:dyDescent="0.2">
      <c r="DY41401" s="185" t="s">
        <v>215</v>
      </c>
    </row>
    <row r="41402" spans="129:129" x14ac:dyDescent="0.2">
      <c r="DY41402" s="185" t="s">
        <v>215</v>
      </c>
    </row>
    <row r="41403" spans="129:129" x14ac:dyDescent="0.2">
      <c r="DY41403" s="185" t="s">
        <v>215</v>
      </c>
    </row>
    <row r="41404" spans="129:129" x14ac:dyDescent="0.2">
      <c r="DY41404" s="185" t="s">
        <v>215</v>
      </c>
    </row>
    <row r="41405" spans="129:129" x14ac:dyDescent="0.2">
      <c r="DY41405" s="185" t="s">
        <v>215</v>
      </c>
    </row>
    <row r="41406" spans="129:129" x14ac:dyDescent="0.2">
      <c r="DY41406" s="185" t="s">
        <v>215</v>
      </c>
    </row>
    <row r="41407" spans="129:129" x14ac:dyDescent="0.2">
      <c r="DY41407" s="185" t="s">
        <v>215</v>
      </c>
    </row>
    <row r="41408" spans="129:129" x14ac:dyDescent="0.2">
      <c r="DY41408" s="185" t="s">
        <v>215</v>
      </c>
    </row>
    <row r="41409" spans="129:129" x14ac:dyDescent="0.2">
      <c r="DY41409" s="185" t="s">
        <v>215</v>
      </c>
    </row>
    <row r="41410" spans="129:129" x14ac:dyDescent="0.2">
      <c r="DY41410" s="185" t="s">
        <v>215</v>
      </c>
    </row>
    <row r="41411" spans="129:129" x14ac:dyDescent="0.2">
      <c r="DY41411" s="185" t="s">
        <v>215</v>
      </c>
    </row>
    <row r="41412" spans="129:129" x14ac:dyDescent="0.2">
      <c r="DY41412" s="185" t="s">
        <v>215</v>
      </c>
    </row>
    <row r="41413" spans="129:129" x14ac:dyDescent="0.2">
      <c r="DY41413" s="185" t="s">
        <v>215</v>
      </c>
    </row>
    <row r="41414" spans="129:129" x14ac:dyDescent="0.2">
      <c r="DY41414" s="185" t="s">
        <v>215</v>
      </c>
    </row>
    <row r="41415" spans="129:129" x14ac:dyDescent="0.2">
      <c r="DY41415" s="185" t="s">
        <v>215</v>
      </c>
    </row>
    <row r="41416" spans="129:129" x14ac:dyDescent="0.2">
      <c r="DY41416" s="185" t="s">
        <v>215</v>
      </c>
    </row>
    <row r="41417" spans="129:129" x14ac:dyDescent="0.2">
      <c r="DY41417" s="185" t="s">
        <v>215</v>
      </c>
    </row>
    <row r="41418" spans="129:129" x14ac:dyDescent="0.2">
      <c r="DY41418" s="185" t="s">
        <v>215</v>
      </c>
    </row>
    <row r="41419" spans="129:129" x14ac:dyDescent="0.2">
      <c r="DY41419" s="185" t="s">
        <v>215</v>
      </c>
    </row>
    <row r="41420" spans="129:129" x14ac:dyDescent="0.2">
      <c r="DY41420" s="185" t="s">
        <v>215</v>
      </c>
    </row>
    <row r="41421" spans="129:129" x14ac:dyDescent="0.2">
      <c r="DY41421" s="185" t="s">
        <v>215</v>
      </c>
    </row>
    <row r="41422" spans="129:129" x14ac:dyDescent="0.2">
      <c r="DY41422" s="185" t="s">
        <v>215</v>
      </c>
    </row>
    <row r="41423" spans="129:129" x14ac:dyDescent="0.2">
      <c r="DY41423" s="185" t="s">
        <v>215</v>
      </c>
    </row>
    <row r="41424" spans="129:129" x14ac:dyDescent="0.2">
      <c r="DY41424" s="185" t="s">
        <v>215</v>
      </c>
    </row>
    <row r="41425" spans="129:129" x14ac:dyDescent="0.2">
      <c r="DY41425" s="185" t="s">
        <v>215</v>
      </c>
    </row>
    <row r="41426" spans="129:129" x14ac:dyDescent="0.2">
      <c r="DY41426" s="185" t="s">
        <v>215</v>
      </c>
    </row>
    <row r="41427" spans="129:129" x14ac:dyDescent="0.2">
      <c r="DY41427" s="185" t="s">
        <v>215</v>
      </c>
    </row>
    <row r="41428" spans="129:129" x14ac:dyDescent="0.2">
      <c r="DY41428" s="185" t="s">
        <v>215</v>
      </c>
    </row>
    <row r="41429" spans="129:129" x14ac:dyDescent="0.2">
      <c r="DY41429" s="185" t="s">
        <v>215</v>
      </c>
    </row>
    <row r="41430" spans="129:129" x14ac:dyDescent="0.2">
      <c r="DY41430" s="185" t="s">
        <v>215</v>
      </c>
    </row>
    <row r="41431" spans="129:129" x14ac:dyDescent="0.2">
      <c r="DY41431" s="185" t="s">
        <v>215</v>
      </c>
    </row>
    <row r="41432" spans="129:129" x14ac:dyDescent="0.2">
      <c r="DY41432" s="185" t="s">
        <v>215</v>
      </c>
    </row>
    <row r="41433" spans="129:129" x14ac:dyDescent="0.2">
      <c r="DY41433" s="185" t="s">
        <v>215</v>
      </c>
    </row>
    <row r="41434" spans="129:129" x14ac:dyDescent="0.2">
      <c r="DY41434" s="185" t="s">
        <v>215</v>
      </c>
    </row>
    <row r="41435" spans="129:129" x14ac:dyDescent="0.2">
      <c r="DY41435" s="185" t="s">
        <v>215</v>
      </c>
    </row>
    <row r="41436" spans="129:129" x14ac:dyDescent="0.2">
      <c r="DY41436" s="185" t="s">
        <v>215</v>
      </c>
    </row>
    <row r="41437" spans="129:129" x14ac:dyDescent="0.2">
      <c r="DY41437" s="185" t="s">
        <v>215</v>
      </c>
    </row>
    <row r="41438" spans="129:129" x14ac:dyDescent="0.2">
      <c r="DY41438" s="185" t="s">
        <v>215</v>
      </c>
    </row>
    <row r="41439" spans="129:129" x14ac:dyDescent="0.2">
      <c r="DY41439" s="185" t="s">
        <v>215</v>
      </c>
    </row>
    <row r="41440" spans="129:129" x14ac:dyDescent="0.2">
      <c r="DY41440" s="185" t="s">
        <v>215</v>
      </c>
    </row>
    <row r="41441" spans="129:129" x14ac:dyDescent="0.2">
      <c r="DY41441" s="185" t="s">
        <v>215</v>
      </c>
    </row>
    <row r="41442" spans="129:129" x14ac:dyDescent="0.2">
      <c r="DY41442" s="185" t="s">
        <v>215</v>
      </c>
    </row>
    <row r="41443" spans="129:129" x14ac:dyDescent="0.2">
      <c r="DY41443" s="185" t="s">
        <v>215</v>
      </c>
    </row>
    <row r="41444" spans="129:129" x14ac:dyDescent="0.2">
      <c r="DY41444" s="185" t="s">
        <v>215</v>
      </c>
    </row>
    <row r="41445" spans="129:129" x14ac:dyDescent="0.2">
      <c r="DY41445" s="185" t="s">
        <v>215</v>
      </c>
    </row>
    <row r="41446" spans="129:129" x14ac:dyDescent="0.2">
      <c r="DY41446" s="185" t="s">
        <v>215</v>
      </c>
    </row>
    <row r="41447" spans="129:129" x14ac:dyDescent="0.2">
      <c r="DY41447" s="185" t="s">
        <v>215</v>
      </c>
    </row>
    <row r="41448" spans="129:129" x14ac:dyDescent="0.2">
      <c r="DY41448" s="185" t="s">
        <v>215</v>
      </c>
    </row>
    <row r="41449" spans="129:129" x14ac:dyDescent="0.2">
      <c r="DY41449" s="185" t="s">
        <v>215</v>
      </c>
    </row>
    <row r="41450" spans="129:129" x14ac:dyDescent="0.2">
      <c r="DY41450" s="185" t="s">
        <v>215</v>
      </c>
    </row>
    <row r="41451" spans="129:129" x14ac:dyDescent="0.2">
      <c r="DY41451" s="185" t="s">
        <v>215</v>
      </c>
    </row>
    <row r="41452" spans="129:129" x14ac:dyDescent="0.2">
      <c r="DY41452" s="185" t="s">
        <v>215</v>
      </c>
    </row>
    <row r="41453" spans="129:129" x14ac:dyDescent="0.2">
      <c r="DY41453" s="185" t="s">
        <v>215</v>
      </c>
    </row>
    <row r="41454" spans="129:129" x14ac:dyDescent="0.2">
      <c r="DY41454" s="185" t="s">
        <v>215</v>
      </c>
    </row>
    <row r="41455" spans="129:129" x14ac:dyDescent="0.2">
      <c r="DY41455" s="185" t="s">
        <v>215</v>
      </c>
    </row>
    <row r="41456" spans="129:129" x14ac:dyDescent="0.2">
      <c r="DY41456" s="185" t="s">
        <v>215</v>
      </c>
    </row>
    <row r="41457" spans="129:129" x14ac:dyDescent="0.2">
      <c r="DY41457" s="185" t="s">
        <v>215</v>
      </c>
    </row>
    <row r="41458" spans="129:129" x14ac:dyDescent="0.2">
      <c r="DY41458" s="185" t="s">
        <v>215</v>
      </c>
    </row>
    <row r="41459" spans="129:129" x14ac:dyDescent="0.2">
      <c r="DY41459" s="185" t="s">
        <v>215</v>
      </c>
    </row>
    <row r="41460" spans="129:129" x14ac:dyDescent="0.2">
      <c r="DY41460" s="185" t="s">
        <v>215</v>
      </c>
    </row>
    <row r="41461" spans="129:129" x14ac:dyDescent="0.2">
      <c r="DY41461" s="185" t="s">
        <v>215</v>
      </c>
    </row>
    <row r="41462" spans="129:129" x14ac:dyDescent="0.2">
      <c r="DY41462" s="185" t="s">
        <v>215</v>
      </c>
    </row>
    <row r="41463" spans="129:129" x14ac:dyDescent="0.2">
      <c r="DY41463" s="185" t="s">
        <v>215</v>
      </c>
    </row>
    <row r="41464" spans="129:129" x14ac:dyDescent="0.2">
      <c r="DY41464" s="185" t="s">
        <v>215</v>
      </c>
    </row>
    <row r="41465" spans="129:129" x14ac:dyDescent="0.2">
      <c r="DY41465" s="185" t="s">
        <v>215</v>
      </c>
    </row>
    <row r="41466" spans="129:129" x14ac:dyDescent="0.2">
      <c r="DY41466" s="185" t="s">
        <v>215</v>
      </c>
    </row>
    <row r="41467" spans="129:129" x14ac:dyDescent="0.2">
      <c r="DY41467" s="185" t="s">
        <v>215</v>
      </c>
    </row>
    <row r="41468" spans="129:129" x14ac:dyDescent="0.2">
      <c r="DY41468" s="185" t="s">
        <v>215</v>
      </c>
    </row>
    <row r="41469" spans="129:129" x14ac:dyDescent="0.2">
      <c r="DY41469" s="185" t="s">
        <v>215</v>
      </c>
    </row>
    <row r="41470" spans="129:129" x14ac:dyDescent="0.2">
      <c r="DY41470" s="185" t="s">
        <v>215</v>
      </c>
    </row>
    <row r="41471" spans="129:129" x14ac:dyDescent="0.2">
      <c r="DY41471" s="185" t="s">
        <v>215</v>
      </c>
    </row>
    <row r="41472" spans="129:129" x14ac:dyDescent="0.2">
      <c r="DY41472" s="185" t="s">
        <v>215</v>
      </c>
    </row>
    <row r="41473" spans="129:129" x14ac:dyDescent="0.2">
      <c r="DY41473" s="185" t="s">
        <v>215</v>
      </c>
    </row>
    <row r="41474" spans="129:129" x14ac:dyDescent="0.2">
      <c r="DY41474" s="185" t="s">
        <v>215</v>
      </c>
    </row>
    <row r="41475" spans="129:129" x14ac:dyDescent="0.2">
      <c r="DY41475" s="185" t="s">
        <v>215</v>
      </c>
    </row>
    <row r="41476" spans="129:129" x14ac:dyDescent="0.2">
      <c r="DY41476" s="185" t="s">
        <v>215</v>
      </c>
    </row>
    <row r="41477" spans="129:129" x14ac:dyDescent="0.2">
      <c r="DY41477" s="185" t="s">
        <v>215</v>
      </c>
    </row>
    <row r="41478" spans="129:129" x14ac:dyDescent="0.2">
      <c r="DY41478" s="185" t="s">
        <v>215</v>
      </c>
    </row>
    <row r="41479" spans="129:129" x14ac:dyDescent="0.2">
      <c r="DY41479" s="185" t="s">
        <v>215</v>
      </c>
    </row>
    <row r="41480" spans="129:129" x14ac:dyDescent="0.2">
      <c r="DY41480" s="185" t="s">
        <v>215</v>
      </c>
    </row>
    <row r="41481" spans="129:129" x14ac:dyDescent="0.2">
      <c r="DY41481" s="185" t="s">
        <v>215</v>
      </c>
    </row>
    <row r="41482" spans="129:129" x14ac:dyDescent="0.2">
      <c r="DY41482" s="185" t="s">
        <v>215</v>
      </c>
    </row>
    <row r="41483" spans="129:129" x14ac:dyDescent="0.2">
      <c r="DY41483" s="185" t="s">
        <v>215</v>
      </c>
    </row>
    <row r="41484" spans="129:129" x14ac:dyDescent="0.2">
      <c r="DY41484" s="185" t="s">
        <v>215</v>
      </c>
    </row>
    <row r="41485" spans="129:129" x14ac:dyDescent="0.2">
      <c r="DY41485" s="185" t="s">
        <v>215</v>
      </c>
    </row>
    <row r="41486" spans="129:129" x14ac:dyDescent="0.2">
      <c r="DY41486" s="185" t="s">
        <v>215</v>
      </c>
    </row>
    <row r="41487" spans="129:129" x14ac:dyDescent="0.2">
      <c r="DY41487" s="185" t="s">
        <v>215</v>
      </c>
    </row>
    <row r="41488" spans="129:129" x14ac:dyDescent="0.2">
      <c r="DY41488" s="185" t="s">
        <v>215</v>
      </c>
    </row>
    <row r="41489" spans="129:129" x14ac:dyDescent="0.2">
      <c r="DY41489" s="185" t="s">
        <v>215</v>
      </c>
    </row>
    <row r="41490" spans="129:129" x14ac:dyDescent="0.2">
      <c r="DY41490" s="185" t="s">
        <v>215</v>
      </c>
    </row>
    <row r="41491" spans="129:129" x14ac:dyDescent="0.2">
      <c r="DY41491" s="185" t="s">
        <v>215</v>
      </c>
    </row>
    <row r="41492" spans="129:129" x14ac:dyDescent="0.2">
      <c r="DY41492" s="185" t="s">
        <v>215</v>
      </c>
    </row>
    <row r="41493" spans="129:129" x14ac:dyDescent="0.2">
      <c r="DY41493" s="185" t="s">
        <v>215</v>
      </c>
    </row>
    <row r="41494" spans="129:129" x14ac:dyDescent="0.2">
      <c r="DY41494" s="185" t="s">
        <v>215</v>
      </c>
    </row>
    <row r="41495" spans="129:129" x14ac:dyDescent="0.2">
      <c r="DY41495" s="185" t="s">
        <v>215</v>
      </c>
    </row>
    <row r="41496" spans="129:129" x14ac:dyDescent="0.2">
      <c r="DY41496" s="185" t="s">
        <v>215</v>
      </c>
    </row>
    <row r="41497" spans="129:129" x14ac:dyDescent="0.2">
      <c r="DY41497" s="185" t="s">
        <v>215</v>
      </c>
    </row>
    <row r="41498" spans="129:129" x14ac:dyDescent="0.2">
      <c r="DY41498" s="185" t="s">
        <v>215</v>
      </c>
    </row>
    <row r="41499" spans="129:129" x14ac:dyDescent="0.2">
      <c r="DY41499" s="185" t="s">
        <v>215</v>
      </c>
    </row>
    <row r="41500" spans="129:129" x14ac:dyDescent="0.2">
      <c r="DY41500" s="185" t="s">
        <v>215</v>
      </c>
    </row>
    <row r="41501" spans="129:129" x14ac:dyDescent="0.2">
      <c r="DY41501" s="185" t="s">
        <v>215</v>
      </c>
    </row>
    <row r="41502" spans="129:129" x14ac:dyDescent="0.2">
      <c r="DY41502" s="185" t="s">
        <v>215</v>
      </c>
    </row>
    <row r="41503" spans="129:129" x14ac:dyDescent="0.2">
      <c r="DY41503" s="185" t="s">
        <v>215</v>
      </c>
    </row>
    <row r="41504" spans="129:129" x14ac:dyDescent="0.2">
      <c r="DY41504" s="185" t="s">
        <v>215</v>
      </c>
    </row>
    <row r="41505" spans="129:129" x14ac:dyDescent="0.2">
      <c r="DY41505" s="185" t="s">
        <v>215</v>
      </c>
    </row>
    <row r="41506" spans="129:129" x14ac:dyDescent="0.2">
      <c r="DY41506" s="185" t="s">
        <v>215</v>
      </c>
    </row>
    <row r="41507" spans="129:129" x14ac:dyDescent="0.2">
      <c r="DY41507" s="185" t="s">
        <v>215</v>
      </c>
    </row>
    <row r="41508" spans="129:129" x14ac:dyDescent="0.2">
      <c r="DY41508" s="185" t="s">
        <v>215</v>
      </c>
    </row>
    <row r="41509" spans="129:129" x14ac:dyDescent="0.2">
      <c r="DY41509" s="185" t="s">
        <v>215</v>
      </c>
    </row>
    <row r="41510" spans="129:129" x14ac:dyDescent="0.2">
      <c r="DY41510" s="185" t="s">
        <v>215</v>
      </c>
    </row>
    <row r="41511" spans="129:129" x14ac:dyDescent="0.2">
      <c r="DY41511" s="185" t="s">
        <v>215</v>
      </c>
    </row>
    <row r="41512" spans="129:129" x14ac:dyDescent="0.2">
      <c r="DY41512" s="185" t="s">
        <v>215</v>
      </c>
    </row>
    <row r="41513" spans="129:129" x14ac:dyDescent="0.2">
      <c r="DY41513" s="185" t="s">
        <v>215</v>
      </c>
    </row>
    <row r="41514" spans="129:129" x14ac:dyDescent="0.2">
      <c r="DY41514" s="185" t="s">
        <v>215</v>
      </c>
    </row>
    <row r="41515" spans="129:129" x14ac:dyDescent="0.2">
      <c r="DY41515" s="185" t="s">
        <v>215</v>
      </c>
    </row>
    <row r="41516" spans="129:129" x14ac:dyDescent="0.2">
      <c r="DY41516" s="185" t="s">
        <v>215</v>
      </c>
    </row>
    <row r="41517" spans="129:129" x14ac:dyDescent="0.2">
      <c r="DY41517" s="185" t="s">
        <v>215</v>
      </c>
    </row>
    <row r="41518" spans="129:129" x14ac:dyDescent="0.2">
      <c r="DY41518" s="185" t="s">
        <v>215</v>
      </c>
    </row>
    <row r="41519" spans="129:129" x14ac:dyDescent="0.2">
      <c r="DY41519" s="185" t="s">
        <v>215</v>
      </c>
    </row>
    <row r="41520" spans="129:129" x14ac:dyDescent="0.2">
      <c r="DY41520" s="185" t="s">
        <v>215</v>
      </c>
    </row>
    <row r="41521" spans="129:129" x14ac:dyDescent="0.2">
      <c r="DY41521" s="185" t="s">
        <v>215</v>
      </c>
    </row>
    <row r="41522" spans="129:129" x14ac:dyDescent="0.2">
      <c r="DY41522" s="185" t="s">
        <v>215</v>
      </c>
    </row>
    <row r="41523" spans="129:129" x14ac:dyDescent="0.2">
      <c r="DY41523" s="185" t="s">
        <v>215</v>
      </c>
    </row>
    <row r="41524" spans="129:129" x14ac:dyDescent="0.2">
      <c r="DY41524" s="185" t="s">
        <v>215</v>
      </c>
    </row>
    <row r="41525" spans="129:129" x14ac:dyDescent="0.2">
      <c r="DY41525" s="185" t="s">
        <v>215</v>
      </c>
    </row>
    <row r="41526" spans="129:129" x14ac:dyDescent="0.2">
      <c r="DY41526" s="185" t="s">
        <v>215</v>
      </c>
    </row>
    <row r="41527" spans="129:129" x14ac:dyDescent="0.2">
      <c r="DY41527" s="185" t="s">
        <v>215</v>
      </c>
    </row>
    <row r="41528" spans="129:129" x14ac:dyDescent="0.2">
      <c r="DY41528" s="185" t="s">
        <v>215</v>
      </c>
    </row>
    <row r="41529" spans="129:129" x14ac:dyDescent="0.2">
      <c r="DY41529" s="185" t="s">
        <v>215</v>
      </c>
    </row>
    <row r="41530" spans="129:129" x14ac:dyDescent="0.2">
      <c r="DY41530" s="185" t="s">
        <v>215</v>
      </c>
    </row>
    <row r="41531" spans="129:129" x14ac:dyDescent="0.2">
      <c r="DY41531" s="185" t="s">
        <v>215</v>
      </c>
    </row>
    <row r="41532" spans="129:129" x14ac:dyDescent="0.2">
      <c r="DY41532" s="185" t="s">
        <v>215</v>
      </c>
    </row>
    <row r="41533" spans="129:129" x14ac:dyDescent="0.2">
      <c r="DY41533" s="185" t="s">
        <v>215</v>
      </c>
    </row>
    <row r="41534" spans="129:129" x14ac:dyDescent="0.2">
      <c r="DY41534" s="185" t="s">
        <v>215</v>
      </c>
    </row>
    <row r="41535" spans="129:129" x14ac:dyDescent="0.2">
      <c r="DY41535" s="185" t="s">
        <v>215</v>
      </c>
    </row>
    <row r="41536" spans="129:129" x14ac:dyDescent="0.2">
      <c r="DY41536" s="185" t="s">
        <v>215</v>
      </c>
    </row>
    <row r="41537" spans="129:129" x14ac:dyDescent="0.2">
      <c r="DY41537" s="185" t="s">
        <v>215</v>
      </c>
    </row>
    <row r="41538" spans="129:129" x14ac:dyDescent="0.2">
      <c r="DY41538" s="185" t="s">
        <v>215</v>
      </c>
    </row>
    <row r="41539" spans="129:129" x14ac:dyDescent="0.2">
      <c r="DY41539" s="185" t="s">
        <v>215</v>
      </c>
    </row>
    <row r="41540" spans="129:129" x14ac:dyDescent="0.2">
      <c r="DY41540" s="185" t="s">
        <v>215</v>
      </c>
    </row>
    <row r="41541" spans="129:129" x14ac:dyDescent="0.2">
      <c r="DY41541" s="185" t="s">
        <v>215</v>
      </c>
    </row>
    <row r="41542" spans="129:129" x14ac:dyDescent="0.2">
      <c r="DY41542" s="185" t="s">
        <v>215</v>
      </c>
    </row>
    <row r="41543" spans="129:129" x14ac:dyDescent="0.2">
      <c r="DY41543" s="185" t="s">
        <v>215</v>
      </c>
    </row>
    <row r="41544" spans="129:129" x14ac:dyDescent="0.2">
      <c r="DY41544" s="185" t="s">
        <v>215</v>
      </c>
    </row>
    <row r="41545" spans="129:129" x14ac:dyDescent="0.2">
      <c r="DY41545" s="185" t="s">
        <v>215</v>
      </c>
    </row>
    <row r="41546" spans="129:129" x14ac:dyDescent="0.2">
      <c r="DY41546" s="185" t="s">
        <v>215</v>
      </c>
    </row>
    <row r="41547" spans="129:129" x14ac:dyDescent="0.2">
      <c r="DY41547" s="185" t="s">
        <v>215</v>
      </c>
    </row>
    <row r="41548" spans="129:129" x14ac:dyDescent="0.2">
      <c r="DY41548" s="185" t="s">
        <v>215</v>
      </c>
    </row>
    <row r="41549" spans="129:129" x14ac:dyDescent="0.2">
      <c r="DY41549" s="185" t="s">
        <v>215</v>
      </c>
    </row>
    <row r="41550" spans="129:129" x14ac:dyDescent="0.2">
      <c r="DY41550" s="185" t="s">
        <v>215</v>
      </c>
    </row>
    <row r="41551" spans="129:129" x14ac:dyDescent="0.2">
      <c r="DY41551" s="185" t="s">
        <v>215</v>
      </c>
    </row>
    <row r="41552" spans="129:129" x14ac:dyDescent="0.2">
      <c r="DY41552" s="185" t="s">
        <v>215</v>
      </c>
    </row>
    <row r="41553" spans="129:129" x14ac:dyDescent="0.2">
      <c r="DY41553" s="185" t="s">
        <v>215</v>
      </c>
    </row>
    <row r="41554" spans="129:129" x14ac:dyDescent="0.2">
      <c r="DY41554" s="185" t="s">
        <v>215</v>
      </c>
    </row>
    <row r="41555" spans="129:129" x14ac:dyDescent="0.2">
      <c r="DY41555" s="185" t="s">
        <v>215</v>
      </c>
    </row>
    <row r="41556" spans="129:129" x14ac:dyDescent="0.2">
      <c r="DY41556" s="185" t="s">
        <v>215</v>
      </c>
    </row>
    <row r="41557" spans="129:129" x14ac:dyDescent="0.2">
      <c r="DY41557" s="185" t="s">
        <v>215</v>
      </c>
    </row>
    <row r="41558" spans="129:129" x14ac:dyDescent="0.2">
      <c r="DY41558" s="185" t="s">
        <v>215</v>
      </c>
    </row>
    <row r="41559" spans="129:129" x14ac:dyDescent="0.2">
      <c r="DY41559" s="185" t="s">
        <v>215</v>
      </c>
    </row>
    <row r="41560" spans="129:129" x14ac:dyDescent="0.2">
      <c r="DY41560" s="185" t="s">
        <v>215</v>
      </c>
    </row>
    <row r="41561" spans="129:129" x14ac:dyDescent="0.2">
      <c r="DY41561" s="185" t="s">
        <v>215</v>
      </c>
    </row>
    <row r="41562" spans="129:129" x14ac:dyDescent="0.2">
      <c r="DY41562" s="185" t="s">
        <v>215</v>
      </c>
    </row>
    <row r="41563" spans="129:129" x14ac:dyDescent="0.2">
      <c r="DY41563" s="185" t="s">
        <v>215</v>
      </c>
    </row>
    <row r="41564" spans="129:129" x14ac:dyDescent="0.2">
      <c r="DY41564" s="185" t="s">
        <v>215</v>
      </c>
    </row>
    <row r="41565" spans="129:129" x14ac:dyDescent="0.2">
      <c r="DY41565" s="185" t="s">
        <v>215</v>
      </c>
    </row>
    <row r="41566" spans="129:129" x14ac:dyDescent="0.2">
      <c r="DY41566" s="185" t="s">
        <v>215</v>
      </c>
    </row>
    <row r="41567" spans="129:129" x14ac:dyDescent="0.2">
      <c r="DY41567" s="185" t="s">
        <v>215</v>
      </c>
    </row>
    <row r="41568" spans="129:129" x14ac:dyDescent="0.2">
      <c r="DY41568" s="185" t="s">
        <v>215</v>
      </c>
    </row>
    <row r="41569" spans="129:129" x14ac:dyDescent="0.2">
      <c r="DY41569" s="185" t="s">
        <v>215</v>
      </c>
    </row>
    <row r="41570" spans="129:129" x14ac:dyDescent="0.2">
      <c r="DY41570" s="185" t="s">
        <v>215</v>
      </c>
    </row>
    <row r="41571" spans="129:129" x14ac:dyDescent="0.2">
      <c r="DY41571" s="185" t="s">
        <v>215</v>
      </c>
    </row>
    <row r="41572" spans="129:129" x14ac:dyDescent="0.2">
      <c r="DY41572" s="185" t="s">
        <v>215</v>
      </c>
    </row>
    <row r="41573" spans="129:129" x14ac:dyDescent="0.2">
      <c r="DY41573" s="185" t="s">
        <v>215</v>
      </c>
    </row>
    <row r="41574" spans="129:129" x14ac:dyDescent="0.2">
      <c r="DY41574" s="185" t="s">
        <v>215</v>
      </c>
    </row>
    <row r="41575" spans="129:129" x14ac:dyDescent="0.2">
      <c r="DY41575" s="185" t="s">
        <v>215</v>
      </c>
    </row>
    <row r="41576" spans="129:129" x14ac:dyDescent="0.2">
      <c r="DY41576" s="185" t="s">
        <v>215</v>
      </c>
    </row>
    <row r="41577" spans="129:129" x14ac:dyDescent="0.2">
      <c r="DY41577" s="185" t="s">
        <v>215</v>
      </c>
    </row>
    <row r="41578" spans="129:129" x14ac:dyDescent="0.2">
      <c r="DY41578" s="185" t="s">
        <v>215</v>
      </c>
    </row>
    <row r="41579" spans="129:129" x14ac:dyDescent="0.2">
      <c r="DY41579" s="185" t="s">
        <v>215</v>
      </c>
    </row>
    <row r="41580" spans="129:129" x14ac:dyDescent="0.2">
      <c r="DY41580" s="185" t="s">
        <v>215</v>
      </c>
    </row>
    <row r="41581" spans="129:129" x14ac:dyDescent="0.2">
      <c r="DY41581" s="185" t="s">
        <v>215</v>
      </c>
    </row>
    <row r="41582" spans="129:129" x14ac:dyDescent="0.2">
      <c r="DY41582" s="185" t="s">
        <v>215</v>
      </c>
    </row>
    <row r="41583" spans="129:129" x14ac:dyDescent="0.2">
      <c r="DY41583" s="185" t="s">
        <v>215</v>
      </c>
    </row>
    <row r="41584" spans="129:129" x14ac:dyDescent="0.2">
      <c r="DY41584" s="185" t="s">
        <v>215</v>
      </c>
    </row>
    <row r="41585" spans="129:129" x14ac:dyDescent="0.2">
      <c r="DY41585" s="185" t="s">
        <v>215</v>
      </c>
    </row>
    <row r="41586" spans="129:129" x14ac:dyDescent="0.2">
      <c r="DY41586" s="185" t="s">
        <v>215</v>
      </c>
    </row>
    <row r="41587" spans="129:129" x14ac:dyDescent="0.2">
      <c r="DY41587" s="185" t="s">
        <v>215</v>
      </c>
    </row>
    <row r="41588" spans="129:129" x14ac:dyDescent="0.2">
      <c r="DY41588" s="185" t="s">
        <v>215</v>
      </c>
    </row>
    <row r="41589" spans="129:129" x14ac:dyDescent="0.2">
      <c r="DY41589" s="185" t="s">
        <v>215</v>
      </c>
    </row>
    <row r="41590" spans="129:129" x14ac:dyDescent="0.2">
      <c r="DY41590" s="185" t="s">
        <v>215</v>
      </c>
    </row>
    <row r="41591" spans="129:129" x14ac:dyDescent="0.2">
      <c r="DY41591" s="185" t="s">
        <v>215</v>
      </c>
    </row>
    <row r="41592" spans="129:129" x14ac:dyDescent="0.2">
      <c r="DY41592" s="185" t="s">
        <v>215</v>
      </c>
    </row>
    <row r="41593" spans="129:129" x14ac:dyDescent="0.2">
      <c r="DY41593" s="185" t="s">
        <v>215</v>
      </c>
    </row>
    <row r="41594" spans="129:129" x14ac:dyDescent="0.2">
      <c r="DY41594" s="185" t="s">
        <v>215</v>
      </c>
    </row>
    <row r="41595" spans="129:129" x14ac:dyDescent="0.2">
      <c r="DY41595" s="185" t="s">
        <v>215</v>
      </c>
    </row>
    <row r="41596" spans="129:129" x14ac:dyDescent="0.2">
      <c r="DY41596" s="185" t="s">
        <v>215</v>
      </c>
    </row>
    <row r="41597" spans="129:129" x14ac:dyDescent="0.2">
      <c r="DY41597" s="185" t="s">
        <v>215</v>
      </c>
    </row>
    <row r="41598" spans="129:129" x14ac:dyDescent="0.2">
      <c r="DY41598" s="185" t="s">
        <v>215</v>
      </c>
    </row>
    <row r="41599" spans="129:129" x14ac:dyDescent="0.2">
      <c r="DY41599" s="185" t="s">
        <v>215</v>
      </c>
    </row>
    <row r="41600" spans="129:129" x14ac:dyDescent="0.2">
      <c r="DY41600" s="185" t="s">
        <v>215</v>
      </c>
    </row>
    <row r="41601" spans="129:129" x14ac:dyDescent="0.2">
      <c r="DY41601" s="185" t="s">
        <v>215</v>
      </c>
    </row>
    <row r="41602" spans="129:129" x14ac:dyDescent="0.2">
      <c r="DY41602" s="185" t="s">
        <v>215</v>
      </c>
    </row>
    <row r="41603" spans="129:129" x14ac:dyDescent="0.2">
      <c r="DY41603" s="185" t="s">
        <v>215</v>
      </c>
    </row>
    <row r="41604" spans="129:129" x14ac:dyDescent="0.2">
      <c r="DY41604" s="185" t="s">
        <v>215</v>
      </c>
    </row>
    <row r="41605" spans="129:129" x14ac:dyDescent="0.2">
      <c r="DY41605" s="185" t="s">
        <v>215</v>
      </c>
    </row>
    <row r="41606" spans="129:129" x14ac:dyDescent="0.2">
      <c r="DY41606" s="185" t="s">
        <v>215</v>
      </c>
    </row>
    <row r="41607" spans="129:129" x14ac:dyDescent="0.2">
      <c r="DY41607" s="185" t="s">
        <v>215</v>
      </c>
    </row>
    <row r="41608" spans="129:129" x14ac:dyDescent="0.2">
      <c r="DY41608" s="185" t="s">
        <v>215</v>
      </c>
    </row>
    <row r="41609" spans="129:129" x14ac:dyDescent="0.2">
      <c r="DY41609" s="185" t="s">
        <v>215</v>
      </c>
    </row>
    <row r="41610" spans="129:129" x14ac:dyDescent="0.2">
      <c r="DY41610" s="185" t="s">
        <v>215</v>
      </c>
    </row>
    <row r="41611" spans="129:129" x14ac:dyDescent="0.2">
      <c r="DY41611" s="185" t="s">
        <v>215</v>
      </c>
    </row>
    <row r="41612" spans="129:129" x14ac:dyDescent="0.2">
      <c r="DY41612" s="185" t="s">
        <v>215</v>
      </c>
    </row>
    <row r="41613" spans="129:129" x14ac:dyDescent="0.2">
      <c r="DY41613" s="185" t="s">
        <v>215</v>
      </c>
    </row>
    <row r="41614" spans="129:129" x14ac:dyDescent="0.2">
      <c r="DY41614" s="185" t="s">
        <v>215</v>
      </c>
    </row>
    <row r="41615" spans="129:129" x14ac:dyDescent="0.2">
      <c r="DY41615" s="185" t="s">
        <v>215</v>
      </c>
    </row>
    <row r="41616" spans="129:129" x14ac:dyDescent="0.2">
      <c r="DY41616" s="185" t="s">
        <v>215</v>
      </c>
    </row>
    <row r="41617" spans="129:129" x14ac:dyDescent="0.2">
      <c r="DY41617" s="185" t="s">
        <v>215</v>
      </c>
    </row>
    <row r="41618" spans="129:129" x14ac:dyDescent="0.2">
      <c r="DY41618" s="185" t="s">
        <v>215</v>
      </c>
    </row>
    <row r="41619" spans="129:129" x14ac:dyDescent="0.2">
      <c r="DY41619" s="185" t="s">
        <v>215</v>
      </c>
    </row>
    <row r="41620" spans="129:129" x14ac:dyDescent="0.2">
      <c r="DY41620" s="185" t="s">
        <v>215</v>
      </c>
    </row>
    <row r="41621" spans="129:129" x14ac:dyDescent="0.2">
      <c r="DY41621" s="185" t="s">
        <v>215</v>
      </c>
    </row>
    <row r="41622" spans="129:129" x14ac:dyDescent="0.2">
      <c r="DY41622" s="185" t="s">
        <v>215</v>
      </c>
    </row>
    <row r="41623" spans="129:129" x14ac:dyDescent="0.2">
      <c r="DY41623" s="185" t="s">
        <v>215</v>
      </c>
    </row>
    <row r="41624" spans="129:129" x14ac:dyDescent="0.2">
      <c r="DY41624" s="185" t="s">
        <v>215</v>
      </c>
    </row>
    <row r="41625" spans="129:129" x14ac:dyDescent="0.2">
      <c r="DY41625" s="185" t="s">
        <v>215</v>
      </c>
    </row>
    <row r="41626" spans="129:129" x14ac:dyDescent="0.2">
      <c r="DY41626" s="185" t="s">
        <v>215</v>
      </c>
    </row>
    <row r="41627" spans="129:129" x14ac:dyDescent="0.2">
      <c r="DY41627" s="185" t="s">
        <v>215</v>
      </c>
    </row>
    <row r="41628" spans="129:129" x14ac:dyDescent="0.2">
      <c r="DY41628" s="185" t="s">
        <v>215</v>
      </c>
    </row>
    <row r="41629" spans="129:129" x14ac:dyDescent="0.2">
      <c r="DY41629" s="185" t="s">
        <v>215</v>
      </c>
    </row>
    <row r="41630" spans="129:129" x14ac:dyDescent="0.2">
      <c r="DY41630" s="185" t="s">
        <v>215</v>
      </c>
    </row>
    <row r="41631" spans="129:129" x14ac:dyDescent="0.2">
      <c r="DY41631" s="185" t="s">
        <v>215</v>
      </c>
    </row>
    <row r="41632" spans="129:129" x14ac:dyDescent="0.2">
      <c r="DY41632" s="185" t="s">
        <v>215</v>
      </c>
    </row>
    <row r="41633" spans="129:129" x14ac:dyDescent="0.2">
      <c r="DY41633" s="185" t="s">
        <v>215</v>
      </c>
    </row>
    <row r="41634" spans="129:129" x14ac:dyDescent="0.2">
      <c r="DY41634" s="185" t="s">
        <v>215</v>
      </c>
    </row>
    <row r="41635" spans="129:129" x14ac:dyDescent="0.2">
      <c r="DY41635" s="185" t="s">
        <v>215</v>
      </c>
    </row>
    <row r="41636" spans="129:129" x14ac:dyDescent="0.2">
      <c r="DY41636" s="185" t="s">
        <v>215</v>
      </c>
    </row>
    <row r="41637" spans="129:129" x14ac:dyDescent="0.2">
      <c r="DY41637" s="185" t="s">
        <v>215</v>
      </c>
    </row>
    <row r="41638" spans="129:129" x14ac:dyDescent="0.2">
      <c r="DY41638" s="185" t="s">
        <v>215</v>
      </c>
    </row>
    <row r="41639" spans="129:129" x14ac:dyDescent="0.2">
      <c r="DY41639" s="185" t="s">
        <v>215</v>
      </c>
    </row>
    <row r="41640" spans="129:129" x14ac:dyDescent="0.2">
      <c r="DY41640" s="185" t="s">
        <v>215</v>
      </c>
    </row>
    <row r="41641" spans="129:129" x14ac:dyDescent="0.2">
      <c r="DY41641" s="185" t="s">
        <v>215</v>
      </c>
    </row>
    <row r="41642" spans="129:129" x14ac:dyDescent="0.2">
      <c r="DY41642" s="185" t="s">
        <v>215</v>
      </c>
    </row>
    <row r="41643" spans="129:129" x14ac:dyDescent="0.2">
      <c r="DY41643" s="185" t="s">
        <v>215</v>
      </c>
    </row>
    <row r="41644" spans="129:129" x14ac:dyDescent="0.2">
      <c r="DY41644" s="185" t="s">
        <v>215</v>
      </c>
    </row>
    <row r="41645" spans="129:129" x14ac:dyDescent="0.2">
      <c r="DY41645" s="185" t="s">
        <v>215</v>
      </c>
    </row>
    <row r="41646" spans="129:129" x14ac:dyDescent="0.2">
      <c r="DY41646" s="185" t="s">
        <v>215</v>
      </c>
    </row>
    <row r="41647" spans="129:129" x14ac:dyDescent="0.2">
      <c r="DY41647" s="185" t="s">
        <v>215</v>
      </c>
    </row>
    <row r="41648" spans="129:129" x14ac:dyDescent="0.2">
      <c r="DY41648" s="185" t="s">
        <v>215</v>
      </c>
    </row>
    <row r="41649" spans="129:129" x14ac:dyDescent="0.2">
      <c r="DY41649" s="185" t="s">
        <v>215</v>
      </c>
    </row>
    <row r="41650" spans="129:129" x14ac:dyDescent="0.2">
      <c r="DY41650" s="185" t="s">
        <v>215</v>
      </c>
    </row>
    <row r="41651" spans="129:129" x14ac:dyDescent="0.2">
      <c r="DY41651" s="185" t="s">
        <v>215</v>
      </c>
    </row>
    <row r="41652" spans="129:129" x14ac:dyDescent="0.2">
      <c r="DY41652" s="185" t="s">
        <v>215</v>
      </c>
    </row>
    <row r="41653" spans="129:129" x14ac:dyDescent="0.2">
      <c r="DY41653" s="185" t="s">
        <v>215</v>
      </c>
    </row>
    <row r="41654" spans="129:129" x14ac:dyDescent="0.2">
      <c r="DY41654" s="185" t="s">
        <v>215</v>
      </c>
    </row>
    <row r="41655" spans="129:129" x14ac:dyDescent="0.2">
      <c r="DY41655" s="185" t="s">
        <v>215</v>
      </c>
    </row>
    <row r="41656" spans="129:129" x14ac:dyDescent="0.2">
      <c r="DY41656" s="185" t="s">
        <v>215</v>
      </c>
    </row>
    <row r="41657" spans="129:129" x14ac:dyDescent="0.2">
      <c r="DY41657" s="185" t="s">
        <v>215</v>
      </c>
    </row>
    <row r="41658" spans="129:129" x14ac:dyDescent="0.2">
      <c r="DY41658" s="185" t="s">
        <v>215</v>
      </c>
    </row>
    <row r="41659" spans="129:129" x14ac:dyDescent="0.2">
      <c r="DY41659" s="185" t="s">
        <v>215</v>
      </c>
    </row>
    <row r="41660" spans="129:129" x14ac:dyDescent="0.2">
      <c r="DY41660" s="185" t="s">
        <v>215</v>
      </c>
    </row>
    <row r="41661" spans="129:129" x14ac:dyDescent="0.2">
      <c r="DY41661" s="185" t="s">
        <v>215</v>
      </c>
    </row>
    <row r="41662" spans="129:129" x14ac:dyDescent="0.2">
      <c r="DY41662" s="185" t="s">
        <v>215</v>
      </c>
    </row>
    <row r="41663" spans="129:129" x14ac:dyDescent="0.2">
      <c r="DY41663" s="185" t="s">
        <v>215</v>
      </c>
    </row>
    <row r="41664" spans="129:129" x14ac:dyDescent="0.2">
      <c r="DY41664" s="185" t="s">
        <v>215</v>
      </c>
    </row>
    <row r="41665" spans="129:129" x14ac:dyDescent="0.2">
      <c r="DY41665" s="185" t="s">
        <v>215</v>
      </c>
    </row>
    <row r="41666" spans="129:129" x14ac:dyDescent="0.2">
      <c r="DY41666" s="185" t="s">
        <v>215</v>
      </c>
    </row>
    <row r="41667" spans="129:129" x14ac:dyDescent="0.2">
      <c r="DY41667" s="185" t="s">
        <v>215</v>
      </c>
    </row>
    <row r="41668" spans="129:129" x14ac:dyDescent="0.2">
      <c r="DY41668" s="185" t="s">
        <v>215</v>
      </c>
    </row>
    <row r="41669" spans="129:129" x14ac:dyDescent="0.2">
      <c r="DY41669" s="185" t="s">
        <v>215</v>
      </c>
    </row>
    <row r="41670" spans="129:129" x14ac:dyDescent="0.2">
      <c r="DY41670" s="185" t="s">
        <v>215</v>
      </c>
    </row>
    <row r="41671" spans="129:129" x14ac:dyDescent="0.2">
      <c r="DY41671" s="185" t="s">
        <v>215</v>
      </c>
    </row>
    <row r="41672" spans="129:129" x14ac:dyDescent="0.2">
      <c r="DY41672" s="185" t="s">
        <v>215</v>
      </c>
    </row>
    <row r="41673" spans="129:129" x14ac:dyDescent="0.2">
      <c r="DY41673" s="185" t="s">
        <v>215</v>
      </c>
    </row>
    <row r="41674" spans="129:129" x14ac:dyDescent="0.2">
      <c r="DY41674" s="185" t="s">
        <v>215</v>
      </c>
    </row>
    <row r="41675" spans="129:129" x14ac:dyDescent="0.2">
      <c r="DY41675" s="185" t="s">
        <v>215</v>
      </c>
    </row>
    <row r="41676" spans="129:129" x14ac:dyDescent="0.2">
      <c r="DY41676" s="185" t="s">
        <v>215</v>
      </c>
    </row>
    <row r="41677" spans="129:129" x14ac:dyDescent="0.2">
      <c r="DY41677" s="185" t="s">
        <v>215</v>
      </c>
    </row>
    <row r="41678" spans="129:129" x14ac:dyDescent="0.2">
      <c r="DY41678" s="185" t="s">
        <v>215</v>
      </c>
    </row>
    <row r="41679" spans="129:129" x14ac:dyDescent="0.2">
      <c r="DY41679" s="185" t="s">
        <v>215</v>
      </c>
    </row>
    <row r="41680" spans="129:129" x14ac:dyDescent="0.2">
      <c r="DY41680" s="185" t="s">
        <v>215</v>
      </c>
    </row>
    <row r="41681" spans="129:129" x14ac:dyDescent="0.2">
      <c r="DY41681" s="185" t="s">
        <v>215</v>
      </c>
    </row>
    <row r="41682" spans="129:129" x14ac:dyDescent="0.2">
      <c r="DY41682" s="185" t="s">
        <v>215</v>
      </c>
    </row>
    <row r="41683" spans="129:129" x14ac:dyDescent="0.2">
      <c r="DY41683" s="185" t="s">
        <v>215</v>
      </c>
    </row>
    <row r="41684" spans="129:129" x14ac:dyDescent="0.2">
      <c r="DY41684" s="185" t="s">
        <v>215</v>
      </c>
    </row>
    <row r="41685" spans="129:129" x14ac:dyDescent="0.2">
      <c r="DY41685" s="185" t="s">
        <v>215</v>
      </c>
    </row>
    <row r="41686" spans="129:129" x14ac:dyDescent="0.2">
      <c r="DY41686" s="185" t="s">
        <v>215</v>
      </c>
    </row>
    <row r="41687" spans="129:129" x14ac:dyDescent="0.2">
      <c r="DY41687" s="185" t="s">
        <v>215</v>
      </c>
    </row>
    <row r="41688" spans="129:129" x14ac:dyDescent="0.2">
      <c r="DY41688" s="185" t="s">
        <v>215</v>
      </c>
    </row>
    <row r="41689" spans="129:129" x14ac:dyDescent="0.2">
      <c r="DY41689" s="185" t="s">
        <v>215</v>
      </c>
    </row>
    <row r="41690" spans="129:129" x14ac:dyDescent="0.2">
      <c r="DY41690" s="185" t="s">
        <v>215</v>
      </c>
    </row>
    <row r="41691" spans="129:129" x14ac:dyDescent="0.2">
      <c r="DY41691" s="185" t="s">
        <v>215</v>
      </c>
    </row>
    <row r="41692" spans="129:129" x14ac:dyDescent="0.2">
      <c r="DY41692" s="185" t="s">
        <v>215</v>
      </c>
    </row>
    <row r="41693" spans="129:129" x14ac:dyDescent="0.2">
      <c r="DY41693" s="185" t="s">
        <v>215</v>
      </c>
    </row>
    <row r="41694" spans="129:129" x14ac:dyDescent="0.2">
      <c r="DY41694" s="185" t="s">
        <v>215</v>
      </c>
    </row>
    <row r="41695" spans="129:129" x14ac:dyDescent="0.2">
      <c r="DY41695" s="185" t="s">
        <v>215</v>
      </c>
    </row>
    <row r="41696" spans="129:129" x14ac:dyDescent="0.2">
      <c r="DY41696" s="185" t="s">
        <v>215</v>
      </c>
    </row>
    <row r="41697" spans="129:129" x14ac:dyDescent="0.2">
      <c r="DY41697" s="185" t="s">
        <v>215</v>
      </c>
    </row>
    <row r="41698" spans="129:129" x14ac:dyDescent="0.2">
      <c r="DY41698" s="185" t="s">
        <v>215</v>
      </c>
    </row>
    <row r="41699" spans="129:129" x14ac:dyDescent="0.2">
      <c r="DY41699" s="185" t="s">
        <v>215</v>
      </c>
    </row>
    <row r="41700" spans="129:129" x14ac:dyDescent="0.2">
      <c r="DY41700" s="185" t="s">
        <v>215</v>
      </c>
    </row>
    <row r="41701" spans="129:129" x14ac:dyDescent="0.2">
      <c r="DY41701" s="185" t="s">
        <v>215</v>
      </c>
    </row>
    <row r="41702" spans="129:129" x14ac:dyDescent="0.2">
      <c r="DY41702" s="185" t="s">
        <v>215</v>
      </c>
    </row>
    <row r="41703" spans="129:129" x14ac:dyDescent="0.2">
      <c r="DY41703" s="185" t="s">
        <v>215</v>
      </c>
    </row>
    <row r="41704" spans="129:129" x14ac:dyDescent="0.2">
      <c r="DY41704" s="185" t="s">
        <v>215</v>
      </c>
    </row>
    <row r="41705" spans="129:129" x14ac:dyDescent="0.2">
      <c r="DY41705" s="185" t="s">
        <v>215</v>
      </c>
    </row>
    <row r="41706" spans="129:129" x14ac:dyDescent="0.2">
      <c r="DY41706" s="185" t="s">
        <v>215</v>
      </c>
    </row>
    <row r="41707" spans="129:129" x14ac:dyDescent="0.2">
      <c r="DY41707" s="185" t="s">
        <v>215</v>
      </c>
    </row>
    <row r="41708" spans="129:129" x14ac:dyDescent="0.2">
      <c r="DY41708" s="185" t="s">
        <v>215</v>
      </c>
    </row>
    <row r="41709" spans="129:129" x14ac:dyDescent="0.2">
      <c r="DY41709" s="185" t="s">
        <v>215</v>
      </c>
    </row>
    <row r="41710" spans="129:129" x14ac:dyDescent="0.2">
      <c r="DY41710" s="185" t="s">
        <v>215</v>
      </c>
    </row>
    <row r="41711" spans="129:129" x14ac:dyDescent="0.2">
      <c r="DY41711" s="185" t="s">
        <v>215</v>
      </c>
    </row>
    <row r="41712" spans="129:129" x14ac:dyDescent="0.2">
      <c r="DY41712" s="185" t="s">
        <v>215</v>
      </c>
    </row>
    <row r="41713" spans="129:129" x14ac:dyDescent="0.2">
      <c r="DY41713" s="185" t="s">
        <v>215</v>
      </c>
    </row>
    <row r="41714" spans="129:129" x14ac:dyDescent="0.2">
      <c r="DY41714" s="185" t="s">
        <v>215</v>
      </c>
    </row>
    <row r="41715" spans="129:129" x14ac:dyDescent="0.2">
      <c r="DY41715" s="185" t="s">
        <v>215</v>
      </c>
    </row>
    <row r="41716" spans="129:129" x14ac:dyDescent="0.2">
      <c r="DY41716" s="185" t="s">
        <v>215</v>
      </c>
    </row>
    <row r="41717" spans="129:129" x14ac:dyDescent="0.2">
      <c r="DY41717" s="185" t="s">
        <v>215</v>
      </c>
    </row>
    <row r="41718" spans="129:129" x14ac:dyDescent="0.2">
      <c r="DY41718" s="185" t="s">
        <v>215</v>
      </c>
    </row>
    <row r="41719" spans="129:129" x14ac:dyDescent="0.2">
      <c r="DY41719" s="185" t="s">
        <v>215</v>
      </c>
    </row>
    <row r="41720" spans="129:129" x14ac:dyDescent="0.2">
      <c r="DY41720" s="185" t="s">
        <v>215</v>
      </c>
    </row>
    <row r="41721" spans="129:129" x14ac:dyDescent="0.2">
      <c r="DY41721" s="185" t="s">
        <v>215</v>
      </c>
    </row>
    <row r="41722" spans="129:129" x14ac:dyDescent="0.2">
      <c r="DY41722" s="185" t="s">
        <v>215</v>
      </c>
    </row>
    <row r="41723" spans="129:129" x14ac:dyDescent="0.2">
      <c r="DY41723" s="185" t="s">
        <v>215</v>
      </c>
    </row>
    <row r="41724" spans="129:129" x14ac:dyDescent="0.2">
      <c r="DY41724" s="185" t="s">
        <v>215</v>
      </c>
    </row>
    <row r="41725" spans="129:129" x14ac:dyDescent="0.2">
      <c r="DY41725" s="185" t="s">
        <v>215</v>
      </c>
    </row>
    <row r="41726" spans="129:129" x14ac:dyDescent="0.2">
      <c r="DY41726" s="185" t="s">
        <v>215</v>
      </c>
    </row>
    <row r="41727" spans="129:129" x14ac:dyDescent="0.2">
      <c r="DY41727" s="185" t="s">
        <v>215</v>
      </c>
    </row>
    <row r="41728" spans="129:129" x14ac:dyDescent="0.2">
      <c r="DY41728" s="185" t="s">
        <v>215</v>
      </c>
    </row>
    <row r="41729" spans="129:129" x14ac:dyDescent="0.2">
      <c r="DY41729" s="185" t="s">
        <v>215</v>
      </c>
    </row>
    <row r="41730" spans="129:129" x14ac:dyDescent="0.2">
      <c r="DY41730" s="185" t="s">
        <v>215</v>
      </c>
    </row>
    <row r="41731" spans="129:129" x14ac:dyDescent="0.2">
      <c r="DY41731" s="185" t="s">
        <v>215</v>
      </c>
    </row>
    <row r="41732" spans="129:129" x14ac:dyDescent="0.2">
      <c r="DY41732" s="185" t="s">
        <v>215</v>
      </c>
    </row>
    <row r="41733" spans="129:129" x14ac:dyDescent="0.2">
      <c r="DY41733" s="185" t="s">
        <v>215</v>
      </c>
    </row>
    <row r="41734" spans="129:129" x14ac:dyDescent="0.2">
      <c r="DY41734" s="185" t="s">
        <v>215</v>
      </c>
    </row>
    <row r="41735" spans="129:129" x14ac:dyDescent="0.2">
      <c r="DY41735" s="185" t="s">
        <v>215</v>
      </c>
    </row>
    <row r="41736" spans="129:129" x14ac:dyDescent="0.2">
      <c r="DY41736" s="185" t="s">
        <v>215</v>
      </c>
    </row>
    <row r="41737" spans="129:129" x14ac:dyDescent="0.2">
      <c r="DY41737" s="185" t="s">
        <v>215</v>
      </c>
    </row>
    <row r="41738" spans="129:129" x14ac:dyDescent="0.2">
      <c r="DY41738" s="185" t="s">
        <v>215</v>
      </c>
    </row>
    <row r="41739" spans="129:129" x14ac:dyDescent="0.2">
      <c r="DY41739" s="185" t="s">
        <v>215</v>
      </c>
    </row>
    <row r="41740" spans="129:129" x14ac:dyDescent="0.2">
      <c r="DY41740" s="185" t="s">
        <v>215</v>
      </c>
    </row>
    <row r="41741" spans="129:129" x14ac:dyDescent="0.2">
      <c r="DY41741" s="185" t="s">
        <v>215</v>
      </c>
    </row>
    <row r="41742" spans="129:129" x14ac:dyDescent="0.2">
      <c r="DY41742" s="185" t="s">
        <v>215</v>
      </c>
    </row>
    <row r="41743" spans="129:129" x14ac:dyDescent="0.2">
      <c r="DY41743" s="185" t="s">
        <v>215</v>
      </c>
    </row>
    <row r="41744" spans="129:129" x14ac:dyDescent="0.2">
      <c r="DY41744" s="185" t="s">
        <v>215</v>
      </c>
    </row>
    <row r="41745" spans="129:129" x14ac:dyDescent="0.2">
      <c r="DY41745" s="185" t="s">
        <v>215</v>
      </c>
    </row>
    <row r="41746" spans="129:129" x14ac:dyDescent="0.2">
      <c r="DY41746" s="185" t="s">
        <v>215</v>
      </c>
    </row>
    <row r="41747" spans="129:129" x14ac:dyDescent="0.2">
      <c r="DY41747" s="185" t="s">
        <v>215</v>
      </c>
    </row>
    <row r="41748" spans="129:129" x14ac:dyDescent="0.2">
      <c r="DY41748" s="185" t="s">
        <v>215</v>
      </c>
    </row>
    <row r="41749" spans="129:129" x14ac:dyDescent="0.2">
      <c r="DY41749" s="185" t="s">
        <v>215</v>
      </c>
    </row>
    <row r="41750" spans="129:129" x14ac:dyDescent="0.2">
      <c r="DY41750" s="185" t="s">
        <v>215</v>
      </c>
    </row>
    <row r="41751" spans="129:129" x14ac:dyDescent="0.2">
      <c r="DY41751" s="185" t="s">
        <v>215</v>
      </c>
    </row>
    <row r="41752" spans="129:129" x14ac:dyDescent="0.2">
      <c r="DY41752" s="185" t="s">
        <v>215</v>
      </c>
    </row>
    <row r="41753" spans="129:129" x14ac:dyDescent="0.2">
      <c r="DY41753" s="185" t="s">
        <v>215</v>
      </c>
    </row>
    <row r="41754" spans="129:129" x14ac:dyDescent="0.2">
      <c r="DY41754" s="185" t="s">
        <v>215</v>
      </c>
    </row>
    <row r="41755" spans="129:129" x14ac:dyDescent="0.2">
      <c r="DY41755" s="185" t="s">
        <v>215</v>
      </c>
    </row>
    <row r="41756" spans="129:129" x14ac:dyDescent="0.2">
      <c r="DY41756" s="185" t="s">
        <v>215</v>
      </c>
    </row>
    <row r="41757" spans="129:129" x14ac:dyDescent="0.2">
      <c r="DY41757" s="185" t="s">
        <v>215</v>
      </c>
    </row>
    <row r="41758" spans="129:129" x14ac:dyDescent="0.2">
      <c r="DY41758" s="185" t="s">
        <v>215</v>
      </c>
    </row>
    <row r="41759" spans="129:129" x14ac:dyDescent="0.2">
      <c r="DY41759" s="185" t="s">
        <v>215</v>
      </c>
    </row>
    <row r="41760" spans="129:129" x14ac:dyDescent="0.2">
      <c r="DY41760" s="185" t="s">
        <v>215</v>
      </c>
    </row>
    <row r="41761" spans="129:129" x14ac:dyDescent="0.2">
      <c r="DY41761" s="185" t="s">
        <v>215</v>
      </c>
    </row>
    <row r="41762" spans="129:129" x14ac:dyDescent="0.2">
      <c r="DY41762" s="185" t="s">
        <v>215</v>
      </c>
    </row>
    <row r="41763" spans="129:129" x14ac:dyDescent="0.2">
      <c r="DY41763" s="185" t="s">
        <v>215</v>
      </c>
    </row>
    <row r="41764" spans="129:129" x14ac:dyDescent="0.2">
      <c r="DY41764" s="185" t="s">
        <v>215</v>
      </c>
    </row>
    <row r="41765" spans="129:129" x14ac:dyDescent="0.2">
      <c r="DY41765" s="185" t="s">
        <v>215</v>
      </c>
    </row>
    <row r="41766" spans="129:129" x14ac:dyDescent="0.2">
      <c r="DY41766" s="185" t="s">
        <v>215</v>
      </c>
    </row>
    <row r="41767" spans="129:129" x14ac:dyDescent="0.2">
      <c r="DY41767" s="185" t="s">
        <v>215</v>
      </c>
    </row>
    <row r="41768" spans="129:129" x14ac:dyDescent="0.2">
      <c r="DY41768" s="185" t="s">
        <v>215</v>
      </c>
    </row>
    <row r="41769" spans="129:129" x14ac:dyDescent="0.2">
      <c r="DY41769" s="185" t="s">
        <v>215</v>
      </c>
    </row>
    <row r="41770" spans="129:129" x14ac:dyDescent="0.2">
      <c r="DY41770" s="185" t="s">
        <v>215</v>
      </c>
    </row>
    <row r="41771" spans="129:129" x14ac:dyDescent="0.2">
      <c r="DY41771" s="185" t="s">
        <v>215</v>
      </c>
    </row>
    <row r="41772" spans="129:129" x14ac:dyDescent="0.2">
      <c r="DY41772" s="185" t="s">
        <v>215</v>
      </c>
    </row>
    <row r="41773" spans="129:129" x14ac:dyDescent="0.2">
      <c r="DY41773" s="185" t="s">
        <v>215</v>
      </c>
    </row>
    <row r="41774" spans="129:129" x14ac:dyDescent="0.2">
      <c r="DY41774" s="185" t="s">
        <v>215</v>
      </c>
    </row>
    <row r="41775" spans="129:129" x14ac:dyDescent="0.2">
      <c r="DY41775" s="185" t="s">
        <v>215</v>
      </c>
    </row>
    <row r="41776" spans="129:129" x14ac:dyDescent="0.2">
      <c r="DY41776" s="185" t="s">
        <v>215</v>
      </c>
    </row>
    <row r="41777" spans="129:129" x14ac:dyDescent="0.2">
      <c r="DY41777" s="185" t="s">
        <v>215</v>
      </c>
    </row>
    <row r="41778" spans="129:129" x14ac:dyDescent="0.2">
      <c r="DY41778" s="185" t="s">
        <v>215</v>
      </c>
    </row>
    <row r="41779" spans="129:129" x14ac:dyDescent="0.2">
      <c r="DY41779" s="185" t="s">
        <v>215</v>
      </c>
    </row>
    <row r="41780" spans="129:129" x14ac:dyDescent="0.2">
      <c r="DY41780" s="185" t="s">
        <v>215</v>
      </c>
    </row>
    <row r="41781" spans="129:129" x14ac:dyDescent="0.2">
      <c r="DY41781" s="185" t="s">
        <v>215</v>
      </c>
    </row>
    <row r="41782" spans="129:129" x14ac:dyDescent="0.2">
      <c r="DY41782" s="185" t="s">
        <v>215</v>
      </c>
    </row>
    <row r="41783" spans="129:129" x14ac:dyDescent="0.2">
      <c r="DY41783" s="185" t="s">
        <v>215</v>
      </c>
    </row>
    <row r="41784" spans="129:129" x14ac:dyDescent="0.2">
      <c r="DY41784" s="185" t="s">
        <v>215</v>
      </c>
    </row>
    <row r="41785" spans="129:129" x14ac:dyDescent="0.2">
      <c r="DY41785" s="185" t="s">
        <v>215</v>
      </c>
    </row>
    <row r="41786" spans="129:129" x14ac:dyDescent="0.2">
      <c r="DY41786" s="185" t="s">
        <v>215</v>
      </c>
    </row>
    <row r="41787" spans="129:129" x14ac:dyDescent="0.2">
      <c r="DY41787" s="185" t="s">
        <v>215</v>
      </c>
    </row>
    <row r="41788" spans="129:129" x14ac:dyDescent="0.2">
      <c r="DY41788" s="185" t="s">
        <v>215</v>
      </c>
    </row>
    <row r="41789" spans="129:129" x14ac:dyDescent="0.2">
      <c r="DY41789" s="185" t="s">
        <v>215</v>
      </c>
    </row>
    <row r="41790" spans="129:129" x14ac:dyDescent="0.2">
      <c r="DY41790" s="185" t="s">
        <v>215</v>
      </c>
    </row>
    <row r="41791" spans="129:129" x14ac:dyDescent="0.2">
      <c r="DY41791" s="185" t="s">
        <v>215</v>
      </c>
    </row>
    <row r="41792" spans="129:129" x14ac:dyDescent="0.2">
      <c r="DY41792" s="185" t="s">
        <v>215</v>
      </c>
    </row>
    <row r="41793" spans="129:129" x14ac:dyDescent="0.2">
      <c r="DY41793" s="185" t="s">
        <v>215</v>
      </c>
    </row>
    <row r="41794" spans="129:129" x14ac:dyDescent="0.2">
      <c r="DY41794" s="185" t="s">
        <v>215</v>
      </c>
    </row>
    <row r="41795" spans="129:129" x14ac:dyDescent="0.2">
      <c r="DY41795" s="185" t="s">
        <v>215</v>
      </c>
    </row>
    <row r="41796" spans="129:129" x14ac:dyDescent="0.2">
      <c r="DY41796" s="185" t="s">
        <v>215</v>
      </c>
    </row>
    <row r="41797" spans="129:129" x14ac:dyDescent="0.2">
      <c r="DY41797" s="185" t="s">
        <v>215</v>
      </c>
    </row>
    <row r="41798" spans="129:129" x14ac:dyDescent="0.2">
      <c r="DY41798" s="185" t="s">
        <v>215</v>
      </c>
    </row>
    <row r="41799" spans="129:129" x14ac:dyDescent="0.2">
      <c r="DY41799" s="185" t="s">
        <v>215</v>
      </c>
    </row>
    <row r="41800" spans="129:129" x14ac:dyDescent="0.2">
      <c r="DY41800" s="185" t="s">
        <v>215</v>
      </c>
    </row>
    <row r="41801" spans="129:129" x14ac:dyDescent="0.2">
      <c r="DY41801" s="185" t="s">
        <v>215</v>
      </c>
    </row>
    <row r="41802" spans="129:129" x14ac:dyDescent="0.2">
      <c r="DY41802" s="185" t="s">
        <v>215</v>
      </c>
    </row>
    <row r="41803" spans="129:129" x14ac:dyDescent="0.2">
      <c r="DY41803" s="185" t="s">
        <v>215</v>
      </c>
    </row>
    <row r="41804" spans="129:129" x14ac:dyDescent="0.2">
      <c r="DY41804" s="185" t="s">
        <v>215</v>
      </c>
    </row>
    <row r="41805" spans="129:129" x14ac:dyDescent="0.2">
      <c r="DY41805" s="185" t="s">
        <v>215</v>
      </c>
    </row>
    <row r="41806" spans="129:129" x14ac:dyDescent="0.2">
      <c r="DY41806" s="185" t="s">
        <v>215</v>
      </c>
    </row>
    <row r="41807" spans="129:129" x14ac:dyDescent="0.2">
      <c r="DY41807" s="185" t="s">
        <v>215</v>
      </c>
    </row>
    <row r="41808" spans="129:129" x14ac:dyDescent="0.2">
      <c r="DY41808" s="185" t="s">
        <v>215</v>
      </c>
    </row>
    <row r="41809" spans="129:129" x14ac:dyDescent="0.2">
      <c r="DY41809" s="185" t="s">
        <v>215</v>
      </c>
    </row>
    <row r="41810" spans="129:129" x14ac:dyDescent="0.2">
      <c r="DY41810" s="185" t="s">
        <v>215</v>
      </c>
    </row>
    <row r="41811" spans="129:129" x14ac:dyDescent="0.2">
      <c r="DY41811" s="185" t="s">
        <v>215</v>
      </c>
    </row>
    <row r="41812" spans="129:129" x14ac:dyDescent="0.2">
      <c r="DY41812" s="185" t="s">
        <v>215</v>
      </c>
    </row>
    <row r="41813" spans="129:129" x14ac:dyDescent="0.2">
      <c r="DY41813" s="185" t="s">
        <v>215</v>
      </c>
    </row>
    <row r="41814" spans="129:129" x14ac:dyDescent="0.2">
      <c r="DY41814" s="185" t="s">
        <v>215</v>
      </c>
    </row>
    <row r="41815" spans="129:129" x14ac:dyDescent="0.2">
      <c r="DY41815" s="185" t="s">
        <v>215</v>
      </c>
    </row>
    <row r="41816" spans="129:129" x14ac:dyDescent="0.2">
      <c r="DY41816" s="185" t="s">
        <v>215</v>
      </c>
    </row>
    <row r="41817" spans="129:129" x14ac:dyDescent="0.2">
      <c r="DY41817" s="185" t="s">
        <v>215</v>
      </c>
    </row>
    <row r="41818" spans="129:129" x14ac:dyDescent="0.2">
      <c r="DY41818" s="185" t="s">
        <v>215</v>
      </c>
    </row>
    <row r="41819" spans="129:129" x14ac:dyDescent="0.2">
      <c r="DY41819" s="185" t="s">
        <v>215</v>
      </c>
    </row>
    <row r="41820" spans="129:129" x14ac:dyDescent="0.2">
      <c r="DY41820" s="185" t="s">
        <v>215</v>
      </c>
    </row>
    <row r="41821" spans="129:129" x14ac:dyDescent="0.2">
      <c r="DY41821" s="185" t="s">
        <v>215</v>
      </c>
    </row>
    <row r="41822" spans="129:129" x14ac:dyDescent="0.2">
      <c r="DY41822" s="185" t="s">
        <v>215</v>
      </c>
    </row>
    <row r="41823" spans="129:129" x14ac:dyDescent="0.2">
      <c r="DY41823" s="185" t="s">
        <v>215</v>
      </c>
    </row>
    <row r="41824" spans="129:129" x14ac:dyDescent="0.2">
      <c r="DY41824" s="185" t="s">
        <v>215</v>
      </c>
    </row>
    <row r="41825" spans="129:129" x14ac:dyDescent="0.2">
      <c r="DY41825" s="185" t="s">
        <v>215</v>
      </c>
    </row>
    <row r="41826" spans="129:129" x14ac:dyDescent="0.2">
      <c r="DY41826" s="185" t="s">
        <v>215</v>
      </c>
    </row>
    <row r="41827" spans="129:129" x14ac:dyDescent="0.2">
      <c r="DY41827" s="185" t="s">
        <v>215</v>
      </c>
    </row>
    <row r="41828" spans="129:129" x14ac:dyDescent="0.2">
      <c r="DY41828" s="185" t="s">
        <v>215</v>
      </c>
    </row>
    <row r="41829" spans="129:129" x14ac:dyDescent="0.2">
      <c r="DY41829" s="185" t="s">
        <v>215</v>
      </c>
    </row>
    <row r="41830" spans="129:129" x14ac:dyDescent="0.2">
      <c r="DY41830" s="185" t="s">
        <v>215</v>
      </c>
    </row>
    <row r="41831" spans="129:129" x14ac:dyDescent="0.2">
      <c r="DY41831" s="185" t="s">
        <v>215</v>
      </c>
    </row>
    <row r="41832" spans="129:129" x14ac:dyDescent="0.2">
      <c r="DY41832" s="185" t="s">
        <v>215</v>
      </c>
    </row>
    <row r="41833" spans="129:129" x14ac:dyDescent="0.2">
      <c r="DY41833" s="185" t="s">
        <v>215</v>
      </c>
    </row>
    <row r="41834" spans="129:129" x14ac:dyDescent="0.2">
      <c r="DY41834" s="185" t="s">
        <v>215</v>
      </c>
    </row>
    <row r="41835" spans="129:129" x14ac:dyDescent="0.2">
      <c r="DY41835" s="185" t="s">
        <v>215</v>
      </c>
    </row>
    <row r="41836" spans="129:129" x14ac:dyDescent="0.2">
      <c r="DY41836" s="185" t="s">
        <v>215</v>
      </c>
    </row>
    <row r="41837" spans="129:129" x14ac:dyDescent="0.2">
      <c r="DY41837" s="185" t="s">
        <v>215</v>
      </c>
    </row>
    <row r="41838" spans="129:129" x14ac:dyDescent="0.2">
      <c r="DY41838" s="185" t="s">
        <v>215</v>
      </c>
    </row>
    <row r="41839" spans="129:129" x14ac:dyDescent="0.2">
      <c r="DY41839" s="185" t="s">
        <v>215</v>
      </c>
    </row>
    <row r="41840" spans="129:129" x14ac:dyDescent="0.2">
      <c r="DY41840" s="185" t="s">
        <v>215</v>
      </c>
    </row>
    <row r="41841" spans="129:129" x14ac:dyDescent="0.2">
      <c r="DY41841" s="185" t="s">
        <v>215</v>
      </c>
    </row>
    <row r="41842" spans="129:129" x14ac:dyDescent="0.2">
      <c r="DY41842" s="185" t="s">
        <v>215</v>
      </c>
    </row>
    <row r="41843" spans="129:129" x14ac:dyDescent="0.2">
      <c r="DY41843" s="185" t="s">
        <v>215</v>
      </c>
    </row>
    <row r="41844" spans="129:129" x14ac:dyDescent="0.2">
      <c r="DY41844" s="185" t="s">
        <v>215</v>
      </c>
    </row>
    <row r="41845" spans="129:129" x14ac:dyDescent="0.2">
      <c r="DY41845" s="185" t="s">
        <v>215</v>
      </c>
    </row>
    <row r="41846" spans="129:129" x14ac:dyDescent="0.2">
      <c r="DY41846" s="185" t="s">
        <v>215</v>
      </c>
    </row>
    <row r="41847" spans="129:129" x14ac:dyDescent="0.2">
      <c r="DY41847" s="185" t="s">
        <v>215</v>
      </c>
    </row>
    <row r="41848" spans="129:129" x14ac:dyDescent="0.2">
      <c r="DY41848" s="185" t="s">
        <v>215</v>
      </c>
    </row>
    <row r="41849" spans="129:129" x14ac:dyDescent="0.2">
      <c r="DY41849" s="185" t="s">
        <v>215</v>
      </c>
    </row>
    <row r="41850" spans="129:129" x14ac:dyDescent="0.2">
      <c r="DY41850" s="185" t="s">
        <v>215</v>
      </c>
    </row>
    <row r="41851" spans="129:129" x14ac:dyDescent="0.2">
      <c r="DY41851" s="185" t="s">
        <v>215</v>
      </c>
    </row>
    <row r="41852" spans="129:129" x14ac:dyDescent="0.2">
      <c r="DY41852" s="185" t="s">
        <v>215</v>
      </c>
    </row>
    <row r="41853" spans="129:129" x14ac:dyDescent="0.2">
      <c r="DY41853" s="185" t="s">
        <v>215</v>
      </c>
    </row>
    <row r="41854" spans="129:129" x14ac:dyDescent="0.2">
      <c r="DY41854" s="185" t="s">
        <v>215</v>
      </c>
    </row>
    <row r="41855" spans="129:129" x14ac:dyDescent="0.2">
      <c r="DY41855" s="185" t="s">
        <v>215</v>
      </c>
    </row>
    <row r="41856" spans="129:129" x14ac:dyDescent="0.2">
      <c r="DY41856" s="185" t="s">
        <v>215</v>
      </c>
    </row>
    <row r="41857" spans="129:129" x14ac:dyDescent="0.2">
      <c r="DY41857" s="185" t="s">
        <v>215</v>
      </c>
    </row>
    <row r="41858" spans="129:129" x14ac:dyDescent="0.2">
      <c r="DY41858" s="185" t="s">
        <v>215</v>
      </c>
    </row>
    <row r="41859" spans="129:129" x14ac:dyDescent="0.2">
      <c r="DY41859" s="185" t="s">
        <v>215</v>
      </c>
    </row>
    <row r="41860" spans="129:129" x14ac:dyDescent="0.2">
      <c r="DY41860" s="185" t="s">
        <v>215</v>
      </c>
    </row>
    <row r="41861" spans="129:129" x14ac:dyDescent="0.2">
      <c r="DY41861" s="185" t="s">
        <v>215</v>
      </c>
    </row>
    <row r="41862" spans="129:129" x14ac:dyDescent="0.2">
      <c r="DY41862" s="185" t="s">
        <v>215</v>
      </c>
    </row>
    <row r="41863" spans="129:129" x14ac:dyDescent="0.2">
      <c r="DY41863" s="185" t="s">
        <v>215</v>
      </c>
    </row>
    <row r="41864" spans="129:129" x14ac:dyDescent="0.2">
      <c r="DY41864" s="185" t="s">
        <v>215</v>
      </c>
    </row>
    <row r="41865" spans="129:129" x14ac:dyDescent="0.2">
      <c r="DY41865" s="185" t="s">
        <v>215</v>
      </c>
    </row>
    <row r="41866" spans="129:129" x14ac:dyDescent="0.2">
      <c r="DY41866" s="185" t="s">
        <v>215</v>
      </c>
    </row>
    <row r="41867" spans="129:129" x14ac:dyDescent="0.2">
      <c r="DY41867" s="185" t="s">
        <v>215</v>
      </c>
    </row>
    <row r="41868" spans="129:129" x14ac:dyDescent="0.2">
      <c r="DY41868" s="185" t="s">
        <v>215</v>
      </c>
    </row>
    <row r="41869" spans="129:129" x14ac:dyDescent="0.2">
      <c r="DY41869" s="185" t="s">
        <v>215</v>
      </c>
    </row>
    <row r="41870" spans="129:129" x14ac:dyDescent="0.2">
      <c r="DY41870" s="185" t="s">
        <v>215</v>
      </c>
    </row>
    <row r="41871" spans="129:129" x14ac:dyDescent="0.2">
      <c r="DY41871" s="185" t="s">
        <v>215</v>
      </c>
    </row>
    <row r="41872" spans="129:129" x14ac:dyDescent="0.2">
      <c r="DY41872" s="185" t="s">
        <v>215</v>
      </c>
    </row>
    <row r="41873" spans="129:129" x14ac:dyDescent="0.2">
      <c r="DY41873" s="185" t="s">
        <v>215</v>
      </c>
    </row>
    <row r="41874" spans="129:129" x14ac:dyDescent="0.2">
      <c r="DY41874" s="185" t="s">
        <v>215</v>
      </c>
    </row>
    <row r="41875" spans="129:129" x14ac:dyDescent="0.2">
      <c r="DY41875" s="185" t="s">
        <v>215</v>
      </c>
    </row>
    <row r="41876" spans="129:129" x14ac:dyDescent="0.2">
      <c r="DY41876" s="185" t="s">
        <v>215</v>
      </c>
    </row>
    <row r="41877" spans="129:129" x14ac:dyDescent="0.2">
      <c r="DY41877" s="185" t="s">
        <v>215</v>
      </c>
    </row>
    <row r="41878" spans="129:129" x14ac:dyDescent="0.2">
      <c r="DY41878" s="185" t="s">
        <v>215</v>
      </c>
    </row>
    <row r="41879" spans="129:129" x14ac:dyDescent="0.2">
      <c r="DY41879" s="185" t="s">
        <v>215</v>
      </c>
    </row>
    <row r="41880" spans="129:129" x14ac:dyDescent="0.2">
      <c r="DY41880" s="185" t="s">
        <v>215</v>
      </c>
    </row>
    <row r="41881" spans="129:129" x14ac:dyDescent="0.2">
      <c r="DY41881" s="185" t="s">
        <v>215</v>
      </c>
    </row>
    <row r="41882" spans="129:129" x14ac:dyDescent="0.2">
      <c r="DY41882" s="185" t="s">
        <v>215</v>
      </c>
    </row>
    <row r="41883" spans="129:129" x14ac:dyDescent="0.2">
      <c r="DY41883" s="185" t="s">
        <v>215</v>
      </c>
    </row>
    <row r="41884" spans="129:129" x14ac:dyDescent="0.2">
      <c r="DY41884" s="185" t="s">
        <v>215</v>
      </c>
    </row>
    <row r="41885" spans="129:129" x14ac:dyDescent="0.2">
      <c r="DY41885" s="185" t="s">
        <v>215</v>
      </c>
    </row>
    <row r="41886" spans="129:129" x14ac:dyDescent="0.2">
      <c r="DY41886" s="185" t="s">
        <v>215</v>
      </c>
    </row>
    <row r="41887" spans="129:129" x14ac:dyDescent="0.2">
      <c r="DY41887" s="185" t="s">
        <v>215</v>
      </c>
    </row>
    <row r="41888" spans="129:129" x14ac:dyDescent="0.2">
      <c r="DY41888" s="185" t="s">
        <v>215</v>
      </c>
    </row>
    <row r="41889" spans="129:129" x14ac:dyDescent="0.2">
      <c r="DY41889" s="185" t="s">
        <v>215</v>
      </c>
    </row>
    <row r="41890" spans="129:129" x14ac:dyDescent="0.2">
      <c r="DY41890" s="185" t="s">
        <v>215</v>
      </c>
    </row>
    <row r="41891" spans="129:129" x14ac:dyDescent="0.2">
      <c r="DY41891" s="185" t="s">
        <v>215</v>
      </c>
    </row>
    <row r="41892" spans="129:129" x14ac:dyDescent="0.2">
      <c r="DY41892" s="185" t="s">
        <v>215</v>
      </c>
    </row>
    <row r="41893" spans="129:129" x14ac:dyDescent="0.2">
      <c r="DY41893" s="185" t="s">
        <v>215</v>
      </c>
    </row>
    <row r="41894" spans="129:129" x14ac:dyDescent="0.2">
      <c r="DY41894" s="185" t="s">
        <v>215</v>
      </c>
    </row>
    <row r="41895" spans="129:129" x14ac:dyDescent="0.2">
      <c r="DY41895" s="185" t="s">
        <v>215</v>
      </c>
    </row>
    <row r="41896" spans="129:129" x14ac:dyDescent="0.2">
      <c r="DY41896" s="185" t="s">
        <v>215</v>
      </c>
    </row>
    <row r="41897" spans="129:129" x14ac:dyDescent="0.2">
      <c r="DY41897" s="185" t="s">
        <v>215</v>
      </c>
    </row>
    <row r="41898" spans="129:129" x14ac:dyDescent="0.2">
      <c r="DY41898" s="185" t="s">
        <v>215</v>
      </c>
    </row>
    <row r="41899" spans="129:129" x14ac:dyDescent="0.2">
      <c r="DY41899" s="185" t="s">
        <v>215</v>
      </c>
    </row>
    <row r="41900" spans="129:129" x14ac:dyDescent="0.2">
      <c r="DY41900" s="185" t="s">
        <v>215</v>
      </c>
    </row>
    <row r="41901" spans="129:129" x14ac:dyDescent="0.2">
      <c r="DY41901" s="185" t="s">
        <v>215</v>
      </c>
    </row>
    <row r="41902" spans="129:129" x14ac:dyDescent="0.2">
      <c r="DY41902" s="185" t="s">
        <v>215</v>
      </c>
    </row>
    <row r="41903" spans="129:129" x14ac:dyDescent="0.2">
      <c r="DY41903" s="185" t="s">
        <v>215</v>
      </c>
    </row>
    <row r="41904" spans="129:129" x14ac:dyDescent="0.2">
      <c r="DY41904" s="185" t="s">
        <v>215</v>
      </c>
    </row>
    <row r="41905" spans="129:129" x14ac:dyDescent="0.2">
      <c r="DY41905" s="185" t="s">
        <v>215</v>
      </c>
    </row>
    <row r="41906" spans="129:129" x14ac:dyDescent="0.2">
      <c r="DY41906" s="185" t="s">
        <v>215</v>
      </c>
    </row>
    <row r="41907" spans="129:129" x14ac:dyDescent="0.2">
      <c r="DY41907" s="185" t="s">
        <v>215</v>
      </c>
    </row>
    <row r="41908" spans="129:129" x14ac:dyDescent="0.2">
      <c r="DY41908" s="185" t="s">
        <v>215</v>
      </c>
    </row>
    <row r="41909" spans="129:129" x14ac:dyDescent="0.2">
      <c r="DY41909" s="185" t="s">
        <v>215</v>
      </c>
    </row>
    <row r="41910" spans="129:129" x14ac:dyDescent="0.2">
      <c r="DY41910" s="185" t="s">
        <v>215</v>
      </c>
    </row>
    <row r="41911" spans="129:129" x14ac:dyDescent="0.2">
      <c r="DY41911" s="185" t="s">
        <v>215</v>
      </c>
    </row>
    <row r="41912" spans="129:129" x14ac:dyDescent="0.2">
      <c r="DY41912" s="185" t="s">
        <v>215</v>
      </c>
    </row>
    <row r="41913" spans="129:129" x14ac:dyDescent="0.2">
      <c r="DY41913" s="185" t="s">
        <v>215</v>
      </c>
    </row>
    <row r="41914" spans="129:129" x14ac:dyDescent="0.2">
      <c r="DY41914" s="185" t="s">
        <v>215</v>
      </c>
    </row>
    <row r="41915" spans="129:129" x14ac:dyDescent="0.2">
      <c r="DY41915" s="185" t="s">
        <v>215</v>
      </c>
    </row>
    <row r="41916" spans="129:129" x14ac:dyDescent="0.2">
      <c r="DY41916" s="185" t="s">
        <v>215</v>
      </c>
    </row>
    <row r="41917" spans="129:129" x14ac:dyDescent="0.2">
      <c r="DY41917" s="185" t="s">
        <v>215</v>
      </c>
    </row>
    <row r="41918" spans="129:129" x14ac:dyDescent="0.2">
      <c r="DY41918" s="185" t="s">
        <v>215</v>
      </c>
    </row>
    <row r="41919" spans="129:129" x14ac:dyDescent="0.2">
      <c r="DY41919" s="185" t="s">
        <v>215</v>
      </c>
    </row>
    <row r="41920" spans="129:129" x14ac:dyDescent="0.2">
      <c r="DY41920" s="185" t="s">
        <v>215</v>
      </c>
    </row>
    <row r="41921" spans="129:129" x14ac:dyDescent="0.2">
      <c r="DY41921" s="185" t="s">
        <v>215</v>
      </c>
    </row>
    <row r="41922" spans="129:129" x14ac:dyDescent="0.2">
      <c r="DY41922" s="185" t="s">
        <v>215</v>
      </c>
    </row>
    <row r="41923" spans="129:129" x14ac:dyDescent="0.2">
      <c r="DY41923" s="185" t="s">
        <v>215</v>
      </c>
    </row>
    <row r="41924" spans="129:129" x14ac:dyDescent="0.2">
      <c r="DY41924" s="185" t="s">
        <v>215</v>
      </c>
    </row>
    <row r="41925" spans="129:129" x14ac:dyDescent="0.2">
      <c r="DY41925" s="185" t="s">
        <v>215</v>
      </c>
    </row>
    <row r="41926" spans="129:129" x14ac:dyDescent="0.2">
      <c r="DY41926" s="185" t="s">
        <v>215</v>
      </c>
    </row>
    <row r="41927" spans="129:129" x14ac:dyDescent="0.2">
      <c r="DY41927" s="185" t="s">
        <v>215</v>
      </c>
    </row>
    <row r="41928" spans="129:129" x14ac:dyDescent="0.2">
      <c r="DY41928" s="185" t="s">
        <v>215</v>
      </c>
    </row>
    <row r="41929" spans="129:129" x14ac:dyDescent="0.2">
      <c r="DY41929" s="185" t="s">
        <v>215</v>
      </c>
    </row>
    <row r="41930" spans="129:129" x14ac:dyDescent="0.2">
      <c r="DY41930" s="185" t="s">
        <v>215</v>
      </c>
    </row>
    <row r="41931" spans="129:129" x14ac:dyDescent="0.2">
      <c r="DY41931" s="185" t="s">
        <v>215</v>
      </c>
    </row>
    <row r="41932" spans="129:129" x14ac:dyDescent="0.2">
      <c r="DY41932" s="185" t="s">
        <v>215</v>
      </c>
    </row>
    <row r="41933" spans="129:129" x14ac:dyDescent="0.2">
      <c r="DY41933" s="185" t="s">
        <v>215</v>
      </c>
    </row>
    <row r="41934" spans="129:129" x14ac:dyDescent="0.2">
      <c r="DY41934" s="185" t="s">
        <v>215</v>
      </c>
    </row>
    <row r="41935" spans="129:129" x14ac:dyDescent="0.2">
      <c r="DY41935" s="185" t="s">
        <v>215</v>
      </c>
    </row>
    <row r="41936" spans="129:129" x14ac:dyDescent="0.2">
      <c r="DY41936" s="185" t="s">
        <v>215</v>
      </c>
    </row>
    <row r="41937" spans="129:129" x14ac:dyDescent="0.2">
      <c r="DY41937" s="185" t="s">
        <v>215</v>
      </c>
    </row>
    <row r="41938" spans="129:129" x14ac:dyDescent="0.2">
      <c r="DY41938" s="185" t="s">
        <v>215</v>
      </c>
    </row>
    <row r="41939" spans="129:129" x14ac:dyDescent="0.2">
      <c r="DY41939" s="185" t="s">
        <v>215</v>
      </c>
    </row>
    <row r="41940" spans="129:129" x14ac:dyDescent="0.2">
      <c r="DY41940" s="185" t="s">
        <v>215</v>
      </c>
    </row>
    <row r="41941" spans="129:129" x14ac:dyDescent="0.2">
      <c r="DY41941" s="185" t="s">
        <v>215</v>
      </c>
    </row>
    <row r="41942" spans="129:129" x14ac:dyDescent="0.2">
      <c r="DY41942" s="185" t="s">
        <v>215</v>
      </c>
    </row>
    <row r="41943" spans="129:129" x14ac:dyDescent="0.2">
      <c r="DY41943" s="185" t="s">
        <v>215</v>
      </c>
    </row>
    <row r="41944" spans="129:129" x14ac:dyDescent="0.2">
      <c r="DY41944" s="185" t="s">
        <v>215</v>
      </c>
    </row>
    <row r="41945" spans="129:129" x14ac:dyDescent="0.2">
      <c r="DY41945" s="185" t="s">
        <v>215</v>
      </c>
    </row>
    <row r="41946" spans="129:129" x14ac:dyDescent="0.2">
      <c r="DY41946" s="185" t="s">
        <v>215</v>
      </c>
    </row>
    <row r="41947" spans="129:129" x14ac:dyDescent="0.2">
      <c r="DY41947" s="185" t="s">
        <v>215</v>
      </c>
    </row>
    <row r="41948" spans="129:129" x14ac:dyDescent="0.2">
      <c r="DY41948" s="185" t="s">
        <v>215</v>
      </c>
    </row>
    <row r="41949" spans="129:129" x14ac:dyDescent="0.2">
      <c r="DY41949" s="185" t="s">
        <v>215</v>
      </c>
    </row>
    <row r="41950" spans="129:129" x14ac:dyDescent="0.2">
      <c r="DY41950" s="185" t="s">
        <v>215</v>
      </c>
    </row>
    <row r="41951" spans="129:129" x14ac:dyDescent="0.2">
      <c r="DY41951" s="185" t="s">
        <v>215</v>
      </c>
    </row>
    <row r="41952" spans="129:129" x14ac:dyDescent="0.2">
      <c r="DY41952" s="185" t="s">
        <v>215</v>
      </c>
    </row>
    <row r="41953" spans="129:129" x14ac:dyDescent="0.2">
      <c r="DY41953" s="185" t="s">
        <v>215</v>
      </c>
    </row>
    <row r="41954" spans="129:129" x14ac:dyDescent="0.2">
      <c r="DY41954" s="185" t="s">
        <v>215</v>
      </c>
    </row>
    <row r="41955" spans="129:129" x14ac:dyDescent="0.2">
      <c r="DY41955" s="185" t="s">
        <v>215</v>
      </c>
    </row>
    <row r="41956" spans="129:129" x14ac:dyDescent="0.2">
      <c r="DY41956" s="185" t="s">
        <v>215</v>
      </c>
    </row>
    <row r="41957" spans="129:129" x14ac:dyDescent="0.2">
      <c r="DY41957" s="185" t="s">
        <v>215</v>
      </c>
    </row>
    <row r="41958" spans="129:129" x14ac:dyDescent="0.2">
      <c r="DY41958" s="185" t="s">
        <v>215</v>
      </c>
    </row>
    <row r="41959" spans="129:129" x14ac:dyDescent="0.2">
      <c r="DY41959" s="185" t="s">
        <v>215</v>
      </c>
    </row>
    <row r="41960" spans="129:129" x14ac:dyDescent="0.2">
      <c r="DY41960" s="185" t="s">
        <v>215</v>
      </c>
    </row>
    <row r="41961" spans="129:129" x14ac:dyDescent="0.2">
      <c r="DY41961" s="185" t="s">
        <v>215</v>
      </c>
    </row>
    <row r="41962" spans="129:129" x14ac:dyDescent="0.2">
      <c r="DY41962" s="185" t="s">
        <v>215</v>
      </c>
    </row>
    <row r="41963" spans="129:129" x14ac:dyDescent="0.2">
      <c r="DY41963" s="185" t="s">
        <v>215</v>
      </c>
    </row>
    <row r="41964" spans="129:129" x14ac:dyDescent="0.2">
      <c r="DY41964" s="185" t="s">
        <v>215</v>
      </c>
    </row>
    <row r="41965" spans="129:129" x14ac:dyDescent="0.2">
      <c r="DY41965" s="185" t="s">
        <v>215</v>
      </c>
    </row>
    <row r="41966" spans="129:129" x14ac:dyDescent="0.2">
      <c r="DY41966" s="185" t="s">
        <v>215</v>
      </c>
    </row>
    <row r="41967" spans="129:129" x14ac:dyDescent="0.2">
      <c r="DY41967" s="185" t="s">
        <v>215</v>
      </c>
    </row>
    <row r="41968" spans="129:129" x14ac:dyDescent="0.2">
      <c r="DY41968" s="185" t="s">
        <v>215</v>
      </c>
    </row>
    <row r="41969" spans="129:129" x14ac:dyDescent="0.2">
      <c r="DY41969" s="185" t="s">
        <v>215</v>
      </c>
    </row>
    <row r="41970" spans="129:129" x14ac:dyDescent="0.2">
      <c r="DY41970" s="185" t="s">
        <v>215</v>
      </c>
    </row>
    <row r="41971" spans="129:129" x14ac:dyDescent="0.2">
      <c r="DY41971" s="185" t="s">
        <v>215</v>
      </c>
    </row>
    <row r="41972" spans="129:129" x14ac:dyDescent="0.2">
      <c r="DY41972" s="185" t="s">
        <v>215</v>
      </c>
    </row>
    <row r="41973" spans="129:129" x14ac:dyDescent="0.2">
      <c r="DY41973" s="185" t="s">
        <v>215</v>
      </c>
    </row>
    <row r="41974" spans="129:129" x14ac:dyDescent="0.2">
      <c r="DY41974" s="185" t="s">
        <v>215</v>
      </c>
    </row>
    <row r="41975" spans="129:129" x14ac:dyDescent="0.2">
      <c r="DY41975" s="185" t="s">
        <v>215</v>
      </c>
    </row>
    <row r="41976" spans="129:129" x14ac:dyDescent="0.2">
      <c r="DY41976" s="185" t="s">
        <v>215</v>
      </c>
    </row>
    <row r="41977" spans="129:129" x14ac:dyDescent="0.2">
      <c r="DY41977" s="185" t="s">
        <v>215</v>
      </c>
    </row>
    <row r="41978" spans="129:129" x14ac:dyDescent="0.2">
      <c r="DY41978" s="185" t="s">
        <v>215</v>
      </c>
    </row>
    <row r="41979" spans="129:129" x14ac:dyDescent="0.2">
      <c r="DY41979" s="185" t="s">
        <v>215</v>
      </c>
    </row>
    <row r="41980" spans="129:129" x14ac:dyDescent="0.2">
      <c r="DY41980" s="185" t="s">
        <v>215</v>
      </c>
    </row>
    <row r="41981" spans="129:129" x14ac:dyDescent="0.2">
      <c r="DY41981" s="185" t="s">
        <v>215</v>
      </c>
    </row>
    <row r="41982" spans="129:129" x14ac:dyDescent="0.2">
      <c r="DY41982" s="185" t="s">
        <v>215</v>
      </c>
    </row>
    <row r="41983" spans="129:129" x14ac:dyDescent="0.2">
      <c r="DY41983" s="185" t="s">
        <v>215</v>
      </c>
    </row>
    <row r="41984" spans="129:129" x14ac:dyDescent="0.2">
      <c r="DY41984" s="185" t="s">
        <v>215</v>
      </c>
    </row>
    <row r="41985" spans="129:129" x14ac:dyDescent="0.2">
      <c r="DY41985" s="185" t="s">
        <v>215</v>
      </c>
    </row>
    <row r="41986" spans="129:129" x14ac:dyDescent="0.2">
      <c r="DY41986" s="185" t="s">
        <v>215</v>
      </c>
    </row>
    <row r="41987" spans="129:129" x14ac:dyDescent="0.2">
      <c r="DY41987" s="185" t="s">
        <v>215</v>
      </c>
    </row>
    <row r="41988" spans="129:129" x14ac:dyDescent="0.2">
      <c r="DY41988" s="185" t="s">
        <v>215</v>
      </c>
    </row>
    <row r="41989" spans="129:129" x14ac:dyDescent="0.2">
      <c r="DY41989" s="185" t="s">
        <v>215</v>
      </c>
    </row>
    <row r="41990" spans="129:129" x14ac:dyDescent="0.2">
      <c r="DY41990" s="185" t="s">
        <v>215</v>
      </c>
    </row>
    <row r="41991" spans="129:129" x14ac:dyDescent="0.2">
      <c r="DY41991" s="185" t="s">
        <v>215</v>
      </c>
    </row>
    <row r="41992" spans="129:129" x14ac:dyDescent="0.2">
      <c r="DY41992" s="185" t="s">
        <v>215</v>
      </c>
    </row>
    <row r="41993" spans="129:129" x14ac:dyDescent="0.2">
      <c r="DY41993" s="185" t="s">
        <v>215</v>
      </c>
    </row>
    <row r="41994" spans="129:129" x14ac:dyDescent="0.2">
      <c r="DY41994" s="185" t="s">
        <v>215</v>
      </c>
    </row>
    <row r="41995" spans="129:129" x14ac:dyDescent="0.2">
      <c r="DY41995" s="185" t="s">
        <v>215</v>
      </c>
    </row>
    <row r="41996" spans="129:129" x14ac:dyDescent="0.2">
      <c r="DY41996" s="185" t="s">
        <v>215</v>
      </c>
    </row>
    <row r="41997" spans="129:129" x14ac:dyDescent="0.2">
      <c r="DY41997" s="185" t="s">
        <v>215</v>
      </c>
    </row>
    <row r="41998" spans="129:129" x14ac:dyDescent="0.2">
      <c r="DY41998" s="185" t="s">
        <v>215</v>
      </c>
    </row>
    <row r="41999" spans="129:129" x14ac:dyDescent="0.2">
      <c r="DY41999" s="185" t="s">
        <v>215</v>
      </c>
    </row>
    <row r="42000" spans="129:129" x14ac:dyDescent="0.2">
      <c r="DY42000" s="185" t="s">
        <v>215</v>
      </c>
    </row>
    <row r="42001" spans="129:129" x14ac:dyDescent="0.2">
      <c r="DY42001" s="185" t="s">
        <v>215</v>
      </c>
    </row>
    <row r="42002" spans="129:129" x14ac:dyDescent="0.2">
      <c r="DY42002" s="185" t="s">
        <v>215</v>
      </c>
    </row>
    <row r="42003" spans="129:129" x14ac:dyDescent="0.2">
      <c r="DY42003" s="185" t="s">
        <v>215</v>
      </c>
    </row>
    <row r="42004" spans="129:129" x14ac:dyDescent="0.2">
      <c r="DY42004" s="185" t="s">
        <v>215</v>
      </c>
    </row>
    <row r="42005" spans="129:129" x14ac:dyDescent="0.2">
      <c r="DY42005" s="185" t="s">
        <v>215</v>
      </c>
    </row>
    <row r="42006" spans="129:129" x14ac:dyDescent="0.2">
      <c r="DY42006" s="185" t="s">
        <v>215</v>
      </c>
    </row>
    <row r="42007" spans="129:129" x14ac:dyDescent="0.2">
      <c r="DY42007" s="185" t="s">
        <v>215</v>
      </c>
    </row>
    <row r="42008" spans="129:129" x14ac:dyDescent="0.2">
      <c r="DY42008" s="185" t="s">
        <v>215</v>
      </c>
    </row>
    <row r="42009" spans="129:129" x14ac:dyDescent="0.2">
      <c r="DY42009" s="185" t="s">
        <v>215</v>
      </c>
    </row>
    <row r="42010" spans="129:129" x14ac:dyDescent="0.2">
      <c r="DY42010" s="185" t="s">
        <v>215</v>
      </c>
    </row>
    <row r="42011" spans="129:129" x14ac:dyDescent="0.2">
      <c r="DY42011" s="185" t="s">
        <v>215</v>
      </c>
    </row>
    <row r="42012" spans="129:129" x14ac:dyDescent="0.2">
      <c r="DY42012" s="185" t="s">
        <v>215</v>
      </c>
    </row>
    <row r="42013" spans="129:129" x14ac:dyDescent="0.2">
      <c r="DY42013" s="185" t="s">
        <v>215</v>
      </c>
    </row>
    <row r="42014" spans="129:129" x14ac:dyDescent="0.2">
      <c r="DY42014" s="185" t="s">
        <v>215</v>
      </c>
    </row>
    <row r="42015" spans="129:129" x14ac:dyDescent="0.2">
      <c r="DY42015" s="185" t="s">
        <v>215</v>
      </c>
    </row>
    <row r="42016" spans="129:129" x14ac:dyDescent="0.2">
      <c r="DY42016" s="185" t="s">
        <v>215</v>
      </c>
    </row>
    <row r="42017" spans="129:129" x14ac:dyDescent="0.2">
      <c r="DY42017" s="185" t="s">
        <v>215</v>
      </c>
    </row>
    <row r="42018" spans="129:129" x14ac:dyDescent="0.2">
      <c r="DY42018" s="185" t="s">
        <v>215</v>
      </c>
    </row>
    <row r="42019" spans="129:129" x14ac:dyDescent="0.2">
      <c r="DY42019" s="185" t="s">
        <v>215</v>
      </c>
    </row>
    <row r="42020" spans="129:129" x14ac:dyDescent="0.2">
      <c r="DY42020" s="185" t="s">
        <v>215</v>
      </c>
    </row>
    <row r="42021" spans="129:129" x14ac:dyDescent="0.2">
      <c r="DY42021" s="185" t="s">
        <v>215</v>
      </c>
    </row>
    <row r="42022" spans="129:129" x14ac:dyDescent="0.2">
      <c r="DY42022" s="185" t="s">
        <v>215</v>
      </c>
    </row>
    <row r="42023" spans="129:129" x14ac:dyDescent="0.2">
      <c r="DY42023" s="185" t="s">
        <v>215</v>
      </c>
    </row>
    <row r="42024" spans="129:129" x14ac:dyDescent="0.2">
      <c r="DY42024" s="185" t="s">
        <v>215</v>
      </c>
    </row>
    <row r="42025" spans="129:129" x14ac:dyDescent="0.2">
      <c r="DY42025" s="185" t="s">
        <v>215</v>
      </c>
    </row>
    <row r="42026" spans="129:129" x14ac:dyDescent="0.2">
      <c r="DY42026" s="185" t="s">
        <v>215</v>
      </c>
    </row>
    <row r="42027" spans="129:129" x14ac:dyDescent="0.2">
      <c r="DY42027" s="185" t="s">
        <v>215</v>
      </c>
    </row>
    <row r="42028" spans="129:129" x14ac:dyDescent="0.2">
      <c r="DY42028" s="185" t="s">
        <v>215</v>
      </c>
    </row>
    <row r="42029" spans="129:129" x14ac:dyDescent="0.2">
      <c r="DY42029" s="185" t="s">
        <v>215</v>
      </c>
    </row>
    <row r="42030" spans="129:129" x14ac:dyDescent="0.2">
      <c r="DY42030" s="185" t="s">
        <v>215</v>
      </c>
    </row>
    <row r="42031" spans="129:129" x14ac:dyDescent="0.2">
      <c r="DY42031" s="185" t="s">
        <v>215</v>
      </c>
    </row>
    <row r="42032" spans="129:129" x14ac:dyDescent="0.2">
      <c r="DY42032" s="185" t="s">
        <v>215</v>
      </c>
    </row>
    <row r="42033" spans="129:129" x14ac:dyDescent="0.2">
      <c r="DY42033" s="185" t="s">
        <v>215</v>
      </c>
    </row>
    <row r="42034" spans="129:129" x14ac:dyDescent="0.2">
      <c r="DY42034" s="185" t="s">
        <v>215</v>
      </c>
    </row>
    <row r="42035" spans="129:129" x14ac:dyDescent="0.2">
      <c r="DY42035" s="185" t="s">
        <v>215</v>
      </c>
    </row>
    <row r="42036" spans="129:129" x14ac:dyDescent="0.2">
      <c r="DY42036" s="185" t="s">
        <v>215</v>
      </c>
    </row>
    <row r="42037" spans="129:129" x14ac:dyDescent="0.2">
      <c r="DY42037" s="185" t="s">
        <v>215</v>
      </c>
    </row>
    <row r="42038" spans="129:129" x14ac:dyDescent="0.2">
      <c r="DY42038" s="185" t="s">
        <v>215</v>
      </c>
    </row>
    <row r="42039" spans="129:129" x14ac:dyDescent="0.2">
      <c r="DY42039" s="185" t="s">
        <v>215</v>
      </c>
    </row>
    <row r="42040" spans="129:129" x14ac:dyDescent="0.2">
      <c r="DY42040" s="185" t="s">
        <v>215</v>
      </c>
    </row>
    <row r="42041" spans="129:129" x14ac:dyDescent="0.2">
      <c r="DY42041" s="185" t="s">
        <v>215</v>
      </c>
    </row>
    <row r="42042" spans="129:129" x14ac:dyDescent="0.2">
      <c r="DY42042" s="185" t="s">
        <v>215</v>
      </c>
    </row>
    <row r="42043" spans="129:129" x14ac:dyDescent="0.2">
      <c r="DY42043" s="185" t="s">
        <v>215</v>
      </c>
    </row>
    <row r="42044" spans="129:129" x14ac:dyDescent="0.2">
      <c r="DY42044" s="185" t="s">
        <v>215</v>
      </c>
    </row>
    <row r="42045" spans="129:129" x14ac:dyDescent="0.2">
      <c r="DY42045" s="185" t="s">
        <v>215</v>
      </c>
    </row>
    <row r="42046" spans="129:129" x14ac:dyDescent="0.2">
      <c r="DY42046" s="185" t="s">
        <v>215</v>
      </c>
    </row>
    <row r="42047" spans="129:129" x14ac:dyDescent="0.2">
      <c r="DY42047" s="185" t="s">
        <v>215</v>
      </c>
    </row>
    <row r="42048" spans="129:129" x14ac:dyDescent="0.2">
      <c r="DY42048" s="185" t="s">
        <v>215</v>
      </c>
    </row>
    <row r="42049" spans="129:129" x14ac:dyDescent="0.2">
      <c r="DY42049" s="185" t="s">
        <v>215</v>
      </c>
    </row>
    <row r="42050" spans="129:129" x14ac:dyDescent="0.2">
      <c r="DY42050" s="185" t="s">
        <v>215</v>
      </c>
    </row>
    <row r="42051" spans="129:129" x14ac:dyDescent="0.2">
      <c r="DY42051" s="185" t="s">
        <v>215</v>
      </c>
    </row>
    <row r="42052" spans="129:129" x14ac:dyDescent="0.2">
      <c r="DY42052" s="185" t="s">
        <v>215</v>
      </c>
    </row>
    <row r="42053" spans="129:129" x14ac:dyDescent="0.2">
      <c r="DY42053" s="185" t="s">
        <v>215</v>
      </c>
    </row>
    <row r="42054" spans="129:129" x14ac:dyDescent="0.2">
      <c r="DY42054" s="185" t="s">
        <v>215</v>
      </c>
    </row>
    <row r="42055" spans="129:129" x14ac:dyDescent="0.2">
      <c r="DY42055" s="185" t="s">
        <v>215</v>
      </c>
    </row>
    <row r="42056" spans="129:129" x14ac:dyDescent="0.2">
      <c r="DY42056" s="185" t="s">
        <v>215</v>
      </c>
    </row>
    <row r="42057" spans="129:129" x14ac:dyDescent="0.2">
      <c r="DY42057" s="185" t="s">
        <v>215</v>
      </c>
    </row>
    <row r="42058" spans="129:129" x14ac:dyDescent="0.2">
      <c r="DY42058" s="185" t="s">
        <v>215</v>
      </c>
    </row>
    <row r="42059" spans="129:129" x14ac:dyDescent="0.2">
      <c r="DY42059" s="185" t="s">
        <v>215</v>
      </c>
    </row>
    <row r="42060" spans="129:129" x14ac:dyDescent="0.2">
      <c r="DY42060" s="185" t="s">
        <v>215</v>
      </c>
    </row>
    <row r="42061" spans="129:129" x14ac:dyDescent="0.2">
      <c r="DY42061" s="185" t="s">
        <v>215</v>
      </c>
    </row>
    <row r="42062" spans="129:129" x14ac:dyDescent="0.2">
      <c r="DY42062" s="185" t="s">
        <v>215</v>
      </c>
    </row>
    <row r="42063" spans="129:129" x14ac:dyDescent="0.2">
      <c r="DY42063" s="185" t="s">
        <v>215</v>
      </c>
    </row>
    <row r="42064" spans="129:129" x14ac:dyDescent="0.2">
      <c r="DY42064" s="185" t="s">
        <v>215</v>
      </c>
    </row>
    <row r="42065" spans="129:129" x14ac:dyDescent="0.2">
      <c r="DY42065" s="185" t="s">
        <v>215</v>
      </c>
    </row>
    <row r="42066" spans="129:129" x14ac:dyDescent="0.2">
      <c r="DY42066" s="185" t="s">
        <v>215</v>
      </c>
    </row>
    <row r="42067" spans="129:129" x14ac:dyDescent="0.2">
      <c r="DY42067" s="185" t="s">
        <v>215</v>
      </c>
    </row>
    <row r="42068" spans="129:129" x14ac:dyDescent="0.2">
      <c r="DY42068" s="185" t="s">
        <v>215</v>
      </c>
    </row>
    <row r="42069" spans="129:129" x14ac:dyDescent="0.2">
      <c r="DY42069" s="185" t="s">
        <v>215</v>
      </c>
    </row>
    <row r="42070" spans="129:129" x14ac:dyDescent="0.2">
      <c r="DY42070" s="185" t="s">
        <v>215</v>
      </c>
    </row>
    <row r="42071" spans="129:129" x14ac:dyDescent="0.2">
      <c r="DY42071" s="185" t="s">
        <v>215</v>
      </c>
    </row>
    <row r="42072" spans="129:129" x14ac:dyDescent="0.2">
      <c r="DY42072" s="185" t="s">
        <v>215</v>
      </c>
    </row>
    <row r="42073" spans="129:129" x14ac:dyDescent="0.2">
      <c r="DY42073" s="185" t="s">
        <v>215</v>
      </c>
    </row>
    <row r="42074" spans="129:129" x14ac:dyDescent="0.2">
      <c r="DY42074" s="185" t="s">
        <v>215</v>
      </c>
    </row>
    <row r="42075" spans="129:129" x14ac:dyDescent="0.2">
      <c r="DY42075" s="185" t="s">
        <v>215</v>
      </c>
    </row>
    <row r="42076" spans="129:129" x14ac:dyDescent="0.2">
      <c r="DY42076" s="185" t="s">
        <v>215</v>
      </c>
    </row>
    <row r="42077" spans="129:129" x14ac:dyDescent="0.2">
      <c r="DY42077" s="185" t="s">
        <v>215</v>
      </c>
    </row>
    <row r="42078" spans="129:129" x14ac:dyDescent="0.2">
      <c r="DY42078" s="185" t="s">
        <v>215</v>
      </c>
    </row>
    <row r="42079" spans="129:129" x14ac:dyDescent="0.2">
      <c r="DY42079" s="185" t="s">
        <v>215</v>
      </c>
    </row>
    <row r="42080" spans="129:129" x14ac:dyDescent="0.2">
      <c r="DY42080" s="185" t="s">
        <v>215</v>
      </c>
    </row>
    <row r="42081" spans="129:129" x14ac:dyDescent="0.2">
      <c r="DY42081" s="185" t="s">
        <v>215</v>
      </c>
    </row>
    <row r="42082" spans="129:129" x14ac:dyDescent="0.2">
      <c r="DY42082" s="185" t="s">
        <v>215</v>
      </c>
    </row>
    <row r="42083" spans="129:129" x14ac:dyDescent="0.2">
      <c r="DY42083" s="185" t="s">
        <v>215</v>
      </c>
    </row>
    <row r="42084" spans="129:129" x14ac:dyDescent="0.2">
      <c r="DY42084" s="185" t="s">
        <v>215</v>
      </c>
    </row>
    <row r="42085" spans="129:129" x14ac:dyDescent="0.2">
      <c r="DY42085" s="185" t="s">
        <v>215</v>
      </c>
    </row>
    <row r="42086" spans="129:129" x14ac:dyDescent="0.2">
      <c r="DY42086" s="185" t="s">
        <v>215</v>
      </c>
    </row>
    <row r="42087" spans="129:129" x14ac:dyDescent="0.2">
      <c r="DY42087" s="185" t="s">
        <v>215</v>
      </c>
    </row>
    <row r="42088" spans="129:129" x14ac:dyDescent="0.2">
      <c r="DY42088" s="185" t="s">
        <v>215</v>
      </c>
    </row>
    <row r="42089" spans="129:129" x14ac:dyDescent="0.2">
      <c r="DY42089" s="185" t="s">
        <v>215</v>
      </c>
    </row>
    <row r="42090" spans="129:129" x14ac:dyDescent="0.2">
      <c r="DY42090" s="185" t="s">
        <v>215</v>
      </c>
    </row>
    <row r="42091" spans="129:129" x14ac:dyDescent="0.2">
      <c r="DY42091" s="185" t="s">
        <v>215</v>
      </c>
    </row>
    <row r="42092" spans="129:129" x14ac:dyDescent="0.2">
      <c r="DY42092" s="185" t="s">
        <v>215</v>
      </c>
    </row>
    <row r="42093" spans="129:129" x14ac:dyDescent="0.2">
      <c r="DY42093" s="185" t="s">
        <v>215</v>
      </c>
    </row>
    <row r="42094" spans="129:129" x14ac:dyDescent="0.2">
      <c r="DY42094" s="185" t="s">
        <v>215</v>
      </c>
    </row>
    <row r="42095" spans="129:129" x14ac:dyDescent="0.2">
      <c r="DY42095" s="185" t="s">
        <v>215</v>
      </c>
    </row>
    <row r="42096" spans="129:129" x14ac:dyDescent="0.2">
      <c r="DY42096" s="185" t="s">
        <v>215</v>
      </c>
    </row>
    <row r="42097" spans="129:129" x14ac:dyDescent="0.2">
      <c r="DY42097" s="185" t="s">
        <v>215</v>
      </c>
    </row>
    <row r="42098" spans="129:129" x14ac:dyDescent="0.2">
      <c r="DY42098" s="185" t="s">
        <v>215</v>
      </c>
    </row>
    <row r="42099" spans="129:129" x14ac:dyDescent="0.2">
      <c r="DY42099" s="185" t="s">
        <v>215</v>
      </c>
    </row>
    <row r="42100" spans="129:129" x14ac:dyDescent="0.2">
      <c r="DY42100" s="185" t="s">
        <v>215</v>
      </c>
    </row>
    <row r="42101" spans="129:129" x14ac:dyDescent="0.2">
      <c r="DY42101" s="185" t="s">
        <v>215</v>
      </c>
    </row>
    <row r="42102" spans="129:129" x14ac:dyDescent="0.2">
      <c r="DY42102" s="185" t="s">
        <v>215</v>
      </c>
    </row>
    <row r="42103" spans="129:129" x14ac:dyDescent="0.2">
      <c r="DY42103" s="185" t="s">
        <v>215</v>
      </c>
    </row>
    <row r="42104" spans="129:129" x14ac:dyDescent="0.2">
      <c r="DY42104" s="185" t="s">
        <v>215</v>
      </c>
    </row>
    <row r="42105" spans="129:129" x14ac:dyDescent="0.2">
      <c r="DY42105" s="185" t="s">
        <v>215</v>
      </c>
    </row>
    <row r="42106" spans="129:129" x14ac:dyDescent="0.2">
      <c r="DY42106" s="185" t="s">
        <v>215</v>
      </c>
    </row>
    <row r="42107" spans="129:129" x14ac:dyDescent="0.2">
      <c r="DY42107" s="185" t="s">
        <v>215</v>
      </c>
    </row>
    <row r="42108" spans="129:129" x14ac:dyDescent="0.2">
      <c r="DY42108" s="185" t="s">
        <v>215</v>
      </c>
    </row>
    <row r="42109" spans="129:129" x14ac:dyDescent="0.2">
      <c r="DY42109" s="185" t="s">
        <v>215</v>
      </c>
    </row>
    <row r="42110" spans="129:129" x14ac:dyDescent="0.2">
      <c r="DY42110" s="185" t="s">
        <v>215</v>
      </c>
    </row>
    <row r="42111" spans="129:129" x14ac:dyDescent="0.2">
      <c r="DY42111" s="185" t="s">
        <v>215</v>
      </c>
    </row>
    <row r="42112" spans="129:129" x14ac:dyDescent="0.2">
      <c r="DY42112" s="185" t="s">
        <v>215</v>
      </c>
    </row>
    <row r="42113" spans="129:129" x14ac:dyDescent="0.2">
      <c r="DY42113" s="185" t="s">
        <v>215</v>
      </c>
    </row>
    <row r="42114" spans="129:129" x14ac:dyDescent="0.2">
      <c r="DY42114" s="185" t="s">
        <v>215</v>
      </c>
    </row>
    <row r="42115" spans="129:129" x14ac:dyDescent="0.2">
      <c r="DY42115" s="185" t="s">
        <v>215</v>
      </c>
    </row>
    <row r="42116" spans="129:129" x14ac:dyDescent="0.2">
      <c r="DY42116" s="185" t="s">
        <v>215</v>
      </c>
    </row>
    <row r="42117" spans="129:129" x14ac:dyDescent="0.2">
      <c r="DY42117" s="185" t="s">
        <v>215</v>
      </c>
    </row>
    <row r="42118" spans="129:129" x14ac:dyDescent="0.2">
      <c r="DY42118" s="185" t="s">
        <v>215</v>
      </c>
    </row>
    <row r="42119" spans="129:129" x14ac:dyDescent="0.2">
      <c r="DY42119" s="185" t="s">
        <v>215</v>
      </c>
    </row>
    <row r="42120" spans="129:129" x14ac:dyDescent="0.2">
      <c r="DY42120" s="185" t="s">
        <v>215</v>
      </c>
    </row>
    <row r="42121" spans="129:129" x14ac:dyDescent="0.2">
      <c r="DY42121" s="185" t="s">
        <v>215</v>
      </c>
    </row>
    <row r="42122" spans="129:129" x14ac:dyDescent="0.2">
      <c r="DY42122" s="185" t="s">
        <v>215</v>
      </c>
    </row>
    <row r="42123" spans="129:129" x14ac:dyDescent="0.2">
      <c r="DY42123" s="185" t="s">
        <v>215</v>
      </c>
    </row>
    <row r="42124" spans="129:129" x14ac:dyDescent="0.2">
      <c r="DY42124" s="185" t="s">
        <v>215</v>
      </c>
    </row>
    <row r="42125" spans="129:129" x14ac:dyDescent="0.2">
      <c r="DY42125" s="185" t="s">
        <v>215</v>
      </c>
    </row>
    <row r="42126" spans="129:129" x14ac:dyDescent="0.2">
      <c r="DY42126" s="185" t="s">
        <v>215</v>
      </c>
    </row>
    <row r="42127" spans="129:129" x14ac:dyDescent="0.2">
      <c r="DY42127" s="185" t="s">
        <v>215</v>
      </c>
    </row>
    <row r="42128" spans="129:129" x14ac:dyDescent="0.2">
      <c r="DY42128" s="185" t="s">
        <v>215</v>
      </c>
    </row>
    <row r="42129" spans="129:129" x14ac:dyDescent="0.2">
      <c r="DY42129" s="185" t="s">
        <v>215</v>
      </c>
    </row>
    <row r="42130" spans="129:129" x14ac:dyDescent="0.2">
      <c r="DY42130" s="185" t="s">
        <v>215</v>
      </c>
    </row>
    <row r="42131" spans="129:129" x14ac:dyDescent="0.2">
      <c r="DY42131" s="185" t="s">
        <v>215</v>
      </c>
    </row>
    <row r="42132" spans="129:129" x14ac:dyDescent="0.2">
      <c r="DY42132" s="185" t="s">
        <v>215</v>
      </c>
    </row>
    <row r="42133" spans="129:129" x14ac:dyDescent="0.2">
      <c r="DY42133" s="185" t="s">
        <v>215</v>
      </c>
    </row>
    <row r="42134" spans="129:129" x14ac:dyDescent="0.2">
      <c r="DY42134" s="185" t="s">
        <v>215</v>
      </c>
    </row>
    <row r="42135" spans="129:129" x14ac:dyDescent="0.2">
      <c r="DY42135" s="185" t="s">
        <v>215</v>
      </c>
    </row>
    <row r="42136" spans="129:129" x14ac:dyDescent="0.2">
      <c r="DY42136" s="185" t="s">
        <v>215</v>
      </c>
    </row>
    <row r="42137" spans="129:129" x14ac:dyDescent="0.2">
      <c r="DY42137" s="185" t="s">
        <v>215</v>
      </c>
    </row>
    <row r="42138" spans="129:129" x14ac:dyDescent="0.2">
      <c r="DY42138" s="185" t="s">
        <v>215</v>
      </c>
    </row>
    <row r="42139" spans="129:129" x14ac:dyDescent="0.2">
      <c r="DY42139" s="185" t="s">
        <v>215</v>
      </c>
    </row>
    <row r="42140" spans="129:129" x14ac:dyDescent="0.2">
      <c r="DY42140" s="185" t="s">
        <v>215</v>
      </c>
    </row>
    <row r="42141" spans="129:129" x14ac:dyDescent="0.2">
      <c r="DY42141" s="185" t="s">
        <v>215</v>
      </c>
    </row>
    <row r="42142" spans="129:129" x14ac:dyDescent="0.2">
      <c r="DY42142" s="185" t="s">
        <v>215</v>
      </c>
    </row>
    <row r="42143" spans="129:129" x14ac:dyDescent="0.2">
      <c r="DY42143" s="185" t="s">
        <v>215</v>
      </c>
    </row>
    <row r="42144" spans="129:129" x14ac:dyDescent="0.2">
      <c r="DY42144" s="185" t="s">
        <v>215</v>
      </c>
    </row>
    <row r="42145" spans="129:129" x14ac:dyDescent="0.2">
      <c r="DY42145" s="185" t="s">
        <v>215</v>
      </c>
    </row>
    <row r="42146" spans="129:129" x14ac:dyDescent="0.2">
      <c r="DY42146" s="185" t="s">
        <v>215</v>
      </c>
    </row>
    <row r="42147" spans="129:129" x14ac:dyDescent="0.2">
      <c r="DY42147" s="185" t="s">
        <v>215</v>
      </c>
    </row>
    <row r="42148" spans="129:129" x14ac:dyDescent="0.2">
      <c r="DY42148" s="185" t="s">
        <v>215</v>
      </c>
    </row>
    <row r="42149" spans="129:129" x14ac:dyDescent="0.2">
      <c r="DY42149" s="185" t="s">
        <v>215</v>
      </c>
    </row>
    <row r="42150" spans="129:129" x14ac:dyDescent="0.2">
      <c r="DY42150" s="185" t="s">
        <v>215</v>
      </c>
    </row>
    <row r="42151" spans="129:129" x14ac:dyDescent="0.2">
      <c r="DY42151" s="185" t="s">
        <v>215</v>
      </c>
    </row>
    <row r="42152" spans="129:129" x14ac:dyDescent="0.2">
      <c r="DY42152" s="185" t="s">
        <v>215</v>
      </c>
    </row>
    <row r="42153" spans="129:129" x14ac:dyDescent="0.2">
      <c r="DY42153" s="185" t="s">
        <v>215</v>
      </c>
    </row>
    <row r="42154" spans="129:129" x14ac:dyDescent="0.2">
      <c r="DY42154" s="185" t="s">
        <v>215</v>
      </c>
    </row>
    <row r="42155" spans="129:129" x14ac:dyDescent="0.2">
      <c r="DY42155" s="185" t="s">
        <v>215</v>
      </c>
    </row>
    <row r="42156" spans="129:129" x14ac:dyDescent="0.2">
      <c r="DY42156" s="185" t="s">
        <v>215</v>
      </c>
    </row>
    <row r="42157" spans="129:129" x14ac:dyDescent="0.2">
      <c r="DY42157" s="185" t="s">
        <v>215</v>
      </c>
    </row>
    <row r="42158" spans="129:129" x14ac:dyDescent="0.2">
      <c r="DY42158" s="185" t="s">
        <v>215</v>
      </c>
    </row>
    <row r="42159" spans="129:129" x14ac:dyDescent="0.2">
      <c r="DY42159" s="185" t="s">
        <v>215</v>
      </c>
    </row>
    <row r="42160" spans="129:129" x14ac:dyDescent="0.2">
      <c r="DY42160" s="185" t="s">
        <v>215</v>
      </c>
    </row>
    <row r="42161" spans="129:129" x14ac:dyDescent="0.2">
      <c r="DY42161" s="185" t="s">
        <v>215</v>
      </c>
    </row>
    <row r="42162" spans="129:129" x14ac:dyDescent="0.2">
      <c r="DY42162" s="185" t="s">
        <v>215</v>
      </c>
    </row>
    <row r="42163" spans="129:129" x14ac:dyDescent="0.2">
      <c r="DY42163" s="185" t="s">
        <v>215</v>
      </c>
    </row>
    <row r="42164" spans="129:129" x14ac:dyDescent="0.2">
      <c r="DY42164" s="185" t="s">
        <v>215</v>
      </c>
    </row>
    <row r="42165" spans="129:129" x14ac:dyDescent="0.2">
      <c r="DY42165" s="185" t="s">
        <v>215</v>
      </c>
    </row>
    <row r="42166" spans="129:129" x14ac:dyDescent="0.2">
      <c r="DY42166" s="185" t="s">
        <v>215</v>
      </c>
    </row>
    <row r="42167" spans="129:129" x14ac:dyDescent="0.2">
      <c r="DY42167" s="185" t="s">
        <v>215</v>
      </c>
    </row>
    <row r="42168" spans="129:129" x14ac:dyDescent="0.2">
      <c r="DY42168" s="185" t="s">
        <v>215</v>
      </c>
    </row>
    <row r="42169" spans="129:129" x14ac:dyDescent="0.2">
      <c r="DY42169" s="185" t="s">
        <v>215</v>
      </c>
    </row>
    <row r="42170" spans="129:129" x14ac:dyDescent="0.2">
      <c r="DY42170" s="185" t="s">
        <v>215</v>
      </c>
    </row>
    <row r="42171" spans="129:129" x14ac:dyDescent="0.2">
      <c r="DY42171" s="185" t="s">
        <v>215</v>
      </c>
    </row>
    <row r="42172" spans="129:129" x14ac:dyDescent="0.2">
      <c r="DY42172" s="185" t="s">
        <v>215</v>
      </c>
    </row>
    <row r="42173" spans="129:129" x14ac:dyDescent="0.2">
      <c r="DY42173" s="185" t="s">
        <v>215</v>
      </c>
    </row>
    <row r="42174" spans="129:129" x14ac:dyDescent="0.2">
      <c r="DY42174" s="185" t="s">
        <v>215</v>
      </c>
    </row>
    <row r="42175" spans="129:129" x14ac:dyDescent="0.2">
      <c r="DY42175" s="185" t="s">
        <v>215</v>
      </c>
    </row>
    <row r="42176" spans="129:129" x14ac:dyDescent="0.2">
      <c r="DY42176" s="185" t="s">
        <v>215</v>
      </c>
    </row>
    <row r="42177" spans="129:129" x14ac:dyDescent="0.2">
      <c r="DY42177" s="185" t="s">
        <v>215</v>
      </c>
    </row>
    <row r="42178" spans="129:129" x14ac:dyDescent="0.2">
      <c r="DY42178" s="185" t="s">
        <v>215</v>
      </c>
    </row>
    <row r="42179" spans="129:129" x14ac:dyDescent="0.2">
      <c r="DY42179" s="185" t="s">
        <v>215</v>
      </c>
    </row>
    <row r="42180" spans="129:129" x14ac:dyDescent="0.2">
      <c r="DY42180" s="185" t="s">
        <v>215</v>
      </c>
    </row>
    <row r="42181" spans="129:129" x14ac:dyDescent="0.2">
      <c r="DY42181" s="185" t="s">
        <v>215</v>
      </c>
    </row>
    <row r="42182" spans="129:129" x14ac:dyDescent="0.2">
      <c r="DY42182" s="185" t="s">
        <v>215</v>
      </c>
    </row>
    <row r="42183" spans="129:129" x14ac:dyDescent="0.2">
      <c r="DY42183" s="185" t="s">
        <v>215</v>
      </c>
    </row>
    <row r="42184" spans="129:129" x14ac:dyDescent="0.2">
      <c r="DY42184" s="185" t="s">
        <v>215</v>
      </c>
    </row>
    <row r="42185" spans="129:129" x14ac:dyDescent="0.2">
      <c r="DY42185" s="185" t="s">
        <v>215</v>
      </c>
    </row>
    <row r="42186" spans="129:129" x14ac:dyDescent="0.2">
      <c r="DY42186" s="185" t="s">
        <v>215</v>
      </c>
    </row>
    <row r="42187" spans="129:129" x14ac:dyDescent="0.2">
      <c r="DY42187" s="185" t="s">
        <v>215</v>
      </c>
    </row>
    <row r="42188" spans="129:129" x14ac:dyDescent="0.2">
      <c r="DY42188" s="185" t="s">
        <v>215</v>
      </c>
    </row>
    <row r="42189" spans="129:129" x14ac:dyDescent="0.2">
      <c r="DY42189" s="185" t="s">
        <v>215</v>
      </c>
    </row>
    <row r="42190" spans="129:129" x14ac:dyDescent="0.2">
      <c r="DY42190" s="185" t="s">
        <v>215</v>
      </c>
    </row>
    <row r="42191" spans="129:129" x14ac:dyDescent="0.2">
      <c r="DY42191" s="185" t="s">
        <v>215</v>
      </c>
    </row>
    <row r="42192" spans="129:129" x14ac:dyDescent="0.2">
      <c r="DY42192" s="185" t="s">
        <v>215</v>
      </c>
    </row>
    <row r="42193" spans="129:129" x14ac:dyDescent="0.2">
      <c r="DY42193" s="185" t="s">
        <v>215</v>
      </c>
    </row>
    <row r="42194" spans="129:129" x14ac:dyDescent="0.2">
      <c r="DY42194" s="185" t="s">
        <v>215</v>
      </c>
    </row>
    <row r="42195" spans="129:129" x14ac:dyDescent="0.2">
      <c r="DY42195" s="185" t="s">
        <v>215</v>
      </c>
    </row>
    <row r="42196" spans="129:129" x14ac:dyDescent="0.2">
      <c r="DY42196" s="185" t="s">
        <v>215</v>
      </c>
    </row>
    <row r="42197" spans="129:129" x14ac:dyDescent="0.2">
      <c r="DY42197" s="185" t="s">
        <v>215</v>
      </c>
    </row>
    <row r="42198" spans="129:129" x14ac:dyDescent="0.2">
      <c r="DY42198" s="185" t="s">
        <v>215</v>
      </c>
    </row>
    <row r="42199" spans="129:129" x14ac:dyDescent="0.2">
      <c r="DY42199" s="185" t="s">
        <v>215</v>
      </c>
    </row>
    <row r="42200" spans="129:129" x14ac:dyDescent="0.2">
      <c r="DY42200" s="185" t="s">
        <v>215</v>
      </c>
    </row>
    <row r="42201" spans="129:129" x14ac:dyDescent="0.2">
      <c r="DY42201" s="185" t="s">
        <v>215</v>
      </c>
    </row>
    <row r="42202" spans="129:129" x14ac:dyDescent="0.2">
      <c r="DY42202" s="185" t="s">
        <v>215</v>
      </c>
    </row>
    <row r="42203" spans="129:129" x14ac:dyDescent="0.2">
      <c r="DY42203" s="185" t="s">
        <v>215</v>
      </c>
    </row>
    <row r="42204" spans="129:129" x14ac:dyDescent="0.2">
      <c r="DY42204" s="185" t="s">
        <v>215</v>
      </c>
    </row>
    <row r="42205" spans="129:129" x14ac:dyDescent="0.2">
      <c r="DY42205" s="185" t="s">
        <v>215</v>
      </c>
    </row>
    <row r="42206" spans="129:129" x14ac:dyDescent="0.2">
      <c r="DY42206" s="185" t="s">
        <v>215</v>
      </c>
    </row>
    <row r="42207" spans="129:129" x14ac:dyDescent="0.2">
      <c r="DY42207" s="185" t="s">
        <v>215</v>
      </c>
    </row>
    <row r="42208" spans="129:129" x14ac:dyDescent="0.2">
      <c r="DY42208" s="185" t="s">
        <v>215</v>
      </c>
    </row>
    <row r="42209" spans="129:129" x14ac:dyDescent="0.2">
      <c r="DY42209" s="185" t="s">
        <v>215</v>
      </c>
    </row>
    <row r="42210" spans="129:129" x14ac:dyDescent="0.2">
      <c r="DY42210" s="185" t="s">
        <v>215</v>
      </c>
    </row>
    <row r="42211" spans="129:129" x14ac:dyDescent="0.2">
      <c r="DY42211" s="185" t="s">
        <v>215</v>
      </c>
    </row>
    <row r="42212" spans="129:129" x14ac:dyDescent="0.2">
      <c r="DY42212" s="185" t="s">
        <v>215</v>
      </c>
    </row>
    <row r="42213" spans="129:129" x14ac:dyDescent="0.2">
      <c r="DY42213" s="185" t="s">
        <v>215</v>
      </c>
    </row>
    <row r="42214" spans="129:129" x14ac:dyDescent="0.2">
      <c r="DY42214" s="185" t="s">
        <v>215</v>
      </c>
    </row>
    <row r="42215" spans="129:129" x14ac:dyDescent="0.2">
      <c r="DY42215" s="185" t="s">
        <v>215</v>
      </c>
    </row>
    <row r="42216" spans="129:129" x14ac:dyDescent="0.2">
      <c r="DY42216" s="185" t="s">
        <v>215</v>
      </c>
    </row>
    <row r="42217" spans="129:129" x14ac:dyDescent="0.2">
      <c r="DY42217" s="185" t="s">
        <v>215</v>
      </c>
    </row>
    <row r="42218" spans="129:129" x14ac:dyDescent="0.2">
      <c r="DY42218" s="185" t="s">
        <v>215</v>
      </c>
    </row>
    <row r="42219" spans="129:129" x14ac:dyDescent="0.2">
      <c r="DY42219" s="185" t="s">
        <v>215</v>
      </c>
    </row>
    <row r="42220" spans="129:129" x14ac:dyDescent="0.2">
      <c r="DY42220" s="185" t="s">
        <v>215</v>
      </c>
    </row>
    <row r="42221" spans="129:129" x14ac:dyDescent="0.2">
      <c r="DY42221" s="185" t="s">
        <v>215</v>
      </c>
    </row>
    <row r="42222" spans="129:129" x14ac:dyDescent="0.2">
      <c r="DY42222" s="185" t="s">
        <v>215</v>
      </c>
    </row>
    <row r="42223" spans="129:129" x14ac:dyDescent="0.2">
      <c r="DY42223" s="185" t="s">
        <v>215</v>
      </c>
    </row>
    <row r="42224" spans="129:129" x14ac:dyDescent="0.2">
      <c r="DY42224" s="185" t="s">
        <v>215</v>
      </c>
    </row>
    <row r="42225" spans="129:129" x14ac:dyDescent="0.2">
      <c r="DY42225" s="185" t="s">
        <v>215</v>
      </c>
    </row>
    <row r="42226" spans="129:129" x14ac:dyDescent="0.2">
      <c r="DY42226" s="185" t="s">
        <v>215</v>
      </c>
    </row>
    <row r="42227" spans="129:129" x14ac:dyDescent="0.2">
      <c r="DY42227" s="185" t="s">
        <v>215</v>
      </c>
    </row>
    <row r="42228" spans="129:129" x14ac:dyDescent="0.2">
      <c r="DY42228" s="185" t="s">
        <v>215</v>
      </c>
    </row>
    <row r="42229" spans="129:129" x14ac:dyDescent="0.2">
      <c r="DY42229" s="185" t="s">
        <v>215</v>
      </c>
    </row>
    <row r="42230" spans="129:129" x14ac:dyDescent="0.2">
      <c r="DY42230" s="185" t="s">
        <v>215</v>
      </c>
    </row>
    <row r="42231" spans="129:129" x14ac:dyDescent="0.2">
      <c r="DY42231" s="185" t="s">
        <v>215</v>
      </c>
    </row>
    <row r="42232" spans="129:129" x14ac:dyDescent="0.2">
      <c r="DY42232" s="185" t="s">
        <v>215</v>
      </c>
    </row>
    <row r="42233" spans="129:129" x14ac:dyDescent="0.2">
      <c r="DY42233" s="185" t="s">
        <v>215</v>
      </c>
    </row>
    <row r="42234" spans="129:129" x14ac:dyDescent="0.2">
      <c r="DY42234" s="185" t="s">
        <v>215</v>
      </c>
    </row>
    <row r="42235" spans="129:129" x14ac:dyDescent="0.2">
      <c r="DY42235" s="185" t="s">
        <v>215</v>
      </c>
    </row>
    <row r="42236" spans="129:129" x14ac:dyDescent="0.2">
      <c r="DY42236" s="185" t="s">
        <v>215</v>
      </c>
    </row>
    <row r="42237" spans="129:129" x14ac:dyDescent="0.2">
      <c r="DY42237" s="185" t="s">
        <v>215</v>
      </c>
    </row>
    <row r="42238" spans="129:129" x14ac:dyDescent="0.2">
      <c r="DY42238" s="185" t="s">
        <v>215</v>
      </c>
    </row>
    <row r="42239" spans="129:129" x14ac:dyDescent="0.2">
      <c r="DY42239" s="185" t="s">
        <v>215</v>
      </c>
    </row>
    <row r="42240" spans="129:129" x14ac:dyDescent="0.2">
      <c r="DY42240" s="185" t="s">
        <v>215</v>
      </c>
    </row>
    <row r="42241" spans="129:129" x14ac:dyDescent="0.2">
      <c r="DY42241" s="185" t="s">
        <v>215</v>
      </c>
    </row>
    <row r="42242" spans="129:129" x14ac:dyDescent="0.2">
      <c r="DY42242" s="185" t="s">
        <v>215</v>
      </c>
    </row>
    <row r="42243" spans="129:129" x14ac:dyDescent="0.2">
      <c r="DY42243" s="185" t="s">
        <v>215</v>
      </c>
    </row>
    <row r="42244" spans="129:129" x14ac:dyDescent="0.2">
      <c r="DY42244" s="185" t="s">
        <v>215</v>
      </c>
    </row>
    <row r="42245" spans="129:129" x14ac:dyDescent="0.2">
      <c r="DY42245" s="185" t="s">
        <v>215</v>
      </c>
    </row>
    <row r="42246" spans="129:129" x14ac:dyDescent="0.2">
      <c r="DY42246" s="185" t="s">
        <v>215</v>
      </c>
    </row>
    <row r="42247" spans="129:129" x14ac:dyDescent="0.2">
      <c r="DY42247" s="185" t="s">
        <v>215</v>
      </c>
    </row>
    <row r="42248" spans="129:129" x14ac:dyDescent="0.2">
      <c r="DY42248" s="185" t="s">
        <v>215</v>
      </c>
    </row>
    <row r="42249" spans="129:129" x14ac:dyDescent="0.2">
      <c r="DY42249" s="185" t="s">
        <v>215</v>
      </c>
    </row>
    <row r="42250" spans="129:129" x14ac:dyDescent="0.2">
      <c r="DY42250" s="185" t="s">
        <v>215</v>
      </c>
    </row>
    <row r="42251" spans="129:129" x14ac:dyDescent="0.2">
      <c r="DY42251" s="185" t="s">
        <v>215</v>
      </c>
    </row>
    <row r="42252" spans="129:129" x14ac:dyDescent="0.2">
      <c r="DY42252" s="185" t="s">
        <v>215</v>
      </c>
    </row>
    <row r="42253" spans="129:129" x14ac:dyDescent="0.2">
      <c r="DY42253" s="185" t="s">
        <v>215</v>
      </c>
    </row>
    <row r="42254" spans="129:129" x14ac:dyDescent="0.2">
      <c r="DY42254" s="185" t="s">
        <v>215</v>
      </c>
    </row>
    <row r="42255" spans="129:129" x14ac:dyDescent="0.2">
      <c r="DY42255" s="185" t="s">
        <v>215</v>
      </c>
    </row>
    <row r="42256" spans="129:129" x14ac:dyDescent="0.2">
      <c r="DY42256" s="185" t="s">
        <v>215</v>
      </c>
    </row>
    <row r="42257" spans="129:129" x14ac:dyDescent="0.2">
      <c r="DY42257" s="185" t="s">
        <v>215</v>
      </c>
    </row>
    <row r="42258" spans="129:129" x14ac:dyDescent="0.2">
      <c r="DY42258" s="185" t="s">
        <v>215</v>
      </c>
    </row>
    <row r="42259" spans="129:129" x14ac:dyDescent="0.2">
      <c r="DY42259" s="185" t="s">
        <v>215</v>
      </c>
    </row>
    <row r="42260" spans="129:129" x14ac:dyDescent="0.2">
      <c r="DY42260" s="185" t="s">
        <v>215</v>
      </c>
    </row>
    <row r="42261" spans="129:129" x14ac:dyDescent="0.2">
      <c r="DY42261" s="185" t="s">
        <v>215</v>
      </c>
    </row>
    <row r="42262" spans="129:129" x14ac:dyDescent="0.2">
      <c r="DY42262" s="185" t="s">
        <v>215</v>
      </c>
    </row>
    <row r="42263" spans="129:129" x14ac:dyDescent="0.2">
      <c r="DY42263" s="185" t="s">
        <v>215</v>
      </c>
    </row>
    <row r="42264" spans="129:129" x14ac:dyDescent="0.2">
      <c r="DY42264" s="185" t="s">
        <v>215</v>
      </c>
    </row>
    <row r="42265" spans="129:129" x14ac:dyDescent="0.2">
      <c r="DY42265" s="185" t="s">
        <v>215</v>
      </c>
    </row>
    <row r="42266" spans="129:129" x14ac:dyDescent="0.2">
      <c r="DY42266" s="185" t="s">
        <v>215</v>
      </c>
    </row>
    <row r="42267" spans="129:129" x14ac:dyDescent="0.2">
      <c r="DY42267" s="185" t="s">
        <v>215</v>
      </c>
    </row>
    <row r="42268" spans="129:129" x14ac:dyDescent="0.2">
      <c r="DY42268" s="185" t="s">
        <v>215</v>
      </c>
    </row>
    <row r="42269" spans="129:129" x14ac:dyDescent="0.2">
      <c r="DY42269" s="185" t="s">
        <v>215</v>
      </c>
    </row>
    <row r="42270" spans="129:129" x14ac:dyDescent="0.2">
      <c r="DY42270" s="185" t="s">
        <v>215</v>
      </c>
    </row>
    <row r="42271" spans="129:129" x14ac:dyDescent="0.2">
      <c r="DY42271" s="185" t="s">
        <v>215</v>
      </c>
    </row>
    <row r="42272" spans="129:129" x14ac:dyDescent="0.2">
      <c r="DY42272" s="185" t="s">
        <v>215</v>
      </c>
    </row>
    <row r="42273" spans="129:129" x14ac:dyDescent="0.2">
      <c r="DY42273" s="185" t="s">
        <v>215</v>
      </c>
    </row>
    <row r="42274" spans="129:129" x14ac:dyDescent="0.2">
      <c r="DY42274" s="185" t="s">
        <v>215</v>
      </c>
    </row>
    <row r="42275" spans="129:129" x14ac:dyDescent="0.2">
      <c r="DY42275" s="185" t="s">
        <v>215</v>
      </c>
    </row>
    <row r="42276" spans="129:129" x14ac:dyDescent="0.2">
      <c r="DY42276" s="185" t="s">
        <v>215</v>
      </c>
    </row>
    <row r="42277" spans="129:129" x14ac:dyDescent="0.2">
      <c r="DY42277" s="185" t="s">
        <v>215</v>
      </c>
    </row>
    <row r="42278" spans="129:129" x14ac:dyDescent="0.2">
      <c r="DY42278" s="185" t="s">
        <v>215</v>
      </c>
    </row>
    <row r="42279" spans="129:129" x14ac:dyDescent="0.2">
      <c r="DY42279" s="185" t="s">
        <v>215</v>
      </c>
    </row>
    <row r="42280" spans="129:129" x14ac:dyDescent="0.2">
      <c r="DY42280" s="185" t="s">
        <v>215</v>
      </c>
    </row>
    <row r="42281" spans="129:129" x14ac:dyDescent="0.2">
      <c r="DY42281" s="185" t="s">
        <v>215</v>
      </c>
    </row>
    <row r="42282" spans="129:129" x14ac:dyDescent="0.2">
      <c r="DY42282" s="185" t="s">
        <v>215</v>
      </c>
    </row>
    <row r="42283" spans="129:129" x14ac:dyDescent="0.2">
      <c r="DY42283" s="185" t="s">
        <v>215</v>
      </c>
    </row>
    <row r="42284" spans="129:129" x14ac:dyDescent="0.2">
      <c r="DY42284" s="185" t="s">
        <v>215</v>
      </c>
    </row>
    <row r="42285" spans="129:129" x14ac:dyDescent="0.2">
      <c r="DY42285" s="185" t="s">
        <v>215</v>
      </c>
    </row>
    <row r="42286" spans="129:129" x14ac:dyDescent="0.2">
      <c r="DY42286" s="185" t="s">
        <v>215</v>
      </c>
    </row>
    <row r="42287" spans="129:129" x14ac:dyDescent="0.2">
      <c r="DY42287" s="185" t="s">
        <v>215</v>
      </c>
    </row>
    <row r="42288" spans="129:129" x14ac:dyDescent="0.2">
      <c r="DY42288" s="185" t="s">
        <v>215</v>
      </c>
    </row>
    <row r="42289" spans="129:129" x14ac:dyDescent="0.2">
      <c r="DY42289" s="185" t="s">
        <v>215</v>
      </c>
    </row>
    <row r="42290" spans="129:129" x14ac:dyDescent="0.2">
      <c r="DY42290" s="185" t="s">
        <v>215</v>
      </c>
    </row>
    <row r="42291" spans="129:129" x14ac:dyDescent="0.2">
      <c r="DY42291" s="185" t="s">
        <v>215</v>
      </c>
    </row>
    <row r="42292" spans="129:129" x14ac:dyDescent="0.2">
      <c r="DY42292" s="185" t="s">
        <v>215</v>
      </c>
    </row>
    <row r="42293" spans="129:129" x14ac:dyDescent="0.2">
      <c r="DY42293" s="185" t="s">
        <v>215</v>
      </c>
    </row>
    <row r="42294" spans="129:129" x14ac:dyDescent="0.2">
      <c r="DY42294" s="185" t="s">
        <v>215</v>
      </c>
    </row>
    <row r="42295" spans="129:129" x14ac:dyDescent="0.2">
      <c r="DY42295" s="185" t="s">
        <v>215</v>
      </c>
    </row>
    <row r="42296" spans="129:129" x14ac:dyDescent="0.2">
      <c r="DY42296" s="185" t="s">
        <v>215</v>
      </c>
    </row>
    <row r="42297" spans="129:129" x14ac:dyDescent="0.2">
      <c r="DY42297" s="185" t="s">
        <v>215</v>
      </c>
    </row>
    <row r="42298" spans="129:129" x14ac:dyDescent="0.2">
      <c r="DY42298" s="185" t="s">
        <v>215</v>
      </c>
    </row>
    <row r="42299" spans="129:129" x14ac:dyDescent="0.2">
      <c r="DY42299" s="185" t="s">
        <v>215</v>
      </c>
    </row>
    <row r="42300" spans="129:129" x14ac:dyDescent="0.2">
      <c r="DY42300" s="185" t="s">
        <v>215</v>
      </c>
    </row>
    <row r="42301" spans="129:129" x14ac:dyDescent="0.2">
      <c r="DY42301" s="185" t="s">
        <v>215</v>
      </c>
    </row>
    <row r="42302" spans="129:129" x14ac:dyDescent="0.2">
      <c r="DY42302" s="185" t="s">
        <v>215</v>
      </c>
    </row>
    <row r="42303" spans="129:129" x14ac:dyDescent="0.2">
      <c r="DY42303" s="185" t="s">
        <v>215</v>
      </c>
    </row>
    <row r="42304" spans="129:129" x14ac:dyDescent="0.2">
      <c r="DY42304" s="185" t="s">
        <v>215</v>
      </c>
    </row>
    <row r="42305" spans="129:129" x14ac:dyDescent="0.2">
      <c r="DY42305" s="185" t="s">
        <v>215</v>
      </c>
    </row>
    <row r="42306" spans="129:129" x14ac:dyDescent="0.2">
      <c r="DY42306" s="185" t="s">
        <v>215</v>
      </c>
    </row>
    <row r="42307" spans="129:129" x14ac:dyDescent="0.2">
      <c r="DY42307" s="185" t="s">
        <v>215</v>
      </c>
    </row>
    <row r="42308" spans="129:129" x14ac:dyDescent="0.2">
      <c r="DY42308" s="185" t="s">
        <v>215</v>
      </c>
    </row>
    <row r="42309" spans="129:129" x14ac:dyDescent="0.2">
      <c r="DY42309" s="185" t="s">
        <v>215</v>
      </c>
    </row>
    <row r="42310" spans="129:129" x14ac:dyDescent="0.2">
      <c r="DY42310" s="185" t="s">
        <v>215</v>
      </c>
    </row>
    <row r="42311" spans="129:129" x14ac:dyDescent="0.2">
      <c r="DY42311" s="185" t="s">
        <v>215</v>
      </c>
    </row>
    <row r="42312" spans="129:129" x14ac:dyDescent="0.2">
      <c r="DY42312" s="185" t="s">
        <v>215</v>
      </c>
    </row>
    <row r="42313" spans="129:129" x14ac:dyDescent="0.2">
      <c r="DY42313" s="185" t="s">
        <v>215</v>
      </c>
    </row>
    <row r="42314" spans="129:129" x14ac:dyDescent="0.2">
      <c r="DY42314" s="185" t="s">
        <v>215</v>
      </c>
    </row>
    <row r="42315" spans="129:129" x14ac:dyDescent="0.2">
      <c r="DY42315" s="185" t="s">
        <v>215</v>
      </c>
    </row>
    <row r="42316" spans="129:129" x14ac:dyDescent="0.2">
      <c r="DY42316" s="185" t="s">
        <v>215</v>
      </c>
    </row>
    <row r="42317" spans="129:129" x14ac:dyDescent="0.2">
      <c r="DY42317" s="185" t="s">
        <v>215</v>
      </c>
    </row>
    <row r="42318" spans="129:129" x14ac:dyDescent="0.2">
      <c r="DY42318" s="185" t="s">
        <v>215</v>
      </c>
    </row>
    <row r="42319" spans="129:129" x14ac:dyDescent="0.2">
      <c r="DY42319" s="185" t="s">
        <v>215</v>
      </c>
    </row>
    <row r="42320" spans="129:129" x14ac:dyDescent="0.2">
      <c r="DY42320" s="185" t="s">
        <v>215</v>
      </c>
    </row>
    <row r="42321" spans="129:129" x14ac:dyDescent="0.2">
      <c r="DY42321" s="185" t="s">
        <v>215</v>
      </c>
    </row>
    <row r="42322" spans="129:129" x14ac:dyDescent="0.2">
      <c r="DY42322" s="185" t="s">
        <v>215</v>
      </c>
    </row>
    <row r="42323" spans="129:129" x14ac:dyDescent="0.2">
      <c r="DY42323" s="185" t="s">
        <v>215</v>
      </c>
    </row>
    <row r="42324" spans="129:129" x14ac:dyDescent="0.2">
      <c r="DY42324" s="185" t="s">
        <v>215</v>
      </c>
    </row>
    <row r="42325" spans="129:129" x14ac:dyDescent="0.2">
      <c r="DY42325" s="185" t="s">
        <v>215</v>
      </c>
    </row>
    <row r="42326" spans="129:129" x14ac:dyDescent="0.2">
      <c r="DY42326" s="185" t="s">
        <v>215</v>
      </c>
    </row>
    <row r="42327" spans="129:129" x14ac:dyDescent="0.2">
      <c r="DY42327" s="185" t="s">
        <v>215</v>
      </c>
    </row>
    <row r="42328" spans="129:129" x14ac:dyDescent="0.2">
      <c r="DY42328" s="185" t="s">
        <v>215</v>
      </c>
    </row>
    <row r="42329" spans="129:129" x14ac:dyDescent="0.2">
      <c r="DY42329" s="185" t="s">
        <v>215</v>
      </c>
    </row>
    <row r="42330" spans="129:129" x14ac:dyDescent="0.2">
      <c r="DY42330" s="185" t="s">
        <v>215</v>
      </c>
    </row>
    <row r="42331" spans="129:129" x14ac:dyDescent="0.2">
      <c r="DY42331" s="185" t="s">
        <v>215</v>
      </c>
    </row>
    <row r="42332" spans="129:129" x14ac:dyDescent="0.2">
      <c r="DY42332" s="185" t="s">
        <v>215</v>
      </c>
    </row>
    <row r="42333" spans="129:129" x14ac:dyDescent="0.2">
      <c r="DY42333" s="185" t="s">
        <v>215</v>
      </c>
    </row>
    <row r="42334" spans="129:129" x14ac:dyDescent="0.2">
      <c r="DY42334" s="185" t="s">
        <v>215</v>
      </c>
    </row>
    <row r="42335" spans="129:129" x14ac:dyDescent="0.2">
      <c r="DY42335" s="185" t="s">
        <v>215</v>
      </c>
    </row>
    <row r="42336" spans="129:129" x14ac:dyDescent="0.2">
      <c r="DY42336" s="185" t="s">
        <v>215</v>
      </c>
    </row>
    <row r="42337" spans="129:129" x14ac:dyDescent="0.2">
      <c r="DY42337" s="185" t="s">
        <v>215</v>
      </c>
    </row>
    <row r="42338" spans="129:129" x14ac:dyDescent="0.2">
      <c r="DY42338" s="185" t="s">
        <v>215</v>
      </c>
    </row>
    <row r="42339" spans="129:129" x14ac:dyDescent="0.2">
      <c r="DY42339" s="185" t="s">
        <v>215</v>
      </c>
    </row>
    <row r="42340" spans="129:129" x14ac:dyDescent="0.2">
      <c r="DY42340" s="185" t="s">
        <v>215</v>
      </c>
    </row>
    <row r="42341" spans="129:129" x14ac:dyDescent="0.2">
      <c r="DY42341" s="185" t="s">
        <v>215</v>
      </c>
    </row>
    <row r="42342" spans="129:129" x14ac:dyDescent="0.2">
      <c r="DY42342" s="185" t="s">
        <v>215</v>
      </c>
    </row>
    <row r="42343" spans="129:129" x14ac:dyDescent="0.2">
      <c r="DY42343" s="185" t="s">
        <v>215</v>
      </c>
    </row>
    <row r="42344" spans="129:129" x14ac:dyDescent="0.2">
      <c r="DY42344" s="185" t="s">
        <v>215</v>
      </c>
    </row>
    <row r="42345" spans="129:129" x14ac:dyDescent="0.2">
      <c r="DY42345" s="185" t="s">
        <v>215</v>
      </c>
    </row>
    <row r="42346" spans="129:129" x14ac:dyDescent="0.2">
      <c r="DY42346" s="185" t="s">
        <v>215</v>
      </c>
    </row>
    <row r="42347" spans="129:129" x14ac:dyDescent="0.2">
      <c r="DY42347" s="185" t="s">
        <v>215</v>
      </c>
    </row>
    <row r="42348" spans="129:129" x14ac:dyDescent="0.2">
      <c r="DY42348" s="185" t="s">
        <v>215</v>
      </c>
    </row>
    <row r="42349" spans="129:129" x14ac:dyDescent="0.2">
      <c r="DY42349" s="185" t="s">
        <v>215</v>
      </c>
    </row>
    <row r="42350" spans="129:129" x14ac:dyDescent="0.2">
      <c r="DY42350" s="185" t="s">
        <v>215</v>
      </c>
    </row>
    <row r="42351" spans="129:129" x14ac:dyDescent="0.2">
      <c r="DY42351" s="185" t="s">
        <v>215</v>
      </c>
    </row>
    <row r="42352" spans="129:129" x14ac:dyDescent="0.2">
      <c r="DY42352" s="185" t="s">
        <v>215</v>
      </c>
    </row>
    <row r="42353" spans="129:129" x14ac:dyDescent="0.2">
      <c r="DY42353" s="185" t="s">
        <v>215</v>
      </c>
    </row>
    <row r="42354" spans="129:129" x14ac:dyDescent="0.2">
      <c r="DY42354" s="185" t="s">
        <v>215</v>
      </c>
    </row>
    <row r="42355" spans="129:129" x14ac:dyDescent="0.2">
      <c r="DY42355" s="185" t="s">
        <v>215</v>
      </c>
    </row>
    <row r="42356" spans="129:129" x14ac:dyDescent="0.2">
      <c r="DY42356" s="185" t="s">
        <v>215</v>
      </c>
    </row>
    <row r="42357" spans="129:129" x14ac:dyDescent="0.2">
      <c r="DY42357" s="185" t="s">
        <v>215</v>
      </c>
    </row>
    <row r="42358" spans="129:129" x14ac:dyDescent="0.2">
      <c r="DY42358" s="185" t="s">
        <v>215</v>
      </c>
    </row>
    <row r="42359" spans="129:129" x14ac:dyDescent="0.2">
      <c r="DY42359" s="185" t="s">
        <v>215</v>
      </c>
    </row>
    <row r="42360" spans="129:129" x14ac:dyDescent="0.2">
      <c r="DY42360" s="185" t="s">
        <v>215</v>
      </c>
    </row>
    <row r="42361" spans="129:129" x14ac:dyDescent="0.2">
      <c r="DY42361" s="185" t="s">
        <v>215</v>
      </c>
    </row>
    <row r="42362" spans="129:129" x14ac:dyDescent="0.2">
      <c r="DY42362" s="185" t="s">
        <v>215</v>
      </c>
    </row>
    <row r="42363" spans="129:129" x14ac:dyDescent="0.2">
      <c r="DY42363" s="185" t="s">
        <v>215</v>
      </c>
    </row>
    <row r="42364" spans="129:129" x14ac:dyDescent="0.2">
      <c r="DY42364" s="185" t="s">
        <v>215</v>
      </c>
    </row>
    <row r="42365" spans="129:129" x14ac:dyDescent="0.2">
      <c r="DY42365" s="185" t="s">
        <v>215</v>
      </c>
    </row>
    <row r="42366" spans="129:129" x14ac:dyDescent="0.2">
      <c r="DY42366" s="185" t="s">
        <v>215</v>
      </c>
    </row>
    <row r="42367" spans="129:129" x14ac:dyDescent="0.2">
      <c r="DY42367" s="185" t="s">
        <v>215</v>
      </c>
    </row>
    <row r="42368" spans="129:129" x14ac:dyDescent="0.2">
      <c r="DY42368" s="185" t="s">
        <v>215</v>
      </c>
    </row>
    <row r="42369" spans="129:129" x14ac:dyDescent="0.2">
      <c r="DY42369" s="185" t="s">
        <v>215</v>
      </c>
    </row>
    <row r="42370" spans="129:129" x14ac:dyDescent="0.2">
      <c r="DY42370" s="185" t="s">
        <v>215</v>
      </c>
    </row>
    <row r="42371" spans="129:129" x14ac:dyDescent="0.2">
      <c r="DY42371" s="185" t="s">
        <v>215</v>
      </c>
    </row>
    <row r="42372" spans="129:129" x14ac:dyDescent="0.2">
      <c r="DY42372" s="185" t="s">
        <v>215</v>
      </c>
    </row>
    <row r="42373" spans="129:129" x14ac:dyDescent="0.2">
      <c r="DY42373" s="185" t="s">
        <v>215</v>
      </c>
    </row>
    <row r="42374" spans="129:129" x14ac:dyDescent="0.2">
      <c r="DY42374" s="185" t="s">
        <v>215</v>
      </c>
    </row>
    <row r="42375" spans="129:129" x14ac:dyDescent="0.2">
      <c r="DY42375" s="185" t="s">
        <v>215</v>
      </c>
    </row>
    <row r="42376" spans="129:129" x14ac:dyDescent="0.2">
      <c r="DY42376" s="185" t="s">
        <v>215</v>
      </c>
    </row>
    <row r="42377" spans="129:129" x14ac:dyDescent="0.2">
      <c r="DY42377" s="185" t="s">
        <v>215</v>
      </c>
    </row>
    <row r="42378" spans="129:129" x14ac:dyDescent="0.2">
      <c r="DY42378" s="185" t="s">
        <v>215</v>
      </c>
    </row>
    <row r="42379" spans="129:129" x14ac:dyDescent="0.2">
      <c r="DY42379" s="185" t="s">
        <v>215</v>
      </c>
    </row>
    <row r="42380" spans="129:129" x14ac:dyDescent="0.2">
      <c r="DY42380" s="185" t="s">
        <v>215</v>
      </c>
    </row>
    <row r="42381" spans="129:129" x14ac:dyDescent="0.2">
      <c r="DY42381" s="185" t="s">
        <v>215</v>
      </c>
    </row>
    <row r="42382" spans="129:129" x14ac:dyDescent="0.2">
      <c r="DY42382" s="185" t="s">
        <v>215</v>
      </c>
    </row>
    <row r="42383" spans="129:129" x14ac:dyDescent="0.2">
      <c r="DY42383" s="185" t="s">
        <v>215</v>
      </c>
    </row>
    <row r="42384" spans="129:129" x14ac:dyDescent="0.2">
      <c r="DY42384" s="185" t="s">
        <v>215</v>
      </c>
    </row>
    <row r="42385" spans="129:129" x14ac:dyDescent="0.2">
      <c r="DY42385" s="185" t="s">
        <v>215</v>
      </c>
    </row>
    <row r="42386" spans="129:129" x14ac:dyDescent="0.2">
      <c r="DY42386" s="185" t="s">
        <v>215</v>
      </c>
    </row>
    <row r="42387" spans="129:129" x14ac:dyDescent="0.2">
      <c r="DY42387" s="185" t="s">
        <v>215</v>
      </c>
    </row>
    <row r="42388" spans="129:129" x14ac:dyDescent="0.2">
      <c r="DY42388" s="185" t="s">
        <v>215</v>
      </c>
    </row>
    <row r="42389" spans="129:129" x14ac:dyDescent="0.2">
      <c r="DY42389" s="185" t="s">
        <v>215</v>
      </c>
    </row>
    <row r="42390" spans="129:129" x14ac:dyDescent="0.2">
      <c r="DY42390" s="185" t="s">
        <v>215</v>
      </c>
    </row>
    <row r="42391" spans="129:129" x14ac:dyDescent="0.2">
      <c r="DY42391" s="185" t="s">
        <v>215</v>
      </c>
    </row>
    <row r="42392" spans="129:129" x14ac:dyDescent="0.2">
      <c r="DY42392" s="185" t="s">
        <v>215</v>
      </c>
    </row>
    <row r="42393" spans="129:129" x14ac:dyDescent="0.2">
      <c r="DY42393" s="185" t="s">
        <v>215</v>
      </c>
    </row>
    <row r="42394" spans="129:129" x14ac:dyDescent="0.2">
      <c r="DY42394" s="185" t="s">
        <v>215</v>
      </c>
    </row>
    <row r="42395" spans="129:129" x14ac:dyDescent="0.2">
      <c r="DY42395" s="185" t="s">
        <v>215</v>
      </c>
    </row>
    <row r="42396" spans="129:129" x14ac:dyDescent="0.2">
      <c r="DY42396" s="185" t="s">
        <v>215</v>
      </c>
    </row>
    <row r="42397" spans="129:129" x14ac:dyDescent="0.2">
      <c r="DY42397" s="185" t="s">
        <v>215</v>
      </c>
    </row>
    <row r="42398" spans="129:129" x14ac:dyDescent="0.2">
      <c r="DY42398" s="185" t="s">
        <v>215</v>
      </c>
    </row>
    <row r="42399" spans="129:129" x14ac:dyDescent="0.2">
      <c r="DY42399" s="185" t="s">
        <v>215</v>
      </c>
    </row>
    <row r="42400" spans="129:129" x14ac:dyDescent="0.2">
      <c r="DY42400" s="185" t="s">
        <v>215</v>
      </c>
    </row>
    <row r="42401" spans="129:129" x14ac:dyDescent="0.2">
      <c r="DY42401" s="185" t="s">
        <v>215</v>
      </c>
    </row>
    <row r="42402" spans="129:129" x14ac:dyDescent="0.2">
      <c r="DY42402" s="185" t="s">
        <v>215</v>
      </c>
    </row>
    <row r="42403" spans="129:129" x14ac:dyDescent="0.2">
      <c r="DY42403" s="185" t="s">
        <v>215</v>
      </c>
    </row>
    <row r="42404" spans="129:129" x14ac:dyDescent="0.2">
      <c r="DY42404" s="185" t="s">
        <v>215</v>
      </c>
    </row>
    <row r="42405" spans="129:129" x14ac:dyDescent="0.2">
      <c r="DY42405" s="185" t="s">
        <v>215</v>
      </c>
    </row>
    <row r="42406" spans="129:129" x14ac:dyDescent="0.2">
      <c r="DY42406" s="185" t="s">
        <v>215</v>
      </c>
    </row>
    <row r="42407" spans="129:129" x14ac:dyDescent="0.2">
      <c r="DY42407" s="185" t="s">
        <v>215</v>
      </c>
    </row>
    <row r="42408" spans="129:129" x14ac:dyDescent="0.2">
      <c r="DY42408" s="185" t="s">
        <v>215</v>
      </c>
    </row>
    <row r="42409" spans="129:129" x14ac:dyDescent="0.2">
      <c r="DY42409" s="185" t="s">
        <v>215</v>
      </c>
    </row>
    <row r="42410" spans="129:129" x14ac:dyDescent="0.2">
      <c r="DY42410" s="185" t="s">
        <v>215</v>
      </c>
    </row>
    <row r="42411" spans="129:129" x14ac:dyDescent="0.2">
      <c r="DY42411" s="185" t="s">
        <v>215</v>
      </c>
    </row>
    <row r="42412" spans="129:129" x14ac:dyDescent="0.2">
      <c r="DY42412" s="185" t="s">
        <v>215</v>
      </c>
    </row>
    <row r="42413" spans="129:129" x14ac:dyDescent="0.2">
      <c r="DY42413" s="185" t="s">
        <v>215</v>
      </c>
    </row>
    <row r="42414" spans="129:129" x14ac:dyDescent="0.2">
      <c r="DY42414" s="185" t="s">
        <v>215</v>
      </c>
    </row>
    <row r="42415" spans="129:129" x14ac:dyDescent="0.2">
      <c r="DY42415" s="185" t="s">
        <v>215</v>
      </c>
    </row>
    <row r="42416" spans="129:129" x14ac:dyDescent="0.2">
      <c r="DY42416" s="185" t="s">
        <v>215</v>
      </c>
    </row>
    <row r="42417" spans="129:129" x14ac:dyDescent="0.2">
      <c r="DY42417" s="185" t="s">
        <v>215</v>
      </c>
    </row>
    <row r="42418" spans="129:129" x14ac:dyDescent="0.2">
      <c r="DY42418" s="185" t="s">
        <v>215</v>
      </c>
    </row>
    <row r="42419" spans="129:129" x14ac:dyDescent="0.2">
      <c r="DY42419" s="185" t="s">
        <v>215</v>
      </c>
    </row>
    <row r="42420" spans="129:129" x14ac:dyDescent="0.2">
      <c r="DY42420" s="185" t="s">
        <v>215</v>
      </c>
    </row>
    <row r="42421" spans="129:129" x14ac:dyDescent="0.2">
      <c r="DY42421" s="185" t="s">
        <v>215</v>
      </c>
    </row>
    <row r="42422" spans="129:129" x14ac:dyDescent="0.2">
      <c r="DY42422" s="185" t="s">
        <v>215</v>
      </c>
    </row>
    <row r="42423" spans="129:129" x14ac:dyDescent="0.2">
      <c r="DY42423" s="185" t="s">
        <v>215</v>
      </c>
    </row>
    <row r="42424" spans="129:129" x14ac:dyDescent="0.2">
      <c r="DY42424" s="185" t="s">
        <v>215</v>
      </c>
    </row>
    <row r="42425" spans="129:129" x14ac:dyDescent="0.2">
      <c r="DY42425" s="185" t="s">
        <v>215</v>
      </c>
    </row>
    <row r="42426" spans="129:129" x14ac:dyDescent="0.2">
      <c r="DY42426" s="185" t="s">
        <v>215</v>
      </c>
    </row>
    <row r="42427" spans="129:129" x14ac:dyDescent="0.2">
      <c r="DY42427" s="185" t="s">
        <v>215</v>
      </c>
    </row>
    <row r="42428" spans="129:129" x14ac:dyDescent="0.2">
      <c r="DY42428" s="185" t="s">
        <v>215</v>
      </c>
    </row>
    <row r="42429" spans="129:129" x14ac:dyDescent="0.2">
      <c r="DY42429" s="185" t="s">
        <v>215</v>
      </c>
    </row>
    <row r="42430" spans="129:129" x14ac:dyDescent="0.2">
      <c r="DY42430" s="185" t="s">
        <v>215</v>
      </c>
    </row>
    <row r="42431" spans="129:129" x14ac:dyDescent="0.2">
      <c r="DY42431" s="185" t="s">
        <v>215</v>
      </c>
    </row>
    <row r="42432" spans="129:129" x14ac:dyDescent="0.2">
      <c r="DY42432" s="185" t="s">
        <v>215</v>
      </c>
    </row>
    <row r="42433" spans="129:129" x14ac:dyDescent="0.2">
      <c r="DY42433" s="185" t="s">
        <v>215</v>
      </c>
    </row>
    <row r="42434" spans="129:129" x14ac:dyDescent="0.2">
      <c r="DY42434" s="185" t="s">
        <v>215</v>
      </c>
    </row>
    <row r="42435" spans="129:129" x14ac:dyDescent="0.2">
      <c r="DY42435" s="185" t="s">
        <v>215</v>
      </c>
    </row>
    <row r="42436" spans="129:129" x14ac:dyDescent="0.2">
      <c r="DY42436" s="185" t="s">
        <v>215</v>
      </c>
    </row>
    <row r="42437" spans="129:129" x14ac:dyDescent="0.2">
      <c r="DY42437" s="185" t="s">
        <v>215</v>
      </c>
    </row>
    <row r="42438" spans="129:129" x14ac:dyDescent="0.2">
      <c r="DY42438" s="185" t="s">
        <v>215</v>
      </c>
    </row>
    <row r="42439" spans="129:129" x14ac:dyDescent="0.2">
      <c r="DY42439" s="185" t="s">
        <v>215</v>
      </c>
    </row>
    <row r="42440" spans="129:129" x14ac:dyDescent="0.2">
      <c r="DY42440" s="185" t="s">
        <v>215</v>
      </c>
    </row>
    <row r="42441" spans="129:129" x14ac:dyDescent="0.2">
      <c r="DY42441" s="185" t="s">
        <v>215</v>
      </c>
    </row>
    <row r="42442" spans="129:129" x14ac:dyDescent="0.2">
      <c r="DY42442" s="185" t="s">
        <v>215</v>
      </c>
    </row>
    <row r="42443" spans="129:129" x14ac:dyDescent="0.2">
      <c r="DY42443" s="185" t="s">
        <v>215</v>
      </c>
    </row>
    <row r="42444" spans="129:129" x14ac:dyDescent="0.2">
      <c r="DY42444" s="185" t="s">
        <v>215</v>
      </c>
    </row>
    <row r="42445" spans="129:129" x14ac:dyDescent="0.2">
      <c r="DY42445" s="185" t="s">
        <v>215</v>
      </c>
    </row>
    <row r="42446" spans="129:129" x14ac:dyDescent="0.2">
      <c r="DY42446" s="185" t="s">
        <v>215</v>
      </c>
    </row>
    <row r="42447" spans="129:129" x14ac:dyDescent="0.2">
      <c r="DY42447" s="185" t="s">
        <v>215</v>
      </c>
    </row>
    <row r="42448" spans="129:129" x14ac:dyDescent="0.2">
      <c r="DY42448" s="185" t="s">
        <v>215</v>
      </c>
    </row>
    <row r="42449" spans="129:129" x14ac:dyDescent="0.2">
      <c r="DY42449" s="185" t="s">
        <v>215</v>
      </c>
    </row>
    <row r="42450" spans="129:129" x14ac:dyDescent="0.2">
      <c r="DY42450" s="185" t="s">
        <v>215</v>
      </c>
    </row>
    <row r="42451" spans="129:129" x14ac:dyDescent="0.2">
      <c r="DY42451" s="185" t="s">
        <v>215</v>
      </c>
    </row>
    <row r="42452" spans="129:129" x14ac:dyDescent="0.2">
      <c r="DY42452" s="185" t="s">
        <v>215</v>
      </c>
    </row>
    <row r="42453" spans="129:129" x14ac:dyDescent="0.2">
      <c r="DY42453" s="185" t="s">
        <v>215</v>
      </c>
    </row>
    <row r="42454" spans="129:129" x14ac:dyDescent="0.2">
      <c r="DY42454" s="185" t="s">
        <v>215</v>
      </c>
    </row>
    <row r="42455" spans="129:129" x14ac:dyDescent="0.2">
      <c r="DY42455" s="185" t="s">
        <v>215</v>
      </c>
    </row>
    <row r="42456" spans="129:129" x14ac:dyDescent="0.2">
      <c r="DY42456" s="185" t="s">
        <v>215</v>
      </c>
    </row>
    <row r="42457" spans="129:129" x14ac:dyDescent="0.2">
      <c r="DY42457" s="185" t="s">
        <v>215</v>
      </c>
    </row>
    <row r="42458" spans="129:129" x14ac:dyDescent="0.2">
      <c r="DY42458" s="185" t="s">
        <v>215</v>
      </c>
    </row>
    <row r="42459" spans="129:129" x14ac:dyDescent="0.2">
      <c r="DY42459" s="185" t="s">
        <v>215</v>
      </c>
    </row>
    <row r="42460" spans="129:129" x14ac:dyDescent="0.2">
      <c r="DY42460" s="185" t="s">
        <v>215</v>
      </c>
    </row>
    <row r="42461" spans="129:129" x14ac:dyDescent="0.2">
      <c r="DY42461" s="185" t="s">
        <v>215</v>
      </c>
    </row>
    <row r="42462" spans="129:129" x14ac:dyDescent="0.2">
      <c r="DY42462" s="185" t="s">
        <v>215</v>
      </c>
    </row>
    <row r="42463" spans="129:129" x14ac:dyDescent="0.2">
      <c r="DY42463" s="185" t="s">
        <v>215</v>
      </c>
    </row>
    <row r="42464" spans="129:129" x14ac:dyDescent="0.2">
      <c r="DY42464" s="185" t="s">
        <v>215</v>
      </c>
    </row>
    <row r="42465" spans="129:129" x14ac:dyDescent="0.2">
      <c r="DY42465" s="185" t="s">
        <v>215</v>
      </c>
    </row>
    <row r="42466" spans="129:129" x14ac:dyDescent="0.2">
      <c r="DY42466" s="185" t="s">
        <v>215</v>
      </c>
    </row>
    <row r="42467" spans="129:129" x14ac:dyDescent="0.2">
      <c r="DY42467" s="185" t="s">
        <v>215</v>
      </c>
    </row>
    <row r="42468" spans="129:129" x14ac:dyDescent="0.2">
      <c r="DY42468" s="185" t="s">
        <v>215</v>
      </c>
    </row>
    <row r="42469" spans="129:129" x14ac:dyDescent="0.2">
      <c r="DY42469" s="185" t="s">
        <v>215</v>
      </c>
    </row>
    <row r="42470" spans="129:129" x14ac:dyDescent="0.2">
      <c r="DY42470" s="185" t="s">
        <v>215</v>
      </c>
    </row>
    <row r="42471" spans="129:129" x14ac:dyDescent="0.2">
      <c r="DY42471" s="185" t="s">
        <v>215</v>
      </c>
    </row>
    <row r="42472" spans="129:129" x14ac:dyDescent="0.2">
      <c r="DY42472" s="185" t="s">
        <v>215</v>
      </c>
    </row>
    <row r="42473" spans="129:129" x14ac:dyDescent="0.2">
      <c r="DY42473" s="185" t="s">
        <v>215</v>
      </c>
    </row>
    <row r="42474" spans="129:129" x14ac:dyDescent="0.2">
      <c r="DY42474" s="185" t="s">
        <v>215</v>
      </c>
    </row>
    <row r="42475" spans="129:129" x14ac:dyDescent="0.2">
      <c r="DY42475" s="185" t="s">
        <v>215</v>
      </c>
    </row>
    <row r="42476" spans="129:129" x14ac:dyDescent="0.2">
      <c r="DY42476" s="185" t="s">
        <v>215</v>
      </c>
    </row>
    <row r="42477" spans="129:129" x14ac:dyDescent="0.2">
      <c r="DY42477" s="185" t="s">
        <v>215</v>
      </c>
    </row>
    <row r="42478" spans="129:129" x14ac:dyDescent="0.2">
      <c r="DY42478" s="185" t="s">
        <v>215</v>
      </c>
    </row>
    <row r="42479" spans="129:129" x14ac:dyDescent="0.2">
      <c r="DY42479" s="185" t="s">
        <v>215</v>
      </c>
    </row>
    <row r="42480" spans="129:129" x14ac:dyDescent="0.2">
      <c r="DY42480" s="185" t="s">
        <v>215</v>
      </c>
    </row>
    <row r="42481" spans="129:129" x14ac:dyDescent="0.2">
      <c r="DY42481" s="185" t="s">
        <v>215</v>
      </c>
    </row>
    <row r="42482" spans="129:129" x14ac:dyDescent="0.2">
      <c r="DY42482" s="185" t="s">
        <v>215</v>
      </c>
    </row>
    <row r="42483" spans="129:129" x14ac:dyDescent="0.2">
      <c r="DY42483" s="185" t="s">
        <v>215</v>
      </c>
    </row>
    <row r="42484" spans="129:129" x14ac:dyDescent="0.2">
      <c r="DY42484" s="185" t="s">
        <v>215</v>
      </c>
    </row>
    <row r="42485" spans="129:129" x14ac:dyDescent="0.2">
      <c r="DY42485" s="185" t="s">
        <v>215</v>
      </c>
    </row>
    <row r="42486" spans="129:129" x14ac:dyDescent="0.2">
      <c r="DY42486" s="185" t="s">
        <v>215</v>
      </c>
    </row>
    <row r="42487" spans="129:129" x14ac:dyDescent="0.2">
      <c r="DY42487" s="185" t="s">
        <v>215</v>
      </c>
    </row>
    <row r="42488" spans="129:129" x14ac:dyDescent="0.2">
      <c r="DY42488" s="185" t="s">
        <v>215</v>
      </c>
    </row>
    <row r="42489" spans="129:129" x14ac:dyDescent="0.2">
      <c r="DY42489" s="185" t="s">
        <v>215</v>
      </c>
    </row>
    <row r="42490" spans="129:129" x14ac:dyDescent="0.2">
      <c r="DY42490" s="185" t="s">
        <v>215</v>
      </c>
    </row>
    <row r="42491" spans="129:129" x14ac:dyDescent="0.2">
      <c r="DY42491" s="185" t="s">
        <v>215</v>
      </c>
    </row>
    <row r="42492" spans="129:129" x14ac:dyDescent="0.2">
      <c r="DY42492" s="185" t="s">
        <v>215</v>
      </c>
    </row>
    <row r="42493" spans="129:129" x14ac:dyDescent="0.2">
      <c r="DY42493" s="185" t="s">
        <v>215</v>
      </c>
    </row>
    <row r="42494" spans="129:129" x14ac:dyDescent="0.2">
      <c r="DY42494" s="185" t="s">
        <v>215</v>
      </c>
    </row>
    <row r="42495" spans="129:129" x14ac:dyDescent="0.2">
      <c r="DY42495" s="185" t="s">
        <v>215</v>
      </c>
    </row>
    <row r="42496" spans="129:129" x14ac:dyDescent="0.2">
      <c r="DY42496" s="185" t="s">
        <v>215</v>
      </c>
    </row>
    <row r="42497" spans="129:129" x14ac:dyDescent="0.2">
      <c r="DY42497" s="185" t="s">
        <v>215</v>
      </c>
    </row>
    <row r="42498" spans="129:129" x14ac:dyDescent="0.2">
      <c r="DY42498" s="185" t="s">
        <v>215</v>
      </c>
    </row>
    <row r="42499" spans="129:129" x14ac:dyDescent="0.2">
      <c r="DY42499" s="185" t="s">
        <v>215</v>
      </c>
    </row>
    <row r="42500" spans="129:129" x14ac:dyDescent="0.2">
      <c r="DY42500" s="185" t="s">
        <v>215</v>
      </c>
    </row>
    <row r="42501" spans="129:129" x14ac:dyDescent="0.2">
      <c r="DY42501" s="185" t="s">
        <v>215</v>
      </c>
    </row>
    <row r="42502" spans="129:129" x14ac:dyDescent="0.2">
      <c r="DY42502" s="185" t="s">
        <v>215</v>
      </c>
    </row>
    <row r="42503" spans="129:129" x14ac:dyDescent="0.2">
      <c r="DY42503" s="185" t="s">
        <v>215</v>
      </c>
    </row>
    <row r="42504" spans="129:129" x14ac:dyDescent="0.2">
      <c r="DY42504" s="185" t="s">
        <v>215</v>
      </c>
    </row>
    <row r="42505" spans="129:129" x14ac:dyDescent="0.2">
      <c r="DY42505" s="185" t="s">
        <v>215</v>
      </c>
    </row>
    <row r="42506" spans="129:129" x14ac:dyDescent="0.2">
      <c r="DY42506" s="185" t="s">
        <v>215</v>
      </c>
    </row>
    <row r="42507" spans="129:129" x14ac:dyDescent="0.2">
      <c r="DY42507" s="185" t="s">
        <v>215</v>
      </c>
    </row>
    <row r="42508" spans="129:129" x14ac:dyDescent="0.2">
      <c r="DY42508" s="185" t="s">
        <v>215</v>
      </c>
    </row>
    <row r="42509" spans="129:129" x14ac:dyDescent="0.2">
      <c r="DY42509" s="185" t="s">
        <v>215</v>
      </c>
    </row>
    <row r="42510" spans="129:129" x14ac:dyDescent="0.2">
      <c r="DY42510" s="185" t="s">
        <v>215</v>
      </c>
    </row>
    <row r="42511" spans="129:129" x14ac:dyDescent="0.2">
      <c r="DY42511" s="185" t="s">
        <v>215</v>
      </c>
    </row>
    <row r="42512" spans="129:129" x14ac:dyDescent="0.2">
      <c r="DY42512" s="185" t="s">
        <v>215</v>
      </c>
    </row>
    <row r="42513" spans="129:129" x14ac:dyDescent="0.2">
      <c r="DY42513" s="185" t="s">
        <v>215</v>
      </c>
    </row>
    <row r="42514" spans="129:129" x14ac:dyDescent="0.2">
      <c r="DY42514" s="185" t="s">
        <v>215</v>
      </c>
    </row>
    <row r="42515" spans="129:129" x14ac:dyDescent="0.2">
      <c r="DY42515" s="185" t="s">
        <v>215</v>
      </c>
    </row>
    <row r="42516" spans="129:129" x14ac:dyDescent="0.2">
      <c r="DY42516" s="185" t="s">
        <v>215</v>
      </c>
    </row>
    <row r="42517" spans="129:129" x14ac:dyDescent="0.2">
      <c r="DY42517" s="185" t="s">
        <v>215</v>
      </c>
    </row>
    <row r="42518" spans="129:129" x14ac:dyDescent="0.2">
      <c r="DY42518" s="185" t="s">
        <v>215</v>
      </c>
    </row>
    <row r="42519" spans="129:129" x14ac:dyDescent="0.2">
      <c r="DY42519" s="185" t="s">
        <v>215</v>
      </c>
    </row>
    <row r="42520" spans="129:129" x14ac:dyDescent="0.2">
      <c r="DY42520" s="185" t="s">
        <v>215</v>
      </c>
    </row>
    <row r="42521" spans="129:129" x14ac:dyDescent="0.2">
      <c r="DY42521" s="185" t="s">
        <v>215</v>
      </c>
    </row>
    <row r="42522" spans="129:129" x14ac:dyDescent="0.2">
      <c r="DY42522" s="185" t="s">
        <v>215</v>
      </c>
    </row>
    <row r="42523" spans="129:129" x14ac:dyDescent="0.2">
      <c r="DY42523" s="185" t="s">
        <v>215</v>
      </c>
    </row>
    <row r="42524" spans="129:129" x14ac:dyDescent="0.2">
      <c r="DY42524" s="185" t="s">
        <v>215</v>
      </c>
    </row>
    <row r="42525" spans="129:129" x14ac:dyDescent="0.2">
      <c r="DY42525" s="185" t="s">
        <v>215</v>
      </c>
    </row>
    <row r="42526" spans="129:129" x14ac:dyDescent="0.2">
      <c r="DY42526" s="185" t="s">
        <v>215</v>
      </c>
    </row>
    <row r="42527" spans="129:129" x14ac:dyDescent="0.2">
      <c r="DY42527" s="185" t="s">
        <v>215</v>
      </c>
    </row>
    <row r="42528" spans="129:129" x14ac:dyDescent="0.2">
      <c r="DY42528" s="185" t="s">
        <v>215</v>
      </c>
    </row>
    <row r="42529" spans="129:129" x14ac:dyDescent="0.2">
      <c r="DY42529" s="185" t="s">
        <v>215</v>
      </c>
    </row>
    <row r="42530" spans="129:129" x14ac:dyDescent="0.2">
      <c r="DY42530" s="185" t="s">
        <v>215</v>
      </c>
    </row>
    <row r="42531" spans="129:129" x14ac:dyDescent="0.2">
      <c r="DY42531" s="185" t="s">
        <v>215</v>
      </c>
    </row>
    <row r="42532" spans="129:129" x14ac:dyDescent="0.2">
      <c r="DY42532" s="185" t="s">
        <v>215</v>
      </c>
    </row>
    <row r="42533" spans="129:129" x14ac:dyDescent="0.2">
      <c r="DY42533" s="185" t="s">
        <v>215</v>
      </c>
    </row>
    <row r="42534" spans="129:129" x14ac:dyDescent="0.2">
      <c r="DY42534" s="185" t="s">
        <v>215</v>
      </c>
    </row>
    <row r="42535" spans="129:129" x14ac:dyDescent="0.2">
      <c r="DY42535" s="185" t="s">
        <v>215</v>
      </c>
    </row>
    <row r="42536" spans="129:129" x14ac:dyDescent="0.2">
      <c r="DY42536" s="185" t="s">
        <v>215</v>
      </c>
    </row>
    <row r="42537" spans="129:129" x14ac:dyDescent="0.2">
      <c r="DY42537" s="185" t="s">
        <v>215</v>
      </c>
    </row>
    <row r="42538" spans="129:129" x14ac:dyDescent="0.2">
      <c r="DY42538" s="185" t="s">
        <v>215</v>
      </c>
    </row>
    <row r="42539" spans="129:129" x14ac:dyDescent="0.2">
      <c r="DY42539" s="185" t="s">
        <v>215</v>
      </c>
    </row>
    <row r="42540" spans="129:129" x14ac:dyDescent="0.2">
      <c r="DY42540" s="185" t="s">
        <v>215</v>
      </c>
    </row>
    <row r="42541" spans="129:129" x14ac:dyDescent="0.2">
      <c r="DY42541" s="185" t="s">
        <v>215</v>
      </c>
    </row>
    <row r="42542" spans="129:129" x14ac:dyDescent="0.2">
      <c r="DY42542" s="185" t="s">
        <v>215</v>
      </c>
    </row>
    <row r="42543" spans="129:129" x14ac:dyDescent="0.2">
      <c r="DY42543" s="185" t="s">
        <v>215</v>
      </c>
    </row>
    <row r="42544" spans="129:129" x14ac:dyDescent="0.2">
      <c r="DY42544" s="185" t="s">
        <v>215</v>
      </c>
    </row>
    <row r="42545" spans="129:129" x14ac:dyDescent="0.2">
      <c r="DY42545" s="185" t="s">
        <v>215</v>
      </c>
    </row>
    <row r="42546" spans="129:129" x14ac:dyDescent="0.2">
      <c r="DY42546" s="185" t="s">
        <v>215</v>
      </c>
    </row>
    <row r="42547" spans="129:129" x14ac:dyDescent="0.2">
      <c r="DY42547" s="185" t="s">
        <v>215</v>
      </c>
    </row>
    <row r="42548" spans="129:129" x14ac:dyDescent="0.2">
      <c r="DY42548" s="185" t="s">
        <v>215</v>
      </c>
    </row>
    <row r="42549" spans="129:129" x14ac:dyDescent="0.2">
      <c r="DY42549" s="185" t="s">
        <v>215</v>
      </c>
    </row>
    <row r="42550" spans="129:129" x14ac:dyDescent="0.2">
      <c r="DY42550" s="185" t="s">
        <v>215</v>
      </c>
    </row>
    <row r="42551" spans="129:129" x14ac:dyDescent="0.2">
      <c r="DY42551" s="185" t="s">
        <v>215</v>
      </c>
    </row>
    <row r="42552" spans="129:129" x14ac:dyDescent="0.2">
      <c r="DY42552" s="185" t="s">
        <v>215</v>
      </c>
    </row>
    <row r="42553" spans="129:129" x14ac:dyDescent="0.2">
      <c r="DY42553" s="185" t="s">
        <v>215</v>
      </c>
    </row>
    <row r="42554" spans="129:129" x14ac:dyDescent="0.2">
      <c r="DY42554" s="185" t="s">
        <v>215</v>
      </c>
    </row>
    <row r="42555" spans="129:129" x14ac:dyDescent="0.2">
      <c r="DY42555" s="185" t="s">
        <v>215</v>
      </c>
    </row>
    <row r="42556" spans="129:129" x14ac:dyDescent="0.2">
      <c r="DY42556" s="185" t="s">
        <v>215</v>
      </c>
    </row>
    <row r="42557" spans="129:129" x14ac:dyDescent="0.2">
      <c r="DY42557" s="185" t="s">
        <v>215</v>
      </c>
    </row>
    <row r="42558" spans="129:129" x14ac:dyDescent="0.2">
      <c r="DY42558" s="185" t="s">
        <v>215</v>
      </c>
    </row>
    <row r="42559" spans="129:129" x14ac:dyDescent="0.2">
      <c r="DY42559" s="185" t="s">
        <v>215</v>
      </c>
    </row>
    <row r="42560" spans="129:129" x14ac:dyDescent="0.2">
      <c r="DY42560" s="185" t="s">
        <v>215</v>
      </c>
    </row>
    <row r="42561" spans="129:129" x14ac:dyDescent="0.2">
      <c r="DY42561" s="185" t="s">
        <v>215</v>
      </c>
    </row>
    <row r="42562" spans="129:129" x14ac:dyDescent="0.2">
      <c r="DY42562" s="185" t="s">
        <v>215</v>
      </c>
    </row>
    <row r="42563" spans="129:129" x14ac:dyDescent="0.2">
      <c r="DY42563" s="185" t="s">
        <v>215</v>
      </c>
    </row>
    <row r="42564" spans="129:129" x14ac:dyDescent="0.2">
      <c r="DY42564" s="185" t="s">
        <v>215</v>
      </c>
    </row>
    <row r="42565" spans="129:129" x14ac:dyDescent="0.2">
      <c r="DY42565" s="185" t="s">
        <v>215</v>
      </c>
    </row>
    <row r="42566" spans="129:129" x14ac:dyDescent="0.2">
      <c r="DY42566" s="185" t="s">
        <v>215</v>
      </c>
    </row>
    <row r="42567" spans="129:129" x14ac:dyDescent="0.2">
      <c r="DY42567" s="185" t="s">
        <v>215</v>
      </c>
    </row>
    <row r="42568" spans="129:129" x14ac:dyDescent="0.2">
      <c r="DY42568" s="185" t="s">
        <v>215</v>
      </c>
    </row>
    <row r="42569" spans="129:129" x14ac:dyDescent="0.2">
      <c r="DY42569" s="185" t="s">
        <v>215</v>
      </c>
    </row>
    <row r="42570" spans="129:129" x14ac:dyDescent="0.2">
      <c r="DY42570" s="185" t="s">
        <v>215</v>
      </c>
    </row>
    <row r="42571" spans="129:129" x14ac:dyDescent="0.2">
      <c r="DY42571" s="185" t="s">
        <v>215</v>
      </c>
    </row>
    <row r="42572" spans="129:129" x14ac:dyDescent="0.2">
      <c r="DY42572" s="185" t="s">
        <v>215</v>
      </c>
    </row>
    <row r="42573" spans="129:129" x14ac:dyDescent="0.2">
      <c r="DY42573" s="185" t="s">
        <v>215</v>
      </c>
    </row>
    <row r="42574" spans="129:129" x14ac:dyDescent="0.2">
      <c r="DY42574" s="185" t="s">
        <v>215</v>
      </c>
    </row>
    <row r="42575" spans="129:129" x14ac:dyDescent="0.2">
      <c r="DY42575" s="185" t="s">
        <v>215</v>
      </c>
    </row>
    <row r="42576" spans="129:129" x14ac:dyDescent="0.2">
      <c r="DY42576" s="185" t="s">
        <v>215</v>
      </c>
    </row>
    <row r="42577" spans="129:129" x14ac:dyDescent="0.2">
      <c r="DY42577" s="185" t="s">
        <v>215</v>
      </c>
    </row>
    <row r="42578" spans="129:129" x14ac:dyDescent="0.2">
      <c r="DY42578" s="185" t="s">
        <v>215</v>
      </c>
    </row>
    <row r="42579" spans="129:129" x14ac:dyDescent="0.2">
      <c r="DY42579" s="185" t="s">
        <v>215</v>
      </c>
    </row>
    <row r="42580" spans="129:129" x14ac:dyDescent="0.2">
      <c r="DY42580" s="185" t="s">
        <v>215</v>
      </c>
    </row>
    <row r="42581" spans="129:129" x14ac:dyDescent="0.2">
      <c r="DY42581" s="185" t="s">
        <v>215</v>
      </c>
    </row>
    <row r="42582" spans="129:129" x14ac:dyDescent="0.2">
      <c r="DY42582" s="185" t="s">
        <v>215</v>
      </c>
    </row>
    <row r="42583" spans="129:129" x14ac:dyDescent="0.2">
      <c r="DY42583" s="185" t="s">
        <v>215</v>
      </c>
    </row>
    <row r="42584" spans="129:129" x14ac:dyDescent="0.2">
      <c r="DY42584" s="185" t="s">
        <v>215</v>
      </c>
    </row>
    <row r="42585" spans="129:129" x14ac:dyDescent="0.2">
      <c r="DY42585" s="185" t="s">
        <v>215</v>
      </c>
    </row>
    <row r="42586" spans="129:129" x14ac:dyDescent="0.2">
      <c r="DY42586" s="185" t="s">
        <v>215</v>
      </c>
    </row>
    <row r="42587" spans="129:129" x14ac:dyDescent="0.2">
      <c r="DY42587" s="185" t="s">
        <v>215</v>
      </c>
    </row>
    <row r="42588" spans="129:129" x14ac:dyDescent="0.2">
      <c r="DY42588" s="185" t="s">
        <v>215</v>
      </c>
    </row>
    <row r="42589" spans="129:129" x14ac:dyDescent="0.2">
      <c r="DY42589" s="185" t="s">
        <v>215</v>
      </c>
    </row>
    <row r="42590" spans="129:129" x14ac:dyDescent="0.2">
      <c r="DY42590" s="185" t="s">
        <v>215</v>
      </c>
    </row>
    <row r="42591" spans="129:129" x14ac:dyDescent="0.2">
      <c r="DY42591" s="185" t="s">
        <v>215</v>
      </c>
    </row>
    <row r="42592" spans="129:129" x14ac:dyDescent="0.2">
      <c r="DY42592" s="185" t="s">
        <v>215</v>
      </c>
    </row>
    <row r="42593" spans="129:129" x14ac:dyDescent="0.2">
      <c r="DY42593" s="185" t="s">
        <v>215</v>
      </c>
    </row>
    <row r="42594" spans="129:129" x14ac:dyDescent="0.2">
      <c r="DY42594" s="185" t="s">
        <v>215</v>
      </c>
    </row>
    <row r="42595" spans="129:129" x14ac:dyDescent="0.2">
      <c r="DY42595" s="185" t="s">
        <v>215</v>
      </c>
    </row>
    <row r="42596" spans="129:129" x14ac:dyDescent="0.2">
      <c r="DY42596" s="185" t="s">
        <v>215</v>
      </c>
    </row>
    <row r="42597" spans="129:129" x14ac:dyDescent="0.2">
      <c r="DY42597" s="185" t="s">
        <v>215</v>
      </c>
    </row>
    <row r="42598" spans="129:129" x14ac:dyDescent="0.2">
      <c r="DY42598" s="185" t="s">
        <v>215</v>
      </c>
    </row>
    <row r="42599" spans="129:129" x14ac:dyDescent="0.2">
      <c r="DY42599" s="185" t="s">
        <v>215</v>
      </c>
    </row>
    <row r="42600" spans="129:129" x14ac:dyDescent="0.2">
      <c r="DY42600" s="185" t="s">
        <v>215</v>
      </c>
    </row>
    <row r="42601" spans="129:129" x14ac:dyDescent="0.2">
      <c r="DY42601" s="185" t="s">
        <v>215</v>
      </c>
    </row>
    <row r="42602" spans="129:129" x14ac:dyDescent="0.2">
      <c r="DY42602" s="185" t="s">
        <v>215</v>
      </c>
    </row>
    <row r="42603" spans="129:129" x14ac:dyDescent="0.2">
      <c r="DY42603" s="185" t="s">
        <v>215</v>
      </c>
    </row>
    <row r="42604" spans="129:129" x14ac:dyDescent="0.2">
      <c r="DY42604" s="185" t="s">
        <v>215</v>
      </c>
    </row>
    <row r="42605" spans="129:129" x14ac:dyDescent="0.2">
      <c r="DY42605" s="185" t="s">
        <v>215</v>
      </c>
    </row>
    <row r="42606" spans="129:129" x14ac:dyDescent="0.2">
      <c r="DY42606" s="185" t="s">
        <v>215</v>
      </c>
    </row>
    <row r="42607" spans="129:129" x14ac:dyDescent="0.2">
      <c r="DY42607" s="185" t="s">
        <v>215</v>
      </c>
    </row>
    <row r="42608" spans="129:129" x14ac:dyDescent="0.2">
      <c r="DY42608" s="185" t="s">
        <v>215</v>
      </c>
    </row>
    <row r="42609" spans="129:129" x14ac:dyDescent="0.2">
      <c r="DY42609" s="185" t="s">
        <v>215</v>
      </c>
    </row>
    <row r="42610" spans="129:129" x14ac:dyDescent="0.2">
      <c r="DY42610" s="185" t="s">
        <v>215</v>
      </c>
    </row>
    <row r="42611" spans="129:129" x14ac:dyDescent="0.2">
      <c r="DY42611" s="185" t="s">
        <v>215</v>
      </c>
    </row>
    <row r="42612" spans="129:129" x14ac:dyDescent="0.2">
      <c r="DY42612" s="185" t="s">
        <v>215</v>
      </c>
    </row>
    <row r="42613" spans="129:129" x14ac:dyDescent="0.2">
      <c r="DY42613" s="185" t="s">
        <v>215</v>
      </c>
    </row>
    <row r="42614" spans="129:129" x14ac:dyDescent="0.2">
      <c r="DY42614" s="185" t="s">
        <v>215</v>
      </c>
    </row>
    <row r="42615" spans="129:129" x14ac:dyDescent="0.2">
      <c r="DY42615" s="185" t="s">
        <v>215</v>
      </c>
    </row>
    <row r="42616" spans="129:129" x14ac:dyDescent="0.2">
      <c r="DY42616" s="185" t="s">
        <v>215</v>
      </c>
    </row>
    <row r="42617" spans="129:129" x14ac:dyDescent="0.2">
      <c r="DY42617" s="185" t="s">
        <v>215</v>
      </c>
    </row>
    <row r="42618" spans="129:129" x14ac:dyDescent="0.2">
      <c r="DY42618" s="185" t="s">
        <v>215</v>
      </c>
    </row>
    <row r="42619" spans="129:129" x14ac:dyDescent="0.2">
      <c r="DY42619" s="185" t="s">
        <v>215</v>
      </c>
    </row>
    <row r="42620" spans="129:129" x14ac:dyDescent="0.2">
      <c r="DY42620" s="185" t="s">
        <v>215</v>
      </c>
    </row>
    <row r="42621" spans="129:129" x14ac:dyDescent="0.2">
      <c r="DY42621" s="185" t="s">
        <v>215</v>
      </c>
    </row>
    <row r="42622" spans="129:129" x14ac:dyDescent="0.2">
      <c r="DY42622" s="185" t="s">
        <v>215</v>
      </c>
    </row>
    <row r="42623" spans="129:129" x14ac:dyDescent="0.2">
      <c r="DY42623" s="185" t="s">
        <v>215</v>
      </c>
    </row>
    <row r="42624" spans="129:129" x14ac:dyDescent="0.2">
      <c r="DY42624" s="185" t="s">
        <v>215</v>
      </c>
    </row>
    <row r="42625" spans="129:129" x14ac:dyDescent="0.2">
      <c r="DY42625" s="185" t="s">
        <v>215</v>
      </c>
    </row>
    <row r="42626" spans="129:129" x14ac:dyDescent="0.2">
      <c r="DY42626" s="185" t="s">
        <v>215</v>
      </c>
    </row>
    <row r="42627" spans="129:129" x14ac:dyDescent="0.2">
      <c r="DY42627" s="185" t="s">
        <v>215</v>
      </c>
    </row>
    <row r="42628" spans="129:129" x14ac:dyDescent="0.2">
      <c r="DY42628" s="185" t="s">
        <v>215</v>
      </c>
    </row>
    <row r="42629" spans="129:129" x14ac:dyDescent="0.2">
      <c r="DY42629" s="185" t="s">
        <v>215</v>
      </c>
    </row>
    <row r="42630" spans="129:129" x14ac:dyDescent="0.2">
      <c r="DY42630" s="185" t="s">
        <v>215</v>
      </c>
    </row>
    <row r="42631" spans="129:129" x14ac:dyDescent="0.2">
      <c r="DY42631" s="185" t="s">
        <v>215</v>
      </c>
    </row>
    <row r="42632" spans="129:129" x14ac:dyDescent="0.2">
      <c r="DY42632" s="185" t="s">
        <v>215</v>
      </c>
    </row>
    <row r="42633" spans="129:129" x14ac:dyDescent="0.2">
      <c r="DY42633" s="185" t="s">
        <v>215</v>
      </c>
    </row>
    <row r="42634" spans="129:129" x14ac:dyDescent="0.2">
      <c r="DY42634" s="185" t="s">
        <v>215</v>
      </c>
    </row>
    <row r="42635" spans="129:129" x14ac:dyDescent="0.2">
      <c r="DY42635" s="185" t="s">
        <v>215</v>
      </c>
    </row>
    <row r="42636" spans="129:129" x14ac:dyDescent="0.2">
      <c r="DY42636" s="185" t="s">
        <v>215</v>
      </c>
    </row>
    <row r="42637" spans="129:129" x14ac:dyDescent="0.2">
      <c r="DY42637" s="185" t="s">
        <v>215</v>
      </c>
    </row>
    <row r="42638" spans="129:129" x14ac:dyDescent="0.2">
      <c r="DY42638" s="185" t="s">
        <v>215</v>
      </c>
    </row>
    <row r="42639" spans="129:129" x14ac:dyDescent="0.2">
      <c r="DY42639" s="185" t="s">
        <v>215</v>
      </c>
    </row>
    <row r="42640" spans="129:129" x14ac:dyDescent="0.2">
      <c r="DY42640" s="185" t="s">
        <v>215</v>
      </c>
    </row>
    <row r="42641" spans="129:129" x14ac:dyDescent="0.2">
      <c r="DY42641" s="185" t="s">
        <v>215</v>
      </c>
    </row>
    <row r="42642" spans="129:129" x14ac:dyDescent="0.2">
      <c r="DY42642" s="185" t="s">
        <v>215</v>
      </c>
    </row>
    <row r="42643" spans="129:129" x14ac:dyDescent="0.2">
      <c r="DY42643" s="185" t="s">
        <v>215</v>
      </c>
    </row>
    <row r="42644" spans="129:129" x14ac:dyDescent="0.2">
      <c r="DY42644" s="185" t="s">
        <v>215</v>
      </c>
    </row>
    <row r="42645" spans="129:129" x14ac:dyDescent="0.2">
      <c r="DY42645" s="185" t="s">
        <v>215</v>
      </c>
    </row>
    <row r="42646" spans="129:129" x14ac:dyDescent="0.2">
      <c r="DY42646" s="185" t="s">
        <v>215</v>
      </c>
    </row>
    <row r="42647" spans="129:129" x14ac:dyDescent="0.2">
      <c r="DY42647" s="185" t="s">
        <v>215</v>
      </c>
    </row>
    <row r="42648" spans="129:129" x14ac:dyDescent="0.2">
      <c r="DY42648" s="185" t="s">
        <v>215</v>
      </c>
    </row>
    <row r="42649" spans="129:129" x14ac:dyDescent="0.2">
      <c r="DY42649" s="185" t="s">
        <v>215</v>
      </c>
    </row>
    <row r="42650" spans="129:129" x14ac:dyDescent="0.2">
      <c r="DY42650" s="185" t="s">
        <v>215</v>
      </c>
    </row>
    <row r="42651" spans="129:129" x14ac:dyDescent="0.2">
      <c r="DY42651" s="185" t="s">
        <v>215</v>
      </c>
    </row>
    <row r="42652" spans="129:129" x14ac:dyDescent="0.2">
      <c r="DY42652" s="185" t="s">
        <v>215</v>
      </c>
    </row>
    <row r="42653" spans="129:129" x14ac:dyDescent="0.2">
      <c r="DY42653" s="185" t="s">
        <v>215</v>
      </c>
    </row>
    <row r="42654" spans="129:129" x14ac:dyDescent="0.2">
      <c r="DY42654" s="185" t="s">
        <v>215</v>
      </c>
    </row>
    <row r="42655" spans="129:129" x14ac:dyDescent="0.2">
      <c r="DY42655" s="185" t="s">
        <v>215</v>
      </c>
    </row>
    <row r="42656" spans="129:129" x14ac:dyDescent="0.2">
      <c r="DY42656" s="185" t="s">
        <v>215</v>
      </c>
    </row>
    <row r="42657" spans="129:129" x14ac:dyDescent="0.2">
      <c r="DY42657" s="185" t="s">
        <v>215</v>
      </c>
    </row>
    <row r="42658" spans="129:129" x14ac:dyDescent="0.2">
      <c r="DY42658" s="185" t="s">
        <v>215</v>
      </c>
    </row>
    <row r="42659" spans="129:129" x14ac:dyDescent="0.2">
      <c r="DY42659" s="185" t="s">
        <v>215</v>
      </c>
    </row>
    <row r="42660" spans="129:129" x14ac:dyDescent="0.2">
      <c r="DY42660" s="185" t="s">
        <v>215</v>
      </c>
    </row>
    <row r="42661" spans="129:129" x14ac:dyDescent="0.2">
      <c r="DY42661" s="185" t="s">
        <v>215</v>
      </c>
    </row>
    <row r="42662" spans="129:129" x14ac:dyDescent="0.2">
      <c r="DY42662" s="185" t="s">
        <v>215</v>
      </c>
    </row>
    <row r="42663" spans="129:129" x14ac:dyDescent="0.2">
      <c r="DY42663" s="185" t="s">
        <v>215</v>
      </c>
    </row>
    <row r="42664" spans="129:129" x14ac:dyDescent="0.2">
      <c r="DY42664" s="185" t="s">
        <v>215</v>
      </c>
    </row>
    <row r="42665" spans="129:129" x14ac:dyDescent="0.2">
      <c r="DY42665" s="185" t="s">
        <v>215</v>
      </c>
    </row>
    <row r="42666" spans="129:129" x14ac:dyDescent="0.2">
      <c r="DY42666" s="185" t="s">
        <v>215</v>
      </c>
    </row>
    <row r="42667" spans="129:129" x14ac:dyDescent="0.2">
      <c r="DY42667" s="185" t="s">
        <v>215</v>
      </c>
    </row>
    <row r="42668" spans="129:129" x14ac:dyDescent="0.2">
      <c r="DY42668" s="185" t="s">
        <v>215</v>
      </c>
    </row>
    <row r="42669" spans="129:129" x14ac:dyDescent="0.2">
      <c r="DY42669" s="185" t="s">
        <v>215</v>
      </c>
    </row>
    <row r="42670" spans="129:129" x14ac:dyDescent="0.2">
      <c r="DY42670" s="185" t="s">
        <v>215</v>
      </c>
    </row>
    <row r="42671" spans="129:129" x14ac:dyDescent="0.2">
      <c r="DY42671" s="185" t="s">
        <v>215</v>
      </c>
    </row>
    <row r="42672" spans="129:129" x14ac:dyDescent="0.2">
      <c r="DY42672" s="185" t="s">
        <v>215</v>
      </c>
    </row>
    <row r="42673" spans="129:129" x14ac:dyDescent="0.2">
      <c r="DY42673" s="185" t="s">
        <v>215</v>
      </c>
    </row>
    <row r="42674" spans="129:129" x14ac:dyDescent="0.2">
      <c r="DY42674" s="185" t="s">
        <v>215</v>
      </c>
    </row>
    <row r="42675" spans="129:129" x14ac:dyDescent="0.2">
      <c r="DY42675" s="185" t="s">
        <v>215</v>
      </c>
    </row>
    <row r="42676" spans="129:129" x14ac:dyDescent="0.2">
      <c r="DY42676" s="185" t="s">
        <v>215</v>
      </c>
    </row>
    <row r="42677" spans="129:129" x14ac:dyDescent="0.2">
      <c r="DY42677" s="185" t="s">
        <v>215</v>
      </c>
    </row>
    <row r="42678" spans="129:129" x14ac:dyDescent="0.2">
      <c r="DY42678" s="185" t="s">
        <v>215</v>
      </c>
    </row>
    <row r="42679" spans="129:129" x14ac:dyDescent="0.2">
      <c r="DY42679" s="185" t="s">
        <v>215</v>
      </c>
    </row>
    <row r="42680" spans="129:129" x14ac:dyDescent="0.2">
      <c r="DY42680" s="185" t="s">
        <v>215</v>
      </c>
    </row>
    <row r="42681" spans="129:129" x14ac:dyDescent="0.2">
      <c r="DY42681" s="185" t="s">
        <v>215</v>
      </c>
    </row>
    <row r="42682" spans="129:129" x14ac:dyDescent="0.2">
      <c r="DY42682" s="185" t="s">
        <v>215</v>
      </c>
    </row>
    <row r="42683" spans="129:129" x14ac:dyDescent="0.2">
      <c r="DY42683" s="185" t="s">
        <v>215</v>
      </c>
    </row>
    <row r="42684" spans="129:129" x14ac:dyDescent="0.2">
      <c r="DY42684" s="185" t="s">
        <v>215</v>
      </c>
    </row>
    <row r="42685" spans="129:129" x14ac:dyDescent="0.2">
      <c r="DY42685" s="185" t="s">
        <v>215</v>
      </c>
    </row>
    <row r="42686" spans="129:129" x14ac:dyDescent="0.2">
      <c r="DY42686" s="185" t="s">
        <v>215</v>
      </c>
    </row>
    <row r="42687" spans="129:129" x14ac:dyDescent="0.2">
      <c r="DY42687" s="185" t="s">
        <v>215</v>
      </c>
    </row>
    <row r="42688" spans="129:129" x14ac:dyDescent="0.2">
      <c r="DY42688" s="185" t="s">
        <v>215</v>
      </c>
    </row>
    <row r="42689" spans="129:129" x14ac:dyDescent="0.2">
      <c r="DY42689" s="185" t="s">
        <v>215</v>
      </c>
    </row>
    <row r="42690" spans="129:129" x14ac:dyDescent="0.2">
      <c r="DY42690" s="185" t="s">
        <v>215</v>
      </c>
    </row>
    <row r="42691" spans="129:129" x14ac:dyDescent="0.2">
      <c r="DY42691" s="185" t="s">
        <v>215</v>
      </c>
    </row>
    <row r="42692" spans="129:129" x14ac:dyDescent="0.2">
      <c r="DY42692" s="185" t="s">
        <v>215</v>
      </c>
    </row>
    <row r="42693" spans="129:129" x14ac:dyDescent="0.2">
      <c r="DY42693" s="185" t="s">
        <v>215</v>
      </c>
    </row>
    <row r="42694" spans="129:129" x14ac:dyDescent="0.2">
      <c r="DY42694" s="185" t="s">
        <v>215</v>
      </c>
    </row>
    <row r="42695" spans="129:129" x14ac:dyDescent="0.2">
      <c r="DY42695" s="185" t="s">
        <v>215</v>
      </c>
    </row>
    <row r="42696" spans="129:129" x14ac:dyDescent="0.2">
      <c r="DY42696" s="185" t="s">
        <v>215</v>
      </c>
    </row>
    <row r="42697" spans="129:129" x14ac:dyDescent="0.2">
      <c r="DY42697" s="185" t="s">
        <v>215</v>
      </c>
    </row>
    <row r="42698" spans="129:129" x14ac:dyDescent="0.2">
      <c r="DY42698" s="185" t="s">
        <v>215</v>
      </c>
    </row>
    <row r="42699" spans="129:129" x14ac:dyDescent="0.2">
      <c r="DY42699" s="185" t="s">
        <v>215</v>
      </c>
    </row>
    <row r="42700" spans="129:129" x14ac:dyDescent="0.2">
      <c r="DY42700" s="185" t="s">
        <v>215</v>
      </c>
    </row>
    <row r="42701" spans="129:129" x14ac:dyDescent="0.2">
      <c r="DY42701" s="185" t="s">
        <v>215</v>
      </c>
    </row>
    <row r="42702" spans="129:129" x14ac:dyDescent="0.2">
      <c r="DY42702" s="185" t="s">
        <v>215</v>
      </c>
    </row>
    <row r="42703" spans="129:129" x14ac:dyDescent="0.2">
      <c r="DY42703" s="185" t="s">
        <v>215</v>
      </c>
    </row>
    <row r="42704" spans="129:129" x14ac:dyDescent="0.2">
      <c r="DY42704" s="185" t="s">
        <v>215</v>
      </c>
    </row>
    <row r="42705" spans="129:129" x14ac:dyDescent="0.2">
      <c r="DY42705" s="185" t="s">
        <v>215</v>
      </c>
    </row>
    <row r="42706" spans="129:129" x14ac:dyDescent="0.2">
      <c r="DY42706" s="185" t="s">
        <v>215</v>
      </c>
    </row>
    <row r="42707" spans="129:129" x14ac:dyDescent="0.2">
      <c r="DY42707" s="185" t="s">
        <v>215</v>
      </c>
    </row>
    <row r="42708" spans="129:129" x14ac:dyDescent="0.2">
      <c r="DY42708" s="185" t="s">
        <v>215</v>
      </c>
    </row>
    <row r="42709" spans="129:129" x14ac:dyDescent="0.2">
      <c r="DY42709" s="185" t="s">
        <v>215</v>
      </c>
    </row>
    <row r="42710" spans="129:129" x14ac:dyDescent="0.2">
      <c r="DY42710" s="185" t="s">
        <v>215</v>
      </c>
    </row>
    <row r="42711" spans="129:129" x14ac:dyDescent="0.2">
      <c r="DY42711" s="185" t="s">
        <v>215</v>
      </c>
    </row>
    <row r="42712" spans="129:129" x14ac:dyDescent="0.2">
      <c r="DY42712" s="185" t="s">
        <v>215</v>
      </c>
    </row>
    <row r="42713" spans="129:129" x14ac:dyDescent="0.2">
      <c r="DY42713" s="185" t="s">
        <v>215</v>
      </c>
    </row>
    <row r="42714" spans="129:129" x14ac:dyDescent="0.2">
      <c r="DY42714" s="185" t="s">
        <v>215</v>
      </c>
    </row>
    <row r="42715" spans="129:129" x14ac:dyDescent="0.2">
      <c r="DY42715" s="185" t="s">
        <v>215</v>
      </c>
    </row>
    <row r="42716" spans="129:129" x14ac:dyDescent="0.2">
      <c r="DY42716" s="185" t="s">
        <v>215</v>
      </c>
    </row>
    <row r="42717" spans="129:129" x14ac:dyDescent="0.2">
      <c r="DY42717" s="185" t="s">
        <v>215</v>
      </c>
    </row>
    <row r="42718" spans="129:129" x14ac:dyDescent="0.2">
      <c r="DY42718" s="185" t="s">
        <v>215</v>
      </c>
    </row>
    <row r="42719" spans="129:129" x14ac:dyDescent="0.2">
      <c r="DY42719" s="185" t="s">
        <v>215</v>
      </c>
    </row>
    <row r="42720" spans="129:129" x14ac:dyDescent="0.2">
      <c r="DY42720" s="185" t="s">
        <v>215</v>
      </c>
    </row>
    <row r="42721" spans="129:129" x14ac:dyDescent="0.2">
      <c r="DY42721" s="185" t="s">
        <v>215</v>
      </c>
    </row>
    <row r="42722" spans="129:129" x14ac:dyDescent="0.2">
      <c r="DY42722" s="185" t="s">
        <v>215</v>
      </c>
    </row>
    <row r="42723" spans="129:129" x14ac:dyDescent="0.2">
      <c r="DY42723" s="185" t="s">
        <v>215</v>
      </c>
    </row>
    <row r="42724" spans="129:129" x14ac:dyDescent="0.2">
      <c r="DY42724" s="185" t="s">
        <v>215</v>
      </c>
    </row>
    <row r="42725" spans="129:129" x14ac:dyDescent="0.2">
      <c r="DY42725" s="185" t="s">
        <v>215</v>
      </c>
    </row>
    <row r="42726" spans="129:129" x14ac:dyDescent="0.2">
      <c r="DY42726" s="185" t="s">
        <v>215</v>
      </c>
    </row>
    <row r="42727" spans="129:129" x14ac:dyDescent="0.2">
      <c r="DY42727" s="185" t="s">
        <v>215</v>
      </c>
    </row>
    <row r="42728" spans="129:129" x14ac:dyDescent="0.2">
      <c r="DY42728" s="185" t="s">
        <v>215</v>
      </c>
    </row>
    <row r="42729" spans="129:129" x14ac:dyDescent="0.2">
      <c r="DY42729" s="185" t="s">
        <v>215</v>
      </c>
    </row>
    <row r="42730" spans="129:129" x14ac:dyDescent="0.2">
      <c r="DY42730" s="185" t="s">
        <v>215</v>
      </c>
    </row>
    <row r="42731" spans="129:129" x14ac:dyDescent="0.2">
      <c r="DY42731" s="185" t="s">
        <v>215</v>
      </c>
    </row>
    <row r="42732" spans="129:129" x14ac:dyDescent="0.2">
      <c r="DY42732" s="185" t="s">
        <v>215</v>
      </c>
    </row>
    <row r="42733" spans="129:129" x14ac:dyDescent="0.2">
      <c r="DY42733" s="185" t="s">
        <v>215</v>
      </c>
    </row>
    <row r="42734" spans="129:129" x14ac:dyDescent="0.2">
      <c r="DY42734" s="185" t="s">
        <v>215</v>
      </c>
    </row>
    <row r="42735" spans="129:129" x14ac:dyDescent="0.2">
      <c r="DY42735" s="185" t="s">
        <v>215</v>
      </c>
    </row>
    <row r="42736" spans="129:129" x14ac:dyDescent="0.2">
      <c r="DY42736" s="185" t="s">
        <v>215</v>
      </c>
    </row>
    <row r="42737" spans="129:129" x14ac:dyDescent="0.2">
      <c r="DY42737" s="185" t="s">
        <v>215</v>
      </c>
    </row>
    <row r="42738" spans="129:129" x14ac:dyDescent="0.2">
      <c r="DY42738" s="185" t="s">
        <v>215</v>
      </c>
    </row>
    <row r="42739" spans="129:129" x14ac:dyDescent="0.2">
      <c r="DY42739" s="185" t="s">
        <v>215</v>
      </c>
    </row>
    <row r="42740" spans="129:129" x14ac:dyDescent="0.2">
      <c r="DY42740" s="185" t="s">
        <v>215</v>
      </c>
    </row>
    <row r="42741" spans="129:129" x14ac:dyDescent="0.2">
      <c r="DY42741" s="185" t="s">
        <v>215</v>
      </c>
    </row>
    <row r="42742" spans="129:129" x14ac:dyDescent="0.2">
      <c r="DY42742" s="185" t="s">
        <v>215</v>
      </c>
    </row>
    <row r="42743" spans="129:129" x14ac:dyDescent="0.2">
      <c r="DY42743" s="185" t="s">
        <v>215</v>
      </c>
    </row>
    <row r="42744" spans="129:129" x14ac:dyDescent="0.2">
      <c r="DY42744" s="185" t="s">
        <v>215</v>
      </c>
    </row>
    <row r="42745" spans="129:129" x14ac:dyDescent="0.2">
      <c r="DY42745" s="185" t="s">
        <v>215</v>
      </c>
    </row>
    <row r="42746" spans="129:129" x14ac:dyDescent="0.2">
      <c r="DY42746" s="185" t="s">
        <v>215</v>
      </c>
    </row>
    <row r="42747" spans="129:129" x14ac:dyDescent="0.2">
      <c r="DY42747" s="185" t="s">
        <v>215</v>
      </c>
    </row>
    <row r="42748" spans="129:129" x14ac:dyDescent="0.2">
      <c r="DY42748" s="185" t="s">
        <v>215</v>
      </c>
    </row>
    <row r="42749" spans="129:129" x14ac:dyDescent="0.2">
      <c r="DY42749" s="185" t="s">
        <v>215</v>
      </c>
    </row>
    <row r="42750" spans="129:129" x14ac:dyDescent="0.2">
      <c r="DY42750" s="185" t="s">
        <v>215</v>
      </c>
    </row>
    <row r="42751" spans="129:129" x14ac:dyDescent="0.2">
      <c r="DY42751" s="185" t="s">
        <v>215</v>
      </c>
    </row>
    <row r="42752" spans="129:129" x14ac:dyDescent="0.2">
      <c r="DY42752" s="185" t="s">
        <v>215</v>
      </c>
    </row>
    <row r="42753" spans="129:129" x14ac:dyDescent="0.2">
      <c r="DY42753" s="185" t="s">
        <v>215</v>
      </c>
    </row>
    <row r="42754" spans="129:129" x14ac:dyDescent="0.2">
      <c r="DY42754" s="185" t="s">
        <v>215</v>
      </c>
    </row>
    <row r="42755" spans="129:129" x14ac:dyDescent="0.2">
      <c r="DY42755" s="185" t="s">
        <v>215</v>
      </c>
    </row>
    <row r="42756" spans="129:129" x14ac:dyDescent="0.2">
      <c r="DY42756" s="185" t="s">
        <v>215</v>
      </c>
    </row>
    <row r="42757" spans="129:129" x14ac:dyDescent="0.2">
      <c r="DY42757" s="185" t="s">
        <v>215</v>
      </c>
    </row>
    <row r="42758" spans="129:129" x14ac:dyDescent="0.2">
      <c r="DY42758" s="185" t="s">
        <v>215</v>
      </c>
    </row>
    <row r="42759" spans="129:129" x14ac:dyDescent="0.2">
      <c r="DY42759" s="185" t="s">
        <v>215</v>
      </c>
    </row>
    <row r="42760" spans="129:129" x14ac:dyDescent="0.2">
      <c r="DY42760" s="185" t="s">
        <v>215</v>
      </c>
    </row>
    <row r="42761" spans="129:129" x14ac:dyDescent="0.2">
      <c r="DY42761" s="185" t="s">
        <v>215</v>
      </c>
    </row>
    <row r="42762" spans="129:129" x14ac:dyDescent="0.2">
      <c r="DY42762" s="185" t="s">
        <v>215</v>
      </c>
    </row>
    <row r="42763" spans="129:129" x14ac:dyDescent="0.2">
      <c r="DY42763" s="185" t="s">
        <v>215</v>
      </c>
    </row>
    <row r="42764" spans="129:129" x14ac:dyDescent="0.2">
      <c r="DY42764" s="185" t="s">
        <v>215</v>
      </c>
    </row>
    <row r="42765" spans="129:129" x14ac:dyDescent="0.2">
      <c r="DY42765" s="185" t="s">
        <v>215</v>
      </c>
    </row>
    <row r="42766" spans="129:129" x14ac:dyDescent="0.2">
      <c r="DY42766" s="185" t="s">
        <v>215</v>
      </c>
    </row>
    <row r="42767" spans="129:129" x14ac:dyDescent="0.2">
      <c r="DY42767" s="185" t="s">
        <v>215</v>
      </c>
    </row>
    <row r="42768" spans="129:129" x14ac:dyDescent="0.2">
      <c r="DY42768" s="185" t="s">
        <v>215</v>
      </c>
    </row>
    <row r="42769" spans="129:129" x14ac:dyDescent="0.2">
      <c r="DY42769" s="185" t="s">
        <v>215</v>
      </c>
    </row>
    <row r="42770" spans="129:129" x14ac:dyDescent="0.2">
      <c r="DY42770" s="185" t="s">
        <v>215</v>
      </c>
    </row>
    <row r="42771" spans="129:129" x14ac:dyDescent="0.2">
      <c r="DY42771" s="185" t="s">
        <v>215</v>
      </c>
    </row>
    <row r="42772" spans="129:129" x14ac:dyDescent="0.2">
      <c r="DY42772" s="185" t="s">
        <v>215</v>
      </c>
    </row>
    <row r="42773" spans="129:129" x14ac:dyDescent="0.2">
      <c r="DY42773" s="185" t="s">
        <v>215</v>
      </c>
    </row>
    <row r="42774" spans="129:129" x14ac:dyDescent="0.2">
      <c r="DY42774" s="185" t="s">
        <v>215</v>
      </c>
    </row>
    <row r="42775" spans="129:129" x14ac:dyDescent="0.2">
      <c r="DY42775" s="185" t="s">
        <v>215</v>
      </c>
    </row>
    <row r="42776" spans="129:129" x14ac:dyDescent="0.2">
      <c r="DY42776" s="185" t="s">
        <v>215</v>
      </c>
    </row>
    <row r="42777" spans="129:129" x14ac:dyDescent="0.2">
      <c r="DY42777" s="185" t="s">
        <v>215</v>
      </c>
    </row>
    <row r="42778" spans="129:129" x14ac:dyDescent="0.2">
      <c r="DY42778" s="185" t="s">
        <v>215</v>
      </c>
    </row>
    <row r="42779" spans="129:129" x14ac:dyDescent="0.2">
      <c r="DY42779" s="185" t="s">
        <v>215</v>
      </c>
    </row>
    <row r="42780" spans="129:129" x14ac:dyDescent="0.2">
      <c r="DY42780" s="185" t="s">
        <v>215</v>
      </c>
    </row>
    <row r="42781" spans="129:129" x14ac:dyDescent="0.2">
      <c r="DY42781" s="185" t="s">
        <v>215</v>
      </c>
    </row>
    <row r="42782" spans="129:129" x14ac:dyDescent="0.2">
      <c r="DY42782" s="185" t="s">
        <v>215</v>
      </c>
    </row>
    <row r="42783" spans="129:129" x14ac:dyDescent="0.2">
      <c r="DY42783" s="185" t="s">
        <v>215</v>
      </c>
    </row>
    <row r="42784" spans="129:129" x14ac:dyDescent="0.2">
      <c r="DY42784" s="185" t="s">
        <v>215</v>
      </c>
    </row>
    <row r="42785" spans="129:129" x14ac:dyDescent="0.2">
      <c r="DY42785" s="185" t="s">
        <v>215</v>
      </c>
    </row>
    <row r="42786" spans="129:129" x14ac:dyDescent="0.2">
      <c r="DY42786" s="185" t="s">
        <v>215</v>
      </c>
    </row>
    <row r="42787" spans="129:129" x14ac:dyDescent="0.2">
      <c r="DY42787" s="185" t="s">
        <v>215</v>
      </c>
    </row>
    <row r="42788" spans="129:129" x14ac:dyDescent="0.2">
      <c r="DY42788" s="185" t="s">
        <v>215</v>
      </c>
    </row>
    <row r="42789" spans="129:129" x14ac:dyDescent="0.2">
      <c r="DY42789" s="185" t="s">
        <v>215</v>
      </c>
    </row>
    <row r="42790" spans="129:129" x14ac:dyDescent="0.2">
      <c r="DY42790" s="185" t="s">
        <v>215</v>
      </c>
    </row>
    <row r="42791" spans="129:129" x14ac:dyDescent="0.2">
      <c r="DY42791" s="185" t="s">
        <v>215</v>
      </c>
    </row>
    <row r="42792" spans="129:129" x14ac:dyDescent="0.2">
      <c r="DY42792" s="185" t="s">
        <v>215</v>
      </c>
    </row>
    <row r="42793" spans="129:129" x14ac:dyDescent="0.2">
      <c r="DY42793" s="185" t="s">
        <v>215</v>
      </c>
    </row>
    <row r="42794" spans="129:129" x14ac:dyDescent="0.2">
      <c r="DY42794" s="185" t="s">
        <v>215</v>
      </c>
    </row>
    <row r="42795" spans="129:129" x14ac:dyDescent="0.2">
      <c r="DY42795" s="185" t="s">
        <v>215</v>
      </c>
    </row>
    <row r="42796" spans="129:129" x14ac:dyDescent="0.2">
      <c r="DY42796" s="185" t="s">
        <v>215</v>
      </c>
    </row>
    <row r="42797" spans="129:129" x14ac:dyDescent="0.2">
      <c r="DY42797" s="185" t="s">
        <v>215</v>
      </c>
    </row>
    <row r="42798" spans="129:129" x14ac:dyDescent="0.2">
      <c r="DY42798" s="185" t="s">
        <v>215</v>
      </c>
    </row>
    <row r="42799" spans="129:129" x14ac:dyDescent="0.2">
      <c r="DY42799" s="185" t="s">
        <v>215</v>
      </c>
    </row>
    <row r="42800" spans="129:129" x14ac:dyDescent="0.2">
      <c r="DY42800" s="185" t="s">
        <v>215</v>
      </c>
    </row>
    <row r="42801" spans="129:129" x14ac:dyDescent="0.2">
      <c r="DY42801" s="185" t="s">
        <v>215</v>
      </c>
    </row>
    <row r="42802" spans="129:129" x14ac:dyDescent="0.2">
      <c r="DY42802" s="185" t="s">
        <v>215</v>
      </c>
    </row>
    <row r="42803" spans="129:129" x14ac:dyDescent="0.2">
      <c r="DY42803" s="185" t="s">
        <v>215</v>
      </c>
    </row>
    <row r="42804" spans="129:129" x14ac:dyDescent="0.2">
      <c r="DY42804" s="185" t="s">
        <v>215</v>
      </c>
    </row>
    <row r="42805" spans="129:129" x14ac:dyDescent="0.2">
      <c r="DY42805" s="185" t="s">
        <v>215</v>
      </c>
    </row>
    <row r="42806" spans="129:129" x14ac:dyDescent="0.2">
      <c r="DY42806" s="185" t="s">
        <v>215</v>
      </c>
    </row>
    <row r="42807" spans="129:129" x14ac:dyDescent="0.2">
      <c r="DY42807" s="185" t="s">
        <v>215</v>
      </c>
    </row>
    <row r="42808" spans="129:129" x14ac:dyDescent="0.2">
      <c r="DY42808" s="185" t="s">
        <v>215</v>
      </c>
    </row>
    <row r="42809" spans="129:129" x14ac:dyDescent="0.2">
      <c r="DY42809" s="185" t="s">
        <v>215</v>
      </c>
    </row>
    <row r="42810" spans="129:129" x14ac:dyDescent="0.2">
      <c r="DY42810" s="185" t="s">
        <v>215</v>
      </c>
    </row>
    <row r="42811" spans="129:129" x14ac:dyDescent="0.2">
      <c r="DY42811" s="185" t="s">
        <v>215</v>
      </c>
    </row>
    <row r="42812" spans="129:129" x14ac:dyDescent="0.2">
      <c r="DY42812" s="185" t="s">
        <v>215</v>
      </c>
    </row>
    <row r="42813" spans="129:129" x14ac:dyDescent="0.2">
      <c r="DY42813" s="185" t="s">
        <v>215</v>
      </c>
    </row>
    <row r="42814" spans="129:129" x14ac:dyDescent="0.2">
      <c r="DY42814" s="185" t="s">
        <v>215</v>
      </c>
    </row>
    <row r="42815" spans="129:129" x14ac:dyDescent="0.2">
      <c r="DY42815" s="185" t="s">
        <v>215</v>
      </c>
    </row>
    <row r="42816" spans="129:129" x14ac:dyDescent="0.2">
      <c r="DY42816" s="185" t="s">
        <v>215</v>
      </c>
    </row>
    <row r="42817" spans="129:129" x14ac:dyDescent="0.2">
      <c r="DY42817" s="185" t="s">
        <v>215</v>
      </c>
    </row>
    <row r="42818" spans="129:129" x14ac:dyDescent="0.2">
      <c r="DY42818" s="185" t="s">
        <v>215</v>
      </c>
    </row>
    <row r="42819" spans="129:129" x14ac:dyDescent="0.2">
      <c r="DY42819" s="185" t="s">
        <v>215</v>
      </c>
    </row>
    <row r="42820" spans="129:129" x14ac:dyDescent="0.2">
      <c r="DY42820" s="185" t="s">
        <v>215</v>
      </c>
    </row>
    <row r="42821" spans="129:129" x14ac:dyDescent="0.2">
      <c r="DY42821" s="185" t="s">
        <v>215</v>
      </c>
    </row>
    <row r="42822" spans="129:129" x14ac:dyDescent="0.2">
      <c r="DY42822" s="185" t="s">
        <v>215</v>
      </c>
    </row>
    <row r="42823" spans="129:129" x14ac:dyDescent="0.2">
      <c r="DY42823" s="185" t="s">
        <v>215</v>
      </c>
    </row>
    <row r="42824" spans="129:129" x14ac:dyDescent="0.2">
      <c r="DY42824" s="185" t="s">
        <v>215</v>
      </c>
    </row>
    <row r="42825" spans="129:129" x14ac:dyDescent="0.2">
      <c r="DY42825" s="185" t="s">
        <v>215</v>
      </c>
    </row>
    <row r="42826" spans="129:129" x14ac:dyDescent="0.2">
      <c r="DY42826" s="185" t="s">
        <v>215</v>
      </c>
    </row>
    <row r="42827" spans="129:129" x14ac:dyDescent="0.2">
      <c r="DY42827" s="185" t="s">
        <v>215</v>
      </c>
    </row>
    <row r="42828" spans="129:129" x14ac:dyDescent="0.2">
      <c r="DY42828" s="185" t="s">
        <v>215</v>
      </c>
    </row>
    <row r="42829" spans="129:129" x14ac:dyDescent="0.2">
      <c r="DY42829" s="185" t="s">
        <v>215</v>
      </c>
    </row>
    <row r="42830" spans="129:129" x14ac:dyDescent="0.2">
      <c r="DY42830" s="185" t="s">
        <v>215</v>
      </c>
    </row>
    <row r="42831" spans="129:129" x14ac:dyDescent="0.2">
      <c r="DY42831" s="185" t="s">
        <v>215</v>
      </c>
    </row>
    <row r="42832" spans="129:129" x14ac:dyDescent="0.2">
      <c r="DY42832" s="185" t="s">
        <v>215</v>
      </c>
    </row>
    <row r="42833" spans="129:129" x14ac:dyDescent="0.2">
      <c r="DY42833" s="185" t="s">
        <v>215</v>
      </c>
    </row>
    <row r="42834" spans="129:129" x14ac:dyDescent="0.2">
      <c r="DY42834" s="185" t="s">
        <v>215</v>
      </c>
    </row>
    <row r="42835" spans="129:129" x14ac:dyDescent="0.2">
      <c r="DY42835" s="185" t="s">
        <v>215</v>
      </c>
    </row>
    <row r="42836" spans="129:129" x14ac:dyDescent="0.2">
      <c r="DY42836" s="185" t="s">
        <v>215</v>
      </c>
    </row>
    <row r="42837" spans="129:129" x14ac:dyDescent="0.2">
      <c r="DY42837" s="185" t="s">
        <v>215</v>
      </c>
    </row>
    <row r="42838" spans="129:129" x14ac:dyDescent="0.2">
      <c r="DY42838" s="185" t="s">
        <v>215</v>
      </c>
    </row>
    <row r="42839" spans="129:129" x14ac:dyDescent="0.2">
      <c r="DY42839" s="185" t="s">
        <v>215</v>
      </c>
    </row>
    <row r="42840" spans="129:129" x14ac:dyDescent="0.2">
      <c r="DY42840" s="185" t="s">
        <v>215</v>
      </c>
    </row>
    <row r="42841" spans="129:129" x14ac:dyDescent="0.2">
      <c r="DY42841" s="185" t="s">
        <v>215</v>
      </c>
    </row>
    <row r="42842" spans="129:129" x14ac:dyDescent="0.2">
      <c r="DY42842" s="185" t="s">
        <v>215</v>
      </c>
    </row>
    <row r="42843" spans="129:129" x14ac:dyDescent="0.2">
      <c r="DY42843" s="185" t="s">
        <v>215</v>
      </c>
    </row>
    <row r="42844" spans="129:129" x14ac:dyDescent="0.2">
      <c r="DY42844" s="185" t="s">
        <v>215</v>
      </c>
    </row>
    <row r="42845" spans="129:129" x14ac:dyDescent="0.2">
      <c r="DY42845" s="185" t="s">
        <v>215</v>
      </c>
    </row>
    <row r="42846" spans="129:129" x14ac:dyDescent="0.2">
      <c r="DY42846" s="185" t="s">
        <v>215</v>
      </c>
    </row>
    <row r="42847" spans="129:129" x14ac:dyDescent="0.2">
      <c r="DY42847" s="185" t="s">
        <v>215</v>
      </c>
    </row>
    <row r="42848" spans="129:129" x14ac:dyDescent="0.2">
      <c r="DY42848" s="185" t="s">
        <v>215</v>
      </c>
    </row>
    <row r="42849" spans="129:129" x14ac:dyDescent="0.2">
      <c r="DY42849" s="185" t="s">
        <v>215</v>
      </c>
    </row>
    <row r="42850" spans="129:129" x14ac:dyDescent="0.2">
      <c r="DY42850" s="185" t="s">
        <v>215</v>
      </c>
    </row>
    <row r="42851" spans="129:129" x14ac:dyDescent="0.2">
      <c r="DY42851" s="185" t="s">
        <v>215</v>
      </c>
    </row>
    <row r="42852" spans="129:129" x14ac:dyDescent="0.2">
      <c r="DY42852" s="185" t="s">
        <v>215</v>
      </c>
    </row>
    <row r="42853" spans="129:129" x14ac:dyDescent="0.2">
      <c r="DY42853" s="185" t="s">
        <v>215</v>
      </c>
    </row>
    <row r="42854" spans="129:129" x14ac:dyDescent="0.2">
      <c r="DY42854" s="185" t="s">
        <v>215</v>
      </c>
    </row>
    <row r="42855" spans="129:129" x14ac:dyDescent="0.2">
      <c r="DY42855" s="185" t="s">
        <v>215</v>
      </c>
    </row>
    <row r="42856" spans="129:129" x14ac:dyDescent="0.2">
      <c r="DY42856" s="185" t="s">
        <v>215</v>
      </c>
    </row>
    <row r="42857" spans="129:129" x14ac:dyDescent="0.2">
      <c r="DY42857" s="185" t="s">
        <v>215</v>
      </c>
    </row>
    <row r="42858" spans="129:129" x14ac:dyDescent="0.2">
      <c r="DY42858" s="185" t="s">
        <v>215</v>
      </c>
    </row>
    <row r="42859" spans="129:129" x14ac:dyDescent="0.2">
      <c r="DY42859" s="185" t="s">
        <v>215</v>
      </c>
    </row>
    <row r="42860" spans="129:129" x14ac:dyDescent="0.2">
      <c r="DY42860" s="185" t="s">
        <v>215</v>
      </c>
    </row>
    <row r="42861" spans="129:129" x14ac:dyDescent="0.2">
      <c r="DY42861" s="185" t="s">
        <v>215</v>
      </c>
    </row>
    <row r="42862" spans="129:129" x14ac:dyDescent="0.2">
      <c r="DY42862" s="185" t="s">
        <v>215</v>
      </c>
    </row>
    <row r="42863" spans="129:129" x14ac:dyDescent="0.2">
      <c r="DY42863" s="185" t="s">
        <v>215</v>
      </c>
    </row>
    <row r="42864" spans="129:129" x14ac:dyDescent="0.2">
      <c r="DY42864" s="185" t="s">
        <v>215</v>
      </c>
    </row>
    <row r="42865" spans="129:129" x14ac:dyDescent="0.2">
      <c r="DY42865" s="185" t="s">
        <v>215</v>
      </c>
    </row>
    <row r="42866" spans="129:129" x14ac:dyDescent="0.2">
      <c r="DY42866" s="185" t="s">
        <v>215</v>
      </c>
    </row>
    <row r="42867" spans="129:129" x14ac:dyDescent="0.2">
      <c r="DY42867" s="185" t="s">
        <v>215</v>
      </c>
    </row>
    <row r="42868" spans="129:129" x14ac:dyDescent="0.2">
      <c r="DY42868" s="185" t="s">
        <v>215</v>
      </c>
    </row>
    <row r="42869" spans="129:129" x14ac:dyDescent="0.2">
      <c r="DY42869" s="185" t="s">
        <v>215</v>
      </c>
    </row>
    <row r="42870" spans="129:129" x14ac:dyDescent="0.2">
      <c r="DY42870" s="185" t="s">
        <v>215</v>
      </c>
    </row>
    <row r="42871" spans="129:129" x14ac:dyDescent="0.2">
      <c r="DY42871" s="185" t="s">
        <v>215</v>
      </c>
    </row>
    <row r="42872" spans="129:129" x14ac:dyDescent="0.2">
      <c r="DY42872" s="185" t="s">
        <v>215</v>
      </c>
    </row>
    <row r="42873" spans="129:129" x14ac:dyDescent="0.2">
      <c r="DY42873" s="185" t="s">
        <v>215</v>
      </c>
    </row>
    <row r="42874" spans="129:129" x14ac:dyDescent="0.2">
      <c r="DY42874" s="185" t="s">
        <v>215</v>
      </c>
    </row>
    <row r="42875" spans="129:129" x14ac:dyDescent="0.2">
      <c r="DY42875" s="185" t="s">
        <v>215</v>
      </c>
    </row>
    <row r="42876" spans="129:129" x14ac:dyDescent="0.2">
      <c r="DY42876" s="185" t="s">
        <v>215</v>
      </c>
    </row>
    <row r="42877" spans="129:129" x14ac:dyDescent="0.2">
      <c r="DY42877" s="185" t="s">
        <v>215</v>
      </c>
    </row>
    <row r="42878" spans="129:129" x14ac:dyDescent="0.2">
      <c r="DY42878" s="185" t="s">
        <v>215</v>
      </c>
    </row>
    <row r="42879" spans="129:129" x14ac:dyDescent="0.2">
      <c r="DY42879" s="185" t="s">
        <v>215</v>
      </c>
    </row>
    <row r="42880" spans="129:129" x14ac:dyDescent="0.2">
      <c r="DY42880" s="185" t="s">
        <v>215</v>
      </c>
    </row>
    <row r="42881" spans="129:129" x14ac:dyDescent="0.2">
      <c r="DY42881" s="185" t="s">
        <v>215</v>
      </c>
    </row>
    <row r="42882" spans="129:129" x14ac:dyDescent="0.2">
      <c r="DY42882" s="185" t="s">
        <v>215</v>
      </c>
    </row>
    <row r="42883" spans="129:129" x14ac:dyDescent="0.2">
      <c r="DY42883" s="185" t="s">
        <v>215</v>
      </c>
    </row>
    <row r="42884" spans="129:129" x14ac:dyDescent="0.2">
      <c r="DY42884" s="185" t="s">
        <v>215</v>
      </c>
    </row>
    <row r="42885" spans="129:129" x14ac:dyDescent="0.2">
      <c r="DY42885" s="185" t="s">
        <v>215</v>
      </c>
    </row>
    <row r="42886" spans="129:129" x14ac:dyDescent="0.2">
      <c r="DY42886" s="185" t="s">
        <v>215</v>
      </c>
    </row>
    <row r="42887" spans="129:129" x14ac:dyDescent="0.2">
      <c r="DY42887" s="185" t="s">
        <v>215</v>
      </c>
    </row>
    <row r="42888" spans="129:129" x14ac:dyDescent="0.2">
      <c r="DY42888" s="185" t="s">
        <v>215</v>
      </c>
    </row>
    <row r="42889" spans="129:129" x14ac:dyDescent="0.2">
      <c r="DY42889" s="185" t="s">
        <v>215</v>
      </c>
    </row>
    <row r="42890" spans="129:129" x14ac:dyDescent="0.2">
      <c r="DY42890" s="185" t="s">
        <v>215</v>
      </c>
    </row>
    <row r="42891" spans="129:129" x14ac:dyDescent="0.2">
      <c r="DY42891" s="185" t="s">
        <v>215</v>
      </c>
    </row>
    <row r="42892" spans="129:129" x14ac:dyDescent="0.2">
      <c r="DY42892" s="185" t="s">
        <v>215</v>
      </c>
    </row>
    <row r="42893" spans="129:129" x14ac:dyDescent="0.2">
      <c r="DY42893" s="185" t="s">
        <v>215</v>
      </c>
    </row>
    <row r="42894" spans="129:129" x14ac:dyDescent="0.2">
      <c r="DY42894" s="185" t="s">
        <v>215</v>
      </c>
    </row>
    <row r="42895" spans="129:129" x14ac:dyDescent="0.2">
      <c r="DY42895" s="185" t="s">
        <v>215</v>
      </c>
    </row>
    <row r="42896" spans="129:129" x14ac:dyDescent="0.2">
      <c r="DY42896" s="185" t="s">
        <v>215</v>
      </c>
    </row>
    <row r="42897" spans="129:129" x14ac:dyDescent="0.2">
      <c r="DY42897" s="185" t="s">
        <v>215</v>
      </c>
    </row>
    <row r="42898" spans="129:129" x14ac:dyDescent="0.2">
      <c r="DY42898" s="185" t="s">
        <v>215</v>
      </c>
    </row>
    <row r="42899" spans="129:129" x14ac:dyDescent="0.2">
      <c r="DY42899" s="185" t="s">
        <v>215</v>
      </c>
    </row>
    <row r="42900" spans="129:129" x14ac:dyDescent="0.2">
      <c r="DY42900" s="185" t="s">
        <v>215</v>
      </c>
    </row>
    <row r="42901" spans="129:129" x14ac:dyDescent="0.2">
      <c r="DY42901" s="185" t="s">
        <v>215</v>
      </c>
    </row>
    <row r="42902" spans="129:129" x14ac:dyDescent="0.2">
      <c r="DY42902" s="185" t="s">
        <v>215</v>
      </c>
    </row>
    <row r="42903" spans="129:129" x14ac:dyDescent="0.2">
      <c r="DY42903" s="185" t="s">
        <v>215</v>
      </c>
    </row>
    <row r="42904" spans="129:129" x14ac:dyDescent="0.2">
      <c r="DY42904" s="185" t="s">
        <v>215</v>
      </c>
    </row>
    <row r="42905" spans="129:129" x14ac:dyDescent="0.2">
      <c r="DY42905" s="185" t="s">
        <v>215</v>
      </c>
    </row>
    <row r="42906" spans="129:129" x14ac:dyDescent="0.2">
      <c r="DY42906" s="185" t="s">
        <v>215</v>
      </c>
    </row>
    <row r="42907" spans="129:129" x14ac:dyDescent="0.2">
      <c r="DY42907" s="185" t="s">
        <v>215</v>
      </c>
    </row>
    <row r="42908" spans="129:129" x14ac:dyDescent="0.2">
      <c r="DY42908" s="185" t="s">
        <v>215</v>
      </c>
    </row>
    <row r="42909" spans="129:129" x14ac:dyDescent="0.2">
      <c r="DY42909" s="185" t="s">
        <v>215</v>
      </c>
    </row>
    <row r="42910" spans="129:129" x14ac:dyDescent="0.2">
      <c r="DY42910" s="185" t="s">
        <v>215</v>
      </c>
    </row>
    <row r="42911" spans="129:129" x14ac:dyDescent="0.2">
      <c r="DY42911" s="185" t="s">
        <v>215</v>
      </c>
    </row>
    <row r="42912" spans="129:129" x14ac:dyDescent="0.2">
      <c r="DY42912" s="185" t="s">
        <v>215</v>
      </c>
    </row>
    <row r="42913" spans="129:129" x14ac:dyDescent="0.2">
      <c r="DY42913" s="185" t="s">
        <v>215</v>
      </c>
    </row>
    <row r="42914" spans="129:129" x14ac:dyDescent="0.2">
      <c r="DY42914" s="185" t="s">
        <v>215</v>
      </c>
    </row>
    <row r="42915" spans="129:129" x14ac:dyDescent="0.2">
      <c r="DY42915" s="185" t="s">
        <v>215</v>
      </c>
    </row>
    <row r="42916" spans="129:129" x14ac:dyDescent="0.2">
      <c r="DY42916" s="185" t="s">
        <v>215</v>
      </c>
    </row>
    <row r="42917" spans="129:129" x14ac:dyDescent="0.2">
      <c r="DY42917" s="185" t="s">
        <v>215</v>
      </c>
    </row>
    <row r="42918" spans="129:129" x14ac:dyDescent="0.2">
      <c r="DY42918" s="185" t="s">
        <v>215</v>
      </c>
    </row>
    <row r="42919" spans="129:129" x14ac:dyDescent="0.2">
      <c r="DY42919" s="185" t="s">
        <v>215</v>
      </c>
    </row>
    <row r="42920" spans="129:129" x14ac:dyDescent="0.2">
      <c r="DY42920" s="185" t="s">
        <v>215</v>
      </c>
    </row>
    <row r="42921" spans="129:129" x14ac:dyDescent="0.2">
      <c r="DY42921" s="185" t="s">
        <v>215</v>
      </c>
    </row>
    <row r="42922" spans="129:129" x14ac:dyDescent="0.2">
      <c r="DY42922" s="185" t="s">
        <v>215</v>
      </c>
    </row>
    <row r="42923" spans="129:129" x14ac:dyDescent="0.2">
      <c r="DY42923" s="185" t="s">
        <v>215</v>
      </c>
    </row>
    <row r="42924" spans="129:129" x14ac:dyDescent="0.2">
      <c r="DY42924" s="185" t="s">
        <v>215</v>
      </c>
    </row>
    <row r="42925" spans="129:129" x14ac:dyDescent="0.2">
      <c r="DY42925" s="185" t="s">
        <v>215</v>
      </c>
    </row>
    <row r="42926" spans="129:129" x14ac:dyDescent="0.2">
      <c r="DY42926" s="185" t="s">
        <v>215</v>
      </c>
    </row>
    <row r="42927" spans="129:129" x14ac:dyDescent="0.2">
      <c r="DY42927" s="185" t="s">
        <v>215</v>
      </c>
    </row>
    <row r="42928" spans="129:129" x14ac:dyDescent="0.2">
      <c r="DY42928" s="185" t="s">
        <v>215</v>
      </c>
    </row>
    <row r="42929" spans="129:129" x14ac:dyDescent="0.2">
      <c r="DY42929" s="185" t="s">
        <v>215</v>
      </c>
    </row>
    <row r="42930" spans="129:129" x14ac:dyDescent="0.2">
      <c r="DY42930" s="185" t="s">
        <v>215</v>
      </c>
    </row>
    <row r="42931" spans="129:129" x14ac:dyDescent="0.2">
      <c r="DY42931" s="185" t="s">
        <v>215</v>
      </c>
    </row>
    <row r="42932" spans="129:129" x14ac:dyDescent="0.2">
      <c r="DY42932" s="185" t="s">
        <v>215</v>
      </c>
    </row>
    <row r="42933" spans="129:129" x14ac:dyDescent="0.2">
      <c r="DY42933" s="185" t="s">
        <v>215</v>
      </c>
    </row>
    <row r="42934" spans="129:129" x14ac:dyDescent="0.2">
      <c r="DY42934" s="185" t="s">
        <v>215</v>
      </c>
    </row>
    <row r="42935" spans="129:129" x14ac:dyDescent="0.2">
      <c r="DY42935" s="185" t="s">
        <v>215</v>
      </c>
    </row>
    <row r="42936" spans="129:129" x14ac:dyDescent="0.2">
      <c r="DY42936" s="185" t="s">
        <v>215</v>
      </c>
    </row>
    <row r="42937" spans="129:129" x14ac:dyDescent="0.2">
      <c r="DY42937" s="185" t="s">
        <v>215</v>
      </c>
    </row>
    <row r="42938" spans="129:129" x14ac:dyDescent="0.2">
      <c r="DY42938" s="185" t="s">
        <v>215</v>
      </c>
    </row>
    <row r="42939" spans="129:129" x14ac:dyDescent="0.2">
      <c r="DY42939" s="185" t="s">
        <v>215</v>
      </c>
    </row>
    <row r="42940" spans="129:129" x14ac:dyDescent="0.2">
      <c r="DY42940" s="185" t="s">
        <v>215</v>
      </c>
    </row>
    <row r="42941" spans="129:129" x14ac:dyDescent="0.2">
      <c r="DY42941" s="185" t="s">
        <v>215</v>
      </c>
    </row>
    <row r="42942" spans="129:129" x14ac:dyDescent="0.2">
      <c r="DY42942" s="185" t="s">
        <v>215</v>
      </c>
    </row>
    <row r="42943" spans="129:129" x14ac:dyDescent="0.2">
      <c r="DY42943" s="185" t="s">
        <v>215</v>
      </c>
    </row>
    <row r="42944" spans="129:129" x14ac:dyDescent="0.2">
      <c r="DY42944" s="185" t="s">
        <v>215</v>
      </c>
    </row>
    <row r="42945" spans="129:129" x14ac:dyDescent="0.2">
      <c r="DY42945" s="185" t="s">
        <v>215</v>
      </c>
    </row>
    <row r="42946" spans="129:129" x14ac:dyDescent="0.2">
      <c r="DY42946" s="185" t="s">
        <v>215</v>
      </c>
    </row>
    <row r="42947" spans="129:129" x14ac:dyDescent="0.2">
      <c r="DY42947" s="185" t="s">
        <v>215</v>
      </c>
    </row>
    <row r="42948" spans="129:129" x14ac:dyDescent="0.2">
      <c r="DY42948" s="185" t="s">
        <v>215</v>
      </c>
    </row>
    <row r="42949" spans="129:129" x14ac:dyDescent="0.2">
      <c r="DY42949" s="185" t="s">
        <v>215</v>
      </c>
    </row>
    <row r="42950" spans="129:129" x14ac:dyDescent="0.2">
      <c r="DY42950" s="185" t="s">
        <v>215</v>
      </c>
    </row>
    <row r="42951" spans="129:129" x14ac:dyDescent="0.2">
      <c r="DY42951" s="185" t="s">
        <v>215</v>
      </c>
    </row>
    <row r="42952" spans="129:129" x14ac:dyDescent="0.2">
      <c r="DY42952" s="185" t="s">
        <v>215</v>
      </c>
    </row>
    <row r="42953" spans="129:129" x14ac:dyDescent="0.2">
      <c r="DY42953" s="185" t="s">
        <v>215</v>
      </c>
    </row>
    <row r="42954" spans="129:129" x14ac:dyDescent="0.2">
      <c r="DY42954" s="185" t="s">
        <v>215</v>
      </c>
    </row>
    <row r="42955" spans="129:129" x14ac:dyDescent="0.2">
      <c r="DY42955" s="185" t="s">
        <v>215</v>
      </c>
    </row>
    <row r="42956" spans="129:129" x14ac:dyDescent="0.2">
      <c r="DY42956" s="185" t="s">
        <v>215</v>
      </c>
    </row>
    <row r="42957" spans="129:129" x14ac:dyDescent="0.2">
      <c r="DY42957" s="185" t="s">
        <v>215</v>
      </c>
    </row>
    <row r="42958" spans="129:129" x14ac:dyDescent="0.2">
      <c r="DY42958" s="185" t="s">
        <v>215</v>
      </c>
    </row>
    <row r="42959" spans="129:129" x14ac:dyDescent="0.2">
      <c r="DY42959" s="185" t="s">
        <v>215</v>
      </c>
    </row>
    <row r="42960" spans="129:129" x14ac:dyDescent="0.2">
      <c r="DY42960" s="185" t="s">
        <v>215</v>
      </c>
    </row>
    <row r="42961" spans="129:129" x14ac:dyDescent="0.2">
      <c r="DY42961" s="185" t="s">
        <v>215</v>
      </c>
    </row>
    <row r="42962" spans="129:129" x14ac:dyDescent="0.2">
      <c r="DY42962" s="185" t="s">
        <v>215</v>
      </c>
    </row>
    <row r="42963" spans="129:129" x14ac:dyDescent="0.2">
      <c r="DY42963" s="185" t="s">
        <v>215</v>
      </c>
    </row>
    <row r="42964" spans="129:129" x14ac:dyDescent="0.2">
      <c r="DY42964" s="185" t="s">
        <v>215</v>
      </c>
    </row>
    <row r="42965" spans="129:129" x14ac:dyDescent="0.2">
      <c r="DY42965" s="185" t="s">
        <v>215</v>
      </c>
    </row>
    <row r="42966" spans="129:129" x14ac:dyDescent="0.2">
      <c r="DY42966" s="185" t="s">
        <v>215</v>
      </c>
    </row>
    <row r="42967" spans="129:129" x14ac:dyDescent="0.2">
      <c r="DY42967" s="185" t="s">
        <v>215</v>
      </c>
    </row>
    <row r="42968" spans="129:129" x14ac:dyDescent="0.2">
      <c r="DY42968" s="185" t="s">
        <v>215</v>
      </c>
    </row>
    <row r="42969" spans="129:129" x14ac:dyDescent="0.2">
      <c r="DY42969" s="185" t="s">
        <v>215</v>
      </c>
    </row>
    <row r="42970" spans="129:129" x14ac:dyDescent="0.2">
      <c r="DY42970" s="185" t="s">
        <v>215</v>
      </c>
    </row>
    <row r="42971" spans="129:129" x14ac:dyDescent="0.2">
      <c r="DY42971" s="185" t="s">
        <v>215</v>
      </c>
    </row>
    <row r="42972" spans="129:129" x14ac:dyDescent="0.2">
      <c r="DY42972" s="185" t="s">
        <v>215</v>
      </c>
    </row>
    <row r="42973" spans="129:129" x14ac:dyDescent="0.2">
      <c r="DY42973" s="185" t="s">
        <v>215</v>
      </c>
    </row>
    <row r="42974" spans="129:129" x14ac:dyDescent="0.2">
      <c r="DY42974" s="185" t="s">
        <v>215</v>
      </c>
    </row>
    <row r="42975" spans="129:129" x14ac:dyDescent="0.2">
      <c r="DY42975" s="185" t="s">
        <v>215</v>
      </c>
    </row>
    <row r="42976" spans="129:129" x14ac:dyDescent="0.2">
      <c r="DY42976" s="185" t="s">
        <v>215</v>
      </c>
    </row>
    <row r="42977" spans="129:129" x14ac:dyDescent="0.2">
      <c r="DY42977" s="185" t="s">
        <v>215</v>
      </c>
    </row>
    <row r="42978" spans="129:129" x14ac:dyDescent="0.2">
      <c r="DY42978" s="185" t="s">
        <v>215</v>
      </c>
    </row>
    <row r="42979" spans="129:129" x14ac:dyDescent="0.2">
      <c r="DY42979" s="185" t="s">
        <v>215</v>
      </c>
    </row>
    <row r="42980" spans="129:129" x14ac:dyDescent="0.2">
      <c r="DY42980" s="185" t="s">
        <v>215</v>
      </c>
    </row>
    <row r="42981" spans="129:129" x14ac:dyDescent="0.2">
      <c r="DY42981" s="185" t="s">
        <v>215</v>
      </c>
    </row>
    <row r="42982" spans="129:129" x14ac:dyDescent="0.2">
      <c r="DY42982" s="185" t="s">
        <v>215</v>
      </c>
    </row>
    <row r="42983" spans="129:129" x14ac:dyDescent="0.2">
      <c r="DY42983" s="185" t="s">
        <v>215</v>
      </c>
    </row>
    <row r="42984" spans="129:129" x14ac:dyDescent="0.2">
      <c r="DY42984" s="185" t="s">
        <v>215</v>
      </c>
    </row>
    <row r="42985" spans="129:129" x14ac:dyDescent="0.2">
      <c r="DY42985" s="185" t="s">
        <v>215</v>
      </c>
    </row>
    <row r="42986" spans="129:129" x14ac:dyDescent="0.2">
      <c r="DY42986" s="185" t="s">
        <v>215</v>
      </c>
    </row>
    <row r="42987" spans="129:129" x14ac:dyDescent="0.2">
      <c r="DY42987" s="185" t="s">
        <v>215</v>
      </c>
    </row>
    <row r="42988" spans="129:129" x14ac:dyDescent="0.2">
      <c r="DY42988" s="185" t="s">
        <v>215</v>
      </c>
    </row>
    <row r="42989" spans="129:129" x14ac:dyDescent="0.2">
      <c r="DY42989" s="185" t="s">
        <v>215</v>
      </c>
    </row>
    <row r="42990" spans="129:129" x14ac:dyDescent="0.2">
      <c r="DY42990" s="185" t="s">
        <v>215</v>
      </c>
    </row>
    <row r="42991" spans="129:129" x14ac:dyDescent="0.2">
      <c r="DY42991" s="185" t="s">
        <v>215</v>
      </c>
    </row>
    <row r="42992" spans="129:129" x14ac:dyDescent="0.2">
      <c r="DY42992" s="185" t="s">
        <v>215</v>
      </c>
    </row>
    <row r="42993" spans="129:129" x14ac:dyDescent="0.2">
      <c r="DY42993" s="185" t="s">
        <v>215</v>
      </c>
    </row>
    <row r="42994" spans="129:129" x14ac:dyDescent="0.2">
      <c r="DY42994" s="185" t="s">
        <v>215</v>
      </c>
    </row>
    <row r="42995" spans="129:129" x14ac:dyDescent="0.2">
      <c r="DY42995" s="185" t="s">
        <v>215</v>
      </c>
    </row>
    <row r="42996" spans="129:129" x14ac:dyDescent="0.2">
      <c r="DY42996" s="185" t="s">
        <v>215</v>
      </c>
    </row>
    <row r="42997" spans="129:129" x14ac:dyDescent="0.2">
      <c r="DY42997" s="185" t="s">
        <v>215</v>
      </c>
    </row>
    <row r="42998" spans="129:129" x14ac:dyDescent="0.2">
      <c r="DY42998" s="185" t="s">
        <v>215</v>
      </c>
    </row>
    <row r="42999" spans="129:129" x14ac:dyDescent="0.2">
      <c r="DY42999" s="185" t="s">
        <v>215</v>
      </c>
    </row>
    <row r="43000" spans="129:129" x14ac:dyDescent="0.2">
      <c r="DY43000" s="185" t="s">
        <v>215</v>
      </c>
    </row>
    <row r="43001" spans="129:129" x14ac:dyDescent="0.2">
      <c r="DY43001" s="185" t="s">
        <v>215</v>
      </c>
    </row>
    <row r="43002" spans="129:129" x14ac:dyDescent="0.2">
      <c r="DY43002" s="185" t="s">
        <v>215</v>
      </c>
    </row>
    <row r="43003" spans="129:129" x14ac:dyDescent="0.2">
      <c r="DY43003" s="185" t="s">
        <v>215</v>
      </c>
    </row>
    <row r="43004" spans="129:129" x14ac:dyDescent="0.2">
      <c r="DY43004" s="185" t="s">
        <v>215</v>
      </c>
    </row>
    <row r="43005" spans="129:129" x14ac:dyDescent="0.2">
      <c r="DY43005" s="185" t="s">
        <v>215</v>
      </c>
    </row>
    <row r="43006" spans="129:129" x14ac:dyDescent="0.2">
      <c r="DY43006" s="185" t="s">
        <v>215</v>
      </c>
    </row>
    <row r="43007" spans="129:129" x14ac:dyDescent="0.2">
      <c r="DY43007" s="185" t="s">
        <v>215</v>
      </c>
    </row>
    <row r="43008" spans="129:129" x14ac:dyDescent="0.2">
      <c r="DY43008" s="185" t="s">
        <v>215</v>
      </c>
    </row>
    <row r="43009" spans="129:129" x14ac:dyDescent="0.2">
      <c r="DY43009" s="185" t="s">
        <v>215</v>
      </c>
    </row>
    <row r="43010" spans="129:129" x14ac:dyDescent="0.2">
      <c r="DY43010" s="185" t="s">
        <v>215</v>
      </c>
    </row>
    <row r="43011" spans="129:129" x14ac:dyDescent="0.2">
      <c r="DY43011" s="185" t="s">
        <v>215</v>
      </c>
    </row>
    <row r="43012" spans="129:129" x14ac:dyDescent="0.2">
      <c r="DY43012" s="185" t="s">
        <v>215</v>
      </c>
    </row>
    <row r="43013" spans="129:129" x14ac:dyDescent="0.2">
      <c r="DY43013" s="185" t="s">
        <v>215</v>
      </c>
    </row>
    <row r="43014" spans="129:129" x14ac:dyDescent="0.2">
      <c r="DY43014" s="185" t="s">
        <v>215</v>
      </c>
    </row>
    <row r="43015" spans="129:129" x14ac:dyDescent="0.2">
      <c r="DY43015" s="185" t="s">
        <v>215</v>
      </c>
    </row>
    <row r="43016" spans="129:129" x14ac:dyDescent="0.2">
      <c r="DY43016" s="185" t="s">
        <v>215</v>
      </c>
    </row>
    <row r="43017" spans="129:129" x14ac:dyDescent="0.2">
      <c r="DY43017" s="185" t="s">
        <v>215</v>
      </c>
    </row>
    <row r="43018" spans="129:129" x14ac:dyDescent="0.2">
      <c r="DY43018" s="185" t="s">
        <v>215</v>
      </c>
    </row>
    <row r="43019" spans="129:129" x14ac:dyDescent="0.2">
      <c r="DY43019" s="185" t="s">
        <v>215</v>
      </c>
    </row>
    <row r="43020" spans="129:129" x14ac:dyDescent="0.2">
      <c r="DY43020" s="185" t="s">
        <v>215</v>
      </c>
    </row>
    <row r="43021" spans="129:129" x14ac:dyDescent="0.2">
      <c r="DY43021" s="185" t="s">
        <v>215</v>
      </c>
    </row>
    <row r="43022" spans="129:129" x14ac:dyDescent="0.2">
      <c r="DY43022" s="185" t="s">
        <v>215</v>
      </c>
    </row>
    <row r="43023" spans="129:129" x14ac:dyDescent="0.2">
      <c r="DY43023" s="185" t="s">
        <v>215</v>
      </c>
    </row>
    <row r="43024" spans="129:129" x14ac:dyDescent="0.2">
      <c r="DY43024" s="185" t="s">
        <v>215</v>
      </c>
    </row>
    <row r="43025" spans="129:129" x14ac:dyDescent="0.2">
      <c r="DY43025" s="185" t="s">
        <v>215</v>
      </c>
    </row>
    <row r="43026" spans="129:129" x14ac:dyDescent="0.2">
      <c r="DY43026" s="185" t="s">
        <v>215</v>
      </c>
    </row>
    <row r="43027" spans="129:129" x14ac:dyDescent="0.2">
      <c r="DY43027" s="185" t="s">
        <v>215</v>
      </c>
    </row>
    <row r="43028" spans="129:129" x14ac:dyDescent="0.2">
      <c r="DY43028" s="185" t="s">
        <v>215</v>
      </c>
    </row>
    <row r="43029" spans="129:129" x14ac:dyDescent="0.2">
      <c r="DY43029" s="185" t="s">
        <v>215</v>
      </c>
    </row>
    <row r="43030" spans="129:129" x14ac:dyDescent="0.2">
      <c r="DY43030" s="185" t="s">
        <v>215</v>
      </c>
    </row>
    <row r="43031" spans="129:129" x14ac:dyDescent="0.2">
      <c r="DY43031" s="185" t="s">
        <v>215</v>
      </c>
    </row>
    <row r="43032" spans="129:129" x14ac:dyDescent="0.2">
      <c r="DY43032" s="185" t="s">
        <v>215</v>
      </c>
    </row>
    <row r="43033" spans="129:129" x14ac:dyDescent="0.2">
      <c r="DY43033" s="185" t="s">
        <v>215</v>
      </c>
    </row>
    <row r="43034" spans="129:129" x14ac:dyDescent="0.2">
      <c r="DY43034" s="185" t="s">
        <v>215</v>
      </c>
    </row>
    <row r="43035" spans="129:129" x14ac:dyDescent="0.2">
      <c r="DY43035" s="185" t="s">
        <v>215</v>
      </c>
    </row>
    <row r="43036" spans="129:129" x14ac:dyDescent="0.2">
      <c r="DY43036" s="185" t="s">
        <v>215</v>
      </c>
    </row>
    <row r="43037" spans="129:129" x14ac:dyDescent="0.2">
      <c r="DY43037" s="185" t="s">
        <v>215</v>
      </c>
    </row>
    <row r="43038" spans="129:129" x14ac:dyDescent="0.2">
      <c r="DY43038" s="185" t="s">
        <v>215</v>
      </c>
    </row>
    <row r="43039" spans="129:129" x14ac:dyDescent="0.2">
      <c r="DY43039" s="185" t="s">
        <v>215</v>
      </c>
    </row>
    <row r="43040" spans="129:129" x14ac:dyDescent="0.2">
      <c r="DY43040" s="185" t="s">
        <v>215</v>
      </c>
    </row>
    <row r="43041" spans="129:129" x14ac:dyDescent="0.2">
      <c r="DY43041" s="185" t="s">
        <v>215</v>
      </c>
    </row>
    <row r="43042" spans="129:129" x14ac:dyDescent="0.2">
      <c r="DY43042" s="185" t="s">
        <v>215</v>
      </c>
    </row>
    <row r="43043" spans="129:129" x14ac:dyDescent="0.2">
      <c r="DY43043" s="185" t="s">
        <v>215</v>
      </c>
    </row>
    <row r="43044" spans="129:129" x14ac:dyDescent="0.2">
      <c r="DY43044" s="185" t="s">
        <v>215</v>
      </c>
    </row>
    <row r="43045" spans="129:129" x14ac:dyDescent="0.2">
      <c r="DY43045" s="185" t="s">
        <v>215</v>
      </c>
    </row>
    <row r="43046" spans="129:129" x14ac:dyDescent="0.2">
      <c r="DY43046" s="185" t="s">
        <v>215</v>
      </c>
    </row>
    <row r="43047" spans="129:129" x14ac:dyDescent="0.2">
      <c r="DY43047" s="185" t="s">
        <v>215</v>
      </c>
    </row>
    <row r="43048" spans="129:129" x14ac:dyDescent="0.2">
      <c r="DY43048" s="185" t="s">
        <v>215</v>
      </c>
    </row>
    <row r="43049" spans="129:129" x14ac:dyDescent="0.2">
      <c r="DY43049" s="185" t="s">
        <v>215</v>
      </c>
    </row>
    <row r="43050" spans="129:129" x14ac:dyDescent="0.2">
      <c r="DY43050" s="185" t="s">
        <v>215</v>
      </c>
    </row>
    <row r="43051" spans="129:129" x14ac:dyDescent="0.2">
      <c r="DY43051" s="185" t="s">
        <v>215</v>
      </c>
    </row>
    <row r="43052" spans="129:129" x14ac:dyDescent="0.2">
      <c r="DY43052" s="185" t="s">
        <v>215</v>
      </c>
    </row>
    <row r="43053" spans="129:129" x14ac:dyDescent="0.2">
      <c r="DY43053" s="185" t="s">
        <v>215</v>
      </c>
    </row>
    <row r="43054" spans="129:129" x14ac:dyDescent="0.2">
      <c r="DY43054" s="185" t="s">
        <v>215</v>
      </c>
    </row>
    <row r="43055" spans="129:129" x14ac:dyDescent="0.2">
      <c r="DY43055" s="185" t="s">
        <v>215</v>
      </c>
    </row>
    <row r="43056" spans="129:129" x14ac:dyDescent="0.2">
      <c r="DY43056" s="185" t="s">
        <v>215</v>
      </c>
    </row>
    <row r="43057" spans="129:129" x14ac:dyDescent="0.2">
      <c r="DY43057" s="185" t="s">
        <v>215</v>
      </c>
    </row>
    <row r="43058" spans="129:129" x14ac:dyDescent="0.2">
      <c r="DY43058" s="185" t="s">
        <v>215</v>
      </c>
    </row>
    <row r="43059" spans="129:129" x14ac:dyDescent="0.2">
      <c r="DY43059" s="185" t="s">
        <v>215</v>
      </c>
    </row>
    <row r="43060" spans="129:129" x14ac:dyDescent="0.2">
      <c r="DY43060" s="185" t="s">
        <v>215</v>
      </c>
    </row>
    <row r="43061" spans="129:129" x14ac:dyDescent="0.2">
      <c r="DY43061" s="185" t="s">
        <v>215</v>
      </c>
    </row>
    <row r="43062" spans="129:129" x14ac:dyDescent="0.2">
      <c r="DY43062" s="185" t="s">
        <v>215</v>
      </c>
    </row>
    <row r="43063" spans="129:129" x14ac:dyDescent="0.2">
      <c r="DY43063" s="185" t="s">
        <v>215</v>
      </c>
    </row>
    <row r="43064" spans="129:129" x14ac:dyDescent="0.2">
      <c r="DY43064" s="185" t="s">
        <v>215</v>
      </c>
    </row>
    <row r="43065" spans="129:129" x14ac:dyDescent="0.2">
      <c r="DY43065" s="185" t="s">
        <v>215</v>
      </c>
    </row>
    <row r="43066" spans="129:129" x14ac:dyDescent="0.2">
      <c r="DY43066" s="185" t="s">
        <v>215</v>
      </c>
    </row>
    <row r="43067" spans="129:129" x14ac:dyDescent="0.2">
      <c r="DY43067" s="185" t="s">
        <v>215</v>
      </c>
    </row>
    <row r="43068" spans="129:129" x14ac:dyDescent="0.2">
      <c r="DY43068" s="185" t="s">
        <v>215</v>
      </c>
    </row>
    <row r="43069" spans="129:129" x14ac:dyDescent="0.2">
      <c r="DY43069" s="185" t="s">
        <v>215</v>
      </c>
    </row>
    <row r="43070" spans="129:129" x14ac:dyDescent="0.2">
      <c r="DY43070" s="185" t="s">
        <v>215</v>
      </c>
    </row>
    <row r="43071" spans="129:129" x14ac:dyDescent="0.2">
      <c r="DY43071" s="185" t="s">
        <v>215</v>
      </c>
    </row>
    <row r="43072" spans="129:129" x14ac:dyDescent="0.2">
      <c r="DY43072" s="185" t="s">
        <v>215</v>
      </c>
    </row>
    <row r="43073" spans="129:129" x14ac:dyDescent="0.2">
      <c r="DY43073" s="185" t="s">
        <v>215</v>
      </c>
    </row>
    <row r="43074" spans="129:129" x14ac:dyDescent="0.2">
      <c r="DY43074" s="185" t="s">
        <v>215</v>
      </c>
    </row>
    <row r="43075" spans="129:129" x14ac:dyDescent="0.2">
      <c r="DY43075" s="185" t="s">
        <v>215</v>
      </c>
    </row>
    <row r="43076" spans="129:129" x14ac:dyDescent="0.2">
      <c r="DY43076" s="185" t="s">
        <v>215</v>
      </c>
    </row>
    <row r="43077" spans="129:129" x14ac:dyDescent="0.2">
      <c r="DY43077" s="185" t="s">
        <v>215</v>
      </c>
    </row>
    <row r="43078" spans="129:129" x14ac:dyDescent="0.2">
      <c r="DY43078" s="185" t="s">
        <v>215</v>
      </c>
    </row>
    <row r="43079" spans="129:129" x14ac:dyDescent="0.2">
      <c r="DY43079" s="185" t="s">
        <v>215</v>
      </c>
    </row>
    <row r="43080" spans="129:129" x14ac:dyDescent="0.2">
      <c r="DY43080" s="185" t="s">
        <v>215</v>
      </c>
    </row>
    <row r="43081" spans="129:129" x14ac:dyDescent="0.2">
      <c r="DY43081" s="185" t="s">
        <v>215</v>
      </c>
    </row>
    <row r="43082" spans="129:129" x14ac:dyDescent="0.2">
      <c r="DY43082" s="185" t="s">
        <v>215</v>
      </c>
    </row>
    <row r="43083" spans="129:129" x14ac:dyDescent="0.2">
      <c r="DY43083" s="185" t="s">
        <v>215</v>
      </c>
    </row>
    <row r="43084" spans="129:129" x14ac:dyDescent="0.2">
      <c r="DY43084" s="185" t="s">
        <v>215</v>
      </c>
    </row>
    <row r="43085" spans="129:129" x14ac:dyDescent="0.2">
      <c r="DY43085" s="185" t="s">
        <v>215</v>
      </c>
    </row>
    <row r="43086" spans="129:129" x14ac:dyDescent="0.2">
      <c r="DY43086" s="185" t="s">
        <v>215</v>
      </c>
    </row>
    <row r="43087" spans="129:129" x14ac:dyDescent="0.2">
      <c r="DY43087" s="185" t="s">
        <v>215</v>
      </c>
    </row>
    <row r="43088" spans="129:129" x14ac:dyDescent="0.2">
      <c r="DY43088" s="185" t="s">
        <v>215</v>
      </c>
    </row>
    <row r="43089" spans="129:129" x14ac:dyDescent="0.2">
      <c r="DY43089" s="185" t="s">
        <v>215</v>
      </c>
    </row>
    <row r="43090" spans="129:129" x14ac:dyDescent="0.2">
      <c r="DY43090" s="185" t="s">
        <v>215</v>
      </c>
    </row>
    <row r="43091" spans="129:129" x14ac:dyDescent="0.2">
      <c r="DY43091" s="185" t="s">
        <v>215</v>
      </c>
    </row>
    <row r="43092" spans="129:129" x14ac:dyDescent="0.2">
      <c r="DY43092" s="185" t="s">
        <v>215</v>
      </c>
    </row>
    <row r="43093" spans="129:129" x14ac:dyDescent="0.2">
      <c r="DY43093" s="185" t="s">
        <v>215</v>
      </c>
    </row>
    <row r="43094" spans="129:129" x14ac:dyDescent="0.2">
      <c r="DY43094" s="185" t="s">
        <v>215</v>
      </c>
    </row>
    <row r="43095" spans="129:129" x14ac:dyDescent="0.2">
      <c r="DY43095" s="185" t="s">
        <v>215</v>
      </c>
    </row>
    <row r="43096" spans="129:129" x14ac:dyDescent="0.2">
      <c r="DY43096" s="185" t="s">
        <v>215</v>
      </c>
    </row>
    <row r="43097" spans="129:129" x14ac:dyDescent="0.2">
      <c r="DY43097" s="185" t="s">
        <v>215</v>
      </c>
    </row>
    <row r="43098" spans="129:129" x14ac:dyDescent="0.2">
      <c r="DY43098" s="185" t="s">
        <v>215</v>
      </c>
    </row>
    <row r="43099" spans="129:129" x14ac:dyDescent="0.2">
      <c r="DY43099" s="185" t="s">
        <v>215</v>
      </c>
    </row>
    <row r="43100" spans="129:129" x14ac:dyDescent="0.2">
      <c r="DY43100" s="185" t="s">
        <v>215</v>
      </c>
    </row>
    <row r="43101" spans="129:129" x14ac:dyDescent="0.2">
      <c r="DY43101" s="185" t="s">
        <v>215</v>
      </c>
    </row>
    <row r="43102" spans="129:129" x14ac:dyDescent="0.2">
      <c r="DY43102" s="185" t="s">
        <v>215</v>
      </c>
    </row>
    <row r="43103" spans="129:129" x14ac:dyDescent="0.2">
      <c r="DY43103" s="185" t="s">
        <v>215</v>
      </c>
    </row>
    <row r="43104" spans="129:129" x14ac:dyDescent="0.2">
      <c r="DY43104" s="185" t="s">
        <v>215</v>
      </c>
    </row>
    <row r="43105" spans="129:129" x14ac:dyDescent="0.2">
      <c r="DY43105" s="185" t="s">
        <v>215</v>
      </c>
    </row>
    <row r="43106" spans="129:129" x14ac:dyDescent="0.2">
      <c r="DY43106" s="185" t="s">
        <v>215</v>
      </c>
    </row>
    <row r="43107" spans="129:129" x14ac:dyDescent="0.2">
      <c r="DY43107" s="185" t="s">
        <v>215</v>
      </c>
    </row>
    <row r="43108" spans="129:129" x14ac:dyDescent="0.2">
      <c r="DY43108" s="185" t="s">
        <v>215</v>
      </c>
    </row>
    <row r="43109" spans="129:129" x14ac:dyDescent="0.2">
      <c r="DY43109" s="185" t="s">
        <v>215</v>
      </c>
    </row>
    <row r="43110" spans="129:129" x14ac:dyDescent="0.2">
      <c r="DY43110" s="185" t="s">
        <v>215</v>
      </c>
    </row>
    <row r="43111" spans="129:129" x14ac:dyDescent="0.2">
      <c r="DY43111" s="185" t="s">
        <v>215</v>
      </c>
    </row>
    <row r="43112" spans="129:129" x14ac:dyDescent="0.2">
      <c r="DY43112" s="185" t="s">
        <v>215</v>
      </c>
    </row>
    <row r="43113" spans="129:129" x14ac:dyDescent="0.2">
      <c r="DY43113" s="185" t="s">
        <v>215</v>
      </c>
    </row>
    <row r="43114" spans="129:129" x14ac:dyDescent="0.2">
      <c r="DY43114" s="185" t="s">
        <v>215</v>
      </c>
    </row>
    <row r="43115" spans="129:129" x14ac:dyDescent="0.2">
      <c r="DY43115" s="185" t="s">
        <v>215</v>
      </c>
    </row>
    <row r="43116" spans="129:129" x14ac:dyDescent="0.2">
      <c r="DY43116" s="185" t="s">
        <v>215</v>
      </c>
    </row>
    <row r="43117" spans="129:129" x14ac:dyDescent="0.2">
      <c r="DY43117" s="185" t="s">
        <v>215</v>
      </c>
    </row>
    <row r="43118" spans="129:129" x14ac:dyDescent="0.2">
      <c r="DY43118" s="185" t="s">
        <v>215</v>
      </c>
    </row>
    <row r="43119" spans="129:129" x14ac:dyDescent="0.2">
      <c r="DY43119" s="185" t="s">
        <v>215</v>
      </c>
    </row>
    <row r="43120" spans="129:129" x14ac:dyDescent="0.2">
      <c r="DY43120" s="185" t="s">
        <v>215</v>
      </c>
    </row>
    <row r="43121" spans="129:129" x14ac:dyDescent="0.2">
      <c r="DY43121" s="185" t="s">
        <v>215</v>
      </c>
    </row>
    <row r="43122" spans="129:129" x14ac:dyDescent="0.2">
      <c r="DY43122" s="185" t="s">
        <v>215</v>
      </c>
    </row>
    <row r="43123" spans="129:129" x14ac:dyDescent="0.2">
      <c r="DY43123" s="185" t="s">
        <v>215</v>
      </c>
    </row>
    <row r="43124" spans="129:129" x14ac:dyDescent="0.2">
      <c r="DY43124" s="185" t="s">
        <v>215</v>
      </c>
    </row>
    <row r="43125" spans="129:129" x14ac:dyDescent="0.2">
      <c r="DY43125" s="185" t="s">
        <v>215</v>
      </c>
    </row>
    <row r="43126" spans="129:129" x14ac:dyDescent="0.2">
      <c r="DY43126" s="185" t="s">
        <v>215</v>
      </c>
    </row>
    <row r="43127" spans="129:129" x14ac:dyDescent="0.2">
      <c r="DY43127" s="185" t="s">
        <v>215</v>
      </c>
    </row>
    <row r="43128" spans="129:129" x14ac:dyDescent="0.2">
      <c r="DY43128" s="185" t="s">
        <v>215</v>
      </c>
    </row>
    <row r="43129" spans="129:129" x14ac:dyDescent="0.2">
      <c r="DY43129" s="185" t="s">
        <v>215</v>
      </c>
    </row>
    <row r="43130" spans="129:129" x14ac:dyDescent="0.2">
      <c r="DY43130" s="185" t="s">
        <v>215</v>
      </c>
    </row>
    <row r="43131" spans="129:129" x14ac:dyDescent="0.2">
      <c r="DY43131" s="185" t="s">
        <v>215</v>
      </c>
    </row>
    <row r="43132" spans="129:129" x14ac:dyDescent="0.2">
      <c r="DY43132" s="185" t="s">
        <v>215</v>
      </c>
    </row>
    <row r="43133" spans="129:129" x14ac:dyDescent="0.2">
      <c r="DY43133" s="185" t="s">
        <v>215</v>
      </c>
    </row>
    <row r="43134" spans="129:129" x14ac:dyDescent="0.2">
      <c r="DY43134" s="185" t="s">
        <v>215</v>
      </c>
    </row>
    <row r="43135" spans="129:129" x14ac:dyDescent="0.2">
      <c r="DY43135" s="185" t="s">
        <v>215</v>
      </c>
    </row>
    <row r="43136" spans="129:129" x14ac:dyDescent="0.2">
      <c r="DY43136" s="185" t="s">
        <v>215</v>
      </c>
    </row>
    <row r="43137" spans="129:129" x14ac:dyDescent="0.2">
      <c r="DY43137" s="185" t="s">
        <v>215</v>
      </c>
    </row>
    <row r="43138" spans="129:129" x14ac:dyDescent="0.2">
      <c r="DY43138" s="185" t="s">
        <v>215</v>
      </c>
    </row>
    <row r="43139" spans="129:129" x14ac:dyDescent="0.2">
      <c r="DY43139" s="185" t="s">
        <v>215</v>
      </c>
    </row>
    <row r="43140" spans="129:129" x14ac:dyDescent="0.2">
      <c r="DY43140" s="185" t="s">
        <v>215</v>
      </c>
    </row>
    <row r="43141" spans="129:129" x14ac:dyDescent="0.2">
      <c r="DY43141" s="185" t="s">
        <v>215</v>
      </c>
    </row>
    <row r="43142" spans="129:129" x14ac:dyDescent="0.2">
      <c r="DY43142" s="185" t="s">
        <v>215</v>
      </c>
    </row>
    <row r="43143" spans="129:129" x14ac:dyDescent="0.2">
      <c r="DY43143" s="185" t="s">
        <v>215</v>
      </c>
    </row>
    <row r="43144" spans="129:129" x14ac:dyDescent="0.2">
      <c r="DY43144" s="185" t="s">
        <v>215</v>
      </c>
    </row>
    <row r="43145" spans="129:129" x14ac:dyDescent="0.2">
      <c r="DY43145" s="185" t="s">
        <v>215</v>
      </c>
    </row>
    <row r="43146" spans="129:129" x14ac:dyDescent="0.2">
      <c r="DY43146" s="185" t="s">
        <v>215</v>
      </c>
    </row>
    <row r="43147" spans="129:129" x14ac:dyDescent="0.2">
      <c r="DY43147" s="185" t="s">
        <v>215</v>
      </c>
    </row>
    <row r="43148" spans="129:129" x14ac:dyDescent="0.2">
      <c r="DY43148" s="185" t="s">
        <v>215</v>
      </c>
    </row>
    <row r="43149" spans="129:129" x14ac:dyDescent="0.2">
      <c r="DY43149" s="185" t="s">
        <v>215</v>
      </c>
    </row>
    <row r="43150" spans="129:129" x14ac:dyDescent="0.2">
      <c r="DY43150" s="185" t="s">
        <v>215</v>
      </c>
    </row>
    <row r="43151" spans="129:129" x14ac:dyDescent="0.2">
      <c r="DY43151" s="185" t="s">
        <v>215</v>
      </c>
    </row>
    <row r="43152" spans="129:129" x14ac:dyDescent="0.2">
      <c r="DY43152" s="185" t="s">
        <v>215</v>
      </c>
    </row>
    <row r="43153" spans="129:129" x14ac:dyDescent="0.2">
      <c r="DY43153" s="185" t="s">
        <v>215</v>
      </c>
    </row>
    <row r="43154" spans="129:129" x14ac:dyDescent="0.2">
      <c r="DY43154" s="185" t="s">
        <v>215</v>
      </c>
    </row>
    <row r="43155" spans="129:129" x14ac:dyDescent="0.2">
      <c r="DY43155" s="185" t="s">
        <v>215</v>
      </c>
    </row>
    <row r="43156" spans="129:129" x14ac:dyDescent="0.2">
      <c r="DY43156" s="185" t="s">
        <v>215</v>
      </c>
    </row>
    <row r="43157" spans="129:129" x14ac:dyDescent="0.2">
      <c r="DY43157" s="185" t="s">
        <v>215</v>
      </c>
    </row>
    <row r="43158" spans="129:129" x14ac:dyDescent="0.2">
      <c r="DY43158" s="185" t="s">
        <v>215</v>
      </c>
    </row>
    <row r="43159" spans="129:129" x14ac:dyDescent="0.2">
      <c r="DY43159" s="185" t="s">
        <v>215</v>
      </c>
    </row>
    <row r="43160" spans="129:129" x14ac:dyDescent="0.2">
      <c r="DY43160" s="185" t="s">
        <v>215</v>
      </c>
    </row>
    <row r="43161" spans="129:129" x14ac:dyDescent="0.2">
      <c r="DY43161" s="185" t="s">
        <v>215</v>
      </c>
    </row>
    <row r="43162" spans="129:129" x14ac:dyDescent="0.2">
      <c r="DY43162" s="185" t="s">
        <v>215</v>
      </c>
    </row>
    <row r="43163" spans="129:129" x14ac:dyDescent="0.2">
      <c r="DY43163" s="185" t="s">
        <v>215</v>
      </c>
    </row>
    <row r="43164" spans="129:129" x14ac:dyDescent="0.2">
      <c r="DY43164" s="185" t="s">
        <v>215</v>
      </c>
    </row>
    <row r="43165" spans="129:129" x14ac:dyDescent="0.2">
      <c r="DY43165" s="185" t="s">
        <v>215</v>
      </c>
    </row>
    <row r="43166" spans="129:129" x14ac:dyDescent="0.2">
      <c r="DY43166" s="185" t="s">
        <v>215</v>
      </c>
    </row>
    <row r="43167" spans="129:129" x14ac:dyDescent="0.2">
      <c r="DY43167" s="185" t="s">
        <v>215</v>
      </c>
    </row>
    <row r="43168" spans="129:129" x14ac:dyDescent="0.2">
      <c r="DY43168" s="185" t="s">
        <v>215</v>
      </c>
    </row>
    <row r="43169" spans="129:129" x14ac:dyDescent="0.2">
      <c r="DY43169" s="185" t="s">
        <v>215</v>
      </c>
    </row>
    <row r="43170" spans="129:129" x14ac:dyDescent="0.2">
      <c r="DY43170" s="185" t="s">
        <v>215</v>
      </c>
    </row>
    <row r="43171" spans="129:129" x14ac:dyDescent="0.2">
      <c r="DY43171" s="185" t="s">
        <v>215</v>
      </c>
    </row>
    <row r="43172" spans="129:129" x14ac:dyDescent="0.2">
      <c r="DY43172" s="185" t="s">
        <v>215</v>
      </c>
    </row>
    <row r="43173" spans="129:129" x14ac:dyDescent="0.2">
      <c r="DY43173" s="185" t="s">
        <v>215</v>
      </c>
    </row>
    <row r="43174" spans="129:129" x14ac:dyDescent="0.2">
      <c r="DY43174" s="185" t="s">
        <v>215</v>
      </c>
    </row>
    <row r="43175" spans="129:129" x14ac:dyDescent="0.2">
      <c r="DY43175" s="185" t="s">
        <v>215</v>
      </c>
    </row>
    <row r="43176" spans="129:129" x14ac:dyDescent="0.2">
      <c r="DY43176" s="185" t="s">
        <v>215</v>
      </c>
    </row>
    <row r="43177" spans="129:129" x14ac:dyDescent="0.2">
      <c r="DY43177" s="185" t="s">
        <v>215</v>
      </c>
    </row>
    <row r="43178" spans="129:129" x14ac:dyDescent="0.2">
      <c r="DY43178" s="185" t="s">
        <v>215</v>
      </c>
    </row>
    <row r="43179" spans="129:129" x14ac:dyDescent="0.2">
      <c r="DY43179" s="185" t="s">
        <v>215</v>
      </c>
    </row>
    <row r="43180" spans="129:129" x14ac:dyDescent="0.2">
      <c r="DY43180" s="185" t="s">
        <v>215</v>
      </c>
    </row>
    <row r="43181" spans="129:129" x14ac:dyDescent="0.2">
      <c r="DY43181" s="185" t="s">
        <v>215</v>
      </c>
    </row>
    <row r="43182" spans="129:129" x14ac:dyDescent="0.2">
      <c r="DY43182" s="185" t="s">
        <v>215</v>
      </c>
    </row>
    <row r="43183" spans="129:129" x14ac:dyDescent="0.2">
      <c r="DY43183" s="185" t="s">
        <v>215</v>
      </c>
    </row>
    <row r="43184" spans="129:129" x14ac:dyDescent="0.2">
      <c r="DY43184" s="185" t="s">
        <v>215</v>
      </c>
    </row>
    <row r="43185" spans="129:129" x14ac:dyDescent="0.2">
      <c r="DY43185" s="185" t="s">
        <v>215</v>
      </c>
    </row>
    <row r="43186" spans="129:129" x14ac:dyDescent="0.2">
      <c r="DY43186" s="185" t="s">
        <v>215</v>
      </c>
    </row>
    <row r="43187" spans="129:129" x14ac:dyDescent="0.2">
      <c r="DY43187" s="185" t="s">
        <v>215</v>
      </c>
    </row>
    <row r="43188" spans="129:129" x14ac:dyDescent="0.2">
      <c r="DY43188" s="185" t="s">
        <v>215</v>
      </c>
    </row>
    <row r="43189" spans="129:129" x14ac:dyDescent="0.2">
      <c r="DY43189" s="185" t="s">
        <v>215</v>
      </c>
    </row>
    <row r="43190" spans="129:129" x14ac:dyDescent="0.2">
      <c r="DY43190" s="185" t="s">
        <v>215</v>
      </c>
    </row>
    <row r="43191" spans="129:129" x14ac:dyDescent="0.2">
      <c r="DY43191" s="185" t="s">
        <v>215</v>
      </c>
    </row>
    <row r="43192" spans="129:129" x14ac:dyDescent="0.2">
      <c r="DY43192" s="185" t="s">
        <v>215</v>
      </c>
    </row>
    <row r="43193" spans="129:129" x14ac:dyDescent="0.2">
      <c r="DY43193" s="185" t="s">
        <v>215</v>
      </c>
    </row>
    <row r="43194" spans="129:129" x14ac:dyDescent="0.2">
      <c r="DY43194" s="185" t="s">
        <v>215</v>
      </c>
    </row>
    <row r="43195" spans="129:129" x14ac:dyDescent="0.2">
      <c r="DY43195" s="185" t="s">
        <v>215</v>
      </c>
    </row>
    <row r="43196" spans="129:129" x14ac:dyDescent="0.2">
      <c r="DY43196" s="185" t="s">
        <v>215</v>
      </c>
    </row>
    <row r="43197" spans="129:129" x14ac:dyDescent="0.2">
      <c r="DY43197" s="185" t="s">
        <v>215</v>
      </c>
    </row>
    <row r="43198" spans="129:129" x14ac:dyDescent="0.2">
      <c r="DY43198" s="185" t="s">
        <v>215</v>
      </c>
    </row>
    <row r="43199" spans="129:129" x14ac:dyDescent="0.2">
      <c r="DY43199" s="185" t="s">
        <v>215</v>
      </c>
    </row>
    <row r="43200" spans="129:129" x14ac:dyDescent="0.2">
      <c r="DY43200" s="185" t="s">
        <v>215</v>
      </c>
    </row>
    <row r="43201" spans="129:129" x14ac:dyDescent="0.2">
      <c r="DY43201" s="185" t="s">
        <v>215</v>
      </c>
    </row>
    <row r="43202" spans="129:129" x14ac:dyDescent="0.2">
      <c r="DY43202" s="185" t="s">
        <v>215</v>
      </c>
    </row>
    <row r="43203" spans="129:129" x14ac:dyDescent="0.2">
      <c r="DY43203" s="185" t="s">
        <v>215</v>
      </c>
    </row>
    <row r="43204" spans="129:129" x14ac:dyDescent="0.2">
      <c r="DY43204" s="185" t="s">
        <v>215</v>
      </c>
    </row>
    <row r="43205" spans="129:129" x14ac:dyDescent="0.2">
      <c r="DY43205" s="185" t="s">
        <v>215</v>
      </c>
    </row>
    <row r="43206" spans="129:129" x14ac:dyDescent="0.2">
      <c r="DY43206" s="185" t="s">
        <v>215</v>
      </c>
    </row>
    <row r="43207" spans="129:129" x14ac:dyDescent="0.2">
      <c r="DY43207" s="185" t="s">
        <v>215</v>
      </c>
    </row>
    <row r="43208" spans="129:129" x14ac:dyDescent="0.2">
      <c r="DY43208" s="185" t="s">
        <v>215</v>
      </c>
    </row>
    <row r="43209" spans="129:129" x14ac:dyDescent="0.2">
      <c r="DY43209" s="185" t="s">
        <v>215</v>
      </c>
    </row>
    <row r="43210" spans="129:129" x14ac:dyDescent="0.2">
      <c r="DY43210" s="185" t="s">
        <v>215</v>
      </c>
    </row>
    <row r="43211" spans="129:129" x14ac:dyDescent="0.2">
      <c r="DY43211" s="185" t="s">
        <v>215</v>
      </c>
    </row>
    <row r="43212" spans="129:129" x14ac:dyDescent="0.2">
      <c r="DY43212" s="185" t="s">
        <v>215</v>
      </c>
    </row>
    <row r="43213" spans="129:129" x14ac:dyDescent="0.2">
      <c r="DY43213" s="185" t="s">
        <v>215</v>
      </c>
    </row>
    <row r="43214" spans="129:129" x14ac:dyDescent="0.2">
      <c r="DY43214" s="185" t="s">
        <v>215</v>
      </c>
    </row>
    <row r="43215" spans="129:129" x14ac:dyDescent="0.2">
      <c r="DY43215" s="185" t="s">
        <v>215</v>
      </c>
    </row>
    <row r="43216" spans="129:129" x14ac:dyDescent="0.2">
      <c r="DY43216" s="185" t="s">
        <v>215</v>
      </c>
    </row>
    <row r="43217" spans="129:129" x14ac:dyDescent="0.2">
      <c r="DY43217" s="185" t="s">
        <v>215</v>
      </c>
    </row>
    <row r="43218" spans="129:129" x14ac:dyDescent="0.2">
      <c r="DY43218" s="185" t="s">
        <v>215</v>
      </c>
    </row>
    <row r="43219" spans="129:129" x14ac:dyDescent="0.2">
      <c r="DY43219" s="185" t="s">
        <v>215</v>
      </c>
    </row>
    <row r="43220" spans="129:129" x14ac:dyDescent="0.2">
      <c r="DY43220" s="185" t="s">
        <v>215</v>
      </c>
    </row>
    <row r="43221" spans="129:129" x14ac:dyDescent="0.2">
      <c r="DY43221" s="185" t="s">
        <v>215</v>
      </c>
    </row>
    <row r="43222" spans="129:129" x14ac:dyDescent="0.2">
      <c r="DY43222" s="185" t="s">
        <v>215</v>
      </c>
    </row>
    <row r="43223" spans="129:129" x14ac:dyDescent="0.2">
      <c r="DY43223" s="185" t="s">
        <v>215</v>
      </c>
    </row>
    <row r="43224" spans="129:129" x14ac:dyDescent="0.2">
      <c r="DY43224" s="185" t="s">
        <v>215</v>
      </c>
    </row>
    <row r="43225" spans="129:129" x14ac:dyDescent="0.2">
      <c r="DY43225" s="185" t="s">
        <v>215</v>
      </c>
    </row>
    <row r="43226" spans="129:129" x14ac:dyDescent="0.2">
      <c r="DY43226" s="185" t="s">
        <v>215</v>
      </c>
    </row>
    <row r="43227" spans="129:129" x14ac:dyDescent="0.2">
      <c r="DY43227" s="185" t="s">
        <v>215</v>
      </c>
    </row>
    <row r="43228" spans="129:129" x14ac:dyDescent="0.2">
      <c r="DY43228" s="185" t="s">
        <v>215</v>
      </c>
    </row>
    <row r="43229" spans="129:129" x14ac:dyDescent="0.2">
      <c r="DY43229" s="185" t="s">
        <v>215</v>
      </c>
    </row>
    <row r="43230" spans="129:129" x14ac:dyDescent="0.2">
      <c r="DY43230" s="185" t="s">
        <v>215</v>
      </c>
    </row>
    <row r="43231" spans="129:129" x14ac:dyDescent="0.2">
      <c r="DY43231" s="185" t="s">
        <v>215</v>
      </c>
    </row>
    <row r="43232" spans="129:129" x14ac:dyDescent="0.2">
      <c r="DY43232" s="185" t="s">
        <v>215</v>
      </c>
    </row>
    <row r="43233" spans="129:129" x14ac:dyDescent="0.2">
      <c r="DY43233" s="185" t="s">
        <v>215</v>
      </c>
    </row>
    <row r="43234" spans="129:129" x14ac:dyDescent="0.2">
      <c r="DY43234" s="185" t="s">
        <v>215</v>
      </c>
    </row>
    <row r="43235" spans="129:129" x14ac:dyDescent="0.2">
      <c r="DY43235" s="185" t="s">
        <v>215</v>
      </c>
    </row>
    <row r="43236" spans="129:129" x14ac:dyDescent="0.2">
      <c r="DY43236" s="185" t="s">
        <v>215</v>
      </c>
    </row>
    <row r="43237" spans="129:129" x14ac:dyDescent="0.2">
      <c r="DY43237" s="185" t="s">
        <v>215</v>
      </c>
    </row>
    <row r="43238" spans="129:129" x14ac:dyDescent="0.2">
      <c r="DY43238" s="185" t="s">
        <v>215</v>
      </c>
    </row>
    <row r="43239" spans="129:129" x14ac:dyDescent="0.2">
      <c r="DY43239" s="185" t="s">
        <v>215</v>
      </c>
    </row>
    <row r="43240" spans="129:129" x14ac:dyDescent="0.2">
      <c r="DY43240" s="185" t="s">
        <v>215</v>
      </c>
    </row>
    <row r="43241" spans="129:129" x14ac:dyDescent="0.2">
      <c r="DY43241" s="185" t="s">
        <v>215</v>
      </c>
    </row>
    <row r="43242" spans="129:129" x14ac:dyDescent="0.2">
      <c r="DY43242" s="185" t="s">
        <v>215</v>
      </c>
    </row>
    <row r="43243" spans="129:129" x14ac:dyDescent="0.2">
      <c r="DY43243" s="185" t="s">
        <v>215</v>
      </c>
    </row>
    <row r="43244" spans="129:129" x14ac:dyDescent="0.2">
      <c r="DY43244" s="185" t="s">
        <v>215</v>
      </c>
    </row>
    <row r="43245" spans="129:129" x14ac:dyDescent="0.2">
      <c r="DY43245" s="185" t="s">
        <v>215</v>
      </c>
    </row>
    <row r="43246" spans="129:129" x14ac:dyDescent="0.2">
      <c r="DY43246" s="185" t="s">
        <v>215</v>
      </c>
    </row>
    <row r="43247" spans="129:129" x14ac:dyDescent="0.2">
      <c r="DY43247" s="185" t="s">
        <v>215</v>
      </c>
    </row>
    <row r="43248" spans="129:129" x14ac:dyDescent="0.2">
      <c r="DY43248" s="185" t="s">
        <v>215</v>
      </c>
    </row>
    <row r="43249" spans="129:129" x14ac:dyDescent="0.2">
      <c r="DY43249" s="185" t="s">
        <v>215</v>
      </c>
    </row>
    <row r="43250" spans="129:129" x14ac:dyDescent="0.2">
      <c r="DY43250" s="185" t="s">
        <v>215</v>
      </c>
    </row>
    <row r="43251" spans="129:129" x14ac:dyDescent="0.2">
      <c r="DY43251" s="185" t="s">
        <v>215</v>
      </c>
    </row>
    <row r="43252" spans="129:129" x14ac:dyDescent="0.2">
      <c r="DY43252" s="185" t="s">
        <v>215</v>
      </c>
    </row>
    <row r="43253" spans="129:129" x14ac:dyDescent="0.2">
      <c r="DY43253" s="185" t="s">
        <v>215</v>
      </c>
    </row>
    <row r="43254" spans="129:129" x14ac:dyDescent="0.2">
      <c r="DY43254" s="185" t="s">
        <v>215</v>
      </c>
    </row>
    <row r="43255" spans="129:129" x14ac:dyDescent="0.2">
      <c r="DY43255" s="185" t="s">
        <v>215</v>
      </c>
    </row>
    <row r="43256" spans="129:129" x14ac:dyDescent="0.2">
      <c r="DY43256" s="185" t="s">
        <v>215</v>
      </c>
    </row>
    <row r="43257" spans="129:129" x14ac:dyDescent="0.2">
      <c r="DY43257" s="185" t="s">
        <v>215</v>
      </c>
    </row>
    <row r="43258" spans="129:129" x14ac:dyDescent="0.2">
      <c r="DY43258" s="185" t="s">
        <v>215</v>
      </c>
    </row>
    <row r="43259" spans="129:129" x14ac:dyDescent="0.2">
      <c r="DY43259" s="185" t="s">
        <v>215</v>
      </c>
    </row>
    <row r="43260" spans="129:129" x14ac:dyDescent="0.2">
      <c r="DY43260" s="185" t="s">
        <v>215</v>
      </c>
    </row>
    <row r="43261" spans="129:129" x14ac:dyDescent="0.2">
      <c r="DY43261" s="185" t="s">
        <v>215</v>
      </c>
    </row>
    <row r="43262" spans="129:129" x14ac:dyDescent="0.2">
      <c r="DY43262" s="185" t="s">
        <v>215</v>
      </c>
    </row>
    <row r="43263" spans="129:129" x14ac:dyDescent="0.2">
      <c r="DY43263" s="185" t="s">
        <v>215</v>
      </c>
    </row>
    <row r="43264" spans="129:129" x14ac:dyDescent="0.2">
      <c r="DY43264" s="185" t="s">
        <v>215</v>
      </c>
    </row>
    <row r="43265" spans="129:129" x14ac:dyDescent="0.2">
      <c r="DY43265" s="185" t="s">
        <v>215</v>
      </c>
    </row>
    <row r="43266" spans="129:129" x14ac:dyDescent="0.2">
      <c r="DY43266" s="185" t="s">
        <v>215</v>
      </c>
    </row>
    <row r="43267" spans="129:129" x14ac:dyDescent="0.2">
      <c r="DY43267" s="185" t="s">
        <v>215</v>
      </c>
    </row>
    <row r="43268" spans="129:129" x14ac:dyDescent="0.2">
      <c r="DY43268" s="185" t="s">
        <v>215</v>
      </c>
    </row>
    <row r="43269" spans="129:129" x14ac:dyDescent="0.2">
      <c r="DY43269" s="185" t="s">
        <v>215</v>
      </c>
    </row>
    <row r="43270" spans="129:129" x14ac:dyDescent="0.2">
      <c r="DY43270" s="185" t="s">
        <v>215</v>
      </c>
    </row>
    <row r="43271" spans="129:129" x14ac:dyDescent="0.2">
      <c r="DY43271" s="185" t="s">
        <v>215</v>
      </c>
    </row>
    <row r="43272" spans="129:129" x14ac:dyDescent="0.2">
      <c r="DY43272" s="185" t="s">
        <v>215</v>
      </c>
    </row>
    <row r="43273" spans="129:129" x14ac:dyDescent="0.2">
      <c r="DY43273" s="185" t="s">
        <v>215</v>
      </c>
    </row>
    <row r="43274" spans="129:129" x14ac:dyDescent="0.2">
      <c r="DY43274" s="185" t="s">
        <v>215</v>
      </c>
    </row>
    <row r="43275" spans="129:129" x14ac:dyDescent="0.2">
      <c r="DY43275" s="185" t="s">
        <v>215</v>
      </c>
    </row>
    <row r="43276" spans="129:129" x14ac:dyDescent="0.2">
      <c r="DY43276" s="185" t="s">
        <v>215</v>
      </c>
    </row>
    <row r="43277" spans="129:129" x14ac:dyDescent="0.2">
      <c r="DY43277" s="185" t="s">
        <v>215</v>
      </c>
    </row>
    <row r="43278" spans="129:129" x14ac:dyDescent="0.2">
      <c r="DY43278" s="185" t="s">
        <v>215</v>
      </c>
    </row>
    <row r="43279" spans="129:129" x14ac:dyDescent="0.2">
      <c r="DY43279" s="185" t="s">
        <v>215</v>
      </c>
    </row>
    <row r="43280" spans="129:129" x14ac:dyDescent="0.2">
      <c r="DY43280" s="185" t="s">
        <v>215</v>
      </c>
    </row>
    <row r="43281" spans="129:129" x14ac:dyDescent="0.2">
      <c r="DY43281" s="185" t="s">
        <v>215</v>
      </c>
    </row>
    <row r="43282" spans="129:129" x14ac:dyDescent="0.2">
      <c r="DY43282" s="185" t="s">
        <v>215</v>
      </c>
    </row>
    <row r="43283" spans="129:129" x14ac:dyDescent="0.2">
      <c r="DY43283" s="185" t="s">
        <v>215</v>
      </c>
    </row>
    <row r="43284" spans="129:129" x14ac:dyDescent="0.2">
      <c r="DY43284" s="185" t="s">
        <v>215</v>
      </c>
    </row>
    <row r="43285" spans="129:129" x14ac:dyDescent="0.2">
      <c r="DY43285" s="185" t="s">
        <v>215</v>
      </c>
    </row>
    <row r="43286" spans="129:129" x14ac:dyDescent="0.2">
      <c r="DY43286" s="185" t="s">
        <v>215</v>
      </c>
    </row>
    <row r="43287" spans="129:129" x14ac:dyDescent="0.2">
      <c r="DY43287" s="185" t="s">
        <v>215</v>
      </c>
    </row>
    <row r="43288" spans="129:129" x14ac:dyDescent="0.2">
      <c r="DY43288" s="185" t="s">
        <v>215</v>
      </c>
    </row>
    <row r="43289" spans="129:129" x14ac:dyDescent="0.2">
      <c r="DY43289" s="185" t="s">
        <v>215</v>
      </c>
    </row>
    <row r="43290" spans="129:129" x14ac:dyDescent="0.2">
      <c r="DY43290" s="185" t="s">
        <v>215</v>
      </c>
    </row>
    <row r="43291" spans="129:129" x14ac:dyDescent="0.2">
      <c r="DY43291" s="185" t="s">
        <v>215</v>
      </c>
    </row>
    <row r="43292" spans="129:129" x14ac:dyDescent="0.2">
      <c r="DY43292" s="185" t="s">
        <v>215</v>
      </c>
    </row>
    <row r="43293" spans="129:129" x14ac:dyDescent="0.2">
      <c r="DY43293" s="185" t="s">
        <v>215</v>
      </c>
    </row>
    <row r="43294" spans="129:129" x14ac:dyDescent="0.2">
      <c r="DY43294" s="185" t="s">
        <v>215</v>
      </c>
    </row>
    <row r="43295" spans="129:129" x14ac:dyDescent="0.2">
      <c r="DY43295" s="185" t="s">
        <v>215</v>
      </c>
    </row>
    <row r="43296" spans="129:129" x14ac:dyDescent="0.2">
      <c r="DY43296" s="185" t="s">
        <v>215</v>
      </c>
    </row>
    <row r="43297" spans="129:129" x14ac:dyDescent="0.2">
      <c r="DY43297" s="185" t="s">
        <v>215</v>
      </c>
    </row>
    <row r="43298" spans="129:129" x14ac:dyDescent="0.2">
      <c r="DY43298" s="185" t="s">
        <v>215</v>
      </c>
    </row>
    <row r="43299" spans="129:129" x14ac:dyDescent="0.2">
      <c r="DY43299" s="185" t="s">
        <v>215</v>
      </c>
    </row>
    <row r="43300" spans="129:129" x14ac:dyDescent="0.2">
      <c r="DY43300" s="185" t="s">
        <v>215</v>
      </c>
    </row>
    <row r="43301" spans="129:129" x14ac:dyDescent="0.2">
      <c r="DY43301" s="185" t="s">
        <v>215</v>
      </c>
    </row>
    <row r="43302" spans="129:129" x14ac:dyDescent="0.2">
      <c r="DY43302" s="185" t="s">
        <v>215</v>
      </c>
    </row>
    <row r="43303" spans="129:129" x14ac:dyDescent="0.2">
      <c r="DY43303" s="185" t="s">
        <v>215</v>
      </c>
    </row>
    <row r="43304" spans="129:129" x14ac:dyDescent="0.2">
      <c r="DY43304" s="185" t="s">
        <v>215</v>
      </c>
    </row>
    <row r="43305" spans="129:129" x14ac:dyDescent="0.2">
      <c r="DY43305" s="185" t="s">
        <v>215</v>
      </c>
    </row>
    <row r="43306" spans="129:129" x14ac:dyDescent="0.2">
      <c r="DY43306" s="185" t="s">
        <v>215</v>
      </c>
    </row>
    <row r="43307" spans="129:129" x14ac:dyDescent="0.2">
      <c r="DY43307" s="185" t="s">
        <v>215</v>
      </c>
    </row>
    <row r="43308" spans="129:129" x14ac:dyDescent="0.2">
      <c r="DY43308" s="185" t="s">
        <v>215</v>
      </c>
    </row>
    <row r="43309" spans="129:129" x14ac:dyDescent="0.2">
      <c r="DY43309" s="185" t="s">
        <v>215</v>
      </c>
    </row>
    <row r="43310" spans="129:129" x14ac:dyDescent="0.2">
      <c r="DY43310" s="185" t="s">
        <v>215</v>
      </c>
    </row>
    <row r="43311" spans="129:129" x14ac:dyDescent="0.2">
      <c r="DY43311" s="185" t="s">
        <v>215</v>
      </c>
    </row>
    <row r="43312" spans="129:129" x14ac:dyDescent="0.2">
      <c r="DY43312" s="185" t="s">
        <v>215</v>
      </c>
    </row>
    <row r="43313" spans="129:129" x14ac:dyDescent="0.2">
      <c r="DY43313" s="185" t="s">
        <v>215</v>
      </c>
    </row>
    <row r="43314" spans="129:129" x14ac:dyDescent="0.2">
      <c r="DY43314" s="185" t="s">
        <v>215</v>
      </c>
    </row>
    <row r="43315" spans="129:129" x14ac:dyDescent="0.2">
      <c r="DY43315" s="185" t="s">
        <v>215</v>
      </c>
    </row>
    <row r="43316" spans="129:129" x14ac:dyDescent="0.2">
      <c r="DY43316" s="185" t="s">
        <v>215</v>
      </c>
    </row>
    <row r="43317" spans="129:129" x14ac:dyDescent="0.2">
      <c r="DY43317" s="185" t="s">
        <v>215</v>
      </c>
    </row>
    <row r="43318" spans="129:129" x14ac:dyDescent="0.2">
      <c r="DY43318" s="185" t="s">
        <v>215</v>
      </c>
    </row>
    <row r="43319" spans="129:129" x14ac:dyDescent="0.2">
      <c r="DY43319" s="185" t="s">
        <v>215</v>
      </c>
    </row>
    <row r="43320" spans="129:129" x14ac:dyDescent="0.2">
      <c r="DY43320" s="185" t="s">
        <v>215</v>
      </c>
    </row>
    <row r="43321" spans="129:129" x14ac:dyDescent="0.2">
      <c r="DY43321" s="185" t="s">
        <v>215</v>
      </c>
    </row>
    <row r="43322" spans="129:129" x14ac:dyDescent="0.2">
      <c r="DY43322" s="185" t="s">
        <v>215</v>
      </c>
    </row>
    <row r="43323" spans="129:129" x14ac:dyDescent="0.2">
      <c r="DY43323" s="185" t="s">
        <v>215</v>
      </c>
    </row>
    <row r="43324" spans="129:129" x14ac:dyDescent="0.2">
      <c r="DY43324" s="185" t="s">
        <v>215</v>
      </c>
    </row>
    <row r="43325" spans="129:129" x14ac:dyDescent="0.2">
      <c r="DY43325" s="185" t="s">
        <v>215</v>
      </c>
    </row>
    <row r="43326" spans="129:129" x14ac:dyDescent="0.2">
      <c r="DY43326" s="185" t="s">
        <v>215</v>
      </c>
    </row>
    <row r="43327" spans="129:129" x14ac:dyDescent="0.2">
      <c r="DY43327" s="185" t="s">
        <v>215</v>
      </c>
    </row>
    <row r="43328" spans="129:129" x14ac:dyDescent="0.2">
      <c r="DY43328" s="185" t="s">
        <v>215</v>
      </c>
    </row>
    <row r="43329" spans="129:129" x14ac:dyDescent="0.2">
      <c r="DY43329" s="185" t="s">
        <v>215</v>
      </c>
    </row>
    <row r="43330" spans="129:129" x14ac:dyDescent="0.2">
      <c r="DY43330" s="185" t="s">
        <v>215</v>
      </c>
    </row>
    <row r="43331" spans="129:129" x14ac:dyDescent="0.2">
      <c r="DY43331" s="185" t="s">
        <v>215</v>
      </c>
    </row>
    <row r="43332" spans="129:129" x14ac:dyDescent="0.2">
      <c r="DY43332" s="185" t="s">
        <v>215</v>
      </c>
    </row>
    <row r="43333" spans="129:129" x14ac:dyDescent="0.2">
      <c r="DY43333" s="185" t="s">
        <v>215</v>
      </c>
    </row>
    <row r="43334" spans="129:129" x14ac:dyDescent="0.2">
      <c r="DY43334" s="185" t="s">
        <v>215</v>
      </c>
    </row>
    <row r="43335" spans="129:129" x14ac:dyDescent="0.2">
      <c r="DY43335" s="185" t="s">
        <v>215</v>
      </c>
    </row>
    <row r="43336" spans="129:129" x14ac:dyDescent="0.2">
      <c r="DY43336" s="185" t="s">
        <v>215</v>
      </c>
    </row>
    <row r="43337" spans="129:129" x14ac:dyDescent="0.2">
      <c r="DY43337" s="185" t="s">
        <v>215</v>
      </c>
    </row>
    <row r="43338" spans="129:129" x14ac:dyDescent="0.2">
      <c r="DY43338" s="185" t="s">
        <v>215</v>
      </c>
    </row>
    <row r="43339" spans="129:129" x14ac:dyDescent="0.2">
      <c r="DY43339" s="185" t="s">
        <v>215</v>
      </c>
    </row>
    <row r="43340" spans="129:129" x14ac:dyDescent="0.2">
      <c r="DY43340" s="185" t="s">
        <v>215</v>
      </c>
    </row>
    <row r="43341" spans="129:129" x14ac:dyDescent="0.2">
      <c r="DY43341" s="185" t="s">
        <v>215</v>
      </c>
    </row>
    <row r="43342" spans="129:129" x14ac:dyDescent="0.2">
      <c r="DY43342" s="185" t="s">
        <v>215</v>
      </c>
    </row>
    <row r="43343" spans="129:129" x14ac:dyDescent="0.2">
      <c r="DY43343" s="185" t="s">
        <v>215</v>
      </c>
    </row>
    <row r="43344" spans="129:129" x14ac:dyDescent="0.2">
      <c r="DY43344" s="185" t="s">
        <v>215</v>
      </c>
    </row>
    <row r="43345" spans="129:129" x14ac:dyDescent="0.2">
      <c r="DY43345" s="185" t="s">
        <v>215</v>
      </c>
    </row>
    <row r="43346" spans="129:129" x14ac:dyDescent="0.2">
      <c r="DY43346" s="185" t="s">
        <v>215</v>
      </c>
    </row>
    <row r="43347" spans="129:129" x14ac:dyDescent="0.2">
      <c r="DY43347" s="185" t="s">
        <v>215</v>
      </c>
    </row>
    <row r="43348" spans="129:129" x14ac:dyDescent="0.2">
      <c r="DY43348" s="185" t="s">
        <v>215</v>
      </c>
    </row>
    <row r="43349" spans="129:129" x14ac:dyDescent="0.2">
      <c r="DY43349" s="185" t="s">
        <v>215</v>
      </c>
    </row>
    <row r="43350" spans="129:129" x14ac:dyDescent="0.2">
      <c r="DY43350" s="185" t="s">
        <v>215</v>
      </c>
    </row>
    <row r="43351" spans="129:129" x14ac:dyDescent="0.2">
      <c r="DY43351" s="185" t="s">
        <v>215</v>
      </c>
    </row>
    <row r="43352" spans="129:129" x14ac:dyDescent="0.2">
      <c r="DY43352" s="185" t="s">
        <v>215</v>
      </c>
    </row>
    <row r="43353" spans="129:129" x14ac:dyDescent="0.2">
      <c r="DY43353" s="185" t="s">
        <v>215</v>
      </c>
    </row>
    <row r="43354" spans="129:129" x14ac:dyDescent="0.2">
      <c r="DY43354" s="185" t="s">
        <v>215</v>
      </c>
    </row>
    <row r="43355" spans="129:129" x14ac:dyDescent="0.2">
      <c r="DY43355" s="185" t="s">
        <v>215</v>
      </c>
    </row>
    <row r="43356" spans="129:129" x14ac:dyDescent="0.2">
      <c r="DY43356" s="185" t="s">
        <v>215</v>
      </c>
    </row>
    <row r="43357" spans="129:129" x14ac:dyDescent="0.2">
      <c r="DY43357" s="185" t="s">
        <v>215</v>
      </c>
    </row>
    <row r="43358" spans="129:129" x14ac:dyDescent="0.2">
      <c r="DY43358" s="185" t="s">
        <v>215</v>
      </c>
    </row>
    <row r="43359" spans="129:129" x14ac:dyDescent="0.2">
      <c r="DY43359" s="185" t="s">
        <v>215</v>
      </c>
    </row>
    <row r="43360" spans="129:129" x14ac:dyDescent="0.2">
      <c r="DY43360" s="185" t="s">
        <v>215</v>
      </c>
    </row>
    <row r="43361" spans="129:129" x14ac:dyDescent="0.2">
      <c r="DY43361" s="185" t="s">
        <v>215</v>
      </c>
    </row>
    <row r="43362" spans="129:129" x14ac:dyDescent="0.2">
      <c r="DY43362" s="185" t="s">
        <v>215</v>
      </c>
    </row>
    <row r="43363" spans="129:129" x14ac:dyDescent="0.2">
      <c r="DY43363" s="185" t="s">
        <v>215</v>
      </c>
    </row>
    <row r="43364" spans="129:129" x14ac:dyDescent="0.2">
      <c r="DY43364" s="185" t="s">
        <v>215</v>
      </c>
    </row>
    <row r="43365" spans="129:129" x14ac:dyDescent="0.2">
      <c r="DY43365" s="185" t="s">
        <v>215</v>
      </c>
    </row>
    <row r="43366" spans="129:129" x14ac:dyDescent="0.2">
      <c r="DY43366" s="185" t="s">
        <v>215</v>
      </c>
    </row>
    <row r="43367" spans="129:129" x14ac:dyDescent="0.2">
      <c r="DY43367" s="185" t="s">
        <v>215</v>
      </c>
    </row>
    <row r="43368" spans="129:129" x14ac:dyDescent="0.2">
      <c r="DY43368" s="185" t="s">
        <v>215</v>
      </c>
    </row>
    <row r="43369" spans="129:129" x14ac:dyDescent="0.2">
      <c r="DY43369" s="185" t="s">
        <v>215</v>
      </c>
    </row>
    <row r="43370" spans="129:129" x14ac:dyDescent="0.2">
      <c r="DY43370" s="185" t="s">
        <v>215</v>
      </c>
    </row>
    <row r="43371" spans="129:129" x14ac:dyDescent="0.2">
      <c r="DY43371" s="185" t="s">
        <v>215</v>
      </c>
    </row>
    <row r="43372" spans="129:129" x14ac:dyDescent="0.2">
      <c r="DY43372" s="185" t="s">
        <v>215</v>
      </c>
    </row>
    <row r="43373" spans="129:129" x14ac:dyDescent="0.2">
      <c r="DY43373" s="185" t="s">
        <v>215</v>
      </c>
    </row>
    <row r="43374" spans="129:129" x14ac:dyDescent="0.2">
      <c r="DY43374" s="185" t="s">
        <v>215</v>
      </c>
    </row>
    <row r="43375" spans="129:129" x14ac:dyDescent="0.2">
      <c r="DY43375" s="185" t="s">
        <v>215</v>
      </c>
    </row>
    <row r="43376" spans="129:129" x14ac:dyDescent="0.2">
      <c r="DY43376" s="185" t="s">
        <v>215</v>
      </c>
    </row>
    <row r="43377" spans="129:129" x14ac:dyDescent="0.2">
      <c r="DY43377" s="185" t="s">
        <v>215</v>
      </c>
    </row>
    <row r="43378" spans="129:129" x14ac:dyDescent="0.2">
      <c r="DY43378" s="185" t="s">
        <v>215</v>
      </c>
    </row>
    <row r="43379" spans="129:129" x14ac:dyDescent="0.2">
      <c r="DY43379" s="185" t="s">
        <v>215</v>
      </c>
    </row>
    <row r="43380" spans="129:129" x14ac:dyDescent="0.2">
      <c r="DY43380" s="185" t="s">
        <v>215</v>
      </c>
    </row>
    <row r="43381" spans="129:129" x14ac:dyDescent="0.2">
      <c r="DY43381" s="185" t="s">
        <v>215</v>
      </c>
    </row>
    <row r="43382" spans="129:129" x14ac:dyDescent="0.2">
      <c r="DY43382" s="185" t="s">
        <v>215</v>
      </c>
    </row>
    <row r="43383" spans="129:129" x14ac:dyDescent="0.2">
      <c r="DY43383" s="185" t="s">
        <v>215</v>
      </c>
    </row>
    <row r="43384" spans="129:129" x14ac:dyDescent="0.2">
      <c r="DY43384" s="185" t="s">
        <v>215</v>
      </c>
    </row>
    <row r="43385" spans="129:129" x14ac:dyDescent="0.2">
      <c r="DY43385" s="185" t="s">
        <v>215</v>
      </c>
    </row>
    <row r="43386" spans="129:129" x14ac:dyDescent="0.2">
      <c r="DY43386" s="185" t="s">
        <v>215</v>
      </c>
    </row>
    <row r="43387" spans="129:129" x14ac:dyDescent="0.2">
      <c r="DY43387" s="185" t="s">
        <v>215</v>
      </c>
    </row>
    <row r="43388" spans="129:129" x14ac:dyDescent="0.2">
      <c r="DY43388" s="185" t="s">
        <v>215</v>
      </c>
    </row>
    <row r="43389" spans="129:129" x14ac:dyDescent="0.2">
      <c r="DY43389" s="185" t="s">
        <v>215</v>
      </c>
    </row>
    <row r="43390" spans="129:129" x14ac:dyDescent="0.2">
      <c r="DY43390" s="185" t="s">
        <v>215</v>
      </c>
    </row>
    <row r="43391" spans="129:129" x14ac:dyDescent="0.2">
      <c r="DY43391" s="185" t="s">
        <v>215</v>
      </c>
    </row>
    <row r="43392" spans="129:129" x14ac:dyDescent="0.2">
      <c r="DY43392" s="185" t="s">
        <v>215</v>
      </c>
    </row>
    <row r="43393" spans="129:129" x14ac:dyDescent="0.2">
      <c r="DY43393" s="185" t="s">
        <v>215</v>
      </c>
    </row>
    <row r="43394" spans="129:129" x14ac:dyDescent="0.2">
      <c r="DY43394" s="185" t="s">
        <v>215</v>
      </c>
    </row>
    <row r="43395" spans="129:129" x14ac:dyDescent="0.2">
      <c r="DY43395" s="185" t="s">
        <v>215</v>
      </c>
    </row>
    <row r="43396" spans="129:129" x14ac:dyDescent="0.2">
      <c r="DY43396" s="185" t="s">
        <v>215</v>
      </c>
    </row>
    <row r="43397" spans="129:129" x14ac:dyDescent="0.2">
      <c r="DY43397" s="185" t="s">
        <v>215</v>
      </c>
    </row>
    <row r="43398" spans="129:129" x14ac:dyDescent="0.2">
      <c r="DY43398" s="185" t="s">
        <v>215</v>
      </c>
    </row>
    <row r="43399" spans="129:129" x14ac:dyDescent="0.2">
      <c r="DY43399" s="185" t="s">
        <v>215</v>
      </c>
    </row>
    <row r="43400" spans="129:129" x14ac:dyDescent="0.2">
      <c r="DY43400" s="185" t="s">
        <v>215</v>
      </c>
    </row>
    <row r="43401" spans="129:129" x14ac:dyDescent="0.2">
      <c r="DY43401" s="185" t="s">
        <v>215</v>
      </c>
    </row>
    <row r="43402" spans="129:129" x14ac:dyDescent="0.2">
      <c r="DY43402" s="185" t="s">
        <v>215</v>
      </c>
    </row>
    <row r="43403" spans="129:129" x14ac:dyDescent="0.2">
      <c r="DY43403" s="185" t="s">
        <v>215</v>
      </c>
    </row>
    <row r="43404" spans="129:129" x14ac:dyDescent="0.2">
      <c r="DY43404" s="185" t="s">
        <v>215</v>
      </c>
    </row>
    <row r="43405" spans="129:129" x14ac:dyDescent="0.2">
      <c r="DY43405" s="185" t="s">
        <v>215</v>
      </c>
    </row>
    <row r="43406" spans="129:129" x14ac:dyDescent="0.2">
      <c r="DY43406" s="185" t="s">
        <v>215</v>
      </c>
    </row>
    <row r="43407" spans="129:129" x14ac:dyDescent="0.2">
      <c r="DY43407" s="185" t="s">
        <v>215</v>
      </c>
    </row>
    <row r="43408" spans="129:129" x14ac:dyDescent="0.2">
      <c r="DY43408" s="185" t="s">
        <v>215</v>
      </c>
    </row>
    <row r="43409" spans="129:129" x14ac:dyDescent="0.2">
      <c r="DY43409" s="185" t="s">
        <v>215</v>
      </c>
    </row>
    <row r="43410" spans="129:129" x14ac:dyDescent="0.2">
      <c r="DY43410" s="185" t="s">
        <v>215</v>
      </c>
    </row>
    <row r="43411" spans="129:129" x14ac:dyDescent="0.2">
      <c r="DY43411" s="185" t="s">
        <v>215</v>
      </c>
    </row>
    <row r="43412" spans="129:129" x14ac:dyDescent="0.2">
      <c r="DY43412" s="185" t="s">
        <v>215</v>
      </c>
    </row>
    <row r="43413" spans="129:129" x14ac:dyDescent="0.2">
      <c r="DY43413" s="185" t="s">
        <v>215</v>
      </c>
    </row>
    <row r="43414" spans="129:129" x14ac:dyDescent="0.2">
      <c r="DY43414" s="185" t="s">
        <v>215</v>
      </c>
    </row>
    <row r="43415" spans="129:129" x14ac:dyDescent="0.2">
      <c r="DY43415" s="185" t="s">
        <v>215</v>
      </c>
    </row>
    <row r="43416" spans="129:129" x14ac:dyDescent="0.2">
      <c r="DY43416" s="185" t="s">
        <v>215</v>
      </c>
    </row>
    <row r="43417" spans="129:129" x14ac:dyDescent="0.2">
      <c r="DY43417" s="185" t="s">
        <v>215</v>
      </c>
    </row>
    <row r="43418" spans="129:129" x14ac:dyDescent="0.2">
      <c r="DY43418" s="185" t="s">
        <v>215</v>
      </c>
    </row>
    <row r="43419" spans="129:129" x14ac:dyDescent="0.2">
      <c r="DY43419" s="185" t="s">
        <v>215</v>
      </c>
    </row>
    <row r="43420" spans="129:129" x14ac:dyDescent="0.2">
      <c r="DY43420" s="185" t="s">
        <v>215</v>
      </c>
    </row>
    <row r="43421" spans="129:129" x14ac:dyDescent="0.2">
      <c r="DY43421" s="185" t="s">
        <v>215</v>
      </c>
    </row>
    <row r="43422" spans="129:129" x14ac:dyDescent="0.2">
      <c r="DY43422" s="185" t="s">
        <v>215</v>
      </c>
    </row>
    <row r="43423" spans="129:129" x14ac:dyDescent="0.2">
      <c r="DY43423" s="185" t="s">
        <v>215</v>
      </c>
    </row>
    <row r="43424" spans="129:129" x14ac:dyDescent="0.2">
      <c r="DY43424" s="185" t="s">
        <v>215</v>
      </c>
    </row>
    <row r="43425" spans="129:129" x14ac:dyDescent="0.2">
      <c r="DY43425" s="185" t="s">
        <v>215</v>
      </c>
    </row>
    <row r="43426" spans="129:129" x14ac:dyDescent="0.2">
      <c r="DY43426" s="185" t="s">
        <v>215</v>
      </c>
    </row>
    <row r="43427" spans="129:129" x14ac:dyDescent="0.2">
      <c r="DY43427" s="185" t="s">
        <v>215</v>
      </c>
    </row>
    <row r="43428" spans="129:129" x14ac:dyDescent="0.2">
      <c r="DY43428" s="185" t="s">
        <v>215</v>
      </c>
    </row>
    <row r="43429" spans="129:129" x14ac:dyDescent="0.2">
      <c r="DY43429" s="185" t="s">
        <v>215</v>
      </c>
    </row>
    <row r="43430" spans="129:129" x14ac:dyDescent="0.2">
      <c r="DY43430" s="185" t="s">
        <v>215</v>
      </c>
    </row>
    <row r="43431" spans="129:129" x14ac:dyDescent="0.2">
      <c r="DY43431" s="185" t="s">
        <v>215</v>
      </c>
    </row>
    <row r="43432" spans="129:129" x14ac:dyDescent="0.2">
      <c r="DY43432" s="185" t="s">
        <v>215</v>
      </c>
    </row>
    <row r="43433" spans="129:129" x14ac:dyDescent="0.2">
      <c r="DY43433" s="185" t="s">
        <v>215</v>
      </c>
    </row>
    <row r="43434" spans="129:129" x14ac:dyDescent="0.2">
      <c r="DY43434" s="185" t="s">
        <v>215</v>
      </c>
    </row>
    <row r="43435" spans="129:129" x14ac:dyDescent="0.2">
      <c r="DY43435" s="185" t="s">
        <v>215</v>
      </c>
    </row>
    <row r="43436" spans="129:129" x14ac:dyDescent="0.2">
      <c r="DY43436" s="185" t="s">
        <v>215</v>
      </c>
    </row>
    <row r="43437" spans="129:129" x14ac:dyDescent="0.2">
      <c r="DY43437" s="185" t="s">
        <v>215</v>
      </c>
    </row>
    <row r="43438" spans="129:129" x14ac:dyDescent="0.2">
      <c r="DY43438" s="185" t="s">
        <v>215</v>
      </c>
    </row>
    <row r="43439" spans="129:129" x14ac:dyDescent="0.2">
      <c r="DY43439" s="185" t="s">
        <v>215</v>
      </c>
    </row>
    <row r="43440" spans="129:129" x14ac:dyDescent="0.2">
      <c r="DY43440" s="185" t="s">
        <v>215</v>
      </c>
    </row>
    <row r="43441" spans="129:129" x14ac:dyDescent="0.2">
      <c r="DY43441" s="185" t="s">
        <v>215</v>
      </c>
    </row>
    <row r="43442" spans="129:129" x14ac:dyDescent="0.2">
      <c r="DY43442" s="185" t="s">
        <v>215</v>
      </c>
    </row>
    <row r="43443" spans="129:129" x14ac:dyDescent="0.2">
      <c r="DY43443" s="185" t="s">
        <v>215</v>
      </c>
    </row>
    <row r="43444" spans="129:129" x14ac:dyDescent="0.2">
      <c r="DY43444" s="185" t="s">
        <v>215</v>
      </c>
    </row>
    <row r="43445" spans="129:129" x14ac:dyDescent="0.2">
      <c r="DY43445" s="185" t="s">
        <v>215</v>
      </c>
    </row>
    <row r="43446" spans="129:129" x14ac:dyDescent="0.2">
      <c r="DY43446" s="185" t="s">
        <v>215</v>
      </c>
    </row>
    <row r="43447" spans="129:129" x14ac:dyDescent="0.2">
      <c r="DY43447" s="185" t="s">
        <v>215</v>
      </c>
    </row>
    <row r="43448" spans="129:129" x14ac:dyDescent="0.2">
      <c r="DY43448" s="185" t="s">
        <v>215</v>
      </c>
    </row>
    <row r="43449" spans="129:129" x14ac:dyDescent="0.2">
      <c r="DY43449" s="185" t="s">
        <v>215</v>
      </c>
    </row>
    <row r="43450" spans="129:129" x14ac:dyDescent="0.2">
      <c r="DY43450" s="185" t="s">
        <v>215</v>
      </c>
    </row>
    <row r="43451" spans="129:129" x14ac:dyDescent="0.2">
      <c r="DY43451" s="185" t="s">
        <v>215</v>
      </c>
    </row>
    <row r="43452" spans="129:129" x14ac:dyDescent="0.2">
      <c r="DY43452" s="185" t="s">
        <v>215</v>
      </c>
    </row>
    <row r="43453" spans="129:129" x14ac:dyDescent="0.2">
      <c r="DY43453" s="185" t="s">
        <v>215</v>
      </c>
    </row>
    <row r="43454" spans="129:129" x14ac:dyDescent="0.2">
      <c r="DY43454" s="185" t="s">
        <v>215</v>
      </c>
    </row>
    <row r="43455" spans="129:129" x14ac:dyDescent="0.2">
      <c r="DY43455" s="185" t="s">
        <v>215</v>
      </c>
    </row>
    <row r="43456" spans="129:129" x14ac:dyDescent="0.2">
      <c r="DY43456" s="185" t="s">
        <v>215</v>
      </c>
    </row>
    <row r="43457" spans="129:129" x14ac:dyDescent="0.2">
      <c r="DY43457" s="185" t="s">
        <v>215</v>
      </c>
    </row>
    <row r="43458" spans="129:129" x14ac:dyDescent="0.2">
      <c r="DY43458" s="185" t="s">
        <v>215</v>
      </c>
    </row>
    <row r="43459" spans="129:129" x14ac:dyDescent="0.2">
      <c r="DY43459" s="185" t="s">
        <v>215</v>
      </c>
    </row>
    <row r="43460" spans="129:129" x14ac:dyDescent="0.2">
      <c r="DY43460" s="185" t="s">
        <v>215</v>
      </c>
    </row>
    <row r="43461" spans="129:129" x14ac:dyDescent="0.2">
      <c r="DY43461" s="185" t="s">
        <v>215</v>
      </c>
    </row>
    <row r="43462" spans="129:129" x14ac:dyDescent="0.2">
      <c r="DY43462" s="185" t="s">
        <v>215</v>
      </c>
    </row>
    <row r="43463" spans="129:129" x14ac:dyDescent="0.2">
      <c r="DY43463" s="185" t="s">
        <v>215</v>
      </c>
    </row>
    <row r="43464" spans="129:129" x14ac:dyDescent="0.2">
      <c r="DY43464" s="185" t="s">
        <v>215</v>
      </c>
    </row>
    <row r="43465" spans="129:129" x14ac:dyDescent="0.2">
      <c r="DY43465" s="185" t="s">
        <v>215</v>
      </c>
    </row>
    <row r="43466" spans="129:129" x14ac:dyDescent="0.2">
      <c r="DY43466" s="185" t="s">
        <v>215</v>
      </c>
    </row>
    <row r="43467" spans="129:129" x14ac:dyDescent="0.2">
      <c r="DY43467" s="185" t="s">
        <v>215</v>
      </c>
    </row>
    <row r="43468" spans="129:129" x14ac:dyDescent="0.2">
      <c r="DY43468" s="185" t="s">
        <v>215</v>
      </c>
    </row>
    <row r="43469" spans="129:129" x14ac:dyDescent="0.2">
      <c r="DY43469" s="185" t="s">
        <v>215</v>
      </c>
    </row>
    <row r="43470" spans="129:129" x14ac:dyDescent="0.2">
      <c r="DY43470" s="185" t="s">
        <v>215</v>
      </c>
    </row>
    <row r="43471" spans="129:129" x14ac:dyDescent="0.2">
      <c r="DY43471" s="185" t="s">
        <v>215</v>
      </c>
    </row>
    <row r="43472" spans="129:129" x14ac:dyDescent="0.2">
      <c r="DY43472" s="185" t="s">
        <v>215</v>
      </c>
    </row>
    <row r="43473" spans="129:129" x14ac:dyDescent="0.2">
      <c r="DY43473" s="185" t="s">
        <v>215</v>
      </c>
    </row>
    <row r="43474" spans="129:129" x14ac:dyDescent="0.2">
      <c r="DY43474" s="185" t="s">
        <v>215</v>
      </c>
    </row>
    <row r="43475" spans="129:129" x14ac:dyDescent="0.2">
      <c r="DY43475" s="185" t="s">
        <v>215</v>
      </c>
    </row>
    <row r="43476" spans="129:129" x14ac:dyDescent="0.2">
      <c r="DY43476" s="185" t="s">
        <v>215</v>
      </c>
    </row>
    <row r="43477" spans="129:129" x14ac:dyDescent="0.2">
      <c r="DY43477" s="185" t="s">
        <v>215</v>
      </c>
    </row>
    <row r="43478" spans="129:129" x14ac:dyDescent="0.2">
      <c r="DY43478" s="185" t="s">
        <v>215</v>
      </c>
    </row>
    <row r="43479" spans="129:129" x14ac:dyDescent="0.2">
      <c r="DY43479" s="185" t="s">
        <v>215</v>
      </c>
    </row>
    <row r="43480" spans="129:129" x14ac:dyDescent="0.2">
      <c r="DY43480" s="185" t="s">
        <v>215</v>
      </c>
    </row>
    <row r="43481" spans="129:129" x14ac:dyDescent="0.2">
      <c r="DY43481" s="185" t="s">
        <v>215</v>
      </c>
    </row>
    <row r="43482" spans="129:129" x14ac:dyDescent="0.2">
      <c r="DY43482" s="185" t="s">
        <v>215</v>
      </c>
    </row>
    <row r="43483" spans="129:129" x14ac:dyDescent="0.2">
      <c r="DY43483" s="185" t="s">
        <v>215</v>
      </c>
    </row>
    <row r="43484" spans="129:129" x14ac:dyDescent="0.2">
      <c r="DY43484" s="185" t="s">
        <v>215</v>
      </c>
    </row>
    <row r="43485" spans="129:129" x14ac:dyDescent="0.2">
      <c r="DY43485" s="185" t="s">
        <v>215</v>
      </c>
    </row>
    <row r="43486" spans="129:129" x14ac:dyDescent="0.2">
      <c r="DY43486" s="185" t="s">
        <v>215</v>
      </c>
    </row>
    <row r="43487" spans="129:129" x14ac:dyDescent="0.2">
      <c r="DY43487" s="185" t="s">
        <v>215</v>
      </c>
    </row>
    <row r="43488" spans="129:129" x14ac:dyDescent="0.2">
      <c r="DY43488" s="185" t="s">
        <v>215</v>
      </c>
    </row>
    <row r="43489" spans="129:129" x14ac:dyDescent="0.2">
      <c r="DY43489" s="185" t="s">
        <v>215</v>
      </c>
    </row>
    <row r="43490" spans="129:129" x14ac:dyDescent="0.2">
      <c r="DY43490" s="185" t="s">
        <v>215</v>
      </c>
    </row>
    <row r="43491" spans="129:129" x14ac:dyDescent="0.2">
      <c r="DY43491" s="185" t="s">
        <v>215</v>
      </c>
    </row>
    <row r="43492" spans="129:129" x14ac:dyDescent="0.2">
      <c r="DY43492" s="185" t="s">
        <v>215</v>
      </c>
    </row>
    <row r="43493" spans="129:129" x14ac:dyDescent="0.2">
      <c r="DY43493" s="185" t="s">
        <v>215</v>
      </c>
    </row>
    <row r="43494" spans="129:129" x14ac:dyDescent="0.2">
      <c r="DY43494" s="185" t="s">
        <v>215</v>
      </c>
    </row>
    <row r="43495" spans="129:129" x14ac:dyDescent="0.2">
      <c r="DY43495" s="185" t="s">
        <v>215</v>
      </c>
    </row>
    <row r="43496" spans="129:129" x14ac:dyDescent="0.2">
      <c r="DY43496" s="185" t="s">
        <v>215</v>
      </c>
    </row>
    <row r="43497" spans="129:129" x14ac:dyDescent="0.2">
      <c r="DY43497" s="185" t="s">
        <v>215</v>
      </c>
    </row>
    <row r="43498" spans="129:129" x14ac:dyDescent="0.2">
      <c r="DY43498" s="185" t="s">
        <v>215</v>
      </c>
    </row>
    <row r="43499" spans="129:129" x14ac:dyDescent="0.2">
      <c r="DY43499" s="185" t="s">
        <v>215</v>
      </c>
    </row>
    <row r="43500" spans="129:129" x14ac:dyDescent="0.2">
      <c r="DY43500" s="185" t="s">
        <v>215</v>
      </c>
    </row>
    <row r="43501" spans="129:129" x14ac:dyDescent="0.2">
      <c r="DY43501" s="185" t="s">
        <v>215</v>
      </c>
    </row>
    <row r="43502" spans="129:129" x14ac:dyDescent="0.2">
      <c r="DY43502" s="185" t="s">
        <v>215</v>
      </c>
    </row>
    <row r="43503" spans="129:129" x14ac:dyDescent="0.2">
      <c r="DY43503" s="185" t="s">
        <v>215</v>
      </c>
    </row>
    <row r="43504" spans="129:129" x14ac:dyDescent="0.2">
      <c r="DY43504" s="185" t="s">
        <v>215</v>
      </c>
    </row>
    <row r="43505" spans="129:129" x14ac:dyDescent="0.2">
      <c r="DY43505" s="185" t="s">
        <v>215</v>
      </c>
    </row>
    <row r="43506" spans="129:129" x14ac:dyDescent="0.2">
      <c r="DY43506" s="185" t="s">
        <v>215</v>
      </c>
    </row>
    <row r="43507" spans="129:129" x14ac:dyDescent="0.2">
      <c r="DY43507" s="185" t="s">
        <v>215</v>
      </c>
    </row>
    <row r="43508" spans="129:129" x14ac:dyDescent="0.2">
      <c r="DY43508" s="185" t="s">
        <v>215</v>
      </c>
    </row>
    <row r="43509" spans="129:129" x14ac:dyDescent="0.2">
      <c r="DY43509" s="185" t="s">
        <v>215</v>
      </c>
    </row>
    <row r="43510" spans="129:129" x14ac:dyDescent="0.2">
      <c r="DY43510" s="185" t="s">
        <v>215</v>
      </c>
    </row>
    <row r="43511" spans="129:129" x14ac:dyDescent="0.2">
      <c r="DY43511" s="185" t="s">
        <v>215</v>
      </c>
    </row>
    <row r="43512" spans="129:129" x14ac:dyDescent="0.2">
      <c r="DY43512" s="185" t="s">
        <v>215</v>
      </c>
    </row>
    <row r="43513" spans="129:129" x14ac:dyDescent="0.2">
      <c r="DY43513" s="185" t="s">
        <v>215</v>
      </c>
    </row>
    <row r="43514" spans="129:129" x14ac:dyDescent="0.2">
      <c r="DY43514" s="185" t="s">
        <v>215</v>
      </c>
    </row>
    <row r="43515" spans="129:129" x14ac:dyDescent="0.2">
      <c r="DY43515" s="185" t="s">
        <v>215</v>
      </c>
    </row>
    <row r="43516" spans="129:129" x14ac:dyDescent="0.2">
      <c r="DY43516" s="185" t="s">
        <v>215</v>
      </c>
    </row>
    <row r="43517" spans="129:129" x14ac:dyDescent="0.2">
      <c r="DY43517" s="185" t="s">
        <v>215</v>
      </c>
    </row>
    <row r="43518" spans="129:129" x14ac:dyDescent="0.2">
      <c r="DY43518" s="185" t="s">
        <v>215</v>
      </c>
    </row>
    <row r="43519" spans="129:129" x14ac:dyDescent="0.2">
      <c r="DY43519" s="185" t="s">
        <v>215</v>
      </c>
    </row>
    <row r="43520" spans="129:129" x14ac:dyDescent="0.2">
      <c r="DY43520" s="185" t="s">
        <v>215</v>
      </c>
    </row>
    <row r="43521" spans="129:129" x14ac:dyDescent="0.2">
      <c r="DY43521" s="185" t="s">
        <v>215</v>
      </c>
    </row>
    <row r="43522" spans="129:129" x14ac:dyDescent="0.2">
      <c r="DY43522" s="185" t="s">
        <v>215</v>
      </c>
    </row>
    <row r="43523" spans="129:129" x14ac:dyDescent="0.2">
      <c r="DY43523" s="185" t="s">
        <v>215</v>
      </c>
    </row>
    <row r="43524" spans="129:129" x14ac:dyDescent="0.2">
      <c r="DY43524" s="185" t="s">
        <v>215</v>
      </c>
    </row>
    <row r="43525" spans="129:129" x14ac:dyDescent="0.2">
      <c r="DY43525" s="185" t="s">
        <v>215</v>
      </c>
    </row>
    <row r="43526" spans="129:129" x14ac:dyDescent="0.2">
      <c r="DY43526" s="185" t="s">
        <v>215</v>
      </c>
    </row>
    <row r="43527" spans="129:129" x14ac:dyDescent="0.2">
      <c r="DY43527" s="185" t="s">
        <v>215</v>
      </c>
    </row>
    <row r="43528" spans="129:129" x14ac:dyDescent="0.2">
      <c r="DY43528" s="185" t="s">
        <v>215</v>
      </c>
    </row>
    <row r="43529" spans="129:129" x14ac:dyDescent="0.2">
      <c r="DY43529" s="185" t="s">
        <v>215</v>
      </c>
    </row>
    <row r="43530" spans="129:129" x14ac:dyDescent="0.2">
      <c r="DY43530" s="185" t="s">
        <v>215</v>
      </c>
    </row>
    <row r="43531" spans="129:129" x14ac:dyDescent="0.2">
      <c r="DY43531" s="185" t="s">
        <v>215</v>
      </c>
    </row>
    <row r="43532" spans="129:129" x14ac:dyDescent="0.2">
      <c r="DY43532" s="185" t="s">
        <v>215</v>
      </c>
    </row>
    <row r="43533" spans="129:129" x14ac:dyDescent="0.2">
      <c r="DY43533" s="185" t="s">
        <v>215</v>
      </c>
    </row>
    <row r="43534" spans="129:129" x14ac:dyDescent="0.2">
      <c r="DY43534" s="185" t="s">
        <v>215</v>
      </c>
    </row>
    <row r="43535" spans="129:129" x14ac:dyDescent="0.2">
      <c r="DY43535" s="185" t="s">
        <v>215</v>
      </c>
    </row>
    <row r="43536" spans="129:129" x14ac:dyDescent="0.2">
      <c r="DY43536" s="185" t="s">
        <v>215</v>
      </c>
    </row>
    <row r="43537" spans="129:129" x14ac:dyDescent="0.2">
      <c r="DY43537" s="185" t="s">
        <v>215</v>
      </c>
    </row>
    <row r="43538" spans="129:129" x14ac:dyDescent="0.2">
      <c r="DY43538" s="185" t="s">
        <v>215</v>
      </c>
    </row>
    <row r="43539" spans="129:129" x14ac:dyDescent="0.2">
      <c r="DY43539" s="185" t="s">
        <v>215</v>
      </c>
    </row>
    <row r="43540" spans="129:129" x14ac:dyDescent="0.2">
      <c r="DY43540" s="185" t="s">
        <v>215</v>
      </c>
    </row>
    <row r="43541" spans="129:129" x14ac:dyDescent="0.2">
      <c r="DY43541" s="185" t="s">
        <v>215</v>
      </c>
    </row>
    <row r="43542" spans="129:129" x14ac:dyDescent="0.2">
      <c r="DY43542" s="185" t="s">
        <v>215</v>
      </c>
    </row>
    <row r="43543" spans="129:129" x14ac:dyDescent="0.2">
      <c r="DY43543" s="185" t="s">
        <v>215</v>
      </c>
    </row>
    <row r="43544" spans="129:129" x14ac:dyDescent="0.2">
      <c r="DY43544" s="185" t="s">
        <v>215</v>
      </c>
    </row>
    <row r="43545" spans="129:129" x14ac:dyDescent="0.2">
      <c r="DY43545" s="185" t="s">
        <v>215</v>
      </c>
    </row>
    <row r="43546" spans="129:129" x14ac:dyDescent="0.2">
      <c r="DY43546" s="185" t="s">
        <v>215</v>
      </c>
    </row>
    <row r="43547" spans="129:129" x14ac:dyDescent="0.2">
      <c r="DY43547" s="185" t="s">
        <v>215</v>
      </c>
    </row>
    <row r="43548" spans="129:129" x14ac:dyDescent="0.2">
      <c r="DY43548" s="185" t="s">
        <v>215</v>
      </c>
    </row>
    <row r="43549" spans="129:129" x14ac:dyDescent="0.2">
      <c r="DY43549" s="185" t="s">
        <v>215</v>
      </c>
    </row>
    <row r="43550" spans="129:129" x14ac:dyDescent="0.2">
      <c r="DY43550" s="185" t="s">
        <v>215</v>
      </c>
    </row>
    <row r="43551" spans="129:129" x14ac:dyDescent="0.2">
      <c r="DY43551" s="185" t="s">
        <v>215</v>
      </c>
    </row>
    <row r="43552" spans="129:129" x14ac:dyDescent="0.2">
      <c r="DY43552" s="185" t="s">
        <v>215</v>
      </c>
    </row>
    <row r="43553" spans="129:129" x14ac:dyDescent="0.2">
      <c r="DY43553" s="185" t="s">
        <v>215</v>
      </c>
    </row>
    <row r="43554" spans="129:129" x14ac:dyDescent="0.2">
      <c r="DY43554" s="185" t="s">
        <v>215</v>
      </c>
    </row>
    <row r="43555" spans="129:129" x14ac:dyDescent="0.2">
      <c r="DY43555" s="185" t="s">
        <v>215</v>
      </c>
    </row>
    <row r="43556" spans="129:129" x14ac:dyDescent="0.2">
      <c r="DY43556" s="185" t="s">
        <v>215</v>
      </c>
    </row>
    <row r="43557" spans="129:129" x14ac:dyDescent="0.2">
      <c r="DY43557" s="185" t="s">
        <v>215</v>
      </c>
    </row>
    <row r="43558" spans="129:129" x14ac:dyDescent="0.2">
      <c r="DY43558" s="185" t="s">
        <v>215</v>
      </c>
    </row>
    <row r="43559" spans="129:129" x14ac:dyDescent="0.2">
      <c r="DY43559" s="185" t="s">
        <v>215</v>
      </c>
    </row>
    <row r="43560" spans="129:129" x14ac:dyDescent="0.2">
      <c r="DY43560" s="185" t="s">
        <v>215</v>
      </c>
    </row>
    <row r="43561" spans="129:129" x14ac:dyDescent="0.2">
      <c r="DY43561" s="185" t="s">
        <v>215</v>
      </c>
    </row>
    <row r="43562" spans="129:129" x14ac:dyDescent="0.2">
      <c r="DY43562" s="185" t="s">
        <v>215</v>
      </c>
    </row>
    <row r="43563" spans="129:129" x14ac:dyDescent="0.2">
      <c r="DY43563" s="185" t="s">
        <v>215</v>
      </c>
    </row>
    <row r="43564" spans="129:129" x14ac:dyDescent="0.2">
      <c r="DY43564" s="185" t="s">
        <v>215</v>
      </c>
    </row>
    <row r="43565" spans="129:129" x14ac:dyDescent="0.2">
      <c r="DY43565" s="185" t="s">
        <v>215</v>
      </c>
    </row>
    <row r="43566" spans="129:129" x14ac:dyDescent="0.2">
      <c r="DY43566" s="185" t="s">
        <v>215</v>
      </c>
    </row>
    <row r="43567" spans="129:129" x14ac:dyDescent="0.2">
      <c r="DY43567" s="185" t="s">
        <v>215</v>
      </c>
    </row>
    <row r="43568" spans="129:129" x14ac:dyDescent="0.2">
      <c r="DY43568" s="185" t="s">
        <v>215</v>
      </c>
    </row>
    <row r="43569" spans="129:129" x14ac:dyDescent="0.2">
      <c r="DY43569" s="185" t="s">
        <v>215</v>
      </c>
    </row>
    <row r="43570" spans="129:129" x14ac:dyDescent="0.2">
      <c r="DY43570" s="185" t="s">
        <v>215</v>
      </c>
    </row>
    <row r="43571" spans="129:129" x14ac:dyDescent="0.2">
      <c r="DY43571" s="185" t="s">
        <v>215</v>
      </c>
    </row>
    <row r="43572" spans="129:129" x14ac:dyDescent="0.2">
      <c r="DY43572" s="185" t="s">
        <v>215</v>
      </c>
    </row>
    <row r="43573" spans="129:129" x14ac:dyDescent="0.2">
      <c r="DY43573" s="185" t="s">
        <v>215</v>
      </c>
    </row>
    <row r="43574" spans="129:129" x14ac:dyDescent="0.2">
      <c r="DY43574" s="185" t="s">
        <v>215</v>
      </c>
    </row>
    <row r="43575" spans="129:129" x14ac:dyDescent="0.2">
      <c r="DY43575" s="185" t="s">
        <v>215</v>
      </c>
    </row>
    <row r="43576" spans="129:129" x14ac:dyDescent="0.2">
      <c r="DY43576" s="185" t="s">
        <v>215</v>
      </c>
    </row>
    <row r="43577" spans="129:129" x14ac:dyDescent="0.2">
      <c r="DY43577" s="185" t="s">
        <v>215</v>
      </c>
    </row>
    <row r="43578" spans="129:129" x14ac:dyDescent="0.2">
      <c r="DY43578" s="185" t="s">
        <v>215</v>
      </c>
    </row>
    <row r="43579" spans="129:129" x14ac:dyDescent="0.2">
      <c r="DY43579" s="185" t="s">
        <v>215</v>
      </c>
    </row>
    <row r="43580" spans="129:129" x14ac:dyDescent="0.2">
      <c r="DY43580" s="185" t="s">
        <v>215</v>
      </c>
    </row>
    <row r="43581" spans="129:129" x14ac:dyDescent="0.2">
      <c r="DY43581" s="185" t="s">
        <v>215</v>
      </c>
    </row>
    <row r="43582" spans="129:129" x14ac:dyDescent="0.2">
      <c r="DY43582" s="185" t="s">
        <v>215</v>
      </c>
    </row>
    <row r="43583" spans="129:129" x14ac:dyDescent="0.2">
      <c r="DY43583" s="185" t="s">
        <v>215</v>
      </c>
    </row>
    <row r="43584" spans="129:129" x14ac:dyDescent="0.2">
      <c r="DY43584" s="185" t="s">
        <v>215</v>
      </c>
    </row>
    <row r="43585" spans="129:129" x14ac:dyDescent="0.2">
      <c r="DY43585" s="185" t="s">
        <v>215</v>
      </c>
    </row>
    <row r="43586" spans="129:129" x14ac:dyDescent="0.2">
      <c r="DY43586" s="185" t="s">
        <v>215</v>
      </c>
    </row>
    <row r="43587" spans="129:129" x14ac:dyDescent="0.2">
      <c r="DY43587" s="185" t="s">
        <v>215</v>
      </c>
    </row>
    <row r="43588" spans="129:129" x14ac:dyDescent="0.2">
      <c r="DY43588" s="185" t="s">
        <v>215</v>
      </c>
    </row>
    <row r="43589" spans="129:129" x14ac:dyDescent="0.2">
      <c r="DY43589" s="185" t="s">
        <v>215</v>
      </c>
    </row>
    <row r="43590" spans="129:129" x14ac:dyDescent="0.2">
      <c r="DY43590" s="185" t="s">
        <v>215</v>
      </c>
    </row>
    <row r="43591" spans="129:129" x14ac:dyDescent="0.2">
      <c r="DY43591" s="185" t="s">
        <v>215</v>
      </c>
    </row>
    <row r="43592" spans="129:129" x14ac:dyDescent="0.2">
      <c r="DY43592" s="185" t="s">
        <v>215</v>
      </c>
    </row>
    <row r="43593" spans="129:129" x14ac:dyDescent="0.2">
      <c r="DY43593" s="185" t="s">
        <v>215</v>
      </c>
    </row>
    <row r="43594" spans="129:129" x14ac:dyDescent="0.2">
      <c r="DY43594" s="185" t="s">
        <v>215</v>
      </c>
    </row>
    <row r="43595" spans="129:129" x14ac:dyDescent="0.2">
      <c r="DY43595" s="185" t="s">
        <v>215</v>
      </c>
    </row>
    <row r="43596" spans="129:129" x14ac:dyDescent="0.2">
      <c r="DY43596" s="185" t="s">
        <v>215</v>
      </c>
    </row>
    <row r="43597" spans="129:129" x14ac:dyDescent="0.2">
      <c r="DY43597" s="185" t="s">
        <v>215</v>
      </c>
    </row>
    <row r="43598" spans="129:129" x14ac:dyDescent="0.2">
      <c r="DY43598" s="185" t="s">
        <v>215</v>
      </c>
    </row>
    <row r="43599" spans="129:129" x14ac:dyDescent="0.2">
      <c r="DY43599" s="185" t="s">
        <v>215</v>
      </c>
    </row>
    <row r="43600" spans="129:129" x14ac:dyDescent="0.2">
      <c r="DY43600" s="185" t="s">
        <v>215</v>
      </c>
    </row>
    <row r="43601" spans="129:129" x14ac:dyDescent="0.2">
      <c r="DY43601" s="185" t="s">
        <v>215</v>
      </c>
    </row>
    <row r="43602" spans="129:129" x14ac:dyDescent="0.2">
      <c r="DY43602" s="185" t="s">
        <v>215</v>
      </c>
    </row>
    <row r="43603" spans="129:129" x14ac:dyDescent="0.2">
      <c r="DY43603" s="185" t="s">
        <v>215</v>
      </c>
    </row>
    <row r="43604" spans="129:129" x14ac:dyDescent="0.2">
      <c r="DY43604" s="185" t="s">
        <v>215</v>
      </c>
    </row>
    <row r="43605" spans="129:129" x14ac:dyDescent="0.2">
      <c r="DY43605" s="185" t="s">
        <v>215</v>
      </c>
    </row>
    <row r="43606" spans="129:129" x14ac:dyDescent="0.2">
      <c r="DY43606" s="185" t="s">
        <v>215</v>
      </c>
    </row>
    <row r="43607" spans="129:129" x14ac:dyDescent="0.2">
      <c r="DY43607" s="185" t="s">
        <v>215</v>
      </c>
    </row>
    <row r="43608" spans="129:129" x14ac:dyDescent="0.2">
      <c r="DY43608" s="185" t="s">
        <v>215</v>
      </c>
    </row>
    <row r="43609" spans="129:129" x14ac:dyDescent="0.2">
      <c r="DY43609" s="185" t="s">
        <v>215</v>
      </c>
    </row>
    <row r="43610" spans="129:129" x14ac:dyDescent="0.2">
      <c r="DY43610" s="185" t="s">
        <v>215</v>
      </c>
    </row>
    <row r="43611" spans="129:129" x14ac:dyDescent="0.2">
      <c r="DY43611" s="185" t="s">
        <v>215</v>
      </c>
    </row>
    <row r="43612" spans="129:129" x14ac:dyDescent="0.2">
      <c r="DY43612" s="185" t="s">
        <v>215</v>
      </c>
    </row>
    <row r="43613" spans="129:129" x14ac:dyDescent="0.2">
      <c r="DY43613" s="185" t="s">
        <v>215</v>
      </c>
    </row>
    <row r="43614" spans="129:129" x14ac:dyDescent="0.2">
      <c r="DY43614" s="185" t="s">
        <v>215</v>
      </c>
    </row>
    <row r="43615" spans="129:129" x14ac:dyDescent="0.2">
      <c r="DY43615" s="185" t="s">
        <v>215</v>
      </c>
    </row>
    <row r="43616" spans="129:129" x14ac:dyDescent="0.2">
      <c r="DY43616" s="185" t="s">
        <v>215</v>
      </c>
    </row>
    <row r="43617" spans="129:129" x14ac:dyDescent="0.2">
      <c r="DY43617" s="185" t="s">
        <v>215</v>
      </c>
    </row>
    <row r="43618" spans="129:129" x14ac:dyDescent="0.2">
      <c r="DY43618" s="185" t="s">
        <v>215</v>
      </c>
    </row>
    <row r="43619" spans="129:129" x14ac:dyDescent="0.2">
      <c r="DY43619" s="185" t="s">
        <v>215</v>
      </c>
    </row>
    <row r="43620" spans="129:129" x14ac:dyDescent="0.2">
      <c r="DY43620" s="185" t="s">
        <v>215</v>
      </c>
    </row>
    <row r="43621" spans="129:129" x14ac:dyDescent="0.2">
      <c r="DY43621" s="185" t="s">
        <v>215</v>
      </c>
    </row>
    <row r="43622" spans="129:129" x14ac:dyDescent="0.2">
      <c r="DY43622" s="185" t="s">
        <v>215</v>
      </c>
    </row>
    <row r="43623" spans="129:129" x14ac:dyDescent="0.2">
      <c r="DY43623" s="185" t="s">
        <v>215</v>
      </c>
    </row>
    <row r="43624" spans="129:129" x14ac:dyDescent="0.2">
      <c r="DY43624" s="185" t="s">
        <v>215</v>
      </c>
    </row>
    <row r="43625" spans="129:129" x14ac:dyDescent="0.2">
      <c r="DY43625" s="185" t="s">
        <v>215</v>
      </c>
    </row>
    <row r="43626" spans="129:129" x14ac:dyDescent="0.2">
      <c r="DY43626" s="185" t="s">
        <v>215</v>
      </c>
    </row>
    <row r="43627" spans="129:129" x14ac:dyDescent="0.2">
      <c r="DY43627" s="185" t="s">
        <v>215</v>
      </c>
    </row>
    <row r="43628" spans="129:129" x14ac:dyDescent="0.2">
      <c r="DY43628" s="185" t="s">
        <v>215</v>
      </c>
    </row>
    <row r="43629" spans="129:129" x14ac:dyDescent="0.2">
      <c r="DY43629" s="185" t="s">
        <v>215</v>
      </c>
    </row>
    <row r="43630" spans="129:129" x14ac:dyDescent="0.2">
      <c r="DY43630" s="185" t="s">
        <v>215</v>
      </c>
    </row>
    <row r="43631" spans="129:129" x14ac:dyDescent="0.2">
      <c r="DY43631" s="185" t="s">
        <v>215</v>
      </c>
    </row>
    <row r="43632" spans="129:129" x14ac:dyDescent="0.2">
      <c r="DY43632" s="185" t="s">
        <v>215</v>
      </c>
    </row>
    <row r="43633" spans="129:129" x14ac:dyDescent="0.2">
      <c r="DY43633" s="185" t="s">
        <v>215</v>
      </c>
    </row>
    <row r="43634" spans="129:129" x14ac:dyDescent="0.2">
      <c r="DY43634" s="185" t="s">
        <v>215</v>
      </c>
    </row>
    <row r="43635" spans="129:129" x14ac:dyDescent="0.2">
      <c r="DY43635" s="185" t="s">
        <v>215</v>
      </c>
    </row>
    <row r="43636" spans="129:129" x14ac:dyDescent="0.2">
      <c r="DY43636" s="185" t="s">
        <v>215</v>
      </c>
    </row>
    <row r="43637" spans="129:129" x14ac:dyDescent="0.2">
      <c r="DY43637" s="185" t="s">
        <v>215</v>
      </c>
    </row>
    <row r="43638" spans="129:129" x14ac:dyDescent="0.2">
      <c r="DY43638" s="185" t="s">
        <v>215</v>
      </c>
    </row>
    <row r="43639" spans="129:129" x14ac:dyDescent="0.2">
      <c r="DY43639" s="185" t="s">
        <v>215</v>
      </c>
    </row>
    <row r="43640" spans="129:129" x14ac:dyDescent="0.2">
      <c r="DY43640" s="185" t="s">
        <v>215</v>
      </c>
    </row>
    <row r="43641" spans="129:129" x14ac:dyDescent="0.2">
      <c r="DY43641" s="185" t="s">
        <v>215</v>
      </c>
    </row>
    <row r="43642" spans="129:129" x14ac:dyDescent="0.2">
      <c r="DY43642" s="185" t="s">
        <v>215</v>
      </c>
    </row>
    <row r="43643" spans="129:129" x14ac:dyDescent="0.2">
      <c r="DY43643" s="185" t="s">
        <v>215</v>
      </c>
    </row>
    <row r="43644" spans="129:129" x14ac:dyDescent="0.2">
      <c r="DY43644" s="185" t="s">
        <v>215</v>
      </c>
    </row>
    <row r="43645" spans="129:129" x14ac:dyDescent="0.2">
      <c r="DY43645" s="185" t="s">
        <v>215</v>
      </c>
    </row>
    <row r="43646" spans="129:129" x14ac:dyDescent="0.2">
      <c r="DY43646" s="185" t="s">
        <v>215</v>
      </c>
    </row>
    <row r="43647" spans="129:129" x14ac:dyDescent="0.2">
      <c r="DY43647" s="185" t="s">
        <v>215</v>
      </c>
    </row>
    <row r="43648" spans="129:129" x14ac:dyDescent="0.2">
      <c r="DY43648" s="185" t="s">
        <v>215</v>
      </c>
    </row>
    <row r="43649" spans="129:129" x14ac:dyDescent="0.2">
      <c r="DY43649" s="185" t="s">
        <v>215</v>
      </c>
    </row>
    <row r="43650" spans="129:129" x14ac:dyDescent="0.2">
      <c r="DY43650" s="185" t="s">
        <v>215</v>
      </c>
    </row>
    <row r="43651" spans="129:129" x14ac:dyDescent="0.2">
      <c r="DY43651" s="185" t="s">
        <v>215</v>
      </c>
    </row>
    <row r="43652" spans="129:129" x14ac:dyDescent="0.2">
      <c r="DY43652" s="185" t="s">
        <v>215</v>
      </c>
    </row>
    <row r="43653" spans="129:129" x14ac:dyDescent="0.2">
      <c r="DY43653" s="185" t="s">
        <v>215</v>
      </c>
    </row>
    <row r="43654" spans="129:129" x14ac:dyDescent="0.2">
      <c r="DY43654" s="185" t="s">
        <v>215</v>
      </c>
    </row>
    <row r="43655" spans="129:129" x14ac:dyDescent="0.2">
      <c r="DY43655" s="185" t="s">
        <v>215</v>
      </c>
    </row>
    <row r="43656" spans="129:129" x14ac:dyDescent="0.2">
      <c r="DY43656" s="185" t="s">
        <v>215</v>
      </c>
    </row>
    <row r="43657" spans="129:129" x14ac:dyDescent="0.2">
      <c r="DY43657" s="185" t="s">
        <v>215</v>
      </c>
    </row>
    <row r="43658" spans="129:129" x14ac:dyDescent="0.2">
      <c r="DY43658" s="185" t="s">
        <v>215</v>
      </c>
    </row>
    <row r="43659" spans="129:129" x14ac:dyDescent="0.2">
      <c r="DY43659" s="185" t="s">
        <v>215</v>
      </c>
    </row>
    <row r="43660" spans="129:129" x14ac:dyDescent="0.2">
      <c r="DY43660" s="185" t="s">
        <v>215</v>
      </c>
    </row>
    <row r="43661" spans="129:129" x14ac:dyDescent="0.2">
      <c r="DY43661" s="185" t="s">
        <v>215</v>
      </c>
    </row>
    <row r="43662" spans="129:129" x14ac:dyDescent="0.2">
      <c r="DY43662" s="185" t="s">
        <v>215</v>
      </c>
    </row>
    <row r="43663" spans="129:129" x14ac:dyDescent="0.2">
      <c r="DY43663" s="185" t="s">
        <v>215</v>
      </c>
    </row>
    <row r="43664" spans="129:129" x14ac:dyDescent="0.2">
      <c r="DY43664" s="185" t="s">
        <v>215</v>
      </c>
    </row>
    <row r="43665" spans="129:129" x14ac:dyDescent="0.2">
      <c r="DY43665" s="185" t="s">
        <v>215</v>
      </c>
    </row>
    <row r="43666" spans="129:129" x14ac:dyDescent="0.2">
      <c r="DY43666" s="185" t="s">
        <v>215</v>
      </c>
    </row>
    <row r="43667" spans="129:129" x14ac:dyDescent="0.2">
      <c r="DY43667" s="185" t="s">
        <v>215</v>
      </c>
    </row>
    <row r="43668" spans="129:129" x14ac:dyDescent="0.2">
      <c r="DY43668" s="185" t="s">
        <v>215</v>
      </c>
    </row>
    <row r="43669" spans="129:129" x14ac:dyDescent="0.2">
      <c r="DY43669" s="185" t="s">
        <v>215</v>
      </c>
    </row>
    <row r="43670" spans="129:129" x14ac:dyDescent="0.2">
      <c r="DY43670" s="185" t="s">
        <v>215</v>
      </c>
    </row>
    <row r="43671" spans="129:129" x14ac:dyDescent="0.2">
      <c r="DY43671" s="185" t="s">
        <v>215</v>
      </c>
    </row>
    <row r="43672" spans="129:129" x14ac:dyDescent="0.2">
      <c r="DY43672" s="185" t="s">
        <v>215</v>
      </c>
    </row>
    <row r="43673" spans="129:129" x14ac:dyDescent="0.2">
      <c r="DY43673" s="185" t="s">
        <v>215</v>
      </c>
    </row>
    <row r="43674" spans="129:129" x14ac:dyDescent="0.2">
      <c r="DY43674" s="185" t="s">
        <v>215</v>
      </c>
    </row>
    <row r="43675" spans="129:129" x14ac:dyDescent="0.2">
      <c r="DY43675" s="185" t="s">
        <v>215</v>
      </c>
    </row>
    <row r="43676" spans="129:129" x14ac:dyDescent="0.2">
      <c r="DY43676" s="185" t="s">
        <v>215</v>
      </c>
    </row>
    <row r="43677" spans="129:129" x14ac:dyDescent="0.2">
      <c r="DY43677" s="185" t="s">
        <v>215</v>
      </c>
    </row>
    <row r="43678" spans="129:129" x14ac:dyDescent="0.2">
      <c r="DY43678" s="185" t="s">
        <v>215</v>
      </c>
    </row>
    <row r="43679" spans="129:129" x14ac:dyDescent="0.2">
      <c r="DY43679" s="185" t="s">
        <v>215</v>
      </c>
    </row>
    <row r="43680" spans="129:129" x14ac:dyDescent="0.2">
      <c r="DY43680" s="185" t="s">
        <v>215</v>
      </c>
    </row>
    <row r="43681" spans="129:129" x14ac:dyDescent="0.2">
      <c r="DY43681" s="185" t="s">
        <v>215</v>
      </c>
    </row>
    <row r="43682" spans="129:129" x14ac:dyDescent="0.2">
      <c r="DY43682" s="185" t="s">
        <v>215</v>
      </c>
    </row>
    <row r="43683" spans="129:129" x14ac:dyDescent="0.2">
      <c r="DY43683" s="185" t="s">
        <v>215</v>
      </c>
    </row>
    <row r="43684" spans="129:129" x14ac:dyDescent="0.2">
      <c r="DY43684" s="185" t="s">
        <v>215</v>
      </c>
    </row>
    <row r="43685" spans="129:129" x14ac:dyDescent="0.2">
      <c r="DY43685" s="185" t="s">
        <v>215</v>
      </c>
    </row>
    <row r="43686" spans="129:129" x14ac:dyDescent="0.2">
      <c r="DY43686" s="185" t="s">
        <v>215</v>
      </c>
    </row>
    <row r="43687" spans="129:129" x14ac:dyDescent="0.2">
      <c r="DY43687" s="185" t="s">
        <v>215</v>
      </c>
    </row>
    <row r="43688" spans="129:129" x14ac:dyDescent="0.2">
      <c r="DY43688" s="185" t="s">
        <v>215</v>
      </c>
    </row>
    <row r="43689" spans="129:129" x14ac:dyDescent="0.2">
      <c r="DY43689" s="185" t="s">
        <v>215</v>
      </c>
    </row>
    <row r="43690" spans="129:129" x14ac:dyDescent="0.2">
      <c r="DY43690" s="185" t="s">
        <v>215</v>
      </c>
    </row>
    <row r="43691" spans="129:129" x14ac:dyDescent="0.2">
      <c r="DY43691" s="185" t="s">
        <v>215</v>
      </c>
    </row>
    <row r="43692" spans="129:129" x14ac:dyDescent="0.2">
      <c r="DY43692" s="185" t="s">
        <v>215</v>
      </c>
    </row>
    <row r="43693" spans="129:129" x14ac:dyDescent="0.2">
      <c r="DY43693" s="185" t="s">
        <v>215</v>
      </c>
    </row>
    <row r="43694" spans="129:129" x14ac:dyDescent="0.2">
      <c r="DY43694" s="185" t="s">
        <v>215</v>
      </c>
    </row>
    <row r="43695" spans="129:129" x14ac:dyDescent="0.2">
      <c r="DY43695" s="185" t="s">
        <v>215</v>
      </c>
    </row>
    <row r="43696" spans="129:129" x14ac:dyDescent="0.2">
      <c r="DY43696" s="185" t="s">
        <v>215</v>
      </c>
    </row>
    <row r="43697" spans="129:129" x14ac:dyDescent="0.2">
      <c r="DY43697" s="185" t="s">
        <v>215</v>
      </c>
    </row>
    <row r="43698" spans="129:129" x14ac:dyDescent="0.2">
      <c r="DY43698" s="185" t="s">
        <v>215</v>
      </c>
    </row>
    <row r="43699" spans="129:129" x14ac:dyDescent="0.2">
      <c r="DY43699" s="185" t="s">
        <v>215</v>
      </c>
    </row>
    <row r="43700" spans="129:129" x14ac:dyDescent="0.2">
      <c r="DY43700" s="185" t="s">
        <v>215</v>
      </c>
    </row>
    <row r="43701" spans="129:129" x14ac:dyDescent="0.2">
      <c r="DY43701" s="185" t="s">
        <v>215</v>
      </c>
    </row>
    <row r="43702" spans="129:129" x14ac:dyDescent="0.2">
      <c r="DY43702" s="185" t="s">
        <v>215</v>
      </c>
    </row>
    <row r="43703" spans="129:129" x14ac:dyDescent="0.2">
      <c r="DY43703" s="185" t="s">
        <v>215</v>
      </c>
    </row>
    <row r="43704" spans="129:129" x14ac:dyDescent="0.2">
      <c r="DY43704" s="185" t="s">
        <v>215</v>
      </c>
    </row>
    <row r="43705" spans="129:129" x14ac:dyDescent="0.2">
      <c r="DY43705" s="185" t="s">
        <v>215</v>
      </c>
    </row>
    <row r="43706" spans="129:129" x14ac:dyDescent="0.2">
      <c r="DY43706" s="185" t="s">
        <v>215</v>
      </c>
    </row>
    <row r="43707" spans="129:129" x14ac:dyDescent="0.2">
      <c r="DY43707" s="185" t="s">
        <v>215</v>
      </c>
    </row>
    <row r="43708" spans="129:129" x14ac:dyDescent="0.2">
      <c r="DY43708" s="185" t="s">
        <v>215</v>
      </c>
    </row>
    <row r="43709" spans="129:129" x14ac:dyDescent="0.2">
      <c r="DY43709" s="185" t="s">
        <v>215</v>
      </c>
    </row>
    <row r="43710" spans="129:129" x14ac:dyDescent="0.2">
      <c r="DY43710" s="185" t="s">
        <v>215</v>
      </c>
    </row>
    <row r="43711" spans="129:129" x14ac:dyDescent="0.2">
      <c r="DY43711" s="185" t="s">
        <v>215</v>
      </c>
    </row>
    <row r="43712" spans="129:129" x14ac:dyDescent="0.2">
      <c r="DY43712" s="185" t="s">
        <v>215</v>
      </c>
    </row>
    <row r="43713" spans="129:129" x14ac:dyDescent="0.2">
      <c r="DY43713" s="185" t="s">
        <v>215</v>
      </c>
    </row>
    <row r="43714" spans="129:129" x14ac:dyDescent="0.2">
      <c r="DY43714" s="185" t="s">
        <v>215</v>
      </c>
    </row>
    <row r="43715" spans="129:129" x14ac:dyDescent="0.2">
      <c r="DY43715" s="185" t="s">
        <v>215</v>
      </c>
    </row>
    <row r="43716" spans="129:129" x14ac:dyDescent="0.2">
      <c r="DY43716" s="185" t="s">
        <v>215</v>
      </c>
    </row>
    <row r="43717" spans="129:129" x14ac:dyDescent="0.2">
      <c r="DY43717" s="185" t="s">
        <v>215</v>
      </c>
    </row>
    <row r="43718" spans="129:129" x14ac:dyDescent="0.2">
      <c r="DY43718" s="185" t="s">
        <v>215</v>
      </c>
    </row>
    <row r="43719" spans="129:129" x14ac:dyDescent="0.2">
      <c r="DY43719" s="185" t="s">
        <v>215</v>
      </c>
    </row>
    <row r="43720" spans="129:129" x14ac:dyDescent="0.2">
      <c r="DY43720" s="185" t="s">
        <v>215</v>
      </c>
    </row>
    <row r="43721" spans="129:129" x14ac:dyDescent="0.2">
      <c r="DY43721" s="185" t="s">
        <v>215</v>
      </c>
    </row>
    <row r="43722" spans="129:129" x14ac:dyDescent="0.2">
      <c r="DY43722" s="185" t="s">
        <v>215</v>
      </c>
    </row>
    <row r="43723" spans="129:129" x14ac:dyDescent="0.2">
      <c r="DY43723" s="185" t="s">
        <v>215</v>
      </c>
    </row>
    <row r="43724" spans="129:129" x14ac:dyDescent="0.2">
      <c r="DY43724" s="185" t="s">
        <v>215</v>
      </c>
    </row>
    <row r="43725" spans="129:129" x14ac:dyDescent="0.2">
      <c r="DY43725" s="185" t="s">
        <v>215</v>
      </c>
    </row>
    <row r="43726" spans="129:129" x14ac:dyDescent="0.2">
      <c r="DY43726" s="185" t="s">
        <v>215</v>
      </c>
    </row>
    <row r="43727" spans="129:129" x14ac:dyDescent="0.2">
      <c r="DY43727" s="185" t="s">
        <v>215</v>
      </c>
    </row>
    <row r="43728" spans="129:129" x14ac:dyDescent="0.2">
      <c r="DY43728" s="185" t="s">
        <v>215</v>
      </c>
    </row>
    <row r="43729" spans="129:129" x14ac:dyDescent="0.2">
      <c r="DY43729" s="185" t="s">
        <v>215</v>
      </c>
    </row>
    <row r="43730" spans="129:129" x14ac:dyDescent="0.2">
      <c r="DY43730" s="185" t="s">
        <v>215</v>
      </c>
    </row>
    <row r="43731" spans="129:129" x14ac:dyDescent="0.2">
      <c r="DY43731" s="185" t="s">
        <v>215</v>
      </c>
    </row>
    <row r="43732" spans="129:129" x14ac:dyDescent="0.2">
      <c r="DY43732" s="185" t="s">
        <v>215</v>
      </c>
    </row>
    <row r="43733" spans="129:129" x14ac:dyDescent="0.2">
      <c r="DY43733" s="185" t="s">
        <v>215</v>
      </c>
    </row>
    <row r="43734" spans="129:129" x14ac:dyDescent="0.2">
      <c r="DY43734" s="185" t="s">
        <v>215</v>
      </c>
    </row>
    <row r="43735" spans="129:129" x14ac:dyDescent="0.2">
      <c r="DY43735" s="185" t="s">
        <v>215</v>
      </c>
    </row>
    <row r="43736" spans="129:129" x14ac:dyDescent="0.2">
      <c r="DY43736" s="185" t="s">
        <v>215</v>
      </c>
    </row>
    <row r="43737" spans="129:129" x14ac:dyDescent="0.2">
      <c r="DY43737" s="185" t="s">
        <v>215</v>
      </c>
    </row>
    <row r="43738" spans="129:129" x14ac:dyDescent="0.2">
      <c r="DY43738" s="185" t="s">
        <v>215</v>
      </c>
    </row>
    <row r="43739" spans="129:129" x14ac:dyDescent="0.2">
      <c r="DY43739" s="185" t="s">
        <v>215</v>
      </c>
    </row>
    <row r="43740" spans="129:129" x14ac:dyDescent="0.2">
      <c r="DY43740" s="185" t="s">
        <v>215</v>
      </c>
    </row>
    <row r="43741" spans="129:129" x14ac:dyDescent="0.2">
      <c r="DY43741" s="185" t="s">
        <v>215</v>
      </c>
    </row>
    <row r="43742" spans="129:129" x14ac:dyDescent="0.2">
      <c r="DY43742" s="185" t="s">
        <v>215</v>
      </c>
    </row>
    <row r="43743" spans="129:129" x14ac:dyDescent="0.2">
      <c r="DY43743" s="185" t="s">
        <v>215</v>
      </c>
    </row>
    <row r="43744" spans="129:129" x14ac:dyDescent="0.2">
      <c r="DY43744" s="185" t="s">
        <v>215</v>
      </c>
    </row>
    <row r="43745" spans="129:129" x14ac:dyDescent="0.2">
      <c r="DY43745" s="185" t="s">
        <v>215</v>
      </c>
    </row>
    <row r="43746" spans="129:129" x14ac:dyDescent="0.2">
      <c r="DY43746" s="185" t="s">
        <v>215</v>
      </c>
    </row>
    <row r="43747" spans="129:129" x14ac:dyDescent="0.2">
      <c r="DY43747" s="185" t="s">
        <v>215</v>
      </c>
    </row>
    <row r="43748" spans="129:129" x14ac:dyDescent="0.2">
      <c r="DY43748" s="185" t="s">
        <v>215</v>
      </c>
    </row>
    <row r="43749" spans="129:129" x14ac:dyDescent="0.2">
      <c r="DY43749" s="185" t="s">
        <v>215</v>
      </c>
    </row>
    <row r="43750" spans="129:129" x14ac:dyDescent="0.2">
      <c r="DY43750" s="185" t="s">
        <v>215</v>
      </c>
    </row>
    <row r="43751" spans="129:129" x14ac:dyDescent="0.2">
      <c r="DY43751" s="185" t="s">
        <v>215</v>
      </c>
    </row>
    <row r="43752" spans="129:129" x14ac:dyDescent="0.2">
      <c r="DY43752" s="185" t="s">
        <v>215</v>
      </c>
    </row>
    <row r="43753" spans="129:129" x14ac:dyDescent="0.2">
      <c r="DY43753" s="185" t="s">
        <v>215</v>
      </c>
    </row>
    <row r="43754" spans="129:129" x14ac:dyDescent="0.2">
      <c r="DY43754" s="185" t="s">
        <v>215</v>
      </c>
    </row>
    <row r="43755" spans="129:129" x14ac:dyDescent="0.2">
      <c r="DY43755" s="185" t="s">
        <v>215</v>
      </c>
    </row>
    <row r="43756" spans="129:129" x14ac:dyDescent="0.2">
      <c r="DY43756" s="185" t="s">
        <v>215</v>
      </c>
    </row>
    <row r="43757" spans="129:129" x14ac:dyDescent="0.2">
      <c r="DY43757" s="185" t="s">
        <v>215</v>
      </c>
    </row>
    <row r="43758" spans="129:129" x14ac:dyDescent="0.2">
      <c r="DY43758" s="185" t="s">
        <v>215</v>
      </c>
    </row>
    <row r="43759" spans="129:129" x14ac:dyDescent="0.2">
      <c r="DY43759" s="185" t="s">
        <v>215</v>
      </c>
    </row>
    <row r="43760" spans="129:129" x14ac:dyDescent="0.2">
      <c r="DY43760" s="185" t="s">
        <v>215</v>
      </c>
    </row>
    <row r="43761" spans="129:129" x14ac:dyDescent="0.2">
      <c r="DY43761" s="185" t="s">
        <v>215</v>
      </c>
    </row>
    <row r="43762" spans="129:129" x14ac:dyDescent="0.2">
      <c r="DY43762" s="185" t="s">
        <v>215</v>
      </c>
    </row>
    <row r="43763" spans="129:129" x14ac:dyDescent="0.2">
      <c r="DY43763" s="185" t="s">
        <v>215</v>
      </c>
    </row>
    <row r="43764" spans="129:129" x14ac:dyDescent="0.2">
      <c r="DY43764" s="185" t="s">
        <v>215</v>
      </c>
    </row>
    <row r="43765" spans="129:129" x14ac:dyDescent="0.2">
      <c r="DY43765" s="185" t="s">
        <v>215</v>
      </c>
    </row>
    <row r="43766" spans="129:129" x14ac:dyDescent="0.2">
      <c r="DY43766" s="185" t="s">
        <v>215</v>
      </c>
    </row>
    <row r="43767" spans="129:129" x14ac:dyDescent="0.2">
      <c r="DY43767" s="185" t="s">
        <v>215</v>
      </c>
    </row>
    <row r="43768" spans="129:129" x14ac:dyDescent="0.2">
      <c r="DY43768" s="185" t="s">
        <v>215</v>
      </c>
    </row>
    <row r="43769" spans="129:129" x14ac:dyDescent="0.2">
      <c r="DY43769" s="185" t="s">
        <v>215</v>
      </c>
    </row>
    <row r="43770" spans="129:129" x14ac:dyDescent="0.2">
      <c r="DY43770" s="185" t="s">
        <v>215</v>
      </c>
    </row>
    <row r="43771" spans="129:129" x14ac:dyDescent="0.2">
      <c r="DY43771" s="185" t="s">
        <v>215</v>
      </c>
    </row>
    <row r="43772" spans="129:129" x14ac:dyDescent="0.2">
      <c r="DY43772" s="185" t="s">
        <v>215</v>
      </c>
    </row>
    <row r="43773" spans="129:129" x14ac:dyDescent="0.2">
      <c r="DY43773" s="185" t="s">
        <v>215</v>
      </c>
    </row>
    <row r="43774" spans="129:129" x14ac:dyDescent="0.2">
      <c r="DY43774" s="185" t="s">
        <v>215</v>
      </c>
    </row>
    <row r="43775" spans="129:129" x14ac:dyDescent="0.2">
      <c r="DY43775" s="185" t="s">
        <v>215</v>
      </c>
    </row>
    <row r="43776" spans="129:129" x14ac:dyDescent="0.2">
      <c r="DY43776" s="185" t="s">
        <v>215</v>
      </c>
    </row>
    <row r="43777" spans="129:129" x14ac:dyDescent="0.2">
      <c r="DY43777" s="185" t="s">
        <v>215</v>
      </c>
    </row>
    <row r="43778" spans="129:129" x14ac:dyDescent="0.2">
      <c r="DY43778" s="185" t="s">
        <v>215</v>
      </c>
    </row>
    <row r="43779" spans="129:129" x14ac:dyDescent="0.2">
      <c r="DY43779" s="185" t="s">
        <v>215</v>
      </c>
    </row>
    <row r="43780" spans="129:129" x14ac:dyDescent="0.2">
      <c r="DY43780" s="185" t="s">
        <v>215</v>
      </c>
    </row>
    <row r="43781" spans="129:129" x14ac:dyDescent="0.2">
      <c r="DY43781" s="185" t="s">
        <v>215</v>
      </c>
    </row>
    <row r="43782" spans="129:129" x14ac:dyDescent="0.2">
      <c r="DY43782" s="185" t="s">
        <v>215</v>
      </c>
    </row>
    <row r="43783" spans="129:129" x14ac:dyDescent="0.2">
      <c r="DY43783" s="185" t="s">
        <v>215</v>
      </c>
    </row>
    <row r="43784" spans="129:129" x14ac:dyDescent="0.2">
      <c r="DY43784" s="185" t="s">
        <v>215</v>
      </c>
    </row>
    <row r="43785" spans="129:129" x14ac:dyDescent="0.2">
      <c r="DY43785" s="185" t="s">
        <v>215</v>
      </c>
    </row>
    <row r="43786" spans="129:129" x14ac:dyDescent="0.2">
      <c r="DY43786" s="185" t="s">
        <v>215</v>
      </c>
    </row>
    <row r="43787" spans="129:129" x14ac:dyDescent="0.2">
      <c r="DY43787" s="185" t="s">
        <v>215</v>
      </c>
    </row>
    <row r="43788" spans="129:129" x14ac:dyDescent="0.2">
      <c r="DY43788" s="185" t="s">
        <v>215</v>
      </c>
    </row>
    <row r="43789" spans="129:129" x14ac:dyDescent="0.2">
      <c r="DY43789" s="185" t="s">
        <v>215</v>
      </c>
    </row>
    <row r="43790" spans="129:129" x14ac:dyDescent="0.2">
      <c r="DY43790" s="185" t="s">
        <v>215</v>
      </c>
    </row>
    <row r="43791" spans="129:129" x14ac:dyDescent="0.2">
      <c r="DY43791" s="185" t="s">
        <v>215</v>
      </c>
    </row>
    <row r="43792" spans="129:129" x14ac:dyDescent="0.2">
      <c r="DY43792" s="185" t="s">
        <v>215</v>
      </c>
    </row>
    <row r="43793" spans="129:129" x14ac:dyDescent="0.2">
      <c r="DY43793" s="185" t="s">
        <v>215</v>
      </c>
    </row>
    <row r="43794" spans="129:129" x14ac:dyDescent="0.2">
      <c r="DY43794" s="185" t="s">
        <v>215</v>
      </c>
    </row>
    <row r="43795" spans="129:129" x14ac:dyDescent="0.2">
      <c r="DY43795" s="185" t="s">
        <v>215</v>
      </c>
    </row>
    <row r="43796" spans="129:129" x14ac:dyDescent="0.2">
      <c r="DY43796" s="185" t="s">
        <v>215</v>
      </c>
    </row>
    <row r="43797" spans="129:129" x14ac:dyDescent="0.2">
      <c r="DY43797" s="185" t="s">
        <v>215</v>
      </c>
    </row>
    <row r="43798" spans="129:129" x14ac:dyDescent="0.2">
      <c r="DY43798" s="185" t="s">
        <v>215</v>
      </c>
    </row>
    <row r="43799" spans="129:129" x14ac:dyDescent="0.2">
      <c r="DY43799" s="185" t="s">
        <v>215</v>
      </c>
    </row>
    <row r="43800" spans="129:129" x14ac:dyDescent="0.2">
      <c r="DY43800" s="185" t="s">
        <v>215</v>
      </c>
    </row>
    <row r="43801" spans="129:129" x14ac:dyDescent="0.2">
      <c r="DY43801" s="185" t="s">
        <v>215</v>
      </c>
    </row>
    <row r="43802" spans="129:129" x14ac:dyDescent="0.2">
      <c r="DY43802" s="185" t="s">
        <v>215</v>
      </c>
    </row>
    <row r="43803" spans="129:129" x14ac:dyDescent="0.2">
      <c r="DY43803" s="185" t="s">
        <v>215</v>
      </c>
    </row>
    <row r="43804" spans="129:129" x14ac:dyDescent="0.2">
      <c r="DY43804" s="185" t="s">
        <v>215</v>
      </c>
    </row>
    <row r="43805" spans="129:129" x14ac:dyDescent="0.2">
      <c r="DY43805" s="185" t="s">
        <v>215</v>
      </c>
    </row>
    <row r="43806" spans="129:129" x14ac:dyDescent="0.2">
      <c r="DY43806" s="185" t="s">
        <v>215</v>
      </c>
    </row>
    <row r="43807" spans="129:129" x14ac:dyDescent="0.2">
      <c r="DY43807" s="185" t="s">
        <v>215</v>
      </c>
    </row>
    <row r="43808" spans="129:129" x14ac:dyDescent="0.2">
      <c r="DY43808" s="185" t="s">
        <v>215</v>
      </c>
    </row>
    <row r="43809" spans="129:129" x14ac:dyDescent="0.2">
      <c r="DY43809" s="185" t="s">
        <v>215</v>
      </c>
    </row>
    <row r="43810" spans="129:129" x14ac:dyDescent="0.2">
      <c r="DY43810" s="185" t="s">
        <v>215</v>
      </c>
    </row>
    <row r="43811" spans="129:129" x14ac:dyDescent="0.2">
      <c r="DY43811" s="185" t="s">
        <v>215</v>
      </c>
    </row>
    <row r="43812" spans="129:129" x14ac:dyDescent="0.2">
      <c r="DY43812" s="185" t="s">
        <v>215</v>
      </c>
    </row>
    <row r="43813" spans="129:129" x14ac:dyDescent="0.2">
      <c r="DY43813" s="185" t="s">
        <v>215</v>
      </c>
    </row>
    <row r="43814" spans="129:129" x14ac:dyDescent="0.2">
      <c r="DY43814" s="185" t="s">
        <v>215</v>
      </c>
    </row>
    <row r="43815" spans="129:129" x14ac:dyDescent="0.2">
      <c r="DY43815" s="185" t="s">
        <v>215</v>
      </c>
    </row>
    <row r="43816" spans="129:129" x14ac:dyDescent="0.2">
      <c r="DY43816" s="185" t="s">
        <v>215</v>
      </c>
    </row>
    <row r="43817" spans="129:129" x14ac:dyDescent="0.2">
      <c r="DY43817" s="185" t="s">
        <v>215</v>
      </c>
    </row>
    <row r="43818" spans="129:129" x14ac:dyDescent="0.2">
      <c r="DY43818" s="185" t="s">
        <v>215</v>
      </c>
    </row>
    <row r="43819" spans="129:129" x14ac:dyDescent="0.2">
      <c r="DY43819" s="185" t="s">
        <v>215</v>
      </c>
    </row>
    <row r="43820" spans="129:129" x14ac:dyDescent="0.2">
      <c r="DY43820" s="185" t="s">
        <v>215</v>
      </c>
    </row>
    <row r="43821" spans="129:129" x14ac:dyDescent="0.2">
      <c r="DY43821" s="185" t="s">
        <v>215</v>
      </c>
    </row>
    <row r="43822" spans="129:129" x14ac:dyDescent="0.2">
      <c r="DY43822" s="185" t="s">
        <v>215</v>
      </c>
    </row>
    <row r="43823" spans="129:129" x14ac:dyDescent="0.2">
      <c r="DY43823" s="185" t="s">
        <v>215</v>
      </c>
    </row>
    <row r="43824" spans="129:129" x14ac:dyDescent="0.2">
      <c r="DY43824" s="185" t="s">
        <v>215</v>
      </c>
    </row>
    <row r="43825" spans="129:129" x14ac:dyDescent="0.2">
      <c r="DY43825" s="185" t="s">
        <v>215</v>
      </c>
    </row>
    <row r="43826" spans="129:129" x14ac:dyDescent="0.2">
      <c r="DY43826" s="185" t="s">
        <v>215</v>
      </c>
    </row>
    <row r="43827" spans="129:129" x14ac:dyDescent="0.2">
      <c r="DY43827" s="185" t="s">
        <v>215</v>
      </c>
    </row>
    <row r="43828" spans="129:129" x14ac:dyDescent="0.2">
      <c r="DY43828" s="185" t="s">
        <v>215</v>
      </c>
    </row>
    <row r="43829" spans="129:129" x14ac:dyDescent="0.2">
      <c r="DY43829" s="185" t="s">
        <v>215</v>
      </c>
    </row>
    <row r="43830" spans="129:129" x14ac:dyDescent="0.2">
      <c r="DY43830" s="185" t="s">
        <v>215</v>
      </c>
    </row>
    <row r="43831" spans="129:129" x14ac:dyDescent="0.2">
      <c r="DY43831" s="185" t="s">
        <v>215</v>
      </c>
    </row>
    <row r="43832" spans="129:129" x14ac:dyDescent="0.2">
      <c r="DY43832" s="185" t="s">
        <v>215</v>
      </c>
    </row>
    <row r="43833" spans="129:129" x14ac:dyDescent="0.2">
      <c r="DY43833" s="185" t="s">
        <v>215</v>
      </c>
    </row>
    <row r="43834" spans="129:129" x14ac:dyDescent="0.2">
      <c r="DY43834" s="185" t="s">
        <v>215</v>
      </c>
    </row>
    <row r="43835" spans="129:129" x14ac:dyDescent="0.2">
      <c r="DY43835" s="185" t="s">
        <v>215</v>
      </c>
    </row>
    <row r="43836" spans="129:129" x14ac:dyDescent="0.2">
      <c r="DY43836" s="185" t="s">
        <v>215</v>
      </c>
    </row>
    <row r="43837" spans="129:129" x14ac:dyDescent="0.2">
      <c r="DY43837" s="185" t="s">
        <v>215</v>
      </c>
    </row>
    <row r="43838" spans="129:129" x14ac:dyDescent="0.2">
      <c r="DY43838" s="185" t="s">
        <v>215</v>
      </c>
    </row>
    <row r="43839" spans="129:129" x14ac:dyDescent="0.2">
      <c r="DY43839" s="185" t="s">
        <v>215</v>
      </c>
    </row>
    <row r="43840" spans="129:129" x14ac:dyDescent="0.2">
      <c r="DY43840" s="185" t="s">
        <v>215</v>
      </c>
    </row>
    <row r="43841" spans="129:129" x14ac:dyDescent="0.2">
      <c r="DY43841" s="185" t="s">
        <v>215</v>
      </c>
    </row>
    <row r="43842" spans="129:129" x14ac:dyDescent="0.2">
      <c r="DY43842" s="185" t="s">
        <v>215</v>
      </c>
    </row>
    <row r="43843" spans="129:129" x14ac:dyDescent="0.2">
      <c r="DY43843" s="185" t="s">
        <v>215</v>
      </c>
    </row>
    <row r="43844" spans="129:129" x14ac:dyDescent="0.2">
      <c r="DY43844" s="185" t="s">
        <v>215</v>
      </c>
    </row>
    <row r="43845" spans="129:129" x14ac:dyDescent="0.2">
      <c r="DY43845" s="185" t="s">
        <v>215</v>
      </c>
    </row>
    <row r="43846" spans="129:129" x14ac:dyDescent="0.2">
      <c r="DY43846" s="185" t="s">
        <v>215</v>
      </c>
    </row>
    <row r="43847" spans="129:129" x14ac:dyDescent="0.2">
      <c r="DY43847" s="185" t="s">
        <v>215</v>
      </c>
    </row>
    <row r="43848" spans="129:129" x14ac:dyDescent="0.2">
      <c r="DY43848" s="185" t="s">
        <v>215</v>
      </c>
    </row>
    <row r="43849" spans="129:129" x14ac:dyDescent="0.2">
      <c r="DY43849" s="185" t="s">
        <v>215</v>
      </c>
    </row>
    <row r="43850" spans="129:129" x14ac:dyDescent="0.2">
      <c r="DY43850" s="185" t="s">
        <v>215</v>
      </c>
    </row>
    <row r="43851" spans="129:129" x14ac:dyDescent="0.2">
      <c r="DY43851" s="185" t="s">
        <v>215</v>
      </c>
    </row>
    <row r="43852" spans="129:129" x14ac:dyDescent="0.2">
      <c r="DY43852" s="185" t="s">
        <v>215</v>
      </c>
    </row>
    <row r="43853" spans="129:129" x14ac:dyDescent="0.2">
      <c r="DY43853" s="185" t="s">
        <v>215</v>
      </c>
    </row>
    <row r="43854" spans="129:129" x14ac:dyDescent="0.2">
      <c r="DY43854" s="185" t="s">
        <v>215</v>
      </c>
    </row>
    <row r="43855" spans="129:129" x14ac:dyDescent="0.2">
      <c r="DY43855" s="185" t="s">
        <v>215</v>
      </c>
    </row>
    <row r="43856" spans="129:129" x14ac:dyDescent="0.2">
      <c r="DY43856" s="185" t="s">
        <v>215</v>
      </c>
    </row>
    <row r="43857" spans="129:129" x14ac:dyDescent="0.2">
      <c r="DY43857" s="185" t="s">
        <v>215</v>
      </c>
    </row>
    <row r="43858" spans="129:129" x14ac:dyDescent="0.2">
      <c r="DY43858" s="185" t="s">
        <v>215</v>
      </c>
    </row>
    <row r="43859" spans="129:129" x14ac:dyDescent="0.2">
      <c r="DY43859" s="185" t="s">
        <v>215</v>
      </c>
    </row>
    <row r="43860" spans="129:129" x14ac:dyDescent="0.2">
      <c r="DY43860" s="185" t="s">
        <v>215</v>
      </c>
    </row>
    <row r="43861" spans="129:129" x14ac:dyDescent="0.2">
      <c r="DY43861" s="185" t="s">
        <v>215</v>
      </c>
    </row>
    <row r="43862" spans="129:129" x14ac:dyDescent="0.2">
      <c r="DY43862" s="185" t="s">
        <v>215</v>
      </c>
    </row>
    <row r="43863" spans="129:129" x14ac:dyDescent="0.2">
      <c r="DY43863" s="185" t="s">
        <v>215</v>
      </c>
    </row>
    <row r="43864" spans="129:129" x14ac:dyDescent="0.2">
      <c r="DY43864" s="185" t="s">
        <v>215</v>
      </c>
    </row>
    <row r="43865" spans="129:129" x14ac:dyDescent="0.2">
      <c r="DY43865" s="185" t="s">
        <v>215</v>
      </c>
    </row>
    <row r="43866" spans="129:129" x14ac:dyDescent="0.2">
      <c r="DY43866" s="185" t="s">
        <v>215</v>
      </c>
    </row>
    <row r="43867" spans="129:129" x14ac:dyDescent="0.2">
      <c r="DY43867" s="185" t="s">
        <v>215</v>
      </c>
    </row>
    <row r="43868" spans="129:129" x14ac:dyDescent="0.2">
      <c r="DY43868" s="185" t="s">
        <v>215</v>
      </c>
    </row>
    <row r="43869" spans="129:129" x14ac:dyDescent="0.2">
      <c r="DY43869" s="185" t="s">
        <v>215</v>
      </c>
    </row>
    <row r="43870" spans="129:129" x14ac:dyDescent="0.2">
      <c r="DY43870" s="185" t="s">
        <v>215</v>
      </c>
    </row>
    <row r="43871" spans="129:129" x14ac:dyDescent="0.2">
      <c r="DY43871" s="185" t="s">
        <v>215</v>
      </c>
    </row>
    <row r="43872" spans="129:129" x14ac:dyDescent="0.2">
      <c r="DY43872" s="185" t="s">
        <v>215</v>
      </c>
    </row>
    <row r="43873" spans="129:129" x14ac:dyDescent="0.2">
      <c r="DY43873" s="185" t="s">
        <v>215</v>
      </c>
    </row>
    <row r="43874" spans="129:129" x14ac:dyDescent="0.2">
      <c r="DY43874" s="185" t="s">
        <v>215</v>
      </c>
    </row>
    <row r="43875" spans="129:129" x14ac:dyDescent="0.2">
      <c r="DY43875" s="185" t="s">
        <v>215</v>
      </c>
    </row>
    <row r="43876" spans="129:129" x14ac:dyDescent="0.2">
      <c r="DY43876" s="185" t="s">
        <v>215</v>
      </c>
    </row>
    <row r="43877" spans="129:129" x14ac:dyDescent="0.2">
      <c r="DY43877" s="185" t="s">
        <v>215</v>
      </c>
    </row>
    <row r="43878" spans="129:129" x14ac:dyDescent="0.2">
      <c r="DY43878" s="185" t="s">
        <v>215</v>
      </c>
    </row>
    <row r="43879" spans="129:129" x14ac:dyDescent="0.2">
      <c r="DY43879" s="185" t="s">
        <v>215</v>
      </c>
    </row>
    <row r="43880" spans="129:129" x14ac:dyDescent="0.2">
      <c r="DY43880" s="185" t="s">
        <v>215</v>
      </c>
    </row>
    <row r="43881" spans="129:129" x14ac:dyDescent="0.2">
      <c r="DY43881" s="185" t="s">
        <v>215</v>
      </c>
    </row>
    <row r="43882" spans="129:129" x14ac:dyDescent="0.2">
      <c r="DY43882" s="185" t="s">
        <v>215</v>
      </c>
    </row>
    <row r="43883" spans="129:129" x14ac:dyDescent="0.2">
      <c r="DY43883" s="185" t="s">
        <v>215</v>
      </c>
    </row>
    <row r="43884" spans="129:129" x14ac:dyDescent="0.2">
      <c r="DY43884" s="185" t="s">
        <v>215</v>
      </c>
    </row>
    <row r="43885" spans="129:129" x14ac:dyDescent="0.2">
      <c r="DY43885" s="185" t="s">
        <v>215</v>
      </c>
    </row>
    <row r="43886" spans="129:129" x14ac:dyDescent="0.2">
      <c r="DY43886" s="185" t="s">
        <v>215</v>
      </c>
    </row>
    <row r="43887" spans="129:129" x14ac:dyDescent="0.2">
      <c r="DY43887" s="185" t="s">
        <v>215</v>
      </c>
    </row>
    <row r="43888" spans="129:129" x14ac:dyDescent="0.2">
      <c r="DY43888" s="185" t="s">
        <v>215</v>
      </c>
    </row>
    <row r="43889" spans="129:129" x14ac:dyDescent="0.2">
      <c r="DY43889" s="185" t="s">
        <v>215</v>
      </c>
    </row>
    <row r="43890" spans="129:129" x14ac:dyDescent="0.2">
      <c r="DY43890" s="185" t="s">
        <v>215</v>
      </c>
    </row>
    <row r="43891" spans="129:129" x14ac:dyDescent="0.2">
      <c r="DY43891" s="185" t="s">
        <v>215</v>
      </c>
    </row>
    <row r="43892" spans="129:129" x14ac:dyDescent="0.2">
      <c r="DY43892" s="185" t="s">
        <v>215</v>
      </c>
    </row>
    <row r="43893" spans="129:129" x14ac:dyDescent="0.2">
      <c r="DY43893" s="185" t="s">
        <v>215</v>
      </c>
    </row>
    <row r="43894" spans="129:129" x14ac:dyDescent="0.2">
      <c r="DY43894" s="185" t="s">
        <v>215</v>
      </c>
    </row>
    <row r="43895" spans="129:129" x14ac:dyDescent="0.2">
      <c r="DY43895" s="185" t="s">
        <v>215</v>
      </c>
    </row>
    <row r="43896" spans="129:129" x14ac:dyDescent="0.2">
      <c r="DY43896" s="185" t="s">
        <v>215</v>
      </c>
    </row>
    <row r="43897" spans="129:129" x14ac:dyDescent="0.2">
      <c r="DY43897" s="185" t="s">
        <v>215</v>
      </c>
    </row>
    <row r="43898" spans="129:129" x14ac:dyDescent="0.2">
      <c r="DY43898" s="185" t="s">
        <v>215</v>
      </c>
    </row>
    <row r="43899" spans="129:129" x14ac:dyDescent="0.2">
      <c r="DY43899" s="185" t="s">
        <v>215</v>
      </c>
    </row>
    <row r="43900" spans="129:129" x14ac:dyDescent="0.2">
      <c r="DY43900" s="185" t="s">
        <v>215</v>
      </c>
    </row>
    <row r="43901" spans="129:129" x14ac:dyDescent="0.2">
      <c r="DY43901" s="185" t="s">
        <v>215</v>
      </c>
    </row>
    <row r="43902" spans="129:129" x14ac:dyDescent="0.2">
      <c r="DY43902" s="185" t="s">
        <v>215</v>
      </c>
    </row>
    <row r="43903" spans="129:129" x14ac:dyDescent="0.2">
      <c r="DY43903" s="185" t="s">
        <v>215</v>
      </c>
    </row>
    <row r="43904" spans="129:129" x14ac:dyDescent="0.2">
      <c r="DY43904" s="185" t="s">
        <v>215</v>
      </c>
    </row>
    <row r="43905" spans="129:129" x14ac:dyDescent="0.2">
      <c r="DY43905" s="185" t="s">
        <v>215</v>
      </c>
    </row>
    <row r="43906" spans="129:129" x14ac:dyDescent="0.2">
      <c r="DY43906" s="185" t="s">
        <v>215</v>
      </c>
    </row>
    <row r="43907" spans="129:129" x14ac:dyDescent="0.2">
      <c r="DY43907" s="185" t="s">
        <v>215</v>
      </c>
    </row>
    <row r="43908" spans="129:129" x14ac:dyDescent="0.2">
      <c r="DY43908" s="185" t="s">
        <v>215</v>
      </c>
    </row>
    <row r="43909" spans="129:129" x14ac:dyDescent="0.2">
      <c r="DY43909" s="185" t="s">
        <v>215</v>
      </c>
    </row>
    <row r="43910" spans="129:129" x14ac:dyDescent="0.2">
      <c r="DY43910" s="185" t="s">
        <v>215</v>
      </c>
    </row>
    <row r="43911" spans="129:129" x14ac:dyDescent="0.2">
      <c r="DY43911" s="185" t="s">
        <v>215</v>
      </c>
    </row>
    <row r="43912" spans="129:129" x14ac:dyDescent="0.2">
      <c r="DY43912" s="185" t="s">
        <v>215</v>
      </c>
    </row>
    <row r="43913" spans="129:129" x14ac:dyDescent="0.2">
      <c r="DY43913" s="185" t="s">
        <v>215</v>
      </c>
    </row>
    <row r="43914" spans="129:129" x14ac:dyDescent="0.2">
      <c r="DY43914" s="185" t="s">
        <v>215</v>
      </c>
    </row>
    <row r="43915" spans="129:129" x14ac:dyDescent="0.2">
      <c r="DY43915" s="185" t="s">
        <v>215</v>
      </c>
    </row>
    <row r="43916" spans="129:129" x14ac:dyDescent="0.2">
      <c r="DY43916" s="185" t="s">
        <v>215</v>
      </c>
    </row>
    <row r="43917" spans="129:129" x14ac:dyDescent="0.2">
      <c r="DY43917" s="185" t="s">
        <v>215</v>
      </c>
    </row>
    <row r="43918" spans="129:129" x14ac:dyDescent="0.2">
      <c r="DY43918" s="185" t="s">
        <v>215</v>
      </c>
    </row>
    <row r="43919" spans="129:129" x14ac:dyDescent="0.2">
      <c r="DY43919" s="185" t="s">
        <v>215</v>
      </c>
    </row>
    <row r="43920" spans="129:129" x14ac:dyDescent="0.2">
      <c r="DY43920" s="185" t="s">
        <v>215</v>
      </c>
    </row>
    <row r="43921" spans="129:129" x14ac:dyDescent="0.2">
      <c r="DY43921" s="185" t="s">
        <v>215</v>
      </c>
    </row>
    <row r="43922" spans="129:129" x14ac:dyDescent="0.2">
      <c r="DY43922" s="185" t="s">
        <v>215</v>
      </c>
    </row>
    <row r="43923" spans="129:129" x14ac:dyDescent="0.2">
      <c r="DY43923" s="185" t="s">
        <v>215</v>
      </c>
    </row>
    <row r="43924" spans="129:129" x14ac:dyDescent="0.2">
      <c r="DY43924" s="185" t="s">
        <v>215</v>
      </c>
    </row>
    <row r="43925" spans="129:129" x14ac:dyDescent="0.2">
      <c r="DY43925" s="185" t="s">
        <v>215</v>
      </c>
    </row>
    <row r="43926" spans="129:129" x14ac:dyDescent="0.2">
      <c r="DY43926" s="185" t="s">
        <v>215</v>
      </c>
    </row>
    <row r="43927" spans="129:129" x14ac:dyDescent="0.2">
      <c r="DY43927" s="185" t="s">
        <v>215</v>
      </c>
    </row>
    <row r="43928" spans="129:129" x14ac:dyDescent="0.2">
      <c r="DY43928" s="185" t="s">
        <v>215</v>
      </c>
    </row>
    <row r="43929" spans="129:129" x14ac:dyDescent="0.2">
      <c r="DY43929" s="185" t="s">
        <v>215</v>
      </c>
    </row>
    <row r="43930" spans="129:129" x14ac:dyDescent="0.2">
      <c r="DY43930" s="185" t="s">
        <v>215</v>
      </c>
    </row>
    <row r="43931" spans="129:129" x14ac:dyDescent="0.2">
      <c r="DY43931" s="185" t="s">
        <v>215</v>
      </c>
    </row>
    <row r="43932" spans="129:129" x14ac:dyDescent="0.2">
      <c r="DY43932" s="185" t="s">
        <v>215</v>
      </c>
    </row>
    <row r="43933" spans="129:129" x14ac:dyDescent="0.2">
      <c r="DY43933" s="185" t="s">
        <v>215</v>
      </c>
    </row>
    <row r="43934" spans="129:129" x14ac:dyDescent="0.2">
      <c r="DY43934" s="185" t="s">
        <v>215</v>
      </c>
    </row>
    <row r="43935" spans="129:129" x14ac:dyDescent="0.2">
      <c r="DY43935" s="185" t="s">
        <v>215</v>
      </c>
    </row>
    <row r="43936" spans="129:129" x14ac:dyDescent="0.2">
      <c r="DY43936" s="185" t="s">
        <v>215</v>
      </c>
    </row>
    <row r="43937" spans="129:129" x14ac:dyDescent="0.2">
      <c r="DY43937" s="185" t="s">
        <v>215</v>
      </c>
    </row>
    <row r="43938" spans="129:129" x14ac:dyDescent="0.2">
      <c r="DY43938" s="185" t="s">
        <v>215</v>
      </c>
    </row>
    <row r="43939" spans="129:129" x14ac:dyDescent="0.2">
      <c r="DY43939" s="185" t="s">
        <v>215</v>
      </c>
    </row>
    <row r="43940" spans="129:129" x14ac:dyDescent="0.2">
      <c r="DY43940" s="185" t="s">
        <v>215</v>
      </c>
    </row>
    <row r="43941" spans="129:129" x14ac:dyDescent="0.2">
      <c r="DY43941" s="185" t="s">
        <v>215</v>
      </c>
    </row>
    <row r="43942" spans="129:129" x14ac:dyDescent="0.2">
      <c r="DY43942" s="185" t="s">
        <v>215</v>
      </c>
    </row>
    <row r="43943" spans="129:129" x14ac:dyDescent="0.2">
      <c r="DY43943" s="185" t="s">
        <v>215</v>
      </c>
    </row>
    <row r="43944" spans="129:129" x14ac:dyDescent="0.2">
      <c r="DY43944" s="185" t="s">
        <v>215</v>
      </c>
    </row>
    <row r="43945" spans="129:129" x14ac:dyDescent="0.2">
      <c r="DY43945" s="185" t="s">
        <v>215</v>
      </c>
    </row>
    <row r="43946" spans="129:129" x14ac:dyDescent="0.2">
      <c r="DY43946" s="185" t="s">
        <v>215</v>
      </c>
    </row>
    <row r="43947" spans="129:129" x14ac:dyDescent="0.2">
      <c r="DY43947" s="185" t="s">
        <v>215</v>
      </c>
    </row>
    <row r="43948" spans="129:129" x14ac:dyDescent="0.2">
      <c r="DY43948" s="185" t="s">
        <v>215</v>
      </c>
    </row>
    <row r="43949" spans="129:129" x14ac:dyDescent="0.2">
      <c r="DY43949" s="185" t="s">
        <v>215</v>
      </c>
    </row>
    <row r="43950" spans="129:129" x14ac:dyDescent="0.2">
      <c r="DY43950" s="185" t="s">
        <v>215</v>
      </c>
    </row>
    <row r="43951" spans="129:129" x14ac:dyDescent="0.2">
      <c r="DY43951" s="185" t="s">
        <v>215</v>
      </c>
    </row>
    <row r="43952" spans="129:129" x14ac:dyDescent="0.2">
      <c r="DY43952" s="185" t="s">
        <v>215</v>
      </c>
    </row>
    <row r="43953" spans="129:129" x14ac:dyDescent="0.2">
      <c r="DY43953" s="185" t="s">
        <v>215</v>
      </c>
    </row>
    <row r="43954" spans="129:129" x14ac:dyDescent="0.2">
      <c r="DY43954" s="185" t="s">
        <v>215</v>
      </c>
    </row>
    <row r="43955" spans="129:129" x14ac:dyDescent="0.2">
      <c r="DY43955" s="185" t="s">
        <v>215</v>
      </c>
    </row>
    <row r="43956" spans="129:129" x14ac:dyDescent="0.2">
      <c r="DY43956" s="185" t="s">
        <v>215</v>
      </c>
    </row>
    <row r="43957" spans="129:129" x14ac:dyDescent="0.2">
      <c r="DY43957" s="185" t="s">
        <v>215</v>
      </c>
    </row>
    <row r="43958" spans="129:129" x14ac:dyDescent="0.2">
      <c r="DY43958" s="185" t="s">
        <v>215</v>
      </c>
    </row>
    <row r="43959" spans="129:129" x14ac:dyDescent="0.2">
      <c r="DY43959" s="185" t="s">
        <v>215</v>
      </c>
    </row>
    <row r="43960" spans="129:129" x14ac:dyDescent="0.2">
      <c r="DY43960" s="185" t="s">
        <v>215</v>
      </c>
    </row>
    <row r="43961" spans="129:129" x14ac:dyDescent="0.2">
      <c r="DY43961" s="185" t="s">
        <v>215</v>
      </c>
    </row>
    <row r="43962" spans="129:129" x14ac:dyDescent="0.2">
      <c r="DY43962" s="185" t="s">
        <v>215</v>
      </c>
    </row>
    <row r="43963" spans="129:129" x14ac:dyDescent="0.2">
      <c r="DY43963" s="185" t="s">
        <v>215</v>
      </c>
    </row>
    <row r="43964" spans="129:129" x14ac:dyDescent="0.2">
      <c r="DY43964" s="185" t="s">
        <v>215</v>
      </c>
    </row>
    <row r="43965" spans="129:129" x14ac:dyDescent="0.2">
      <c r="DY43965" s="185" t="s">
        <v>215</v>
      </c>
    </row>
    <row r="43966" spans="129:129" x14ac:dyDescent="0.2">
      <c r="DY43966" s="185" t="s">
        <v>215</v>
      </c>
    </row>
    <row r="43967" spans="129:129" x14ac:dyDescent="0.2">
      <c r="DY43967" s="185" t="s">
        <v>215</v>
      </c>
    </row>
    <row r="43968" spans="129:129" x14ac:dyDescent="0.2">
      <c r="DY43968" s="185" t="s">
        <v>215</v>
      </c>
    </row>
    <row r="43969" spans="129:129" x14ac:dyDescent="0.2">
      <c r="DY43969" s="185" t="s">
        <v>215</v>
      </c>
    </row>
    <row r="43970" spans="129:129" x14ac:dyDescent="0.2">
      <c r="DY43970" s="185" t="s">
        <v>215</v>
      </c>
    </row>
    <row r="43971" spans="129:129" x14ac:dyDescent="0.2">
      <c r="DY43971" s="185" t="s">
        <v>215</v>
      </c>
    </row>
    <row r="43972" spans="129:129" x14ac:dyDescent="0.2">
      <c r="DY43972" s="185" t="s">
        <v>215</v>
      </c>
    </row>
    <row r="43973" spans="129:129" x14ac:dyDescent="0.2">
      <c r="DY43973" s="185" t="s">
        <v>215</v>
      </c>
    </row>
    <row r="43974" spans="129:129" x14ac:dyDescent="0.2">
      <c r="DY43974" s="185" t="s">
        <v>215</v>
      </c>
    </row>
    <row r="43975" spans="129:129" x14ac:dyDescent="0.2">
      <c r="DY43975" s="185" t="s">
        <v>215</v>
      </c>
    </row>
    <row r="43976" spans="129:129" x14ac:dyDescent="0.2">
      <c r="DY43976" s="185" t="s">
        <v>215</v>
      </c>
    </row>
    <row r="43977" spans="129:129" x14ac:dyDescent="0.2">
      <c r="DY43977" s="185" t="s">
        <v>215</v>
      </c>
    </row>
    <row r="43978" spans="129:129" x14ac:dyDescent="0.2">
      <c r="DY43978" s="185" t="s">
        <v>215</v>
      </c>
    </row>
    <row r="43979" spans="129:129" x14ac:dyDescent="0.2">
      <c r="DY43979" s="185" t="s">
        <v>215</v>
      </c>
    </row>
    <row r="43980" spans="129:129" x14ac:dyDescent="0.2">
      <c r="DY43980" s="185" t="s">
        <v>215</v>
      </c>
    </row>
    <row r="43981" spans="129:129" x14ac:dyDescent="0.2">
      <c r="DY43981" s="185" t="s">
        <v>215</v>
      </c>
    </row>
    <row r="43982" spans="129:129" x14ac:dyDescent="0.2">
      <c r="DY43982" s="185" t="s">
        <v>215</v>
      </c>
    </row>
    <row r="43983" spans="129:129" x14ac:dyDescent="0.2">
      <c r="DY43983" s="185" t="s">
        <v>215</v>
      </c>
    </row>
    <row r="43984" spans="129:129" x14ac:dyDescent="0.2">
      <c r="DY43984" s="185" t="s">
        <v>215</v>
      </c>
    </row>
    <row r="43985" spans="129:129" x14ac:dyDescent="0.2">
      <c r="DY43985" s="185" t="s">
        <v>215</v>
      </c>
    </row>
    <row r="43986" spans="129:129" x14ac:dyDescent="0.2">
      <c r="DY43986" s="185" t="s">
        <v>215</v>
      </c>
    </row>
    <row r="43987" spans="129:129" x14ac:dyDescent="0.2">
      <c r="DY43987" s="185" t="s">
        <v>215</v>
      </c>
    </row>
    <row r="43988" spans="129:129" x14ac:dyDescent="0.2">
      <c r="DY43988" s="185" t="s">
        <v>215</v>
      </c>
    </row>
    <row r="43989" spans="129:129" x14ac:dyDescent="0.2">
      <c r="DY43989" s="185" t="s">
        <v>215</v>
      </c>
    </row>
    <row r="43990" spans="129:129" x14ac:dyDescent="0.2">
      <c r="DY43990" s="185" t="s">
        <v>215</v>
      </c>
    </row>
    <row r="43991" spans="129:129" x14ac:dyDescent="0.2">
      <c r="DY43991" s="185" t="s">
        <v>215</v>
      </c>
    </row>
    <row r="43992" spans="129:129" x14ac:dyDescent="0.2">
      <c r="DY43992" s="185" t="s">
        <v>215</v>
      </c>
    </row>
    <row r="43993" spans="129:129" x14ac:dyDescent="0.2">
      <c r="DY43993" s="185" t="s">
        <v>215</v>
      </c>
    </row>
    <row r="43994" spans="129:129" x14ac:dyDescent="0.2">
      <c r="DY43994" s="185" t="s">
        <v>215</v>
      </c>
    </row>
    <row r="43995" spans="129:129" x14ac:dyDescent="0.2">
      <c r="DY43995" s="185" t="s">
        <v>215</v>
      </c>
    </row>
    <row r="43996" spans="129:129" x14ac:dyDescent="0.2">
      <c r="DY43996" s="185" t="s">
        <v>215</v>
      </c>
    </row>
    <row r="43997" spans="129:129" x14ac:dyDescent="0.2">
      <c r="DY43997" s="185" t="s">
        <v>215</v>
      </c>
    </row>
    <row r="43998" spans="129:129" x14ac:dyDescent="0.2">
      <c r="DY43998" s="185" t="s">
        <v>215</v>
      </c>
    </row>
    <row r="43999" spans="129:129" x14ac:dyDescent="0.2">
      <c r="DY43999" s="185" t="s">
        <v>215</v>
      </c>
    </row>
    <row r="44000" spans="129:129" x14ac:dyDescent="0.2">
      <c r="DY44000" s="185" t="s">
        <v>215</v>
      </c>
    </row>
    <row r="44001" spans="129:129" x14ac:dyDescent="0.2">
      <c r="DY44001" s="185" t="s">
        <v>215</v>
      </c>
    </row>
    <row r="44002" spans="129:129" x14ac:dyDescent="0.2">
      <c r="DY44002" s="185" t="s">
        <v>215</v>
      </c>
    </row>
    <row r="44003" spans="129:129" x14ac:dyDescent="0.2">
      <c r="DY44003" s="185" t="s">
        <v>215</v>
      </c>
    </row>
    <row r="44004" spans="129:129" x14ac:dyDescent="0.2">
      <c r="DY44004" s="185" t="s">
        <v>215</v>
      </c>
    </row>
    <row r="44005" spans="129:129" x14ac:dyDescent="0.2">
      <c r="DY44005" s="185" t="s">
        <v>215</v>
      </c>
    </row>
    <row r="44006" spans="129:129" x14ac:dyDescent="0.2">
      <c r="DY44006" s="185" t="s">
        <v>215</v>
      </c>
    </row>
    <row r="44007" spans="129:129" x14ac:dyDescent="0.2">
      <c r="DY44007" s="185" t="s">
        <v>215</v>
      </c>
    </row>
    <row r="44008" spans="129:129" x14ac:dyDescent="0.2">
      <c r="DY44008" s="185" t="s">
        <v>215</v>
      </c>
    </row>
    <row r="44009" spans="129:129" x14ac:dyDescent="0.2">
      <c r="DY44009" s="185" t="s">
        <v>215</v>
      </c>
    </row>
    <row r="44010" spans="129:129" x14ac:dyDescent="0.2">
      <c r="DY44010" s="185" t="s">
        <v>215</v>
      </c>
    </row>
    <row r="44011" spans="129:129" x14ac:dyDescent="0.2">
      <c r="DY44011" s="185" t="s">
        <v>215</v>
      </c>
    </row>
    <row r="44012" spans="129:129" x14ac:dyDescent="0.2">
      <c r="DY44012" s="185" t="s">
        <v>215</v>
      </c>
    </row>
    <row r="44013" spans="129:129" x14ac:dyDescent="0.2">
      <c r="DY44013" s="185" t="s">
        <v>215</v>
      </c>
    </row>
    <row r="44014" spans="129:129" x14ac:dyDescent="0.2">
      <c r="DY44014" s="185" t="s">
        <v>215</v>
      </c>
    </row>
    <row r="44015" spans="129:129" x14ac:dyDescent="0.2">
      <c r="DY44015" s="185" t="s">
        <v>215</v>
      </c>
    </row>
    <row r="44016" spans="129:129" x14ac:dyDescent="0.2">
      <c r="DY44016" s="185" t="s">
        <v>215</v>
      </c>
    </row>
    <row r="44017" spans="129:129" x14ac:dyDescent="0.2">
      <c r="DY44017" s="185" t="s">
        <v>215</v>
      </c>
    </row>
    <row r="44018" spans="129:129" x14ac:dyDescent="0.2">
      <c r="DY44018" s="185" t="s">
        <v>215</v>
      </c>
    </row>
    <row r="44019" spans="129:129" x14ac:dyDescent="0.2">
      <c r="DY44019" s="185" t="s">
        <v>215</v>
      </c>
    </row>
    <row r="44020" spans="129:129" x14ac:dyDescent="0.2">
      <c r="DY44020" s="185" t="s">
        <v>215</v>
      </c>
    </row>
    <row r="44021" spans="129:129" x14ac:dyDescent="0.2">
      <c r="DY44021" s="185" t="s">
        <v>215</v>
      </c>
    </row>
    <row r="44022" spans="129:129" x14ac:dyDescent="0.2">
      <c r="DY44022" s="185" t="s">
        <v>215</v>
      </c>
    </row>
    <row r="44023" spans="129:129" x14ac:dyDescent="0.2">
      <c r="DY44023" s="185" t="s">
        <v>215</v>
      </c>
    </row>
    <row r="44024" spans="129:129" x14ac:dyDescent="0.2">
      <c r="DY44024" s="185" t="s">
        <v>215</v>
      </c>
    </row>
    <row r="44025" spans="129:129" x14ac:dyDescent="0.2">
      <c r="DY44025" s="185" t="s">
        <v>215</v>
      </c>
    </row>
    <row r="44026" spans="129:129" x14ac:dyDescent="0.2">
      <c r="DY44026" s="185" t="s">
        <v>215</v>
      </c>
    </row>
    <row r="44027" spans="129:129" x14ac:dyDescent="0.2">
      <c r="DY44027" s="185" t="s">
        <v>215</v>
      </c>
    </row>
    <row r="44028" spans="129:129" x14ac:dyDescent="0.2">
      <c r="DY44028" s="185" t="s">
        <v>215</v>
      </c>
    </row>
    <row r="44029" spans="129:129" x14ac:dyDescent="0.2">
      <c r="DY44029" s="185" t="s">
        <v>215</v>
      </c>
    </row>
    <row r="44030" spans="129:129" x14ac:dyDescent="0.2">
      <c r="DY44030" s="185" t="s">
        <v>215</v>
      </c>
    </row>
    <row r="44031" spans="129:129" x14ac:dyDescent="0.2">
      <c r="DY44031" s="185" t="s">
        <v>215</v>
      </c>
    </row>
    <row r="44032" spans="129:129" x14ac:dyDescent="0.2">
      <c r="DY44032" s="185" t="s">
        <v>215</v>
      </c>
    </row>
    <row r="44033" spans="129:129" x14ac:dyDescent="0.2">
      <c r="DY44033" s="185" t="s">
        <v>215</v>
      </c>
    </row>
    <row r="44034" spans="129:129" x14ac:dyDescent="0.2">
      <c r="DY44034" s="185" t="s">
        <v>215</v>
      </c>
    </row>
    <row r="44035" spans="129:129" x14ac:dyDescent="0.2">
      <c r="DY44035" s="185" t="s">
        <v>215</v>
      </c>
    </row>
    <row r="44036" spans="129:129" x14ac:dyDescent="0.2">
      <c r="DY44036" s="185" t="s">
        <v>215</v>
      </c>
    </row>
    <row r="44037" spans="129:129" x14ac:dyDescent="0.2">
      <c r="DY44037" s="185" t="s">
        <v>215</v>
      </c>
    </row>
    <row r="44038" spans="129:129" x14ac:dyDescent="0.2">
      <c r="DY44038" s="185" t="s">
        <v>215</v>
      </c>
    </row>
    <row r="44039" spans="129:129" x14ac:dyDescent="0.2">
      <c r="DY44039" s="185" t="s">
        <v>215</v>
      </c>
    </row>
    <row r="44040" spans="129:129" x14ac:dyDescent="0.2">
      <c r="DY44040" s="185" t="s">
        <v>215</v>
      </c>
    </row>
    <row r="44041" spans="129:129" x14ac:dyDescent="0.2">
      <c r="DY44041" s="185" t="s">
        <v>215</v>
      </c>
    </row>
    <row r="44042" spans="129:129" x14ac:dyDescent="0.2">
      <c r="DY44042" s="185" t="s">
        <v>215</v>
      </c>
    </row>
    <row r="44043" spans="129:129" x14ac:dyDescent="0.2">
      <c r="DY44043" s="185" t="s">
        <v>215</v>
      </c>
    </row>
    <row r="44044" spans="129:129" x14ac:dyDescent="0.2">
      <c r="DY44044" s="185" t="s">
        <v>215</v>
      </c>
    </row>
    <row r="44045" spans="129:129" x14ac:dyDescent="0.2">
      <c r="DY44045" s="185" t="s">
        <v>215</v>
      </c>
    </row>
    <row r="44046" spans="129:129" x14ac:dyDescent="0.2">
      <c r="DY44046" s="185" t="s">
        <v>215</v>
      </c>
    </row>
    <row r="44047" spans="129:129" x14ac:dyDescent="0.2">
      <c r="DY44047" s="185" t="s">
        <v>215</v>
      </c>
    </row>
    <row r="44048" spans="129:129" x14ac:dyDescent="0.2">
      <c r="DY44048" s="185" t="s">
        <v>215</v>
      </c>
    </row>
    <row r="44049" spans="129:129" x14ac:dyDescent="0.2">
      <c r="DY44049" s="185" t="s">
        <v>215</v>
      </c>
    </row>
    <row r="44050" spans="129:129" x14ac:dyDescent="0.2">
      <c r="DY44050" s="185" t="s">
        <v>215</v>
      </c>
    </row>
    <row r="44051" spans="129:129" x14ac:dyDescent="0.2">
      <c r="DY44051" s="185" t="s">
        <v>215</v>
      </c>
    </row>
    <row r="44052" spans="129:129" x14ac:dyDescent="0.2">
      <c r="DY44052" s="185" t="s">
        <v>215</v>
      </c>
    </row>
    <row r="44053" spans="129:129" x14ac:dyDescent="0.2">
      <c r="DY44053" s="185" t="s">
        <v>215</v>
      </c>
    </row>
    <row r="44054" spans="129:129" x14ac:dyDescent="0.2">
      <c r="DY44054" s="185" t="s">
        <v>215</v>
      </c>
    </row>
    <row r="44055" spans="129:129" x14ac:dyDescent="0.2">
      <c r="DY44055" s="185" t="s">
        <v>215</v>
      </c>
    </row>
    <row r="44056" spans="129:129" x14ac:dyDescent="0.2">
      <c r="DY44056" s="185" t="s">
        <v>215</v>
      </c>
    </row>
    <row r="44057" spans="129:129" x14ac:dyDescent="0.2">
      <c r="DY44057" s="185" t="s">
        <v>215</v>
      </c>
    </row>
    <row r="44058" spans="129:129" x14ac:dyDescent="0.2">
      <c r="DY44058" s="185" t="s">
        <v>215</v>
      </c>
    </row>
    <row r="44059" spans="129:129" x14ac:dyDescent="0.2">
      <c r="DY44059" s="185" t="s">
        <v>215</v>
      </c>
    </row>
    <row r="44060" spans="129:129" x14ac:dyDescent="0.2">
      <c r="DY44060" s="185" t="s">
        <v>215</v>
      </c>
    </row>
    <row r="44061" spans="129:129" x14ac:dyDescent="0.2">
      <c r="DY44061" s="185" t="s">
        <v>215</v>
      </c>
    </row>
    <row r="44062" spans="129:129" x14ac:dyDescent="0.2">
      <c r="DY44062" s="185" t="s">
        <v>215</v>
      </c>
    </row>
    <row r="44063" spans="129:129" x14ac:dyDescent="0.2">
      <c r="DY44063" s="185" t="s">
        <v>215</v>
      </c>
    </row>
    <row r="44064" spans="129:129" x14ac:dyDescent="0.2">
      <c r="DY44064" s="185" t="s">
        <v>215</v>
      </c>
    </row>
    <row r="44065" spans="129:129" x14ac:dyDescent="0.2">
      <c r="DY44065" s="185" t="s">
        <v>215</v>
      </c>
    </row>
    <row r="44066" spans="129:129" x14ac:dyDescent="0.2">
      <c r="DY44066" s="185" t="s">
        <v>215</v>
      </c>
    </row>
    <row r="44067" spans="129:129" x14ac:dyDescent="0.2">
      <c r="DY44067" s="185" t="s">
        <v>215</v>
      </c>
    </row>
    <row r="44068" spans="129:129" x14ac:dyDescent="0.2">
      <c r="DY44068" s="185" t="s">
        <v>215</v>
      </c>
    </row>
    <row r="44069" spans="129:129" x14ac:dyDescent="0.2">
      <c r="DY44069" s="185" t="s">
        <v>215</v>
      </c>
    </row>
    <row r="44070" spans="129:129" x14ac:dyDescent="0.2">
      <c r="DY44070" s="185" t="s">
        <v>215</v>
      </c>
    </row>
    <row r="44071" spans="129:129" x14ac:dyDescent="0.2">
      <c r="DY44071" s="185" t="s">
        <v>215</v>
      </c>
    </row>
    <row r="44072" spans="129:129" x14ac:dyDescent="0.2">
      <c r="DY44072" s="185" t="s">
        <v>215</v>
      </c>
    </row>
    <row r="44073" spans="129:129" x14ac:dyDescent="0.2">
      <c r="DY44073" s="185" t="s">
        <v>215</v>
      </c>
    </row>
    <row r="44074" spans="129:129" x14ac:dyDescent="0.2">
      <c r="DY44074" s="185" t="s">
        <v>215</v>
      </c>
    </row>
    <row r="44075" spans="129:129" x14ac:dyDescent="0.2">
      <c r="DY44075" s="185" t="s">
        <v>215</v>
      </c>
    </row>
    <row r="44076" spans="129:129" x14ac:dyDescent="0.2">
      <c r="DY44076" s="185" t="s">
        <v>215</v>
      </c>
    </row>
    <row r="44077" spans="129:129" x14ac:dyDescent="0.2">
      <c r="DY44077" s="185" t="s">
        <v>215</v>
      </c>
    </row>
    <row r="44078" spans="129:129" x14ac:dyDescent="0.2">
      <c r="DY44078" s="185" t="s">
        <v>215</v>
      </c>
    </row>
    <row r="44079" spans="129:129" x14ac:dyDescent="0.2">
      <c r="DY44079" s="185" t="s">
        <v>215</v>
      </c>
    </row>
    <row r="44080" spans="129:129" x14ac:dyDescent="0.2">
      <c r="DY44080" s="185" t="s">
        <v>215</v>
      </c>
    </row>
    <row r="44081" spans="129:129" x14ac:dyDescent="0.2">
      <c r="DY44081" s="185" t="s">
        <v>215</v>
      </c>
    </row>
    <row r="44082" spans="129:129" x14ac:dyDescent="0.2">
      <c r="DY44082" s="185" t="s">
        <v>215</v>
      </c>
    </row>
    <row r="44083" spans="129:129" x14ac:dyDescent="0.2">
      <c r="DY44083" s="185" t="s">
        <v>215</v>
      </c>
    </row>
    <row r="44084" spans="129:129" x14ac:dyDescent="0.2">
      <c r="DY44084" s="185" t="s">
        <v>215</v>
      </c>
    </row>
    <row r="44085" spans="129:129" x14ac:dyDescent="0.2">
      <c r="DY44085" s="185" t="s">
        <v>215</v>
      </c>
    </row>
    <row r="44086" spans="129:129" x14ac:dyDescent="0.2">
      <c r="DY44086" s="185" t="s">
        <v>215</v>
      </c>
    </row>
    <row r="44087" spans="129:129" x14ac:dyDescent="0.2">
      <c r="DY44087" s="185" t="s">
        <v>215</v>
      </c>
    </row>
    <row r="44088" spans="129:129" x14ac:dyDescent="0.2">
      <c r="DY44088" s="185" t="s">
        <v>215</v>
      </c>
    </row>
    <row r="44089" spans="129:129" x14ac:dyDescent="0.2">
      <c r="DY44089" s="185" t="s">
        <v>215</v>
      </c>
    </row>
    <row r="44090" spans="129:129" x14ac:dyDescent="0.2">
      <c r="DY44090" s="185" t="s">
        <v>215</v>
      </c>
    </row>
    <row r="44091" spans="129:129" x14ac:dyDescent="0.2">
      <c r="DY44091" s="185" t="s">
        <v>215</v>
      </c>
    </row>
    <row r="44092" spans="129:129" x14ac:dyDescent="0.2">
      <c r="DY44092" s="185" t="s">
        <v>215</v>
      </c>
    </row>
    <row r="44093" spans="129:129" x14ac:dyDescent="0.2">
      <c r="DY44093" s="185" t="s">
        <v>215</v>
      </c>
    </row>
    <row r="44094" spans="129:129" x14ac:dyDescent="0.2">
      <c r="DY44094" s="185" t="s">
        <v>215</v>
      </c>
    </row>
    <row r="44095" spans="129:129" x14ac:dyDescent="0.2">
      <c r="DY44095" s="185" t="s">
        <v>215</v>
      </c>
    </row>
    <row r="44096" spans="129:129" x14ac:dyDescent="0.2">
      <c r="DY44096" s="185" t="s">
        <v>215</v>
      </c>
    </row>
    <row r="44097" spans="129:129" x14ac:dyDescent="0.2">
      <c r="DY44097" s="185" t="s">
        <v>215</v>
      </c>
    </row>
    <row r="44098" spans="129:129" x14ac:dyDescent="0.2">
      <c r="DY44098" s="185" t="s">
        <v>215</v>
      </c>
    </row>
    <row r="44099" spans="129:129" x14ac:dyDescent="0.2">
      <c r="DY44099" s="185" t="s">
        <v>215</v>
      </c>
    </row>
    <row r="44100" spans="129:129" x14ac:dyDescent="0.2">
      <c r="DY44100" s="185" t="s">
        <v>215</v>
      </c>
    </row>
    <row r="44101" spans="129:129" x14ac:dyDescent="0.2">
      <c r="DY44101" s="185" t="s">
        <v>215</v>
      </c>
    </row>
    <row r="44102" spans="129:129" x14ac:dyDescent="0.2">
      <c r="DY44102" s="185" t="s">
        <v>215</v>
      </c>
    </row>
    <row r="44103" spans="129:129" x14ac:dyDescent="0.2">
      <c r="DY44103" s="185" t="s">
        <v>215</v>
      </c>
    </row>
    <row r="44104" spans="129:129" x14ac:dyDescent="0.2">
      <c r="DY44104" s="185" t="s">
        <v>215</v>
      </c>
    </row>
    <row r="44105" spans="129:129" x14ac:dyDescent="0.2">
      <c r="DY44105" s="185" t="s">
        <v>215</v>
      </c>
    </row>
    <row r="44106" spans="129:129" x14ac:dyDescent="0.2">
      <c r="DY44106" s="185" t="s">
        <v>215</v>
      </c>
    </row>
    <row r="44107" spans="129:129" x14ac:dyDescent="0.2">
      <c r="DY44107" s="185" t="s">
        <v>215</v>
      </c>
    </row>
    <row r="44108" spans="129:129" x14ac:dyDescent="0.2">
      <c r="DY44108" s="185" t="s">
        <v>215</v>
      </c>
    </row>
    <row r="44109" spans="129:129" x14ac:dyDescent="0.2">
      <c r="DY44109" s="185" t="s">
        <v>215</v>
      </c>
    </row>
    <row r="44110" spans="129:129" x14ac:dyDescent="0.2">
      <c r="DY44110" s="185" t="s">
        <v>215</v>
      </c>
    </row>
    <row r="44111" spans="129:129" x14ac:dyDescent="0.2">
      <c r="DY44111" s="185" t="s">
        <v>215</v>
      </c>
    </row>
    <row r="44112" spans="129:129" x14ac:dyDescent="0.2">
      <c r="DY44112" s="185" t="s">
        <v>215</v>
      </c>
    </row>
    <row r="44113" spans="129:129" x14ac:dyDescent="0.2">
      <c r="DY44113" s="185" t="s">
        <v>215</v>
      </c>
    </row>
    <row r="44114" spans="129:129" x14ac:dyDescent="0.2">
      <c r="DY44114" s="185" t="s">
        <v>215</v>
      </c>
    </row>
    <row r="44115" spans="129:129" x14ac:dyDescent="0.2">
      <c r="DY44115" s="185" t="s">
        <v>215</v>
      </c>
    </row>
    <row r="44116" spans="129:129" x14ac:dyDescent="0.2">
      <c r="DY44116" s="185" t="s">
        <v>215</v>
      </c>
    </row>
    <row r="44117" spans="129:129" x14ac:dyDescent="0.2">
      <c r="DY44117" s="185" t="s">
        <v>215</v>
      </c>
    </row>
    <row r="44118" spans="129:129" x14ac:dyDescent="0.2">
      <c r="DY44118" s="185" t="s">
        <v>215</v>
      </c>
    </row>
    <row r="44119" spans="129:129" x14ac:dyDescent="0.2">
      <c r="DY44119" s="185" t="s">
        <v>215</v>
      </c>
    </row>
    <row r="44120" spans="129:129" x14ac:dyDescent="0.2">
      <c r="DY44120" s="185" t="s">
        <v>215</v>
      </c>
    </row>
    <row r="44121" spans="129:129" x14ac:dyDescent="0.2">
      <c r="DY44121" s="185" t="s">
        <v>215</v>
      </c>
    </row>
    <row r="44122" spans="129:129" x14ac:dyDescent="0.2">
      <c r="DY44122" s="185" t="s">
        <v>215</v>
      </c>
    </row>
    <row r="44123" spans="129:129" x14ac:dyDescent="0.2">
      <c r="DY44123" s="185" t="s">
        <v>215</v>
      </c>
    </row>
    <row r="44124" spans="129:129" x14ac:dyDescent="0.2">
      <c r="DY44124" s="185" t="s">
        <v>215</v>
      </c>
    </row>
    <row r="44125" spans="129:129" x14ac:dyDescent="0.2">
      <c r="DY44125" s="185" t="s">
        <v>215</v>
      </c>
    </row>
    <row r="44126" spans="129:129" x14ac:dyDescent="0.2">
      <c r="DY44126" s="185" t="s">
        <v>215</v>
      </c>
    </row>
    <row r="44127" spans="129:129" x14ac:dyDescent="0.2">
      <c r="DY44127" s="185" t="s">
        <v>215</v>
      </c>
    </row>
    <row r="44128" spans="129:129" x14ac:dyDescent="0.2">
      <c r="DY44128" s="185" t="s">
        <v>215</v>
      </c>
    </row>
    <row r="44129" spans="129:129" x14ac:dyDescent="0.2">
      <c r="DY44129" s="185" t="s">
        <v>215</v>
      </c>
    </row>
    <row r="44130" spans="129:129" x14ac:dyDescent="0.2">
      <c r="DY44130" s="185" t="s">
        <v>215</v>
      </c>
    </row>
    <row r="44131" spans="129:129" x14ac:dyDescent="0.2">
      <c r="DY44131" s="185" t="s">
        <v>215</v>
      </c>
    </row>
    <row r="44132" spans="129:129" x14ac:dyDescent="0.2">
      <c r="DY44132" s="185" t="s">
        <v>215</v>
      </c>
    </row>
    <row r="44133" spans="129:129" x14ac:dyDescent="0.2">
      <c r="DY44133" s="185" t="s">
        <v>215</v>
      </c>
    </row>
    <row r="44134" spans="129:129" x14ac:dyDescent="0.2">
      <c r="DY44134" s="185" t="s">
        <v>215</v>
      </c>
    </row>
    <row r="44135" spans="129:129" x14ac:dyDescent="0.2">
      <c r="DY44135" s="185" t="s">
        <v>215</v>
      </c>
    </row>
    <row r="44136" spans="129:129" x14ac:dyDescent="0.2">
      <c r="DY44136" s="185" t="s">
        <v>215</v>
      </c>
    </row>
    <row r="44137" spans="129:129" x14ac:dyDescent="0.2">
      <c r="DY44137" s="185" t="s">
        <v>215</v>
      </c>
    </row>
    <row r="44138" spans="129:129" x14ac:dyDescent="0.2">
      <c r="DY44138" s="185" t="s">
        <v>215</v>
      </c>
    </row>
    <row r="44139" spans="129:129" x14ac:dyDescent="0.2">
      <c r="DY44139" s="185" t="s">
        <v>215</v>
      </c>
    </row>
    <row r="44140" spans="129:129" x14ac:dyDescent="0.2">
      <c r="DY44140" s="185" t="s">
        <v>215</v>
      </c>
    </row>
    <row r="44141" spans="129:129" x14ac:dyDescent="0.2">
      <c r="DY44141" s="185" t="s">
        <v>215</v>
      </c>
    </row>
    <row r="44142" spans="129:129" x14ac:dyDescent="0.2">
      <c r="DY44142" s="185" t="s">
        <v>215</v>
      </c>
    </row>
    <row r="44143" spans="129:129" x14ac:dyDescent="0.2">
      <c r="DY44143" s="185" t="s">
        <v>215</v>
      </c>
    </row>
    <row r="44144" spans="129:129" x14ac:dyDescent="0.2">
      <c r="DY44144" s="185" t="s">
        <v>215</v>
      </c>
    </row>
    <row r="44145" spans="129:129" x14ac:dyDescent="0.2">
      <c r="DY44145" s="185" t="s">
        <v>215</v>
      </c>
    </row>
    <row r="44146" spans="129:129" x14ac:dyDescent="0.2">
      <c r="DY44146" s="185" t="s">
        <v>215</v>
      </c>
    </row>
    <row r="44147" spans="129:129" x14ac:dyDescent="0.2">
      <c r="DY44147" s="185" t="s">
        <v>215</v>
      </c>
    </row>
    <row r="44148" spans="129:129" x14ac:dyDescent="0.2">
      <c r="DY44148" s="185" t="s">
        <v>215</v>
      </c>
    </row>
    <row r="44149" spans="129:129" x14ac:dyDescent="0.2">
      <c r="DY44149" s="185" t="s">
        <v>215</v>
      </c>
    </row>
    <row r="44150" spans="129:129" x14ac:dyDescent="0.2">
      <c r="DY44150" s="185" t="s">
        <v>215</v>
      </c>
    </row>
    <row r="44151" spans="129:129" x14ac:dyDescent="0.2">
      <c r="DY44151" s="185" t="s">
        <v>215</v>
      </c>
    </row>
    <row r="44152" spans="129:129" x14ac:dyDescent="0.2">
      <c r="DY44152" s="185" t="s">
        <v>215</v>
      </c>
    </row>
    <row r="44153" spans="129:129" x14ac:dyDescent="0.2">
      <c r="DY44153" s="185" t="s">
        <v>215</v>
      </c>
    </row>
    <row r="44154" spans="129:129" x14ac:dyDescent="0.2">
      <c r="DY44154" s="185" t="s">
        <v>215</v>
      </c>
    </row>
    <row r="44155" spans="129:129" x14ac:dyDescent="0.2">
      <c r="DY44155" s="185" t="s">
        <v>215</v>
      </c>
    </row>
    <row r="44156" spans="129:129" x14ac:dyDescent="0.2">
      <c r="DY44156" s="185" t="s">
        <v>215</v>
      </c>
    </row>
    <row r="44157" spans="129:129" x14ac:dyDescent="0.2">
      <c r="DY44157" s="185" t="s">
        <v>215</v>
      </c>
    </row>
    <row r="44158" spans="129:129" x14ac:dyDescent="0.2">
      <c r="DY44158" s="185" t="s">
        <v>215</v>
      </c>
    </row>
    <row r="44159" spans="129:129" x14ac:dyDescent="0.2">
      <c r="DY44159" s="185" t="s">
        <v>215</v>
      </c>
    </row>
    <row r="44160" spans="129:129" x14ac:dyDescent="0.2">
      <c r="DY44160" s="185" t="s">
        <v>215</v>
      </c>
    </row>
    <row r="44161" spans="129:129" x14ac:dyDescent="0.2">
      <c r="DY44161" s="185" t="s">
        <v>215</v>
      </c>
    </row>
    <row r="44162" spans="129:129" x14ac:dyDescent="0.2">
      <c r="DY44162" s="185" t="s">
        <v>215</v>
      </c>
    </row>
    <row r="44163" spans="129:129" x14ac:dyDescent="0.2">
      <c r="DY44163" s="185" t="s">
        <v>215</v>
      </c>
    </row>
    <row r="44164" spans="129:129" x14ac:dyDescent="0.2">
      <c r="DY44164" s="185" t="s">
        <v>215</v>
      </c>
    </row>
    <row r="44165" spans="129:129" x14ac:dyDescent="0.2">
      <c r="DY44165" s="185" t="s">
        <v>215</v>
      </c>
    </row>
    <row r="44166" spans="129:129" x14ac:dyDescent="0.2">
      <c r="DY44166" s="185" t="s">
        <v>215</v>
      </c>
    </row>
    <row r="44167" spans="129:129" x14ac:dyDescent="0.2">
      <c r="DY44167" s="185" t="s">
        <v>215</v>
      </c>
    </row>
    <row r="44168" spans="129:129" x14ac:dyDescent="0.2">
      <c r="DY44168" s="185" t="s">
        <v>215</v>
      </c>
    </row>
    <row r="44169" spans="129:129" x14ac:dyDescent="0.2">
      <c r="DY44169" s="185" t="s">
        <v>215</v>
      </c>
    </row>
    <row r="44170" spans="129:129" x14ac:dyDescent="0.2">
      <c r="DY44170" s="185" t="s">
        <v>215</v>
      </c>
    </row>
    <row r="44171" spans="129:129" x14ac:dyDescent="0.2">
      <c r="DY44171" s="185" t="s">
        <v>215</v>
      </c>
    </row>
    <row r="44172" spans="129:129" x14ac:dyDescent="0.2">
      <c r="DY44172" s="185" t="s">
        <v>215</v>
      </c>
    </row>
    <row r="44173" spans="129:129" x14ac:dyDescent="0.2">
      <c r="DY44173" s="185" t="s">
        <v>215</v>
      </c>
    </row>
    <row r="44174" spans="129:129" x14ac:dyDescent="0.2">
      <c r="DY44174" s="185" t="s">
        <v>215</v>
      </c>
    </row>
    <row r="44175" spans="129:129" x14ac:dyDescent="0.2">
      <c r="DY44175" s="185" t="s">
        <v>215</v>
      </c>
    </row>
    <row r="44176" spans="129:129" x14ac:dyDescent="0.2">
      <c r="DY44176" s="185" t="s">
        <v>215</v>
      </c>
    </row>
    <row r="44177" spans="129:129" x14ac:dyDescent="0.2">
      <c r="DY44177" s="185" t="s">
        <v>215</v>
      </c>
    </row>
    <row r="44178" spans="129:129" x14ac:dyDescent="0.2">
      <c r="DY44178" s="185" t="s">
        <v>215</v>
      </c>
    </row>
    <row r="44179" spans="129:129" x14ac:dyDescent="0.2">
      <c r="DY44179" s="185" t="s">
        <v>215</v>
      </c>
    </row>
    <row r="44180" spans="129:129" x14ac:dyDescent="0.2">
      <c r="DY44180" s="185" t="s">
        <v>215</v>
      </c>
    </row>
    <row r="44181" spans="129:129" x14ac:dyDescent="0.2">
      <c r="DY44181" s="185" t="s">
        <v>215</v>
      </c>
    </row>
    <row r="44182" spans="129:129" x14ac:dyDescent="0.2">
      <c r="DY44182" s="185" t="s">
        <v>215</v>
      </c>
    </row>
    <row r="44183" spans="129:129" x14ac:dyDescent="0.2">
      <c r="DY44183" s="185" t="s">
        <v>215</v>
      </c>
    </row>
    <row r="44184" spans="129:129" x14ac:dyDescent="0.2">
      <c r="DY44184" s="185" t="s">
        <v>215</v>
      </c>
    </row>
    <row r="44185" spans="129:129" x14ac:dyDescent="0.2">
      <c r="DY44185" s="185" t="s">
        <v>215</v>
      </c>
    </row>
    <row r="44186" spans="129:129" x14ac:dyDescent="0.2">
      <c r="DY44186" s="185" t="s">
        <v>215</v>
      </c>
    </row>
    <row r="44187" spans="129:129" x14ac:dyDescent="0.2">
      <c r="DY44187" s="185" t="s">
        <v>215</v>
      </c>
    </row>
    <row r="44188" spans="129:129" x14ac:dyDescent="0.2">
      <c r="DY44188" s="185" t="s">
        <v>215</v>
      </c>
    </row>
    <row r="44189" spans="129:129" x14ac:dyDescent="0.2">
      <c r="DY44189" s="185" t="s">
        <v>215</v>
      </c>
    </row>
    <row r="44190" spans="129:129" x14ac:dyDescent="0.2">
      <c r="DY44190" s="185" t="s">
        <v>215</v>
      </c>
    </row>
    <row r="44191" spans="129:129" x14ac:dyDescent="0.2">
      <c r="DY44191" s="185" t="s">
        <v>215</v>
      </c>
    </row>
    <row r="44192" spans="129:129" x14ac:dyDescent="0.2">
      <c r="DY44192" s="185" t="s">
        <v>215</v>
      </c>
    </row>
    <row r="44193" spans="129:129" x14ac:dyDescent="0.2">
      <c r="DY44193" s="185" t="s">
        <v>215</v>
      </c>
    </row>
    <row r="44194" spans="129:129" x14ac:dyDescent="0.2">
      <c r="DY44194" s="185" t="s">
        <v>215</v>
      </c>
    </row>
    <row r="44195" spans="129:129" x14ac:dyDescent="0.2">
      <c r="DY44195" s="185" t="s">
        <v>215</v>
      </c>
    </row>
    <row r="44196" spans="129:129" x14ac:dyDescent="0.2">
      <c r="DY44196" s="185" t="s">
        <v>215</v>
      </c>
    </row>
    <row r="44197" spans="129:129" x14ac:dyDescent="0.2">
      <c r="DY44197" s="185" t="s">
        <v>215</v>
      </c>
    </row>
    <row r="44198" spans="129:129" x14ac:dyDescent="0.2">
      <c r="DY44198" s="185" t="s">
        <v>215</v>
      </c>
    </row>
    <row r="44199" spans="129:129" x14ac:dyDescent="0.2">
      <c r="DY44199" s="185" t="s">
        <v>215</v>
      </c>
    </row>
    <row r="44200" spans="129:129" x14ac:dyDescent="0.2">
      <c r="DY44200" s="185" t="s">
        <v>215</v>
      </c>
    </row>
    <row r="44201" spans="129:129" x14ac:dyDescent="0.2">
      <c r="DY44201" s="185" t="s">
        <v>215</v>
      </c>
    </row>
    <row r="44202" spans="129:129" x14ac:dyDescent="0.2">
      <c r="DY44202" s="185" t="s">
        <v>215</v>
      </c>
    </row>
    <row r="44203" spans="129:129" x14ac:dyDescent="0.2">
      <c r="DY44203" s="185" t="s">
        <v>215</v>
      </c>
    </row>
    <row r="44204" spans="129:129" x14ac:dyDescent="0.2">
      <c r="DY44204" s="185" t="s">
        <v>215</v>
      </c>
    </row>
    <row r="44205" spans="129:129" x14ac:dyDescent="0.2">
      <c r="DY44205" s="185" t="s">
        <v>215</v>
      </c>
    </row>
    <row r="44206" spans="129:129" x14ac:dyDescent="0.2">
      <c r="DY44206" s="185" t="s">
        <v>215</v>
      </c>
    </row>
    <row r="44207" spans="129:129" x14ac:dyDescent="0.2">
      <c r="DY44207" s="185" t="s">
        <v>215</v>
      </c>
    </row>
    <row r="44208" spans="129:129" x14ac:dyDescent="0.2">
      <c r="DY44208" s="185" t="s">
        <v>215</v>
      </c>
    </row>
    <row r="44209" spans="129:129" x14ac:dyDescent="0.2">
      <c r="DY44209" s="185" t="s">
        <v>215</v>
      </c>
    </row>
    <row r="44210" spans="129:129" x14ac:dyDescent="0.2">
      <c r="DY44210" s="185" t="s">
        <v>215</v>
      </c>
    </row>
    <row r="44211" spans="129:129" x14ac:dyDescent="0.2">
      <c r="DY44211" s="185" t="s">
        <v>215</v>
      </c>
    </row>
    <row r="44212" spans="129:129" x14ac:dyDescent="0.2">
      <c r="DY44212" s="185" t="s">
        <v>215</v>
      </c>
    </row>
    <row r="44213" spans="129:129" x14ac:dyDescent="0.2">
      <c r="DY44213" s="185" t="s">
        <v>215</v>
      </c>
    </row>
    <row r="44214" spans="129:129" x14ac:dyDescent="0.2">
      <c r="DY44214" s="185" t="s">
        <v>215</v>
      </c>
    </row>
    <row r="44215" spans="129:129" x14ac:dyDescent="0.2">
      <c r="DY44215" s="185" t="s">
        <v>215</v>
      </c>
    </row>
    <row r="44216" spans="129:129" x14ac:dyDescent="0.2">
      <c r="DY44216" s="185" t="s">
        <v>215</v>
      </c>
    </row>
    <row r="44217" spans="129:129" x14ac:dyDescent="0.2">
      <c r="DY44217" s="185" t="s">
        <v>215</v>
      </c>
    </row>
    <row r="44218" spans="129:129" x14ac:dyDescent="0.2">
      <c r="DY44218" s="185" t="s">
        <v>215</v>
      </c>
    </row>
    <row r="44219" spans="129:129" x14ac:dyDescent="0.2">
      <c r="DY44219" s="185" t="s">
        <v>215</v>
      </c>
    </row>
    <row r="44220" spans="129:129" x14ac:dyDescent="0.2">
      <c r="DY44220" s="185" t="s">
        <v>215</v>
      </c>
    </row>
    <row r="44221" spans="129:129" x14ac:dyDescent="0.2">
      <c r="DY44221" s="185" t="s">
        <v>215</v>
      </c>
    </row>
    <row r="44222" spans="129:129" x14ac:dyDescent="0.2">
      <c r="DY44222" s="185" t="s">
        <v>215</v>
      </c>
    </row>
    <row r="44223" spans="129:129" x14ac:dyDescent="0.2">
      <c r="DY44223" s="185" t="s">
        <v>215</v>
      </c>
    </row>
    <row r="44224" spans="129:129" x14ac:dyDescent="0.2">
      <c r="DY44224" s="185" t="s">
        <v>215</v>
      </c>
    </row>
    <row r="44225" spans="129:129" x14ac:dyDescent="0.2">
      <c r="DY44225" s="185" t="s">
        <v>215</v>
      </c>
    </row>
    <row r="44226" spans="129:129" x14ac:dyDescent="0.2">
      <c r="DY44226" s="185" t="s">
        <v>215</v>
      </c>
    </row>
    <row r="44227" spans="129:129" x14ac:dyDescent="0.2">
      <c r="DY44227" s="185" t="s">
        <v>215</v>
      </c>
    </row>
    <row r="44228" spans="129:129" x14ac:dyDescent="0.2">
      <c r="DY44228" s="185" t="s">
        <v>215</v>
      </c>
    </row>
    <row r="44229" spans="129:129" x14ac:dyDescent="0.2">
      <c r="DY44229" s="185" t="s">
        <v>215</v>
      </c>
    </row>
    <row r="44230" spans="129:129" x14ac:dyDescent="0.2">
      <c r="DY44230" s="185" t="s">
        <v>215</v>
      </c>
    </row>
    <row r="44231" spans="129:129" x14ac:dyDescent="0.2">
      <c r="DY44231" s="185" t="s">
        <v>215</v>
      </c>
    </row>
    <row r="44232" spans="129:129" x14ac:dyDescent="0.2">
      <c r="DY44232" s="185" t="s">
        <v>215</v>
      </c>
    </row>
    <row r="44233" spans="129:129" x14ac:dyDescent="0.2">
      <c r="DY44233" s="185" t="s">
        <v>215</v>
      </c>
    </row>
    <row r="44234" spans="129:129" x14ac:dyDescent="0.2">
      <c r="DY44234" s="185" t="s">
        <v>215</v>
      </c>
    </row>
    <row r="44235" spans="129:129" x14ac:dyDescent="0.2">
      <c r="DY44235" s="185" t="s">
        <v>215</v>
      </c>
    </row>
    <row r="44236" spans="129:129" x14ac:dyDescent="0.2">
      <c r="DY44236" s="185" t="s">
        <v>215</v>
      </c>
    </row>
    <row r="44237" spans="129:129" x14ac:dyDescent="0.2">
      <c r="DY44237" s="185" t="s">
        <v>215</v>
      </c>
    </row>
    <row r="44238" spans="129:129" x14ac:dyDescent="0.2">
      <c r="DY44238" s="185" t="s">
        <v>215</v>
      </c>
    </row>
    <row r="44239" spans="129:129" x14ac:dyDescent="0.2">
      <c r="DY44239" s="185" t="s">
        <v>215</v>
      </c>
    </row>
    <row r="44240" spans="129:129" x14ac:dyDescent="0.2">
      <c r="DY44240" s="185" t="s">
        <v>215</v>
      </c>
    </row>
    <row r="44241" spans="129:129" x14ac:dyDescent="0.2">
      <c r="DY44241" s="185" t="s">
        <v>215</v>
      </c>
    </row>
    <row r="44242" spans="129:129" x14ac:dyDescent="0.2">
      <c r="DY44242" s="185" t="s">
        <v>215</v>
      </c>
    </row>
    <row r="44243" spans="129:129" x14ac:dyDescent="0.2">
      <c r="DY44243" s="185" t="s">
        <v>215</v>
      </c>
    </row>
    <row r="44244" spans="129:129" x14ac:dyDescent="0.2">
      <c r="DY44244" s="185" t="s">
        <v>215</v>
      </c>
    </row>
    <row r="44245" spans="129:129" x14ac:dyDescent="0.2">
      <c r="DY44245" s="185" t="s">
        <v>215</v>
      </c>
    </row>
    <row r="44246" spans="129:129" x14ac:dyDescent="0.2">
      <c r="DY44246" s="185" t="s">
        <v>215</v>
      </c>
    </row>
    <row r="44247" spans="129:129" x14ac:dyDescent="0.2">
      <c r="DY44247" s="185" t="s">
        <v>215</v>
      </c>
    </row>
    <row r="44248" spans="129:129" x14ac:dyDescent="0.2">
      <c r="DY44248" s="185" t="s">
        <v>215</v>
      </c>
    </row>
    <row r="44249" spans="129:129" x14ac:dyDescent="0.2">
      <c r="DY44249" s="185" t="s">
        <v>215</v>
      </c>
    </row>
    <row r="44250" spans="129:129" x14ac:dyDescent="0.2">
      <c r="DY44250" s="185" t="s">
        <v>215</v>
      </c>
    </row>
    <row r="44251" spans="129:129" x14ac:dyDescent="0.2">
      <c r="DY44251" s="185" t="s">
        <v>215</v>
      </c>
    </row>
    <row r="44252" spans="129:129" x14ac:dyDescent="0.2">
      <c r="DY44252" s="185" t="s">
        <v>215</v>
      </c>
    </row>
    <row r="44253" spans="129:129" x14ac:dyDescent="0.2">
      <c r="DY44253" s="185" t="s">
        <v>215</v>
      </c>
    </row>
    <row r="44254" spans="129:129" x14ac:dyDescent="0.2">
      <c r="DY44254" s="185" t="s">
        <v>215</v>
      </c>
    </row>
    <row r="44255" spans="129:129" x14ac:dyDescent="0.2">
      <c r="DY44255" s="185" t="s">
        <v>215</v>
      </c>
    </row>
    <row r="44256" spans="129:129" x14ac:dyDescent="0.2">
      <c r="DY44256" s="185" t="s">
        <v>215</v>
      </c>
    </row>
    <row r="44257" spans="129:129" x14ac:dyDescent="0.2">
      <c r="DY44257" s="185" t="s">
        <v>215</v>
      </c>
    </row>
    <row r="44258" spans="129:129" x14ac:dyDescent="0.2">
      <c r="DY44258" s="185" t="s">
        <v>215</v>
      </c>
    </row>
    <row r="44259" spans="129:129" x14ac:dyDescent="0.2">
      <c r="DY44259" s="185" t="s">
        <v>215</v>
      </c>
    </row>
    <row r="44260" spans="129:129" x14ac:dyDescent="0.2">
      <c r="DY44260" s="185" t="s">
        <v>215</v>
      </c>
    </row>
    <row r="44261" spans="129:129" x14ac:dyDescent="0.2">
      <c r="DY44261" s="185" t="s">
        <v>215</v>
      </c>
    </row>
    <row r="44262" spans="129:129" x14ac:dyDescent="0.2">
      <c r="DY44262" s="185" t="s">
        <v>215</v>
      </c>
    </row>
    <row r="44263" spans="129:129" x14ac:dyDescent="0.2">
      <c r="DY44263" s="185" t="s">
        <v>215</v>
      </c>
    </row>
    <row r="44264" spans="129:129" x14ac:dyDescent="0.2">
      <c r="DY44264" s="185" t="s">
        <v>215</v>
      </c>
    </row>
    <row r="44265" spans="129:129" x14ac:dyDescent="0.2">
      <c r="DY44265" s="185" t="s">
        <v>215</v>
      </c>
    </row>
    <row r="44266" spans="129:129" x14ac:dyDescent="0.2">
      <c r="DY44266" s="185" t="s">
        <v>215</v>
      </c>
    </row>
    <row r="44267" spans="129:129" x14ac:dyDescent="0.2">
      <c r="DY44267" s="185" t="s">
        <v>215</v>
      </c>
    </row>
    <row r="44268" spans="129:129" x14ac:dyDescent="0.2">
      <c r="DY44268" s="185" t="s">
        <v>215</v>
      </c>
    </row>
    <row r="44269" spans="129:129" x14ac:dyDescent="0.2">
      <c r="DY44269" s="185" t="s">
        <v>215</v>
      </c>
    </row>
    <row r="44270" spans="129:129" x14ac:dyDescent="0.2">
      <c r="DY44270" s="185" t="s">
        <v>215</v>
      </c>
    </row>
    <row r="44271" spans="129:129" x14ac:dyDescent="0.2">
      <c r="DY44271" s="185" t="s">
        <v>215</v>
      </c>
    </row>
    <row r="44272" spans="129:129" x14ac:dyDescent="0.2">
      <c r="DY44272" s="185" t="s">
        <v>215</v>
      </c>
    </row>
    <row r="44273" spans="129:129" x14ac:dyDescent="0.2">
      <c r="DY44273" s="185" t="s">
        <v>215</v>
      </c>
    </row>
    <row r="44274" spans="129:129" x14ac:dyDescent="0.2">
      <c r="DY44274" s="185" t="s">
        <v>215</v>
      </c>
    </row>
    <row r="44275" spans="129:129" x14ac:dyDescent="0.2">
      <c r="DY44275" s="185" t="s">
        <v>215</v>
      </c>
    </row>
    <row r="44276" spans="129:129" x14ac:dyDescent="0.2">
      <c r="DY44276" s="185" t="s">
        <v>215</v>
      </c>
    </row>
    <row r="44277" spans="129:129" x14ac:dyDescent="0.2">
      <c r="DY44277" s="185" t="s">
        <v>215</v>
      </c>
    </row>
    <row r="44278" spans="129:129" x14ac:dyDescent="0.2">
      <c r="DY44278" s="185" t="s">
        <v>215</v>
      </c>
    </row>
    <row r="44279" spans="129:129" x14ac:dyDescent="0.2">
      <c r="DY44279" s="185" t="s">
        <v>215</v>
      </c>
    </row>
    <row r="44280" spans="129:129" x14ac:dyDescent="0.2">
      <c r="DY44280" s="185" t="s">
        <v>215</v>
      </c>
    </row>
    <row r="44281" spans="129:129" x14ac:dyDescent="0.2">
      <c r="DY44281" s="185" t="s">
        <v>215</v>
      </c>
    </row>
    <row r="44282" spans="129:129" x14ac:dyDescent="0.2">
      <c r="DY44282" s="185" t="s">
        <v>215</v>
      </c>
    </row>
    <row r="44283" spans="129:129" x14ac:dyDescent="0.2">
      <c r="DY44283" s="185" t="s">
        <v>215</v>
      </c>
    </row>
    <row r="44284" spans="129:129" x14ac:dyDescent="0.2">
      <c r="DY44284" s="185" t="s">
        <v>215</v>
      </c>
    </row>
    <row r="44285" spans="129:129" x14ac:dyDescent="0.2">
      <c r="DY44285" s="185" t="s">
        <v>215</v>
      </c>
    </row>
    <row r="44286" spans="129:129" x14ac:dyDescent="0.2">
      <c r="DY44286" s="185" t="s">
        <v>215</v>
      </c>
    </row>
    <row r="44287" spans="129:129" x14ac:dyDescent="0.2">
      <c r="DY44287" s="185" t="s">
        <v>215</v>
      </c>
    </row>
    <row r="44288" spans="129:129" x14ac:dyDescent="0.2">
      <c r="DY44288" s="185" t="s">
        <v>215</v>
      </c>
    </row>
    <row r="44289" spans="129:129" x14ac:dyDescent="0.2">
      <c r="DY44289" s="185" t="s">
        <v>215</v>
      </c>
    </row>
    <row r="44290" spans="129:129" x14ac:dyDescent="0.2">
      <c r="DY44290" s="185" t="s">
        <v>215</v>
      </c>
    </row>
    <row r="44291" spans="129:129" x14ac:dyDescent="0.2">
      <c r="DY44291" s="185" t="s">
        <v>215</v>
      </c>
    </row>
    <row r="44292" spans="129:129" x14ac:dyDescent="0.2">
      <c r="DY44292" s="185" t="s">
        <v>215</v>
      </c>
    </row>
    <row r="44293" spans="129:129" x14ac:dyDescent="0.2">
      <c r="DY44293" s="185" t="s">
        <v>215</v>
      </c>
    </row>
    <row r="44294" spans="129:129" x14ac:dyDescent="0.2">
      <c r="DY44294" s="185" t="s">
        <v>215</v>
      </c>
    </row>
    <row r="44295" spans="129:129" x14ac:dyDescent="0.2">
      <c r="DY44295" s="185" t="s">
        <v>215</v>
      </c>
    </row>
    <row r="44296" spans="129:129" x14ac:dyDescent="0.2">
      <c r="DY44296" s="185" t="s">
        <v>215</v>
      </c>
    </row>
    <row r="44297" spans="129:129" x14ac:dyDescent="0.2">
      <c r="DY44297" s="185" t="s">
        <v>215</v>
      </c>
    </row>
    <row r="44298" spans="129:129" x14ac:dyDescent="0.2">
      <c r="DY44298" s="185" t="s">
        <v>215</v>
      </c>
    </row>
    <row r="44299" spans="129:129" x14ac:dyDescent="0.2">
      <c r="DY44299" s="185" t="s">
        <v>215</v>
      </c>
    </row>
    <row r="44300" spans="129:129" x14ac:dyDescent="0.2">
      <c r="DY44300" s="185" t="s">
        <v>215</v>
      </c>
    </row>
    <row r="44301" spans="129:129" x14ac:dyDescent="0.2">
      <c r="DY44301" s="185" t="s">
        <v>215</v>
      </c>
    </row>
    <row r="44302" spans="129:129" x14ac:dyDescent="0.2">
      <c r="DY44302" s="185" t="s">
        <v>215</v>
      </c>
    </row>
    <row r="44303" spans="129:129" x14ac:dyDescent="0.2">
      <c r="DY44303" s="185" t="s">
        <v>215</v>
      </c>
    </row>
    <row r="44304" spans="129:129" x14ac:dyDescent="0.2">
      <c r="DY44304" s="185" t="s">
        <v>215</v>
      </c>
    </row>
    <row r="44305" spans="129:129" x14ac:dyDescent="0.2">
      <c r="DY44305" s="185" t="s">
        <v>215</v>
      </c>
    </row>
    <row r="44306" spans="129:129" x14ac:dyDescent="0.2">
      <c r="DY44306" s="185" t="s">
        <v>215</v>
      </c>
    </row>
    <row r="44307" spans="129:129" x14ac:dyDescent="0.2">
      <c r="DY44307" s="185" t="s">
        <v>215</v>
      </c>
    </row>
    <row r="44308" spans="129:129" x14ac:dyDescent="0.2">
      <c r="DY44308" s="185" t="s">
        <v>215</v>
      </c>
    </row>
    <row r="44309" spans="129:129" x14ac:dyDescent="0.2">
      <c r="DY44309" s="185" t="s">
        <v>215</v>
      </c>
    </row>
    <row r="44310" spans="129:129" x14ac:dyDescent="0.2">
      <c r="DY44310" s="185" t="s">
        <v>215</v>
      </c>
    </row>
    <row r="44311" spans="129:129" x14ac:dyDescent="0.2">
      <c r="DY44311" s="185" t="s">
        <v>215</v>
      </c>
    </row>
    <row r="44312" spans="129:129" x14ac:dyDescent="0.2">
      <c r="DY44312" s="185" t="s">
        <v>215</v>
      </c>
    </row>
    <row r="44313" spans="129:129" x14ac:dyDescent="0.2">
      <c r="DY44313" s="185" t="s">
        <v>215</v>
      </c>
    </row>
    <row r="44314" spans="129:129" x14ac:dyDescent="0.2">
      <c r="DY44314" s="185" t="s">
        <v>215</v>
      </c>
    </row>
    <row r="44315" spans="129:129" x14ac:dyDescent="0.2">
      <c r="DY44315" s="185" t="s">
        <v>215</v>
      </c>
    </row>
    <row r="44316" spans="129:129" x14ac:dyDescent="0.2">
      <c r="DY44316" s="185" t="s">
        <v>215</v>
      </c>
    </row>
    <row r="44317" spans="129:129" x14ac:dyDescent="0.2">
      <c r="DY44317" s="185" t="s">
        <v>215</v>
      </c>
    </row>
    <row r="44318" spans="129:129" x14ac:dyDescent="0.2">
      <c r="DY44318" s="185" t="s">
        <v>215</v>
      </c>
    </row>
    <row r="44319" spans="129:129" x14ac:dyDescent="0.2">
      <c r="DY44319" s="185" t="s">
        <v>215</v>
      </c>
    </row>
    <row r="44320" spans="129:129" x14ac:dyDescent="0.2">
      <c r="DY44320" s="185" t="s">
        <v>215</v>
      </c>
    </row>
    <row r="44321" spans="129:129" x14ac:dyDescent="0.2">
      <c r="DY44321" s="185" t="s">
        <v>215</v>
      </c>
    </row>
    <row r="44322" spans="129:129" x14ac:dyDescent="0.2">
      <c r="DY44322" s="185" t="s">
        <v>215</v>
      </c>
    </row>
    <row r="44323" spans="129:129" x14ac:dyDescent="0.2">
      <c r="DY44323" s="185" t="s">
        <v>215</v>
      </c>
    </row>
    <row r="44324" spans="129:129" x14ac:dyDescent="0.2">
      <c r="DY44324" s="185" t="s">
        <v>215</v>
      </c>
    </row>
    <row r="44325" spans="129:129" x14ac:dyDescent="0.2">
      <c r="DY44325" s="185" t="s">
        <v>215</v>
      </c>
    </row>
    <row r="44326" spans="129:129" x14ac:dyDescent="0.2">
      <c r="DY44326" s="185" t="s">
        <v>215</v>
      </c>
    </row>
    <row r="44327" spans="129:129" x14ac:dyDescent="0.2">
      <c r="DY44327" s="185" t="s">
        <v>215</v>
      </c>
    </row>
    <row r="44328" spans="129:129" x14ac:dyDescent="0.2">
      <c r="DY44328" s="185" t="s">
        <v>215</v>
      </c>
    </row>
    <row r="44329" spans="129:129" x14ac:dyDescent="0.2">
      <c r="DY44329" s="185" t="s">
        <v>215</v>
      </c>
    </row>
    <row r="44330" spans="129:129" x14ac:dyDescent="0.2">
      <c r="DY44330" s="185" t="s">
        <v>215</v>
      </c>
    </row>
    <row r="44331" spans="129:129" x14ac:dyDescent="0.2">
      <c r="DY44331" s="185" t="s">
        <v>215</v>
      </c>
    </row>
    <row r="44332" spans="129:129" x14ac:dyDescent="0.2">
      <c r="DY44332" s="185" t="s">
        <v>215</v>
      </c>
    </row>
    <row r="44333" spans="129:129" x14ac:dyDescent="0.2">
      <c r="DY44333" s="185" t="s">
        <v>215</v>
      </c>
    </row>
    <row r="44334" spans="129:129" x14ac:dyDescent="0.2">
      <c r="DY44334" s="185" t="s">
        <v>215</v>
      </c>
    </row>
    <row r="44335" spans="129:129" x14ac:dyDescent="0.2">
      <c r="DY44335" s="185" t="s">
        <v>215</v>
      </c>
    </row>
    <row r="44336" spans="129:129" x14ac:dyDescent="0.2">
      <c r="DY44336" s="185" t="s">
        <v>215</v>
      </c>
    </row>
    <row r="44337" spans="129:129" x14ac:dyDescent="0.2">
      <c r="DY44337" s="185" t="s">
        <v>215</v>
      </c>
    </row>
    <row r="44338" spans="129:129" x14ac:dyDescent="0.2">
      <c r="DY44338" s="185" t="s">
        <v>215</v>
      </c>
    </row>
    <row r="44339" spans="129:129" x14ac:dyDescent="0.2">
      <c r="DY44339" s="185" t="s">
        <v>215</v>
      </c>
    </row>
    <row r="44340" spans="129:129" x14ac:dyDescent="0.2">
      <c r="DY44340" s="185" t="s">
        <v>215</v>
      </c>
    </row>
    <row r="44341" spans="129:129" x14ac:dyDescent="0.2">
      <c r="DY44341" s="185" t="s">
        <v>215</v>
      </c>
    </row>
    <row r="44342" spans="129:129" x14ac:dyDescent="0.2">
      <c r="DY44342" s="185" t="s">
        <v>215</v>
      </c>
    </row>
    <row r="44343" spans="129:129" x14ac:dyDescent="0.2">
      <c r="DY44343" s="185" t="s">
        <v>215</v>
      </c>
    </row>
    <row r="44344" spans="129:129" x14ac:dyDescent="0.2">
      <c r="DY44344" s="185" t="s">
        <v>215</v>
      </c>
    </row>
    <row r="44345" spans="129:129" x14ac:dyDescent="0.2">
      <c r="DY44345" s="185" t="s">
        <v>215</v>
      </c>
    </row>
    <row r="44346" spans="129:129" x14ac:dyDescent="0.2">
      <c r="DY44346" s="185" t="s">
        <v>215</v>
      </c>
    </row>
    <row r="44347" spans="129:129" x14ac:dyDescent="0.2">
      <c r="DY44347" s="185" t="s">
        <v>215</v>
      </c>
    </row>
    <row r="44348" spans="129:129" x14ac:dyDescent="0.2">
      <c r="DY44348" s="185" t="s">
        <v>215</v>
      </c>
    </row>
    <row r="44349" spans="129:129" x14ac:dyDescent="0.2">
      <c r="DY44349" s="185" t="s">
        <v>215</v>
      </c>
    </row>
    <row r="44350" spans="129:129" x14ac:dyDescent="0.2">
      <c r="DY44350" s="185" t="s">
        <v>215</v>
      </c>
    </row>
    <row r="44351" spans="129:129" x14ac:dyDescent="0.2">
      <c r="DY44351" s="185" t="s">
        <v>215</v>
      </c>
    </row>
    <row r="44352" spans="129:129" x14ac:dyDescent="0.2">
      <c r="DY44352" s="185" t="s">
        <v>215</v>
      </c>
    </row>
    <row r="44353" spans="129:129" x14ac:dyDescent="0.2">
      <c r="DY44353" s="185" t="s">
        <v>215</v>
      </c>
    </row>
    <row r="44354" spans="129:129" x14ac:dyDescent="0.2">
      <c r="DY44354" s="185" t="s">
        <v>215</v>
      </c>
    </row>
    <row r="44355" spans="129:129" x14ac:dyDescent="0.2">
      <c r="DY44355" s="185" t="s">
        <v>215</v>
      </c>
    </row>
    <row r="44356" spans="129:129" x14ac:dyDescent="0.2">
      <c r="DY44356" s="185" t="s">
        <v>215</v>
      </c>
    </row>
    <row r="44357" spans="129:129" x14ac:dyDescent="0.2">
      <c r="DY44357" s="185" t="s">
        <v>215</v>
      </c>
    </row>
    <row r="44358" spans="129:129" x14ac:dyDescent="0.2">
      <c r="DY44358" s="185" t="s">
        <v>215</v>
      </c>
    </row>
    <row r="44359" spans="129:129" x14ac:dyDescent="0.2">
      <c r="DY44359" s="185" t="s">
        <v>215</v>
      </c>
    </row>
    <row r="44360" spans="129:129" x14ac:dyDescent="0.2">
      <c r="DY44360" s="185" t="s">
        <v>215</v>
      </c>
    </row>
    <row r="44361" spans="129:129" x14ac:dyDescent="0.2">
      <c r="DY44361" s="185" t="s">
        <v>215</v>
      </c>
    </row>
    <row r="44362" spans="129:129" x14ac:dyDescent="0.2">
      <c r="DY44362" s="185" t="s">
        <v>215</v>
      </c>
    </row>
    <row r="44363" spans="129:129" x14ac:dyDescent="0.2">
      <c r="DY44363" s="185" t="s">
        <v>215</v>
      </c>
    </row>
    <row r="44364" spans="129:129" x14ac:dyDescent="0.2">
      <c r="DY44364" s="185" t="s">
        <v>215</v>
      </c>
    </row>
    <row r="44365" spans="129:129" x14ac:dyDescent="0.2">
      <c r="DY44365" s="185" t="s">
        <v>215</v>
      </c>
    </row>
    <row r="44366" spans="129:129" x14ac:dyDescent="0.2">
      <c r="DY44366" s="185" t="s">
        <v>215</v>
      </c>
    </row>
    <row r="44367" spans="129:129" x14ac:dyDescent="0.2">
      <c r="DY44367" s="185" t="s">
        <v>215</v>
      </c>
    </row>
    <row r="44368" spans="129:129" x14ac:dyDescent="0.2">
      <c r="DY44368" s="185" t="s">
        <v>215</v>
      </c>
    </row>
    <row r="44369" spans="129:129" x14ac:dyDescent="0.2">
      <c r="DY44369" s="185" t="s">
        <v>215</v>
      </c>
    </row>
    <row r="44370" spans="129:129" x14ac:dyDescent="0.2">
      <c r="DY44370" s="185" t="s">
        <v>215</v>
      </c>
    </row>
    <row r="44371" spans="129:129" x14ac:dyDescent="0.2">
      <c r="DY44371" s="185" t="s">
        <v>215</v>
      </c>
    </row>
    <row r="44372" spans="129:129" x14ac:dyDescent="0.2">
      <c r="DY44372" s="185" t="s">
        <v>215</v>
      </c>
    </row>
    <row r="44373" spans="129:129" x14ac:dyDescent="0.2">
      <c r="DY44373" s="185" t="s">
        <v>215</v>
      </c>
    </row>
    <row r="44374" spans="129:129" x14ac:dyDescent="0.2">
      <c r="DY44374" s="185" t="s">
        <v>215</v>
      </c>
    </row>
    <row r="44375" spans="129:129" x14ac:dyDescent="0.2">
      <c r="DY44375" s="185" t="s">
        <v>215</v>
      </c>
    </row>
    <row r="44376" spans="129:129" x14ac:dyDescent="0.2">
      <c r="DY44376" s="185" t="s">
        <v>215</v>
      </c>
    </row>
    <row r="44377" spans="129:129" x14ac:dyDescent="0.2">
      <c r="DY44377" s="185" t="s">
        <v>215</v>
      </c>
    </row>
    <row r="44378" spans="129:129" x14ac:dyDescent="0.2">
      <c r="DY44378" s="185" t="s">
        <v>215</v>
      </c>
    </row>
    <row r="44379" spans="129:129" x14ac:dyDescent="0.2">
      <c r="DY44379" s="185" t="s">
        <v>215</v>
      </c>
    </row>
    <row r="44380" spans="129:129" x14ac:dyDescent="0.2">
      <c r="DY44380" s="185" t="s">
        <v>215</v>
      </c>
    </row>
    <row r="44381" spans="129:129" x14ac:dyDescent="0.2">
      <c r="DY44381" s="185" t="s">
        <v>215</v>
      </c>
    </row>
    <row r="44382" spans="129:129" x14ac:dyDescent="0.2">
      <c r="DY44382" s="185" t="s">
        <v>215</v>
      </c>
    </row>
    <row r="44383" spans="129:129" x14ac:dyDescent="0.2">
      <c r="DY44383" s="185" t="s">
        <v>215</v>
      </c>
    </row>
    <row r="44384" spans="129:129" x14ac:dyDescent="0.2">
      <c r="DY44384" s="185" t="s">
        <v>215</v>
      </c>
    </row>
    <row r="44385" spans="129:129" x14ac:dyDescent="0.2">
      <c r="DY44385" s="185" t="s">
        <v>215</v>
      </c>
    </row>
    <row r="44386" spans="129:129" x14ac:dyDescent="0.2">
      <c r="DY44386" s="185" t="s">
        <v>215</v>
      </c>
    </row>
    <row r="44387" spans="129:129" x14ac:dyDescent="0.2">
      <c r="DY44387" s="185" t="s">
        <v>215</v>
      </c>
    </row>
    <row r="44388" spans="129:129" x14ac:dyDescent="0.2">
      <c r="DY44388" s="185" t="s">
        <v>215</v>
      </c>
    </row>
    <row r="44389" spans="129:129" x14ac:dyDescent="0.2">
      <c r="DY44389" s="185" t="s">
        <v>215</v>
      </c>
    </row>
    <row r="44390" spans="129:129" x14ac:dyDescent="0.2">
      <c r="DY44390" s="185" t="s">
        <v>215</v>
      </c>
    </row>
    <row r="44391" spans="129:129" x14ac:dyDescent="0.2">
      <c r="DY44391" s="185" t="s">
        <v>215</v>
      </c>
    </row>
    <row r="44392" spans="129:129" x14ac:dyDescent="0.2">
      <c r="DY44392" s="185" t="s">
        <v>215</v>
      </c>
    </row>
    <row r="44393" spans="129:129" x14ac:dyDescent="0.2">
      <c r="DY44393" s="185" t="s">
        <v>215</v>
      </c>
    </row>
    <row r="44394" spans="129:129" x14ac:dyDescent="0.2">
      <c r="DY44394" s="185" t="s">
        <v>215</v>
      </c>
    </row>
    <row r="44395" spans="129:129" x14ac:dyDescent="0.2">
      <c r="DY44395" s="185" t="s">
        <v>215</v>
      </c>
    </row>
    <row r="44396" spans="129:129" x14ac:dyDescent="0.2">
      <c r="DY44396" s="185" t="s">
        <v>215</v>
      </c>
    </row>
    <row r="44397" spans="129:129" x14ac:dyDescent="0.2">
      <c r="DY44397" s="185" t="s">
        <v>215</v>
      </c>
    </row>
    <row r="44398" spans="129:129" x14ac:dyDescent="0.2">
      <c r="DY44398" s="185" t="s">
        <v>215</v>
      </c>
    </row>
    <row r="44399" spans="129:129" x14ac:dyDescent="0.2">
      <c r="DY44399" s="185" t="s">
        <v>215</v>
      </c>
    </row>
    <row r="44400" spans="129:129" x14ac:dyDescent="0.2">
      <c r="DY44400" s="185" t="s">
        <v>215</v>
      </c>
    </row>
    <row r="44401" spans="129:129" x14ac:dyDescent="0.2">
      <c r="DY44401" s="185" t="s">
        <v>215</v>
      </c>
    </row>
    <row r="44402" spans="129:129" x14ac:dyDescent="0.2">
      <c r="DY44402" s="185" t="s">
        <v>215</v>
      </c>
    </row>
    <row r="44403" spans="129:129" x14ac:dyDescent="0.2">
      <c r="DY44403" s="185" t="s">
        <v>215</v>
      </c>
    </row>
    <row r="44404" spans="129:129" x14ac:dyDescent="0.2">
      <c r="DY44404" s="185" t="s">
        <v>215</v>
      </c>
    </row>
    <row r="44405" spans="129:129" x14ac:dyDescent="0.2">
      <c r="DY44405" s="185" t="s">
        <v>215</v>
      </c>
    </row>
    <row r="44406" spans="129:129" x14ac:dyDescent="0.2">
      <c r="DY44406" s="185" t="s">
        <v>215</v>
      </c>
    </row>
    <row r="44407" spans="129:129" x14ac:dyDescent="0.2">
      <c r="DY44407" s="185" t="s">
        <v>215</v>
      </c>
    </row>
    <row r="44408" spans="129:129" x14ac:dyDescent="0.2">
      <c r="DY44408" s="185" t="s">
        <v>215</v>
      </c>
    </row>
    <row r="44409" spans="129:129" x14ac:dyDescent="0.2">
      <c r="DY44409" s="185" t="s">
        <v>215</v>
      </c>
    </row>
    <row r="44410" spans="129:129" x14ac:dyDescent="0.2">
      <c r="DY44410" s="185" t="s">
        <v>215</v>
      </c>
    </row>
    <row r="44411" spans="129:129" x14ac:dyDescent="0.2">
      <c r="DY44411" s="185" t="s">
        <v>215</v>
      </c>
    </row>
    <row r="44412" spans="129:129" x14ac:dyDescent="0.2">
      <c r="DY44412" s="185" t="s">
        <v>215</v>
      </c>
    </row>
    <row r="44413" spans="129:129" x14ac:dyDescent="0.2">
      <c r="DY44413" s="185" t="s">
        <v>215</v>
      </c>
    </row>
    <row r="44414" spans="129:129" x14ac:dyDescent="0.2">
      <c r="DY44414" s="185" t="s">
        <v>215</v>
      </c>
    </row>
    <row r="44415" spans="129:129" x14ac:dyDescent="0.2">
      <c r="DY44415" s="185" t="s">
        <v>215</v>
      </c>
    </row>
    <row r="44416" spans="129:129" x14ac:dyDescent="0.2">
      <c r="DY44416" s="185" t="s">
        <v>215</v>
      </c>
    </row>
    <row r="44417" spans="129:129" x14ac:dyDescent="0.2">
      <c r="DY44417" s="185" t="s">
        <v>215</v>
      </c>
    </row>
    <row r="44418" spans="129:129" x14ac:dyDescent="0.2">
      <c r="DY44418" s="185" t="s">
        <v>215</v>
      </c>
    </row>
    <row r="44419" spans="129:129" x14ac:dyDescent="0.2">
      <c r="DY44419" s="185" t="s">
        <v>215</v>
      </c>
    </row>
    <row r="44420" spans="129:129" x14ac:dyDescent="0.2">
      <c r="DY44420" s="185" t="s">
        <v>215</v>
      </c>
    </row>
    <row r="44421" spans="129:129" x14ac:dyDescent="0.2">
      <c r="DY44421" s="185" t="s">
        <v>215</v>
      </c>
    </row>
    <row r="44422" spans="129:129" x14ac:dyDescent="0.2">
      <c r="DY44422" s="185" t="s">
        <v>215</v>
      </c>
    </row>
    <row r="44423" spans="129:129" x14ac:dyDescent="0.2">
      <c r="DY44423" s="185" t="s">
        <v>215</v>
      </c>
    </row>
    <row r="44424" spans="129:129" x14ac:dyDescent="0.2">
      <c r="DY44424" s="185" t="s">
        <v>215</v>
      </c>
    </row>
    <row r="44425" spans="129:129" x14ac:dyDescent="0.2">
      <c r="DY44425" s="185" t="s">
        <v>215</v>
      </c>
    </row>
    <row r="44426" spans="129:129" x14ac:dyDescent="0.2">
      <c r="DY44426" s="185" t="s">
        <v>215</v>
      </c>
    </row>
    <row r="44427" spans="129:129" x14ac:dyDescent="0.2">
      <c r="DY44427" s="185" t="s">
        <v>215</v>
      </c>
    </row>
    <row r="44428" spans="129:129" x14ac:dyDescent="0.2">
      <c r="DY44428" s="185" t="s">
        <v>215</v>
      </c>
    </row>
    <row r="44429" spans="129:129" x14ac:dyDescent="0.2">
      <c r="DY44429" s="185" t="s">
        <v>215</v>
      </c>
    </row>
    <row r="44430" spans="129:129" x14ac:dyDescent="0.2">
      <c r="DY44430" s="185" t="s">
        <v>215</v>
      </c>
    </row>
    <row r="44431" spans="129:129" x14ac:dyDescent="0.2">
      <c r="DY44431" s="185" t="s">
        <v>215</v>
      </c>
    </row>
    <row r="44432" spans="129:129" x14ac:dyDescent="0.2">
      <c r="DY44432" s="185" t="s">
        <v>215</v>
      </c>
    </row>
    <row r="44433" spans="129:129" x14ac:dyDescent="0.2">
      <c r="DY44433" s="185" t="s">
        <v>215</v>
      </c>
    </row>
    <row r="44434" spans="129:129" x14ac:dyDescent="0.2">
      <c r="DY44434" s="185" t="s">
        <v>215</v>
      </c>
    </row>
    <row r="44435" spans="129:129" x14ac:dyDescent="0.2">
      <c r="DY44435" s="185" t="s">
        <v>215</v>
      </c>
    </row>
    <row r="44436" spans="129:129" x14ac:dyDescent="0.2">
      <c r="DY44436" s="185" t="s">
        <v>215</v>
      </c>
    </row>
    <row r="44437" spans="129:129" x14ac:dyDescent="0.2">
      <c r="DY44437" s="185" t="s">
        <v>215</v>
      </c>
    </row>
    <row r="44438" spans="129:129" x14ac:dyDescent="0.2">
      <c r="DY44438" s="185" t="s">
        <v>215</v>
      </c>
    </row>
    <row r="44439" spans="129:129" x14ac:dyDescent="0.2">
      <c r="DY44439" s="185" t="s">
        <v>215</v>
      </c>
    </row>
    <row r="44440" spans="129:129" x14ac:dyDescent="0.2">
      <c r="DY44440" s="185" t="s">
        <v>215</v>
      </c>
    </row>
    <row r="44441" spans="129:129" x14ac:dyDescent="0.2">
      <c r="DY44441" s="185" t="s">
        <v>215</v>
      </c>
    </row>
    <row r="44442" spans="129:129" x14ac:dyDescent="0.2">
      <c r="DY44442" s="185" t="s">
        <v>215</v>
      </c>
    </row>
    <row r="44443" spans="129:129" x14ac:dyDescent="0.2">
      <c r="DY44443" s="185" t="s">
        <v>215</v>
      </c>
    </row>
    <row r="44444" spans="129:129" x14ac:dyDescent="0.2">
      <c r="DY44444" s="185" t="s">
        <v>215</v>
      </c>
    </row>
    <row r="44445" spans="129:129" x14ac:dyDescent="0.2">
      <c r="DY44445" s="185" t="s">
        <v>215</v>
      </c>
    </row>
    <row r="44446" spans="129:129" x14ac:dyDescent="0.2">
      <c r="DY44446" s="185" t="s">
        <v>215</v>
      </c>
    </row>
    <row r="44447" spans="129:129" x14ac:dyDescent="0.2">
      <c r="DY44447" s="185" t="s">
        <v>215</v>
      </c>
    </row>
    <row r="44448" spans="129:129" x14ac:dyDescent="0.2">
      <c r="DY44448" s="185" t="s">
        <v>215</v>
      </c>
    </row>
    <row r="44449" spans="129:129" x14ac:dyDescent="0.2">
      <c r="DY44449" s="185" t="s">
        <v>215</v>
      </c>
    </row>
    <row r="44450" spans="129:129" x14ac:dyDescent="0.2">
      <c r="DY44450" s="185" t="s">
        <v>215</v>
      </c>
    </row>
    <row r="44451" spans="129:129" x14ac:dyDescent="0.2">
      <c r="DY44451" s="185" t="s">
        <v>215</v>
      </c>
    </row>
    <row r="44452" spans="129:129" x14ac:dyDescent="0.2">
      <c r="DY44452" s="185" t="s">
        <v>215</v>
      </c>
    </row>
    <row r="44453" spans="129:129" x14ac:dyDescent="0.2">
      <c r="DY44453" s="185" t="s">
        <v>215</v>
      </c>
    </row>
    <row r="44454" spans="129:129" x14ac:dyDescent="0.2">
      <c r="DY44454" s="185" t="s">
        <v>215</v>
      </c>
    </row>
    <row r="44455" spans="129:129" x14ac:dyDescent="0.2">
      <c r="DY44455" s="185" t="s">
        <v>215</v>
      </c>
    </row>
    <row r="44456" spans="129:129" x14ac:dyDescent="0.2">
      <c r="DY44456" s="185" t="s">
        <v>215</v>
      </c>
    </row>
    <row r="44457" spans="129:129" x14ac:dyDescent="0.2">
      <c r="DY44457" s="185" t="s">
        <v>215</v>
      </c>
    </row>
    <row r="44458" spans="129:129" x14ac:dyDescent="0.2">
      <c r="DY44458" s="185" t="s">
        <v>215</v>
      </c>
    </row>
    <row r="44459" spans="129:129" x14ac:dyDescent="0.2">
      <c r="DY44459" s="185" t="s">
        <v>215</v>
      </c>
    </row>
    <row r="44460" spans="129:129" x14ac:dyDescent="0.2">
      <c r="DY44460" s="185" t="s">
        <v>215</v>
      </c>
    </row>
    <row r="44461" spans="129:129" x14ac:dyDescent="0.2">
      <c r="DY44461" s="185" t="s">
        <v>215</v>
      </c>
    </row>
    <row r="44462" spans="129:129" x14ac:dyDescent="0.2">
      <c r="DY44462" s="185" t="s">
        <v>215</v>
      </c>
    </row>
    <row r="44463" spans="129:129" x14ac:dyDescent="0.2">
      <c r="DY44463" s="185" t="s">
        <v>215</v>
      </c>
    </row>
    <row r="44464" spans="129:129" x14ac:dyDescent="0.2">
      <c r="DY44464" s="185" t="s">
        <v>215</v>
      </c>
    </row>
    <row r="44465" spans="129:129" x14ac:dyDescent="0.2">
      <c r="DY44465" s="185" t="s">
        <v>215</v>
      </c>
    </row>
    <row r="44466" spans="129:129" x14ac:dyDescent="0.2">
      <c r="DY44466" s="185" t="s">
        <v>215</v>
      </c>
    </row>
    <row r="44467" spans="129:129" x14ac:dyDescent="0.2">
      <c r="DY44467" s="185" t="s">
        <v>215</v>
      </c>
    </row>
    <row r="44468" spans="129:129" x14ac:dyDescent="0.2">
      <c r="DY44468" s="185" t="s">
        <v>215</v>
      </c>
    </row>
    <row r="44469" spans="129:129" x14ac:dyDescent="0.2">
      <c r="DY44469" s="185" t="s">
        <v>215</v>
      </c>
    </row>
    <row r="44470" spans="129:129" x14ac:dyDescent="0.2">
      <c r="DY44470" s="185" t="s">
        <v>215</v>
      </c>
    </row>
    <row r="44471" spans="129:129" x14ac:dyDescent="0.2">
      <c r="DY44471" s="185" t="s">
        <v>215</v>
      </c>
    </row>
    <row r="44472" spans="129:129" x14ac:dyDescent="0.2">
      <c r="DY44472" s="185" t="s">
        <v>215</v>
      </c>
    </row>
    <row r="44473" spans="129:129" x14ac:dyDescent="0.2">
      <c r="DY44473" s="185" t="s">
        <v>215</v>
      </c>
    </row>
    <row r="44474" spans="129:129" x14ac:dyDescent="0.2">
      <c r="DY44474" s="185" t="s">
        <v>215</v>
      </c>
    </row>
    <row r="44475" spans="129:129" x14ac:dyDescent="0.2">
      <c r="DY44475" s="185" t="s">
        <v>215</v>
      </c>
    </row>
    <row r="44476" spans="129:129" x14ac:dyDescent="0.2">
      <c r="DY44476" s="185" t="s">
        <v>215</v>
      </c>
    </row>
    <row r="44477" spans="129:129" x14ac:dyDescent="0.2">
      <c r="DY44477" s="185" t="s">
        <v>215</v>
      </c>
    </row>
    <row r="44478" spans="129:129" x14ac:dyDescent="0.2">
      <c r="DY44478" s="185" t="s">
        <v>215</v>
      </c>
    </row>
    <row r="44479" spans="129:129" x14ac:dyDescent="0.2">
      <c r="DY44479" s="185" t="s">
        <v>215</v>
      </c>
    </row>
    <row r="44480" spans="129:129" x14ac:dyDescent="0.2">
      <c r="DY44480" s="185" t="s">
        <v>215</v>
      </c>
    </row>
    <row r="44481" spans="129:129" x14ac:dyDescent="0.2">
      <c r="DY44481" s="185" t="s">
        <v>215</v>
      </c>
    </row>
    <row r="44482" spans="129:129" x14ac:dyDescent="0.2">
      <c r="DY44482" s="185" t="s">
        <v>215</v>
      </c>
    </row>
    <row r="44483" spans="129:129" x14ac:dyDescent="0.2">
      <c r="DY44483" s="185" t="s">
        <v>215</v>
      </c>
    </row>
    <row r="44484" spans="129:129" x14ac:dyDescent="0.2">
      <c r="DY44484" s="185" t="s">
        <v>215</v>
      </c>
    </row>
    <row r="44485" spans="129:129" x14ac:dyDescent="0.2">
      <c r="DY44485" s="185" t="s">
        <v>215</v>
      </c>
    </row>
    <row r="44486" spans="129:129" x14ac:dyDescent="0.2">
      <c r="DY44486" s="185" t="s">
        <v>215</v>
      </c>
    </row>
    <row r="44487" spans="129:129" x14ac:dyDescent="0.2">
      <c r="DY44487" s="185" t="s">
        <v>215</v>
      </c>
    </row>
    <row r="44488" spans="129:129" x14ac:dyDescent="0.2">
      <c r="DY44488" s="185" t="s">
        <v>215</v>
      </c>
    </row>
    <row r="44489" spans="129:129" x14ac:dyDescent="0.2">
      <c r="DY44489" s="185" t="s">
        <v>215</v>
      </c>
    </row>
    <row r="44490" spans="129:129" x14ac:dyDescent="0.2">
      <c r="DY44490" s="185" t="s">
        <v>215</v>
      </c>
    </row>
    <row r="44491" spans="129:129" x14ac:dyDescent="0.2">
      <c r="DY44491" s="185" t="s">
        <v>215</v>
      </c>
    </row>
    <row r="44492" spans="129:129" x14ac:dyDescent="0.2">
      <c r="DY44492" s="185" t="s">
        <v>215</v>
      </c>
    </row>
    <row r="44493" spans="129:129" x14ac:dyDescent="0.2">
      <c r="DY44493" s="185" t="s">
        <v>215</v>
      </c>
    </row>
    <row r="44494" spans="129:129" x14ac:dyDescent="0.2">
      <c r="DY44494" s="185" t="s">
        <v>215</v>
      </c>
    </row>
    <row r="44495" spans="129:129" x14ac:dyDescent="0.2">
      <c r="DY44495" s="185" t="s">
        <v>215</v>
      </c>
    </row>
    <row r="44496" spans="129:129" x14ac:dyDescent="0.2">
      <c r="DY44496" s="185" t="s">
        <v>215</v>
      </c>
    </row>
    <row r="44497" spans="129:129" x14ac:dyDescent="0.2">
      <c r="DY44497" s="185" t="s">
        <v>215</v>
      </c>
    </row>
    <row r="44498" spans="129:129" x14ac:dyDescent="0.2">
      <c r="DY44498" s="185" t="s">
        <v>215</v>
      </c>
    </row>
    <row r="44499" spans="129:129" x14ac:dyDescent="0.2">
      <c r="DY44499" s="185" t="s">
        <v>215</v>
      </c>
    </row>
    <row r="44500" spans="129:129" x14ac:dyDescent="0.2">
      <c r="DY44500" s="185" t="s">
        <v>215</v>
      </c>
    </row>
    <row r="44501" spans="129:129" x14ac:dyDescent="0.2">
      <c r="DY44501" s="185" t="s">
        <v>215</v>
      </c>
    </row>
    <row r="44502" spans="129:129" x14ac:dyDescent="0.2">
      <c r="DY44502" s="185" t="s">
        <v>215</v>
      </c>
    </row>
    <row r="44503" spans="129:129" x14ac:dyDescent="0.2">
      <c r="DY44503" s="185" t="s">
        <v>215</v>
      </c>
    </row>
    <row r="44504" spans="129:129" x14ac:dyDescent="0.2">
      <c r="DY44504" s="185" t="s">
        <v>215</v>
      </c>
    </row>
    <row r="44505" spans="129:129" x14ac:dyDescent="0.2">
      <c r="DY44505" s="185" t="s">
        <v>215</v>
      </c>
    </row>
    <row r="44506" spans="129:129" x14ac:dyDescent="0.2">
      <c r="DY44506" s="185" t="s">
        <v>215</v>
      </c>
    </row>
    <row r="44507" spans="129:129" x14ac:dyDescent="0.2">
      <c r="DY44507" s="185" t="s">
        <v>215</v>
      </c>
    </row>
    <row r="44508" spans="129:129" x14ac:dyDescent="0.2">
      <c r="DY44508" s="185" t="s">
        <v>215</v>
      </c>
    </row>
    <row r="44509" spans="129:129" x14ac:dyDescent="0.2">
      <c r="DY44509" s="185" t="s">
        <v>215</v>
      </c>
    </row>
    <row r="44510" spans="129:129" x14ac:dyDescent="0.2">
      <c r="DY44510" s="185" t="s">
        <v>215</v>
      </c>
    </row>
    <row r="44511" spans="129:129" x14ac:dyDescent="0.2">
      <c r="DY44511" s="185" t="s">
        <v>215</v>
      </c>
    </row>
    <row r="44512" spans="129:129" x14ac:dyDescent="0.2">
      <c r="DY44512" s="185" t="s">
        <v>215</v>
      </c>
    </row>
    <row r="44513" spans="129:129" x14ac:dyDescent="0.2">
      <c r="DY44513" s="185" t="s">
        <v>215</v>
      </c>
    </row>
    <row r="44514" spans="129:129" x14ac:dyDescent="0.2">
      <c r="DY44514" s="185" t="s">
        <v>215</v>
      </c>
    </row>
    <row r="44515" spans="129:129" x14ac:dyDescent="0.2">
      <c r="DY44515" s="185" t="s">
        <v>215</v>
      </c>
    </row>
    <row r="44516" spans="129:129" x14ac:dyDescent="0.2">
      <c r="DY44516" s="185" t="s">
        <v>215</v>
      </c>
    </row>
    <row r="44517" spans="129:129" x14ac:dyDescent="0.2">
      <c r="DY44517" s="185" t="s">
        <v>215</v>
      </c>
    </row>
    <row r="44518" spans="129:129" x14ac:dyDescent="0.2">
      <c r="DY44518" s="185" t="s">
        <v>215</v>
      </c>
    </row>
    <row r="44519" spans="129:129" x14ac:dyDescent="0.2">
      <c r="DY44519" s="185" t="s">
        <v>215</v>
      </c>
    </row>
    <row r="44520" spans="129:129" x14ac:dyDescent="0.2">
      <c r="DY44520" s="185" t="s">
        <v>215</v>
      </c>
    </row>
    <row r="44521" spans="129:129" x14ac:dyDescent="0.2">
      <c r="DY44521" s="185" t="s">
        <v>215</v>
      </c>
    </row>
    <row r="44522" spans="129:129" x14ac:dyDescent="0.2">
      <c r="DY44522" s="185" t="s">
        <v>215</v>
      </c>
    </row>
    <row r="44523" spans="129:129" x14ac:dyDescent="0.2">
      <c r="DY44523" s="185" t="s">
        <v>215</v>
      </c>
    </row>
    <row r="44524" spans="129:129" x14ac:dyDescent="0.2">
      <c r="DY44524" s="185" t="s">
        <v>215</v>
      </c>
    </row>
    <row r="44525" spans="129:129" x14ac:dyDescent="0.2">
      <c r="DY44525" s="185" t="s">
        <v>215</v>
      </c>
    </row>
    <row r="44526" spans="129:129" x14ac:dyDescent="0.2">
      <c r="DY44526" s="185" t="s">
        <v>215</v>
      </c>
    </row>
    <row r="44527" spans="129:129" x14ac:dyDescent="0.2">
      <c r="DY44527" s="185" t="s">
        <v>215</v>
      </c>
    </row>
    <row r="44528" spans="129:129" x14ac:dyDescent="0.2">
      <c r="DY44528" s="185" t="s">
        <v>215</v>
      </c>
    </row>
    <row r="44529" spans="129:129" x14ac:dyDescent="0.2">
      <c r="DY44529" s="185" t="s">
        <v>215</v>
      </c>
    </row>
    <row r="44530" spans="129:129" x14ac:dyDescent="0.2">
      <c r="DY44530" s="185" t="s">
        <v>215</v>
      </c>
    </row>
    <row r="44531" spans="129:129" x14ac:dyDescent="0.2">
      <c r="DY44531" s="185" t="s">
        <v>215</v>
      </c>
    </row>
    <row r="44532" spans="129:129" x14ac:dyDescent="0.2">
      <c r="DY44532" s="185" t="s">
        <v>215</v>
      </c>
    </row>
    <row r="44533" spans="129:129" x14ac:dyDescent="0.2">
      <c r="DY44533" s="185" t="s">
        <v>215</v>
      </c>
    </row>
    <row r="44534" spans="129:129" x14ac:dyDescent="0.2">
      <c r="DY44534" s="185" t="s">
        <v>215</v>
      </c>
    </row>
    <row r="44535" spans="129:129" x14ac:dyDescent="0.2">
      <c r="DY44535" s="185" t="s">
        <v>215</v>
      </c>
    </row>
    <row r="44536" spans="129:129" x14ac:dyDescent="0.2">
      <c r="DY44536" s="185" t="s">
        <v>215</v>
      </c>
    </row>
    <row r="44537" spans="129:129" x14ac:dyDescent="0.2">
      <c r="DY44537" s="185" t="s">
        <v>215</v>
      </c>
    </row>
    <row r="44538" spans="129:129" x14ac:dyDescent="0.2">
      <c r="DY44538" s="185" t="s">
        <v>215</v>
      </c>
    </row>
    <row r="44539" spans="129:129" x14ac:dyDescent="0.2">
      <c r="DY44539" s="185" t="s">
        <v>215</v>
      </c>
    </row>
    <row r="44540" spans="129:129" x14ac:dyDescent="0.2">
      <c r="DY44540" s="185" t="s">
        <v>215</v>
      </c>
    </row>
    <row r="44541" spans="129:129" x14ac:dyDescent="0.2">
      <c r="DY44541" s="185" t="s">
        <v>215</v>
      </c>
    </row>
    <row r="44542" spans="129:129" x14ac:dyDescent="0.2">
      <c r="DY44542" s="185" t="s">
        <v>215</v>
      </c>
    </row>
    <row r="44543" spans="129:129" x14ac:dyDescent="0.2">
      <c r="DY44543" s="185" t="s">
        <v>215</v>
      </c>
    </row>
    <row r="44544" spans="129:129" x14ac:dyDescent="0.2">
      <c r="DY44544" s="185" t="s">
        <v>215</v>
      </c>
    </row>
    <row r="44545" spans="129:129" x14ac:dyDescent="0.2">
      <c r="DY44545" s="185" t="s">
        <v>215</v>
      </c>
    </row>
    <row r="44546" spans="129:129" x14ac:dyDescent="0.2">
      <c r="DY44546" s="185" t="s">
        <v>215</v>
      </c>
    </row>
    <row r="44547" spans="129:129" x14ac:dyDescent="0.2">
      <c r="DY44547" s="185" t="s">
        <v>215</v>
      </c>
    </row>
    <row r="44548" spans="129:129" x14ac:dyDescent="0.2">
      <c r="DY44548" s="185" t="s">
        <v>215</v>
      </c>
    </row>
    <row r="44549" spans="129:129" x14ac:dyDescent="0.2">
      <c r="DY44549" s="185" t="s">
        <v>215</v>
      </c>
    </row>
    <row r="44550" spans="129:129" x14ac:dyDescent="0.2">
      <c r="DY44550" s="185" t="s">
        <v>215</v>
      </c>
    </row>
    <row r="44551" spans="129:129" x14ac:dyDescent="0.2">
      <c r="DY44551" s="185" t="s">
        <v>215</v>
      </c>
    </row>
    <row r="44552" spans="129:129" x14ac:dyDescent="0.2">
      <c r="DY44552" s="185" t="s">
        <v>215</v>
      </c>
    </row>
    <row r="44553" spans="129:129" x14ac:dyDescent="0.2">
      <c r="DY44553" s="185" t="s">
        <v>215</v>
      </c>
    </row>
    <row r="44554" spans="129:129" x14ac:dyDescent="0.2">
      <c r="DY44554" s="185" t="s">
        <v>215</v>
      </c>
    </row>
    <row r="44555" spans="129:129" x14ac:dyDescent="0.2">
      <c r="DY44555" s="185" t="s">
        <v>215</v>
      </c>
    </row>
    <row r="44556" spans="129:129" x14ac:dyDescent="0.2">
      <c r="DY44556" s="185" t="s">
        <v>215</v>
      </c>
    </row>
    <row r="44557" spans="129:129" x14ac:dyDescent="0.2">
      <c r="DY44557" s="185" t="s">
        <v>215</v>
      </c>
    </row>
    <row r="44558" spans="129:129" x14ac:dyDescent="0.2">
      <c r="DY44558" s="185" t="s">
        <v>215</v>
      </c>
    </row>
    <row r="44559" spans="129:129" x14ac:dyDescent="0.2">
      <c r="DY44559" s="185" t="s">
        <v>215</v>
      </c>
    </row>
    <row r="44560" spans="129:129" x14ac:dyDescent="0.2">
      <c r="DY44560" s="185" t="s">
        <v>215</v>
      </c>
    </row>
    <row r="44561" spans="129:129" x14ac:dyDescent="0.2">
      <c r="DY44561" s="185" t="s">
        <v>215</v>
      </c>
    </row>
    <row r="44562" spans="129:129" x14ac:dyDescent="0.2">
      <c r="DY44562" s="185" t="s">
        <v>215</v>
      </c>
    </row>
    <row r="44563" spans="129:129" x14ac:dyDescent="0.2">
      <c r="DY44563" s="185" t="s">
        <v>215</v>
      </c>
    </row>
    <row r="44564" spans="129:129" x14ac:dyDescent="0.2">
      <c r="DY44564" s="185" t="s">
        <v>215</v>
      </c>
    </row>
    <row r="44565" spans="129:129" x14ac:dyDescent="0.2">
      <c r="DY44565" s="185" t="s">
        <v>215</v>
      </c>
    </row>
    <row r="44566" spans="129:129" x14ac:dyDescent="0.2">
      <c r="DY44566" s="185" t="s">
        <v>215</v>
      </c>
    </row>
    <row r="44567" spans="129:129" x14ac:dyDescent="0.2">
      <c r="DY44567" s="185" t="s">
        <v>215</v>
      </c>
    </row>
    <row r="44568" spans="129:129" x14ac:dyDescent="0.2">
      <c r="DY44568" s="185" t="s">
        <v>215</v>
      </c>
    </row>
    <row r="44569" spans="129:129" x14ac:dyDescent="0.2">
      <c r="DY44569" s="185" t="s">
        <v>215</v>
      </c>
    </row>
    <row r="44570" spans="129:129" x14ac:dyDescent="0.2">
      <c r="DY44570" s="185" t="s">
        <v>215</v>
      </c>
    </row>
    <row r="44571" spans="129:129" x14ac:dyDescent="0.2">
      <c r="DY44571" s="185" t="s">
        <v>215</v>
      </c>
    </row>
    <row r="44572" spans="129:129" x14ac:dyDescent="0.2">
      <c r="DY44572" s="185" t="s">
        <v>215</v>
      </c>
    </row>
    <row r="44573" spans="129:129" x14ac:dyDescent="0.2">
      <c r="DY44573" s="185" t="s">
        <v>215</v>
      </c>
    </row>
    <row r="44574" spans="129:129" x14ac:dyDescent="0.2">
      <c r="DY44574" s="185" t="s">
        <v>215</v>
      </c>
    </row>
    <row r="44575" spans="129:129" x14ac:dyDescent="0.2">
      <c r="DY44575" s="185" t="s">
        <v>215</v>
      </c>
    </row>
    <row r="44576" spans="129:129" x14ac:dyDescent="0.2">
      <c r="DY44576" s="185" t="s">
        <v>215</v>
      </c>
    </row>
    <row r="44577" spans="129:129" x14ac:dyDescent="0.2">
      <c r="DY44577" s="185" t="s">
        <v>215</v>
      </c>
    </row>
    <row r="44578" spans="129:129" x14ac:dyDescent="0.2">
      <c r="DY44578" s="185" t="s">
        <v>215</v>
      </c>
    </row>
    <row r="44579" spans="129:129" x14ac:dyDescent="0.2">
      <c r="DY44579" s="185" t="s">
        <v>215</v>
      </c>
    </row>
    <row r="44580" spans="129:129" x14ac:dyDescent="0.2">
      <c r="DY44580" s="185" t="s">
        <v>215</v>
      </c>
    </row>
    <row r="44581" spans="129:129" x14ac:dyDescent="0.2">
      <c r="DY44581" s="185" t="s">
        <v>215</v>
      </c>
    </row>
    <row r="44582" spans="129:129" x14ac:dyDescent="0.2">
      <c r="DY44582" s="185" t="s">
        <v>215</v>
      </c>
    </row>
    <row r="44583" spans="129:129" x14ac:dyDescent="0.2">
      <c r="DY44583" s="185" t="s">
        <v>215</v>
      </c>
    </row>
    <row r="44584" spans="129:129" x14ac:dyDescent="0.2">
      <c r="DY44584" s="185" t="s">
        <v>215</v>
      </c>
    </row>
    <row r="44585" spans="129:129" x14ac:dyDescent="0.2">
      <c r="DY44585" s="185" t="s">
        <v>215</v>
      </c>
    </row>
    <row r="44586" spans="129:129" x14ac:dyDescent="0.2">
      <c r="DY44586" s="185" t="s">
        <v>215</v>
      </c>
    </row>
    <row r="44587" spans="129:129" x14ac:dyDescent="0.2">
      <c r="DY44587" s="185" t="s">
        <v>215</v>
      </c>
    </row>
    <row r="44588" spans="129:129" x14ac:dyDescent="0.2">
      <c r="DY44588" s="185" t="s">
        <v>215</v>
      </c>
    </row>
    <row r="44589" spans="129:129" x14ac:dyDescent="0.2">
      <c r="DY44589" s="185" t="s">
        <v>215</v>
      </c>
    </row>
    <row r="44590" spans="129:129" x14ac:dyDescent="0.2">
      <c r="DY44590" s="185" t="s">
        <v>215</v>
      </c>
    </row>
    <row r="44591" spans="129:129" x14ac:dyDescent="0.2">
      <c r="DY44591" s="185" t="s">
        <v>215</v>
      </c>
    </row>
    <row r="44592" spans="129:129" x14ac:dyDescent="0.2">
      <c r="DY44592" s="185" t="s">
        <v>215</v>
      </c>
    </row>
    <row r="44593" spans="129:129" x14ac:dyDescent="0.2">
      <c r="DY44593" s="185" t="s">
        <v>215</v>
      </c>
    </row>
    <row r="44594" spans="129:129" x14ac:dyDescent="0.2">
      <c r="DY44594" s="185" t="s">
        <v>215</v>
      </c>
    </row>
    <row r="44595" spans="129:129" x14ac:dyDescent="0.2">
      <c r="DY44595" s="185" t="s">
        <v>215</v>
      </c>
    </row>
    <row r="44596" spans="129:129" x14ac:dyDescent="0.2">
      <c r="DY44596" s="185" t="s">
        <v>215</v>
      </c>
    </row>
    <row r="44597" spans="129:129" x14ac:dyDescent="0.2">
      <c r="DY44597" s="185" t="s">
        <v>215</v>
      </c>
    </row>
    <row r="44598" spans="129:129" x14ac:dyDescent="0.2">
      <c r="DY44598" s="185" t="s">
        <v>215</v>
      </c>
    </row>
    <row r="44599" spans="129:129" x14ac:dyDescent="0.2">
      <c r="DY44599" s="185" t="s">
        <v>215</v>
      </c>
    </row>
    <row r="44600" spans="129:129" x14ac:dyDescent="0.2">
      <c r="DY44600" s="185" t="s">
        <v>215</v>
      </c>
    </row>
    <row r="44601" spans="129:129" x14ac:dyDescent="0.2">
      <c r="DY44601" s="185" t="s">
        <v>215</v>
      </c>
    </row>
    <row r="44602" spans="129:129" x14ac:dyDescent="0.2">
      <c r="DY44602" s="185" t="s">
        <v>215</v>
      </c>
    </row>
    <row r="44603" spans="129:129" x14ac:dyDescent="0.2">
      <c r="DY44603" s="185" t="s">
        <v>215</v>
      </c>
    </row>
    <row r="44604" spans="129:129" x14ac:dyDescent="0.2">
      <c r="DY44604" s="185" t="s">
        <v>215</v>
      </c>
    </row>
    <row r="44605" spans="129:129" x14ac:dyDescent="0.2">
      <c r="DY44605" s="185" t="s">
        <v>215</v>
      </c>
    </row>
    <row r="44606" spans="129:129" x14ac:dyDescent="0.2">
      <c r="DY44606" s="185" t="s">
        <v>215</v>
      </c>
    </row>
    <row r="44607" spans="129:129" x14ac:dyDescent="0.2">
      <c r="DY44607" s="185" t="s">
        <v>215</v>
      </c>
    </row>
    <row r="44608" spans="129:129" x14ac:dyDescent="0.2">
      <c r="DY44608" s="185" t="s">
        <v>215</v>
      </c>
    </row>
    <row r="44609" spans="129:129" x14ac:dyDescent="0.2">
      <c r="DY44609" s="185" t="s">
        <v>215</v>
      </c>
    </row>
    <row r="44610" spans="129:129" x14ac:dyDescent="0.2">
      <c r="DY44610" s="185" t="s">
        <v>215</v>
      </c>
    </row>
    <row r="44611" spans="129:129" x14ac:dyDescent="0.2">
      <c r="DY44611" s="185" t="s">
        <v>215</v>
      </c>
    </row>
    <row r="44612" spans="129:129" x14ac:dyDescent="0.2">
      <c r="DY44612" s="185" t="s">
        <v>215</v>
      </c>
    </row>
    <row r="44613" spans="129:129" x14ac:dyDescent="0.2">
      <c r="DY44613" s="185" t="s">
        <v>215</v>
      </c>
    </row>
    <row r="44614" spans="129:129" x14ac:dyDescent="0.2">
      <c r="DY44614" s="185" t="s">
        <v>215</v>
      </c>
    </row>
    <row r="44615" spans="129:129" x14ac:dyDescent="0.2">
      <c r="DY44615" s="185" t="s">
        <v>215</v>
      </c>
    </row>
    <row r="44616" spans="129:129" x14ac:dyDescent="0.2">
      <c r="DY44616" s="185" t="s">
        <v>215</v>
      </c>
    </row>
    <row r="44617" spans="129:129" x14ac:dyDescent="0.2">
      <c r="DY44617" s="185" t="s">
        <v>215</v>
      </c>
    </row>
    <row r="44618" spans="129:129" x14ac:dyDescent="0.2">
      <c r="DY44618" s="185" t="s">
        <v>215</v>
      </c>
    </row>
    <row r="44619" spans="129:129" x14ac:dyDescent="0.2">
      <c r="DY44619" s="185" t="s">
        <v>215</v>
      </c>
    </row>
    <row r="44620" spans="129:129" x14ac:dyDescent="0.2">
      <c r="DY44620" s="185" t="s">
        <v>215</v>
      </c>
    </row>
    <row r="44621" spans="129:129" x14ac:dyDescent="0.2">
      <c r="DY44621" s="185" t="s">
        <v>215</v>
      </c>
    </row>
    <row r="44622" spans="129:129" x14ac:dyDescent="0.2">
      <c r="DY44622" s="185" t="s">
        <v>215</v>
      </c>
    </row>
    <row r="44623" spans="129:129" x14ac:dyDescent="0.2">
      <c r="DY44623" s="185" t="s">
        <v>215</v>
      </c>
    </row>
    <row r="44624" spans="129:129" x14ac:dyDescent="0.2">
      <c r="DY44624" s="185" t="s">
        <v>215</v>
      </c>
    </row>
    <row r="44625" spans="129:129" x14ac:dyDescent="0.2">
      <c r="DY44625" s="185" t="s">
        <v>215</v>
      </c>
    </row>
    <row r="44626" spans="129:129" x14ac:dyDescent="0.2">
      <c r="DY44626" s="185" t="s">
        <v>215</v>
      </c>
    </row>
    <row r="44627" spans="129:129" x14ac:dyDescent="0.2">
      <c r="DY44627" s="185" t="s">
        <v>215</v>
      </c>
    </row>
    <row r="44628" spans="129:129" x14ac:dyDescent="0.2">
      <c r="DY44628" s="185" t="s">
        <v>215</v>
      </c>
    </row>
    <row r="44629" spans="129:129" x14ac:dyDescent="0.2">
      <c r="DY44629" s="185" t="s">
        <v>215</v>
      </c>
    </row>
    <row r="44630" spans="129:129" x14ac:dyDescent="0.2">
      <c r="DY44630" s="185" t="s">
        <v>215</v>
      </c>
    </row>
    <row r="44631" spans="129:129" x14ac:dyDescent="0.2">
      <c r="DY44631" s="185" t="s">
        <v>215</v>
      </c>
    </row>
    <row r="44632" spans="129:129" x14ac:dyDescent="0.2">
      <c r="DY44632" s="185" t="s">
        <v>215</v>
      </c>
    </row>
    <row r="44633" spans="129:129" x14ac:dyDescent="0.2">
      <c r="DY44633" s="185" t="s">
        <v>215</v>
      </c>
    </row>
    <row r="44634" spans="129:129" x14ac:dyDescent="0.2">
      <c r="DY44634" s="185" t="s">
        <v>215</v>
      </c>
    </row>
    <row r="44635" spans="129:129" x14ac:dyDescent="0.2">
      <c r="DY44635" s="185" t="s">
        <v>215</v>
      </c>
    </row>
    <row r="44636" spans="129:129" x14ac:dyDescent="0.2">
      <c r="DY44636" s="185" t="s">
        <v>215</v>
      </c>
    </row>
    <row r="44637" spans="129:129" x14ac:dyDescent="0.2">
      <c r="DY44637" s="185" t="s">
        <v>215</v>
      </c>
    </row>
    <row r="44638" spans="129:129" x14ac:dyDescent="0.2">
      <c r="DY44638" s="185" t="s">
        <v>215</v>
      </c>
    </row>
    <row r="44639" spans="129:129" x14ac:dyDescent="0.2">
      <c r="DY44639" s="185" t="s">
        <v>215</v>
      </c>
    </row>
    <row r="44640" spans="129:129" x14ac:dyDescent="0.2">
      <c r="DY44640" s="185" t="s">
        <v>215</v>
      </c>
    </row>
    <row r="44641" spans="129:129" x14ac:dyDescent="0.2">
      <c r="DY44641" s="185" t="s">
        <v>215</v>
      </c>
    </row>
    <row r="44642" spans="129:129" x14ac:dyDescent="0.2">
      <c r="DY44642" s="185" t="s">
        <v>215</v>
      </c>
    </row>
    <row r="44643" spans="129:129" x14ac:dyDescent="0.2">
      <c r="DY44643" s="185" t="s">
        <v>215</v>
      </c>
    </row>
    <row r="44644" spans="129:129" x14ac:dyDescent="0.2">
      <c r="DY44644" s="185" t="s">
        <v>215</v>
      </c>
    </row>
    <row r="44645" spans="129:129" x14ac:dyDescent="0.2">
      <c r="DY44645" s="185" t="s">
        <v>215</v>
      </c>
    </row>
    <row r="44646" spans="129:129" x14ac:dyDescent="0.2">
      <c r="DY44646" s="185" t="s">
        <v>215</v>
      </c>
    </row>
    <row r="44647" spans="129:129" x14ac:dyDescent="0.2">
      <c r="DY44647" s="185" t="s">
        <v>215</v>
      </c>
    </row>
    <row r="44648" spans="129:129" x14ac:dyDescent="0.2">
      <c r="DY44648" s="185" t="s">
        <v>215</v>
      </c>
    </row>
    <row r="44649" spans="129:129" x14ac:dyDescent="0.2">
      <c r="DY44649" s="185" t="s">
        <v>215</v>
      </c>
    </row>
    <row r="44650" spans="129:129" x14ac:dyDescent="0.2">
      <c r="DY44650" s="185" t="s">
        <v>215</v>
      </c>
    </row>
    <row r="44651" spans="129:129" x14ac:dyDescent="0.2">
      <c r="DY44651" s="185" t="s">
        <v>215</v>
      </c>
    </row>
    <row r="44652" spans="129:129" x14ac:dyDescent="0.2">
      <c r="DY44652" s="185" t="s">
        <v>215</v>
      </c>
    </row>
    <row r="44653" spans="129:129" x14ac:dyDescent="0.2">
      <c r="DY44653" s="185" t="s">
        <v>215</v>
      </c>
    </row>
    <row r="44654" spans="129:129" x14ac:dyDescent="0.2">
      <c r="DY44654" s="185" t="s">
        <v>215</v>
      </c>
    </row>
    <row r="44655" spans="129:129" x14ac:dyDescent="0.2">
      <c r="DY44655" s="185" t="s">
        <v>215</v>
      </c>
    </row>
    <row r="44656" spans="129:129" x14ac:dyDescent="0.2">
      <c r="DY44656" s="185" t="s">
        <v>215</v>
      </c>
    </row>
    <row r="44657" spans="129:129" x14ac:dyDescent="0.2">
      <c r="DY44657" s="185" t="s">
        <v>215</v>
      </c>
    </row>
    <row r="44658" spans="129:129" x14ac:dyDescent="0.2">
      <c r="DY44658" s="185" t="s">
        <v>215</v>
      </c>
    </row>
    <row r="44659" spans="129:129" x14ac:dyDescent="0.2">
      <c r="DY44659" s="185" t="s">
        <v>215</v>
      </c>
    </row>
    <row r="44660" spans="129:129" x14ac:dyDescent="0.2">
      <c r="DY44660" s="185" t="s">
        <v>215</v>
      </c>
    </row>
    <row r="44661" spans="129:129" x14ac:dyDescent="0.2">
      <c r="DY44661" s="185" t="s">
        <v>215</v>
      </c>
    </row>
    <row r="44662" spans="129:129" x14ac:dyDescent="0.2">
      <c r="DY44662" s="185" t="s">
        <v>215</v>
      </c>
    </row>
    <row r="44663" spans="129:129" x14ac:dyDescent="0.2">
      <c r="DY44663" s="185" t="s">
        <v>215</v>
      </c>
    </row>
    <row r="44664" spans="129:129" x14ac:dyDescent="0.2">
      <c r="DY44664" s="185" t="s">
        <v>215</v>
      </c>
    </row>
    <row r="44665" spans="129:129" x14ac:dyDescent="0.2">
      <c r="DY44665" s="185" t="s">
        <v>215</v>
      </c>
    </row>
    <row r="44666" spans="129:129" x14ac:dyDescent="0.2">
      <c r="DY44666" s="185" t="s">
        <v>215</v>
      </c>
    </row>
    <row r="44667" spans="129:129" x14ac:dyDescent="0.2">
      <c r="DY44667" s="185" t="s">
        <v>215</v>
      </c>
    </row>
    <row r="44668" spans="129:129" x14ac:dyDescent="0.2">
      <c r="DY44668" s="185" t="s">
        <v>215</v>
      </c>
    </row>
    <row r="44669" spans="129:129" x14ac:dyDescent="0.2">
      <c r="DY44669" s="185" t="s">
        <v>215</v>
      </c>
    </row>
    <row r="44670" spans="129:129" x14ac:dyDescent="0.2">
      <c r="DY44670" s="185" t="s">
        <v>215</v>
      </c>
    </row>
    <row r="44671" spans="129:129" x14ac:dyDescent="0.2">
      <c r="DY44671" s="185" t="s">
        <v>215</v>
      </c>
    </row>
    <row r="44672" spans="129:129" x14ac:dyDescent="0.2">
      <c r="DY44672" s="185" t="s">
        <v>215</v>
      </c>
    </row>
    <row r="44673" spans="129:129" x14ac:dyDescent="0.2">
      <c r="DY44673" s="185" t="s">
        <v>215</v>
      </c>
    </row>
    <row r="44674" spans="129:129" x14ac:dyDescent="0.2">
      <c r="DY44674" s="185" t="s">
        <v>215</v>
      </c>
    </row>
    <row r="44675" spans="129:129" x14ac:dyDescent="0.2">
      <c r="DY44675" s="185" t="s">
        <v>215</v>
      </c>
    </row>
    <row r="44676" spans="129:129" x14ac:dyDescent="0.2">
      <c r="DY44676" s="185" t="s">
        <v>215</v>
      </c>
    </row>
    <row r="44677" spans="129:129" x14ac:dyDescent="0.2">
      <c r="DY44677" s="185" t="s">
        <v>215</v>
      </c>
    </row>
    <row r="44678" spans="129:129" x14ac:dyDescent="0.2">
      <c r="DY44678" s="185" t="s">
        <v>215</v>
      </c>
    </row>
    <row r="44679" spans="129:129" x14ac:dyDescent="0.2">
      <c r="DY44679" s="185" t="s">
        <v>215</v>
      </c>
    </row>
    <row r="44680" spans="129:129" x14ac:dyDescent="0.2">
      <c r="DY44680" s="185" t="s">
        <v>215</v>
      </c>
    </row>
    <row r="44681" spans="129:129" x14ac:dyDescent="0.2">
      <c r="DY44681" s="185" t="s">
        <v>215</v>
      </c>
    </row>
    <row r="44682" spans="129:129" x14ac:dyDescent="0.2">
      <c r="DY44682" s="185" t="s">
        <v>215</v>
      </c>
    </row>
    <row r="44683" spans="129:129" x14ac:dyDescent="0.2">
      <c r="DY44683" s="185" t="s">
        <v>215</v>
      </c>
    </row>
    <row r="44684" spans="129:129" x14ac:dyDescent="0.2">
      <c r="DY44684" s="185" t="s">
        <v>215</v>
      </c>
    </row>
    <row r="44685" spans="129:129" x14ac:dyDescent="0.2">
      <c r="DY44685" s="185" t="s">
        <v>215</v>
      </c>
    </row>
    <row r="44686" spans="129:129" x14ac:dyDescent="0.2">
      <c r="DY44686" s="185" t="s">
        <v>215</v>
      </c>
    </row>
    <row r="44687" spans="129:129" x14ac:dyDescent="0.2">
      <c r="DY44687" s="185" t="s">
        <v>215</v>
      </c>
    </row>
    <row r="44688" spans="129:129" x14ac:dyDescent="0.2">
      <c r="DY44688" s="185" t="s">
        <v>215</v>
      </c>
    </row>
    <row r="44689" spans="129:129" x14ac:dyDescent="0.2">
      <c r="DY44689" s="185" t="s">
        <v>215</v>
      </c>
    </row>
    <row r="44690" spans="129:129" x14ac:dyDescent="0.2">
      <c r="DY44690" s="185" t="s">
        <v>215</v>
      </c>
    </row>
    <row r="44691" spans="129:129" x14ac:dyDescent="0.2">
      <c r="DY44691" s="185" t="s">
        <v>215</v>
      </c>
    </row>
    <row r="44692" spans="129:129" x14ac:dyDescent="0.2">
      <c r="DY44692" s="185" t="s">
        <v>215</v>
      </c>
    </row>
    <row r="44693" spans="129:129" x14ac:dyDescent="0.2">
      <c r="DY44693" s="185" t="s">
        <v>215</v>
      </c>
    </row>
    <row r="44694" spans="129:129" x14ac:dyDescent="0.2">
      <c r="DY44694" s="185" t="s">
        <v>215</v>
      </c>
    </row>
    <row r="44695" spans="129:129" x14ac:dyDescent="0.2">
      <c r="DY44695" s="185" t="s">
        <v>215</v>
      </c>
    </row>
    <row r="44696" spans="129:129" x14ac:dyDescent="0.2">
      <c r="DY44696" s="185" t="s">
        <v>215</v>
      </c>
    </row>
    <row r="44697" spans="129:129" x14ac:dyDescent="0.2">
      <c r="DY44697" s="185" t="s">
        <v>215</v>
      </c>
    </row>
    <row r="44698" spans="129:129" x14ac:dyDescent="0.2">
      <c r="DY44698" s="185" t="s">
        <v>215</v>
      </c>
    </row>
    <row r="44699" spans="129:129" x14ac:dyDescent="0.2">
      <c r="DY44699" s="185" t="s">
        <v>215</v>
      </c>
    </row>
    <row r="44700" spans="129:129" x14ac:dyDescent="0.2">
      <c r="DY44700" s="185" t="s">
        <v>215</v>
      </c>
    </row>
    <row r="44701" spans="129:129" x14ac:dyDescent="0.2">
      <c r="DY44701" s="185" t="s">
        <v>215</v>
      </c>
    </row>
    <row r="44702" spans="129:129" x14ac:dyDescent="0.2">
      <c r="DY44702" s="185" t="s">
        <v>215</v>
      </c>
    </row>
    <row r="44703" spans="129:129" x14ac:dyDescent="0.2">
      <c r="DY44703" s="185" t="s">
        <v>215</v>
      </c>
    </row>
    <row r="44704" spans="129:129" x14ac:dyDescent="0.2">
      <c r="DY44704" s="185" t="s">
        <v>215</v>
      </c>
    </row>
    <row r="44705" spans="129:129" x14ac:dyDescent="0.2">
      <c r="DY44705" s="185" t="s">
        <v>215</v>
      </c>
    </row>
    <row r="44706" spans="129:129" x14ac:dyDescent="0.2">
      <c r="DY44706" s="185" t="s">
        <v>215</v>
      </c>
    </row>
    <row r="44707" spans="129:129" x14ac:dyDescent="0.2">
      <c r="DY44707" s="185" t="s">
        <v>215</v>
      </c>
    </row>
    <row r="44708" spans="129:129" x14ac:dyDescent="0.2">
      <c r="DY44708" s="185" t="s">
        <v>215</v>
      </c>
    </row>
    <row r="44709" spans="129:129" x14ac:dyDescent="0.2">
      <c r="DY44709" s="185" t="s">
        <v>215</v>
      </c>
    </row>
    <row r="44710" spans="129:129" x14ac:dyDescent="0.2">
      <c r="DY44710" s="185" t="s">
        <v>215</v>
      </c>
    </row>
    <row r="44711" spans="129:129" x14ac:dyDescent="0.2">
      <c r="DY44711" s="185" t="s">
        <v>215</v>
      </c>
    </row>
    <row r="44712" spans="129:129" x14ac:dyDescent="0.2">
      <c r="DY44712" s="185" t="s">
        <v>215</v>
      </c>
    </row>
    <row r="44713" spans="129:129" x14ac:dyDescent="0.2">
      <c r="DY44713" s="185" t="s">
        <v>215</v>
      </c>
    </row>
    <row r="44714" spans="129:129" x14ac:dyDescent="0.2">
      <c r="DY44714" s="185" t="s">
        <v>215</v>
      </c>
    </row>
    <row r="44715" spans="129:129" x14ac:dyDescent="0.2">
      <c r="DY44715" s="185" t="s">
        <v>215</v>
      </c>
    </row>
    <row r="44716" spans="129:129" x14ac:dyDescent="0.2">
      <c r="DY44716" s="185" t="s">
        <v>215</v>
      </c>
    </row>
    <row r="44717" spans="129:129" x14ac:dyDescent="0.2">
      <c r="DY44717" s="185" t="s">
        <v>215</v>
      </c>
    </row>
    <row r="44718" spans="129:129" x14ac:dyDescent="0.2">
      <c r="DY44718" s="185" t="s">
        <v>215</v>
      </c>
    </row>
    <row r="44719" spans="129:129" x14ac:dyDescent="0.2">
      <c r="DY44719" s="185" t="s">
        <v>215</v>
      </c>
    </row>
    <row r="44720" spans="129:129" x14ac:dyDescent="0.2">
      <c r="DY44720" s="185" t="s">
        <v>215</v>
      </c>
    </row>
    <row r="44721" spans="129:129" x14ac:dyDescent="0.2">
      <c r="DY44721" s="185" t="s">
        <v>215</v>
      </c>
    </row>
    <row r="44722" spans="129:129" x14ac:dyDescent="0.2">
      <c r="DY44722" s="185" t="s">
        <v>215</v>
      </c>
    </row>
    <row r="44723" spans="129:129" x14ac:dyDescent="0.2">
      <c r="DY44723" s="185" t="s">
        <v>215</v>
      </c>
    </row>
    <row r="44724" spans="129:129" x14ac:dyDescent="0.2">
      <c r="DY44724" s="185" t="s">
        <v>215</v>
      </c>
    </row>
    <row r="44725" spans="129:129" x14ac:dyDescent="0.2">
      <c r="DY44725" s="185" t="s">
        <v>215</v>
      </c>
    </row>
    <row r="44726" spans="129:129" x14ac:dyDescent="0.2">
      <c r="DY44726" s="185" t="s">
        <v>215</v>
      </c>
    </row>
    <row r="44727" spans="129:129" x14ac:dyDescent="0.2">
      <c r="DY44727" s="185" t="s">
        <v>215</v>
      </c>
    </row>
    <row r="44728" spans="129:129" x14ac:dyDescent="0.2">
      <c r="DY44728" s="185" t="s">
        <v>215</v>
      </c>
    </row>
    <row r="44729" spans="129:129" x14ac:dyDescent="0.2">
      <c r="DY44729" s="185" t="s">
        <v>215</v>
      </c>
    </row>
    <row r="44730" spans="129:129" x14ac:dyDescent="0.2">
      <c r="DY44730" s="185" t="s">
        <v>215</v>
      </c>
    </row>
    <row r="44731" spans="129:129" x14ac:dyDescent="0.2">
      <c r="DY44731" s="185" t="s">
        <v>215</v>
      </c>
    </row>
    <row r="44732" spans="129:129" x14ac:dyDescent="0.2">
      <c r="DY44732" s="185" t="s">
        <v>215</v>
      </c>
    </row>
    <row r="44733" spans="129:129" x14ac:dyDescent="0.2">
      <c r="DY44733" s="185" t="s">
        <v>215</v>
      </c>
    </row>
    <row r="44734" spans="129:129" x14ac:dyDescent="0.2">
      <c r="DY44734" s="185" t="s">
        <v>215</v>
      </c>
    </row>
    <row r="44735" spans="129:129" x14ac:dyDescent="0.2">
      <c r="DY44735" s="185" t="s">
        <v>215</v>
      </c>
    </row>
    <row r="44736" spans="129:129" x14ac:dyDescent="0.2">
      <c r="DY44736" s="185" t="s">
        <v>215</v>
      </c>
    </row>
    <row r="44737" spans="129:129" x14ac:dyDescent="0.2">
      <c r="DY44737" s="185" t="s">
        <v>215</v>
      </c>
    </row>
    <row r="44738" spans="129:129" x14ac:dyDescent="0.2">
      <c r="DY44738" s="185" t="s">
        <v>215</v>
      </c>
    </row>
    <row r="44739" spans="129:129" x14ac:dyDescent="0.2">
      <c r="DY44739" s="185" t="s">
        <v>215</v>
      </c>
    </row>
    <row r="44740" spans="129:129" x14ac:dyDescent="0.2">
      <c r="DY44740" s="185" t="s">
        <v>215</v>
      </c>
    </row>
    <row r="44741" spans="129:129" x14ac:dyDescent="0.2">
      <c r="DY44741" s="185" t="s">
        <v>215</v>
      </c>
    </row>
    <row r="44742" spans="129:129" x14ac:dyDescent="0.2">
      <c r="DY44742" s="185" t="s">
        <v>215</v>
      </c>
    </row>
    <row r="44743" spans="129:129" x14ac:dyDescent="0.2">
      <c r="DY44743" s="185" t="s">
        <v>215</v>
      </c>
    </row>
    <row r="44744" spans="129:129" x14ac:dyDescent="0.2">
      <c r="DY44744" s="185" t="s">
        <v>215</v>
      </c>
    </row>
    <row r="44745" spans="129:129" x14ac:dyDescent="0.2">
      <c r="DY44745" s="185" t="s">
        <v>215</v>
      </c>
    </row>
    <row r="44746" spans="129:129" x14ac:dyDescent="0.2">
      <c r="DY44746" s="185" t="s">
        <v>215</v>
      </c>
    </row>
    <row r="44747" spans="129:129" x14ac:dyDescent="0.2">
      <c r="DY44747" s="185" t="s">
        <v>215</v>
      </c>
    </row>
    <row r="44748" spans="129:129" x14ac:dyDescent="0.2">
      <c r="DY44748" s="185" t="s">
        <v>215</v>
      </c>
    </row>
    <row r="44749" spans="129:129" x14ac:dyDescent="0.2">
      <c r="DY44749" s="185" t="s">
        <v>215</v>
      </c>
    </row>
    <row r="44750" spans="129:129" x14ac:dyDescent="0.2">
      <c r="DY44750" s="185" t="s">
        <v>215</v>
      </c>
    </row>
    <row r="44751" spans="129:129" x14ac:dyDescent="0.2">
      <c r="DY44751" s="185" t="s">
        <v>215</v>
      </c>
    </row>
    <row r="44752" spans="129:129" x14ac:dyDescent="0.2">
      <c r="DY44752" s="185" t="s">
        <v>215</v>
      </c>
    </row>
    <row r="44753" spans="129:129" x14ac:dyDescent="0.2">
      <c r="DY44753" s="185" t="s">
        <v>215</v>
      </c>
    </row>
    <row r="44754" spans="129:129" x14ac:dyDescent="0.2">
      <c r="DY44754" s="185" t="s">
        <v>215</v>
      </c>
    </row>
    <row r="44755" spans="129:129" x14ac:dyDescent="0.2">
      <c r="DY44755" s="185" t="s">
        <v>215</v>
      </c>
    </row>
    <row r="44756" spans="129:129" x14ac:dyDescent="0.2">
      <c r="DY44756" s="185" t="s">
        <v>215</v>
      </c>
    </row>
    <row r="44757" spans="129:129" x14ac:dyDescent="0.2">
      <c r="DY44757" s="185" t="s">
        <v>215</v>
      </c>
    </row>
    <row r="44758" spans="129:129" x14ac:dyDescent="0.2">
      <c r="DY44758" s="185" t="s">
        <v>215</v>
      </c>
    </row>
    <row r="44759" spans="129:129" x14ac:dyDescent="0.2">
      <c r="DY44759" s="185" t="s">
        <v>215</v>
      </c>
    </row>
    <row r="44760" spans="129:129" x14ac:dyDescent="0.2">
      <c r="DY44760" s="185" t="s">
        <v>215</v>
      </c>
    </row>
    <row r="44761" spans="129:129" x14ac:dyDescent="0.2">
      <c r="DY44761" s="185" t="s">
        <v>215</v>
      </c>
    </row>
    <row r="44762" spans="129:129" x14ac:dyDescent="0.2">
      <c r="DY44762" s="185" t="s">
        <v>215</v>
      </c>
    </row>
    <row r="44763" spans="129:129" x14ac:dyDescent="0.2">
      <c r="DY44763" s="185" t="s">
        <v>215</v>
      </c>
    </row>
    <row r="44764" spans="129:129" x14ac:dyDescent="0.2">
      <c r="DY44764" s="185" t="s">
        <v>215</v>
      </c>
    </row>
    <row r="44765" spans="129:129" x14ac:dyDescent="0.2">
      <c r="DY44765" s="185" t="s">
        <v>215</v>
      </c>
    </row>
    <row r="44766" spans="129:129" x14ac:dyDescent="0.2">
      <c r="DY44766" s="185" t="s">
        <v>215</v>
      </c>
    </row>
    <row r="44767" spans="129:129" x14ac:dyDescent="0.2">
      <c r="DY44767" s="185" t="s">
        <v>215</v>
      </c>
    </row>
    <row r="44768" spans="129:129" x14ac:dyDescent="0.2">
      <c r="DY44768" s="185" t="s">
        <v>215</v>
      </c>
    </row>
    <row r="44769" spans="129:129" x14ac:dyDescent="0.2">
      <c r="DY44769" s="185" t="s">
        <v>215</v>
      </c>
    </row>
    <row r="44770" spans="129:129" x14ac:dyDescent="0.2">
      <c r="DY44770" s="185" t="s">
        <v>215</v>
      </c>
    </row>
    <row r="44771" spans="129:129" x14ac:dyDescent="0.2">
      <c r="DY44771" s="185" t="s">
        <v>215</v>
      </c>
    </row>
    <row r="44772" spans="129:129" x14ac:dyDescent="0.2">
      <c r="DY44772" s="185" t="s">
        <v>215</v>
      </c>
    </row>
    <row r="44773" spans="129:129" x14ac:dyDescent="0.2">
      <c r="DY44773" s="185" t="s">
        <v>215</v>
      </c>
    </row>
    <row r="44774" spans="129:129" x14ac:dyDescent="0.2">
      <c r="DY44774" s="185" t="s">
        <v>215</v>
      </c>
    </row>
    <row r="44775" spans="129:129" x14ac:dyDescent="0.2">
      <c r="DY44775" s="185" t="s">
        <v>215</v>
      </c>
    </row>
    <row r="44776" spans="129:129" x14ac:dyDescent="0.2">
      <c r="DY44776" s="185" t="s">
        <v>215</v>
      </c>
    </row>
    <row r="44777" spans="129:129" x14ac:dyDescent="0.2">
      <c r="DY44777" s="185" t="s">
        <v>215</v>
      </c>
    </row>
    <row r="44778" spans="129:129" x14ac:dyDescent="0.2">
      <c r="DY44778" s="185" t="s">
        <v>215</v>
      </c>
    </row>
    <row r="44779" spans="129:129" x14ac:dyDescent="0.2">
      <c r="DY44779" s="185" t="s">
        <v>215</v>
      </c>
    </row>
    <row r="44780" spans="129:129" x14ac:dyDescent="0.2">
      <c r="DY44780" s="185" t="s">
        <v>215</v>
      </c>
    </row>
    <row r="44781" spans="129:129" x14ac:dyDescent="0.2">
      <c r="DY44781" s="185" t="s">
        <v>215</v>
      </c>
    </row>
    <row r="44782" spans="129:129" x14ac:dyDescent="0.2">
      <c r="DY44782" s="185" t="s">
        <v>215</v>
      </c>
    </row>
    <row r="44783" spans="129:129" x14ac:dyDescent="0.2">
      <c r="DY44783" s="185" t="s">
        <v>215</v>
      </c>
    </row>
    <row r="44784" spans="129:129" x14ac:dyDescent="0.2">
      <c r="DY44784" s="185" t="s">
        <v>215</v>
      </c>
    </row>
    <row r="44785" spans="129:129" x14ac:dyDescent="0.2">
      <c r="DY44785" s="185" t="s">
        <v>215</v>
      </c>
    </row>
    <row r="44786" spans="129:129" x14ac:dyDescent="0.2">
      <c r="DY44786" s="185" t="s">
        <v>215</v>
      </c>
    </row>
    <row r="44787" spans="129:129" x14ac:dyDescent="0.2">
      <c r="DY44787" s="185" t="s">
        <v>215</v>
      </c>
    </row>
    <row r="44788" spans="129:129" x14ac:dyDescent="0.2">
      <c r="DY44788" s="185" t="s">
        <v>215</v>
      </c>
    </row>
    <row r="44789" spans="129:129" x14ac:dyDescent="0.2">
      <c r="DY44789" s="185" t="s">
        <v>215</v>
      </c>
    </row>
    <row r="44790" spans="129:129" x14ac:dyDescent="0.2">
      <c r="DY44790" s="185" t="s">
        <v>215</v>
      </c>
    </row>
    <row r="44791" spans="129:129" x14ac:dyDescent="0.2">
      <c r="DY44791" s="185" t="s">
        <v>215</v>
      </c>
    </row>
    <row r="44792" spans="129:129" x14ac:dyDescent="0.2">
      <c r="DY44792" s="185" t="s">
        <v>215</v>
      </c>
    </row>
    <row r="44793" spans="129:129" x14ac:dyDescent="0.2">
      <c r="DY44793" s="185" t="s">
        <v>215</v>
      </c>
    </row>
    <row r="44794" spans="129:129" x14ac:dyDescent="0.2">
      <c r="DY44794" s="185" t="s">
        <v>215</v>
      </c>
    </row>
    <row r="44795" spans="129:129" x14ac:dyDescent="0.2">
      <c r="DY44795" s="185" t="s">
        <v>215</v>
      </c>
    </row>
    <row r="44796" spans="129:129" x14ac:dyDescent="0.2">
      <c r="DY44796" s="185" t="s">
        <v>215</v>
      </c>
    </row>
    <row r="44797" spans="129:129" x14ac:dyDescent="0.2">
      <c r="DY44797" s="185" t="s">
        <v>215</v>
      </c>
    </row>
    <row r="44798" spans="129:129" x14ac:dyDescent="0.2">
      <c r="DY44798" s="185" t="s">
        <v>215</v>
      </c>
    </row>
    <row r="44799" spans="129:129" x14ac:dyDescent="0.2">
      <c r="DY44799" s="185" t="s">
        <v>215</v>
      </c>
    </row>
    <row r="44800" spans="129:129" x14ac:dyDescent="0.2">
      <c r="DY44800" s="185" t="s">
        <v>215</v>
      </c>
    </row>
    <row r="44801" spans="129:129" x14ac:dyDescent="0.2">
      <c r="DY44801" s="185" t="s">
        <v>215</v>
      </c>
    </row>
    <row r="44802" spans="129:129" x14ac:dyDescent="0.2">
      <c r="DY44802" s="185" t="s">
        <v>215</v>
      </c>
    </row>
    <row r="44803" spans="129:129" x14ac:dyDescent="0.2">
      <c r="DY44803" s="185" t="s">
        <v>215</v>
      </c>
    </row>
    <row r="44804" spans="129:129" x14ac:dyDescent="0.2">
      <c r="DY44804" s="185" t="s">
        <v>215</v>
      </c>
    </row>
    <row r="44805" spans="129:129" x14ac:dyDescent="0.2">
      <c r="DY44805" s="185" t="s">
        <v>215</v>
      </c>
    </row>
    <row r="44806" spans="129:129" x14ac:dyDescent="0.2">
      <c r="DY44806" s="185" t="s">
        <v>215</v>
      </c>
    </row>
    <row r="44807" spans="129:129" x14ac:dyDescent="0.2">
      <c r="DY44807" s="185" t="s">
        <v>215</v>
      </c>
    </row>
    <row r="44808" spans="129:129" x14ac:dyDescent="0.2">
      <c r="DY44808" s="185" t="s">
        <v>215</v>
      </c>
    </row>
    <row r="44809" spans="129:129" x14ac:dyDescent="0.2">
      <c r="DY44809" s="185" t="s">
        <v>215</v>
      </c>
    </row>
    <row r="44810" spans="129:129" x14ac:dyDescent="0.2">
      <c r="DY44810" s="185" t="s">
        <v>215</v>
      </c>
    </row>
    <row r="44811" spans="129:129" x14ac:dyDescent="0.2">
      <c r="DY44811" s="185" t="s">
        <v>215</v>
      </c>
    </row>
    <row r="44812" spans="129:129" x14ac:dyDescent="0.2">
      <c r="DY44812" s="185" t="s">
        <v>215</v>
      </c>
    </row>
    <row r="44813" spans="129:129" x14ac:dyDescent="0.2">
      <c r="DY44813" s="185" t="s">
        <v>215</v>
      </c>
    </row>
    <row r="44814" spans="129:129" x14ac:dyDescent="0.2">
      <c r="DY44814" s="185" t="s">
        <v>215</v>
      </c>
    </row>
    <row r="44815" spans="129:129" x14ac:dyDescent="0.2">
      <c r="DY44815" s="185" t="s">
        <v>215</v>
      </c>
    </row>
    <row r="44816" spans="129:129" x14ac:dyDescent="0.2">
      <c r="DY44816" s="185" t="s">
        <v>215</v>
      </c>
    </row>
    <row r="44817" spans="129:129" x14ac:dyDescent="0.2">
      <c r="DY44817" s="185" t="s">
        <v>215</v>
      </c>
    </row>
    <row r="44818" spans="129:129" x14ac:dyDescent="0.2">
      <c r="DY44818" s="185" t="s">
        <v>215</v>
      </c>
    </row>
    <row r="44819" spans="129:129" x14ac:dyDescent="0.2">
      <c r="DY44819" s="185" t="s">
        <v>215</v>
      </c>
    </row>
    <row r="44820" spans="129:129" x14ac:dyDescent="0.2">
      <c r="DY44820" s="185" t="s">
        <v>215</v>
      </c>
    </row>
    <row r="44821" spans="129:129" x14ac:dyDescent="0.2">
      <c r="DY44821" s="185" t="s">
        <v>215</v>
      </c>
    </row>
    <row r="44822" spans="129:129" x14ac:dyDescent="0.2">
      <c r="DY44822" s="185" t="s">
        <v>215</v>
      </c>
    </row>
    <row r="44823" spans="129:129" x14ac:dyDescent="0.2">
      <c r="DY44823" s="185" t="s">
        <v>215</v>
      </c>
    </row>
    <row r="44824" spans="129:129" x14ac:dyDescent="0.2">
      <c r="DY44824" s="185" t="s">
        <v>215</v>
      </c>
    </row>
    <row r="44825" spans="129:129" x14ac:dyDescent="0.2">
      <c r="DY44825" s="185" t="s">
        <v>215</v>
      </c>
    </row>
    <row r="44826" spans="129:129" x14ac:dyDescent="0.2">
      <c r="DY44826" s="185" t="s">
        <v>215</v>
      </c>
    </row>
    <row r="44827" spans="129:129" x14ac:dyDescent="0.2">
      <c r="DY44827" s="185" t="s">
        <v>215</v>
      </c>
    </row>
    <row r="44828" spans="129:129" x14ac:dyDescent="0.2">
      <c r="DY44828" s="185" t="s">
        <v>215</v>
      </c>
    </row>
    <row r="44829" spans="129:129" x14ac:dyDescent="0.2">
      <c r="DY44829" s="185" t="s">
        <v>215</v>
      </c>
    </row>
    <row r="44830" spans="129:129" x14ac:dyDescent="0.2">
      <c r="DY44830" s="185" t="s">
        <v>215</v>
      </c>
    </row>
    <row r="44831" spans="129:129" x14ac:dyDescent="0.2">
      <c r="DY44831" s="185" t="s">
        <v>215</v>
      </c>
    </row>
    <row r="44832" spans="129:129" x14ac:dyDescent="0.2">
      <c r="DY44832" s="185" t="s">
        <v>215</v>
      </c>
    </row>
    <row r="44833" spans="129:129" x14ac:dyDescent="0.2">
      <c r="DY44833" s="185" t="s">
        <v>215</v>
      </c>
    </row>
    <row r="44834" spans="129:129" x14ac:dyDescent="0.2">
      <c r="DY44834" s="185" t="s">
        <v>215</v>
      </c>
    </row>
    <row r="44835" spans="129:129" x14ac:dyDescent="0.2">
      <c r="DY44835" s="185" t="s">
        <v>215</v>
      </c>
    </row>
    <row r="44836" spans="129:129" x14ac:dyDescent="0.2">
      <c r="DY44836" s="185" t="s">
        <v>215</v>
      </c>
    </row>
    <row r="44837" spans="129:129" x14ac:dyDescent="0.2">
      <c r="DY44837" s="185" t="s">
        <v>215</v>
      </c>
    </row>
    <row r="44838" spans="129:129" x14ac:dyDescent="0.2">
      <c r="DY44838" s="185" t="s">
        <v>215</v>
      </c>
    </row>
    <row r="44839" spans="129:129" x14ac:dyDescent="0.2">
      <c r="DY44839" s="185" t="s">
        <v>215</v>
      </c>
    </row>
    <row r="44840" spans="129:129" x14ac:dyDescent="0.2">
      <c r="DY44840" s="185" t="s">
        <v>215</v>
      </c>
    </row>
    <row r="44841" spans="129:129" x14ac:dyDescent="0.2">
      <c r="DY44841" s="185" t="s">
        <v>215</v>
      </c>
    </row>
    <row r="44842" spans="129:129" x14ac:dyDescent="0.2">
      <c r="DY44842" s="185" t="s">
        <v>215</v>
      </c>
    </row>
    <row r="44843" spans="129:129" x14ac:dyDescent="0.2">
      <c r="DY44843" s="185" t="s">
        <v>215</v>
      </c>
    </row>
    <row r="44844" spans="129:129" x14ac:dyDescent="0.2">
      <c r="DY44844" s="185" t="s">
        <v>215</v>
      </c>
    </row>
    <row r="44845" spans="129:129" x14ac:dyDescent="0.2">
      <c r="DY44845" s="185" t="s">
        <v>215</v>
      </c>
    </row>
    <row r="44846" spans="129:129" x14ac:dyDescent="0.2">
      <c r="DY44846" s="185" t="s">
        <v>215</v>
      </c>
    </row>
    <row r="44847" spans="129:129" x14ac:dyDescent="0.2">
      <c r="DY44847" s="185" t="s">
        <v>215</v>
      </c>
    </row>
    <row r="44848" spans="129:129" x14ac:dyDescent="0.2">
      <c r="DY44848" s="185" t="s">
        <v>215</v>
      </c>
    </row>
    <row r="44849" spans="129:129" x14ac:dyDescent="0.2">
      <c r="DY44849" s="185" t="s">
        <v>215</v>
      </c>
    </row>
    <row r="44850" spans="129:129" x14ac:dyDescent="0.2">
      <c r="DY44850" s="185" t="s">
        <v>215</v>
      </c>
    </row>
    <row r="44851" spans="129:129" x14ac:dyDescent="0.2">
      <c r="DY44851" s="185" t="s">
        <v>215</v>
      </c>
    </row>
    <row r="44852" spans="129:129" x14ac:dyDescent="0.2">
      <c r="DY44852" s="185" t="s">
        <v>215</v>
      </c>
    </row>
    <row r="44853" spans="129:129" x14ac:dyDescent="0.2">
      <c r="DY44853" s="185" t="s">
        <v>215</v>
      </c>
    </row>
    <row r="44854" spans="129:129" x14ac:dyDescent="0.2">
      <c r="DY44854" s="185" t="s">
        <v>215</v>
      </c>
    </row>
    <row r="44855" spans="129:129" x14ac:dyDescent="0.2">
      <c r="DY44855" s="185" t="s">
        <v>215</v>
      </c>
    </row>
    <row r="44856" spans="129:129" x14ac:dyDescent="0.2">
      <c r="DY44856" s="185" t="s">
        <v>215</v>
      </c>
    </row>
    <row r="44857" spans="129:129" x14ac:dyDescent="0.2">
      <c r="DY44857" s="185" t="s">
        <v>215</v>
      </c>
    </row>
    <row r="44858" spans="129:129" x14ac:dyDescent="0.2">
      <c r="DY44858" s="185" t="s">
        <v>215</v>
      </c>
    </row>
    <row r="44859" spans="129:129" x14ac:dyDescent="0.2">
      <c r="DY44859" s="185" t="s">
        <v>215</v>
      </c>
    </row>
    <row r="44860" spans="129:129" x14ac:dyDescent="0.2">
      <c r="DY44860" s="185" t="s">
        <v>215</v>
      </c>
    </row>
    <row r="44861" spans="129:129" x14ac:dyDescent="0.2">
      <c r="DY44861" s="185" t="s">
        <v>215</v>
      </c>
    </row>
    <row r="44862" spans="129:129" x14ac:dyDescent="0.2">
      <c r="DY44862" s="185" t="s">
        <v>215</v>
      </c>
    </row>
    <row r="44863" spans="129:129" x14ac:dyDescent="0.2">
      <c r="DY44863" s="185" t="s">
        <v>215</v>
      </c>
    </row>
    <row r="44864" spans="129:129" x14ac:dyDescent="0.2">
      <c r="DY44864" s="185" t="s">
        <v>215</v>
      </c>
    </row>
    <row r="44865" spans="129:129" x14ac:dyDescent="0.2">
      <c r="DY44865" s="185" t="s">
        <v>215</v>
      </c>
    </row>
    <row r="44866" spans="129:129" x14ac:dyDescent="0.2">
      <c r="DY44866" s="185" t="s">
        <v>215</v>
      </c>
    </row>
    <row r="44867" spans="129:129" x14ac:dyDescent="0.2">
      <c r="DY44867" s="185" t="s">
        <v>215</v>
      </c>
    </row>
    <row r="44868" spans="129:129" x14ac:dyDescent="0.2">
      <c r="DY44868" s="185" t="s">
        <v>215</v>
      </c>
    </row>
    <row r="44869" spans="129:129" x14ac:dyDescent="0.2">
      <c r="DY44869" s="185" t="s">
        <v>215</v>
      </c>
    </row>
    <row r="44870" spans="129:129" x14ac:dyDescent="0.2">
      <c r="DY44870" s="185" t="s">
        <v>215</v>
      </c>
    </row>
    <row r="44871" spans="129:129" x14ac:dyDescent="0.2">
      <c r="DY44871" s="185" t="s">
        <v>215</v>
      </c>
    </row>
    <row r="44872" spans="129:129" x14ac:dyDescent="0.2">
      <c r="DY44872" s="185" t="s">
        <v>215</v>
      </c>
    </row>
    <row r="44873" spans="129:129" x14ac:dyDescent="0.2">
      <c r="DY44873" s="185" t="s">
        <v>215</v>
      </c>
    </row>
    <row r="44874" spans="129:129" x14ac:dyDescent="0.2">
      <c r="DY44874" s="185" t="s">
        <v>215</v>
      </c>
    </row>
    <row r="44875" spans="129:129" x14ac:dyDescent="0.2">
      <c r="DY44875" s="185" t="s">
        <v>215</v>
      </c>
    </row>
    <row r="44876" spans="129:129" x14ac:dyDescent="0.2">
      <c r="DY44876" s="185" t="s">
        <v>215</v>
      </c>
    </row>
    <row r="44877" spans="129:129" x14ac:dyDescent="0.2">
      <c r="DY44877" s="185" t="s">
        <v>215</v>
      </c>
    </row>
    <row r="44878" spans="129:129" x14ac:dyDescent="0.2">
      <c r="DY44878" s="185" t="s">
        <v>215</v>
      </c>
    </row>
    <row r="44879" spans="129:129" x14ac:dyDescent="0.2">
      <c r="DY44879" s="185" t="s">
        <v>215</v>
      </c>
    </row>
    <row r="44880" spans="129:129" x14ac:dyDescent="0.2">
      <c r="DY44880" s="185" t="s">
        <v>215</v>
      </c>
    </row>
    <row r="44881" spans="129:129" x14ac:dyDescent="0.2">
      <c r="DY44881" s="185" t="s">
        <v>215</v>
      </c>
    </row>
    <row r="44882" spans="129:129" x14ac:dyDescent="0.2">
      <c r="DY44882" s="185" t="s">
        <v>215</v>
      </c>
    </row>
    <row r="44883" spans="129:129" x14ac:dyDescent="0.2">
      <c r="DY44883" s="185" t="s">
        <v>215</v>
      </c>
    </row>
    <row r="44884" spans="129:129" x14ac:dyDescent="0.2">
      <c r="DY44884" s="185" t="s">
        <v>215</v>
      </c>
    </row>
    <row r="44885" spans="129:129" x14ac:dyDescent="0.2">
      <c r="DY44885" s="185" t="s">
        <v>215</v>
      </c>
    </row>
    <row r="44886" spans="129:129" x14ac:dyDescent="0.2">
      <c r="DY44886" s="185" t="s">
        <v>215</v>
      </c>
    </row>
    <row r="44887" spans="129:129" x14ac:dyDescent="0.2">
      <c r="DY44887" s="185" t="s">
        <v>215</v>
      </c>
    </row>
    <row r="44888" spans="129:129" x14ac:dyDescent="0.2">
      <c r="DY44888" s="185" t="s">
        <v>215</v>
      </c>
    </row>
    <row r="44889" spans="129:129" x14ac:dyDescent="0.2">
      <c r="DY44889" s="185" t="s">
        <v>215</v>
      </c>
    </row>
    <row r="44890" spans="129:129" x14ac:dyDescent="0.2">
      <c r="DY44890" s="185" t="s">
        <v>215</v>
      </c>
    </row>
    <row r="44891" spans="129:129" x14ac:dyDescent="0.2">
      <c r="DY44891" s="185" t="s">
        <v>215</v>
      </c>
    </row>
    <row r="44892" spans="129:129" x14ac:dyDescent="0.2">
      <c r="DY44892" s="185" t="s">
        <v>215</v>
      </c>
    </row>
    <row r="44893" spans="129:129" x14ac:dyDescent="0.2">
      <c r="DY44893" s="185" t="s">
        <v>215</v>
      </c>
    </row>
    <row r="44894" spans="129:129" x14ac:dyDescent="0.2">
      <c r="DY44894" s="185" t="s">
        <v>215</v>
      </c>
    </row>
    <row r="44895" spans="129:129" x14ac:dyDescent="0.2">
      <c r="DY44895" s="185" t="s">
        <v>215</v>
      </c>
    </row>
    <row r="44896" spans="129:129" x14ac:dyDescent="0.2">
      <c r="DY44896" s="185" t="s">
        <v>215</v>
      </c>
    </row>
    <row r="44897" spans="129:129" x14ac:dyDescent="0.2">
      <c r="DY44897" s="185" t="s">
        <v>215</v>
      </c>
    </row>
    <row r="44898" spans="129:129" x14ac:dyDescent="0.2">
      <c r="DY44898" s="185" t="s">
        <v>215</v>
      </c>
    </row>
    <row r="44899" spans="129:129" x14ac:dyDescent="0.2">
      <c r="DY44899" s="185" t="s">
        <v>215</v>
      </c>
    </row>
    <row r="44900" spans="129:129" x14ac:dyDescent="0.2">
      <c r="DY44900" s="185" t="s">
        <v>215</v>
      </c>
    </row>
    <row r="44901" spans="129:129" x14ac:dyDescent="0.2">
      <c r="DY44901" s="185" t="s">
        <v>215</v>
      </c>
    </row>
    <row r="44902" spans="129:129" x14ac:dyDescent="0.2">
      <c r="DY44902" s="185" t="s">
        <v>215</v>
      </c>
    </row>
    <row r="44903" spans="129:129" x14ac:dyDescent="0.2">
      <c r="DY44903" s="185" t="s">
        <v>215</v>
      </c>
    </row>
    <row r="44904" spans="129:129" x14ac:dyDescent="0.2">
      <c r="DY44904" s="185" t="s">
        <v>215</v>
      </c>
    </row>
    <row r="44905" spans="129:129" x14ac:dyDescent="0.2">
      <c r="DY44905" s="185" t="s">
        <v>215</v>
      </c>
    </row>
    <row r="44906" spans="129:129" x14ac:dyDescent="0.2">
      <c r="DY44906" s="185" t="s">
        <v>215</v>
      </c>
    </row>
    <row r="44907" spans="129:129" x14ac:dyDescent="0.2">
      <c r="DY44907" s="185" t="s">
        <v>215</v>
      </c>
    </row>
    <row r="44908" spans="129:129" x14ac:dyDescent="0.2">
      <c r="DY44908" s="185" t="s">
        <v>215</v>
      </c>
    </row>
    <row r="44909" spans="129:129" x14ac:dyDescent="0.2">
      <c r="DY44909" s="185" t="s">
        <v>215</v>
      </c>
    </row>
    <row r="44910" spans="129:129" x14ac:dyDescent="0.2">
      <c r="DY44910" s="185" t="s">
        <v>215</v>
      </c>
    </row>
    <row r="44911" spans="129:129" x14ac:dyDescent="0.2">
      <c r="DY44911" s="185" t="s">
        <v>215</v>
      </c>
    </row>
    <row r="44912" spans="129:129" x14ac:dyDescent="0.2">
      <c r="DY44912" s="185" t="s">
        <v>215</v>
      </c>
    </row>
    <row r="44913" spans="129:129" x14ac:dyDescent="0.2">
      <c r="DY44913" s="185" t="s">
        <v>215</v>
      </c>
    </row>
    <row r="44914" spans="129:129" x14ac:dyDescent="0.2">
      <c r="DY44914" s="185" t="s">
        <v>215</v>
      </c>
    </row>
    <row r="44915" spans="129:129" x14ac:dyDescent="0.2">
      <c r="DY44915" s="185" t="s">
        <v>215</v>
      </c>
    </row>
    <row r="44916" spans="129:129" x14ac:dyDescent="0.2">
      <c r="DY44916" s="185" t="s">
        <v>215</v>
      </c>
    </row>
    <row r="44917" spans="129:129" x14ac:dyDescent="0.2">
      <c r="DY44917" s="185" t="s">
        <v>215</v>
      </c>
    </row>
    <row r="44918" spans="129:129" x14ac:dyDescent="0.2">
      <c r="DY44918" s="185" t="s">
        <v>215</v>
      </c>
    </row>
    <row r="44919" spans="129:129" x14ac:dyDescent="0.2">
      <c r="DY44919" s="185" t="s">
        <v>215</v>
      </c>
    </row>
    <row r="44920" spans="129:129" x14ac:dyDescent="0.2">
      <c r="DY44920" s="185" t="s">
        <v>215</v>
      </c>
    </row>
    <row r="44921" spans="129:129" x14ac:dyDescent="0.2">
      <c r="DY44921" s="185" t="s">
        <v>215</v>
      </c>
    </row>
    <row r="44922" spans="129:129" x14ac:dyDescent="0.2">
      <c r="DY44922" s="185" t="s">
        <v>215</v>
      </c>
    </row>
    <row r="44923" spans="129:129" x14ac:dyDescent="0.2">
      <c r="DY44923" s="185" t="s">
        <v>215</v>
      </c>
    </row>
    <row r="44924" spans="129:129" x14ac:dyDescent="0.2">
      <c r="DY44924" s="185" t="s">
        <v>215</v>
      </c>
    </row>
    <row r="44925" spans="129:129" x14ac:dyDescent="0.2">
      <c r="DY44925" s="185" t="s">
        <v>215</v>
      </c>
    </row>
    <row r="44926" spans="129:129" x14ac:dyDescent="0.2">
      <c r="DY44926" s="185" t="s">
        <v>215</v>
      </c>
    </row>
    <row r="44927" spans="129:129" x14ac:dyDescent="0.2">
      <c r="DY44927" s="185" t="s">
        <v>215</v>
      </c>
    </row>
    <row r="44928" spans="129:129" x14ac:dyDescent="0.2">
      <c r="DY44928" s="185" t="s">
        <v>215</v>
      </c>
    </row>
    <row r="44929" spans="129:129" x14ac:dyDescent="0.2">
      <c r="DY44929" s="185" t="s">
        <v>215</v>
      </c>
    </row>
    <row r="44930" spans="129:129" x14ac:dyDescent="0.2">
      <c r="DY44930" s="185" t="s">
        <v>215</v>
      </c>
    </row>
    <row r="44931" spans="129:129" x14ac:dyDescent="0.2">
      <c r="DY44931" s="185" t="s">
        <v>215</v>
      </c>
    </row>
    <row r="44932" spans="129:129" x14ac:dyDescent="0.2">
      <c r="DY44932" s="185" t="s">
        <v>215</v>
      </c>
    </row>
    <row r="44933" spans="129:129" x14ac:dyDescent="0.2">
      <c r="DY44933" s="185" t="s">
        <v>215</v>
      </c>
    </row>
    <row r="44934" spans="129:129" x14ac:dyDescent="0.2">
      <c r="DY44934" s="185" t="s">
        <v>215</v>
      </c>
    </row>
    <row r="44935" spans="129:129" x14ac:dyDescent="0.2">
      <c r="DY44935" s="185" t="s">
        <v>215</v>
      </c>
    </row>
    <row r="44936" spans="129:129" x14ac:dyDescent="0.2">
      <c r="DY44936" s="185" t="s">
        <v>215</v>
      </c>
    </row>
    <row r="44937" spans="129:129" x14ac:dyDescent="0.2">
      <c r="DY44937" s="185" t="s">
        <v>215</v>
      </c>
    </row>
    <row r="44938" spans="129:129" x14ac:dyDescent="0.2">
      <c r="DY44938" s="185" t="s">
        <v>215</v>
      </c>
    </row>
    <row r="44939" spans="129:129" x14ac:dyDescent="0.2">
      <c r="DY44939" s="185" t="s">
        <v>215</v>
      </c>
    </row>
    <row r="44940" spans="129:129" x14ac:dyDescent="0.2">
      <c r="DY44940" s="185" t="s">
        <v>215</v>
      </c>
    </row>
    <row r="44941" spans="129:129" x14ac:dyDescent="0.2">
      <c r="DY44941" s="185" t="s">
        <v>215</v>
      </c>
    </row>
    <row r="44942" spans="129:129" x14ac:dyDescent="0.2">
      <c r="DY44942" s="185" t="s">
        <v>215</v>
      </c>
    </row>
    <row r="44943" spans="129:129" x14ac:dyDescent="0.2">
      <c r="DY44943" s="185" t="s">
        <v>215</v>
      </c>
    </row>
    <row r="44944" spans="129:129" x14ac:dyDescent="0.2">
      <c r="DY44944" s="185" t="s">
        <v>215</v>
      </c>
    </row>
    <row r="44945" spans="129:129" x14ac:dyDescent="0.2">
      <c r="DY44945" s="185" t="s">
        <v>215</v>
      </c>
    </row>
    <row r="44946" spans="129:129" x14ac:dyDescent="0.2">
      <c r="DY44946" s="185" t="s">
        <v>215</v>
      </c>
    </row>
    <row r="44947" spans="129:129" x14ac:dyDescent="0.2">
      <c r="DY44947" s="185" t="s">
        <v>215</v>
      </c>
    </row>
    <row r="44948" spans="129:129" x14ac:dyDescent="0.2">
      <c r="DY44948" s="185" t="s">
        <v>215</v>
      </c>
    </row>
    <row r="44949" spans="129:129" x14ac:dyDescent="0.2">
      <c r="DY44949" s="185" t="s">
        <v>215</v>
      </c>
    </row>
    <row r="44950" spans="129:129" x14ac:dyDescent="0.2">
      <c r="DY44950" s="185" t="s">
        <v>215</v>
      </c>
    </row>
    <row r="44951" spans="129:129" x14ac:dyDescent="0.2">
      <c r="DY44951" s="185" t="s">
        <v>215</v>
      </c>
    </row>
    <row r="44952" spans="129:129" x14ac:dyDescent="0.2">
      <c r="DY44952" s="185" t="s">
        <v>215</v>
      </c>
    </row>
    <row r="44953" spans="129:129" x14ac:dyDescent="0.2">
      <c r="DY44953" s="185" t="s">
        <v>215</v>
      </c>
    </row>
    <row r="44954" spans="129:129" x14ac:dyDescent="0.2">
      <c r="DY44954" s="185" t="s">
        <v>215</v>
      </c>
    </row>
    <row r="44955" spans="129:129" x14ac:dyDescent="0.2">
      <c r="DY44955" s="185" t="s">
        <v>215</v>
      </c>
    </row>
    <row r="44956" spans="129:129" x14ac:dyDescent="0.2">
      <c r="DY44956" s="185" t="s">
        <v>215</v>
      </c>
    </row>
    <row r="44957" spans="129:129" x14ac:dyDescent="0.2">
      <c r="DY44957" s="185" t="s">
        <v>215</v>
      </c>
    </row>
    <row r="44958" spans="129:129" x14ac:dyDescent="0.2">
      <c r="DY44958" s="185" t="s">
        <v>215</v>
      </c>
    </row>
    <row r="44959" spans="129:129" x14ac:dyDescent="0.2">
      <c r="DY44959" s="185" t="s">
        <v>215</v>
      </c>
    </row>
    <row r="44960" spans="129:129" x14ac:dyDescent="0.2">
      <c r="DY44960" s="185" t="s">
        <v>215</v>
      </c>
    </row>
    <row r="44961" spans="129:129" x14ac:dyDescent="0.2">
      <c r="DY44961" s="185" t="s">
        <v>215</v>
      </c>
    </row>
    <row r="44962" spans="129:129" x14ac:dyDescent="0.2">
      <c r="DY44962" s="185" t="s">
        <v>215</v>
      </c>
    </row>
    <row r="44963" spans="129:129" x14ac:dyDescent="0.2">
      <c r="DY44963" s="185" t="s">
        <v>215</v>
      </c>
    </row>
    <row r="44964" spans="129:129" x14ac:dyDescent="0.2">
      <c r="DY44964" s="185" t="s">
        <v>215</v>
      </c>
    </row>
    <row r="44965" spans="129:129" x14ac:dyDescent="0.2">
      <c r="DY44965" s="185" t="s">
        <v>215</v>
      </c>
    </row>
    <row r="44966" spans="129:129" x14ac:dyDescent="0.2">
      <c r="DY44966" s="185" t="s">
        <v>215</v>
      </c>
    </row>
    <row r="44967" spans="129:129" x14ac:dyDescent="0.2">
      <c r="DY44967" s="185" t="s">
        <v>215</v>
      </c>
    </row>
    <row r="44968" spans="129:129" x14ac:dyDescent="0.2">
      <c r="DY44968" s="185" t="s">
        <v>215</v>
      </c>
    </row>
    <row r="44969" spans="129:129" x14ac:dyDescent="0.2">
      <c r="DY44969" s="185" t="s">
        <v>215</v>
      </c>
    </row>
    <row r="44970" spans="129:129" x14ac:dyDescent="0.2">
      <c r="DY44970" s="185" t="s">
        <v>215</v>
      </c>
    </row>
    <row r="44971" spans="129:129" x14ac:dyDescent="0.2">
      <c r="DY44971" s="185" t="s">
        <v>215</v>
      </c>
    </row>
    <row r="44972" spans="129:129" x14ac:dyDescent="0.2">
      <c r="DY44972" s="185" t="s">
        <v>215</v>
      </c>
    </row>
    <row r="44973" spans="129:129" x14ac:dyDescent="0.2">
      <c r="DY44973" s="185" t="s">
        <v>215</v>
      </c>
    </row>
    <row r="44974" spans="129:129" x14ac:dyDescent="0.2">
      <c r="DY44974" s="185" t="s">
        <v>215</v>
      </c>
    </row>
    <row r="44975" spans="129:129" x14ac:dyDescent="0.2">
      <c r="DY44975" s="185" t="s">
        <v>215</v>
      </c>
    </row>
    <row r="44976" spans="129:129" x14ac:dyDescent="0.2">
      <c r="DY44976" s="185" t="s">
        <v>215</v>
      </c>
    </row>
    <row r="44977" spans="129:129" x14ac:dyDescent="0.2">
      <c r="DY44977" s="185" t="s">
        <v>215</v>
      </c>
    </row>
    <row r="44978" spans="129:129" x14ac:dyDescent="0.2">
      <c r="DY44978" s="185" t="s">
        <v>215</v>
      </c>
    </row>
    <row r="44979" spans="129:129" x14ac:dyDescent="0.2">
      <c r="DY44979" s="185" t="s">
        <v>215</v>
      </c>
    </row>
    <row r="44980" spans="129:129" x14ac:dyDescent="0.2">
      <c r="DY44980" s="185" t="s">
        <v>215</v>
      </c>
    </row>
    <row r="44981" spans="129:129" x14ac:dyDescent="0.2">
      <c r="DY44981" s="185" t="s">
        <v>215</v>
      </c>
    </row>
    <row r="44982" spans="129:129" x14ac:dyDescent="0.2">
      <c r="DY44982" s="185" t="s">
        <v>215</v>
      </c>
    </row>
    <row r="44983" spans="129:129" x14ac:dyDescent="0.2">
      <c r="DY44983" s="185" t="s">
        <v>215</v>
      </c>
    </row>
    <row r="44984" spans="129:129" x14ac:dyDescent="0.2">
      <c r="DY44984" s="185" t="s">
        <v>215</v>
      </c>
    </row>
    <row r="44985" spans="129:129" x14ac:dyDescent="0.2">
      <c r="DY44985" s="185" t="s">
        <v>215</v>
      </c>
    </row>
    <row r="44986" spans="129:129" x14ac:dyDescent="0.2">
      <c r="DY44986" s="185" t="s">
        <v>215</v>
      </c>
    </row>
    <row r="44987" spans="129:129" x14ac:dyDescent="0.2">
      <c r="DY44987" s="185" t="s">
        <v>215</v>
      </c>
    </row>
    <row r="44988" spans="129:129" x14ac:dyDescent="0.2">
      <c r="DY44988" s="185" t="s">
        <v>215</v>
      </c>
    </row>
    <row r="44989" spans="129:129" x14ac:dyDescent="0.2">
      <c r="DY44989" s="185" t="s">
        <v>215</v>
      </c>
    </row>
    <row r="44990" spans="129:129" x14ac:dyDescent="0.2">
      <c r="DY44990" s="185" t="s">
        <v>215</v>
      </c>
    </row>
    <row r="44991" spans="129:129" x14ac:dyDescent="0.2">
      <c r="DY44991" s="185" t="s">
        <v>215</v>
      </c>
    </row>
    <row r="44992" spans="129:129" x14ac:dyDescent="0.2">
      <c r="DY44992" s="185" t="s">
        <v>215</v>
      </c>
    </row>
    <row r="44993" spans="129:129" x14ac:dyDescent="0.2">
      <c r="DY44993" s="185" t="s">
        <v>215</v>
      </c>
    </row>
    <row r="44994" spans="129:129" x14ac:dyDescent="0.2">
      <c r="DY44994" s="185" t="s">
        <v>215</v>
      </c>
    </row>
    <row r="44995" spans="129:129" x14ac:dyDescent="0.2">
      <c r="DY44995" s="185" t="s">
        <v>215</v>
      </c>
    </row>
    <row r="44996" spans="129:129" x14ac:dyDescent="0.2">
      <c r="DY44996" s="185" t="s">
        <v>215</v>
      </c>
    </row>
    <row r="44997" spans="129:129" x14ac:dyDescent="0.2">
      <c r="DY44997" s="185" t="s">
        <v>215</v>
      </c>
    </row>
    <row r="44998" spans="129:129" x14ac:dyDescent="0.2">
      <c r="DY44998" s="185" t="s">
        <v>215</v>
      </c>
    </row>
    <row r="44999" spans="129:129" x14ac:dyDescent="0.2">
      <c r="DY44999" s="185" t="s">
        <v>215</v>
      </c>
    </row>
    <row r="45000" spans="129:129" x14ac:dyDescent="0.2">
      <c r="DY45000" s="185" t="s">
        <v>215</v>
      </c>
    </row>
    <row r="45001" spans="129:129" x14ac:dyDescent="0.2">
      <c r="DY45001" s="185" t="s">
        <v>215</v>
      </c>
    </row>
    <row r="45002" spans="129:129" x14ac:dyDescent="0.2">
      <c r="DY45002" s="185" t="s">
        <v>215</v>
      </c>
    </row>
    <row r="45003" spans="129:129" x14ac:dyDescent="0.2">
      <c r="DY45003" s="185" t="s">
        <v>215</v>
      </c>
    </row>
    <row r="45004" spans="129:129" x14ac:dyDescent="0.2">
      <c r="DY45004" s="185" t="s">
        <v>215</v>
      </c>
    </row>
    <row r="45005" spans="129:129" x14ac:dyDescent="0.2">
      <c r="DY45005" s="185" t="s">
        <v>215</v>
      </c>
    </row>
    <row r="45006" spans="129:129" x14ac:dyDescent="0.2">
      <c r="DY45006" s="185" t="s">
        <v>215</v>
      </c>
    </row>
    <row r="45007" spans="129:129" x14ac:dyDescent="0.2">
      <c r="DY45007" s="185" t="s">
        <v>215</v>
      </c>
    </row>
    <row r="45008" spans="129:129" x14ac:dyDescent="0.2">
      <c r="DY45008" s="185" t="s">
        <v>215</v>
      </c>
    </row>
    <row r="45009" spans="129:129" x14ac:dyDescent="0.2">
      <c r="DY45009" s="185" t="s">
        <v>215</v>
      </c>
    </row>
    <row r="45010" spans="129:129" x14ac:dyDescent="0.2">
      <c r="DY45010" s="185" t="s">
        <v>215</v>
      </c>
    </row>
    <row r="45011" spans="129:129" x14ac:dyDescent="0.2">
      <c r="DY45011" s="185" t="s">
        <v>215</v>
      </c>
    </row>
    <row r="45012" spans="129:129" x14ac:dyDescent="0.2">
      <c r="DY45012" s="185" t="s">
        <v>215</v>
      </c>
    </row>
    <row r="45013" spans="129:129" x14ac:dyDescent="0.2">
      <c r="DY45013" s="185" t="s">
        <v>215</v>
      </c>
    </row>
    <row r="45014" spans="129:129" x14ac:dyDescent="0.2">
      <c r="DY45014" s="185" t="s">
        <v>215</v>
      </c>
    </row>
    <row r="45015" spans="129:129" x14ac:dyDescent="0.2">
      <c r="DY45015" s="185" t="s">
        <v>215</v>
      </c>
    </row>
    <row r="45016" spans="129:129" x14ac:dyDescent="0.2">
      <c r="DY45016" s="185" t="s">
        <v>215</v>
      </c>
    </row>
    <row r="45017" spans="129:129" x14ac:dyDescent="0.2">
      <c r="DY45017" s="185" t="s">
        <v>215</v>
      </c>
    </row>
    <row r="45018" spans="129:129" x14ac:dyDescent="0.2">
      <c r="DY45018" s="185" t="s">
        <v>215</v>
      </c>
    </row>
    <row r="45019" spans="129:129" x14ac:dyDescent="0.2">
      <c r="DY45019" s="185" t="s">
        <v>215</v>
      </c>
    </row>
    <row r="45020" spans="129:129" x14ac:dyDescent="0.2">
      <c r="DY45020" s="185" t="s">
        <v>215</v>
      </c>
    </row>
    <row r="45021" spans="129:129" x14ac:dyDescent="0.2">
      <c r="DY45021" s="185" t="s">
        <v>215</v>
      </c>
    </row>
    <row r="45022" spans="129:129" x14ac:dyDescent="0.2">
      <c r="DY45022" s="185" t="s">
        <v>215</v>
      </c>
    </row>
    <row r="45023" spans="129:129" x14ac:dyDescent="0.2">
      <c r="DY45023" s="185" t="s">
        <v>215</v>
      </c>
    </row>
    <row r="45024" spans="129:129" x14ac:dyDescent="0.2">
      <c r="DY45024" s="185" t="s">
        <v>215</v>
      </c>
    </row>
    <row r="45025" spans="129:129" x14ac:dyDescent="0.2">
      <c r="DY45025" s="185" t="s">
        <v>215</v>
      </c>
    </row>
    <row r="45026" spans="129:129" x14ac:dyDescent="0.2">
      <c r="DY45026" s="185" t="s">
        <v>215</v>
      </c>
    </row>
    <row r="45027" spans="129:129" x14ac:dyDescent="0.2">
      <c r="DY45027" s="185" t="s">
        <v>215</v>
      </c>
    </row>
    <row r="45028" spans="129:129" x14ac:dyDescent="0.2">
      <c r="DY45028" s="185" t="s">
        <v>215</v>
      </c>
    </row>
    <row r="45029" spans="129:129" x14ac:dyDescent="0.2">
      <c r="DY45029" s="185" t="s">
        <v>215</v>
      </c>
    </row>
    <row r="45030" spans="129:129" x14ac:dyDescent="0.2">
      <c r="DY45030" s="185" t="s">
        <v>215</v>
      </c>
    </row>
    <row r="45031" spans="129:129" x14ac:dyDescent="0.2">
      <c r="DY45031" s="185" t="s">
        <v>215</v>
      </c>
    </row>
    <row r="45032" spans="129:129" x14ac:dyDescent="0.2">
      <c r="DY45032" s="185" t="s">
        <v>215</v>
      </c>
    </row>
    <row r="45033" spans="129:129" x14ac:dyDescent="0.2">
      <c r="DY45033" s="185" t="s">
        <v>215</v>
      </c>
    </row>
    <row r="45034" spans="129:129" x14ac:dyDescent="0.2">
      <c r="DY45034" s="185" t="s">
        <v>215</v>
      </c>
    </row>
    <row r="45035" spans="129:129" x14ac:dyDescent="0.2">
      <c r="DY45035" s="185" t="s">
        <v>215</v>
      </c>
    </row>
    <row r="45036" spans="129:129" x14ac:dyDescent="0.2">
      <c r="DY45036" s="185" t="s">
        <v>215</v>
      </c>
    </row>
    <row r="45037" spans="129:129" x14ac:dyDescent="0.2">
      <c r="DY45037" s="185" t="s">
        <v>215</v>
      </c>
    </row>
    <row r="45038" spans="129:129" x14ac:dyDescent="0.2">
      <c r="DY45038" s="185" t="s">
        <v>215</v>
      </c>
    </row>
    <row r="45039" spans="129:129" x14ac:dyDescent="0.2">
      <c r="DY45039" s="185" t="s">
        <v>215</v>
      </c>
    </row>
    <row r="45040" spans="129:129" x14ac:dyDescent="0.2">
      <c r="DY45040" s="185" t="s">
        <v>215</v>
      </c>
    </row>
    <row r="45041" spans="129:129" x14ac:dyDescent="0.2">
      <c r="DY45041" s="185" t="s">
        <v>215</v>
      </c>
    </row>
    <row r="45042" spans="129:129" x14ac:dyDescent="0.2">
      <c r="DY45042" s="185" t="s">
        <v>215</v>
      </c>
    </row>
    <row r="45043" spans="129:129" x14ac:dyDescent="0.2">
      <c r="DY45043" s="185" t="s">
        <v>215</v>
      </c>
    </row>
    <row r="45044" spans="129:129" x14ac:dyDescent="0.2">
      <c r="DY45044" s="185" t="s">
        <v>215</v>
      </c>
    </row>
    <row r="45045" spans="129:129" x14ac:dyDescent="0.2">
      <c r="DY45045" s="185" t="s">
        <v>215</v>
      </c>
    </row>
    <row r="45046" spans="129:129" x14ac:dyDescent="0.2">
      <c r="DY45046" s="185" t="s">
        <v>215</v>
      </c>
    </row>
    <row r="45047" spans="129:129" x14ac:dyDescent="0.2">
      <c r="DY45047" s="185" t="s">
        <v>215</v>
      </c>
    </row>
    <row r="45048" spans="129:129" x14ac:dyDescent="0.2">
      <c r="DY45048" s="185" t="s">
        <v>215</v>
      </c>
    </row>
    <row r="45049" spans="129:129" x14ac:dyDescent="0.2">
      <c r="DY45049" s="185" t="s">
        <v>215</v>
      </c>
    </row>
    <row r="45050" spans="129:129" x14ac:dyDescent="0.2">
      <c r="DY45050" s="185" t="s">
        <v>215</v>
      </c>
    </row>
    <row r="45051" spans="129:129" x14ac:dyDescent="0.2">
      <c r="DY45051" s="185" t="s">
        <v>215</v>
      </c>
    </row>
    <row r="45052" spans="129:129" x14ac:dyDescent="0.2">
      <c r="DY45052" s="185" t="s">
        <v>215</v>
      </c>
    </row>
    <row r="45053" spans="129:129" x14ac:dyDescent="0.2">
      <c r="DY45053" s="185" t="s">
        <v>215</v>
      </c>
    </row>
    <row r="45054" spans="129:129" x14ac:dyDescent="0.2">
      <c r="DY45054" s="185" t="s">
        <v>215</v>
      </c>
    </row>
    <row r="45055" spans="129:129" x14ac:dyDescent="0.2">
      <c r="DY45055" s="185" t="s">
        <v>215</v>
      </c>
    </row>
    <row r="45056" spans="129:129" x14ac:dyDescent="0.2">
      <c r="DY45056" s="185" t="s">
        <v>215</v>
      </c>
    </row>
    <row r="45057" spans="129:129" x14ac:dyDescent="0.2">
      <c r="DY45057" s="185" t="s">
        <v>215</v>
      </c>
    </row>
    <row r="45058" spans="129:129" x14ac:dyDescent="0.2">
      <c r="DY45058" s="185" t="s">
        <v>215</v>
      </c>
    </row>
    <row r="45059" spans="129:129" x14ac:dyDescent="0.2">
      <c r="DY45059" s="185" t="s">
        <v>215</v>
      </c>
    </row>
    <row r="45060" spans="129:129" x14ac:dyDescent="0.2">
      <c r="DY45060" s="185" t="s">
        <v>215</v>
      </c>
    </row>
    <row r="45061" spans="129:129" x14ac:dyDescent="0.2">
      <c r="DY45061" s="185" t="s">
        <v>215</v>
      </c>
    </row>
    <row r="45062" spans="129:129" x14ac:dyDescent="0.2">
      <c r="DY45062" s="185" t="s">
        <v>215</v>
      </c>
    </row>
    <row r="45063" spans="129:129" x14ac:dyDescent="0.2">
      <c r="DY45063" s="185" t="s">
        <v>215</v>
      </c>
    </row>
    <row r="45064" spans="129:129" x14ac:dyDescent="0.2">
      <c r="DY45064" s="185" t="s">
        <v>215</v>
      </c>
    </row>
    <row r="45065" spans="129:129" x14ac:dyDescent="0.2">
      <c r="DY45065" s="185" t="s">
        <v>215</v>
      </c>
    </row>
    <row r="45066" spans="129:129" x14ac:dyDescent="0.2">
      <c r="DY45066" s="185" t="s">
        <v>215</v>
      </c>
    </row>
    <row r="45067" spans="129:129" x14ac:dyDescent="0.2">
      <c r="DY45067" s="185" t="s">
        <v>215</v>
      </c>
    </row>
    <row r="45068" spans="129:129" x14ac:dyDescent="0.2">
      <c r="DY45068" s="185" t="s">
        <v>215</v>
      </c>
    </row>
    <row r="45069" spans="129:129" x14ac:dyDescent="0.2">
      <c r="DY45069" s="185" t="s">
        <v>215</v>
      </c>
    </row>
    <row r="45070" spans="129:129" x14ac:dyDescent="0.2">
      <c r="DY45070" s="185" t="s">
        <v>215</v>
      </c>
    </row>
    <row r="45071" spans="129:129" x14ac:dyDescent="0.2">
      <c r="DY45071" s="185" t="s">
        <v>215</v>
      </c>
    </row>
    <row r="45072" spans="129:129" x14ac:dyDescent="0.2">
      <c r="DY45072" s="185" t="s">
        <v>215</v>
      </c>
    </row>
    <row r="45073" spans="129:129" x14ac:dyDescent="0.2">
      <c r="DY45073" s="185" t="s">
        <v>215</v>
      </c>
    </row>
    <row r="45074" spans="129:129" x14ac:dyDescent="0.2">
      <c r="DY45074" s="185" t="s">
        <v>215</v>
      </c>
    </row>
    <row r="45075" spans="129:129" x14ac:dyDescent="0.2">
      <c r="DY45075" s="185" t="s">
        <v>215</v>
      </c>
    </row>
    <row r="45076" spans="129:129" x14ac:dyDescent="0.2">
      <c r="DY45076" s="185" t="s">
        <v>215</v>
      </c>
    </row>
    <row r="45077" spans="129:129" x14ac:dyDescent="0.2">
      <c r="DY45077" s="185" t="s">
        <v>215</v>
      </c>
    </row>
    <row r="45078" spans="129:129" x14ac:dyDescent="0.2">
      <c r="DY45078" s="185" t="s">
        <v>215</v>
      </c>
    </row>
    <row r="45079" spans="129:129" x14ac:dyDescent="0.2">
      <c r="DY45079" s="185" t="s">
        <v>215</v>
      </c>
    </row>
    <row r="45080" spans="129:129" x14ac:dyDescent="0.2">
      <c r="DY45080" s="185" t="s">
        <v>215</v>
      </c>
    </row>
    <row r="45081" spans="129:129" x14ac:dyDescent="0.2">
      <c r="DY45081" s="185" t="s">
        <v>215</v>
      </c>
    </row>
    <row r="45082" spans="129:129" x14ac:dyDescent="0.2">
      <c r="DY45082" s="185" t="s">
        <v>215</v>
      </c>
    </row>
    <row r="45083" spans="129:129" x14ac:dyDescent="0.2">
      <c r="DY45083" s="185" t="s">
        <v>215</v>
      </c>
    </row>
    <row r="45084" spans="129:129" x14ac:dyDescent="0.2">
      <c r="DY45084" s="185" t="s">
        <v>215</v>
      </c>
    </row>
    <row r="45085" spans="129:129" x14ac:dyDescent="0.2">
      <c r="DY45085" s="185" t="s">
        <v>215</v>
      </c>
    </row>
    <row r="45086" spans="129:129" x14ac:dyDescent="0.2">
      <c r="DY45086" s="185" t="s">
        <v>215</v>
      </c>
    </row>
    <row r="45087" spans="129:129" x14ac:dyDescent="0.2">
      <c r="DY45087" s="185" t="s">
        <v>215</v>
      </c>
    </row>
    <row r="45088" spans="129:129" x14ac:dyDescent="0.2">
      <c r="DY45088" s="185" t="s">
        <v>215</v>
      </c>
    </row>
    <row r="45089" spans="129:129" x14ac:dyDescent="0.2">
      <c r="DY45089" s="185" t="s">
        <v>215</v>
      </c>
    </row>
    <row r="45090" spans="129:129" x14ac:dyDescent="0.2">
      <c r="DY45090" s="185" t="s">
        <v>215</v>
      </c>
    </row>
    <row r="45091" spans="129:129" x14ac:dyDescent="0.2">
      <c r="DY45091" s="185" t="s">
        <v>215</v>
      </c>
    </row>
    <row r="45092" spans="129:129" x14ac:dyDescent="0.2">
      <c r="DY45092" s="185" t="s">
        <v>215</v>
      </c>
    </row>
    <row r="45093" spans="129:129" x14ac:dyDescent="0.2">
      <c r="DY45093" s="185" t="s">
        <v>215</v>
      </c>
    </row>
    <row r="45094" spans="129:129" x14ac:dyDescent="0.2">
      <c r="DY45094" s="185" t="s">
        <v>215</v>
      </c>
    </row>
    <row r="45095" spans="129:129" x14ac:dyDescent="0.2">
      <c r="DY45095" s="185" t="s">
        <v>215</v>
      </c>
    </row>
    <row r="45096" spans="129:129" x14ac:dyDescent="0.2">
      <c r="DY45096" s="185" t="s">
        <v>215</v>
      </c>
    </row>
    <row r="45097" spans="129:129" x14ac:dyDescent="0.2">
      <c r="DY45097" s="185" t="s">
        <v>215</v>
      </c>
    </row>
    <row r="45098" spans="129:129" x14ac:dyDescent="0.2">
      <c r="DY45098" s="185" t="s">
        <v>215</v>
      </c>
    </row>
    <row r="45099" spans="129:129" x14ac:dyDescent="0.2">
      <c r="DY45099" s="185" t="s">
        <v>215</v>
      </c>
    </row>
    <row r="45100" spans="129:129" x14ac:dyDescent="0.2">
      <c r="DY45100" s="185" t="s">
        <v>215</v>
      </c>
    </row>
    <row r="45101" spans="129:129" x14ac:dyDescent="0.2">
      <c r="DY45101" s="185" t="s">
        <v>215</v>
      </c>
    </row>
    <row r="45102" spans="129:129" x14ac:dyDescent="0.2">
      <c r="DY45102" s="185" t="s">
        <v>215</v>
      </c>
    </row>
    <row r="45103" spans="129:129" x14ac:dyDescent="0.2">
      <c r="DY45103" s="185" t="s">
        <v>215</v>
      </c>
    </row>
    <row r="45104" spans="129:129" x14ac:dyDescent="0.2">
      <c r="DY45104" s="185" t="s">
        <v>215</v>
      </c>
    </row>
    <row r="45105" spans="129:129" x14ac:dyDescent="0.2">
      <c r="DY45105" s="185" t="s">
        <v>215</v>
      </c>
    </row>
    <row r="45106" spans="129:129" x14ac:dyDescent="0.2">
      <c r="DY45106" s="185" t="s">
        <v>215</v>
      </c>
    </row>
    <row r="45107" spans="129:129" x14ac:dyDescent="0.2">
      <c r="DY45107" s="185" t="s">
        <v>215</v>
      </c>
    </row>
    <row r="45108" spans="129:129" x14ac:dyDescent="0.2">
      <c r="DY45108" s="185" t="s">
        <v>215</v>
      </c>
    </row>
    <row r="45109" spans="129:129" x14ac:dyDescent="0.2">
      <c r="DY45109" s="185" t="s">
        <v>215</v>
      </c>
    </row>
    <row r="45110" spans="129:129" x14ac:dyDescent="0.2">
      <c r="DY45110" s="185" t="s">
        <v>215</v>
      </c>
    </row>
    <row r="45111" spans="129:129" x14ac:dyDescent="0.2">
      <c r="DY45111" s="185" t="s">
        <v>215</v>
      </c>
    </row>
    <row r="45112" spans="129:129" x14ac:dyDescent="0.2">
      <c r="DY45112" s="185" t="s">
        <v>215</v>
      </c>
    </row>
    <row r="45113" spans="129:129" x14ac:dyDescent="0.2">
      <c r="DY45113" s="185" t="s">
        <v>215</v>
      </c>
    </row>
    <row r="45114" spans="129:129" x14ac:dyDescent="0.2">
      <c r="DY45114" s="185" t="s">
        <v>215</v>
      </c>
    </row>
    <row r="45115" spans="129:129" x14ac:dyDescent="0.2">
      <c r="DY45115" s="185" t="s">
        <v>215</v>
      </c>
    </row>
    <row r="45116" spans="129:129" x14ac:dyDescent="0.2">
      <c r="DY45116" s="185" t="s">
        <v>215</v>
      </c>
    </row>
    <row r="45117" spans="129:129" x14ac:dyDescent="0.2">
      <c r="DY45117" s="185" t="s">
        <v>215</v>
      </c>
    </row>
    <row r="45118" spans="129:129" x14ac:dyDescent="0.2">
      <c r="DY45118" s="185" t="s">
        <v>215</v>
      </c>
    </row>
    <row r="45119" spans="129:129" x14ac:dyDescent="0.2">
      <c r="DY45119" s="185" t="s">
        <v>215</v>
      </c>
    </row>
    <row r="45120" spans="129:129" x14ac:dyDescent="0.2">
      <c r="DY45120" s="185" t="s">
        <v>215</v>
      </c>
    </row>
    <row r="45121" spans="129:129" x14ac:dyDescent="0.2">
      <c r="DY45121" s="185" t="s">
        <v>215</v>
      </c>
    </row>
    <row r="45122" spans="129:129" x14ac:dyDescent="0.2">
      <c r="DY45122" s="185" t="s">
        <v>215</v>
      </c>
    </row>
    <row r="45123" spans="129:129" x14ac:dyDescent="0.2">
      <c r="DY45123" s="185" t="s">
        <v>215</v>
      </c>
    </row>
    <row r="45124" spans="129:129" x14ac:dyDescent="0.2">
      <c r="DY45124" s="185" t="s">
        <v>215</v>
      </c>
    </row>
    <row r="45125" spans="129:129" x14ac:dyDescent="0.2">
      <c r="DY45125" s="185" t="s">
        <v>215</v>
      </c>
    </row>
    <row r="45126" spans="129:129" x14ac:dyDescent="0.2">
      <c r="DY45126" s="185" t="s">
        <v>215</v>
      </c>
    </row>
    <row r="45127" spans="129:129" x14ac:dyDescent="0.2">
      <c r="DY45127" s="185" t="s">
        <v>215</v>
      </c>
    </row>
    <row r="45128" spans="129:129" x14ac:dyDescent="0.2">
      <c r="DY45128" s="185" t="s">
        <v>215</v>
      </c>
    </row>
    <row r="45129" spans="129:129" x14ac:dyDescent="0.2">
      <c r="DY45129" s="185" t="s">
        <v>215</v>
      </c>
    </row>
    <row r="45130" spans="129:129" x14ac:dyDescent="0.2">
      <c r="DY45130" s="185" t="s">
        <v>215</v>
      </c>
    </row>
    <row r="45131" spans="129:129" x14ac:dyDescent="0.2">
      <c r="DY45131" s="185" t="s">
        <v>215</v>
      </c>
    </row>
    <row r="45132" spans="129:129" x14ac:dyDescent="0.2">
      <c r="DY45132" s="185" t="s">
        <v>215</v>
      </c>
    </row>
    <row r="45133" spans="129:129" x14ac:dyDescent="0.2">
      <c r="DY45133" s="185" t="s">
        <v>215</v>
      </c>
    </row>
    <row r="45134" spans="129:129" x14ac:dyDescent="0.2">
      <c r="DY45134" s="185" t="s">
        <v>215</v>
      </c>
    </row>
    <row r="45135" spans="129:129" x14ac:dyDescent="0.2">
      <c r="DY45135" s="185" t="s">
        <v>215</v>
      </c>
    </row>
    <row r="45136" spans="129:129" x14ac:dyDescent="0.2">
      <c r="DY45136" s="185" t="s">
        <v>215</v>
      </c>
    </row>
    <row r="45137" spans="129:129" x14ac:dyDescent="0.2">
      <c r="DY45137" s="185" t="s">
        <v>215</v>
      </c>
    </row>
    <row r="45138" spans="129:129" x14ac:dyDescent="0.2">
      <c r="DY45138" s="185" t="s">
        <v>215</v>
      </c>
    </row>
    <row r="45139" spans="129:129" x14ac:dyDescent="0.2">
      <c r="DY45139" s="185" t="s">
        <v>215</v>
      </c>
    </row>
    <row r="45140" spans="129:129" x14ac:dyDescent="0.2">
      <c r="DY45140" s="185" t="s">
        <v>215</v>
      </c>
    </row>
    <row r="45141" spans="129:129" x14ac:dyDescent="0.2">
      <c r="DY45141" s="185" t="s">
        <v>215</v>
      </c>
    </row>
    <row r="45142" spans="129:129" x14ac:dyDescent="0.2">
      <c r="DY45142" s="185" t="s">
        <v>215</v>
      </c>
    </row>
    <row r="45143" spans="129:129" x14ac:dyDescent="0.2">
      <c r="DY45143" s="185" t="s">
        <v>215</v>
      </c>
    </row>
    <row r="45144" spans="129:129" x14ac:dyDescent="0.2">
      <c r="DY45144" s="185" t="s">
        <v>215</v>
      </c>
    </row>
    <row r="45145" spans="129:129" x14ac:dyDescent="0.2">
      <c r="DY45145" s="185" t="s">
        <v>215</v>
      </c>
    </row>
    <row r="45146" spans="129:129" x14ac:dyDescent="0.2">
      <c r="DY45146" s="185" t="s">
        <v>215</v>
      </c>
    </row>
    <row r="45147" spans="129:129" x14ac:dyDescent="0.2">
      <c r="DY45147" s="185" t="s">
        <v>215</v>
      </c>
    </row>
    <row r="45148" spans="129:129" x14ac:dyDescent="0.2">
      <c r="DY45148" s="185" t="s">
        <v>215</v>
      </c>
    </row>
    <row r="45149" spans="129:129" x14ac:dyDescent="0.2">
      <c r="DY45149" s="185" t="s">
        <v>215</v>
      </c>
    </row>
    <row r="45150" spans="129:129" x14ac:dyDescent="0.2">
      <c r="DY45150" s="185" t="s">
        <v>215</v>
      </c>
    </row>
    <row r="45151" spans="129:129" x14ac:dyDescent="0.2">
      <c r="DY45151" s="185" t="s">
        <v>215</v>
      </c>
    </row>
    <row r="45152" spans="129:129" x14ac:dyDescent="0.2">
      <c r="DY45152" s="185" t="s">
        <v>215</v>
      </c>
    </row>
    <row r="45153" spans="129:129" x14ac:dyDescent="0.2">
      <c r="DY45153" s="185" t="s">
        <v>215</v>
      </c>
    </row>
    <row r="45154" spans="129:129" x14ac:dyDescent="0.2">
      <c r="DY45154" s="185" t="s">
        <v>215</v>
      </c>
    </row>
    <row r="45155" spans="129:129" x14ac:dyDescent="0.2">
      <c r="DY45155" s="185" t="s">
        <v>215</v>
      </c>
    </row>
    <row r="45156" spans="129:129" x14ac:dyDescent="0.2">
      <c r="DY45156" s="185" t="s">
        <v>215</v>
      </c>
    </row>
    <row r="45157" spans="129:129" x14ac:dyDescent="0.2">
      <c r="DY45157" s="185" t="s">
        <v>215</v>
      </c>
    </row>
    <row r="45158" spans="129:129" x14ac:dyDescent="0.2">
      <c r="DY45158" s="185" t="s">
        <v>215</v>
      </c>
    </row>
    <row r="45159" spans="129:129" x14ac:dyDescent="0.2">
      <c r="DY45159" s="185" t="s">
        <v>215</v>
      </c>
    </row>
    <row r="45160" spans="129:129" x14ac:dyDescent="0.2">
      <c r="DY45160" s="185" t="s">
        <v>215</v>
      </c>
    </row>
    <row r="45161" spans="129:129" x14ac:dyDescent="0.2">
      <c r="DY45161" s="185" t="s">
        <v>215</v>
      </c>
    </row>
    <row r="45162" spans="129:129" x14ac:dyDescent="0.2">
      <c r="DY45162" s="185" t="s">
        <v>215</v>
      </c>
    </row>
    <row r="45163" spans="129:129" x14ac:dyDescent="0.2">
      <c r="DY45163" s="185" t="s">
        <v>215</v>
      </c>
    </row>
    <row r="45164" spans="129:129" x14ac:dyDescent="0.2">
      <c r="DY45164" s="185" t="s">
        <v>215</v>
      </c>
    </row>
    <row r="45165" spans="129:129" x14ac:dyDescent="0.2">
      <c r="DY45165" s="185" t="s">
        <v>215</v>
      </c>
    </row>
    <row r="45166" spans="129:129" x14ac:dyDescent="0.2">
      <c r="DY45166" s="185" t="s">
        <v>215</v>
      </c>
    </row>
    <row r="45167" spans="129:129" x14ac:dyDescent="0.2">
      <c r="DY45167" s="185" t="s">
        <v>215</v>
      </c>
    </row>
    <row r="45168" spans="129:129" x14ac:dyDescent="0.2">
      <c r="DY45168" s="185" t="s">
        <v>215</v>
      </c>
    </row>
    <row r="45169" spans="129:129" x14ac:dyDescent="0.2">
      <c r="DY45169" s="185" t="s">
        <v>215</v>
      </c>
    </row>
    <row r="45170" spans="129:129" x14ac:dyDescent="0.2">
      <c r="DY45170" s="185" t="s">
        <v>215</v>
      </c>
    </row>
    <row r="45171" spans="129:129" x14ac:dyDescent="0.2">
      <c r="DY45171" s="185" t="s">
        <v>215</v>
      </c>
    </row>
    <row r="45172" spans="129:129" x14ac:dyDescent="0.2">
      <c r="DY45172" s="185" t="s">
        <v>215</v>
      </c>
    </row>
    <row r="45173" spans="129:129" x14ac:dyDescent="0.2">
      <c r="DY45173" s="185" t="s">
        <v>215</v>
      </c>
    </row>
    <row r="45174" spans="129:129" x14ac:dyDescent="0.2">
      <c r="DY45174" s="185" t="s">
        <v>215</v>
      </c>
    </row>
    <row r="45175" spans="129:129" x14ac:dyDescent="0.2">
      <c r="DY45175" s="185" t="s">
        <v>215</v>
      </c>
    </row>
    <row r="45176" spans="129:129" x14ac:dyDescent="0.2">
      <c r="DY45176" s="185" t="s">
        <v>215</v>
      </c>
    </row>
    <row r="45177" spans="129:129" x14ac:dyDescent="0.2">
      <c r="DY45177" s="185" t="s">
        <v>215</v>
      </c>
    </row>
    <row r="45178" spans="129:129" x14ac:dyDescent="0.2">
      <c r="DY45178" s="185" t="s">
        <v>215</v>
      </c>
    </row>
    <row r="45179" spans="129:129" x14ac:dyDescent="0.2">
      <c r="DY45179" s="185" t="s">
        <v>215</v>
      </c>
    </row>
    <row r="45180" spans="129:129" x14ac:dyDescent="0.2">
      <c r="DY45180" s="185" t="s">
        <v>215</v>
      </c>
    </row>
    <row r="45181" spans="129:129" x14ac:dyDescent="0.2">
      <c r="DY45181" s="185" t="s">
        <v>215</v>
      </c>
    </row>
    <row r="45182" spans="129:129" x14ac:dyDescent="0.2">
      <c r="DY45182" s="185" t="s">
        <v>215</v>
      </c>
    </row>
    <row r="45183" spans="129:129" x14ac:dyDescent="0.2">
      <c r="DY45183" s="185" t="s">
        <v>215</v>
      </c>
    </row>
    <row r="45184" spans="129:129" x14ac:dyDescent="0.2">
      <c r="DY45184" s="185" t="s">
        <v>215</v>
      </c>
    </row>
    <row r="45185" spans="129:129" x14ac:dyDescent="0.2">
      <c r="DY45185" s="185" t="s">
        <v>215</v>
      </c>
    </row>
    <row r="45186" spans="129:129" x14ac:dyDescent="0.2">
      <c r="DY45186" s="185" t="s">
        <v>215</v>
      </c>
    </row>
    <row r="45187" spans="129:129" x14ac:dyDescent="0.2">
      <c r="DY45187" s="185" t="s">
        <v>215</v>
      </c>
    </row>
    <row r="45188" spans="129:129" x14ac:dyDescent="0.2">
      <c r="DY45188" s="185" t="s">
        <v>215</v>
      </c>
    </row>
    <row r="45189" spans="129:129" x14ac:dyDescent="0.2">
      <c r="DY45189" s="185" t="s">
        <v>215</v>
      </c>
    </row>
    <row r="45190" spans="129:129" x14ac:dyDescent="0.2">
      <c r="DY45190" s="185" t="s">
        <v>215</v>
      </c>
    </row>
    <row r="45191" spans="129:129" x14ac:dyDescent="0.2">
      <c r="DY45191" s="185" t="s">
        <v>215</v>
      </c>
    </row>
    <row r="45192" spans="129:129" x14ac:dyDescent="0.2">
      <c r="DY45192" s="185" t="s">
        <v>215</v>
      </c>
    </row>
    <row r="45193" spans="129:129" x14ac:dyDescent="0.2">
      <c r="DY45193" s="185" t="s">
        <v>215</v>
      </c>
    </row>
    <row r="45194" spans="129:129" x14ac:dyDescent="0.2">
      <c r="DY45194" s="185" t="s">
        <v>215</v>
      </c>
    </row>
    <row r="45195" spans="129:129" x14ac:dyDescent="0.2">
      <c r="DY45195" s="185" t="s">
        <v>215</v>
      </c>
    </row>
    <row r="45196" spans="129:129" x14ac:dyDescent="0.2">
      <c r="DY45196" s="185" t="s">
        <v>215</v>
      </c>
    </row>
    <row r="45197" spans="129:129" x14ac:dyDescent="0.2">
      <c r="DY45197" s="185" t="s">
        <v>215</v>
      </c>
    </row>
    <row r="45198" spans="129:129" x14ac:dyDescent="0.2">
      <c r="DY45198" s="185" t="s">
        <v>215</v>
      </c>
    </row>
    <row r="45199" spans="129:129" x14ac:dyDescent="0.2">
      <c r="DY45199" s="185" t="s">
        <v>215</v>
      </c>
    </row>
    <row r="45200" spans="129:129" x14ac:dyDescent="0.2">
      <c r="DY45200" s="185" t="s">
        <v>215</v>
      </c>
    </row>
    <row r="45201" spans="129:129" x14ac:dyDescent="0.2">
      <c r="DY45201" s="185" t="s">
        <v>215</v>
      </c>
    </row>
    <row r="45202" spans="129:129" x14ac:dyDescent="0.2">
      <c r="DY45202" s="185" t="s">
        <v>215</v>
      </c>
    </row>
    <row r="45203" spans="129:129" x14ac:dyDescent="0.2">
      <c r="DY45203" s="185" t="s">
        <v>215</v>
      </c>
    </row>
    <row r="45204" spans="129:129" x14ac:dyDescent="0.2">
      <c r="DY45204" s="185" t="s">
        <v>215</v>
      </c>
    </row>
    <row r="45205" spans="129:129" x14ac:dyDescent="0.2">
      <c r="DY45205" s="185" t="s">
        <v>215</v>
      </c>
    </row>
    <row r="45206" spans="129:129" x14ac:dyDescent="0.2">
      <c r="DY45206" s="185" t="s">
        <v>215</v>
      </c>
    </row>
    <row r="45207" spans="129:129" x14ac:dyDescent="0.2">
      <c r="DY45207" s="185" t="s">
        <v>215</v>
      </c>
    </row>
    <row r="45208" spans="129:129" x14ac:dyDescent="0.2">
      <c r="DY45208" s="185" t="s">
        <v>215</v>
      </c>
    </row>
    <row r="45209" spans="129:129" x14ac:dyDescent="0.2">
      <c r="DY45209" s="185" t="s">
        <v>215</v>
      </c>
    </row>
    <row r="45210" spans="129:129" x14ac:dyDescent="0.2">
      <c r="DY45210" s="185" t="s">
        <v>215</v>
      </c>
    </row>
    <row r="45211" spans="129:129" x14ac:dyDescent="0.2">
      <c r="DY45211" s="185" t="s">
        <v>215</v>
      </c>
    </row>
    <row r="45212" spans="129:129" x14ac:dyDescent="0.2">
      <c r="DY45212" s="185" t="s">
        <v>215</v>
      </c>
    </row>
    <row r="45213" spans="129:129" x14ac:dyDescent="0.2">
      <c r="DY45213" s="185" t="s">
        <v>215</v>
      </c>
    </row>
    <row r="45214" spans="129:129" x14ac:dyDescent="0.2">
      <c r="DY45214" s="185" t="s">
        <v>215</v>
      </c>
    </row>
    <row r="45215" spans="129:129" x14ac:dyDescent="0.2">
      <c r="DY45215" s="185" t="s">
        <v>215</v>
      </c>
    </row>
    <row r="45216" spans="129:129" x14ac:dyDescent="0.2">
      <c r="DY45216" s="185" t="s">
        <v>215</v>
      </c>
    </row>
    <row r="45217" spans="129:129" x14ac:dyDescent="0.2">
      <c r="DY45217" s="185" t="s">
        <v>215</v>
      </c>
    </row>
    <row r="45218" spans="129:129" x14ac:dyDescent="0.2">
      <c r="DY45218" s="185" t="s">
        <v>215</v>
      </c>
    </row>
    <row r="45219" spans="129:129" x14ac:dyDescent="0.2">
      <c r="DY45219" s="185" t="s">
        <v>215</v>
      </c>
    </row>
    <row r="45220" spans="129:129" x14ac:dyDescent="0.2">
      <c r="DY45220" s="185" t="s">
        <v>215</v>
      </c>
    </row>
    <row r="45221" spans="129:129" x14ac:dyDescent="0.2">
      <c r="DY45221" s="185" t="s">
        <v>215</v>
      </c>
    </row>
    <row r="45222" spans="129:129" x14ac:dyDescent="0.2">
      <c r="DY45222" s="185" t="s">
        <v>215</v>
      </c>
    </row>
    <row r="45223" spans="129:129" x14ac:dyDescent="0.2">
      <c r="DY45223" s="185" t="s">
        <v>215</v>
      </c>
    </row>
    <row r="45224" spans="129:129" x14ac:dyDescent="0.2">
      <c r="DY45224" s="185" t="s">
        <v>215</v>
      </c>
    </row>
    <row r="45225" spans="129:129" x14ac:dyDescent="0.2">
      <c r="DY45225" s="185" t="s">
        <v>215</v>
      </c>
    </row>
    <row r="45226" spans="129:129" x14ac:dyDescent="0.2">
      <c r="DY45226" s="185" t="s">
        <v>215</v>
      </c>
    </row>
    <row r="45227" spans="129:129" x14ac:dyDescent="0.2">
      <c r="DY45227" s="185" t="s">
        <v>215</v>
      </c>
    </row>
    <row r="45228" spans="129:129" x14ac:dyDescent="0.2">
      <c r="DY45228" s="185" t="s">
        <v>215</v>
      </c>
    </row>
    <row r="45229" spans="129:129" x14ac:dyDescent="0.2">
      <c r="DY45229" s="185" t="s">
        <v>215</v>
      </c>
    </row>
    <row r="45230" spans="129:129" x14ac:dyDescent="0.2">
      <c r="DY45230" s="185" t="s">
        <v>215</v>
      </c>
    </row>
    <row r="45231" spans="129:129" x14ac:dyDescent="0.2">
      <c r="DY45231" s="185" t="s">
        <v>215</v>
      </c>
    </row>
    <row r="45232" spans="129:129" x14ac:dyDescent="0.2">
      <c r="DY45232" s="185" t="s">
        <v>215</v>
      </c>
    </row>
    <row r="45233" spans="129:129" x14ac:dyDescent="0.2">
      <c r="DY45233" s="185" t="s">
        <v>215</v>
      </c>
    </row>
    <row r="45234" spans="129:129" x14ac:dyDescent="0.2">
      <c r="DY45234" s="185" t="s">
        <v>215</v>
      </c>
    </row>
    <row r="45235" spans="129:129" x14ac:dyDescent="0.2">
      <c r="DY45235" s="185" t="s">
        <v>215</v>
      </c>
    </row>
    <row r="45236" spans="129:129" x14ac:dyDescent="0.2">
      <c r="DY45236" s="185" t="s">
        <v>215</v>
      </c>
    </row>
    <row r="45237" spans="129:129" x14ac:dyDescent="0.2">
      <c r="DY45237" s="185" t="s">
        <v>215</v>
      </c>
    </row>
    <row r="45238" spans="129:129" x14ac:dyDescent="0.2">
      <c r="DY45238" s="185" t="s">
        <v>215</v>
      </c>
    </row>
    <row r="45239" spans="129:129" x14ac:dyDescent="0.2">
      <c r="DY45239" s="185" t="s">
        <v>215</v>
      </c>
    </row>
    <row r="45240" spans="129:129" x14ac:dyDescent="0.2">
      <c r="DY45240" s="185" t="s">
        <v>215</v>
      </c>
    </row>
    <row r="45241" spans="129:129" x14ac:dyDescent="0.2">
      <c r="DY45241" s="185" t="s">
        <v>215</v>
      </c>
    </row>
    <row r="45242" spans="129:129" x14ac:dyDescent="0.2">
      <c r="DY45242" s="185" t="s">
        <v>215</v>
      </c>
    </row>
    <row r="45243" spans="129:129" x14ac:dyDescent="0.2">
      <c r="DY45243" s="185" t="s">
        <v>215</v>
      </c>
    </row>
    <row r="45244" spans="129:129" x14ac:dyDescent="0.2">
      <c r="DY45244" s="185" t="s">
        <v>215</v>
      </c>
    </row>
    <row r="45245" spans="129:129" x14ac:dyDescent="0.2">
      <c r="DY45245" s="185" t="s">
        <v>215</v>
      </c>
    </row>
    <row r="45246" spans="129:129" x14ac:dyDescent="0.2">
      <c r="DY45246" s="185" t="s">
        <v>215</v>
      </c>
    </row>
    <row r="45247" spans="129:129" x14ac:dyDescent="0.2">
      <c r="DY45247" s="185" t="s">
        <v>215</v>
      </c>
    </row>
    <row r="45248" spans="129:129" x14ac:dyDescent="0.2">
      <c r="DY45248" s="185" t="s">
        <v>215</v>
      </c>
    </row>
    <row r="45249" spans="129:129" x14ac:dyDescent="0.2">
      <c r="DY45249" s="185" t="s">
        <v>215</v>
      </c>
    </row>
    <row r="45250" spans="129:129" x14ac:dyDescent="0.2">
      <c r="DY45250" s="185" t="s">
        <v>215</v>
      </c>
    </row>
    <row r="45251" spans="129:129" x14ac:dyDescent="0.2">
      <c r="DY45251" s="185" t="s">
        <v>215</v>
      </c>
    </row>
    <row r="45252" spans="129:129" x14ac:dyDescent="0.2">
      <c r="DY45252" s="185" t="s">
        <v>215</v>
      </c>
    </row>
    <row r="45253" spans="129:129" x14ac:dyDescent="0.2">
      <c r="DY45253" s="185" t="s">
        <v>215</v>
      </c>
    </row>
    <row r="45254" spans="129:129" x14ac:dyDescent="0.2">
      <c r="DY45254" s="185" t="s">
        <v>215</v>
      </c>
    </row>
    <row r="45255" spans="129:129" x14ac:dyDescent="0.2">
      <c r="DY45255" s="185" t="s">
        <v>215</v>
      </c>
    </row>
    <row r="45256" spans="129:129" x14ac:dyDescent="0.2">
      <c r="DY45256" s="185" t="s">
        <v>215</v>
      </c>
    </row>
    <row r="45257" spans="129:129" x14ac:dyDescent="0.2">
      <c r="DY45257" s="185" t="s">
        <v>215</v>
      </c>
    </row>
    <row r="45258" spans="129:129" x14ac:dyDescent="0.2">
      <c r="DY45258" s="185" t="s">
        <v>215</v>
      </c>
    </row>
    <row r="45259" spans="129:129" x14ac:dyDescent="0.2">
      <c r="DY45259" s="185" t="s">
        <v>215</v>
      </c>
    </row>
    <row r="45260" spans="129:129" x14ac:dyDescent="0.2">
      <c r="DY45260" s="185" t="s">
        <v>215</v>
      </c>
    </row>
    <row r="45261" spans="129:129" x14ac:dyDescent="0.2">
      <c r="DY45261" s="185" t="s">
        <v>215</v>
      </c>
    </row>
    <row r="45262" spans="129:129" x14ac:dyDescent="0.2">
      <c r="DY45262" s="185" t="s">
        <v>215</v>
      </c>
    </row>
    <row r="45263" spans="129:129" x14ac:dyDescent="0.2">
      <c r="DY45263" s="185" t="s">
        <v>215</v>
      </c>
    </row>
    <row r="45264" spans="129:129" x14ac:dyDescent="0.2">
      <c r="DY45264" s="185" t="s">
        <v>215</v>
      </c>
    </row>
    <row r="45265" spans="129:129" x14ac:dyDescent="0.2">
      <c r="DY45265" s="185" t="s">
        <v>215</v>
      </c>
    </row>
    <row r="45266" spans="129:129" x14ac:dyDescent="0.2">
      <c r="DY45266" s="185" t="s">
        <v>215</v>
      </c>
    </row>
    <row r="45267" spans="129:129" x14ac:dyDescent="0.2">
      <c r="DY45267" s="185" t="s">
        <v>215</v>
      </c>
    </row>
    <row r="45268" spans="129:129" x14ac:dyDescent="0.2">
      <c r="DY45268" s="185" t="s">
        <v>215</v>
      </c>
    </row>
    <row r="45269" spans="129:129" x14ac:dyDescent="0.2">
      <c r="DY45269" s="185" t="s">
        <v>215</v>
      </c>
    </row>
    <row r="45270" spans="129:129" x14ac:dyDescent="0.2">
      <c r="DY45270" s="185" t="s">
        <v>215</v>
      </c>
    </row>
    <row r="45271" spans="129:129" x14ac:dyDescent="0.2">
      <c r="DY45271" s="185" t="s">
        <v>215</v>
      </c>
    </row>
    <row r="45272" spans="129:129" x14ac:dyDescent="0.2">
      <c r="DY45272" s="185" t="s">
        <v>215</v>
      </c>
    </row>
    <row r="45273" spans="129:129" x14ac:dyDescent="0.2">
      <c r="DY45273" s="185" t="s">
        <v>215</v>
      </c>
    </row>
    <row r="45274" spans="129:129" x14ac:dyDescent="0.2">
      <c r="DY45274" s="185" t="s">
        <v>215</v>
      </c>
    </row>
    <row r="45275" spans="129:129" x14ac:dyDescent="0.2">
      <c r="DY45275" s="185" t="s">
        <v>215</v>
      </c>
    </row>
    <row r="45276" spans="129:129" x14ac:dyDescent="0.2">
      <c r="DY45276" s="185" t="s">
        <v>215</v>
      </c>
    </row>
    <row r="45277" spans="129:129" x14ac:dyDescent="0.2">
      <c r="DY45277" s="185" t="s">
        <v>215</v>
      </c>
    </row>
    <row r="45278" spans="129:129" x14ac:dyDescent="0.2">
      <c r="DY45278" s="185" t="s">
        <v>215</v>
      </c>
    </row>
    <row r="45279" spans="129:129" x14ac:dyDescent="0.2">
      <c r="DY45279" s="185" t="s">
        <v>215</v>
      </c>
    </row>
    <row r="45280" spans="129:129" x14ac:dyDescent="0.2">
      <c r="DY45280" s="185" t="s">
        <v>215</v>
      </c>
    </row>
    <row r="45281" spans="129:129" x14ac:dyDescent="0.2">
      <c r="DY45281" s="185" t="s">
        <v>215</v>
      </c>
    </row>
    <row r="45282" spans="129:129" x14ac:dyDescent="0.2">
      <c r="DY45282" s="185" t="s">
        <v>215</v>
      </c>
    </row>
    <row r="45283" spans="129:129" x14ac:dyDescent="0.2">
      <c r="DY45283" s="185" t="s">
        <v>215</v>
      </c>
    </row>
    <row r="45284" spans="129:129" x14ac:dyDescent="0.2">
      <c r="DY45284" s="185" t="s">
        <v>215</v>
      </c>
    </row>
    <row r="45285" spans="129:129" x14ac:dyDescent="0.2">
      <c r="DY45285" s="185" t="s">
        <v>215</v>
      </c>
    </row>
    <row r="45286" spans="129:129" x14ac:dyDescent="0.2">
      <c r="DY45286" s="185" t="s">
        <v>215</v>
      </c>
    </row>
    <row r="45287" spans="129:129" x14ac:dyDescent="0.2">
      <c r="DY45287" s="185" t="s">
        <v>215</v>
      </c>
    </row>
    <row r="45288" spans="129:129" x14ac:dyDescent="0.2">
      <c r="DY45288" s="185" t="s">
        <v>215</v>
      </c>
    </row>
    <row r="45289" spans="129:129" x14ac:dyDescent="0.2">
      <c r="DY45289" s="185" t="s">
        <v>215</v>
      </c>
    </row>
    <row r="45290" spans="129:129" x14ac:dyDescent="0.2">
      <c r="DY45290" s="185" t="s">
        <v>215</v>
      </c>
    </row>
    <row r="45291" spans="129:129" x14ac:dyDescent="0.2">
      <c r="DY45291" s="185" t="s">
        <v>215</v>
      </c>
    </row>
    <row r="45292" spans="129:129" x14ac:dyDescent="0.2">
      <c r="DY45292" s="185" t="s">
        <v>215</v>
      </c>
    </row>
    <row r="45293" spans="129:129" x14ac:dyDescent="0.2">
      <c r="DY45293" s="185" t="s">
        <v>215</v>
      </c>
    </row>
    <row r="45294" spans="129:129" x14ac:dyDescent="0.2">
      <c r="DY45294" s="185" t="s">
        <v>215</v>
      </c>
    </row>
    <row r="45295" spans="129:129" x14ac:dyDescent="0.2">
      <c r="DY45295" s="185" t="s">
        <v>215</v>
      </c>
    </row>
    <row r="45296" spans="129:129" x14ac:dyDescent="0.2">
      <c r="DY45296" s="185" t="s">
        <v>215</v>
      </c>
    </row>
    <row r="45297" spans="129:129" x14ac:dyDescent="0.2">
      <c r="DY45297" s="185" t="s">
        <v>215</v>
      </c>
    </row>
    <row r="45298" spans="129:129" x14ac:dyDescent="0.2">
      <c r="DY45298" s="185" t="s">
        <v>215</v>
      </c>
    </row>
    <row r="45299" spans="129:129" x14ac:dyDescent="0.2">
      <c r="DY45299" s="185" t="s">
        <v>215</v>
      </c>
    </row>
    <row r="45300" spans="129:129" x14ac:dyDescent="0.2">
      <c r="DY45300" s="185" t="s">
        <v>215</v>
      </c>
    </row>
    <row r="45301" spans="129:129" x14ac:dyDescent="0.2">
      <c r="DY45301" s="185" t="s">
        <v>215</v>
      </c>
    </row>
    <row r="45302" spans="129:129" x14ac:dyDescent="0.2">
      <c r="DY45302" s="185" t="s">
        <v>215</v>
      </c>
    </row>
    <row r="45303" spans="129:129" x14ac:dyDescent="0.2">
      <c r="DY45303" s="185" t="s">
        <v>215</v>
      </c>
    </row>
    <row r="45304" spans="129:129" x14ac:dyDescent="0.2">
      <c r="DY45304" s="185" t="s">
        <v>215</v>
      </c>
    </row>
    <row r="45305" spans="129:129" x14ac:dyDescent="0.2">
      <c r="DY45305" s="185" t="s">
        <v>215</v>
      </c>
    </row>
    <row r="45306" spans="129:129" x14ac:dyDescent="0.2">
      <c r="DY45306" s="185" t="s">
        <v>215</v>
      </c>
    </row>
    <row r="45307" spans="129:129" x14ac:dyDescent="0.2">
      <c r="DY45307" s="185" t="s">
        <v>215</v>
      </c>
    </row>
    <row r="45308" spans="129:129" x14ac:dyDescent="0.2">
      <c r="DY45308" s="185" t="s">
        <v>215</v>
      </c>
    </row>
    <row r="45309" spans="129:129" x14ac:dyDescent="0.2">
      <c r="DY45309" s="185" t="s">
        <v>215</v>
      </c>
    </row>
    <row r="45310" spans="129:129" x14ac:dyDescent="0.2">
      <c r="DY45310" s="185" t="s">
        <v>215</v>
      </c>
    </row>
    <row r="45311" spans="129:129" x14ac:dyDescent="0.2">
      <c r="DY45311" s="185" t="s">
        <v>215</v>
      </c>
    </row>
    <row r="45312" spans="129:129" x14ac:dyDescent="0.2">
      <c r="DY45312" s="185" t="s">
        <v>215</v>
      </c>
    </row>
    <row r="45313" spans="129:129" x14ac:dyDescent="0.2">
      <c r="DY45313" s="185" t="s">
        <v>215</v>
      </c>
    </row>
    <row r="45314" spans="129:129" x14ac:dyDescent="0.2">
      <c r="DY45314" s="185" t="s">
        <v>215</v>
      </c>
    </row>
    <row r="45315" spans="129:129" x14ac:dyDescent="0.2">
      <c r="DY45315" s="185" t="s">
        <v>215</v>
      </c>
    </row>
    <row r="45316" spans="129:129" x14ac:dyDescent="0.2">
      <c r="DY45316" s="185" t="s">
        <v>215</v>
      </c>
    </row>
    <row r="45317" spans="129:129" x14ac:dyDescent="0.2">
      <c r="DY45317" s="185" t="s">
        <v>215</v>
      </c>
    </row>
    <row r="45318" spans="129:129" x14ac:dyDescent="0.2">
      <c r="DY45318" s="185" t="s">
        <v>215</v>
      </c>
    </row>
    <row r="45319" spans="129:129" x14ac:dyDescent="0.2">
      <c r="DY45319" s="185" t="s">
        <v>215</v>
      </c>
    </row>
    <row r="45320" spans="129:129" x14ac:dyDescent="0.2">
      <c r="DY45320" s="185" t="s">
        <v>215</v>
      </c>
    </row>
    <row r="45321" spans="129:129" x14ac:dyDescent="0.2">
      <c r="DY45321" s="185" t="s">
        <v>215</v>
      </c>
    </row>
    <row r="45322" spans="129:129" x14ac:dyDescent="0.2">
      <c r="DY45322" s="185" t="s">
        <v>215</v>
      </c>
    </row>
    <row r="45323" spans="129:129" x14ac:dyDescent="0.2">
      <c r="DY45323" s="185" t="s">
        <v>215</v>
      </c>
    </row>
    <row r="45324" spans="129:129" x14ac:dyDescent="0.2">
      <c r="DY45324" s="185" t="s">
        <v>215</v>
      </c>
    </row>
    <row r="45325" spans="129:129" x14ac:dyDescent="0.2">
      <c r="DY45325" s="185" t="s">
        <v>215</v>
      </c>
    </row>
    <row r="45326" spans="129:129" x14ac:dyDescent="0.2">
      <c r="DY45326" s="185" t="s">
        <v>215</v>
      </c>
    </row>
    <row r="45327" spans="129:129" x14ac:dyDescent="0.2">
      <c r="DY45327" s="185" t="s">
        <v>215</v>
      </c>
    </row>
    <row r="45328" spans="129:129" x14ac:dyDescent="0.2">
      <c r="DY45328" s="185" t="s">
        <v>215</v>
      </c>
    </row>
    <row r="45329" spans="129:129" x14ac:dyDescent="0.2">
      <c r="DY45329" s="185" t="s">
        <v>215</v>
      </c>
    </row>
    <row r="45330" spans="129:129" x14ac:dyDescent="0.2">
      <c r="DY45330" s="185" t="s">
        <v>215</v>
      </c>
    </row>
    <row r="45331" spans="129:129" x14ac:dyDescent="0.2">
      <c r="DY45331" s="185" t="s">
        <v>215</v>
      </c>
    </row>
    <row r="45332" spans="129:129" x14ac:dyDescent="0.2">
      <c r="DY45332" s="185" t="s">
        <v>215</v>
      </c>
    </row>
    <row r="45333" spans="129:129" x14ac:dyDescent="0.2">
      <c r="DY45333" s="185" t="s">
        <v>215</v>
      </c>
    </row>
    <row r="45334" spans="129:129" x14ac:dyDescent="0.2">
      <c r="DY45334" s="185" t="s">
        <v>215</v>
      </c>
    </row>
    <row r="45335" spans="129:129" x14ac:dyDescent="0.2">
      <c r="DY45335" s="185" t="s">
        <v>215</v>
      </c>
    </row>
    <row r="45336" spans="129:129" x14ac:dyDescent="0.2">
      <c r="DY45336" s="185" t="s">
        <v>215</v>
      </c>
    </row>
    <row r="45337" spans="129:129" x14ac:dyDescent="0.2">
      <c r="DY45337" s="185" t="s">
        <v>215</v>
      </c>
    </row>
    <row r="45338" spans="129:129" x14ac:dyDescent="0.2">
      <c r="DY45338" s="185" t="s">
        <v>215</v>
      </c>
    </row>
    <row r="45339" spans="129:129" x14ac:dyDescent="0.2">
      <c r="DY45339" s="185" t="s">
        <v>215</v>
      </c>
    </row>
    <row r="45340" spans="129:129" x14ac:dyDescent="0.2">
      <c r="DY45340" s="185" t="s">
        <v>215</v>
      </c>
    </row>
    <row r="45341" spans="129:129" x14ac:dyDescent="0.2">
      <c r="DY45341" s="185" t="s">
        <v>215</v>
      </c>
    </row>
    <row r="45342" spans="129:129" x14ac:dyDescent="0.2">
      <c r="DY45342" s="185" t="s">
        <v>215</v>
      </c>
    </row>
    <row r="45343" spans="129:129" x14ac:dyDescent="0.2">
      <c r="DY45343" s="185" t="s">
        <v>215</v>
      </c>
    </row>
    <row r="45344" spans="129:129" x14ac:dyDescent="0.2">
      <c r="DY45344" s="185" t="s">
        <v>215</v>
      </c>
    </row>
    <row r="45345" spans="129:129" x14ac:dyDescent="0.2">
      <c r="DY45345" s="185" t="s">
        <v>215</v>
      </c>
    </row>
    <row r="45346" spans="129:129" x14ac:dyDescent="0.2">
      <c r="DY45346" s="185" t="s">
        <v>215</v>
      </c>
    </row>
    <row r="45347" spans="129:129" x14ac:dyDescent="0.2">
      <c r="DY45347" s="185" t="s">
        <v>215</v>
      </c>
    </row>
    <row r="45348" spans="129:129" x14ac:dyDescent="0.2">
      <c r="DY45348" s="185" t="s">
        <v>215</v>
      </c>
    </row>
    <row r="45349" spans="129:129" x14ac:dyDescent="0.2">
      <c r="DY45349" s="185" t="s">
        <v>215</v>
      </c>
    </row>
    <row r="45350" spans="129:129" x14ac:dyDescent="0.2">
      <c r="DY45350" s="185" t="s">
        <v>215</v>
      </c>
    </row>
    <row r="45351" spans="129:129" x14ac:dyDescent="0.2">
      <c r="DY45351" s="185" t="s">
        <v>215</v>
      </c>
    </row>
    <row r="45352" spans="129:129" x14ac:dyDescent="0.2">
      <c r="DY45352" s="185" t="s">
        <v>215</v>
      </c>
    </row>
    <row r="45353" spans="129:129" x14ac:dyDescent="0.2">
      <c r="DY45353" s="185" t="s">
        <v>215</v>
      </c>
    </row>
    <row r="45354" spans="129:129" x14ac:dyDescent="0.2">
      <c r="DY45354" s="185" t="s">
        <v>215</v>
      </c>
    </row>
    <row r="45355" spans="129:129" x14ac:dyDescent="0.2">
      <c r="DY45355" s="185" t="s">
        <v>215</v>
      </c>
    </row>
    <row r="45356" spans="129:129" x14ac:dyDescent="0.2">
      <c r="DY45356" s="185" t="s">
        <v>215</v>
      </c>
    </row>
    <row r="45357" spans="129:129" x14ac:dyDescent="0.2">
      <c r="DY45357" s="185" t="s">
        <v>215</v>
      </c>
    </row>
    <row r="45358" spans="129:129" x14ac:dyDescent="0.2">
      <c r="DY45358" s="185" t="s">
        <v>215</v>
      </c>
    </row>
    <row r="45359" spans="129:129" x14ac:dyDescent="0.2">
      <c r="DY45359" s="185" t="s">
        <v>215</v>
      </c>
    </row>
    <row r="45360" spans="129:129" x14ac:dyDescent="0.2">
      <c r="DY45360" s="185" t="s">
        <v>215</v>
      </c>
    </row>
    <row r="45361" spans="129:129" x14ac:dyDescent="0.2">
      <c r="DY45361" s="185" t="s">
        <v>215</v>
      </c>
    </row>
    <row r="45362" spans="129:129" x14ac:dyDescent="0.2">
      <c r="DY45362" s="185" t="s">
        <v>215</v>
      </c>
    </row>
    <row r="45363" spans="129:129" x14ac:dyDescent="0.2">
      <c r="DY45363" s="185" t="s">
        <v>215</v>
      </c>
    </row>
    <row r="45364" spans="129:129" x14ac:dyDescent="0.2">
      <c r="DY45364" s="185" t="s">
        <v>215</v>
      </c>
    </row>
    <row r="45365" spans="129:129" x14ac:dyDescent="0.2">
      <c r="DY45365" s="185" t="s">
        <v>215</v>
      </c>
    </row>
    <row r="45366" spans="129:129" x14ac:dyDescent="0.2">
      <c r="DY45366" s="185" t="s">
        <v>215</v>
      </c>
    </row>
    <row r="45367" spans="129:129" x14ac:dyDescent="0.2">
      <c r="DY45367" s="185" t="s">
        <v>215</v>
      </c>
    </row>
    <row r="45368" spans="129:129" x14ac:dyDescent="0.2">
      <c r="DY45368" s="185" t="s">
        <v>215</v>
      </c>
    </row>
    <row r="45369" spans="129:129" x14ac:dyDescent="0.2">
      <c r="DY45369" s="185" t="s">
        <v>215</v>
      </c>
    </row>
    <row r="45370" spans="129:129" x14ac:dyDescent="0.2">
      <c r="DY45370" s="185" t="s">
        <v>215</v>
      </c>
    </row>
    <row r="45371" spans="129:129" x14ac:dyDescent="0.2">
      <c r="DY45371" s="185" t="s">
        <v>215</v>
      </c>
    </row>
    <row r="45372" spans="129:129" x14ac:dyDescent="0.2">
      <c r="DY45372" s="185" t="s">
        <v>215</v>
      </c>
    </row>
    <row r="45373" spans="129:129" x14ac:dyDescent="0.2">
      <c r="DY45373" s="185" t="s">
        <v>215</v>
      </c>
    </row>
    <row r="45374" spans="129:129" x14ac:dyDescent="0.2">
      <c r="DY45374" s="185" t="s">
        <v>215</v>
      </c>
    </row>
    <row r="45375" spans="129:129" x14ac:dyDescent="0.2">
      <c r="DY45375" s="185" t="s">
        <v>215</v>
      </c>
    </row>
    <row r="45376" spans="129:129" x14ac:dyDescent="0.2">
      <c r="DY45376" s="185" t="s">
        <v>215</v>
      </c>
    </row>
    <row r="45377" spans="129:129" x14ac:dyDescent="0.2">
      <c r="DY45377" s="185" t="s">
        <v>215</v>
      </c>
    </row>
    <row r="45378" spans="129:129" x14ac:dyDescent="0.2">
      <c r="DY45378" s="185" t="s">
        <v>215</v>
      </c>
    </row>
    <row r="45379" spans="129:129" x14ac:dyDescent="0.2">
      <c r="DY45379" s="185" t="s">
        <v>215</v>
      </c>
    </row>
    <row r="45380" spans="129:129" x14ac:dyDescent="0.2">
      <c r="DY45380" s="185" t="s">
        <v>215</v>
      </c>
    </row>
    <row r="45381" spans="129:129" x14ac:dyDescent="0.2">
      <c r="DY45381" s="185" t="s">
        <v>215</v>
      </c>
    </row>
    <row r="45382" spans="129:129" x14ac:dyDescent="0.2">
      <c r="DY45382" s="185" t="s">
        <v>215</v>
      </c>
    </row>
    <row r="45383" spans="129:129" x14ac:dyDescent="0.2">
      <c r="DY45383" s="185" t="s">
        <v>215</v>
      </c>
    </row>
    <row r="45384" spans="129:129" x14ac:dyDescent="0.2">
      <c r="DY45384" s="185" t="s">
        <v>215</v>
      </c>
    </row>
    <row r="45385" spans="129:129" x14ac:dyDescent="0.2">
      <c r="DY45385" s="185" t="s">
        <v>215</v>
      </c>
    </row>
    <row r="45386" spans="129:129" x14ac:dyDescent="0.2">
      <c r="DY45386" s="185" t="s">
        <v>215</v>
      </c>
    </row>
    <row r="45387" spans="129:129" x14ac:dyDescent="0.2">
      <c r="DY45387" s="185" t="s">
        <v>215</v>
      </c>
    </row>
    <row r="45388" spans="129:129" x14ac:dyDescent="0.2">
      <c r="DY45388" s="185" t="s">
        <v>215</v>
      </c>
    </row>
    <row r="45389" spans="129:129" x14ac:dyDescent="0.2">
      <c r="DY45389" s="185" t="s">
        <v>215</v>
      </c>
    </row>
    <row r="45390" spans="129:129" x14ac:dyDescent="0.2">
      <c r="DY45390" s="185" t="s">
        <v>215</v>
      </c>
    </row>
    <row r="45391" spans="129:129" x14ac:dyDescent="0.2">
      <c r="DY45391" s="185" t="s">
        <v>215</v>
      </c>
    </row>
    <row r="45392" spans="129:129" x14ac:dyDescent="0.2">
      <c r="DY45392" s="185" t="s">
        <v>215</v>
      </c>
    </row>
    <row r="45393" spans="129:129" x14ac:dyDescent="0.2">
      <c r="DY45393" s="185" t="s">
        <v>215</v>
      </c>
    </row>
    <row r="45394" spans="129:129" x14ac:dyDescent="0.2">
      <c r="DY45394" s="185" t="s">
        <v>215</v>
      </c>
    </row>
    <row r="45395" spans="129:129" x14ac:dyDescent="0.2">
      <c r="DY45395" s="185" t="s">
        <v>215</v>
      </c>
    </row>
    <row r="45396" spans="129:129" x14ac:dyDescent="0.2">
      <c r="DY45396" s="185" t="s">
        <v>215</v>
      </c>
    </row>
    <row r="45397" spans="129:129" x14ac:dyDescent="0.2">
      <c r="DY45397" s="185" t="s">
        <v>215</v>
      </c>
    </row>
    <row r="45398" spans="129:129" x14ac:dyDescent="0.2">
      <c r="DY45398" s="185" t="s">
        <v>215</v>
      </c>
    </row>
    <row r="45399" spans="129:129" x14ac:dyDescent="0.2">
      <c r="DY45399" s="185" t="s">
        <v>215</v>
      </c>
    </row>
    <row r="45400" spans="129:129" x14ac:dyDescent="0.2">
      <c r="DY45400" s="185" t="s">
        <v>215</v>
      </c>
    </row>
    <row r="45401" spans="129:129" x14ac:dyDescent="0.2">
      <c r="DY45401" s="185" t="s">
        <v>215</v>
      </c>
    </row>
    <row r="45402" spans="129:129" x14ac:dyDescent="0.2">
      <c r="DY45402" s="185" t="s">
        <v>215</v>
      </c>
    </row>
    <row r="45403" spans="129:129" x14ac:dyDescent="0.2">
      <c r="DY45403" s="185" t="s">
        <v>215</v>
      </c>
    </row>
    <row r="45404" spans="129:129" x14ac:dyDescent="0.2">
      <c r="DY45404" s="185" t="s">
        <v>215</v>
      </c>
    </row>
    <row r="45405" spans="129:129" x14ac:dyDescent="0.2">
      <c r="DY45405" s="185" t="s">
        <v>215</v>
      </c>
    </row>
    <row r="45406" spans="129:129" x14ac:dyDescent="0.2">
      <c r="DY45406" s="185" t="s">
        <v>215</v>
      </c>
    </row>
    <row r="45407" spans="129:129" x14ac:dyDescent="0.2">
      <c r="DY45407" s="185" t="s">
        <v>215</v>
      </c>
    </row>
    <row r="45408" spans="129:129" x14ac:dyDescent="0.2">
      <c r="DY45408" s="185" t="s">
        <v>215</v>
      </c>
    </row>
    <row r="45409" spans="129:129" x14ac:dyDescent="0.2">
      <c r="DY45409" s="185" t="s">
        <v>215</v>
      </c>
    </row>
    <row r="45410" spans="129:129" x14ac:dyDescent="0.2">
      <c r="DY45410" s="185" t="s">
        <v>215</v>
      </c>
    </row>
    <row r="45411" spans="129:129" x14ac:dyDescent="0.2">
      <c r="DY45411" s="185" t="s">
        <v>215</v>
      </c>
    </row>
    <row r="45412" spans="129:129" x14ac:dyDescent="0.2">
      <c r="DY45412" s="185" t="s">
        <v>215</v>
      </c>
    </row>
    <row r="45413" spans="129:129" x14ac:dyDescent="0.2">
      <c r="DY45413" s="185" t="s">
        <v>215</v>
      </c>
    </row>
    <row r="45414" spans="129:129" x14ac:dyDescent="0.2">
      <c r="DY45414" s="185" t="s">
        <v>215</v>
      </c>
    </row>
    <row r="45415" spans="129:129" x14ac:dyDescent="0.2">
      <c r="DY45415" s="185" t="s">
        <v>215</v>
      </c>
    </row>
    <row r="45416" spans="129:129" x14ac:dyDescent="0.2">
      <c r="DY45416" s="185" t="s">
        <v>215</v>
      </c>
    </row>
    <row r="45417" spans="129:129" x14ac:dyDescent="0.2">
      <c r="DY45417" s="185" t="s">
        <v>215</v>
      </c>
    </row>
    <row r="45418" spans="129:129" x14ac:dyDescent="0.2">
      <c r="DY45418" s="185" t="s">
        <v>215</v>
      </c>
    </row>
    <row r="45419" spans="129:129" x14ac:dyDescent="0.2">
      <c r="DY45419" s="185" t="s">
        <v>215</v>
      </c>
    </row>
    <row r="45420" spans="129:129" x14ac:dyDescent="0.2">
      <c r="DY45420" s="185" t="s">
        <v>215</v>
      </c>
    </row>
    <row r="45421" spans="129:129" x14ac:dyDescent="0.2">
      <c r="DY45421" s="185" t="s">
        <v>215</v>
      </c>
    </row>
    <row r="45422" spans="129:129" x14ac:dyDescent="0.2">
      <c r="DY45422" s="185" t="s">
        <v>215</v>
      </c>
    </row>
    <row r="45423" spans="129:129" x14ac:dyDescent="0.2">
      <c r="DY45423" s="185" t="s">
        <v>215</v>
      </c>
    </row>
    <row r="45424" spans="129:129" x14ac:dyDescent="0.2">
      <c r="DY45424" s="185" t="s">
        <v>215</v>
      </c>
    </row>
    <row r="45425" spans="129:129" x14ac:dyDescent="0.2">
      <c r="DY45425" s="185" t="s">
        <v>215</v>
      </c>
    </row>
    <row r="45426" spans="129:129" x14ac:dyDescent="0.2">
      <c r="DY45426" s="185" t="s">
        <v>215</v>
      </c>
    </row>
    <row r="45427" spans="129:129" x14ac:dyDescent="0.2">
      <c r="DY45427" s="185" t="s">
        <v>215</v>
      </c>
    </row>
    <row r="45428" spans="129:129" x14ac:dyDescent="0.2">
      <c r="DY45428" s="185" t="s">
        <v>215</v>
      </c>
    </row>
    <row r="45429" spans="129:129" x14ac:dyDescent="0.2">
      <c r="DY45429" s="185" t="s">
        <v>215</v>
      </c>
    </row>
    <row r="45430" spans="129:129" x14ac:dyDescent="0.2">
      <c r="DY45430" s="185" t="s">
        <v>215</v>
      </c>
    </row>
    <row r="45431" spans="129:129" x14ac:dyDescent="0.2">
      <c r="DY45431" s="185" t="s">
        <v>215</v>
      </c>
    </row>
    <row r="45432" spans="129:129" x14ac:dyDescent="0.2">
      <c r="DY45432" s="185" t="s">
        <v>215</v>
      </c>
    </row>
    <row r="45433" spans="129:129" x14ac:dyDescent="0.2">
      <c r="DY45433" s="185" t="s">
        <v>215</v>
      </c>
    </row>
    <row r="45434" spans="129:129" x14ac:dyDescent="0.2">
      <c r="DY45434" s="185" t="s">
        <v>215</v>
      </c>
    </row>
    <row r="45435" spans="129:129" x14ac:dyDescent="0.2">
      <c r="DY45435" s="185" t="s">
        <v>215</v>
      </c>
    </row>
    <row r="45436" spans="129:129" x14ac:dyDescent="0.2">
      <c r="DY45436" s="185" t="s">
        <v>215</v>
      </c>
    </row>
    <row r="45437" spans="129:129" x14ac:dyDescent="0.2">
      <c r="DY45437" s="185" t="s">
        <v>215</v>
      </c>
    </row>
    <row r="45438" spans="129:129" x14ac:dyDescent="0.2">
      <c r="DY45438" s="185" t="s">
        <v>215</v>
      </c>
    </row>
    <row r="45439" spans="129:129" x14ac:dyDescent="0.2">
      <c r="DY45439" s="185" t="s">
        <v>215</v>
      </c>
    </row>
    <row r="45440" spans="129:129" x14ac:dyDescent="0.2">
      <c r="DY45440" s="185" t="s">
        <v>215</v>
      </c>
    </row>
    <row r="45441" spans="129:129" x14ac:dyDescent="0.2">
      <c r="DY45441" s="185" t="s">
        <v>215</v>
      </c>
    </row>
    <row r="45442" spans="129:129" x14ac:dyDescent="0.2">
      <c r="DY45442" s="185" t="s">
        <v>215</v>
      </c>
    </row>
    <row r="45443" spans="129:129" x14ac:dyDescent="0.2">
      <c r="DY45443" s="185" t="s">
        <v>215</v>
      </c>
    </row>
    <row r="45444" spans="129:129" x14ac:dyDescent="0.2">
      <c r="DY45444" s="185" t="s">
        <v>215</v>
      </c>
    </row>
    <row r="45445" spans="129:129" x14ac:dyDescent="0.2">
      <c r="DY45445" s="185" t="s">
        <v>215</v>
      </c>
    </row>
    <row r="45446" spans="129:129" x14ac:dyDescent="0.2">
      <c r="DY45446" s="185" t="s">
        <v>215</v>
      </c>
    </row>
    <row r="45447" spans="129:129" x14ac:dyDescent="0.2">
      <c r="DY45447" s="185" t="s">
        <v>215</v>
      </c>
    </row>
    <row r="45448" spans="129:129" x14ac:dyDescent="0.2">
      <c r="DY45448" s="185" t="s">
        <v>215</v>
      </c>
    </row>
    <row r="45449" spans="129:129" x14ac:dyDescent="0.2">
      <c r="DY45449" s="185" t="s">
        <v>215</v>
      </c>
    </row>
    <row r="45450" spans="129:129" x14ac:dyDescent="0.2">
      <c r="DY45450" s="185" t="s">
        <v>215</v>
      </c>
    </row>
    <row r="45451" spans="129:129" x14ac:dyDescent="0.2">
      <c r="DY45451" s="185" t="s">
        <v>215</v>
      </c>
    </row>
    <row r="45452" spans="129:129" x14ac:dyDescent="0.2">
      <c r="DY45452" s="185" t="s">
        <v>215</v>
      </c>
    </row>
    <row r="45453" spans="129:129" x14ac:dyDescent="0.2">
      <c r="DY45453" s="185" t="s">
        <v>215</v>
      </c>
    </row>
    <row r="45454" spans="129:129" x14ac:dyDescent="0.2">
      <c r="DY45454" s="185" t="s">
        <v>215</v>
      </c>
    </row>
    <row r="45455" spans="129:129" x14ac:dyDescent="0.2">
      <c r="DY45455" s="185" t="s">
        <v>215</v>
      </c>
    </row>
    <row r="45456" spans="129:129" x14ac:dyDescent="0.2">
      <c r="DY45456" s="185" t="s">
        <v>215</v>
      </c>
    </row>
    <row r="45457" spans="129:129" x14ac:dyDescent="0.2">
      <c r="DY45457" s="185" t="s">
        <v>215</v>
      </c>
    </row>
    <row r="45458" spans="129:129" x14ac:dyDescent="0.2">
      <c r="DY45458" s="185" t="s">
        <v>215</v>
      </c>
    </row>
    <row r="45459" spans="129:129" x14ac:dyDescent="0.2">
      <c r="DY45459" s="185" t="s">
        <v>215</v>
      </c>
    </row>
    <row r="45460" spans="129:129" x14ac:dyDescent="0.2">
      <c r="DY45460" s="185" t="s">
        <v>215</v>
      </c>
    </row>
    <row r="45461" spans="129:129" x14ac:dyDescent="0.2">
      <c r="DY45461" s="185" t="s">
        <v>215</v>
      </c>
    </row>
    <row r="45462" spans="129:129" x14ac:dyDescent="0.2">
      <c r="DY45462" s="185" t="s">
        <v>215</v>
      </c>
    </row>
    <row r="45463" spans="129:129" x14ac:dyDescent="0.2">
      <c r="DY45463" s="185" t="s">
        <v>215</v>
      </c>
    </row>
    <row r="45464" spans="129:129" x14ac:dyDescent="0.2">
      <c r="DY45464" s="185" t="s">
        <v>215</v>
      </c>
    </row>
    <row r="45465" spans="129:129" x14ac:dyDescent="0.2">
      <c r="DY45465" s="185" t="s">
        <v>215</v>
      </c>
    </row>
    <row r="45466" spans="129:129" x14ac:dyDescent="0.2">
      <c r="DY45466" s="185" t="s">
        <v>215</v>
      </c>
    </row>
    <row r="45467" spans="129:129" x14ac:dyDescent="0.2">
      <c r="DY45467" s="185" t="s">
        <v>215</v>
      </c>
    </row>
    <row r="45468" spans="129:129" x14ac:dyDescent="0.2">
      <c r="DY45468" s="185" t="s">
        <v>215</v>
      </c>
    </row>
    <row r="45469" spans="129:129" x14ac:dyDescent="0.2">
      <c r="DY45469" s="185" t="s">
        <v>215</v>
      </c>
    </row>
    <row r="45470" spans="129:129" x14ac:dyDescent="0.2">
      <c r="DY45470" s="185" t="s">
        <v>215</v>
      </c>
    </row>
    <row r="45471" spans="129:129" x14ac:dyDescent="0.2">
      <c r="DY45471" s="185" t="s">
        <v>215</v>
      </c>
    </row>
    <row r="45472" spans="129:129" x14ac:dyDescent="0.2">
      <c r="DY45472" s="185" t="s">
        <v>215</v>
      </c>
    </row>
    <row r="45473" spans="129:129" x14ac:dyDescent="0.2">
      <c r="DY45473" s="185" t="s">
        <v>215</v>
      </c>
    </row>
    <row r="45474" spans="129:129" x14ac:dyDescent="0.2">
      <c r="DY45474" s="185" t="s">
        <v>215</v>
      </c>
    </row>
    <row r="45475" spans="129:129" x14ac:dyDescent="0.2">
      <c r="DY45475" s="185" t="s">
        <v>215</v>
      </c>
    </row>
    <row r="45476" spans="129:129" x14ac:dyDescent="0.2">
      <c r="DY45476" s="185" t="s">
        <v>215</v>
      </c>
    </row>
    <row r="45477" spans="129:129" x14ac:dyDescent="0.2">
      <c r="DY45477" s="185" t="s">
        <v>215</v>
      </c>
    </row>
    <row r="45478" spans="129:129" x14ac:dyDescent="0.2">
      <c r="DY45478" s="185" t="s">
        <v>215</v>
      </c>
    </row>
    <row r="45479" spans="129:129" x14ac:dyDescent="0.2">
      <c r="DY45479" s="185" t="s">
        <v>215</v>
      </c>
    </row>
    <row r="45480" spans="129:129" x14ac:dyDescent="0.2">
      <c r="DY45480" s="185" t="s">
        <v>215</v>
      </c>
    </row>
    <row r="45481" spans="129:129" x14ac:dyDescent="0.2">
      <c r="DY45481" s="185" t="s">
        <v>215</v>
      </c>
    </row>
    <row r="45482" spans="129:129" x14ac:dyDescent="0.2">
      <c r="DY45482" s="185" t="s">
        <v>215</v>
      </c>
    </row>
    <row r="45483" spans="129:129" x14ac:dyDescent="0.2">
      <c r="DY45483" s="185" t="s">
        <v>215</v>
      </c>
    </row>
    <row r="45484" spans="129:129" x14ac:dyDescent="0.2">
      <c r="DY45484" s="185" t="s">
        <v>215</v>
      </c>
    </row>
    <row r="45485" spans="129:129" x14ac:dyDescent="0.2">
      <c r="DY45485" s="185" t="s">
        <v>215</v>
      </c>
    </row>
    <row r="45486" spans="129:129" x14ac:dyDescent="0.2">
      <c r="DY45486" s="185" t="s">
        <v>215</v>
      </c>
    </row>
    <row r="45487" spans="129:129" x14ac:dyDescent="0.2">
      <c r="DY45487" s="185" t="s">
        <v>215</v>
      </c>
    </row>
    <row r="45488" spans="129:129" x14ac:dyDescent="0.2">
      <c r="DY45488" s="185" t="s">
        <v>215</v>
      </c>
    </row>
    <row r="45489" spans="129:129" x14ac:dyDescent="0.2">
      <c r="DY45489" s="185" t="s">
        <v>215</v>
      </c>
    </row>
    <row r="45490" spans="129:129" x14ac:dyDescent="0.2">
      <c r="DY45490" s="185" t="s">
        <v>215</v>
      </c>
    </row>
    <row r="45491" spans="129:129" x14ac:dyDescent="0.2">
      <c r="DY45491" s="185" t="s">
        <v>215</v>
      </c>
    </row>
    <row r="45492" spans="129:129" x14ac:dyDescent="0.2">
      <c r="DY45492" s="185" t="s">
        <v>215</v>
      </c>
    </row>
    <row r="45493" spans="129:129" x14ac:dyDescent="0.2">
      <c r="DY45493" s="185" t="s">
        <v>215</v>
      </c>
    </row>
    <row r="45494" spans="129:129" x14ac:dyDescent="0.2">
      <c r="DY45494" s="185" t="s">
        <v>215</v>
      </c>
    </row>
    <row r="45495" spans="129:129" x14ac:dyDescent="0.2">
      <c r="DY45495" s="185" t="s">
        <v>215</v>
      </c>
    </row>
    <row r="45496" spans="129:129" x14ac:dyDescent="0.2">
      <c r="DY45496" s="185" t="s">
        <v>215</v>
      </c>
    </row>
    <row r="45497" spans="129:129" x14ac:dyDescent="0.2">
      <c r="DY45497" s="185" t="s">
        <v>215</v>
      </c>
    </row>
    <row r="45498" spans="129:129" x14ac:dyDescent="0.2">
      <c r="DY45498" s="185" t="s">
        <v>215</v>
      </c>
    </row>
    <row r="45499" spans="129:129" x14ac:dyDescent="0.2">
      <c r="DY45499" s="185" t="s">
        <v>215</v>
      </c>
    </row>
    <row r="45500" spans="129:129" x14ac:dyDescent="0.2">
      <c r="DY45500" s="185" t="s">
        <v>215</v>
      </c>
    </row>
    <row r="45501" spans="129:129" x14ac:dyDescent="0.2">
      <c r="DY45501" s="185" t="s">
        <v>215</v>
      </c>
    </row>
    <row r="45502" spans="129:129" x14ac:dyDescent="0.2">
      <c r="DY45502" s="185" t="s">
        <v>215</v>
      </c>
    </row>
    <row r="45503" spans="129:129" x14ac:dyDescent="0.2">
      <c r="DY45503" s="185" t="s">
        <v>215</v>
      </c>
    </row>
    <row r="45504" spans="129:129" x14ac:dyDescent="0.2">
      <c r="DY45504" s="185" t="s">
        <v>215</v>
      </c>
    </row>
    <row r="45505" spans="129:129" x14ac:dyDescent="0.2">
      <c r="DY45505" s="185" t="s">
        <v>215</v>
      </c>
    </row>
    <row r="45506" spans="129:129" x14ac:dyDescent="0.2">
      <c r="DY45506" s="185" t="s">
        <v>215</v>
      </c>
    </row>
    <row r="45507" spans="129:129" x14ac:dyDescent="0.2">
      <c r="DY45507" s="185" t="s">
        <v>215</v>
      </c>
    </row>
    <row r="45508" spans="129:129" x14ac:dyDescent="0.2">
      <c r="DY45508" s="185" t="s">
        <v>215</v>
      </c>
    </row>
    <row r="45509" spans="129:129" x14ac:dyDescent="0.2">
      <c r="DY45509" s="185" t="s">
        <v>215</v>
      </c>
    </row>
    <row r="45510" spans="129:129" x14ac:dyDescent="0.2">
      <c r="DY45510" s="185" t="s">
        <v>215</v>
      </c>
    </row>
    <row r="45511" spans="129:129" x14ac:dyDescent="0.2">
      <c r="DY45511" s="185" t="s">
        <v>215</v>
      </c>
    </row>
    <row r="45512" spans="129:129" x14ac:dyDescent="0.2">
      <c r="DY45512" s="185" t="s">
        <v>215</v>
      </c>
    </row>
    <row r="45513" spans="129:129" x14ac:dyDescent="0.2">
      <c r="DY45513" s="185" t="s">
        <v>215</v>
      </c>
    </row>
    <row r="45514" spans="129:129" x14ac:dyDescent="0.2">
      <c r="DY45514" s="185" t="s">
        <v>215</v>
      </c>
    </row>
    <row r="45515" spans="129:129" x14ac:dyDescent="0.2">
      <c r="DY45515" s="185" t="s">
        <v>215</v>
      </c>
    </row>
    <row r="45516" spans="129:129" x14ac:dyDescent="0.2">
      <c r="DY45516" s="185" t="s">
        <v>215</v>
      </c>
    </row>
    <row r="45517" spans="129:129" x14ac:dyDescent="0.2">
      <c r="DY45517" s="185" t="s">
        <v>215</v>
      </c>
    </row>
    <row r="45518" spans="129:129" x14ac:dyDescent="0.2">
      <c r="DY45518" s="185" t="s">
        <v>215</v>
      </c>
    </row>
    <row r="45519" spans="129:129" x14ac:dyDescent="0.2">
      <c r="DY45519" s="185" t="s">
        <v>215</v>
      </c>
    </row>
    <row r="45520" spans="129:129" x14ac:dyDescent="0.2">
      <c r="DY45520" s="185" t="s">
        <v>215</v>
      </c>
    </row>
    <row r="45521" spans="129:129" x14ac:dyDescent="0.2">
      <c r="DY45521" s="185" t="s">
        <v>215</v>
      </c>
    </row>
    <row r="45522" spans="129:129" x14ac:dyDescent="0.2">
      <c r="DY45522" s="185" t="s">
        <v>215</v>
      </c>
    </row>
    <row r="45523" spans="129:129" x14ac:dyDescent="0.2">
      <c r="DY45523" s="185" t="s">
        <v>215</v>
      </c>
    </row>
    <row r="45524" spans="129:129" x14ac:dyDescent="0.2">
      <c r="DY45524" s="185" t="s">
        <v>215</v>
      </c>
    </row>
    <row r="45525" spans="129:129" x14ac:dyDescent="0.2">
      <c r="DY45525" s="185" t="s">
        <v>215</v>
      </c>
    </row>
    <row r="45526" spans="129:129" x14ac:dyDescent="0.2">
      <c r="DY45526" s="185" t="s">
        <v>215</v>
      </c>
    </row>
    <row r="45527" spans="129:129" x14ac:dyDescent="0.2">
      <c r="DY45527" s="185" t="s">
        <v>215</v>
      </c>
    </row>
    <row r="45528" spans="129:129" x14ac:dyDescent="0.2">
      <c r="DY45528" s="185" t="s">
        <v>215</v>
      </c>
    </row>
    <row r="45529" spans="129:129" x14ac:dyDescent="0.2">
      <c r="DY45529" s="185" t="s">
        <v>215</v>
      </c>
    </row>
    <row r="45530" spans="129:129" x14ac:dyDescent="0.2">
      <c r="DY45530" s="185" t="s">
        <v>215</v>
      </c>
    </row>
    <row r="45531" spans="129:129" x14ac:dyDescent="0.2">
      <c r="DY45531" s="185" t="s">
        <v>215</v>
      </c>
    </row>
    <row r="45532" spans="129:129" x14ac:dyDescent="0.2">
      <c r="DY45532" s="185" t="s">
        <v>215</v>
      </c>
    </row>
    <row r="45533" spans="129:129" x14ac:dyDescent="0.2">
      <c r="DY45533" s="185" t="s">
        <v>215</v>
      </c>
    </row>
    <row r="45534" spans="129:129" x14ac:dyDescent="0.2">
      <c r="DY45534" s="185" t="s">
        <v>215</v>
      </c>
    </row>
    <row r="45535" spans="129:129" x14ac:dyDescent="0.2">
      <c r="DY45535" s="185" t="s">
        <v>215</v>
      </c>
    </row>
    <row r="45536" spans="129:129" x14ac:dyDescent="0.2">
      <c r="DY45536" s="185" t="s">
        <v>215</v>
      </c>
    </row>
    <row r="45537" spans="129:129" x14ac:dyDescent="0.2">
      <c r="DY45537" s="185" t="s">
        <v>215</v>
      </c>
    </row>
    <row r="45538" spans="129:129" x14ac:dyDescent="0.2">
      <c r="DY45538" s="185" t="s">
        <v>215</v>
      </c>
    </row>
    <row r="45539" spans="129:129" x14ac:dyDescent="0.2">
      <c r="DY45539" s="185" t="s">
        <v>215</v>
      </c>
    </row>
    <row r="45540" spans="129:129" x14ac:dyDescent="0.2">
      <c r="DY45540" s="185" t="s">
        <v>215</v>
      </c>
    </row>
    <row r="45541" spans="129:129" x14ac:dyDescent="0.2">
      <c r="DY45541" s="185" t="s">
        <v>215</v>
      </c>
    </row>
    <row r="45542" spans="129:129" x14ac:dyDescent="0.2">
      <c r="DY45542" s="185" t="s">
        <v>215</v>
      </c>
    </row>
    <row r="45543" spans="129:129" x14ac:dyDescent="0.2">
      <c r="DY45543" s="185" t="s">
        <v>215</v>
      </c>
    </row>
    <row r="45544" spans="129:129" x14ac:dyDescent="0.2">
      <c r="DY45544" s="185" t="s">
        <v>215</v>
      </c>
    </row>
    <row r="45545" spans="129:129" x14ac:dyDescent="0.2">
      <c r="DY45545" s="185" t="s">
        <v>215</v>
      </c>
    </row>
    <row r="45546" spans="129:129" x14ac:dyDescent="0.2">
      <c r="DY45546" s="185" t="s">
        <v>215</v>
      </c>
    </row>
    <row r="45547" spans="129:129" x14ac:dyDescent="0.2">
      <c r="DY45547" s="185" t="s">
        <v>215</v>
      </c>
    </row>
    <row r="45548" spans="129:129" x14ac:dyDescent="0.2">
      <c r="DY45548" s="185" t="s">
        <v>215</v>
      </c>
    </row>
    <row r="45549" spans="129:129" x14ac:dyDescent="0.2">
      <c r="DY45549" s="185" t="s">
        <v>215</v>
      </c>
    </row>
    <row r="45550" spans="129:129" x14ac:dyDescent="0.2">
      <c r="DY45550" s="185" t="s">
        <v>215</v>
      </c>
    </row>
    <row r="45551" spans="129:129" x14ac:dyDescent="0.2">
      <c r="DY45551" s="185" t="s">
        <v>215</v>
      </c>
    </row>
    <row r="45552" spans="129:129" x14ac:dyDescent="0.2">
      <c r="DY45552" s="185" t="s">
        <v>215</v>
      </c>
    </row>
    <row r="45553" spans="129:129" x14ac:dyDescent="0.2">
      <c r="DY45553" s="185" t="s">
        <v>215</v>
      </c>
    </row>
    <row r="45554" spans="129:129" x14ac:dyDescent="0.2">
      <c r="DY45554" s="185" t="s">
        <v>215</v>
      </c>
    </row>
    <row r="45555" spans="129:129" x14ac:dyDescent="0.2">
      <c r="DY45555" s="185" t="s">
        <v>215</v>
      </c>
    </row>
    <row r="45556" spans="129:129" x14ac:dyDescent="0.2">
      <c r="DY45556" s="185" t="s">
        <v>215</v>
      </c>
    </row>
    <row r="45557" spans="129:129" x14ac:dyDescent="0.2">
      <c r="DY45557" s="185" t="s">
        <v>215</v>
      </c>
    </row>
    <row r="45558" spans="129:129" x14ac:dyDescent="0.2">
      <c r="DY45558" s="185" t="s">
        <v>215</v>
      </c>
    </row>
    <row r="45559" spans="129:129" x14ac:dyDescent="0.2">
      <c r="DY45559" s="185" t="s">
        <v>215</v>
      </c>
    </row>
    <row r="45560" spans="129:129" x14ac:dyDescent="0.2">
      <c r="DY45560" s="185" t="s">
        <v>215</v>
      </c>
    </row>
    <row r="45561" spans="129:129" x14ac:dyDescent="0.2">
      <c r="DY45561" s="185" t="s">
        <v>215</v>
      </c>
    </row>
    <row r="45562" spans="129:129" x14ac:dyDescent="0.2">
      <c r="DY45562" s="185" t="s">
        <v>215</v>
      </c>
    </row>
    <row r="45563" spans="129:129" x14ac:dyDescent="0.2">
      <c r="DY45563" s="185" t="s">
        <v>215</v>
      </c>
    </row>
    <row r="45564" spans="129:129" x14ac:dyDescent="0.2">
      <c r="DY45564" s="185" t="s">
        <v>215</v>
      </c>
    </row>
    <row r="45565" spans="129:129" x14ac:dyDescent="0.2">
      <c r="DY45565" s="185" t="s">
        <v>215</v>
      </c>
    </row>
    <row r="45566" spans="129:129" x14ac:dyDescent="0.2">
      <c r="DY45566" s="185" t="s">
        <v>215</v>
      </c>
    </row>
    <row r="45567" spans="129:129" x14ac:dyDescent="0.2">
      <c r="DY45567" s="185" t="s">
        <v>215</v>
      </c>
    </row>
    <row r="45568" spans="129:129" x14ac:dyDescent="0.2">
      <c r="DY45568" s="185" t="s">
        <v>215</v>
      </c>
    </row>
    <row r="45569" spans="129:129" x14ac:dyDescent="0.2">
      <c r="DY45569" s="185" t="s">
        <v>215</v>
      </c>
    </row>
    <row r="45570" spans="129:129" x14ac:dyDescent="0.2">
      <c r="DY45570" s="185" t="s">
        <v>215</v>
      </c>
    </row>
    <row r="45571" spans="129:129" x14ac:dyDescent="0.2">
      <c r="DY45571" s="185" t="s">
        <v>215</v>
      </c>
    </row>
    <row r="45572" spans="129:129" x14ac:dyDescent="0.2">
      <c r="DY45572" s="185" t="s">
        <v>215</v>
      </c>
    </row>
    <row r="45573" spans="129:129" x14ac:dyDescent="0.2">
      <c r="DY45573" s="185" t="s">
        <v>215</v>
      </c>
    </row>
    <row r="45574" spans="129:129" x14ac:dyDescent="0.2">
      <c r="DY45574" s="185" t="s">
        <v>215</v>
      </c>
    </row>
    <row r="45575" spans="129:129" x14ac:dyDescent="0.2">
      <c r="DY45575" s="185" t="s">
        <v>215</v>
      </c>
    </row>
    <row r="45576" spans="129:129" x14ac:dyDescent="0.2">
      <c r="DY45576" s="185" t="s">
        <v>215</v>
      </c>
    </row>
    <row r="45577" spans="129:129" x14ac:dyDescent="0.2">
      <c r="DY45577" s="185" t="s">
        <v>215</v>
      </c>
    </row>
    <row r="45578" spans="129:129" x14ac:dyDescent="0.2">
      <c r="DY45578" s="185" t="s">
        <v>215</v>
      </c>
    </row>
    <row r="45579" spans="129:129" x14ac:dyDescent="0.2">
      <c r="DY45579" s="185" t="s">
        <v>215</v>
      </c>
    </row>
    <row r="45580" spans="129:129" x14ac:dyDescent="0.2">
      <c r="DY45580" s="185" t="s">
        <v>215</v>
      </c>
    </row>
    <row r="45581" spans="129:129" x14ac:dyDescent="0.2">
      <c r="DY45581" s="185" t="s">
        <v>215</v>
      </c>
    </row>
    <row r="45582" spans="129:129" x14ac:dyDescent="0.2">
      <c r="DY45582" s="185" t="s">
        <v>215</v>
      </c>
    </row>
    <row r="45583" spans="129:129" x14ac:dyDescent="0.2">
      <c r="DY45583" s="185" t="s">
        <v>215</v>
      </c>
    </row>
    <row r="45584" spans="129:129" x14ac:dyDescent="0.2">
      <c r="DY45584" s="185" t="s">
        <v>215</v>
      </c>
    </row>
    <row r="45585" spans="129:129" x14ac:dyDescent="0.2">
      <c r="DY45585" s="185" t="s">
        <v>215</v>
      </c>
    </row>
    <row r="45586" spans="129:129" x14ac:dyDescent="0.2">
      <c r="DY45586" s="185" t="s">
        <v>215</v>
      </c>
    </row>
    <row r="45587" spans="129:129" x14ac:dyDescent="0.2">
      <c r="DY45587" s="185" t="s">
        <v>215</v>
      </c>
    </row>
    <row r="45588" spans="129:129" x14ac:dyDescent="0.2">
      <c r="DY45588" s="185" t="s">
        <v>215</v>
      </c>
    </row>
    <row r="45589" spans="129:129" x14ac:dyDescent="0.2">
      <c r="DY45589" s="185" t="s">
        <v>215</v>
      </c>
    </row>
    <row r="45590" spans="129:129" x14ac:dyDescent="0.2">
      <c r="DY45590" s="185" t="s">
        <v>215</v>
      </c>
    </row>
    <row r="45591" spans="129:129" x14ac:dyDescent="0.2">
      <c r="DY45591" s="185" t="s">
        <v>215</v>
      </c>
    </row>
    <row r="45592" spans="129:129" x14ac:dyDescent="0.2">
      <c r="DY45592" s="185" t="s">
        <v>215</v>
      </c>
    </row>
    <row r="45593" spans="129:129" x14ac:dyDescent="0.2">
      <c r="DY45593" s="185" t="s">
        <v>215</v>
      </c>
    </row>
    <row r="45594" spans="129:129" x14ac:dyDescent="0.2">
      <c r="DY45594" s="185" t="s">
        <v>215</v>
      </c>
    </row>
    <row r="45595" spans="129:129" x14ac:dyDescent="0.2">
      <c r="DY45595" s="185" t="s">
        <v>215</v>
      </c>
    </row>
    <row r="45596" spans="129:129" x14ac:dyDescent="0.2">
      <c r="DY45596" s="185" t="s">
        <v>215</v>
      </c>
    </row>
    <row r="45597" spans="129:129" x14ac:dyDescent="0.2">
      <c r="DY45597" s="185" t="s">
        <v>215</v>
      </c>
    </row>
    <row r="45598" spans="129:129" x14ac:dyDescent="0.2">
      <c r="DY45598" s="185" t="s">
        <v>215</v>
      </c>
    </row>
    <row r="45599" spans="129:129" x14ac:dyDescent="0.2">
      <c r="DY45599" s="185" t="s">
        <v>215</v>
      </c>
    </row>
    <row r="45600" spans="129:129" x14ac:dyDescent="0.2">
      <c r="DY45600" s="185" t="s">
        <v>215</v>
      </c>
    </row>
    <row r="45601" spans="129:129" x14ac:dyDescent="0.2">
      <c r="DY45601" s="185" t="s">
        <v>215</v>
      </c>
    </row>
    <row r="45602" spans="129:129" x14ac:dyDescent="0.2">
      <c r="DY45602" s="185" t="s">
        <v>215</v>
      </c>
    </row>
    <row r="45603" spans="129:129" x14ac:dyDescent="0.2">
      <c r="DY45603" s="185" t="s">
        <v>215</v>
      </c>
    </row>
    <row r="45604" spans="129:129" x14ac:dyDescent="0.2">
      <c r="DY45604" s="185" t="s">
        <v>215</v>
      </c>
    </row>
    <row r="45605" spans="129:129" x14ac:dyDescent="0.2">
      <c r="DY45605" s="185" t="s">
        <v>215</v>
      </c>
    </row>
    <row r="45606" spans="129:129" x14ac:dyDescent="0.2">
      <c r="DY45606" s="185" t="s">
        <v>215</v>
      </c>
    </row>
    <row r="45607" spans="129:129" x14ac:dyDescent="0.2">
      <c r="DY45607" s="185" t="s">
        <v>215</v>
      </c>
    </row>
    <row r="45608" spans="129:129" x14ac:dyDescent="0.2">
      <c r="DY45608" s="185" t="s">
        <v>215</v>
      </c>
    </row>
    <row r="45609" spans="129:129" x14ac:dyDescent="0.2">
      <c r="DY45609" s="185" t="s">
        <v>215</v>
      </c>
    </row>
    <row r="45610" spans="129:129" x14ac:dyDescent="0.2">
      <c r="DY45610" s="185" t="s">
        <v>215</v>
      </c>
    </row>
    <row r="45611" spans="129:129" x14ac:dyDescent="0.2">
      <c r="DY45611" s="185" t="s">
        <v>215</v>
      </c>
    </row>
    <row r="45612" spans="129:129" x14ac:dyDescent="0.2">
      <c r="DY45612" s="185" t="s">
        <v>215</v>
      </c>
    </row>
    <row r="45613" spans="129:129" x14ac:dyDescent="0.2">
      <c r="DY45613" s="185" t="s">
        <v>215</v>
      </c>
    </row>
    <row r="45614" spans="129:129" x14ac:dyDescent="0.2">
      <c r="DY45614" s="185" t="s">
        <v>215</v>
      </c>
    </row>
    <row r="45615" spans="129:129" x14ac:dyDescent="0.2">
      <c r="DY45615" s="185" t="s">
        <v>215</v>
      </c>
    </row>
    <row r="45616" spans="129:129" x14ac:dyDescent="0.2">
      <c r="DY45616" s="185" t="s">
        <v>215</v>
      </c>
    </row>
    <row r="45617" spans="129:129" x14ac:dyDescent="0.2">
      <c r="DY45617" s="185" t="s">
        <v>215</v>
      </c>
    </row>
    <row r="45618" spans="129:129" x14ac:dyDescent="0.2">
      <c r="DY45618" s="185" t="s">
        <v>215</v>
      </c>
    </row>
    <row r="45619" spans="129:129" x14ac:dyDescent="0.2">
      <c r="DY45619" s="185" t="s">
        <v>215</v>
      </c>
    </row>
    <row r="45620" spans="129:129" x14ac:dyDescent="0.2">
      <c r="DY45620" s="185" t="s">
        <v>215</v>
      </c>
    </row>
    <row r="45621" spans="129:129" x14ac:dyDescent="0.2">
      <c r="DY45621" s="185" t="s">
        <v>215</v>
      </c>
    </row>
    <row r="45622" spans="129:129" x14ac:dyDescent="0.2">
      <c r="DY45622" s="185" t="s">
        <v>215</v>
      </c>
    </row>
    <row r="45623" spans="129:129" x14ac:dyDescent="0.2">
      <c r="DY45623" s="185" t="s">
        <v>215</v>
      </c>
    </row>
    <row r="45624" spans="129:129" x14ac:dyDescent="0.2">
      <c r="DY45624" s="185" t="s">
        <v>215</v>
      </c>
    </row>
    <row r="45625" spans="129:129" x14ac:dyDescent="0.2">
      <c r="DY45625" s="185" t="s">
        <v>215</v>
      </c>
    </row>
    <row r="45626" spans="129:129" x14ac:dyDescent="0.2">
      <c r="DY45626" s="185" t="s">
        <v>215</v>
      </c>
    </row>
    <row r="45627" spans="129:129" x14ac:dyDescent="0.2">
      <c r="DY45627" s="185" t="s">
        <v>215</v>
      </c>
    </row>
    <row r="45628" spans="129:129" x14ac:dyDescent="0.2">
      <c r="DY45628" s="185" t="s">
        <v>215</v>
      </c>
    </row>
    <row r="45629" spans="129:129" x14ac:dyDescent="0.2">
      <c r="DY45629" s="185" t="s">
        <v>215</v>
      </c>
    </row>
    <row r="45630" spans="129:129" x14ac:dyDescent="0.2">
      <c r="DY45630" s="185" t="s">
        <v>215</v>
      </c>
    </row>
    <row r="45631" spans="129:129" x14ac:dyDescent="0.2">
      <c r="DY45631" s="185" t="s">
        <v>215</v>
      </c>
    </row>
    <row r="45632" spans="129:129" x14ac:dyDescent="0.2">
      <c r="DY45632" s="185" t="s">
        <v>215</v>
      </c>
    </row>
    <row r="45633" spans="129:129" x14ac:dyDescent="0.2">
      <c r="DY45633" s="185" t="s">
        <v>215</v>
      </c>
    </row>
    <row r="45634" spans="129:129" x14ac:dyDescent="0.2">
      <c r="DY45634" s="185" t="s">
        <v>215</v>
      </c>
    </row>
    <row r="45635" spans="129:129" x14ac:dyDescent="0.2">
      <c r="DY45635" s="185" t="s">
        <v>215</v>
      </c>
    </row>
    <row r="45636" spans="129:129" x14ac:dyDescent="0.2">
      <c r="DY45636" s="185" t="s">
        <v>215</v>
      </c>
    </row>
    <row r="45637" spans="129:129" x14ac:dyDescent="0.2">
      <c r="DY45637" s="185" t="s">
        <v>215</v>
      </c>
    </row>
    <row r="45638" spans="129:129" x14ac:dyDescent="0.2">
      <c r="DY45638" s="185" t="s">
        <v>215</v>
      </c>
    </row>
    <row r="45639" spans="129:129" x14ac:dyDescent="0.2">
      <c r="DY45639" s="185" t="s">
        <v>215</v>
      </c>
    </row>
    <row r="45640" spans="129:129" x14ac:dyDescent="0.2">
      <c r="DY45640" s="185" t="s">
        <v>215</v>
      </c>
    </row>
    <row r="45641" spans="129:129" x14ac:dyDescent="0.2">
      <c r="DY45641" s="185" t="s">
        <v>215</v>
      </c>
    </row>
    <row r="45642" spans="129:129" x14ac:dyDescent="0.2">
      <c r="DY45642" s="185" t="s">
        <v>215</v>
      </c>
    </row>
    <row r="45643" spans="129:129" x14ac:dyDescent="0.2">
      <c r="DY45643" s="185" t="s">
        <v>215</v>
      </c>
    </row>
    <row r="45644" spans="129:129" x14ac:dyDescent="0.2">
      <c r="DY45644" s="185" t="s">
        <v>215</v>
      </c>
    </row>
    <row r="45645" spans="129:129" x14ac:dyDescent="0.2">
      <c r="DY45645" s="185" t="s">
        <v>215</v>
      </c>
    </row>
    <row r="45646" spans="129:129" x14ac:dyDescent="0.2">
      <c r="DY45646" s="185" t="s">
        <v>215</v>
      </c>
    </row>
    <row r="45647" spans="129:129" x14ac:dyDescent="0.2">
      <c r="DY45647" s="185" t="s">
        <v>215</v>
      </c>
    </row>
    <row r="45648" spans="129:129" x14ac:dyDescent="0.2">
      <c r="DY45648" s="185" t="s">
        <v>215</v>
      </c>
    </row>
    <row r="45649" spans="129:129" x14ac:dyDescent="0.2">
      <c r="DY45649" s="185" t="s">
        <v>215</v>
      </c>
    </row>
    <row r="45650" spans="129:129" x14ac:dyDescent="0.2">
      <c r="DY45650" s="185" t="s">
        <v>215</v>
      </c>
    </row>
    <row r="45651" spans="129:129" x14ac:dyDescent="0.2">
      <c r="DY45651" s="185" t="s">
        <v>215</v>
      </c>
    </row>
    <row r="45652" spans="129:129" x14ac:dyDescent="0.2">
      <c r="DY45652" s="185" t="s">
        <v>215</v>
      </c>
    </row>
    <row r="45653" spans="129:129" x14ac:dyDescent="0.2">
      <c r="DY45653" s="185" t="s">
        <v>215</v>
      </c>
    </row>
    <row r="45654" spans="129:129" x14ac:dyDescent="0.2">
      <c r="DY45654" s="185" t="s">
        <v>215</v>
      </c>
    </row>
    <row r="45655" spans="129:129" x14ac:dyDescent="0.2">
      <c r="DY45655" s="185" t="s">
        <v>215</v>
      </c>
    </row>
    <row r="45656" spans="129:129" x14ac:dyDescent="0.2">
      <c r="DY45656" s="185" t="s">
        <v>215</v>
      </c>
    </row>
    <row r="45657" spans="129:129" x14ac:dyDescent="0.2">
      <c r="DY45657" s="185" t="s">
        <v>215</v>
      </c>
    </row>
    <row r="45658" spans="129:129" x14ac:dyDescent="0.2">
      <c r="DY45658" s="185" t="s">
        <v>215</v>
      </c>
    </row>
    <row r="45659" spans="129:129" x14ac:dyDescent="0.2">
      <c r="DY45659" s="185" t="s">
        <v>215</v>
      </c>
    </row>
    <row r="45660" spans="129:129" x14ac:dyDescent="0.2">
      <c r="DY45660" s="185" t="s">
        <v>215</v>
      </c>
    </row>
    <row r="45661" spans="129:129" x14ac:dyDescent="0.2">
      <c r="DY45661" s="185" t="s">
        <v>215</v>
      </c>
    </row>
    <row r="45662" spans="129:129" x14ac:dyDescent="0.2">
      <c r="DY45662" s="185" t="s">
        <v>215</v>
      </c>
    </row>
    <row r="45663" spans="129:129" x14ac:dyDescent="0.2">
      <c r="DY45663" s="185" t="s">
        <v>215</v>
      </c>
    </row>
    <row r="45664" spans="129:129" x14ac:dyDescent="0.2">
      <c r="DY45664" s="185" t="s">
        <v>215</v>
      </c>
    </row>
    <row r="45665" spans="129:129" x14ac:dyDescent="0.2">
      <c r="DY45665" s="185" t="s">
        <v>215</v>
      </c>
    </row>
    <row r="45666" spans="129:129" x14ac:dyDescent="0.2">
      <c r="DY45666" s="185" t="s">
        <v>215</v>
      </c>
    </row>
    <row r="45667" spans="129:129" x14ac:dyDescent="0.2">
      <c r="DY45667" s="185" t="s">
        <v>215</v>
      </c>
    </row>
    <row r="45668" spans="129:129" x14ac:dyDescent="0.2">
      <c r="DY45668" s="185" t="s">
        <v>215</v>
      </c>
    </row>
    <row r="45669" spans="129:129" x14ac:dyDescent="0.2">
      <c r="DY45669" s="185" t="s">
        <v>215</v>
      </c>
    </row>
    <row r="45670" spans="129:129" x14ac:dyDescent="0.2">
      <c r="DY45670" s="185" t="s">
        <v>215</v>
      </c>
    </row>
    <row r="45671" spans="129:129" x14ac:dyDescent="0.2">
      <c r="DY45671" s="185" t="s">
        <v>215</v>
      </c>
    </row>
    <row r="45672" spans="129:129" x14ac:dyDescent="0.2">
      <c r="DY45672" s="185" t="s">
        <v>215</v>
      </c>
    </row>
    <row r="45673" spans="129:129" x14ac:dyDescent="0.2">
      <c r="DY45673" s="185" t="s">
        <v>215</v>
      </c>
    </row>
    <row r="45674" spans="129:129" x14ac:dyDescent="0.2">
      <c r="DY45674" s="185" t="s">
        <v>215</v>
      </c>
    </row>
    <row r="45675" spans="129:129" x14ac:dyDescent="0.2">
      <c r="DY45675" s="185" t="s">
        <v>215</v>
      </c>
    </row>
    <row r="45676" spans="129:129" x14ac:dyDescent="0.2">
      <c r="DY45676" s="185" t="s">
        <v>215</v>
      </c>
    </row>
    <row r="45677" spans="129:129" x14ac:dyDescent="0.2">
      <c r="DY45677" s="185" t="s">
        <v>215</v>
      </c>
    </row>
    <row r="45678" spans="129:129" x14ac:dyDescent="0.2">
      <c r="DY45678" s="185" t="s">
        <v>215</v>
      </c>
    </row>
    <row r="45679" spans="129:129" x14ac:dyDescent="0.2">
      <c r="DY45679" s="185" t="s">
        <v>215</v>
      </c>
    </row>
    <row r="45680" spans="129:129" x14ac:dyDescent="0.2">
      <c r="DY45680" s="185" t="s">
        <v>215</v>
      </c>
    </row>
    <row r="45681" spans="129:129" x14ac:dyDescent="0.2">
      <c r="DY45681" s="185" t="s">
        <v>215</v>
      </c>
    </row>
    <row r="45682" spans="129:129" x14ac:dyDescent="0.2">
      <c r="DY45682" s="185" t="s">
        <v>215</v>
      </c>
    </row>
    <row r="45683" spans="129:129" x14ac:dyDescent="0.2">
      <c r="DY45683" s="185" t="s">
        <v>215</v>
      </c>
    </row>
    <row r="45684" spans="129:129" x14ac:dyDescent="0.2">
      <c r="DY45684" s="185" t="s">
        <v>215</v>
      </c>
    </row>
    <row r="45685" spans="129:129" x14ac:dyDescent="0.2">
      <c r="DY45685" s="185" t="s">
        <v>215</v>
      </c>
    </row>
    <row r="45686" spans="129:129" x14ac:dyDescent="0.2">
      <c r="DY45686" s="185" t="s">
        <v>215</v>
      </c>
    </row>
    <row r="45687" spans="129:129" x14ac:dyDescent="0.2">
      <c r="DY45687" s="185" t="s">
        <v>215</v>
      </c>
    </row>
    <row r="45688" spans="129:129" x14ac:dyDescent="0.2">
      <c r="DY45688" s="185" t="s">
        <v>215</v>
      </c>
    </row>
    <row r="45689" spans="129:129" x14ac:dyDescent="0.2">
      <c r="DY45689" s="185" t="s">
        <v>215</v>
      </c>
    </row>
    <row r="45690" spans="129:129" x14ac:dyDescent="0.2">
      <c r="DY45690" s="185" t="s">
        <v>215</v>
      </c>
    </row>
    <row r="45691" spans="129:129" x14ac:dyDescent="0.2">
      <c r="DY45691" s="185" t="s">
        <v>215</v>
      </c>
    </row>
    <row r="45692" spans="129:129" x14ac:dyDescent="0.2">
      <c r="DY45692" s="185" t="s">
        <v>215</v>
      </c>
    </row>
    <row r="45693" spans="129:129" x14ac:dyDescent="0.2">
      <c r="DY45693" s="185" t="s">
        <v>215</v>
      </c>
    </row>
    <row r="45694" spans="129:129" x14ac:dyDescent="0.2">
      <c r="DY45694" s="185" t="s">
        <v>215</v>
      </c>
    </row>
    <row r="45695" spans="129:129" x14ac:dyDescent="0.2">
      <c r="DY45695" s="185" t="s">
        <v>215</v>
      </c>
    </row>
    <row r="45696" spans="129:129" x14ac:dyDescent="0.2">
      <c r="DY45696" s="185" t="s">
        <v>215</v>
      </c>
    </row>
    <row r="45697" spans="129:129" x14ac:dyDescent="0.2">
      <c r="DY45697" s="185" t="s">
        <v>215</v>
      </c>
    </row>
    <row r="45698" spans="129:129" x14ac:dyDescent="0.2">
      <c r="DY45698" s="185" t="s">
        <v>215</v>
      </c>
    </row>
    <row r="45699" spans="129:129" x14ac:dyDescent="0.2">
      <c r="DY45699" s="185" t="s">
        <v>215</v>
      </c>
    </row>
    <row r="45700" spans="129:129" x14ac:dyDescent="0.2">
      <c r="DY45700" s="185" t="s">
        <v>215</v>
      </c>
    </row>
    <row r="45701" spans="129:129" x14ac:dyDescent="0.2">
      <c r="DY45701" s="185" t="s">
        <v>215</v>
      </c>
    </row>
    <row r="45702" spans="129:129" x14ac:dyDescent="0.2">
      <c r="DY45702" s="185" t="s">
        <v>215</v>
      </c>
    </row>
    <row r="45703" spans="129:129" x14ac:dyDescent="0.2">
      <c r="DY45703" s="185" t="s">
        <v>215</v>
      </c>
    </row>
    <row r="45704" spans="129:129" x14ac:dyDescent="0.2">
      <c r="DY45704" s="185" t="s">
        <v>215</v>
      </c>
    </row>
    <row r="45705" spans="129:129" x14ac:dyDescent="0.2">
      <c r="DY45705" s="185" t="s">
        <v>215</v>
      </c>
    </row>
    <row r="45706" spans="129:129" x14ac:dyDescent="0.2">
      <c r="DY45706" s="185" t="s">
        <v>215</v>
      </c>
    </row>
    <row r="45707" spans="129:129" x14ac:dyDescent="0.2">
      <c r="DY45707" s="185" t="s">
        <v>215</v>
      </c>
    </row>
    <row r="45708" spans="129:129" x14ac:dyDescent="0.2">
      <c r="DY45708" s="185" t="s">
        <v>215</v>
      </c>
    </row>
    <row r="45709" spans="129:129" x14ac:dyDescent="0.2">
      <c r="DY45709" s="185" t="s">
        <v>215</v>
      </c>
    </row>
    <row r="45710" spans="129:129" x14ac:dyDescent="0.2">
      <c r="DY45710" s="185" t="s">
        <v>215</v>
      </c>
    </row>
    <row r="45711" spans="129:129" x14ac:dyDescent="0.2">
      <c r="DY45711" s="185" t="s">
        <v>215</v>
      </c>
    </row>
    <row r="45712" spans="129:129" x14ac:dyDescent="0.2">
      <c r="DY45712" s="185" t="s">
        <v>215</v>
      </c>
    </row>
    <row r="45713" spans="129:129" x14ac:dyDescent="0.2">
      <c r="DY45713" s="185" t="s">
        <v>215</v>
      </c>
    </row>
    <row r="45714" spans="129:129" x14ac:dyDescent="0.2">
      <c r="DY45714" s="185" t="s">
        <v>215</v>
      </c>
    </row>
    <row r="45715" spans="129:129" x14ac:dyDescent="0.2">
      <c r="DY45715" s="185" t="s">
        <v>215</v>
      </c>
    </row>
    <row r="45716" spans="129:129" x14ac:dyDescent="0.2">
      <c r="DY45716" s="185" t="s">
        <v>215</v>
      </c>
    </row>
    <row r="45717" spans="129:129" x14ac:dyDescent="0.2">
      <c r="DY45717" s="185" t="s">
        <v>215</v>
      </c>
    </row>
    <row r="45718" spans="129:129" x14ac:dyDescent="0.2">
      <c r="DY45718" s="185" t="s">
        <v>215</v>
      </c>
    </row>
    <row r="45719" spans="129:129" x14ac:dyDescent="0.2">
      <c r="DY45719" s="185" t="s">
        <v>215</v>
      </c>
    </row>
    <row r="45720" spans="129:129" x14ac:dyDescent="0.2">
      <c r="DY45720" s="185" t="s">
        <v>215</v>
      </c>
    </row>
    <row r="45721" spans="129:129" x14ac:dyDescent="0.2">
      <c r="DY45721" s="185" t="s">
        <v>215</v>
      </c>
    </row>
    <row r="45722" spans="129:129" x14ac:dyDescent="0.2">
      <c r="DY45722" s="185" t="s">
        <v>215</v>
      </c>
    </row>
    <row r="45723" spans="129:129" x14ac:dyDescent="0.2">
      <c r="DY45723" s="185" t="s">
        <v>215</v>
      </c>
    </row>
    <row r="45724" spans="129:129" x14ac:dyDescent="0.2">
      <c r="DY45724" s="185" t="s">
        <v>215</v>
      </c>
    </row>
    <row r="45725" spans="129:129" x14ac:dyDescent="0.2">
      <c r="DY45725" s="185" t="s">
        <v>215</v>
      </c>
    </row>
    <row r="45726" spans="129:129" x14ac:dyDescent="0.2">
      <c r="DY45726" s="185" t="s">
        <v>215</v>
      </c>
    </row>
    <row r="45727" spans="129:129" x14ac:dyDescent="0.2">
      <c r="DY45727" s="185" t="s">
        <v>215</v>
      </c>
    </row>
    <row r="45728" spans="129:129" x14ac:dyDescent="0.2">
      <c r="DY45728" s="185" t="s">
        <v>215</v>
      </c>
    </row>
    <row r="45729" spans="129:129" x14ac:dyDescent="0.2">
      <c r="DY45729" s="185" t="s">
        <v>215</v>
      </c>
    </row>
    <row r="45730" spans="129:129" x14ac:dyDescent="0.2">
      <c r="DY45730" s="185" t="s">
        <v>215</v>
      </c>
    </row>
    <row r="45731" spans="129:129" x14ac:dyDescent="0.2">
      <c r="DY45731" s="185" t="s">
        <v>215</v>
      </c>
    </row>
    <row r="45732" spans="129:129" x14ac:dyDescent="0.2">
      <c r="DY45732" s="185" t="s">
        <v>215</v>
      </c>
    </row>
    <row r="45733" spans="129:129" x14ac:dyDescent="0.2">
      <c r="DY45733" s="185" t="s">
        <v>215</v>
      </c>
    </row>
    <row r="45734" spans="129:129" x14ac:dyDescent="0.2">
      <c r="DY45734" s="185" t="s">
        <v>215</v>
      </c>
    </row>
    <row r="45735" spans="129:129" x14ac:dyDescent="0.2">
      <c r="DY45735" s="185" t="s">
        <v>215</v>
      </c>
    </row>
    <row r="45736" spans="129:129" x14ac:dyDescent="0.2">
      <c r="DY45736" s="185" t="s">
        <v>215</v>
      </c>
    </row>
    <row r="45737" spans="129:129" x14ac:dyDescent="0.2">
      <c r="DY45737" s="185" t="s">
        <v>215</v>
      </c>
    </row>
    <row r="45738" spans="129:129" x14ac:dyDescent="0.2">
      <c r="DY45738" s="185" t="s">
        <v>215</v>
      </c>
    </row>
    <row r="45739" spans="129:129" x14ac:dyDescent="0.2">
      <c r="DY45739" s="185" t="s">
        <v>215</v>
      </c>
    </row>
    <row r="45740" spans="129:129" x14ac:dyDescent="0.2">
      <c r="DY45740" s="185" t="s">
        <v>215</v>
      </c>
    </row>
    <row r="45741" spans="129:129" x14ac:dyDescent="0.2">
      <c r="DY45741" s="185" t="s">
        <v>215</v>
      </c>
    </row>
    <row r="45742" spans="129:129" x14ac:dyDescent="0.2">
      <c r="DY45742" s="185" t="s">
        <v>215</v>
      </c>
    </row>
    <row r="45743" spans="129:129" x14ac:dyDescent="0.2">
      <c r="DY45743" s="185" t="s">
        <v>215</v>
      </c>
    </row>
    <row r="45744" spans="129:129" x14ac:dyDescent="0.2">
      <c r="DY45744" s="185" t="s">
        <v>215</v>
      </c>
    </row>
    <row r="45745" spans="129:129" x14ac:dyDescent="0.2">
      <c r="DY45745" s="185" t="s">
        <v>215</v>
      </c>
    </row>
    <row r="45746" spans="129:129" x14ac:dyDescent="0.2">
      <c r="DY45746" s="185" t="s">
        <v>215</v>
      </c>
    </row>
    <row r="45747" spans="129:129" x14ac:dyDescent="0.2">
      <c r="DY45747" s="185" t="s">
        <v>215</v>
      </c>
    </row>
    <row r="45748" spans="129:129" x14ac:dyDescent="0.2">
      <c r="DY45748" s="185" t="s">
        <v>215</v>
      </c>
    </row>
    <row r="45749" spans="129:129" x14ac:dyDescent="0.2">
      <c r="DY45749" s="185" t="s">
        <v>215</v>
      </c>
    </row>
    <row r="45750" spans="129:129" x14ac:dyDescent="0.2">
      <c r="DY45750" s="185" t="s">
        <v>215</v>
      </c>
    </row>
    <row r="45751" spans="129:129" x14ac:dyDescent="0.2">
      <c r="DY45751" s="185" t="s">
        <v>215</v>
      </c>
    </row>
    <row r="45752" spans="129:129" x14ac:dyDescent="0.2">
      <c r="DY45752" s="185" t="s">
        <v>215</v>
      </c>
    </row>
    <row r="45753" spans="129:129" x14ac:dyDescent="0.2">
      <c r="DY45753" s="185" t="s">
        <v>215</v>
      </c>
    </row>
    <row r="45754" spans="129:129" x14ac:dyDescent="0.2">
      <c r="DY45754" s="185" t="s">
        <v>215</v>
      </c>
    </row>
    <row r="45755" spans="129:129" x14ac:dyDescent="0.2">
      <c r="DY45755" s="185" t="s">
        <v>215</v>
      </c>
    </row>
    <row r="45756" spans="129:129" x14ac:dyDescent="0.2">
      <c r="DY45756" s="185" t="s">
        <v>215</v>
      </c>
    </row>
    <row r="45757" spans="129:129" x14ac:dyDescent="0.2">
      <c r="DY45757" s="185" t="s">
        <v>215</v>
      </c>
    </row>
    <row r="45758" spans="129:129" x14ac:dyDescent="0.2">
      <c r="DY45758" s="185" t="s">
        <v>215</v>
      </c>
    </row>
    <row r="45759" spans="129:129" x14ac:dyDescent="0.2">
      <c r="DY45759" s="185" t="s">
        <v>215</v>
      </c>
    </row>
    <row r="45760" spans="129:129" x14ac:dyDescent="0.2">
      <c r="DY45760" s="185" t="s">
        <v>215</v>
      </c>
    </row>
    <row r="45761" spans="129:129" x14ac:dyDescent="0.2">
      <c r="DY45761" s="185" t="s">
        <v>215</v>
      </c>
    </row>
    <row r="45762" spans="129:129" x14ac:dyDescent="0.2">
      <c r="DY45762" s="185" t="s">
        <v>215</v>
      </c>
    </row>
    <row r="45763" spans="129:129" x14ac:dyDescent="0.2">
      <c r="DY45763" s="185" t="s">
        <v>215</v>
      </c>
    </row>
    <row r="45764" spans="129:129" x14ac:dyDescent="0.2">
      <c r="DY45764" s="185" t="s">
        <v>215</v>
      </c>
    </row>
    <row r="45765" spans="129:129" x14ac:dyDescent="0.2">
      <c r="DY45765" s="185" t="s">
        <v>215</v>
      </c>
    </row>
    <row r="45766" spans="129:129" x14ac:dyDescent="0.2">
      <c r="DY45766" s="185" t="s">
        <v>215</v>
      </c>
    </row>
    <row r="45767" spans="129:129" x14ac:dyDescent="0.2">
      <c r="DY45767" s="185" t="s">
        <v>215</v>
      </c>
    </row>
    <row r="45768" spans="129:129" x14ac:dyDescent="0.2">
      <c r="DY45768" s="185" t="s">
        <v>215</v>
      </c>
    </row>
    <row r="45769" spans="129:129" x14ac:dyDescent="0.2">
      <c r="DY45769" s="185" t="s">
        <v>215</v>
      </c>
    </row>
    <row r="45770" spans="129:129" x14ac:dyDescent="0.2">
      <c r="DY45770" s="185" t="s">
        <v>215</v>
      </c>
    </row>
    <row r="45771" spans="129:129" x14ac:dyDescent="0.2">
      <c r="DY45771" s="185" t="s">
        <v>215</v>
      </c>
    </row>
    <row r="45772" spans="129:129" x14ac:dyDescent="0.2">
      <c r="DY45772" s="185" t="s">
        <v>215</v>
      </c>
    </row>
    <row r="45773" spans="129:129" x14ac:dyDescent="0.2">
      <c r="DY45773" s="185" t="s">
        <v>215</v>
      </c>
    </row>
    <row r="45774" spans="129:129" x14ac:dyDescent="0.2">
      <c r="DY45774" s="185" t="s">
        <v>215</v>
      </c>
    </row>
    <row r="45775" spans="129:129" x14ac:dyDescent="0.2">
      <c r="DY45775" s="185" t="s">
        <v>215</v>
      </c>
    </row>
    <row r="45776" spans="129:129" x14ac:dyDescent="0.2">
      <c r="DY45776" s="185" t="s">
        <v>215</v>
      </c>
    </row>
    <row r="45777" spans="129:129" x14ac:dyDescent="0.2">
      <c r="DY45777" s="185" t="s">
        <v>215</v>
      </c>
    </row>
    <row r="45778" spans="129:129" x14ac:dyDescent="0.2">
      <c r="DY45778" s="185" t="s">
        <v>215</v>
      </c>
    </row>
    <row r="45779" spans="129:129" x14ac:dyDescent="0.2">
      <c r="DY45779" s="185" t="s">
        <v>215</v>
      </c>
    </row>
    <row r="45780" spans="129:129" x14ac:dyDescent="0.2">
      <c r="DY45780" s="185" t="s">
        <v>215</v>
      </c>
    </row>
    <row r="45781" spans="129:129" x14ac:dyDescent="0.2">
      <c r="DY45781" s="185" t="s">
        <v>215</v>
      </c>
    </row>
    <row r="45782" spans="129:129" x14ac:dyDescent="0.2">
      <c r="DY45782" s="185" t="s">
        <v>215</v>
      </c>
    </row>
    <row r="45783" spans="129:129" x14ac:dyDescent="0.2">
      <c r="DY45783" s="185" t="s">
        <v>215</v>
      </c>
    </row>
    <row r="45784" spans="129:129" x14ac:dyDescent="0.2">
      <c r="DY45784" s="185" t="s">
        <v>215</v>
      </c>
    </row>
    <row r="45785" spans="129:129" x14ac:dyDescent="0.2">
      <c r="DY45785" s="185" t="s">
        <v>215</v>
      </c>
    </row>
    <row r="45786" spans="129:129" x14ac:dyDescent="0.2">
      <c r="DY45786" s="185" t="s">
        <v>215</v>
      </c>
    </row>
    <row r="45787" spans="129:129" x14ac:dyDescent="0.2">
      <c r="DY45787" s="185" t="s">
        <v>215</v>
      </c>
    </row>
    <row r="45788" spans="129:129" x14ac:dyDescent="0.2">
      <c r="DY45788" s="185" t="s">
        <v>215</v>
      </c>
    </row>
    <row r="45789" spans="129:129" x14ac:dyDescent="0.2">
      <c r="DY45789" s="185" t="s">
        <v>215</v>
      </c>
    </row>
    <row r="45790" spans="129:129" x14ac:dyDescent="0.2">
      <c r="DY45790" s="185" t="s">
        <v>215</v>
      </c>
    </row>
    <row r="45791" spans="129:129" x14ac:dyDescent="0.2">
      <c r="DY45791" s="185" t="s">
        <v>215</v>
      </c>
    </row>
    <row r="45792" spans="129:129" x14ac:dyDescent="0.2">
      <c r="DY45792" s="185" t="s">
        <v>215</v>
      </c>
    </row>
    <row r="45793" spans="129:129" x14ac:dyDescent="0.2">
      <c r="DY45793" s="185" t="s">
        <v>215</v>
      </c>
    </row>
    <row r="45794" spans="129:129" x14ac:dyDescent="0.2">
      <c r="DY45794" s="185" t="s">
        <v>215</v>
      </c>
    </row>
    <row r="45795" spans="129:129" x14ac:dyDescent="0.2">
      <c r="DY45795" s="185" t="s">
        <v>215</v>
      </c>
    </row>
    <row r="45796" spans="129:129" x14ac:dyDescent="0.2">
      <c r="DY45796" s="185" t="s">
        <v>215</v>
      </c>
    </row>
    <row r="45797" spans="129:129" x14ac:dyDescent="0.2">
      <c r="DY45797" s="185" t="s">
        <v>215</v>
      </c>
    </row>
    <row r="45798" spans="129:129" x14ac:dyDescent="0.2">
      <c r="DY45798" s="185" t="s">
        <v>215</v>
      </c>
    </row>
    <row r="45799" spans="129:129" x14ac:dyDescent="0.2">
      <c r="DY45799" s="185" t="s">
        <v>215</v>
      </c>
    </row>
    <row r="45800" spans="129:129" x14ac:dyDescent="0.2">
      <c r="DY45800" s="185" t="s">
        <v>215</v>
      </c>
    </row>
    <row r="45801" spans="129:129" x14ac:dyDescent="0.2">
      <c r="DY45801" s="185" t="s">
        <v>215</v>
      </c>
    </row>
    <row r="45802" spans="129:129" x14ac:dyDescent="0.2">
      <c r="DY45802" s="185" t="s">
        <v>215</v>
      </c>
    </row>
    <row r="45803" spans="129:129" x14ac:dyDescent="0.2">
      <c r="DY45803" s="185" t="s">
        <v>215</v>
      </c>
    </row>
    <row r="45804" spans="129:129" x14ac:dyDescent="0.2">
      <c r="DY45804" s="185" t="s">
        <v>215</v>
      </c>
    </row>
    <row r="45805" spans="129:129" x14ac:dyDescent="0.2">
      <c r="DY45805" s="185" t="s">
        <v>215</v>
      </c>
    </row>
    <row r="45806" spans="129:129" x14ac:dyDescent="0.2">
      <c r="DY45806" s="185" t="s">
        <v>215</v>
      </c>
    </row>
    <row r="45807" spans="129:129" x14ac:dyDescent="0.2">
      <c r="DY45807" s="185" t="s">
        <v>215</v>
      </c>
    </row>
    <row r="45808" spans="129:129" x14ac:dyDescent="0.2">
      <c r="DY45808" s="185" t="s">
        <v>215</v>
      </c>
    </row>
    <row r="45809" spans="129:129" x14ac:dyDescent="0.2">
      <c r="DY45809" s="185" t="s">
        <v>215</v>
      </c>
    </row>
    <row r="45810" spans="129:129" x14ac:dyDescent="0.2">
      <c r="DY45810" s="185" t="s">
        <v>215</v>
      </c>
    </row>
    <row r="45811" spans="129:129" x14ac:dyDescent="0.2">
      <c r="DY45811" s="185" t="s">
        <v>215</v>
      </c>
    </row>
    <row r="45812" spans="129:129" x14ac:dyDescent="0.2">
      <c r="DY45812" s="185" t="s">
        <v>215</v>
      </c>
    </row>
    <row r="45813" spans="129:129" x14ac:dyDescent="0.2">
      <c r="DY45813" s="185" t="s">
        <v>215</v>
      </c>
    </row>
    <row r="45814" spans="129:129" x14ac:dyDescent="0.2">
      <c r="DY45814" s="185" t="s">
        <v>215</v>
      </c>
    </row>
    <row r="45815" spans="129:129" x14ac:dyDescent="0.2">
      <c r="DY45815" s="185" t="s">
        <v>215</v>
      </c>
    </row>
    <row r="45816" spans="129:129" x14ac:dyDescent="0.2">
      <c r="DY45816" s="185" t="s">
        <v>215</v>
      </c>
    </row>
    <row r="45817" spans="129:129" x14ac:dyDescent="0.2">
      <c r="DY45817" s="185" t="s">
        <v>215</v>
      </c>
    </row>
    <row r="45818" spans="129:129" x14ac:dyDescent="0.2">
      <c r="DY45818" s="185" t="s">
        <v>215</v>
      </c>
    </row>
    <row r="45819" spans="129:129" x14ac:dyDescent="0.2">
      <c r="DY45819" s="185" t="s">
        <v>215</v>
      </c>
    </row>
    <row r="45820" spans="129:129" x14ac:dyDescent="0.2">
      <c r="DY45820" s="185" t="s">
        <v>215</v>
      </c>
    </row>
    <row r="45821" spans="129:129" x14ac:dyDescent="0.2">
      <c r="DY45821" s="185" t="s">
        <v>215</v>
      </c>
    </row>
    <row r="45822" spans="129:129" x14ac:dyDescent="0.2">
      <c r="DY45822" s="185" t="s">
        <v>215</v>
      </c>
    </row>
    <row r="45823" spans="129:129" x14ac:dyDescent="0.2">
      <c r="DY45823" s="185" t="s">
        <v>215</v>
      </c>
    </row>
    <row r="45824" spans="129:129" x14ac:dyDescent="0.2">
      <c r="DY45824" s="185" t="s">
        <v>215</v>
      </c>
    </row>
    <row r="45825" spans="129:129" x14ac:dyDescent="0.2">
      <c r="DY45825" s="185" t="s">
        <v>215</v>
      </c>
    </row>
    <row r="45826" spans="129:129" x14ac:dyDescent="0.2">
      <c r="DY45826" s="185" t="s">
        <v>215</v>
      </c>
    </row>
    <row r="45827" spans="129:129" x14ac:dyDescent="0.2">
      <c r="DY45827" s="185" t="s">
        <v>215</v>
      </c>
    </row>
    <row r="45828" spans="129:129" x14ac:dyDescent="0.2">
      <c r="DY45828" s="185" t="s">
        <v>215</v>
      </c>
    </row>
    <row r="45829" spans="129:129" x14ac:dyDescent="0.2">
      <c r="DY45829" s="185" t="s">
        <v>215</v>
      </c>
    </row>
    <row r="45830" spans="129:129" x14ac:dyDescent="0.2">
      <c r="DY45830" s="185" t="s">
        <v>215</v>
      </c>
    </row>
    <row r="45831" spans="129:129" x14ac:dyDescent="0.2">
      <c r="DY45831" s="185" t="s">
        <v>215</v>
      </c>
    </row>
    <row r="45832" spans="129:129" x14ac:dyDescent="0.2">
      <c r="DY45832" s="185" t="s">
        <v>215</v>
      </c>
    </row>
    <row r="45833" spans="129:129" x14ac:dyDescent="0.2">
      <c r="DY45833" s="185" t="s">
        <v>215</v>
      </c>
    </row>
    <row r="45834" spans="129:129" x14ac:dyDescent="0.2">
      <c r="DY45834" s="185" t="s">
        <v>215</v>
      </c>
    </row>
    <row r="45835" spans="129:129" x14ac:dyDescent="0.2">
      <c r="DY45835" s="185" t="s">
        <v>215</v>
      </c>
    </row>
    <row r="45836" spans="129:129" x14ac:dyDescent="0.2">
      <c r="DY45836" s="185" t="s">
        <v>215</v>
      </c>
    </row>
    <row r="45837" spans="129:129" x14ac:dyDescent="0.2">
      <c r="DY45837" s="185" t="s">
        <v>215</v>
      </c>
    </row>
    <row r="45838" spans="129:129" x14ac:dyDescent="0.2">
      <c r="DY45838" s="185" t="s">
        <v>215</v>
      </c>
    </row>
    <row r="45839" spans="129:129" x14ac:dyDescent="0.2">
      <c r="DY45839" s="185" t="s">
        <v>215</v>
      </c>
    </row>
    <row r="45840" spans="129:129" x14ac:dyDescent="0.2">
      <c r="DY45840" s="185" t="s">
        <v>215</v>
      </c>
    </row>
    <row r="45841" spans="129:129" x14ac:dyDescent="0.2">
      <c r="DY45841" s="185" t="s">
        <v>215</v>
      </c>
    </row>
    <row r="45842" spans="129:129" x14ac:dyDescent="0.2">
      <c r="DY45842" s="185" t="s">
        <v>215</v>
      </c>
    </row>
    <row r="45843" spans="129:129" x14ac:dyDescent="0.2">
      <c r="DY45843" s="185" t="s">
        <v>215</v>
      </c>
    </row>
    <row r="45844" spans="129:129" x14ac:dyDescent="0.2">
      <c r="DY45844" s="185" t="s">
        <v>215</v>
      </c>
    </row>
    <row r="45845" spans="129:129" x14ac:dyDescent="0.2">
      <c r="DY45845" s="185" t="s">
        <v>215</v>
      </c>
    </row>
    <row r="45846" spans="129:129" x14ac:dyDescent="0.2">
      <c r="DY45846" s="185" t="s">
        <v>215</v>
      </c>
    </row>
    <row r="45847" spans="129:129" x14ac:dyDescent="0.2">
      <c r="DY45847" s="185" t="s">
        <v>215</v>
      </c>
    </row>
    <row r="45848" spans="129:129" x14ac:dyDescent="0.2">
      <c r="DY45848" s="185" t="s">
        <v>215</v>
      </c>
    </row>
    <row r="45849" spans="129:129" x14ac:dyDescent="0.2">
      <c r="DY45849" s="185" t="s">
        <v>215</v>
      </c>
    </row>
    <row r="45850" spans="129:129" x14ac:dyDescent="0.2">
      <c r="DY45850" s="185" t="s">
        <v>215</v>
      </c>
    </row>
    <row r="45851" spans="129:129" x14ac:dyDescent="0.2">
      <c r="DY45851" s="185" t="s">
        <v>215</v>
      </c>
    </row>
    <row r="45852" spans="129:129" x14ac:dyDescent="0.2">
      <c r="DY45852" s="185" t="s">
        <v>215</v>
      </c>
    </row>
    <row r="45853" spans="129:129" x14ac:dyDescent="0.2">
      <c r="DY45853" s="185" t="s">
        <v>215</v>
      </c>
    </row>
    <row r="45854" spans="129:129" x14ac:dyDescent="0.2">
      <c r="DY45854" s="185" t="s">
        <v>215</v>
      </c>
    </row>
    <row r="45855" spans="129:129" x14ac:dyDescent="0.2">
      <c r="DY45855" s="185" t="s">
        <v>215</v>
      </c>
    </row>
    <row r="45856" spans="129:129" x14ac:dyDescent="0.2">
      <c r="DY45856" s="185" t="s">
        <v>215</v>
      </c>
    </row>
    <row r="45857" spans="129:129" x14ac:dyDescent="0.2">
      <c r="DY45857" s="185" t="s">
        <v>215</v>
      </c>
    </row>
    <row r="45858" spans="129:129" x14ac:dyDescent="0.2">
      <c r="DY45858" s="185" t="s">
        <v>215</v>
      </c>
    </row>
    <row r="45859" spans="129:129" x14ac:dyDescent="0.2">
      <c r="DY45859" s="185" t="s">
        <v>215</v>
      </c>
    </row>
    <row r="45860" spans="129:129" x14ac:dyDescent="0.2">
      <c r="DY45860" s="185" t="s">
        <v>215</v>
      </c>
    </row>
    <row r="45861" spans="129:129" x14ac:dyDescent="0.2">
      <c r="DY45861" s="185" t="s">
        <v>215</v>
      </c>
    </row>
    <row r="45862" spans="129:129" x14ac:dyDescent="0.2">
      <c r="DY45862" s="185" t="s">
        <v>215</v>
      </c>
    </row>
    <row r="45863" spans="129:129" x14ac:dyDescent="0.2">
      <c r="DY45863" s="185" t="s">
        <v>215</v>
      </c>
    </row>
    <row r="45864" spans="129:129" x14ac:dyDescent="0.2">
      <c r="DY45864" s="185" t="s">
        <v>215</v>
      </c>
    </row>
    <row r="45865" spans="129:129" x14ac:dyDescent="0.2">
      <c r="DY45865" s="185" t="s">
        <v>215</v>
      </c>
    </row>
    <row r="45866" spans="129:129" x14ac:dyDescent="0.2">
      <c r="DY45866" s="185" t="s">
        <v>215</v>
      </c>
    </row>
    <row r="45867" spans="129:129" x14ac:dyDescent="0.2">
      <c r="DY45867" s="185" t="s">
        <v>215</v>
      </c>
    </row>
    <row r="45868" spans="129:129" x14ac:dyDescent="0.2">
      <c r="DY45868" s="185" t="s">
        <v>215</v>
      </c>
    </row>
    <row r="45869" spans="129:129" x14ac:dyDescent="0.2">
      <c r="DY45869" s="185" t="s">
        <v>215</v>
      </c>
    </row>
    <row r="45870" spans="129:129" x14ac:dyDescent="0.2">
      <c r="DY45870" s="185" t="s">
        <v>215</v>
      </c>
    </row>
    <row r="45871" spans="129:129" x14ac:dyDescent="0.2">
      <c r="DY45871" s="185" t="s">
        <v>215</v>
      </c>
    </row>
    <row r="45872" spans="129:129" x14ac:dyDescent="0.2">
      <c r="DY45872" s="185" t="s">
        <v>215</v>
      </c>
    </row>
    <row r="45873" spans="129:129" x14ac:dyDescent="0.2">
      <c r="DY45873" s="185" t="s">
        <v>215</v>
      </c>
    </row>
    <row r="45874" spans="129:129" x14ac:dyDescent="0.2">
      <c r="DY45874" s="185" t="s">
        <v>215</v>
      </c>
    </row>
    <row r="45875" spans="129:129" x14ac:dyDescent="0.2">
      <c r="DY45875" s="185" t="s">
        <v>215</v>
      </c>
    </row>
    <row r="45876" spans="129:129" x14ac:dyDescent="0.2">
      <c r="DY45876" s="185" t="s">
        <v>215</v>
      </c>
    </row>
    <row r="45877" spans="129:129" x14ac:dyDescent="0.2">
      <c r="DY45877" s="185" t="s">
        <v>215</v>
      </c>
    </row>
    <row r="45878" spans="129:129" x14ac:dyDescent="0.2">
      <c r="DY45878" s="185" t="s">
        <v>215</v>
      </c>
    </row>
    <row r="45879" spans="129:129" x14ac:dyDescent="0.2">
      <c r="DY45879" s="185" t="s">
        <v>215</v>
      </c>
    </row>
    <row r="45880" spans="129:129" x14ac:dyDescent="0.2">
      <c r="DY45880" s="185" t="s">
        <v>215</v>
      </c>
    </row>
    <row r="45881" spans="129:129" x14ac:dyDescent="0.2">
      <c r="DY45881" s="185" t="s">
        <v>215</v>
      </c>
    </row>
    <row r="45882" spans="129:129" x14ac:dyDescent="0.2">
      <c r="DY45882" s="185" t="s">
        <v>215</v>
      </c>
    </row>
    <row r="45883" spans="129:129" x14ac:dyDescent="0.2">
      <c r="DY45883" s="185" t="s">
        <v>215</v>
      </c>
    </row>
    <row r="45884" spans="129:129" x14ac:dyDescent="0.2">
      <c r="DY45884" s="185" t="s">
        <v>215</v>
      </c>
    </row>
    <row r="45885" spans="129:129" x14ac:dyDescent="0.2">
      <c r="DY45885" s="185" t="s">
        <v>215</v>
      </c>
    </row>
    <row r="45886" spans="129:129" x14ac:dyDescent="0.2">
      <c r="DY45886" s="185" t="s">
        <v>215</v>
      </c>
    </row>
    <row r="45887" spans="129:129" x14ac:dyDescent="0.2">
      <c r="DY45887" s="185" t="s">
        <v>215</v>
      </c>
    </row>
    <row r="45888" spans="129:129" x14ac:dyDescent="0.2">
      <c r="DY45888" s="185" t="s">
        <v>215</v>
      </c>
    </row>
    <row r="45889" spans="129:129" x14ac:dyDescent="0.2">
      <c r="DY45889" s="185" t="s">
        <v>215</v>
      </c>
    </row>
    <row r="45890" spans="129:129" x14ac:dyDescent="0.2">
      <c r="DY45890" s="185" t="s">
        <v>215</v>
      </c>
    </row>
    <row r="45891" spans="129:129" x14ac:dyDescent="0.2">
      <c r="DY45891" s="185" t="s">
        <v>215</v>
      </c>
    </row>
    <row r="45892" spans="129:129" x14ac:dyDescent="0.2">
      <c r="DY45892" s="185" t="s">
        <v>215</v>
      </c>
    </row>
    <row r="45893" spans="129:129" x14ac:dyDescent="0.2">
      <c r="DY45893" s="185" t="s">
        <v>215</v>
      </c>
    </row>
    <row r="45894" spans="129:129" x14ac:dyDescent="0.2">
      <c r="DY45894" s="185" t="s">
        <v>215</v>
      </c>
    </row>
    <row r="45895" spans="129:129" x14ac:dyDescent="0.2">
      <c r="DY45895" s="185" t="s">
        <v>215</v>
      </c>
    </row>
    <row r="45896" spans="129:129" x14ac:dyDescent="0.2">
      <c r="DY45896" s="185" t="s">
        <v>215</v>
      </c>
    </row>
    <row r="45897" spans="129:129" x14ac:dyDescent="0.2">
      <c r="DY45897" s="185" t="s">
        <v>215</v>
      </c>
    </row>
    <row r="45898" spans="129:129" x14ac:dyDescent="0.2">
      <c r="DY45898" s="185" t="s">
        <v>215</v>
      </c>
    </row>
    <row r="45899" spans="129:129" x14ac:dyDescent="0.2">
      <c r="DY45899" s="185" t="s">
        <v>215</v>
      </c>
    </row>
    <row r="45900" spans="129:129" x14ac:dyDescent="0.2">
      <c r="DY45900" s="185" t="s">
        <v>215</v>
      </c>
    </row>
    <row r="45901" spans="129:129" x14ac:dyDescent="0.2">
      <c r="DY45901" s="185" t="s">
        <v>215</v>
      </c>
    </row>
    <row r="45902" spans="129:129" x14ac:dyDescent="0.2">
      <c r="DY45902" s="185" t="s">
        <v>215</v>
      </c>
    </row>
    <row r="45903" spans="129:129" x14ac:dyDescent="0.2">
      <c r="DY45903" s="185" t="s">
        <v>215</v>
      </c>
    </row>
    <row r="45904" spans="129:129" x14ac:dyDescent="0.2">
      <c r="DY45904" s="185" t="s">
        <v>215</v>
      </c>
    </row>
    <row r="45905" spans="129:129" x14ac:dyDescent="0.2">
      <c r="DY45905" s="185" t="s">
        <v>215</v>
      </c>
    </row>
    <row r="45906" spans="129:129" x14ac:dyDescent="0.2">
      <c r="DY45906" s="185" t="s">
        <v>215</v>
      </c>
    </row>
    <row r="45907" spans="129:129" x14ac:dyDescent="0.2">
      <c r="DY45907" s="185" t="s">
        <v>215</v>
      </c>
    </row>
    <row r="45908" spans="129:129" x14ac:dyDescent="0.2">
      <c r="DY45908" s="185" t="s">
        <v>215</v>
      </c>
    </row>
    <row r="45909" spans="129:129" x14ac:dyDescent="0.2">
      <c r="DY45909" s="185" t="s">
        <v>215</v>
      </c>
    </row>
    <row r="45910" spans="129:129" x14ac:dyDescent="0.2">
      <c r="DY45910" s="185" t="s">
        <v>215</v>
      </c>
    </row>
    <row r="45911" spans="129:129" x14ac:dyDescent="0.2">
      <c r="DY45911" s="185" t="s">
        <v>215</v>
      </c>
    </row>
    <row r="45912" spans="129:129" x14ac:dyDescent="0.2">
      <c r="DY45912" s="185" t="s">
        <v>215</v>
      </c>
    </row>
    <row r="45913" spans="129:129" x14ac:dyDescent="0.2">
      <c r="DY45913" s="185" t="s">
        <v>215</v>
      </c>
    </row>
    <row r="45914" spans="129:129" x14ac:dyDescent="0.2">
      <c r="DY45914" s="185" t="s">
        <v>215</v>
      </c>
    </row>
    <row r="45915" spans="129:129" x14ac:dyDescent="0.2">
      <c r="DY45915" s="185" t="s">
        <v>215</v>
      </c>
    </row>
    <row r="45916" spans="129:129" x14ac:dyDescent="0.2">
      <c r="DY45916" s="185" t="s">
        <v>215</v>
      </c>
    </row>
    <row r="45917" spans="129:129" x14ac:dyDescent="0.2">
      <c r="DY45917" s="185" t="s">
        <v>215</v>
      </c>
    </row>
    <row r="45918" spans="129:129" x14ac:dyDescent="0.2">
      <c r="DY45918" s="185" t="s">
        <v>215</v>
      </c>
    </row>
    <row r="45919" spans="129:129" x14ac:dyDescent="0.2">
      <c r="DY45919" s="185" t="s">
        <v>215</v>
      </c>
    </row>
    <row r="45920" spans="129:129" x14ac:dyDescent="0.2">
      <c r="DY45920" s="185" t="s">
        <v>215</v>
      </c>
    </row>
    <row r="45921" spans="129:129" x14ac:dyDescent="0.2">
      <c r="DY45921" s="185" t="s">
        <v>215</v>
      </c>
    </row>
    <row r="45922" spans="129:129" x14ac:dyDescent="0.2">
      <c r="DY45922" s="185" t="s">
        <v>215</v>
      </c>
    </row>
    <row r="45923" spans="129:129" x14ac:dyDescent="0.2">
      <c r="DY45923" s="185" t="s">
        <v>215</v>
      </c>
    </row>
    <row r="45924" spans="129:129" x14ac:dyDescent="0.2">
      <c r="DY45924" s="185" t="s">
        <v>215</v>
      </c>
    </row>
    <row r="45925" spans="129:129" x14ac:dyDescent="0.2">
      <c r="DY45925" s="185" t="s">
        <v>215</v>
      </c>
    </row>
    <row r="45926" spans="129:129" x14ac:dyDescent="0.2">
      <c r="DY45926" s="185" t="s">
        <v>215</v>
      </c>
    </row>
    <row r="45927" spans="129:129" x14ac:dyDescent="0.2">
      <c r="DY45927" s="185" t="s">
        <v>215</v>
      </c>
    </row>
    <row r="45928" spans="129:129" x14ac:dyDescent="0.2">
      <c r="DY45928" s="185" t="s">
        <v>215</v>
      </c>
    </row>
    <row r="45929" spans="129:129" x14ac:dyDescent="0.2">
      <c r="DY45929" s="185" t="s">
        <v>215</v>
      </c>
    </row>
    <row r="45930" spans="129:129" x14ac:dyDescent="0.2">
      <c r="DY45930" s="185" t="s">
        <v>215</v>
      </c>
    </row>
    <row r="45931" spans="129:129" x14ac:dyDescent="0.2">
      <c r="DY45931" s="185" t="s">
        <v>215</v>
      </c>
    </row>
    <row r="45932" spans="129:129" x14ac:dyDescent="0.2">
      <c r="DY45932" s="185" t="s">
        <v>215</v>
      </c>
    </row>
    <row r="45933" spans="129:129" x14ac:dyDescent="0.2">
      <c r="DY45933" s="185" t="s">
        <v>215</v>
      </c>
    </row>
    <row r="45934" spans="129:129" x14ac:dyDescent="0.2">
      <c r="DY45934" s="185" t="s">
        <v>215</v>
      </c>
    </row>
    <row r="45935" spans="129:129" x14ac:dyDescent="0.2">
      <c r="DY45935" s="185" t="s">
        <v>215</v>
      </c>
    </row>
    <row r="45936" spans="129:129" x14ac:dyDescent="0.2">
      <c r="DY45936" s="185" t="s">
        <v>215</v>
      </c>
    </row>
    <row r="45937" spans="129:129" x14ac:dyDescent="0.2">
      <c r="DY45937" s="185" t="s">
        <v>215</v>
      </c>
    </row>
    <row r="45938" spans="129:129" x14ac:dyDescent="0.2">
      <c r="DY45938" s="185" t="s">
        <v>215</v>
      </c>
    </row>
    <row r="45939" spans="129:129" x14ac:dyDescent="0.2">
      <c r="DY45939" s="185" t="s">
        <v>215</v>
      </c>
    </row>
    <row r="45940" spans="129:129" x14ac:dyDescent="0.2">
      <c r="DY45940" s="185" t="s">
        <v>215</v>
      </c>
    </row>
    <row r="45941" spans="129:129" x14ac:dyDescent="0.2">
      <c r="DY45941" s="185" t="s">
        <v>215</v>
      </c>
    </row>
    <row r="45942" spans="129:129" x14ac:dyDescent="0.2">
      <c r="DY45942" s="185" t="s">
        <v>215</v>
      </c>
    </row>
    <row r="45943" spans="129:129" x14ac:dyDescent="0.2">
      <c r="DY45943" s="185" t="s">
        <v>215</v>
      </c>
    </row>
    <row r="45944" spans="129:129" x14ac:dyDescent="0.2">
      <c r="DY45944" s="185" t="s">
        <v>215</v>
      </c>
    </row>
    <row r="45945" spans="129:129" x14ac:dyDescent="0.2">
      <c r="DY45945" s="185" t="s">
        <v>215</v>
      </c>
    </row>
    <row r="45946" spans="129:129" x14ac:dyDescent="0.2">
      <c r="DY45946" s="185" t="s">
        <v>215</v>
      </c>
    </row>
    <row r="45947" spans="129:129" x14ac:dyDescent="0.2">
      <c r="DY45947" s="185" t="s">
        <v>215</v>
      </c>
    </row>
    <row r="45948" spans="129:129" x14ac:dyDescent="0.2">
      <c r="DY45948" s="185" t="s">
        <v>215</v>
      </c>
    </row>
    <row r="45949" spans="129:129" x14ac:dyDescent="0.2">
      <c r="DY45949" s="185" t="s">
        <v>215</v>
      </c>
    </row>
    <row r="45950" spans="129:129" x14ac:dyDescent="0.2">
      <c r="DY45950" s="185" t="s">
        <v>215</v>
      </c>
    </row>
    <row r="45951" spans="129:129" x14ac:dyDescent="0.2">
      <c r="DY45951" s="185" t="s">
        <v>215</v>
      </c>
    </row>
    <row r="45952" spans="129:129" x14ac:dyDescent="0.2">
      <c r="DY45952" s="185" t="s">
        <v>215</v>
      </c>
    </row>
    <row r="45953" spans="129:129" x14ac:dyDescent="0.2">
      <c r="DY45953" s="185" t="s">
        <v>215</v>
      </c>
    </row>
    <row r="45954" spans="129:129" x14ac:dyDescent="0.2">
      <c r="DY45954" s="185" t="s">
        <v>215</v>
      </c>
    </row>
    <row r="45955" spans="129:129" x14ac:dyDescent="0.2">
      <c r="DY45955" s="185" t="s">
        <v>215</v>
      </c>
    </row>
    <row r="45956" spans="129:129" x14ac:dyDescent="0.2">
      <c r="DY45956" s="185" t="s">
        <v>215</v>
      </c>
    </row>
    <row r="45957" spans="129:129" x14ac:dyDescent="0.2">
      <c r="DY45957" s="185" t="s">
        <v>215</v>
      </c>
    </row>
    <row r="45958" spans="129:129" x14ac:dyDescent="0.2">
      <c r="DY45958" s="185" t="s">
        <v>215</v>
      </c>
    </row>
    <row r="45959" spans="129:129" x14ac:dyDescent="0.2">
      <c r="DY45959" s="185" t="s">
        <v>215</v>
      </c>
    </row>
    <row r="45960" spans="129:129" x14ac:dyDescent="0.2">
      <c r="DY45960" s="185" t="s">
        <v>215</v>
      </c>
    </row>
    <row r="45961" spans="129:129" x14ac:dyDescent="0.2">
      <c r="DY45961" s="185" t="s">
        <v>215</v>
      </c>
    </row>
    <row r="45962" spans="129:129" x14ac:dyDescent="0.2">
      <c r="DY45962" s="185" t="s">
        <v>215</v>
      </c>
    </row>
    <row r="45963" spans="129:129" x14ac:dyDescent="0.2">
      <c r="DY45963" s="185" t="s">
        <v>215</v>
      </c>
    </row>
    <row r="45964" spans="129:129" x14ac:dyDescent="0.2">
      <c r="DY45964" s="185" t="s">
        <v>215</v>
      </c>
    </row>
    <row r="45965" spans="129:129" x14ac:dyDescent="0.2">
      <c r="DY45965" s="185" t="s">
        <v>215</v>
      </c>
    </row>
    <row r="45966" spans="129:129" x14ac:dyDescent="0.2">
      <c r="DY45966" s="185" t="s">
        <v>215</v>
      </c>
    </row>
    <row r="45967" spans="129:129" x14ac:dyDescent="0.2">
      <c r="DY45967" s="185" t="s">
        <v>215</v>
      </c>
    </row>
    <row r="45968" spans="129:129" x14ac:dyDescent="0.2">
      <c r="DY45968" s="185" t="s">
        <v>215</v>
      </c>
    </row>
    <row r="45969" spans="129:129" x14ac:dyDescent="0.2">
      <c r="DY45969" s="185" t="s">
        <v>215</v>
      </c>
    </row>
    <row r="45970" spans="129:129" x14ac:dyDescent="0.2">
      <c r="DY45970" s="185" t="s">
        <v>215</v>
      </c>
    </row>
    <row r="45971" spans="129:129" x14ac:dyDescent="0.2">
      <c r="DY45971" s="185" t="s">
        <v>215</v>
      </c>
    </row>
    <row r="45972" spans="129:129" x14ac:dyDescent="0.2">
      <c r="DY45972" s="185" t="s">
        <v>215</v>
      </c>
    </row>
    <row r="45973" spans="129:129" x14ac:dyDescent="0.2">
      <c r="DY45973" s="185" t="s">
        <v>215</v>
      </c>
    </row>
    <row r="45974" spans="129:129" x14ac:dyDescent="0.2">
      <c r="DY45974" s="185" t="s">
        <v>215</v>
      </c>
    </row>
    <row r="45975" spans="129:129" x14ac:dyDescent="0.2">
      <c r="DY45975" s="185" t="s">
        <v>215</v>
      </c>
    </row>
    <row r="45976" spans="129:129" x14ac:dyDescent="0.2">
      <c r="DY45976" s="185" t="s">
        <v>215</v>
      </c>
    </row>
    <row r="45977" spans="129:129" x14ac:dyDescent="0.2">
      <c r="DY45977" s="185" t="s">
        <v>215</v>
      </c>
    </row>
    <row r="45978" spans="129:129" x14ac:dyDescent="0.2">
      <c r="DY45978" s="185" t="s">
        <v>215</v>
      </c>
    </row>
    <row r="45979" spans="129:129" x14ac:dyDescent="0.2">
      <c r="DY45979" s="185" t="s">
        <v>215</v>
      </c>
    </row>
    <row r="45980" spans="129:129" x14ac:dyDescent="0.2">
      <c r="DY45980" s="185" t="s">
        <v>215</v>
      </c>
    </row>
    <row r="45981" spans="129:129" x14ac:dyDescent="0.2">
      <c r="DY45981" s="185" t="s">
        <v>215</v>
      </c>
    </row>
    <row r="45982" spans="129:129" x14ac:dyDescent="0.2">
      <c r="DY45982" s="185" t="s">
        <v>215</v>
      </c>
    </row>
    <row r="45983" spans="129:129" x14ac:dyDescent="0.2">
      <c r="DY45983" s="185" t="s">
        <v>215</v>
      </c>
    </row>
    <row r="45984" spans="129:129" x14ac:dyDescent="0.2">
      <c r="DY45984" s="185" t="s">
        <v>215</v>
      </c>
    </row>
    <row r="45985" spans="129:129" x14ac:dyDescent="0.2">
      <c r="DY45985" s="185" t="s">
        <v>215</v>
      </c>
    </row>
    <row r="45986" spans="129:129" x14ac:dyDescent="0.2">
      <c r="DY45986" s="185" t="s">
        <v>215</v>
      </c>
    </row>
    <row r="45987" spans="129:129" x14ac:dyDescent="0.2">
      <c r="DY45987" s="185" t="s">
        <v>215</v>
      </c>
    </row>
    <row r="45988" spans="129:129" x14ac:dyDescent="0.2">
      <c r="DY45988" s="185" t="s">
        <v>215</v>
      </c>
    </row>
    <row r="45989" spans="129:129" x14ac:dyDescent="0.2">
      <c r="DY45989" s="185" t="s">
        <v>215</v>
      </c>
    </row>
    <row r="45990" spans="129:129" x14ac:dyDescent="0.2">
      <c r="DY45990" s="185" t="s">
        <v>215</v>
      </c>
    </row>
    <row r="45991" spans="129:129" x14ac:dyDescent="0.2">
      <c r="DY45991" s="185" t="s">
        <v>215</v>
      </c>
    </row>
    <row r="45992" spans="129:129" x14ac:dyDescent="0.2">
      <c r="DY45992" s="185" t="s">
        <v>215</v>
      </c>
    </row>
    <row r="45993" spans="129:129" x14ac:dyDescent="0.2">
      <c r="DY45993" s="185" t="s">
        <v>215</v>
      </c>
    </row>
    <row r="45994" spans="129:129" x14ac:dyDescent="0.2">
      <c r="DY45994" s="185" t="s">
        <v>215</v>
      </c>
    </row>
    <row r="45995" spans="129:129" x14ac:dyDescent="0.2">
      <c r="DY45995" s="185" t="s">
        <v>215</v>
      </c>
    </row>
    <row r="45996" spans="129:129" x14ac:dyDescent="0.2">
      <c r="DY45996" s="185" t="s">
        <v>215</v>
      </c>
    </row>
    <row r="45997" spans="129:129" x14ac:dyDescent="0.2">
      <c r="DY45997" s="185" t="s">
        <v>215</v>
      </c>
    </row>
    <row r="45998" spans="129:129" x14ac:dyDescent="0.2">
      <c r="DY45998" s="185" t="s">
        <v>215</v>
      </c>
    </row>
    <row r="45999" spans="129:129" x14ac:dyDescent="0.2">
      <c r="DY45999" s="185" t="s">
        <v>215</v>
      </c>
    </row>
    <row r="46000" spans="129:129" x14ac:dyDescent="0.2">
      <c r="DY46000" s="185" t="s">
        <v>215</v>
      </c>
    </row>
    <row r="46001" spans="129:129" x14ac:dyDescent="0.2">
      <c r="DY46001" s="185" t="s">
        <v>215</v>
      </c>
    </row>
    <row r="46002" spans="129:129" x14ac:dyDescent="0.2">
      <c r="DY46002" s="185" t="s">
        <v>215</v>
      </c>
    </row>
    <row r="46003" spans="129:129" x14ac:dyDescent="0.2">
      <c r="DY46003" s="185" t="s">
        <v>215</v>
      </c>
    </row>
    <row r="46004" spans="129:129" x14ac:dyDescent="0.2">
      <c r="DY46004" s="185" t="s">
        <v>215</v>
      </c>
    </row>
    <row r="46005" spans="129:129" x14ac:dyDescent="0.2">
      <c r="DY46005" s="185" t="s">
        <v>215</v>
      </c>
    </row>
    <row r="46006" spans="129:129" x14ac:dyDescent="0.2">
      <c r="DY46006" s="185" t="s">
        <v>215</v>
      </c>
    </row>
    <row r="46007" spans="129:129" x14ac:dyDescent="0.2">
      <c r="DY46007" s="185" t="s">
        <v>215</v>
      </c>
    </row>
    <row r="46008" spans="129:129" x14ac:dyDescent="0.2">
      <c r="DY46008" s="185" t="s">
        <v>215</v>
      </c>
    </row>
    <row r="46009" spans="129:129" x14ac:dyDescent="0.2">
      <c r="DY46009" s="185" t="s">
        <v>215</v>
      </c>
    </row>
    <row r="46010" spans="129:129" x14ac:dyDescent="0.2">
      <c r="DY46010" s="185" t="s">
        <v>215</v>
      </c>
    </row>
    <row r="46011" spans="129:129" x14ac:dyDescent="0.2">
      <c r="DY46011" s="185" t="s">
        <v>215</v>
      </c>
    </row>
    <row r="46012" spans="129:129" x14ac:dyDescent="0.2">
      <c r="DY46012" s="185" t="s">
        <v>215</v>
      </c>
    </row>
    <row r="46013" spans="129:129" x14ac:dyDescent="0.2">
      <c r="DY46013" s="185" t="s">
        <v>215</v>
      </c>
    </row>
    <row r="46014" spans="129:129" x14ac:dyDescent="0.2">
      <c r="DY46014" s="185" t="s">
        <v>215</v>
      </c>
    </row>
    <row r="46015" spans="129:129" x14ac:dyDescent="0.2">
      <c r="DY46015" s="185" t="s">
        <v>215</v>
      </c>
    </row>
    <row r="46016" spans="129:129" x14ac:dyDescent="0.2">
      <c r="DY46016" s="185" t="s">
        <v>215</v>
      </c>
    </row>
    <row r="46017" spans="129:129" x14ac:dyDescent="0.2">
      <c r="DY46017" s="185" t="s">
        <v>215</v>
      </c>
    </row>
    <row r="46018" spans="129:129" x14ac:dyDescent="0.2">
      <c r="DY46018" s="185" t="s">
        <v>215</v>
      </c>
    </row>
    <row r="46019" spans="129:129" x14ac:dyDescent="0.2">
      <c r="DY46019" s="185" t="s">
        <v>215</v>
      </c>
    </row>
    <row r="46020" spans="129:129" x14ac:dyDescent="0.2">
      <c r="DY46020" s="185" t="s">
        <v>215</v>
      </c>
    </row>
    <row r="46021" spans="129:129" x14ac:dyDescent="0.2">
      <c r="DY46021" s="185" t="s">
        <v>215</v>
      </c>
    </row>
    <row r="46022" spans="129:129" x14ac:dyDescent="0.2">
      <c r="DY46022" s="185" t="s">
        <v>215</v>
      </c>
    </row>
    <row r="46023" spans="129:129" x14ac:dyDescent="0.2">
      <c r="DY46023" s="185" t="s">
        <v>215</v>
      </c>
    </row>
    <row r="46024" spans="129:129" x14ac:dyDescent="0.2">
      <c r="DY46024" s="185" t="s">
        <v>215</v>
      </c>
    </row>
    <row r="46025" spans="129:129" x14ac:dyDescent="0.2">
      <c r="DY46025" s="185" t="s">
        <v>215</v>
      </c>
    </row>
    <row r="46026" spans="129:129" x14ac:dyDescent="0.2">
      <c r="DY46026" s="185" t="s">
        <v>215</v>
      </c>
    </row>
    <row r="46027" spans="129:129" x14ac:dyDescent="0.2">
      <c r="DY46027" s="185" t="s">
        <v>215</v>
      </c>
    </row>
    <row r="46028" spans="129:129" x14ac:dyDescent="0.2">
      <c r="DY46028" s="185" t="s">
        <v>215</v>
      </c>
    </row>
    <row r="46029" spans="129:129" x14ac:dyDescent="0.2">
      <c r="DY46029" s="185" t="s">
        <v>215</v>
      </c>
    </row>
    <row r="46030" spans="129:129" x14ac:dyDescent="0.2">
      <c r="DY46030" s="185" t="s">
        <v>215</v>
      </c>
    </row>
    <row r="46031" spans="129:129" x14ac:dyDescent="0.2">
      <c r="DY46031" s="185" t="s">
        <v>215</v>
      </c>
    </row>
    <row r="46032" spans="129:129" x14ac:dyDescent="0.2">
      <c r="DY46032" s="185" t="s">
        <v>215</v>
      </c>
    </row>
    <row r="46033" spans="129:129" x14ac:dyDescent="0.2">
      <c r="DY46033" s="185" t="s">
        <v>215</v>
      </c>
    </row>
    <row r="46034" spans="129:129" x14ac:dyDescent="0.2">
      <c r="DY46034" s="185" t="s">
        <v>215</v>
      </c>
    </row>
    <row r="46035" spans="129:129" x14ac:dyDescent="0.2">
      <c r="DY46035" s="185" t="s">
        <v>215</v>
      </c>
    </row>
    <row r="46036" spans="129:129" x14ac:dyDescent="0.2">
      <c r="DY46036" s="185" t="s">
        <v>215</v>
      </c>
    </row>
    <row r="46037" spans="129:129" x14ac:dyDescent="0.2">
      <c r="DY46037" s="185" t="s">
        <v>215</v>
      </c>
    </row>
    <row r="46038" spans="129:129" x14ac:dyDescent="0.2">
      <c r="DY46038" s="185" t="s">
        <v>215</v>
      </c>
    </row>
    <row r="46039" spans="129:129" x14ac:dyDescent="0.2">
      <c r="DY46039" s="185" t="s">
        <v>215</v>
      </c>
    </row>
    <row r="46040" spans="129:129" x14ac:dyDescent="0.2">
      <c r="DY46040" s="185" t="s">
        <v>215</v>
      </c>
    </row>
    <row r="46041" spans="129:129" x14ac:dyDescent="0.2">
      <c r="DY46041" s="185" t="s">
        <v>215</v>
      </c>
    </row>
    <row r="46042" spans="129:129" x14ac:dyDescent="0.2">
      <c r="DY46042" s="185" t="s">
        <v>215</v>
      </c>
    </row>
    <row r="46043" spans="129:129" x14ac:dyDescent="0.2">
      <c r="DY46043" s="185" t="s">
        <v>215</v>
      </c>
    </row>
    <row r="46044" spans="129:129" x14ac:dyDescent="0.2">
      <c r="DY46044" s="185" t="s">
        <v>215</v>
      </c>
    </row>
    <row r="46045" spans="129:129" x14ac:dyDescent="0.2">
      <c r="DY46045" s="185" t="s">
        <v>215</v>
      </c>
    </row>
    <row r="46046" spans="129:129" x14ac:dyDescent="0.2">
      <c r="DY46046" s="185" t="s">
        <v>215</v>
      </c>
    </row>
    <row r="46047" spans="129:129" x14ac:dyDescent="0.2">
      <c r="DY46047" s="185" t="s">
        <v>215</v>
      </c>
    </row>
    <row r="46048" spans="129:129" x14ac:dyDescent="0.2">
      <c r="DY46048" s="185" t="s">
        <v>215</v>
      </c>
    </row>
    <row r="46049" spans="129:129" x14ac:dyDescent="0.2">
      <c r="DY46049" s="185" t="s">
        <v>215</v>
      </c>
    </row>
    <row r="46050" spans="129:129" x14ac:dyDescent="0.2">
      <c r="DY46050" s="185" t="s">
        <v>215</v>
      </c>
    </row>
    <row r="46051" spans="129:129" x14ac:dyDescent="0.2">
      <c r="DY46051" s="185" t="s">
        <v>215</v>
      </c>
    </row>
    <row r="46052" spans="129:129" x14ac:dyDescent="0.2">
      <c r="DY46052" s="185" t="s">
        <v>215</v>
      </c>
    </row>
    <row r="46053" spans="129:129" x14ac:dyDescent="0.2">
      <c r="DY46053" s="185" t="s">
        <v>215</v>
      </c>
    </row>
    <row r="46054" spans="129:129" x14ac:dyDescent="0.2">
      <c r="DY46054" s="185" t="s">
        <v>215</v>
      </c>
    </row>
    <row r="46055" spans="129:129" x14ac:dyDescent="0.2">
      <c r="DY46055" s="185" t="s">
        <v>215</v>
      </c>
    </row>
    <row r="46056" spans="129:129" x14ac:dyDescent="0.2">
      <c r="DY46056" s="185" t="s">
        <v>215</v>
      </c>
    </row>
    <row r="46057" spans="129:129" x14ac:dyDescent="0.2">
      <c r="DY46057" s="185" t="s">
        <v>215</v>
      </c>
    </row>
    <row r="46058" spans="129:129" x14ac:dyDescent="0.2">
      <c r="DY46058" s="185" t="s">
        <v>215</v>
      </c>
    </row>
    <row r="46059" spans="129:129" x14ac:dyDescent="0.2">
      <c r="DY46059" s="185" t="s">
        <v>215</v>
      </c>
    </row>
    <row r="46060" spans="129:129" x14ac:dyDescent="0.2">
      <c r="DY46060" s="185" t="s">
        <v>215</v>
      </c>
    </row>
    <row r="46061" spans="129:129" x14ac:dyDescent="0.2">
      <c r="DY46061" s="185" t="s">
        <v>215</v>
      </c>
    </row>
    <row r="46062" spans="129:129" x14ac:dyDescent="0.2">
      <c r="DY46062" s="185" t="s">
        <v>215</v>
      </c>
    </row>
    <row r="46063" spans="129:129" x14ac:dyDescent="0.2">
      <c r="DY46063" s="185" t="s">
        <v>215</v>
      </c>
    </row>
    <row r="46064" spans="129:129" x14ac:dyDescent="0.2">
      <c r="DY46064" s="185" t="s">
        <v>215</v>
      </c>
    </row>
    <row r="46065" spans="129:129" x14ac:dyDescent="0.2">
      <c r="DY46065" s="185" t="s">
        <v>215</v>
      </c>
    </row>
    <row r="46066" spans="129:129" x14ac:dyDescent="0.2">
      <c r="DY46066" s="185" t="s">
        <v>215</v>
      </c>
    </row>
    <row r="46067" spans="129:129" x14ac:dyDescent="0.2">
      <c r="DY46067" s="185" t="s">
        <v>215</v>
      </c>
    </row>
    <row r="46068" spans="129:129" x14ac:dyDescent="0.2">
      <c r="DY46068" s="185" t="s">
        <v>215</v>
      </c>
    </row>
    <row r="46069" spans="129:129" x14ac:dyDescent="0.2">
      <c r="DY46069" s="185" t="s">
        <v>215</v>
      </c>
    </row>
    <row r="46070" spans="129:129" x14ac:dyDescent="0.2">
      <c r="DY46070" s="185" t="s">
        <v>215</v>
      </c>
    </row>
    <row r="46071" spans="129:129" x14ac:dyDescent="0.2">
      <c r="DY46071" s="185" t="s">
        <v>215</v>
      </c>
    </row>
    <row r="46072" spans="129:129" x14ac:dyDescent="0.2">
      <c r="DY46072" s="185" t="s">
        <v>215</v>
      </c>
    </row>
    <row r="46073" spans="129:129" x14ac:dyDescent="0.2">
      <c r="DY46073" s="185" t="s">
        <v>215</v>
      </c>
    </row>
    <row r="46074" spans="129:129" x14ac:dyDescent="0.2">
      <c r="DY46074" s="185" t="s">
        <v>215</v>
      </c>
    </row>
    <row r="46075" spans="129:129" x14ac:dyDescent="0.2">
      <c r="DY46075" s="185" t="s">
        <v>215</v>
      </c>
    </row>
    <row r="46076" spans="129:129" x14ac:dyDescent="0.2">
      <c r="DY46076" s="185" t="s">
        <v>215</v>
      </c>
    </row>
    <row r="46077" spans="129:129" x14ac:dyDescent="0.2">
      <c r="DY46077" s="185" t="s">
        <v>215</v>
      </c>
    </row>
    <row r="46078" spans="129:129" x14ac:dyDescent="0.2">
      <c r="DY46078" s="185" t="s">
        <v>215</v>
      </c>
    </row>
    <row r="46079" spans="129:129" x14ac:dyDescent="0.2">
      <c r="DY46079" s="185" t="s">
        <v>215</v>
      </c>
    </row>
    <row r="46080" spans="129:129" x14ac:dyDescent="0.2">
      <c r="DY46080" s="185" t="s">
        <v>215</v>
      </c>
    </row>
    <row r="46081" spans="129:129" x14ac:dyDescent="0.2">
      <c r="DY46081" s="185" t="s">
        <v>215</v>
      </c>
    </row>
    <row r="46082" spans="129:129" x14ac:dyDescent="0.2">
      <c r="DY46082" s="185" t="s">
        <v>215</v>
      </c>
    </row>
    <row r="46083" spans="129:129" x14ac:dyDescent="0.2">
      <c r="DY46083" s="185" t="s">
        <v>215</v>
      </c>
    </row>
    <row r="46084" spans="129:129" x14ac:dyDescent="0.2">
      <c r="DY46084" s="185" t="s">
        <v>215</v>
      </c>
    </row>
    <row r="46085" spans="129:129" x14ac:dyDescent="0.2">
      <c r="DY46085" s="185" t="s">
        <v>215</v>
      </c>
    </row>
    <row r="46086" spans="129:129" x14ac:dyDescent="0.2">
      <c r="DY46086" s="185" t="s">
        <v>215</v>
      </c>
    </row>
    <row r="46087" spans="129:129" x14ac:dyDescent="0.2">
      <c r="DY46087" s="185" t="s">
        <v>215</v>
      </c>
    </row>
    <row r="46088" spans="129:129" x14ac:dyDescent="0.2">
      <c r="DY46088" s="185" t="s">
        <v>215</v>
      </c>
    </row>
    <row r="46089" spans="129:129" x14ac:dyDescent="0.2">
      <c r="DY46089" s="185" t="s">
        <v>215</v>
      </c>
    </row>
    <row r="46090" spans="129:129" x14ac:dyDescent="0.2">
      <c r="DY46090" s="185" t="s">
        <v>215</v>
      </c>
    </row>
    <row r="46091" spans="129:129" x14ac:dyDescent="0.2">
      <c r="DY46091" s="185" t="s">
        <v>215</v>
      </c>
    </row>
    <row r="46092" spans="129:129" x14ac:dyDescent="0.2">
      <c r="DY46092" s="185" t="s">
        <v>215</v>
      </c>
    </row>
    <row r="46093" spans="129:129" x14ac:dyDescent="0.2">
      <c r="DY46093" s="185" t="s">
        <v>215</v>
      </c>
    </row>
    <row r="46094" spans="129:129" x14ac:dyDescent="0.2">
      <c r="DY46094" s="185" t="s">
        <v>215</v>
      </c>
    </row>
    <row r="46095" spans="129:129" x14ac:dyDescent="0.2">
      <c r="DY46095" s="185" t="s">
        <v>215</v>
      </c>
    </row>
    <row r="46096" spans="129:129" x14ac:dyDescent="0.2">
      <c r="DY46096" s="185" t="s">
        <v>215</v>
      </c>
    </row>
    <row r="46097" spans="129:129" x14ac:dyDescent="0.2">
      <c r="DY46097" s="185" t="s">
        <v>215</v>
      </c>
    </row>
    <row r="46098" spans="129:129" x14ac:dyDescent="0.2">
      <c r="DY46098" s="185" t="s">
        <v>215</v>
      </c>
    </row>
    <row r="46099" spans="129:129" x14ac:dyDescent="0.2">
      <c r="DY46099" s="185" t="s">
        <v>215</v>
      </c>
    </row>
    <row r="46100" spans="129:129" x14ac:dyDescent="0.2">
      <c r="DY46100" s="185" t="s">
        <v>215</v>
      </c>
    </row>
    <row r="46101" spans="129:129" x14ac:dyDescent="0.2">
      <c r="DY46101" s="185" t="s">
        <v>215</v>
      </c>
    </row>
    <row r="46102" spans="129:129" x14ac:dyDescent="0.2">
      <c r="DY46102" s="185" t="s">
        <v>215</v>
      </c>
    </row>
    <row r="46103" spans="129:129" x14ac:dyDescent="0.2">
      <c r="DY46103" s="185" t="s">
        <v>215</v>
      </c>
    </row>
    <row r="46104" spans="129:129" x14ac:dyDescent="0.2">
      <c r="DY46104" s="185" t="s">
        <v>215</v>
      </c>
    </row>
    <row r="46105" spans="129:129" x14ac:dyDescent="0.2">
      <c r="DY46105" s="185" t="s">
        <v>215</v>
      </c>
    </row>
    <row r="46106" spans="129:129" x14ac:dyDescent="0.2">
      <c r="DY46106" s="185" t="s">
        <v>215</v>
      </c>
    </row>
    <row r="46107" spans="129:129" x14ac:dyDescent="0.2">
      <c r="DY46107" s="185" t="s">
        <v>215</v>
      </c>
    </row>
    <row r="46108" spans="129:129" x14ac:dyDescent="0.2">
      <c r="DY46108" s="185" t="s">
        <v>215</v>
      </c>
    </row>
    <row r="46109" spans="129:129" x14ac:dyDescent="0.2">
      <c r="DY46109" s="185" t="s">
        <v>215</v>
      </c>
    </row>
    <row r="46110" spans="129:129" x14ac:dyDescent="0.2">
      <c r="DY46110" s="185" t="s">
        <v>215</v>
      </c>
    </row>
    <row r="46111" spans="129:129" x14ac:dyDescent="0.2">
      <c r="DY46111" s="185" t="s">
        <v>215</v>
      </c>
    </row>
    <row r="46112" spans="129:129" x14ac:dyDescent="0.2">
      <c r="DY46112" s="185" t="s">
        <v>215</v>
      </c>
    </row>
    <row r="46113" spans="129:129" x14ac:dyDescent="0.2">
      <c r="DY46113" s="185" t="s">
        <v>215</v>
      </c>
    </row>
    <row r="46114" spans="129:129" x14ac:dyDescent="0.2">
      <c r="DY46114" s="185" t="s">
        <v>215</v>
      </c>
    </row>
    <row r="46115" spans="129:129" x14ac:dyDescent="0.2">
      <c r="DY46115" s="185" t="s">
        <v>215</v>
      </c>
    </row>
    <row r="46116" spans="129:129" x14ac:dyDescent="0.2">
      <c r="DY46116" s="185" t="s">
        <v>215</v>
      </c>
    </row>
    <row r="46117" spans="129:129" x14ac:dyDescent="0.2">
      <c r="DY46117" s="185" t="s">
        <v>215</v>
      </c>
    </row>
    <row r="46118" spans="129:129" x14ac:dyDescent="0.2">
      <c r="DY46118" s="185" t="s">
        <v>215</v>
      </c>
    </row>
    <row r="46119" spans="129:129" x14ac:dyDescent="0.2">
      <c r="DY46119" s="185" t="s">
        <v>215</v>
      </c>
    </row>
    <row r="46120" spans="129:129" x14ac:dyDescent="0.2">
      <c r="DY46120" s="185" t="s">
        <v>215</v>
      </c>
    </row>
    <row r="46121" spans="129:129" x14ac:dyDescent="0.2">
      <c r="DY46121" s="185" t="s">
        <v>215</v>
      </c>
    </row>
    <row r="46122" spans="129:129" x14ac:dyDescent="0.2">
      <c r="DY46122" s="185" t="s">
        <v>215</v>
      </c>
    </row>
    <row r="46123" spans="129:129" x14ac:dyDescent="0.2">
      <c r="DY46123" s="185" t="s">
        <v>215</v>
      </c>
    </row>
    <row r="46124" spans="129:129" x14ac:dyDescent="0.2">
      <c r="DY46124" s="185" t="s">
        <v>215</v>
      </c>
    </row>
    <row r="46125" spans="129:129" x14ac:dyDescent="0.2">
      <c r="DY46125" s="185" t="s">
        <v>215</v>
      </c>
    </row>
    <row r="46126" spans="129:129" x14ac:dyDescent="0.2">
      <c r="DY46126" s="185" t="s">
        <v>215</v>
      </c>
    </row>
    <row r="46127" spans="129:129" x14ac:dyDescent="0.2">
      <c r="DY46127" s="185" t="s">
        <v>215</v>
      </c>
    </row>
    <row r="46128" spans="129:129" x14ac:dyDescent="0.2">
      <c r="DY46128" s="185" t="s">
        <v>215</v>
      </c>
    </row>
    <row r="46129" spans="129:129" x14ac:dyDescent="0.2">
      <c r="DY46129" s="185" t="s">
        <v>215</v>
      </c>
    </row>
    <row r="46130" spans="129:129" x14ac:dyDescent="0.2">
      <c r="DY46130" s="185" t="s">
        <v>215</v>
      </c>
    </row>
    <row r="46131" spans="129:129" x14ac:dyDescent="0.2">
      <c r="DY46131" s="185" t="s">
        <v>215</v>
      </c>
    </row>
    <row r="46132" spans="129:129" x14ac:dyDescent="0.2">
      <c r="DY46132" s="185" t="s">
        <v>215</v>
      </c>
    </row>
    <row r="46133" spans="129:129" x14ac:dyDescent="0.2">
      <c r="DY46133" s="185" t="s">
        <v>215</v>
      </c>
    </row>
    <row r="46134" spans="129:129" x14ac:dyDescent="0.2">
      <c r="DY46134" s="185" t="s">
        <v>215</v>
      </c>
    </row>
    <row r="46135" spans="129:129" x14ac:dyDescent="0.2">
      <c r="DY46135" s="185" t="s">
        <v>215</v>
      </c>
    </row>
    <row r="46136" spans="129:129" x14ac:dyDescent="0.2">
      <c r="DY46136" s="185" t="s">
        <v>215</v>
      </c>
    </row>
    <row r="46137" spans="129:129" x14ac:dyDescent="0.2">
      <c r="DY46137" s="185" t="s">
        <v>215</v>
      </c>
    </row>
    <row r="46138" spans="129:129" x14ac:dyDescent="0.2">
      <c r="DY46138" s="185" t="s">
        <v>215</v>
      </c>
    </row>
    <row r="46139" spans="129:129" x14ac:dyDescent="0.2">
      <c r="DY46139" s="185" t="s">
        <v>215</v>
      </c>
    </row>
    <row r="46140" spans="129:129" x14ac:dyDescent="0.2">
      <c r="DY46140" s="185" t="s">
        <v>215</v>
      </c>
    </row>
    <row r="46141" spans="129:129" x14ac:dyDescent="0.2">
      <c r="DY46141" s="185" t="s">
        <v>215</v>
      </c>
    </row>
    <row r="46142" spans="129:129" x14ac:dyDescent="0.2">
      <c r="DY46142" s="185" t="s">
        <v>215</v>
      </c>
    </row>
    <row r="46143" spans="129:129" x14ac:dyDescent="0.2">
      <c r="DY46143" s="185" t="s">
        <v>215</v>
      </c>
    </row>
    <row r="46144" spans="129:129" x14ac:dyDescent="0.2">
      <c r="DY46144" s="185" t="s">
        <v>215</v>
      </c>
    </row>
    <row r="46145" spans="129:129" x14ac:dyDescent="0.2">
      <c r="DY46145" s="185" t="s">
        <v>215</v>
      </c>
    </row>
    <row r="46146" spans="129:129" x14ac:dyDescent="0.2">
      <c r="DY46146" s="185" t="s">
        <v>215</v>
      </c>
    </row>
    <row r="46147" spans="129:129" x14ac:dyDescent="0.2">
      <c r="DY46147" s="185" t="s">
        <v>215</v>
      </c>
    </row>
    <row r="46148" spans="129:129" x14ac:dyDescent="0.2">
      <c r="DY46148" s="185" t="s">
        <v>215</v>
      </c>
    </row>
    <row r="46149" spans="129:129" x14ac:dyDescent="0.2">
      <c r="DY46149" s="185" t="s">
        <v>215</v>
      </c>
    </row>
    <row r="46150" spans="129:129" x14ac:dyDescent="0.2">
      <c r="DY46150" s="185" t="s">
        <v>215</v>
      </c>
    </row>
    <row r="46151" spans="129:129" x14ac:dyDescent="0.2">
      <c r="DY46151" s="185" t="s">
        <v>215</v>
      </c>
    </row>
    <row r="46152" spans="129:129" x14ac:dyDescent="0.2">
      <c r="DY46152" s="185" t="s">
        <v>215</v>
      </c>
    </row>
    <row r="46153" spans="129:129" x14ac:dyDescent="0.2">
      <c r="DY46153" s="185" t="s">
        <v>215</v>
      </c>
    </row>
    <row r="46154" spans="129:129" x14ac:dyDescent="0.2">
      <c r="DY46154" s="185" t="s">
        <v>215</v>
      </c>
    </row>
    <row r="46155" spans="129:129" x14ac:dyDescent="0.2">
      <c r="DY46155" s="185" t="s">
        <v>215</v>
      </c>
    </row>
    <row r="46156" spans="129:129" x14ac:dyDescent="0.2">
      <c r="DY46156" s="185" t="s">
        <v>215</v>
      </c>
    </row>
    <row r="46157" spans="129:129" x14ac:dyDescent="0.2">
      <c r="DY46157" s="185" t="s">
        <v>215</v>
      </c>
    </row>
    <row r="46158" spans="129:129" x14ac:dyDescent="0.2">
      <c r="DY46158" s="185" t="s">
        <v>215</v>
      </c>
    </row>
    <row r="46159" spans="129:129" x14ac:dyDescent="0.2">
      <c r="DY46159" s="185" t="s">
        <v>215</v>
      </c>
    </row>
    <row r="46160" spans="129:129" x14ac:dyDescent="0.2">
      <c r="DY46160" s="185" t="s">
        <v>215</v>
      </c>
    </row>
    <row r="46161" spans="129:129" x14ac:dyDescent="0.2">
      <c r="DY46161" s="185" t="s">
        <v>215</v>
      </c>
    </row>
    <row r="46162" spans="129:129" x14ac:dyDescent="0.2">
      <c r="DY46162" s="185" t="s">
        <v>215</v>
      </c>
    </row>
    <row r="46163" spans="129:129" x14ac:dyDescent="0.2">
      <c r="DY46163" s="185" t="s">
        <v>215</v>
      </c>
    </row>
    <row r="46164" spans="129:129" x14ac:dyDescent="0.2">
      <c r="DY46164" s="185" t="s">
        <v>215</v>
      </c>
    </row>
    <row r="46165" spans="129:129" x14ac:dyDescent="0.2">
      <c r="DY46165" s="185" t="s">
        <v>215</v>
      </c>
    </row>
    <row r="46166" spans="129:129" x14ac:dyDescent="0.2">
      <c r="DY46166" s="185" t="s">
        <v>215</v>
      </c>
    </row>
    <row r="46167" spans="129:129" x14ac:dyDescent="0.2">
      <c r="DY46167" s="185" t="s">
        <v>215</v>
      </c>
    </row>
    <row r="46168" spans="129:129" x14ac:dyDescent="0.2">
      <c r="DY46168" s="185" t="s">
        <v>215</v>
      </c>
    </row>
    <row r="46169" spans="129:129" x14ac:dyDescent="0.2">
      <c r="DY46169" s="185" t="s">
        <v>215</v>
      </c>
    </row>
    <row r="46170" spans="129:129" x14ac:dyDescent="0.2">
      <c r="DY46170" s="185" t="s">
        <v>215</v>
      </c>
    </row>
    <row r="46171" spans="129:129" x14ac:dyDescent="0.2">
      <c r="DY46171" s="185" t="s">
        <v>215</v>
      </c>
    </row>
    <row r="46172" spans="129:129" x14ac:dyDescent="0.2">
      <c r="DY46172" s="185" t="s">
        <v>215</v>
      </c>
    </row>
    <row r="46173" spans="129:129" x14ac:dyDescent="0.2">
      <c r="DY46173" s="185" t="s">
        <v>215</v>
      </c>
    </row>
    <row r="46174" spans="129:129" x14ac:dyDescent="0.2">
      <c r="DY46174" s="185" t="s">
        <v>215</v>
      </c>
    </row>
    <row r="46175" spans="129:129" x14ac:dyDescent="0.2">
      <c r="DY46175" s="185" t="s">
        <v>215</v>
      </c>
    </row>
    <row r="46176" spans="129:129" x14ac:dyDescent="0.2">
      <c r="DY46176" s="185" t="s">
        <v>215</v>
      </c>
    </row>
    <row r="46177" spans="129:129" x14ac:dyDescent="0.2">
      <c r="DY46177" s="185" t="s">
        <v>215</v>
      </c>
    </row>
    <row r="46178" spans="129:129" x14ac:dyDescent="0.2">
      <c r="DY46178" s="185" t="s">
        <v>215</v>
      </c>
    </row>
    <row r="46179" spans="129:129" x14ac:dyDescent="0.2">
      <c r="DY46179" s="185" t="s">
        <v>215</v>
      </c>
    </row>
    <row r="46180" spans="129:129" x14ac:dyDescent="0.2">
      <c r="DY46180" s="185" t="s">
        <v>215</v>
      </c>
    </row>
    <row r="46181" spans="129:129" x14ac:dyDescent="0.2">
      <c r="DY46181" s="185" t="s">
        <v>215</v>
      </c>
    </row>
    <row r="46182" spans="129:129" x14ac:dyDescent="0.2">
      <c r="DY46182" s="185" t="s">
        <v>215</v>
      </c>
    </row>
    <row r="46183" spans="129:129" x14ac:dyDescent="0.2">
      <c r="DY46183" s="185" t="s">
        <v>215</v>
      </c>
    </row>
    <row r="46184" spans="129:129" x14ac:dyDescent="0.2">
      <c r="DY46184" s="185" t="s">
        <v>215</v>
      </c>
    </row>
    <row r="46185" spans="129:129" x14ac:dyDescent="0.2">
      <c r="DY46185" s="185" t="s">
        <v>215</v>
      </c>
    </row>
    <row r="46186" spans="129:129" x14ac:dyDescent="0.2">
      <c r="DY46186" s="185" t="s">
        <v>215</v>
      </c>
    </row>
    <row r="46187" spans="129:129" x14ac:dyDescent="0.2">
      <c r="DY46187" s="185" t="s">
        <v>215</v>
      </c>
    </row>
    <row r="46188" spans="129:129" x14ac:dyDescent="0.2">
      <c r="DY46188" s="185" t="s">
        <v>215</v>
      </c>
    </row>
    <row r="46189" spans="129:129" x14ac:dyDescent="0.2">
      <c r="DY46189" s="185" t="s">
        <v>215</v>
      </c>
    </row>
    <row r="46190" spans="129:129" x14ac:dyDescent="0.2">
      <c r="DY46190" s="185" t="s">
        <v>215</v>
      </c>
    </row>
    <row r="46191" spans="129:129" x14ac:dyDescent="0.2">
      <c r="DY46191" s="185" t="s">
        <v>215</v>
      </c>
    </row>
    <row r="46192" spans="129:129" x14ac:dyDescent="0.2">
      <c r="DY46192" s="185" t="s">
        <v>215</v>
      </c>
    </row>
    <row r="46193" spans="129:129" x14ac:dyDescent="0.2">
      <c r="DY46193" s="185" t="s">
        <v>215</v>
      </c>
    </row>
    <row r="46194" spans="129:129" x14ac:dyDescent="0.2">
      <c r="DY46194" s="185" t="s">
        <v>215</v>
      </c>
    </row>
    <row r="46195" spans="129:129" x14ac:dyDescent="0.2">
      <c r="DY46195" s="185" t="s">
        <v>215</v>
      </c>
    </row>
    <row r="46196" spans="129:129" x14ac:dyDescent="0.2">
      <c r="DY46196" s="185" t="s">
        <v>215</v>
      </c>
    </row>
    <row r="46197" spans="129:129" x14ac:dyDescent="0.2">
      <c r="DY46197" s="185" t="s">
        <v>215</v>
      </c>
    </row>
    <row r="46198" spans="129:129" x14ac:dyDescent="0.2">
      <c r="DY46198" s="185" t="s">
        <v>215</v>
      </c>
    </row>
    <row r="46199" spans="129:129" x14ac:dyDescent="0.2">
      <c r="DY46199" s="185" t="s">
        <v>215</v>
      </c>
    </row>
    <row r="46200" spans="129:129" x14ac:dyDescent="0.2">
      <c r="DY46200" s="185" t="s">
        <v>215</v>
      </c>
    </row>
    <row r="46201" spans="129:129" x14ac:dyDescent="0.2">
      <c r="DY46201" s="185" t="s">
        <v>215</v>
      </c>
    </row>
    <row r="46202" spans="129:129" x14ac:dyDescent="0.2">
      <c r="DY46202" s="185" t="s">
        <v>215</v>
      </c>
    </row>
    <row r="46203" spans="129:129" x14ac:dyDescent="0.2">
      <c r="DY46203" s="185" t="s">
        <v>215</v>
      </c>
    </row>
    <row r="46204" spans="129:129" x14ac:dyDescent="0.2">
      <c r="DY46204" s="185" t="s">
        <v>215</v>
      </c>
    </row>
    <row r="46205" spans="129:129" x14ac:dyDescent="0.2">
      <c r="DY46205" s="185" t="s">
        <v>215</v>
      </c>
    </row>
    <row r="46206" spans="129:129" x14ac:dyDescent="0.2">
      <c r="DY46206" s="185" t="s">
        <v>215</v>
      </c>
    </row>
    <row r="46207" spans="129:129" x14ac:dyDescent="0.2">
      <c r="DY46207" s="185" t="s">
        <v>215</v>
      </c>
    </row>
    <row r="46208" spans="129:129" x14ac:dyDescent="0.2">
      <c r="DY46208" s="185" t="s">
        <v>215</v>
      </c>
    </row>
    <row r="46209" spans="129:129" x14ac:dyDescent="0.2">
      <c r="DY46209" s="185" t="s">
        <v>215</v>
      </c>
    </row>
    <row r="46210" spans="129:129" x14ac:dyDescent="0.2">
      <c r="DY46210" s="185" t="s">
        <v>215</v>
      </c>
    </row>
    <row r="46211" spans="129:129" x14ac:dyDescent="0.2">
      <c r="DY46211" s="185" t="s">
        <v>215</v>
      </c>
    </row>
    <row r="46212" spans="129:129" x14ac:dyDescent="0.2">
      <c r="DY46212" s="185" t="s">
        <v>215</v>
      </c>
    </row>
    <row r="46213" spans="129:129" x14ac:dyDescent="0.2">
      <c r="DY46213" s="185" t="s">
        <v>215</v>
      </c>
    </row>
    <row r="46214" spans="129:129" x14ac:dyDescent="0.2">
      <c r="DY46214" s="185" t="s">
        <v>215</v>
      </c>
    </row>
    <row r="46215" spans="129:129" x14ac:dyDescent="0.2">
      <c r="DY46215" s="185" t="s">
        <v>215</v>
      </c>
    </row>
    <row r="46216" spans="129:129" x14ac:dyDescent="0.2">
      <c r="DY46216" s="185" t="s">
        <v>215</v>
      </c>
    </row>
    <row r="46217" spans="129:129" x14ac:dyDescent="0.2">
      <c r="DY46217" s="185" t="s">
        <v>215</v>
      </c>
    </row>
    <row r="46218" spans="129:129" x14ac:dyDescent="0.2">
      <c r="DY46218" s="185" t="s">
        <v>215</v>
      </c>
    </row>
    <row r="46219" spans="129:129" x14ac:dyDescent="0.2">
      <c r="DY46219" s="185" t="s">
        <v>215</v>
      </c>
    </row>
    <row r="46220" spans="129:129" x14ac:dyDescent="0.2">
      <c r="DY46220" s="185" t="s">
        <v>215</v>
      </c>
    </row>
    <row r="46221" spans="129:129" x14ac:dyDescent="0.2">
      <c r="DY46221" s="185" t="s">
        <v>215</v>
      </c>
    </row>
    <row r="46222" spans="129:129" x14ac:dyDescent="0.2">
      <c r="DY46222" s="185" t="s">
        <v>215</v>
      </c>
    </row>
    <row r="46223" spans="129:129" x14ac:dyDescent="0.2">
      <c r="DY46223" s="185" t="s">
        <v>215</v>
      </c>
    </row>
    <row r="46224" spans="129:129" x14ac:dyDescent="0.2">
      <c r="DY46224" s="185" t="s">
        <v>215</v>
      </c>
    </row>
    <row r="46225" spans="129:129" x14ac:dyDescent="0.2">
      <c r="DY46225" s="185" t="s">
        <v>215</v>
      </c>
    </row>
    <row r="46226" spans="129:129" x14ac:dyDescent="0.2">
      <c r="DY46226" s="185" t="s">
        <v>215</v>
      </c>
    </row>
    <row r="46227" spans="129:129" x14ac:dyDescent="0.2">
      <c r="DY46227" s="185" t="s">
        <v>215</v>
      </c>
    </row>
    <row r="46228" spans="129:129" x14ac:dyDescent="0.2">
      <c r="DY46228" s="185" t="s">
        <v>215</v>
      </c>
    </row>
    <row r="46229" spans="129:129" x14ac:dyDescent="0.2">
      <c r="DY46229" s="185" t="s">
        <v>215</v>
      </c>
    </row>
    <row r="46230" spans="129:129" x14ac:dyDescent="0.2">
      <c r="DY46230" s="185" t="s">
        <v>215</v>
      </c>
    </row>
    <row r="46231" spans="129:129" x14ac:dyDescent="0.2">
      <c r="DY46231" s="185" t="s">
        <v>215</v>
      </c>
    </row>
    <row r="46232" spans="129:129" x14ac:dyDescent="0.2">
      <c r="DY46232" s="185" t="s">
        <v>215</v>
      </c>
    </row>
    <row r="46233" spans="129:129" x14ac:dyDescent="0.2">
      <c r="DY46233" s="185" t="s">
        <v>215</v>
      </c>
    </row>
    <row r="46234" spans="129:129" x14ac:dyDescent="0.2">
      <c r="DY46234" s="185" t="s">
        <v>215</v>
      </c>
    </row>
    <row r="46235" spans="129:129" x14ac:dyDescent="0.2">
      <c r="DY46235" s="185" t="s">
        <v>215</v>
      </c>
    </row>
    <row r="46236" spans="129:129" x14ac:dyDescent="0.2">
      <c r="DY46236" s="185" t="s">
        <v>215</v>
      </c>
    </row>
    <row r="46237" spans="129:129" x14ac:dyDescent="0.2">
      <c r="DY46237" s="185" t="s">
        <v>215</v>
      </c>
    </row>
    <row r="46238" spans="129:129" x14ac:dyDescent="0.2">
      <c r="DY46238" s="185" t="s">
        <v>215</v>
      </c>
    </row>
    <row r="46239" spans="129:129" x14ac:dyDescent="0.2">
      <c r="DY46239" s="185" t="s">
        <v>215</v>
      </c>
    </row>
    <row r="46240" spans="129:129" x14ac:dyDescent="0.2">
      <c r="DY46240" s="185" t="s">
        <v>215</v>
      </c>
    </row>
    <row r="46241" spans="129:129" x14ac:dyDescent="0.2">
      <c r="DY46241" s="185" t="s">
        <v>215</v>
      </c>
    </row>
    <row r="46242" spans="129:129" x14ac:dyDescent="0.2">
      <c r="DY46242" s="185" t="s">
        <v>215</v>
      </c>
    </row>
    <row r="46243" spans="129:129" x14ac:dyDescent="0.2">
      <c r="DY46243" s="185" t="s">
        <v>215</v>
      </c>
    </row>
    <row r="46244" spans="129:129" x14ac:dyDescent="0.2">
      <c r="DY46244" s="185" t="s">
        <v>215</v>
      </c>
    </row>
    <row r="46245" spans="129:129" x14ac:dyDescent="0.2">
      <c r="DY46245" s="185" t="s">
        <v>215</v>
      </c>
    </row>
    <row r="46246" spans="129:129" x14ac:dyDescent="0.2">
      <c r="DY46246" s="185" t="s">
        <v>215</v>
      </c>
    </row>
    <row r="46247" spans="129:129" x14ac:dyDescent="0.2">
      <c r="DY46247" s="185" t="s">
        <v>215</v>
      </c>
    </row>
    <row r="46248" spans="129:129" x14ac:dyDescent="0.2">
      <c r="DY46248" s="185" t="s">
        <v>215</v>
      </c>
    </row>
    <row r="46249" spans="129:129" x14ac:dyDescent="0.2">
      <c r="DY46249" s="185" t="s">
        <v>215</v>
      </c>
    </row>
    <row r="46250" spans="129:129" x14ac:dyDescent="0.2">
      <c r="DY46250" s="185" t="s">
        <v>215</v>
      </c>
    </row>
    <row r="46251" spans="129:129" x14ac:dyDescent="0.2">
      <c r="DY46251" s="185" t="s">
        <v>215</v>
      </c>
    </row>
    <row r="46252" spans="129:129" x14ac:dyDescent="0.2">
      <c r="DY46252" s="185" t="s">
        <v>215</v>
      </c>
    </row>
    <row r="46253" spans="129:129" x14ac:dyDescent="0.2">
      <c r="DY46253" s="185" t="s">
        <v>215</v>
      </c>
    </row>
    <row r="46254" spans="129:129" x14ac:dyDescent="0.2">
      <c r="DY46254" s="185" t="s">
        <v>215</v>
      </c>
    </row>
    <row r="46255" spans="129:129" x14ac:dyDescent="0.2">
      <c r="DY46255" s="185" t="s">
        <v>215</v>
      </c>
    </row>
    <row r="46256" spans="129:129" x14ac:dyDescent="0.2">
      <c r="DY46256" s="185" t="s">
        <v>215</v>
      </c>
    </row>
    <row r="46257" spans="129:129" x14ac:dyDescent="0.2">
      <c r="DY46257" s="185" t="s">
        <v>215</v>
      </c>
    </row>
    <row r="46258" spans="129:129" x14ac:dyDescent="0.2">
      <c r="DY46258" s="185" t="s">
        <v>215</v>
      </c>
    </row>
    <row r="46259" spans="129:129" x14ac:dyDescent="0.2">
      <c r="DY46259" s="185" t="s">
        <v>215</v>
      </c>
    </row>
    <row r="46260" spans="129:129" x14ac:dyDescent="0.2">
      <c r="DY46260" s="185" t="s">
        <v>215</v>
      </c>
    </row>
    <row r="46261" spans="129:129" x14ac:dyDescent="0.2">
      <c r="DY46261" s="185" t="s">
        <v>215</v>
      </c>
    </row>
    <row r="46262" spans="129:129" x14ac:dyDescent="0.2">
      <c r="DY46262" s="185" t="s">
        <v>215</v>
      </c>
    </row>
    <row r="46263" spans="129:129" x14ac:dyDescent="0.2">
      <c r="DY46263" s="185" t="s">
        <v>215</v>
      </c>
    </row>
    <row r="46264" spans="129:129" x14ac:dyDescent="0.2">
      <c r="DY46264" s="185" t="s">
        <v>215</v>
      </c>
    </row>
    <row r="46265" spans="129:129" x14ac:dyDescent="0.2">
      <c r="DY46265" s="185" t="s">
        <v>215</v>
      </c>
    </row>
    <row r="46266" spans="129:129" x14ac:dyDescent="0.2">
      <c r="DY46266" s="185" t="s">
        <v>215</v>
      </c>
    </row>
    <row r="46267" spans="129:129" x14ac:dyDescent="0.2">
      <c r="DY46267" s="185" t="s">
        <v>215</v>
      </c>
    </row>
    <row r="46268" spans="129:129" x14ac:dyDescent="0.2">
      <c r="DY46268" s="185" t="s">
        <v>215</v>
      </c>
    </row>
    <row r="46269" spans="129:129" x14ac:dyDescent="0.2">
      <c r="DY46269" s="185" t="s">
        <v>215</v>
      </c>
    </row>
    <row r="46270" spans="129:129" x14ac:dyDescent="0.2">
      <c r="DY46270" s="185" t="s">
        <v>215</v>
      </c>
    </row>
    <row r="46271" spans="129:129" x14ac:dyDescent="0.2">
      <c r="DY46271" s="185" t="s">
        <v>215</v>
      </c>
    </row>
    <row r="46272" spans="129:129" x14ac:dyDescent="0.2">
      <c r="DY46272" s="185" t="s">
        <v>215</v>
      </c>
    </row>
    <row r="46273" spans="129:129" x14ac:dyDescent="0.2">
      <c r="DY46273" s="185" t="s">
        <v>215</v>
      </c>
    </row>
    <row r="46274" spans="129:129" x14ac:dyDescent="0.2">
      <c r="DY46274" s="185" t="s">
        <v>215</v>
      </c>
    </row>
    <row r="46275" spans="129:129" x14ac:dyDescent="0.2">
      <c r="DY46275" s="185" t="s">
        <v>215</v>
      </c>
    </row>
    <row r="46276" spans="129:129" x14ac:dyDescent="0.2">
      <c r="DY46276" s="185" t="s">
        <v>215</v>
      </c>
    </row>
    <row r="46277" spans="129:129" x14ac:dyDescent="0.2">
      <c r="DY46277" s="185" t="s">
        <v>215</v>
      </c>
    </row>
    <row r="46278" spans="129:129" x14ac:dyDescent="0.2">
      <c r="DY46278" s="185" t="s">
        <v>215</v>
      </c>
    </row>
    <row r="46279" spans="129:129" x14ac:dyDescent="0.2">
      <c r="DY46279" s="185" t="s">
        <v>215</v>
      </c>
    </row>
    <row r="46280" spans="129:129" x14ac:dyDescent="0.2">
      <c r="DY46280" s="185" t="s">
        <v>215</v>
      </c>
    </row>
    <row r="46281" spans="129:129" x14ac:dyDescent="0.2">
      <c r="DY46281" s="185" t="s">
        <v>215</v>
      </c>
    </row>
    <row r="46282" spans="129:129" x14ac:dyDescent="0.2">
      <c r="DY46282" s="185" t="s">
        <v>215</v>
      </c>
    </row>
    <row r="46283" spans="129:129" x14ac:dyDescent="0.2">
      <c r="DY46283" s="185" t="s">
        <v>215</v>
      </c>
    </row>
    <row r="46284" spans="129:129" x14ac:dyDescent="0.2">
      <c r="DY46284" s="185" t="s">
        <v>215</v>
      </c>
    </row>
    <row r="46285" spans="129:129" x14ac:dyDescent="0.2">
      <c r="DY46285" s="185" t="s">
        <v>215</v>
      </c>
    </row>
    <row r="46286" spans="129:129" x14ac:dyDescent="0.2">
      <c r="DY46286" s="185" t="s">
        <v>215</v>
      </c>
    </row>
    <row r="46287" spans="129:129" x14ac:dyDescent="0.2">
      <c r="DY46287" s="185" t="s">
        <v>215</v>
      </c>
    </row>
    <row r="46288" spans="129:129" x14ac:dyDescent="0.2">
      <c r="DY46288" s="185" t="s">
        <v>215</v>
      </c>
    </row>
    <row r="46289" spans="129:129" x14ac:dyDescent="0.2">
      <c r="DY46289" s="185" t="s">
        <v>215</v>
      </c>
    </row>
    <row r="46290" spans="129:129" x14ac:dyDescent="0.2">
      <c r="DY46290" s="185" t="s">
        <v>215</v>
      </c>
    </row>
    <row r="46291" spans="129:129" x14ac:dyDescent="0.2">
      <c r="DY46291" s="185" t="s">
        <v>215</v>
      </c>
    </row>
    <row r="46292" spans="129:129" x14ac:dyDescent="0.2">
      <c r="DY46292" s="185" t="s">
        <v>215</v>
      </c>
    </row>
    <row r="46293" spans="129:129" x14ac:dyDescent="0.2">
      <c r="DY46293" s="185" t="s">
        <v>215</v>
      </c>
    </row>
    <row r="46294" spans="129:129" x14ac:dyDescent="0.2">
      <c r="DY46294" s="185" t="s">
        <v>215</v>
      </c>
    </row>
    <row r="46295" spans="129:129" x14ac:dyDescent="0.2">
      <c r="DY46295" s="185" t="s">
        <v>215</v>
      </c>
    </row>
    <row r="46296" spans="129:129" x14ac:dyDescent="0.2">
      <c r="DY46296" s="185" t="s">
        <v>215</v>
      </c>
    </row>
    <row r="46297" spans="129:129" x14ac:dyDescent="0.2">
      <c r="DY46297" s="185" t="s">
        <v>215</v>
      </c>
    </row>
    <row r="46298" spans="129:129" x14ac:dyDescent="0.2">
      <c r="DY46298" s="185" t="s">
        <v>215</v>
      </c>
    </row>
    <row r="46299" spans="129:129" x14ac:dyDescent="0.2">
      <c r="DY46299" s="185" t="s">
        <v>215</v>
      </c>
    </row>
    <row r="46300" spans="129:129" x14ac:dyDescent="0.2">
      <c r="DY46300" s="185" t="s">
        <v>215</v>
      </c>
    </row>
    <row r="46301" spans="129:129" x14ac:dyDescent="0.2">
      <c r="DY46301" s="185" t="s">
        <v>215</v>
      </c>
    </row>
    <row r="46302" spans="129:129" x14ac:dyDescent="0.2">
      <c r="DY46302" s="185" t="s">
        <v>215</v>
      </c>
    </row>
    <row r="46303" spans="129:129" x14ac:dyDescent="0.2">
      <c r="DY46303" s="185" t="s">
        <v>215</v>
      </c>
    </row>
    <row r="46304" spans="129:129" x14ac:dyDescent="0.2">
      <c r="DY46304" s="185" t="s">
        <v>215</v>
      </c>
    </row>
    <row r="46305" spans="129:129" x14ac:dyDescent="0.2">
      <c r="DY46305" s="185" t="s">
        <v>215</v>
      </c>
    </row>
    <row r="46306" spans="129:129" x14ac:dyDescent="0.2">
      <c r="DY46306" s="185" t="s">
        <v>215</v>
      </c>
    </row>
    <row r="46307" spans="129:129" x14ac:dyDescent="0.2">
      <c r="DY46307" s="185" t="s">
        <v>215</v>
      </c>
    </row>
    <row r="46308" spans="129:129" x14ac:dyDescent="0.2">
      <c r="DY46308" s="185" t="s">
        <v>215</v>
      </c>
    </row>
    <row r="46309" spans="129:129" x14ac:dyDescent="0.2">
      <c r="DY46309" s="185" t="s">
        <v>215</v>
      </c>
    </row>
    <row r="46310" spans="129:129" x14ac:dyDescent="0.2">
      <c r="DY46310" s="185" t="s">
        <v>215</v>
      </c>
    </row>
    <row r="46311" spans="129:129" x14ac:dyDescent="0.2">
      <c r="DY46311" s="185" t="s">
        <v>215</v>
      </c>
    </row>
    <row r="46312" spans="129:129" x14ac:dyDescent="0.2">
      <c r="DY46312" s="185" t="s">
        <v>215</v>
      </c>
    </row>
    <row r="46313" spans="129:129" x14ac:dyDescent="0.2">
      <c r="DY46313" s="185" t="s">
        <v>215</v>
      </c>
    </row>
    <row r="46314" spans="129:129" x14ac:dyDescent="0.2">
      <c r="DY46314" s="185" t="s">
        <v>215</v>
      </c>
    </row>
    <row r="46315" spans="129:129" x14ac:dyDescent="0.2">
      <c r="DY46315" s="185" t="s">
        <v>215</v>
      </c>
    </row>
    <row r="46316" spans="129:129" x14ac:dyDescent="0.2">
      <c r="DY46316" s="185" t="s">
        <v>215</v>
      </c>
    </row>
    <row r="46317" spans="129:129" x14ac:dyDescent="0.2">
      <c r="DY46317" s="185" t="s">
        <v>215</v>
      </c>
    </row>
    <row r="46318" spans="129:129" x14ac:dyDescent="0.2">
      <c r="DY46318" s="185" t="s">
        <v>215</v>
      </c>
    </row>
    <row r="46319" spans="129:129" x14ac:dyDescent="0.2">
      <c r="DY46319" s="185" t="s">
        <v>215</v>
      </c>
    </row>
    <row r="46320" spans="129:129" x14ac:dyDescent="0.2">
      <c r="DY46320" s="185" t="s">
        <v>215</v>
      </c>
    </row>
    <row r="46321" spans="129:129" x14ac:dyDescent="0.2">
      <c r="DY46321" s="185" t="s">
        <v>215</v>
      </c>
    </row>
    <row r="46322" spans="129:129" x14ac:dyDescent="0.2">
      <c r="DY46322" s="185" t="s">
        <v>215</v>
      </c>
    </row>
    <row r="46323" spans="129:129" x14ac:dyDescent="0.2">
      <c r="DY46323" s="185" t="s">
        <v>215</v>
      </c>
    </row>
    <row r="46324" spans="129:129" x14ac:dyDescent="0.2">
      <c r="DY46324" s="185" t="s">
        <v>215</v>
      </c>
    </row>
    <row r="46325" spans="129:129" x14ac:dyDescent="0.2">
      <c r="DY46325" s="185" t="s">
        <v>215</v>
      </c>
    </row>
    <row r="46326" spans="129:129" x14ac:dyDescent="0.2">
      <c r="DY46326" s="185" t="s">
        <v>215</v>
      </c>
    </row>
    <row r="46327" spans="129:129" x14ac:dyDescent="0.2">
      <c r="DY46327" s="185" t="s">
        <v>215</v>
      </c>
    </row>
    <row r="46328" spans="129:129" x14ac:dyDescent="0.2">
      <c r="DY46328" s="185" t="s">
        <v>215</v>
      </c>
    </row>
    <row r="46329" spans="129:129" x14ac:dyDescent="0.2">
      <c r="DY46329" s="185" t="s">
        <v>215</v>
      </c>
    </row>
    <row r="46330" spans="129:129" x14ac:dyDescent="0.2">
      <c r="DY46330" s="185" t="s">
        <v>215</v>
      </c>
    </row>
    <row r="46331" spans="129:129" x14ac:dyDescent="0.2">
      <c r="DY46331" s="185" t="s">
        <v>215</v>
      </c>
    </row>
    <row r="46332" spans="129:129" x14ac:dyDescent="0.2">
      <c r="DY46332" s="185" t="s">
        <v>215</v>
      </c>
    </row>
    <row r="46333" spans="129:129" x14ac:dyDescent="0.2">
      <c r="DY46333" s="185" t="s">
        <v>215</v>
      </c>
    </row>
    <row r="46334" spans="129:129" x14ac:dyDescent="0.2">
      <c r="DY46334" s="185" t="s">
        <v>215</v>
      </c>
    </row>
    <row r="46335" spans="129:129" x14ac:dyDescent="0.2">
      <c r="DY46335" s="185" t="s">
        <v>215</v>
      </c>
    </row>
    <row r="46336" spans="129:129" x14ac:dyDescent="0.2">
      <c r="DY46336" s="185" t="s">
        <v>215</v>
      </c>
    </row>
    <row r="46337" spans="129:129" x14ac:dyDescent="0.2">
      <c r="DY46337" s="185" t="s">
        <v>215</v>
      </c>
    </row>
    <row r="46338" spans="129:129" x14ac:dyDescent="0.2">
      <c r="DY46338" s="185" t="s">
        <v>215</v>
      </c>
    </row>
    <row r="46339" spans="129:129" x14ac:dyDescent="0.2">
      <c r="DY46339" s="185" t="s">
        <v>215</v>
      </c>
    </row>
    <row r="46340" spans="129:129" x14ac:dyDescent="0.2">
      <c r="DY46340" s="185" t="s">
        <v>215</v>
      </c>
    </row>
    <row r="46341" spans="129:129" x14ac:dyDescent="0.2">
      <c r="DY46341" s="185" t="s">
        <v>215</v>
      </c>
    </row>
    <row r="46342" spans="129:129" x14ac:dyDescent="0.2">
      <c r="DY46342" s="185" t="s">
        <v>215</v>
      </c>
    </row>
    <row r="46343" spans="129:129" x14ac:dyDescent="0.2">
      <c r="DY46343" s="185" t="s">
        <v>215</v>
      </c>
    </row>
    <row r="46344" spans="129:129" x14ac:dyDescent="0.2">
      <c r="DY46344" s="185" t="s">
        <v>215</v>
      </c>
    </row>
    <row r="46345" spans="129:129" x14ac:dyDescent="0.2">
      <c r="DY46345" s="185" t="s">
        <v>215</v>
      </c>
    </row>
    <row r="46346" spans="129:129" x14ac:dyDescent="0.2">
      <c r="DY46346" s="185" t="s">
        <v>215</v>
      </c>
    </row>
    <row r="46347" spans="129:129" x14ac:dyDescent="0.2">
      <c r="DY46347" s="185" t="s">
        <v>215</v>
      </c>
    </row>
    <row r="46348" spans="129:129" x14ac:dyDescent="0.2">
      <c r="DY46348" s="185" t="s">
        <v>215</v>
      </c>
    </row>
    <row r="46349" spans="129:129" x14ac:dyDescent="0.2">
      <c r="DY46349" s="185" t="s">
        <v>215</v>
      </c>
    </row>
    <row r="46350" spans="129:129" x14ac:dyDescent="0.2">
      <c r="DY46350" s="185" t="s">
        <v>215</v>
      </c>
    </row>
    <row r="46351" spans="129:129" x14ac:dyDescent="0.2">
      <c r="DY46351" s="185" t="s">
        <v>215</v>
      </c>
    </row>
    <row r="46352" spans="129:129" x14ac:dyDescent="0.2">
      <c r="DY46352" s="185" t="s">
        <v>215</v>
      </c>
    </row>
    <row r="46353" spans="129:129" x14ac:dyDescent="0.2">
      <c r="DY46353" s="185" t="s">
        <v>215</v>
      </c>
    </row>
    <row r="46354" spans="129:129" x14ac:dyDescent="0.2">
      <c r="DY46354" s="185" t="s">
        <v>215</v>
      </c>
    </row>
    <row r="46355" spans="129:129" x14ac:dyDescent="0.2">
      <c r="DY46355" s="185" t="s">
        <v>215</v>
      </c>
    </row>
    <row r="46356" spans="129:129" x14ac:dyDescent="0.2">
      <c r="DY46356" s="185" t="s">
        <v>215</v>
      </c>
    </row>
    <row r="46357" spans="129:129" x14ac:dyDescent="0.2">
      <c r="DY46357" s="185" t="s">
        <v>215</v>
      </c>
    </row>
    <row r="46358" spans="129:129" x14ac:dyDescent="0.2">
      <c r="DY46358" s="185" t="s">
        <v>215</v>
      </c>
    </row>
    <row r="46359" spans="129:129" x14ac:dyDescent="0.2">
      <c r="DY46359" s="185" t="s">
        <v>215</v>
      </c>
    </row>
    <row r="46360" spans="129:129" x14ac:dyDescent="0.2">
      <c r="DY46360" s="185" t="s">
        <v>215</v>
      </c>
    </row>
    <row r="46361" spans="129:129" x14ac:dyDescent="0.2">
      <c r="DY46361" s="185" t="s">
        <v>215</v>
      </c>
    </row>
    <row r="46362" spans="129:129" x14ac:dyDescent="0.2">
      <c r="DY46362" s="185" t="s">
        <v>215</v>
      </c>
    </row>
    <row r="46363" spans="129:129" x14ac:dyDescent="0.2">
      <c r="DY46363" s="185" t="s">
        <v>215</v>
      </c>
    </row>
    <row r="46364" spans="129:129" x14ac:dyDescent="0.2">
      <c r="DY46364" s="185" t="s">
        <v>215</v>
      </c>
    </row>
    <row r="46365" spans="129:129" x14ac:dyDescent="0.2">
      <c r="DY46365" s="185" t="s">
        <v>215</v>
      </c>
    </row>
    <row r="46366" spans="129:129" x14ac:dyDescent="0.2">
      <c r="DY46366" s="185" t="s">
        <v>215</v>
      </c>
    </row>
    <row r="46367" spans="129:129" x14ac:dyDescent="0.2">
      <c r="DY46367" s="185" t="s">
        <v>215</v>
      </c>
    </row>
    <row r="46368" spans="129:129" x14ac:dyDescent="0.2">
      <c r="DY46368" s="185" t="s">
        <v>215</v>
      </c>
    </row>
    <row r="46369" spans="129:129" x14ac:dyDescent="0.2">
      <c r="DY46369" s="185" t="s">
        <v>215</v>
      </c>
    </row>
    <row r="46370" spans="129:129" x14ac:dyDescent="0.2">
      <c r="DY46370" s="185" t="s">
        <v>215</v>
      </c>
    </row>
    <row r="46371" spans="129:129" x14ac:dyDescent="0.2">
      <c r="DY46371" s="185" t="s">
        <v>215</v>
      </c>
    </row>
    <row r="46372" spans="129:129" x14ac:dyDescent="0.2">
      <c r="DY46372" s="185" t="s">
        <v>215</v>
      </c>
    </row>
    <row r="46373" spans="129:129" x14ac:dyDescent="0.2">
      <c r="DY46373" s="185" t="s">
        <v>215</v>
      </c>
    </row>
    <row r="46374" spans="129:129" x14ac:dyDescent="0.2">
      <c r="DY46374" s="185" t="s">
        <v>215</v>
      </c>
    </row>
    <row r="46375" spans="129:129" x14ac:dyDescent="0.2">
      <c r="DY46375" s="185" t="s">
        <v>215</v>
      </c>
    </row>
    <row r="46376" spans="129:129" x14ac:dyDescent="0.2">
      <c r="DY46376" s="185" t="s">
        <v>215</v>
      </c>
    </row>
    <row r="46377" spans="129:129" x14ac:dyDescent="0.2">
      <c r="DY46377" s="185" t="s">
        <v>215</v>
      </c>
    </row>
    <row r="46378" spans="129:129" x14ac:dyDescent="0.2">
      <c r="DY46378" s="185" t="s">
        <v>215</v>
      </c>
    </row>
    <row r="46379" spans="129:129" x14ac:dyDescent="0.2">
      <c r="DY46379" s="185" t="s">
        <v>215</v>
      </c>
    </row>
    <row r="46380" spans="129:129" x14ac:dyDescent="0.2">
      <c r="DY46380" s="185" t="s">
        <v>215</v>
      </c>
    </row>
    <row r="46381" spans="129:129" x14ac:dyDescent="0.2">
      <c r="DY46381" s="185" t="s">
        <v>215</v>
      </c>
    </row>
    <row r="46382" spans="129:129" x14ac:dyDescent="0.2">
      <c r="DY46382" s="185" t="s">
        <v>215</v>
      </c>
    </row>
    <row r="46383" spans="129:129" x14ac:dyDescent="0.2">
      <c r="DY46383" s="185" t="s">
        <v>215</v>
      </c>
    </row>
    <row r="46384" spans="129:129" x14ac:dyDescent="0.2">
      <c r="DY46384" s="185" t="s">
        <v>215</v>
      </c>
    </row>
    <row r="46385" spans="129:129" x14ac:dyDescent="0.2">
      <c r="DY46385" s="185" t="s">
        <v>215</v>
      </c>
    </row>
    <row r="46386" spans="129:129" x14ac:dyDescent="0.2">
      <c r="DY46386" s="185" t="s">
        <v>215</v>
      </c>
    </row>
    <row r="46387" spans="129:129" x14ac:dyDescent="0.2">
      <c r="DY46387" s="185" t="s">
        <v>215</v>
      </c>
    </row>
    <row r="46388" spans="129:129" x14ac:dyDescent="0.2">
      <c r="DY46388" s="185" t="s">
        <v>215</v>
      </c>
    </row>
    <row r="46389" spans="129:129" x14ac:dyDescent="0.2">
      <c r="DY46389" s="185" t="s">
        <v>215</v>
      </c>
    </row>
    <row r="46390" spans="129:129" x14ac:dyDescent="0.2">
      <c r="DY46390" s="185" t="s">
        <v>215</v>
      </c>
    </row>
    <row r="46391" spans="129:129" x14ac:dyDescent="0.2">
      <c r="DY46391" s="185" t="s">
        <v>215</v>
      </c>
    </row>
    <row r="46392" spans="129:129" x14ac:dyDescent="0.2">
      <c r="DY46392" s="185" t="s">
        <v>215</v>
      </c>
    </row>
    <row r="46393" spans="129:129" x14ac:dyDescent="0.2">
      <c r="DY46393" s="185" t="s">
        <v>215</v>
      </c>
    </row>
    <row r="46394" spans="129:129" x14ac:dyDescent="0.2">
      <c r="DY46394" s="185" t="s">
        <v>215</v>
      </c>
    </row>
    <row r="46395" spans="129:129" x14ac:dyDescent="0.2">
      <c r="DY46395" s="185" t="s">
        <v>215</v>
      </c>
    </row>
    <row r="46396" spans="129:129" x14ac:dyDescent="0.2">
      <c r="DY46396" s="185" t="s">
        <v>215</v>
      </c>
    </row>
    <row r="46397" spans="129:129" x14ac:dyDescent="0.2">
      <c r="DY46397" s="185" t="s">
        <v>215</v>
      </c>
    </row>
    <row r="46398" spans="129:129" x14ac:dyDescent="0.2">
      <c r="DY46398" s="185" t="s">
        <v>215</v>
      </c>
    </row>
    <row r="46399" spans="129:129" x14ac:dyDescent="0.2">
      <c r="DY46399" s="185" t="s">
        <v>215</v>
      </c>
    </row>
    <row r="46400" spans="129:129" x14ac:dyDescent="0.2">
      <c r="DY46400" s="185" t="s">
        <v>215</v>
      </c>
    </row>
    <row r="46401" spans="129:129" x14ac:dyDescent="0.2">
      <c r="DY46401" s="185" t="s">
        <v>215</v>
      </c>
    </row>
    <row r="46402" spans="129:129" x14ac:dyDescent="0.2">
      <c r="DY46402" s="185" t="s">
        <v>215</v>
      </c>
    </row>
    <row r="46403" spans="129:129" x14ac:dyDescent="0.2">
      <c r="DY46403" s="185" t="s">
        <v>215</v>
      </c>
    </row>
    <row r="46404" spans="129:129" x14ac:dyDescent="0.2">
      <c r="DY46404" s="185" t="s">
        <v>215</v>
      </c>
    </row>
    <row r="46405" spans="129:129" x14ac:dyDescent="0.2">
      <c r="DY46405" s="185" t="s">
        <v>215</v>
      </c>
    </row>
    <row r="46406" spans="129:129" x14ac:dyDescent="0.2">
      <c r="DY46406" s="185" t="s">
        <v>215</v>
      </c>
    </row>
    <row r="46407" spans="129:129" x14ac:dyDescent="0.2">
      <c r="DY46407" s="185" t="s">
        <v>215</v>
      </c>
    </row>
    <row r="46408" spans="129:129" x14ac:dyDescent="0.2">
      <c r="DY46408" s="185" t="s">
        <v>215</v>
      </c>
    </row>
    <row r="46409" spans="129:129" x14ac:dyDescent="0.2">
      <c r="DY46409" s="185" t="s">
        <v>215</v>
      </c>
    </row>
    <row r="46410" spans="129:129" x14ac:dyDescent="0.2">
      <c r="DY46410" s="185" t="s">
        <v>215</v>
      </c>
    </row>
    <row r="46411" spans="129:129" x14ac:dyDescent="0.2">
      <c r="DY46411" s="185" t="s">
        <v>215</v>
      </c>
    </row>
    <row r="46412" spans="129:129" x14ac:dyDescent="0.2">
      <c r="DY46412" s="185" t="s">
        <v>215</v>
      </c>
    </row>
    <row r="46413" spans="129:129" x14ac:dyDescent="0.2">
      <c r="DY46413" s="185" t="s">
        <v>215</v>
      </c>
    </row>
    <row r="46414" spans="129:129" x14ac:dyDescent="0.2">
      <c r="DY46414" s="185" t="s">
        <v>215</v>
      </c>
    </row>
    <row r="46415" spans="129:129" x14ac:dyDescent="0.2">
      <c r="DY46415" s="185" t="s">
        <v>215</v>
      </c>
    </row>
    <row r="46416" spans="129:129" x14ac:dyDescent="0.2">
      <c r="DY46416" s="185" t="s">
        <v>215</v>
      </c>
    </row>
    <row r="46417" spans="129:129" x14ac:dyDescent="0.2">
      <c r="DY46417" s="185" t="s">
        <v>215</v>
      </c>
    </row>
    <row r="46418" spans="129:129" x14ac:dyDescent="0.2">
      <c r="DY46418" s="185" t="s">
        <v>215</v>
      </c>
    </row>
    <row r="46419" spans="129:129" x14ac:dyDescent="0.2">
      <c r="DY46419" s="185" t="s">
        <v>215</v>
      </c>
    </row>
    <row r="46420" spans="129:129" x14ac:dyDescent="0.2">
      <c r="DY46420" s="185" t="s">
        <v>215</v>
      </c>
    </row>
    <row r="46421" spans="129:129" x14ac:dyDescent="0.2">
      <c r="DY46421" s="185" t="s">
        <v>215</v>
      </c>
    </row>
    <row r="46422" spans="129:129" x14ac:dyDescent="0.2">
      <c r="DY46422" s="185" t="s">
        <v>215</v>
      </c>
    </row>
    <row r="46423" spans="129:129" x14ac:dyDescent="0.2">
      <c r="DY46423" s="185" t="s">
        <v>215</v>
      </c>
    </row>
    <row r="46424" spans="129:129" x14ac:dyDescent="0.2">
      <c r="DY46424" s="185" t="s">
        <v>215</v>
      </c>
    </row>
    <row r="46425" spans="129:129" x14ac:dyDescent="0.2">
      <c r="DY46425" s="185" t="s">
        <v>215</v>
      </c>
    </row>
    <row r="46426" spans="129:129" x14ac:dyDescent="0.2">
      <c r="DY46426" s="185" t="s">
        <v>215</v>
      </c>
    </row>
    <row r="46427" spans="129:129" x14ac:dyDescent="0.2">
      <c r="DY46427" s="185" t="s">
        <v>215</v>
      </c>
    </row>
    <row r="46428" spans="129:129" x14ac:dyDescent="0.2">
      <c r="DY46428" s="185" t="s">
        <v>215</v>
      </c>
    </row>
    <row r="46429" spans="129:129" x14ac:dyDescent="0.2">
      <c r="DY46429" s="185" t="s">
        <v>215</v>
      </c>
    </row>
    <row r="46430" spans="129:129" x14ac:dyDescent="0.2">
      <c r="DY46430" s="185" t="s">
        <v>215</v>
      </c>
    </row>
    <row r="46431" spans="129:129" x14ac:dyDescent="0.2">
      <c r="DY46431" s="185" t="s">
        <v>215</v>
      </c>
    </row>
    <row r="46432" spans="129:129" x14ac:dyDescent="0.2">
      <c r="DY46432" s="185" t="s">
        <v>215</v>
      </c>
    </row>
    <row r="46433" spans="129:129" x14ac:dyDescent="0.2">
      <c r="DY46433" s="185" t="s">
        <v>215</v>
      </c>
    </row>
    <row r="46434" spans="129:129" x14ac:dyDescent="0.2">
      <c r="DY46434" s="185" t="s">
        <v>215</v>
      </c>
    </row>
    <row r="46435" spans="129:129" x14ac:dyDescent="0.2">
      <c r="DY46435" s="185" t="s">
        <v>215</v>
      </c>
    </row>
    <row r="46436" spans="129:129" x14ac:dyDescent="0.2">
      <c r="DY46436" s="185" t="s">
        <v>215</v>
      </c>
    </row>
    <row r="46437" spans="129:129" x14ac:dyDescent="0.2">
      <c r="DY46437" s="185" t="s">
        <v>215</v>
      </c>
    </row>
    <row r="46438" spans="129:129" x14ac:dyDescent="0.2">
      <c r="DY46438" s="185" t="s">
        <v>215</v>
      </c>
    </row>
    <row r="46439" spans="129:129" x14ac:dyDescent="0.2">
      <c r="DY46439" s="185" t="s">
        <v>215</v>
      </c>
    </row>
    <row r="46440" spans="129:129" x14ac:dyDescent="0.2">
      <c r="DY46440" s="185" t="s">
        <v>215</v>
      </c>
    </row>
    <row r="46441" spans="129:129" x14ac:dyDescent="0.2">
      <c r="DY46441" s="185" t="s">
        <v>215</v>
      </c>
    </row>
    <row r="46442" spans="129:129" x14ac:dyDescent="0.2">
      <c r="DY46442" s="185" t="s">
        <v>215</v>
      </c>
    </row>
    <row r="46443" spans="129:129" x14ac:dyDescent="0.2">
      <c r="DY46443" s="185" t="s">
        <v>215</v>
      </c>
    </row>
    <row r="46444" spans="129:129" x14ac:dyDescent="0.2">
      <c r="DY46444" s="185" t="s">
        <v>215</v>
      </c>
    </row>
    <row r="46445" spans="129:129" x14ac:dyDescent="0.2">
      <c r="DY46445" s="185" t="s">
        <v>215</v>
      </c>
    </row>
    <row r="46446" spans="129:129" x14ac:dyDescent="0.2">
      <c r="DY46446" s="185" t="s">
        <v>215</v>
      </c>
    </row>
    <row r="46447" spans="129:129" x14ac:dyDescent="0.2">
      <c r="DY46447" s="185" t="s">
        <v>215</v>
      </c>
    </row>
    <row r="46448" spans="129:129" x14ac:dyDescent="0.2">
      <c r="DY46448" s="185" t="s">
        <v>215</v>
      </c>
    </row>
    <row r="46449" spans="129:129" x14ac:dyDescent="0.2">
      <c r="DY46449" s="185" t="s">
        <v>215</v>
      </c>
    </row>
    <row r="46450" spans="129:129" x14ac:dyDescent="0.2">
      <c r="DY46450" s="185" t="s">
        <v>215</v>
      </c>
    </row>
    <row r="46451" spans="129:129" x14ac:dyDescent="0.2">
      <c r="DY46451" s="185" t="s">
        <v>215</v>
      </c>
    </row>
    <row r="46452" spans="129:129" x14ac:dyDescent="0.2">
      <c r="DY46452" s="185" t="s">
        <v>215</v>
      </c>
    </row>
    <row r="46453" spans="129:129" x14ac:dyDescent="0.2">
      <c r="DY46453" s="185" t="s">
        <v>215</v>
      </c>
    </row>
    <row r="46454" spans="129:129" x14ac:dyDescent="0.2">
      <c r="DY46454" s="185" t="s">
        <v>215</v>
      </c>
    </row>
    <row r="46455" spans="129:129" x14ac:dyDescent="0.2">
      <c r="DY46455" s="185" t="s">
        <v>215</v>
      </c>
    </row>
    <row r="46456" spans="129:129" x14ac:dyDescent="0.2">
      <c r="DY46456" s="185" t="s">
        <v>215</v>
      </c>
    </row>
    <row r="46457" spans="129:129" x14ac:dyDescent="0.2">
      <c r="DY46457" s="185" t="s">
        <v>215</v>
      </c>
    </row>
    <row r="46458" spans="129:129" x14ac:dyDescent="0.2">
      <c r="DY46458" s="185" t="s">
        <v>215</v>
      </c>
    </row>
    <row r="46459" spans="129:129" x14ac:dyDescent="0.2">
      <c r="DY46459" s="185" t="s">
        <v>215</v>
      </c>
    </row>
    <row r="46460" spans="129:129" x14ac:dyDescent="0.2">
      <c r="DY46460" s="185" t="s">
        <v>215</v>
      </c>
    </row>
    <row r="46461" spans="129:129" x14ac:dyDescent="0.2">
      <c r="DY46461" s="185" t="s">
        <v>215</v>
      </c>
    </row>
    <row r="46462" spans="129:129" x14ac:dyDescent="0.2">
      <c r="DY46462" s="185" t="s">
        <v>215</v>
      </c>
    </row>
    <row r="46463" spans="129:129" x14ac:dyDescent="0.2">
      <c r="DY46463" s="185" t="s">
        <v>215</v>
      </c>
    </row>
    <row r="46464" spans="129:129" x14ac:dyDescent="0.2">
      <c r="DY46464" s="185" t="s">
        <v>215</v>
      </c>
    </row>
    <row r="46465" spans="129:129" x14ac:dyDescent="0.2">
      <c r="DY46465" s="185" t="s">
        <v>215</v>
      </c>
    </row>
    <row r="46466" spans="129:129" x14ac:dyDescent="0.2">
      <c r="DY46466" s="185" t="s">
        <v>215</v>
      </c>
    </row>
    <row r="46467" spans="129:129" x14ac:dyDescent="0.2">
      <c r="DY46467" s="185" t="s">
        <v>215</v>
      </c>
    </row>
    <row r="46468" spans="129:129" x14ac:dyDescent="0.2">
      <c r="DY46468" s="185" t="s">
        <v>215</v>
      </c>
    </row>
    <row r="46469" spans="129:129" x14ac:dyDescent="0.2">
      <c r="DY46469" s="185" t="s">
        <v>215</v>
      </c>
    </row>
    <row r="46470" spans="129:129" x14ac:dyDescent="0.2">
      <c r="DY46470" s="185" t="s">
        <v>215</v>
      </c>
    </row>
    <row r="46471" spans="129:129" x14ac:dyDescent="0.2">
      <c r="DY46471" s="185" t="s">
        <v>215</v>
      </c>
    </row>
    <row r="46472" spans="129:129" x14ac:dyDescent="0.2">
      <c r="DY46472" s="185" t="s">
        <v>215</v>
      </c>
    </row>
    <row r="46473" spans="129:129" x14ac:dyDescent="0.2">
      <c r="DY46473" s="185" t="s">
        <v>215</v>
      </c>
    </row>
    <row r="46474" spans="129:129" x14ac:dyDescent="0.2">
      <c r="DY46474" s="185" t="s">
        <v>215</v>
      </c>
    </row>
    <row r="46475" spans="129:129" x14ac:dyDescent="0.2">
      <c r="DY46475" s="185" t="s">
        <v>215</v>
      </c>
    </row>
    <row r="46476" spans="129:129" x14ac:dyDescent="0.2">
      <c r="DY46476" s="185" t="s">
        <v>215</v>
      </c>
    </row>
    <row r="46477" spans="129:129" x14ac:dyDescent="0.2">
      <c r="DY46477" s="185" t="s">
        <v>215</v>
      </c>
    </row>
    <row r="46478" spans="129:129" x14ac:dyDescent="0.2">
      <c r="DY46478" s="185" t="s">
        <v>215</v>
      </c>
    </row>
    <row r="46479" spans="129:129" x14ac:dyDescent="0.2">
      <c r="DY46479" s="185" t="s">
        <v>215</v>
      </c>
    </row>
    <row r="46480" spans="129:129" x14ac:dyDescent="0.2">
      <c r="DY46480" s="185" t="s">
        <v>215</v>
      </c>
    </row>
    <row r="46481" spans="129:129" x14ac:dyDescent="0.2">
      <c r="DY46481" s="185" t="s">
        <v>215</v>
      </c>
    </row>
    <row r="46482" spans="129:129" x14ac:dyDescent="0.2">
      <c r="DY46482" s="185" t="s">
        <v>215</v>
      </c>
    </row>
    <row r="46483" spans="129:129" x14ac:dyDescent="0.2">
      <c r="DY46483" s="185" t="s">
        <v>215</v>
      </c>
    </row>
    <row r="46484" spans="129:129" x14ac:dyDescent="0.2">
      <c r="DY46484" s="185" t="s">
        <v>215</v>
      </c>
    </row>
    <row r="46485" spans="129:129" x14ac:dyDescent="0.2">
      <c r="DY46485" s="185" t="s">
        <v>215</v>
      </c>
    </row>
    <row r="46486" spans="129:129" x14ac:dyDescent="0.2">
      <c r="DY46486" s="185" t="s">
        <v>215</v>
      </c>
    </row>
    <row r="46487" spans="129:129" x14ac:dyDescent="0.2">
      <c r="DY46487" s="185" t="s">
        <v>215</v>
      </c>
    </row>
    <row r="46488" spans="129:129" x14ac:dyDescent="0.2">
      <c r="DY46488" s="185" t="s">
        <v>215</v>
      </c>
    </row>
    <row r="46489" spans="129:129" x14ac:dyDescent="0.2">
      <c r="DY46489" s="185" t="s">
        <v>215</v>
      </c>
    </row>
    <row r="46490" spans="129:129" x14ac:dyDescent="0.2">
      <c r="DY46490" s="185" t="s">
        <v>215</v>
      </c>
    </row>
    <row r="46491" spans="129:129" x14ac:dyDescent="0.2">
      <c r="DY46491" s="185" t="s">
        <v>215</v>
      </c>
    </row>
    <row r="46492" spans="129:129" x14ac:dyDescent="0.2">
      <c r="DY46492" s="185" t="s">
        <v>215</v>
      </c>
    </row>
    <row r="46493" spans="129:129" x14ac:dyDescent="0.2">
      <c r="DY46493" s="185" t="s">
        <v>215</v>
      </c>
    </row>
    <row r="46494" spans="129:129" x14ac:dyDescent="0.2">
      <c r="DY46494" s="185" t="s">
        <v>215</v>
      </c>
    </row>
    <row r="46495" spans="129:129" x14ac:dyDescent="0.2">
      <c r="DY46495" s="185" t="s">
        <v>215</v>
      </c>
    </row>
    <row r="46496" spans="129:129" x14ac:dyDescent="0.2">
      <c r="DY46496" s="185" t="s">
        <v>215</v>
      </c>
    </row>
    <row r="46497" spans="129:129" x14ac:dyDescent="0.2">
      <c r="DY46497" s="185" t="s">
        <v>215</v>
      </c>
    </row>
    <row r="46498" spans="129:129" x14ac:dyDescent="0.2">
      <c r="DY46498" s="185" t="s">
        <v>215</v>
      </c>
    </row>
    <row r="46499" spans="129:129" x14ac:dyDescent="0.2">
      <c r="DY46499" s="185" t="s">
        <v>215</v>
      </c>
    </row>
    <row r="46500" spans="129:129" x14ac:dyDescent="0.2">
      <c r="DY46500" s="185" t="s">
        <v>215</v>
      </c>
    </row>
    <row r="46501" spans="129:129" x14ac:dyDescent="0.2">
      <c r="DY46501" s="185" t="s">
        <v>215</v>
      </c>
    </row>
    <row r="46502" spans="129:129" x14ac:dyDescent="0.2">
      <c r="DY46502" s="185" t="s">
        <v>215</v>
      </c>
    </row>
    <row r="46503" spans="129:129" x14ac:dyDescent="0.2">
      <c r="DY46503" s="185" t="s">
        <v>215</v>
      </c>
    </row>
    <row r="46504" spans="129:129" x14ac:dyDescent="0.2">
      <c r="DY46504" s="185" t="s">
        <v>215</v>
      </c>
    </row>
    <row r="46505" spans="129:129" x14ac:dyDescent="0.2">
      <c r="DY46505" s="185" t="s">
        <v>215</v>
      </c>
    </row>
    <row r="46506" spans="129:129" x14ac:dyDescent="0.2">
      <c r="DY46506" s="185" t="s">
        <v>215</v>
      </c>
    </row>
    <row r="46507" spans="129:129" x14ac:dyDescent="0.2">
      <c r="DY46507" s="185" t="s">
        <v>215</v>
      </c>
    </row>
    <row r="46508" spans="129:129" x14ac:dyDescent="0.2">
      <c r="DY46508" s="185" t="s">
        <v>215</v>
      </c>
    </row>
    <row r="46509" spans="129:129" x14ac:dyDescent="0.2">
      <c r="DY46509" s="185" t="s">
        <v>215</v>
      </c>
    </row>
    <row r="46510" spans="129:129" x14ac:dyDescent="0.2">
      <c r="DY46510" s="185" t="s">
        <v>215</v>
      </c>
    </row>
    <row r="46511" spans="129:129" x14ac:dyDescent="0.2">
      <c r="DY46511" s="185" t="s">
        <v>215</v>
      </c>
    </row>
    <row r="46512" spans="129:129" x14ac:dyDescent="0.2">
      <c r="DY46512" s="185" t="s">
        <v>215</v>
      </c>
    </row>
    <row r="46513" spans="129:129" x14ac:dyDescent="0.2">
      <c r="DY46513" s="185" t="s">
        <v>215</v>
      </c>
    </row>
    <row r="46514" spans="129:129" x14ac:dyDescent="0.2">
      <c r="DY46514" s="185" t="s">
        <v>215</v>
      </c>
    </row>
    <row r="46515" spans="129:129" x14ac:dyDescent="0.2">
      <c r="DY46515" s="185" t="s">
        <v>215</v>
      </c>
    </row>
    <row r="46516" spans="129:129" x14ac:dyDescent="0.2">
      <c r="DY46516" s="185" t="s">
        <v>215</v>
      </c>
    </row>
    <row r="46517" spans="129:129" x14ac:dyDescent="0.2">
      <c r="DY46517" s="185" t="s">
        <v>215</v>
      </c>
    </row>
    <row r="46518" spans="129:129" x14ac:dyDescent="0.2">
      <c r="DY46518" s="185" t="s">
        <v>215</v>
      </c>
    </row>
    <row r="46519" spans="129:129" x14ac:dyDescent="0.2">
      <c r="DY46519" s="185" t="s">
        <v>215</v>
      </c>
    </row>
    <row r="46520" spans="129:129" x14ac:dyDescent="0.2">
      <c r="DY46520" s="185" t="s">
        <v>215</v>
      </c>
    </row>
    <row r="46521" spans="129:129" x14ac:dyDescent="0.2">
      <c r="DY46521" s="185" t="s">
        <v>215</v>
      </c>
    </row>
    <row r="46522" spans="129:129" x14ac:dyDescent="0.2">
      <c r="DY46522" s="185" t="s">
        <v>215</v>
      </c>
    </row>
    <row r="46523" spans="129:129" x14ac:dyDescent="0.2">
      <c r="DY46523" s="185" t="s">
        <v>215</v>
      </c>
    </row>
    <row r="46524" spans="129:129" x14ac:dyDescent="0.2">
      <c r="DY46524" s="185" t="s">
        <v>215</v>
      </c>
    </row>
    <row r="46525" spans="129:129" x14ac:dyDescent="0.2">
      <c r="DY46525" s="185" t="s">
        <v>215</v>
      </c>
    </row>
    <row r="46526" spans="129:129" x14ac:dyDescent="0.2">
      <c r="DY46526" s="185" t="s">
        <v>215</v>
      </c>
    </row>
    <row r="46527" spans="129:129" x14ac:dyDescent="0.2">
      <c r="DY46527" s="185" t="s">
        <v>215</v>
      </c>
    </row>
    <row r="46528" spans="129:129" x14ac:dyDescent="0.2">
      <c r="DY46528" s="185" t="s">
        <v>215</v>
      </c>
    </row>
    <row r="46529" spans="129:129" x14ac:dyDescent="0.2">
      <c r="DY46529" s="185" t="s">
        <v>215</v>
      </c>
    </row>
    <row r="46530" spans="129:129" x14ac:dyDescent="0.2">
      <c r="DY46530" s="185" t="s">
        <v>215</v>
      </c>
    </row>
    <row r="46531" spans="129:129" x14ac:dyDescent="0.2">
      <c r="DY46531" s="185" t="s">
        <v>215</v>
      </c>
    </row>
    <row r="46532" spans="129:129" x14ac:dyDescent="0.2">
      <c r="DY46532" s="185" t="s">
        <v>215</v>
      </c>
    </row>
    <row r="46533" spans="129:129" x14ac:dyDescent="0.2">
      <c r="DY46533" s="185" t="s">
        <v>215</v>
      </c>
    </row>
    <row r="46534" spans="129:129" x14ac:dyDescent="0.2">
      <c r="DY46534" s="185" t="s">
        <v>215</v>
      </c>
    </row>
    <row r="46535" spans="129:129" x14ac:dyDescent="0.2">
      <c r="DY46535" s="185" t="s">
        <v>215</v>
      </c>
    </row>
    <row r="46536" spans="129:129" x14ac:dyDescent="0.2">
      <c r="DY46536" s="185" t="s">
        <v>215</v>
      </c>
    </row>
    <row r="46537" spans="129:129" x14ac:dyDescent="0.2">
      <c r="DY46537" s="185" t="s">
        <v>215</v>
      </c>
    </row>
    <row r="46538" spans="129:129" x14ac:dyDescent="0.2">
      <c r="DY46538" s="185" t="s">
        <v>215</v>
      </c>
    </row>
    <row r="46539" spans="129:129" x14ac:dyDescent="0.2">
      <c r="DY46539" s="185" t="s">
        <v>215</v>
      </c>
    </row>
    <row r="46540" spans="129:129" x14ac:dyDescent="0.2">
      <c r="DY46540" s="185" t="s">
        <v>215</v>
      </c>
    </row>
    <row r="46541" spans="129:129" x14ac:dyDescent="0.2">
      <c r="DY46541" s="185" t="s">
        <v>215</v>
      </c>
    </row>
    <row r="46542" spans="129:129" x14ac:dyDescent="0.2">
      <c r="DY46542" s="185" t="s">
        <v>215</v>
      </c>
    </row>
    <row r="46543" spans="129:129" x14ac:dyDescent="0.2">
      <c r="DY46543" s="185" t="s">
        <v>215</v>
      </c>
    </row>
    <row r="46544" spans="129:129" x14ac:dyDescent="0.2">
      <c r="DY46544" s="185" t="s">
        <v>215</v>
      </c>
    </row>
    <row r="46545" spans="129:129" x14ac:dyDescent="0.2">
      <c r="DY46545" s="185" t="s">
        <v>215</v>
      </c>
    </row>
    <row r="46546" spans="129:129" x14ac:dyDescent="0.2">
      <c r="DY46546" s="185" t="s">
        <v>215</v>
      </c>
    </row>
    <row r="46547" spans="129:129" x14ac:dyDescent="0.2">
      <c r="DY46547" s="185" t="s">
        <v>215</v>
      </c>
    </row>
    <row r="46548" spans="129:129" x14ac:dyDescent="0.2">
      <c r="DY46548" s="185" t="s">
        <v>215</v>
      </c>
    </row>
    <row r="46549" spans="129:129" x14ac:dyDescent="0.2">
      <c r="DY46549" s="185" t="s">
        <v>215</v>
      </c>
    </row>
    <row r="46550" spans="129:129" x14ac:dyDescent="0.2">
      <c r="DY46550" s="185" t="s">
        <v>215</v>
      </c>
    </row>
    <row r="46551" spans="129:129" x14ac:dyDescent="0.2">
      <c r="DY46551" s="185" t="s">
        <v>215</v>
      </c>
    </row>
    <row r="46552" spans="129:129" x14ac:dyDescent="0.2">
      <c r="DY46552" s="185" t="s">
        <v>215</v>
      </c>
    </row>
    <row r="46553" spans="129:129" x14ac:dyDescent="0.2">
      <c r="DY46553" s="185" t="s">
        <v>215</v>
      </c>
    </row>
    <row r="46554" spans="129:129" x14ac:dyDescent="0.2">
      <c r="DY46554" s="185" t="s">
        <v>215</v>
      </c>
    </row>
    <row r="46555" spans="129:129" x14ac:dyDescent="0.2">
      <c r="DY46555" s="185" t="s">
        <v>215</v>
      </c>
    </row>
    <row r="46556" spans="129:129" x14ac:dyDescent="0.2">
      <c r="DY46556" s="185" t="s">
        <v>215</v>
      </c>
    </row>
    <row r="46557" spans="129:129" x14ac:dyDescent="0.2">
      <c r="DY46557" s="185" t="s">
        <v>215</v>
      </c>
    </row>
    <row r="46558" spans="129:129" x14ac:dyDescent="0.2">
      <c r="DY46558" s="185" t="s">
        <v>215</v>
      </c>
    </row>
    <row r="46559" spans="129:129" x14ac:dyDescent="0.2">
      <c r="DY46559" s="185" t="s">
        <v>215</v>
      </c>
    </row>
    <row r="46560" spans="129:129" x14ac:dyDescent="0.2">
      <c r="DY46560" s="185" t="s">
        <v>215</v>
      </c>
    </row>
    <row r="46561" spans="129:129" x14ac:dyDescent="0.2">
      <c r="DY46561" s="185" t="s">
        <v>215</v>
      </c>
    </row>
    <row r="46562" spans="129:129" x14ac:dyDescent="0.2">
      <c r="DY46562" s="185" t="s">
        <v>215</v>
      </c>
    </row>
    <row r="46563" spans="129:129" x14ac:dyDescent="0.2">
      <c r="DY46563" s="185" t="s">
        <v>215</v>
      </c>
    </row>
    <row r="46564" spans="129:129" x14ac:dyDescent="0.2">
      <c r="DY46564" s="185" t="s">
        <v>215</v>
      </c>
    </row>
    <row r="46565" spans="129:129" x14ac:dyDescent="0.2">
      <c r="DY46565" s="185" t="s">
        <v>215</v>
      </c>
    </row>
    <row r="46566" spans="129:129" x14ac:dyDescent="0.2">
      <c r="DY46566" s="185" t="s">
        <v>215</v>
      </c>
    </row>
    <row r="46567" spans="129:129" x14ac:dyDescent="0.2">
      <c r="DY46567" s="185" t="s">
        <v>215</v>
      </c>
    </row>
    <row r="46568" spans="129:129" x14ac:dyDescent="0.2">
      <c r="DY46568" s="185" t="s">
        <v>215</v>
      </c>
    </row>
    <row r="46569" spans="129:129" x14ac:dyDescent="0.2">
      <c r="DY46569" s="185" t="s">
        <v>215</v>
      </c>
    </row>
    <row r="46570" spans="129:129" x14ac:dyDescent="0.2">
      <c r="DY46570" s="185" t="s">
        <v>215</v>
      </c>
    </row>
    <row r="46571" spans="129:129" x14ac:dyDescent="0.2">
      <c r="DY46571" s="185" t="s">
        <v>215</v>
      </c>
    </row>
    <row r="46572" spans="129:129" x14ac:dyDescent="0.2">
      <c r="DY46572" s="185" t="s">
        <v>215</v>
      </c>
    </row>
    <row r="46573" spans="129:129" x14ac:dyDescent="0.2">
      <c r="DY46573" s="185" t="s">
        <v>215</v>
      </c>
    </row>
    <row r="46574" spans="129:129" x14ac:dyDescent="0.2">
      <c r="DY46574" s="185" t="s">
        <v>215</v>
      </c>
    </row>
    <row r="46575" spans="129:129" x14ac:dyDescent="0.2">
      <c r="DY46575" s="185" t="s">
        <v>215</v>
      </c>
    </row>
    <row r="46576" spans="129:129" x14ac:dyDescent="0.2">
      <c r="DY46576" s="185" t="s">
        <v>215</v>
      </c>
    </row>
    <row r="46577" spans="129:129" x14ac:dyDescent="0.2">
      <c r="DY46577" s="185" t="s">
        <v>215</v>
      </c>
    </row>
    <row r="46578" spans="129:129" x14ac:dyDescent="0.2">
      <c r="DY46578" s="185" t="s">
        <v>215</v>
      </c>
    </row>
    <row r="46579" spans="129:129" x14ac:dyDescent="0.2">
      <c r="DY46579" s="185" t="s">
        <v>215</v>
      </c>
    </row>
    <row r="46580" spans="129:129" x14ac:dyDescent="0.2">
      <c r="DY46580" s="185" t="s">
        <v>215</v>
      </c>
    </row>
    <row r="46581" spans="129:129" x14ac:dyDescent="0.2">
      <c r="DY46581" s="185" t="s">
        <v>215</v>
      </c>
    </row>
    <row r="46582" spans="129:129" x14ac:dyDescent="0.2">
      <c r="DY46582" s="185" t="s">
        <v>215</v>
      </c>
    </row>
    <row r="46583" spans="129:129" x14ac:dyDescent="0.2">
      <c r="DY46583" s="185" t="s">
        <v>215</v>
      </c>
    </row>
    <row r="46584" spans="129:129" x14ac:dyDescent="0.2">
      <c r="DY46584" s="185" t="s">
        <v>215</v>
      </c>
    </row>
    <row r="46585" spans="129:129" x14ac:dyDescent="0.2">
      <c r="DY46585" s="185" t="s">
        <v>215</v>
      </c>
    </row>
    <row r="46586" spans="129:129" x14ac:dyDescent="0.2">
      <c r="DY46586" s="185" t="s">
        <v>215</v>
      </c>
    </row>
    <row r="46587" spans="129:129" x14ac:dyDescent="0.2">
      <c r="DY46587" s="185" t="s">
        <v>215</v>
      </c>
    </row>
    <row r="46588" spans="129:129" x14ac:dyDescent="0.2">
      <c r="DY46588" s="185" t="s">
        <v>215</v>
      </c>
    </row>
    <row r="46589" spans="129:129" x14ac:dyDescent="0.2">
      <c r="DY46589" s="185" t="s">
        <v>215</v>
      </c>
    </row>
    <row r="46590" spans="129:129" x14ac:dyDescent="0.2">
      <c r="DY46590" s="185" t="s">
        <v>215</v>
      </c>
    </row>
    <row r="46591" spans="129:129" x14ac:dyDescent="0.2">
      <c r="DY46591" s="185" t="s">
        <v>215</v>
      </c>
    </row>
    <row r="46592" spans="129:129" x14ac:dyDescent="0.2">
      <c r="DY46592" s="185" t="s">
        <v>215</v>
      </c>
    </row>
    <row r="46593" spans="129:129" x14ac:dyDescent="0.2">
      <c r="DY46593" s="185" t="s">
        <v>215</v>
      </c>
    </row>
    <row r="46594" spans="129:129" x14ac:dyDescent="0.2">
      <c r="DY46594" s="185" t="s">
        <v>215</v>
      </c>
    </row>
    <row r="46595" spans="129:129" x14ac:dyDescent="0.2">
      <c r="DY46595" s="185" t="s">
        <v>215</v>
      </c>
    </row>
    <row r="46596" spans="129:129" x14ac:dyDescent="0.2">
      <c r="DY46596" s="185" t="s">
        <v>215</v>
      </c>
    </row>
    <row r="46597" spans="129:129" x14ac:dyDescent="0.2">
      <c r="DY46597" s="185" t="s">
        <v>215</v>
      </c>
    </row>
    <row r="46598" spans="129:129" x14ac:dyDescent="0.2">
      <c r="DY46598" s="185" t="s">
        <v>215</v>
      </c>
    </row>
    <row r="46599" spans="129:129" x14ac:dyDescent="0.2">
      <c r="DY46599" s="185" t="s">
        <v>215</v>
      </c>
    </row>
    <row r="46600" spans="129:129" x14ac:dyDescent="0.2">
      <c r="DY46600" s="185" t="s">
        <v>215</v>
      </c>
    </row>
    <row r="46601" spans="129:129" x14ac:dyDescent="0.2">
      <c r="DY46601" s="185" t="s">
        <v>215</v>
      </c>
    </row>
    <row r="46602" spans="129:129" x14ac:dyDescent="0.2">
      <c r="DY46602" s="185" t="s">
        <v>215</v>
      </c>
    </row>
    <row r="46603" spans="129:129" x14ac:dyDescent="0.2">
      <c r="DY46603" s="185" t="s">
        <v>215</v>
      </c>
    </row>
    <row r="46604" spans="129:129" x14ac:dyDescent="0.2">
      <c r="DY46604" s="185" t="s">
        <v>215</v>
      </c>
    </row>
    <row r="46605" spans="129:129" x14ac:dyDescent="0.2">
      <c r="DY46605" s="185" t="s">
        <v>215</v>
      </c>
    </row>
    <row r="46606" spans="129:129" x14ac:dyDescent="0.2">
      <c r="DY46606" s="185" t="s">
        <v>215</v>
      </c>
    </row>
    <row r="46607" spans="129:129" x14ac:dyDescent="0.2">
      <c r="DY46607" s="185" t="s">
        <v>215</v>
      </c>
    </row>
    <row r="46608" spans="129:129" x14ac:dyDescent="0.2">
      <c r="DY46608" s="185" t="s">
        <v>215</v>
      </c>
    </row>
    <row r="46609" spans="129:129" x14ac:dyDescent="0.2">
      <c r="DY46609" s="185" t="s">
        <v>215</v>
      </c>
    </row>
    <row r="46610" spans="129:129" x14ac:dyDescent="0.2">
      <c r="DY46610" s="185" t="s">
        <v>215</v>
      </c>
    </row>
    <row r="46611" spans="129:129" x14ac:dyDescent="0.2">
      <c r="DY46611" s="185" t="s">
        <v>215</v>
      </c>
    </row>
    <row r="46612" spans="129:129" x14ac:dyDescent="0.2">
      <c r="DY46612" s="185" t="s">
        <v>215</v>
      </c>
    </row>
    <row r="46613" spans="129:129" x14ac:dyDescent="0.2">
      <c r="DY46613" s="185" t="s">
        <v>215</v>
      </c>
    </row>
    <row r="46614" spans="129:129" x14ac:dyDescent="0.2">
      <c r="DY46614" s="185" t="s">
        <v>215</v>
      </c>
    </row>
    <row r="46615" spans="129:129" x14ac:dyDescent="0.2">
      <c r="DY46615" s="185" t="s">
        <v>215</v>
      </c>
    </row>
    <row r="46616" spans="129:129" x14ac:dyDescent="0.2">
      <c r="DY46616" s="185" t="s">
        <v>215</v>
      </c>
    </row>
    <row r="46617" spans="129:129" x14ac:dyDescent="0.2">
      <c r="DY46617" s="185" t="s">
        <v>215</v>
      </c>
    </row>
    <row r="46618" spans="129:129" x14ac:dyDescent="0.2">
      <c r="DY46618" s="185" t="s">
        <v>215</v>
      </c>
    </row>
    <row r="46619" spans="129:129" x14ac:dyDescent="0.2">
      <c r="DY46619" s="185" t="s">
        <v>215</v>
      </c>
    </row>
    <row r="46620" spans="129:129" x14ac:dyDescent="0.2">
      <c r="DY46620" s="185" t="s">
        <v>215</v>
      </c>
    </row>
    <row r="46621" spans="129:129" x14ac:dyDescent="0.2">
      <c r="DY46621" s="185" t="s">
        <v>215</v>
      </c>
    </row>
    <row r="46622" spans="129:129" x14ac:dyDescent="0.2">
      <c r="DY46622" s="185" t="s">
        <v>215</v>
      </c>
    </row>
    <row r="46623" spans="129:129" x14ac:dyDescent="0.2">
      <c r="DY46623" s="185" t="s">
        <v>215</v>
      </c>
    </row>
    <row r="46624" spans="129:129" x14ac:dyDescent="0.2">
      <c r="DY46624" s="185" t="s">
        <v>215</v>
      </c>
    </row>
    <row r="46625" spans="129:129" x14ac:dyDescent="0.2">
      <c r="DY46625" s="185" t="s">
        <v>215</v>
      </c>
    </row>
    <row r="46626" spans="129:129" x14ac:dyDescent="0.2">
      <c r="DY46626" s="185" t="s">
        <v>215</v>
      </c>
    </row>
    <row r="46627" spans="129:129" x14ac:dyDescent="0.2">
      <c r="DY46627" s="185" t="s">
        <v>215</v>
      </c>
    </row>
    <row r="46628" spans="129:129" x14ac:dyDescent="0.2">
      <c r="DY46628" s="185" t="s">
        <v>215</v>
      </c>
    </row>
    <row r="46629" spans="129:129" x14ac:dyDescent="0.2">
      <c r="DY46629" s="185" t="s">
        <v>215</v>
      </c>
    </row>
    <row r="46630" spans="129:129" x14ac:dyDescent="0.2">
      <c r="DY46630" s="185" t="s">
        <v>215</v>
      </c>
    </row>
    <row r="46631" spans="129:129" x14ac:dyDescent="0.2">
      <c r="DY46631" s="185" t="s">
        <v>215</v>
      </c>
    </row>
    <row r="46632" spans="129:129" x14ac:dyDescent="0.2">
      <c r="DY46632" s="185" t="s">
        <v>215</v>
      </c>
    </row>
    <row r="46633" spans="129:129" x14ac:dyDescent="0.2">
      <c r="DY46633" s="185" t="s">
        <v>215</v>
      </c>
    </row>
    <row r="46634" spans="129:129" x14ac:dyDescent="0.2">
      <c r="DY46634" s="185" t="s">
        <v>215</v>
      </c>
    </row>
    <row r="46635" spans="129:129" x14ac:dyDescent="0.2">
      <c r="DY46635" s="185" t="s">
        <v>215</v>
      </c>
    </row>
    <row r="46636" spans="129:129" x14ac:dyDescent="0.2">
      <c r="DY46636" s="185" t="s">
        <v>215</v>
      </c>
    </row>
    <row r="46637" spans="129:129" x14ac:dyDescent="0.2">
      <c r="DY46637" s="185" t="s">
        <v>215</v>
      </c>
    </row>
    <row r="46638" spans="129:129" x14ac:dyDescent="0.2">
      <c r="DY46638" s="185" t="s">
        <v>215</v>
      </c>
    </row>
    <row r="46639" spans="129:129" x14ac:dyDescent="0.2">
      <c r="DY46639" s="185" t="s">
        <v>215</v>
      </c>
    </row>
    <row r="46640" spans="129:129" x14ac:dyDescent="0.2">
      <c r="DY46640" s="185" t="s">
        <v>215</v>
      </c>
    </row>
    <row r="46641" spans="129:129" x14ac:dyDescent="0.2">
      <c r="DY46641" s="185" t="s">
        <v>215</v>
      </c>
    </row>
    <row r="46642" spans="129:129" x14ac:dyDescent="0.2">
      <c r="DY46642" s="185" t="s">
        <v>215</v>
      </c>
    </row>
    <row r="46643" spans="129:129" x14ac:dyDescent="0.2">
      <c r="DY46643" s="185" t="s">
        <v>215</v>
      </c>
    </row>
    <row r="46644" spans="129:129" x14ac:dyDescent="0.2">
      <c r="DY46644" s="185" t="s">
        <v>215</v>
      </c>
    </row>
    <row r="46645" spans="129:129" x14ac:dyDescent="0.2">
      <c r="DY46645" s="185" t="s">
        <v>215</v>
      </c>
    </row>
    <row r="46646" spans="129:129" x14ac:dyDescent="0.2">
      <c r="DY46646" s="185" t="s">
        <v>215</v>
      </c>
    </row>
    <row r="46647" spans="129:129" x14ac:dyDescent="0.2">
      <c r="DY46647" s="185" t="s">
        <v>215</v>
      </c>
    </row>
    <row r="46648" spans="129:129" x14ac:dyDescent="0.2">
      <c r="DY46648" s="185" t="s">
        <v>215</v>
      </c>
    </row>
    <row r="46649" spans="129:129" x14ac:dyDescent="0.2">
      <c r="DY46649" s="185" t="s">
        <v>215</v>
      </c>
    </row>
    <row r="46650" spans="129:129" x14ac:dyDescent="0.2">
      <c r="DY46650" s="185" t="s">
        <v>215</v>
      </c>
    </row>
    <row r="46651" spans="129:129" x14ac:dyDescent="0.2">
      <c r="DY46651" s="185" t="s">
        <v>215</v>
      </c>
    </row>
    <row r="46652" spans="129:129" x14ac:dyDescent="0.2">
      <c r="DY46652" s="185" t="s">
        <v>215</v>
      </c>
    </row>
    <row r="46653" spans="129:129" x14ac:dyDescent="0.2">
      <c r="DY46653" s="185" t="s">
        <v>215</v>
      </c>
    </row>
    <row r="46654" spans="129:129" x14ac:dyDescent="0.2">
      <c r="DY46654" s="185" t="s">
        <v>215</v>
      </c>
    </row>
    <row r="46655" spans="129:129" x14ac:dyDescent="0.2">
      <c r="DY46655" s="185" t="s">
        <v>215</v>
      </c>
    </row>
    <row r="46656" spans="129:129" x14ac:dyDescent="0.2">
      <c r="DY46656" s="185" t="s">
        <v>215</v>
      </c>
    </row>
    <row r="46657" spans="129:129" x14ac:dyDescent="0.2">
      <c r="DY46657" s="185" t="s">
        <v>215</v>
      </c>
    </row>
    <row r="46658" spans="129:129" x14ac:dyDescent="0.2">
      <c r="DY46658" s="185" t="s">
        <v>215</v>
      </c>
    </row>
    <row r="46659" spans="129:129" x14ac:dyDescent="0.2">
      <c r="DY46659" s="185" t="s">
        <v>215</v>
      </c>
    </row>
    <row r="46660" spans="129:129" x14ac:dyDescent="0.2">
      <c r="DY46660" s="185" t="s">
        <v>215</v>
      </c>
    </row>
    <row r="46661" spans="129:129" x14ac:dyDescent="0.2">
      <c r="DY46661" s="185" t="s">
        <v>215</v>
      </c>
    </row>
    <row r="46662" spans="129:129" x14ac:dyDescent="0.2">
      <c r="DY46662" s="185" t="s">
        <v>215</v>
      </c>
    </row>
    <row r="46663" spans="129:129" x14ac:dyDescent="0.2">
      <c r="DY46663" s="185" t="s">
        <v>215</v>
      </c>
    </row>
    <row r="46664" spans="129:129" x14ac:dyDescent="0.2">
      <c r="DY46664" s="185" t="s">
        <v>215</v>
      </c>
    </row>
    <row r="46665" spans="129:129" x14ac:dyDescent="0.2">
      <c r="DY46665" s="185" t="s">
        <v>215</v>
      </c>
    </row>
    <row r="46666" spans="129:129" x14ac:dyDescent="0.2">
      <c r="DY46666" s="185" t="s">
        <v>215</v>
      </c>
    </row>
    <row r="46667" spans="129:129" x14ac:dyDescent="0.2">
      <c r="DY46667" s="185" t="s">
        <v>215</v>
      </c>
    </row>
    <row r="46668" spans="129:129" x14ac:dyDescent="0.2">
      <c r="DY46668" s="185" t="s">
        <v>215</v>
      </c>
    </row>
    <row r="46669" spans="129:129" x14ac:dyDescent="0.2">
      <c r="DY46669" s="185" t="s">
        <v>215</v>
      </c>
    </row>
    <row r="46670" spans="129:129" x14ac:dyDescent="0.2">
      <c r="DY46670" s="185" t="s">
        <v>215</v>
      </c>
    </row>
    <row r="46671" spans="129:129" x14ac:dyDescent="0.2">
      <c r="DY46671" s="185" t="s">
        <v>215</v>
      </c>
    </row>
    <row r="46672" spans="129:129" x14ac:dyDescent="0.2">
      <c r="DY46672" s="185" t="s">
        <v>215</v>
      </c>
    </row>
    <row r="46673" spans="129:129" x14ac:dyDescent="0.2">
      <c r="DY46673" s="185" t="s">
        <v>215</v>
      </c>
    </row>
    <row r="46674" spans="129:129" x14ac:dyDescent="0.2">
      <c r="DY46674" s="185" t="s">
        <v>215</v>
      </c>
    </row>
    <row r="46675" spans="129:129" x14ac:dyDescent="0.2">
      <c r="DY46675" s="185" t="s">
        <v>215</v>
      </c>
    </row>
    <row r="46676" spans="129:129" x14ac:dyDescent="0.2">
      <c r="DY46676" s="185" t="s">
        <v>215</v>
      </c>
    </row>
    <row r="46677" spans="129:129" x14ac:dyDescent="0.2">
      <c r="DY46677" s="185" t="s">
        <v>215</v>
      </c>
    </row>
    <row r="46678" spans="129:129" x14ac:dyDescent="0.2">
      <c r="DY46678" s="185" t="s">
        <v>215</v>
      </c>
    </row>
    <row r="46679" spans="129:129" x14ac:dyDescent="0.2">
      <c r="DY46679" s="185" t="s">
        <v>215</v>
      </c>
    </row>
    <row r="46680" spans="129:129" x14ac:dyDescent="0.2">
      <c r="DY46680" s="185" t="s">
        <v>215</v>
      </c>
    </row>
    <row r="46681" spans="129:129" x14ac:dyDescent="0.2">
      <c r="DY46681" s="185" t="s">
        <v>215</v>
      </c>
    </row>
    <row r="46682" spans="129:129" x14ac:dyDescent="0.2">
      <c r="DY46682" s="185" t="s">
        <v>215</v>
      </c>
    </row>
    <row r="46683" spans="129:129" x14ac:dyDescent="0.2">
      <c r="DY46683" s="185" t="s">
        <v>215</v>
      </c>
    </row>
    <row r="46684" spans="129:129" x14ac:dyDescent="0.2">
      <c r="DY46684" s="185" t="s">
        <v>215</v>
      </c>
    </row>
    <row r="46685" spans="129:129" x14ac:dyDescent="0.2">
      <c r="DY46685" s="185" t="s">
        <v>215</v>
      </c>
    </row>
    <row r="46686" spans="129:129" x14ac:dyDescent="0.2">
      <c r="DY46686" s="185" t="s">
        <v>215</v>
      </c>
    </row>
    <row r="46687" spans="129:129" x14ac:dyDescent="0.2">
      <c r="DY46687" s="185" t="s">
        <v>215</v>
      </c>
    </row>
    <row r="46688" spans="129:129" x14ac:dyDescent="0.2">
      <c r="DY46688" s="185" t="s">
        <v>215</v>
      </c>
    </row>
    <row r="46689" spans="129:129" x14ac:dyDescent="0.2">
      <c r="DY46689" s="185" t="s">
        <v>215</v>
      </c>
    </row>
    <row r="46690" spans="129:129" x14ac:dyDescent="0.2">
      <c r="DY46690" s="185" t="s">
        <v>215</v>
      </c>
    </row>
    <row r="46691" spans="129:129" x14ac:dyDescent="0.2">
      <c r="DY46691" s="185" t="s">
        <v>215</v>
      </c>
    </row>
    <row r="46692" spans="129:129" x14ac:dyDescent="0.2">
      <c r="DY46692" s="185" t="s">
        <v>215</v>
      </c>
    </row>
    <row r="46693" spans="129:129" x14ac:dyDescent="0.2">
      <c r="DY46693" s="185" t="s">
        <v>215</v>
      </c>
    </row>
    <row r="46694" spans="129:129" x14ac:dyDescent="0.2">
      <c r="DY46694" s="185" t="s">
        <v>215</v>
      </c>
    </row>
    <row r="46695" spans="129:129" x14ac:dyDescent="0.2">
      <c r="DY46695" s="185" t="s">
        <v>215</v>
      </c>
    </row>
    <row r="46696" spans="129:129" x14ac:dyDescent="0.2">
      <c r="DY46696" s="185" t="s">
        <v>215</v>
      </c>
    </row>
    <row r="46697" spans="129:129" x14ac:dyDescent="0.2">
      <c r="DY46697" s="185" t="s">
        <v>215</v>
      </c>
    </row>
    <row r="46698" spans="129:129" x14ac:dyDescent="0.2">
      <c r="DY46698" s="185" t="s">
        <v>215</v>
      </c>
    </row>
    <row r="46699" spans="129:129" x14ac:dyDescent="0.2">
      <c r="DY46699" s="185" t="s">
        <v>215</v>
      </c>
    </row>
    <row r="46700" spans="129:129" x14ac:dyDescent="0.2">
      <c r="DY46700" s="185" t="s">
        <v>215</v>
      </c>
    </row>
    <row r="46701" spans="129:129" x14ac:dyDescent="0.2">
      <c r="DY46701" s="185" t="s">
        <v>215</v>
      </c>
    </row>
    <row r="46702" spans="129:129" x14ac:dyDescent="0.2">
      <c r="DY46702" s="185" t="s">
        <v>215</v>
      </c>
    </row>
    <row r="46703" spans="129:129" x14ac:dyDescent="0.2">
      <c r="DY46703" s="185" t="s">
        <v>215</v>
      </c>
    </row>
    <row r="46704" spans="129:129" x14ac:dyDescent="0.2">
      <c r="DY46704" s="185" t="s">
        <v>215</v>
      </c>
    </row>
    <row r="46705" spans="129:129" x14ac:dyDescent="0.2">
      <c r="DY46705" s="185" t="s">
        <v>215</v>
      </c>
    </row>
    <row r="46706" spans="129:129" x14ac:dyDescent="0.2">
      <c r="DY46706" s="185" t="s">
        <v>215</v>
      </c>
    </row>
    <row r="46707" spans="129:129" x14ac:dyDescent="0.2">
      <c r="DY46707" s="185" t="s">
        <v>215</v>
      </c>
    </row>
    <row r="46708" spans="129:129" x14ac:dyDescent="0.2">
      <c r="DY46708" s="185" t="s">
        <v>215</v>
      </c>
    </row>
    <row r="46709" spans="129:129" x14ac:dyDescent="0.2">
      <c r="DY46709" s="185" t="s">
        <v>215</v>
      </c>
    </row>
    <row r="46710" spans="129:129" x14ac:dyDescent="0.2">
      <c r="DY46710" s="185" t="s">
        <v>215</v>
      </c>
    </row>
    <row r="46711" spans="129:129" x14ac:dyDescent="0.2">
      <c r="DY46711" s="185" t="s">
        <v>215</v>
      </c>
    </row>
    <row r="46712" spans="129:129" x14ac:dyDescent="0.2">
      <c r="DY46712" s="185" t="s">
        <v>215</v>
      </c>
    </row>
    <row r="46713" spans="129:129" x14ac:dyDescent="0.2">
      <c r="DY46713" s="185" t="s">
        <v>215</v>
      </c>
    </row>
    <row r="46714" spans="129:129" x14ac:dyDescent="0.2">
      <c r="DY46714" s="185" t="s">
        <v>215</v>
      </c>
    </row>
    <row r="46715" spans="129:129" x14ac:dyDescent="0.2">
      <c r="DY46715" s="185" t="s">
        <v>215</v>
      </c>
    </row>
    <row r="46716" spans="129:129" x14ac:dyDescent="0.2">
      <c r="DY46716" s="185" t="s">
        <v>215</v>
      </c>
    </row>
    <row r="46717" spans="129:129" x14ac:dyDescent="0.2">
      <c r="DY46717" s="185" t="s">
        <v>215</v>
      </c>
    </row>
    <row r="46718" spans="129:129" x14ac:dyDescent="0.2">
      <c r="DY46718" s="185" t="s">
        <v>215</v>
      </c>
    </row>
    <row r="46719" spans="129:129" x14ac:dyDescent="0.2">
      <c r="DY46719" s="185" t="s">
        <v>215</v>
      </c>
    </row>
    <row r="46720" spans="129:129" x14ac:dyDescent="0.2">
      <c r="DY46720" s="185" t="s">
        <v>215</v>
      </c>
    </row>
    <row r="46721" spans="129:129" x14ac:dyDescent="0.2">
      <c r="DY46721" s="185" t="s">
        <v>215</v>
      </c>
    </row>
    <row r="46722" spans="129:129" x14ac:dyDescent="0.2">
      <c r="DY46722" s="185" t="s">
        <v>215</v>
      </c>
    </row>
    <row r="46723" spans="129:129" x14ac:dyDescent="0.2">
      <c r="DY46723" s="185" t="s">
        <v>215</v>
      </c>
    </row>
    <row r="46724" spans="129:129" x14ac:dyDescent="0.2">
      <c r="DY46724" s="185" t="s">
        <v>215</v>
      </c>
    </row>
    <row r="46725" spans="129:129" x14ac:dyDescent="0.2">
      <c r="DY46725" s="185" t="s">
        <v>215</v>
      </c>
    </row>
    <row r="46726" spans="129:129" x14ac:dyDescent="0.2">
      <c r="DY46726" s="185" t="s">
        <v>215</v>
      </c>
    </row>
    <row r="46727" spans="129:129" x14ac:dyDescent="0.2">
      <c r="DY46727" s="185" t="s">
        <v>215</v>
      </c>
    </row>
    <row r="46728" spans="129:129" x14ac:dyDescent="0.2">
      <c r="DY46728" s="185" t="s">
        <v>215</v>
      </c>
    </row>
    <row r="46729" spans="129:129" x14ac:dyDescent="0.2">
      <c r="DY46729" s="185" t="s">
        <v>215</v>
      </c>
    </row>
    <row r="46730" spans="129:129" x14ac:dyDescent="0.2">
      <c r="DY46730" s="185" t="s">
        <v>215</v>
      </c>
    </row>
    <row r="46731" spans="129:129" x14ac:dyDescent="0.2">
      <c r="DY46731" s="185" t="s">
        <v>215</v>
      </c>
    </row>
    <row r="46732" spans="129:129" x14ac:dyDescent="0.2">
      <c r="DY46732" s="185" t="s">
        <v>215</v>
      </c>
    </row>
    <row r="46733" spans="129:129" x14ac:dyDescent="0.2">
      <c r="DY46733" s="185" t="s">
        <v>215</v>
      </c>
    </row>
    <row r="46734" spans="129:129" x14ac:dyDescent="0.2">
      <c r="DY46734" s="185" t="s">
        <v>215</v>
      </c>
    </row>
    <row r="46735" spans="129:129" x14ac:dyDescent="0.2">
      <c r="DY46735" s="185" t="s">
        <v>215</v>
      </c>
    </row>
    <row r="46736" spans="129:129" x14ac:dyDescent="0.2">
      <c r="DY46736" s="185" t="s">
        <v>215</v>
      </c>
    </row>
    <row r="46737" spans="129:129" x14ac:dyDescent="0.2">
      <c r="DY46737" s="185" t="s">
        <v>215</v>
      </c>
    </row>
    <row r="46738" spans="129:129" x14ac:dyDescent="0.2">
      <c r="DY46738" s="185" t="s">
        <v>215</v>
      </c>
    </row>
    <row r="46739" spans="129:129" x14ac:dyDescent="0.2">
      <c r="DY46739" s="185" t="s">
        <v>215</v>
      </c>
    </row>
    <row r="46740" spans="129:129" x14ac:dyDescent="0.2">
      <c r="DY46740" s="185" t="s">
        <v>215</v>
      </c>
    </row>
    <row r="46741" spans="129:129" x14ac:dyDescent="0.2">
      <c r="DY46741" s="185" t="s">
        <v>215</v>
      </c>
    </row>
    <row r="46742" spans="129:129" x14ac:dyDescent="0.2">
      <c r="DY46742" s="185" t="s">
        <v>215</v>
      </c>
    </row>
    <row r="46743" spans="129:129" x14ac:dyDescent="0.2">
      <c r="DY46743" s="185" t="s">
        <v>215</v>
      </c>
    </row>
    <row r="46744" spans="129:129" x14ac:dyDescent="0.2">
      <c r="DY46744" s="185" t="s">
        <v>215</v>
      </c>
    </row>
    <row r="46745" spans="129:129" x14ac:dyDescent="0.2">
      <c r="DY46745" s="185" t="s">
        <v>215</v>
      </c>
    </row>
    <row r="46746" spans="129:129" x14ac:dyDescent="0.2">
      <c r="DY46746" s="185" t="s">
        <v>215</v>
      </c>
    </row>
    <row r="46747" spans="129:129" x14ac:dyDescent="0.2">
      <c r="DY46747" s="185" t="s">
        <v>215</v>
      </c>
    </row>
    <row r="46748" spans="129:129" x14ac:dyDescent="0.2">
      <c r="DY46748" s="185" t="s">
        <v>215</v>
      </c>
    </row>
    <row r="46749" spans="129:129" x14ac:dyDescent="0.2">
      <c r="DY46749" s="185" t="s">
        <v>215</v>
      </c>
    </row>
    <row r="46750" spans="129:129" x14ac:dyDescent="0.2">
      <c r="DY46750" s="185" t="s">
        <v>215</v>
      </c>
    </row>
    <row r="46751" spans="129:129" x14ac:dyDescent="0.2">
      <c r="DY46751" s="185" t="s">
        <v>215</v>
      </c>
    </row>
    <row r="46752" spans="129:129" x14ac:dyDescent="0.2">
      <c r="DY46752" s="185" t="s">
        <v>215</v>
      </c>
    </row>
    <row r="46753" spans="129:129" x14ac:dyDescent="0.2">
      <c r="DY46753" s="185" t="s">
        <v>215</v>
      </c>
    </row>
    <row r="46754" spans="129:129" x14ac:dyDescent="0.2">
      <c r="DY46754" s="185" t="s">
        <v>215</v>
      </c>
    </row>
    <row r="46755" spans="129:129" x14ac:dyDescent="0.2">
      <c r="DY46755" s="185" t="s">
        <v>215</v>
      </c>
    </row>
    <row r="46756" spans="129:129" x14ac:dyDescent="0.2">
      <c r="DY46756" s="185" t="s">
        <v>215</v>
      </c>
    </row>
    <row r="46757" spans="129:129" x14ac:dyDescent="0.2">
      <c r="DY46757" s="185" t="s">
        <v>215</v>
      </c>
    </row>
    <row r="46758" spans="129:129" x14ac:dyDescent="0.2">
      <c r="DY46758" s="185" t="s">
        <v>215</v>
      </c>
    </row>
    <row r="46759" spans="129:129" x14ac:dyDescent="0.2">
      <c r="DY46759" s="185" t="s">
        <v>215</v>
      </c>
    </row>
    <row r="46760" spans="129:129" x14ac:dyDescent="0.2">
      <c r="DY46760" s="185" t="s">
        <v>215</v>
      </c>
    </row>
    <row r="46761" spans="129:129" x14ac:dyDescent="0.2">
      <c r="DY46761" s="185" t="s">
        <v>215</v>
      </c>
    </row>
    <row r="46762" spans="129:129" x14ac:dyDescent="0.2">
      <c r="DY46762" s="185" t="s">
        <v>215</v>
      </c>
    </row>
    <row r="46763" spans="129:129" x14ac:dyDescent="0.2">
      <c r="DY46763" s="185" t="s">
        <v>215</v>
      </c>
    </row>
    <row r="46764" spans="129:129" x14ac:dyDescent="0.2">
      <c r="DY46764" s="185" t="s">
        <v>215</v>
      </c>
    </row>
    <row r="46765" spans="129:129" x14ac:dyDescent="0.2">
      <c r="DY46765" s="185" t="s">
        <v>215</v>
      </c>
    </row>
    <row r="46766" spans="129:129" x14ac:dyDescent="0.2">
      <c r="DY46766" s="185" t="s">
        <v>215</v>
      </c>
    </row>
    <row r="46767" spans="129:129" x14ac:dyDescent="0.2">
      <c r="DY46767" s="185" t="s">
        <v>215</v>
      </c>
    </row>
    <row r="46768" spans="129:129" x14ac:dyDescent="0.2">
      <c r="DY46768" s="185" t="s">
        <v>215</v>
      </c>
    </row>
    <row r="46769" spans="129:129" x14ac:dyDescent="0.2">
      <c r="DY46769" s="185" t="s">
        <v>215</v>
      </c>
    </row>
    <row r="46770" spans="129:129" x14ac:dyDescent="0.2">
      <c r="DY46770" s="185" t="s">
        <v>215</v>
      </c>
    </row>
    <row r="46771" spans="129:129" x14ac:dyDescent="0.2">
      <c r="DY46771" s="185" t="s">
        <v>215</v>
      </c>
    </row>
    <row r="46772" spans="129:129" x14ac:dyDescent="0.2">
      <c r="DY46772" s="185" t="s">
        <v>215</v>
      </c>
    </row>
    <row r="46773" spans="129:129" x14ac:dyDescent="0.2">
      <c r="DY46773" s="185" t="s">
        <v>215</v>
      </c>
    </row>
    <row r="46774" spans="129:129" x14ac:dyDescent="0.2">
      <c r="DY46774" s="185" t="s">
        <v>215</v>
      </c>
    </row>
    <row r="46775" spans="129:129" x14ac:dyDescent="0.2">
      <c r="DY46775" s="185" t="s">
        <v>215</v>
      </c>
    </row>
    <row r="46776" spans="129:129" x14ac:dyDescent="0.2">
      <c r="DY46776" s="185" t="s">
        <v>215</v>
      </c>
    </row>
    <row r="46777" spans="129:129" x14ac:dyDescent="0.2">
      <c r="DY46777" s="185" t="s">
        <v>215</v>
      </c>
    </row>
    <row r="46778" spans="129:129" x14ac:dyDescent="0.2">
      <c r="DY46778" s="185" t="s">
        <v>215</v>
      </c>
    </row>
    <row r="46779" spans="129:129" x14ac:dyDescent="0.2">
      <c r="DY46779" s="185" t="s">
        <v>215</v>
      </c>
    </row>
    <row r="46780" spans="129:129" x14ac:dyDescent="0.2">
      <c r="DY46780" s="185" t="s">
        <v>215</v>
      </c>
    </row>
    <row r="46781" spans="129:129" x14ac:dyDescent="0.2">
      <c r="DY46781" s="185" t="s">
        <v>215</v>
      </c>
    </row>
    <row r="46782" spans="129:129" x14ac:dyDescent="0.2">
      <c r="DY46782" s="185" t="s">
        <v>215</v>
      </c>
    </row>
    <row r="46783" spans="129:129" x14ac:dyDescent="0.2">
      <c r="DY46783" s="185" t="s">
        <v>215</v>
      </c>
    </row>
    <row r="46784" spans="129:129" x14ac:dyDescent="0.2">
      <c r="DY46784" s="185" t="s">
        <v>215</v>
      </c>
    </row>
    <row r="46785" spans="129:129" x14ac:dyDescent="0.2">
      <c r="DY46785" s="185" t="s">
        <v>215</v>
      </c>
    </row>
    <row r="46786" spans="129:129" x14ac:dyDescent="0.2">
      <c r="DY46786" s="185" t="s">
        <v>215</v>
      </c>
    </row>
    <row r="46787" spans="129:129" x14ac:dyDescent="0.2">
      <c r="DY46787" s="185" t="s">
        <v>215</v>
      </c>
    </row>
    <row r="46788" spans="129:129" x14ac:dyDescent="0.2">
      <c r="DY46788" s="185" t="s">
        <v>215</v>
      </c>
    </row>
    <row r="46789" spans="129:129" x14ac:dyDescent="0.2">
      <c r="DY46789" s="185" t="s">
        <v>215</v>
      </c>
    </row>
    <row r="46790" spans="129:129" x14ac:dyDescent="0.2">
      <c r="DY46790" s="185" t="s">
        <v>215</v>
      </c>
    </row>
    <row r="46791" spans="129:129" x14ac:dyDescent="0.2">
      <c r="DY46791" s="185" t="s">
        <v>215</v>
      </c>
    </row>
    <row r="46792" spans="129:129" x14ac:dyDescent="0.2">
      <c r="DY46792" s="185" t="s">
        <v>215</v>
      </c>
    </row>
    <row r="46793" spans="129:129" x14ac:dyDescent="0.2">
      <c r="DY46793" s="185" t="s">
        <v>215</v>
      </c>
    </row>
    <row r="46794" spans="129:129" x14ac:dyDescent="0.2">
      <c r="DY46794" s="185" t="s">
        <v>215</v>
      </c>
    </row>
    <row r="46795" spans="129:129" x14ac:dyDescent="0.2">
      <c r="DY46795" s="185" t="s">
        <v>215</v>
      </c>
    </row>
    <row r="46796" spans="129:129" x14ac:dyDescent="0.2">
      <c r="DY46796" s="185" t="s">
        <v>215</v>
      </c>
    </row>
    <row r="46797" spans="129:129" x14ac:dyDescent="0.2">
      <c r="DY46797" s="185" t="s">
        <v>215</v>
      </c>
    </row>
    <row r="46798" spans="129:129" x14ac:dyDescent="0.2">
      <c r="DY46798" s="185" t="s">
        <v>215</v>
      </c>
    </row>
    <row r="46799" spans="129:129" x14ac:dyDescent="0.2">
      <c r="DY46799" s="185" t="s">
        <v>215</v>
      </c>
    </row>
    <row r="46800" spans="129:129" x14ac:dyDescent="0.2">
      <c r="DY46800" s="185" t="s">
        <v>215</v>
      </c>
    </row>
    <row r="46801" spans="129:129" x14ac:dyDescent="0.2">
      <c r="DY46801" s="185" t="s">
        <v>215</v>
      </c>
    </row>
    <row r="46802" spans="129:129" x14ac:dyDescent="0.2">
      <c r="DY46802" s="185" t="s">
        <v>215</v>
      </c>
    </row>
    <row r="46803" spans="129:129" x14ac:dyDescent="0.2">
      <c r="DY46803" s="185" t="s">
        <v>215</v>
      </c>
    </row>
    <row r="46804" spans="129:129" x14ac:dyDescent="0.2">
      <c r="DY46804" s="185" t="s">
        <v>215</v>
      </c>
    </row>
    <row r="46805" spans="129:129" x14ac:dyDescent="0.2">
      <c r="DY46805" s="185" t="s">
        <v>215</v>
      </c>
    </row>
    <row r="46806" spans="129:129" x14ac:dyDescent="0.2">
      <c r="DY46806" s="185" t="s">
        <v>215</v>
      </c>
    </row>
    <row r="46807" spans="129:129" x14ac:dyDescent="0.2">
      <c r="DY46807" s="185" t="s">
        <v>215</v>
      </c>
    </row>
    <row r="46808" spans="129:129" x14ac:dyDescent="0.2">
      <c r="DY46808" s="185" t="s">
        <v>215</v>
      </c>
    </row>
    <row r="46809" spans="129:129" x14ac:dyDescent="0.2">
      <c r="DY46809" s="185" t="s">
        <v>215</v>
      </c>
    </row>
    <row r="46810" spans="129:129" x14ac:dyDescent="0.2">
      <c r="DY46810" s="185" t="s">
        <v>215</v>
      </c>
    </row>
    <row r="46811" spans="129:129" x14ac:dyDescent="0.2">
      <c r="DY46811" s="185" t="s">
        <v>215</v>
      </c>
    </row>
    <row r="46812" spans="129:129" x14ac:dyDescent="0.2">
      <c r="DY46812" s="185" t="s">
        <v>215</v>
      </c>
    </row>
    <row r="46813" spans="129:129" x14ac:dyDescent="0.2">
      <c r="DY46813" s="185" t="s">
        <v>215</v>
      </c>
    </row>
    <row r="46814" spans="129:129" x14ac:dyDescent="0.2">
      <c r="DY46814" s="185" t="s">
        <v>215</v>
      </c>
    </row>
    <row r="46815" spans="129:129" x14ac:dyDescent="0.2">
      <c r="DY46815" s="185" t="s">
        <v>215</v>
      </c>
    </row>
    <row r="46816" spans="129:129" x14ac:dyDescent="0.2">
      <c r="DY46816" s="185" t="s">
        <v>215</v>
      </c>
    </row>
    <row r="46817" spans="129:129" x14ac:dyDescent="0.2">
      <c r="DY46817" s="185" t="s">
        <v>215</v>
      </c>
    </row>
    <row r="46818" spans="129:129" x14ac:dyDescent="0.2">
      <c r="DY46818" s="185" t="s">
        <v>215</v>
      </c>
    </row>
    <row r="46819" spans="129:129" x14ac:dyDescent="0.2">
      <c r="DY46819" s="185" t="s">
        <v>215</v>
      </c>
    </row>
    <row r="46820" spans="129:129" x14ac:dyDescent="0.2">
      <c r="DY46820" s="185" t="s">
        <v>215</v>
      </c>
    </row>
    <row r="46821" spans="129:129" x14ac:dyDescent="0.2">
      <c r="DY46821" s="185" t="s">
        <v>215</v>
      </c>
    </row>
    <row r="46822" spans="129:129" x14ac:dyDescent="0.2">
      <c r="DY46822" s="185" t="s">
        <v>215</v>
      </c>
    </row>
    <row r="46823" spans="129:129" x14ac:dyDescent="0.2">
      <c r="DY46823" s="185" t="s">
        <v>215</v>
      </c>
    </row>
    <row r="46824" spans="129:129" x14ac:dyDescent="0.2">
      <c r="DY46824" s="185" t="s">
        <v>215</v>
      </c>
    </row>
    <row r="46825" spans="129:129" x14ac:dyDescent="0.2">
      <c r="DY46825" s="185" t="s">
        <v>215</v>
      </c>
    </row>
    <row r="46826" spans="129:129" x14ac:dyDescent="0.2">
      <c r="DY46826" s="185" t="s">
        <v>215</v>
      </c>
    </row>
    <row r="46827" spans="129:129" x14ac:dyDescent="0.2">
      <c r="DY46827" s="185" t="s">
        <v>215</v>
      </c>
    </row>
    <row r="46828" spans="129:129" x14ac:dyDescent="0.2">
      <c r="DY46828" s="185" t="s">
        <v>215</v>
      </c>
    </row>
    <row r="46829" spans="129:129" x14ac:dyDescent="0.2">
      <c r="DY46829" s="185" t="s">
        <v>215</v>
      </c>
    </row>
    <row r="46830" spans="129:129" x14ac:dyDescent="0.2">
      <c r="DY46830" s="185" t="s">
        <v>215</v>
      </c>
    </row>
    <row r="46831" spans="129:129" x14ac:dyDescent="0.2">
      <c r="DY46831" s="185" t="s">
        <v>215</v>
      </c>
    </row>
    <row r="46832" spans="129:129" x14ac:dyDescent="0.2">
      <c r="DY46832" s="185" t="s">
        <v>215</v>
      </c>
    </row>
    <row r="46833" spans="129:129" x14ac:dyDescent="0.2">
      <c r="DY46833" s="185" t="s">
        <v>215</v>
      </c>
    </row>
    <row r="46834" spans="129:129" x14ac:dyDescent="0.2">
      <c r="DY46834" s="185" t="s">
        <v>215</v>
      </c>
    </row>
    <row r="46835" spans="129:129" x14ac:dyDescent="0.2">
      <c r="DY46835" s="185" t="s">
        <v>215</v>
      </c>
    </row>
    <row r="46836" spans="129:129" x14ac:dyDescent="0.2">
      <c r="DY46836" s="185" t="s">
        <v>215</v>
      </c>
    </row>
    <row r="46837" spans="129:129" x14ac:dyDescent="0.2">
      <c r="DY46837" s="185" t="s">
        <v>215</v>
      </c>
    </row>
    <row r="46838" spans="129:129" x14ac:dyDescent="0.2">
      <c r="DY46838" s="185" t="s">
        <v>215</v>
      </c>
    </row>
    <row r="46839" spans="129:129" x14ac:dyDescent="0.2">
      <c r="DY46839" s="185" t="s">
        <v>215</v>
      </c>
    </row>
    <row r="46840" spans="129:129" x14ac:dyDescent="0.2">
      <c r="DY46840" s="185" t="s">
        <v>215</v>
      </c>
    </row>
    <row r="46841" spans="129:129" x14ac:dyDescent="0.2">
      <c r="DY46841" s="185" t="s">
        <v>215</v>
      </c>
    </row>
    <row r="46842" spans="129:129" x14ac:dyDescent="0.2">
      <c r="DY46842" s="185" t="s">
        <v>215</v>
      </c>
    </row>
    <row r="46843" spans="129:129" x14ac:dyDescent="0.2">
      <c r="DY46843" s="185" t="s">
        <v>215</v>
      </c>
    </row>
    <row r="46844" spans="129:129" x14ac:dyDescent="0.2">
      <c r="DY46844" s="185" t="s">
        <v>215</v>
      </c>
    </row>
    <row r="46845" spans="129:129" x14ac:dyDescent="0.2">
      <c r="DY46845" s="185" t="s">
        <v>215</v>
      </c>
    </row>
    <row r="46846" spans="129:129" x14ac:dyDescent="0.2">
      <c r="DY46846" s="185" t="s">
        <v>215</v>
      </c>
    </row>
    <row r="46847" spans="129:129" x14ac:dyDescent="0.2">
      <c r="DY46847" s="185" t="s">
        <v>215</v>
      </c>
    </row>
    <row r="46848" spans="129:129" x14ac:dyDescent="0.2">
      <c r="DY46848" s="185" t="s">
        <v>215</v>
      </c>
    </row>
    <row r="46849" spans="129:129" x14ac:dyDescent="0.2">
      <c r="DY46849" s="185" t="s">
        <v>215</v>
      </c>
    </row>
    <row r="46850" spans="129:129" x14ac:dyDescent="0.2">
      <c r="DY46850" s="185" t="s">
        <v>215</v>
      </c>
    </row>
    <row r="46851" spans="129:129" x14ac:dyDescent="0.2">
      <c r="DY46851" s="185" t="s">
        <v>215</v>
      </c>
    </row>
    <row r="46852" spans="129:129" x14ac:dyDescent="0.2">
      <c r="DY46852" s="185" t="s">
        <v>215</v>
      </c>
    </row>
    <row r="46853" spans="129:129" x14ac:dyDescent="0.2">
      <c r="DY46853" s="185" t="s">
        <v>215</v>
      </c>
    </row>
    <row r="46854" spans="129:129" x14ac:dyDescent="0.2">
      <c r="DY46854" s="185" t="s">
        <v>215</v>
      </c>
    </row>
    <row r="46855" spans="129:129" x14ac:dyDescent="0.2">
      <c r="DY46855" s="185" t="s">
        <v>215</v>
      </c>
    </row>
    <row r="46856" spans="129:129" x14ac:dyDescent="0.2">
      <c r="DY46856" s="185" t="s">
        <v>215</v>
      </c>
    </row>
    <row r="46857" spans="129:129" x14ac:dyDescent="0.2">
      <c r="DY46857" s="185" t="s">
        <v>215</v>
      </c>
    </row>
    <row r="46858" spans="129:129" x14ac:dyDescent="0.2">
      <c r="DY46858" s="185" t="s">
        <v>215</v>
      </c>
    </row>
    <row r="46859" spans="129:129" x14ac:dyDescent="0.2">
      <c r="DY46859" s="185" t="s">
        <v>215</v>
      </c>
    </row>
    <row r="46860" spans="129:129" x14ac:dyDescent="0.2">
      <c r="DY46860" s="185" t="s">
        <v>215</v>
      </c>
    </row>
    <row r="46861" spans="129:129" x14ac:dyDescent="0.2">
      <c r="DY46861" s="185" t="s">
        <v>215</v>
      </c>
    </row>
    <row r="46862" spans="129:129" x14ac:dyDescent="0.2">
      <c r="DY46862" s="185" t="s">
        <v>215</v>
      </c>
    </row>
    <row r="46863" spans="129:129" x14ac:dyDescent="0.2">
      <c r="DY46863" s="185" t="s">
        <v>215</v>
      </c>
    </row>
    <row r="46864" spans="129:129" x14ac:dyDescent="0.2">
      <c r="DY46864" s="185" t="s">
        <v>215</v>
      </c>
    </row>
    <row r="46865" spans="129:129" x14ac:dyDescent="0.2">
      <c r="DY46865" s="185" t="s">
        <v>215</v>
      </c>
    </row>
    <row r="46866" spans="129:129" x14ac:dyDescent="0.2">
      <c r="DY46866" s="185" t="s">
        <v>215</v>
      </c>
    </row>
    <row r="46867" spans="129:129" x14ac:dyDescent="0.2">
      <c r="DY46867" s="185" t="s">
        <v>215</v>
      </c>
    </row>
    <row r="46868" spans="129:129" x14ac:dyDescent="0.2">
      <c r="DY46868" s="185" t="s">
        <v>215</v>
      </c>
    </row>
    <row r="46869" spans="129:129" x14ac:dyDescent="0.2">
      <c r="DY46869" s="185" t="s">
        <v>215</v>
      </c>
    </row>
    <row r="46870" spans="129:129" x14ac:dyDescent="0.2">
      <c r="DY46870" s="185" t="s">
        <v>215</v>
      </c>
    </row>
    <row r="46871" spans="129:129" x14ac:dyDescent="0.2">
      <c r="DY46871" s="185" t="s">
        <v>215</v>
      </c>
    </row>
    <row r="46872" spans="129:129" x14ac:dyDescent="0.2">
      <c r="DY46872" s="185" t="s">
        <v>215</v>
      </c>
    </row>
    <row r="46873" spans="129:129" x14ac:dyDescent="0.2">
      <c r="DY46873" s="185" t="s">
        <v>215</v>
      </c>
    </row>
    <row r="46874" spans="129:129" x14ac:dyDescent="0.2">
      <c r="DY46874" s="185" t="s">
        <v>215</v>
      </c>
    </row>
    <row r="46875" spans="129:129" x14ac:dyDescent="0.2">
      <c r="DY46875" s="185" t="s">
        <v>215</v>
      </c>
    </row>
    <row r="46876" spans="129:129" x14ac:dyDescent="0.2">
      <c r="DY46876" s="185" t="s">
        <v>215</v>
      </c>
    </row>
    <row r="46877" spans="129:129" x14ac:dyDescent="0.2">
      <c r="DY46877" s="185" t="s">
        <v>215</v>
      </c>
    </row>
    <row r="46878" spans="129:129" x14ac:dyDescent="0.2">
      <c r="DY46878" s="185" t="s">
        <v>215</v>
      </c>
    </row>
    <row r="46879" spans="129:129" x14ac:dyDescent="0.2">
      <c r="DY46879" s="185" t="s">
        <v>215</v>
      </c>
    </row>
    <row r="46880" spans="129:129" x14ac:dyDescent="0.2">
      <c r="DY46880" s="185" t="s">
        <v>215</v>
      </c>
    </row>
    <row r="46881" spans="129:129" x14ac:dyDescent="0.2">
      <c r="DY46881" s="185" t="s">
        <v>215</v>
      </c>
    </row>
    <row r="46882" spans="129:129" x14ac:dyDescent="0.2">
      <c r="DY46882" s="185" t="s">
        <v>215</v>
      </c>
    </row>
    <row r="46883" spans="129:129" x14ac:dyDescent="0.2">
      <c r="DY46883" s="185" t="s">
        <v>215</v>
      </c>
    </row>
    <row r="46884" spans="129:129" x14ac:dyDescent="0.2">
      <c r="DY46884" s="185" t="s">
        <v>215</v>
      </c>
    </row>
    <row r="46885" spans="129:129" x14ac:dyDescent="0.2">
      <c r="DY46885" s="185" t="s">
        <v>215</v>
      </c>
    </row>
    <row r="46886" spans="129:129" x14ac:dyDescent="0.2">
      <c r="DY46886" s="185" t="s">
        <v>215</v>
      </c>
    </row>
    <row r="46887" spans="129:129" x14ac:dyDescent="0.2">
      <c r="DY46887" s="185" t="s">
        <v>215</v>
      </c>
    </row>
    <row r="46888" spans="129:129" x14ac:dyDescent="0.2">
      <c r="DY46888" s="185" t="s">
        <v>215</v>
      </c>
    </row>
    <row r="46889" spans="129:129" x14ac:dyDescent="0.2">
      <c r="DY46889" s="185" t="s">
        <v>215</v>
      </c>
    </row>
    <row r="46890" spans="129:129" x14ac:dyDescent="0.2">
      <c r="DY46890" s="185" t="s">
        <v>215</v>
      </c>
    </row>
    <row r="46891" spans="129:129" x14ac:dyDescent="0.2">
      <c r="DY46891" s="185" t="s">
        <v>215</v>
      </c>
    </row>
    <row r="46892" spans="129:129" x14ac:dyDescent="0.2">
      <c r="DY46892" s="185" t="s">
        <v>215</v>
      </c>
    </row>
    <row r="46893" spans="129:129" x14ac:dyDescent="0.2">
      <c r="DY46893" s="185" t="s">
        <v>215</v>
      </c>
    </row>
    <row r="46894" spans="129:129" x14ac:dyDescent="0.2">
      <c r="DY46894" s="185" t="s">
        <v>215</v>
      </c>
    </row>
    <row r="46895" spans="129:129" x14ac:dyDescent="0.2">
      <c r="DY46895" s="185" t="s">
        <v>215</v>
      </c>
    </row>
    <row r="46896" spans="129:129" x14ac:dyDescent="0.2">
      <c r="DY46896" s="185" t="s">
        <v>215</v>
      </c>
    </row>
    <row r="46897" spans="129:129" x14ac:dyDescent="0.2">
      <c r="DY46897" s="185" t="s">
        <v>215</v>
      </c>
    </row>
    <row r="46898" spans="129:129" x14ac:dyDescent="0.2">
      <c r="DY46898" s="185" t="s">
        <v>215</v>
      </c>
    </row>
    <row r="46899" spans="129:129" x14ac:dyDescent="0.2">
      <c r="DY46899" s="185" t="s">
        <v>215</v>
      </c>
    </row>
    <row r="46900" spans="129:129" x14ac:dyDescent="0.2">
      <c r="DY46900" s="185" t="s">
        <v>215</v>
      </c>
    </row>
    <row r="46901" spans="129:129" x14ac:dyDescent="0.2">
      <c r="DY46901" s="185" t="s">
        <v>215</v>
      </c>
    </row>
    <row r="46902" spans="129:129" x14ac:dyDescent="0.2">
      <c r="DY46902" s="185" t="s">
        <v>215</v>
      </c>
    </row>
    <row r="46903" spans="129:129" x14ac:dyDescent="0.2">
      <c r="DY46903" s="185" t="s">
        <v>215</v>
      </c>
    </row>
    <row r="46904" spans="129:129" x14ac:dyDescent="0.2">
      <c r="DY46904" s="185" t="s">
        <v>215</v>
      </c>
    </row>
    <row r="46905" spans="129:129" x14ac:dyDescent="0.2">
      <c r="DY46905" s="185" t="s">
        <v>215</v>
      </c>
    </row>
    <row r="46906" spans="129:129" x14ac:dyDescent="0.2">
      <c r="DY46906" s="185" t="s">
        <v>215</v>
      </c>
    </row>
    <row r="46907" spans="129:129" x14ac:dyDescent="0.2">
      <c r="DY46907" s="185" t="s">
        <v>215</v>
      </c>
    </row>
    <row r="46908" spans="129:129" x14ac:dyDescent="0.2">
      <c r="DY46908" s="185" t="s">
        <v>215</v>
      </c>
    </row>
    <row r="46909" spans="129:129" x14ac:dyDescent="0.2">
      <c r="DY46909" s="185" t="s">
        <v>215</v>
      </c>
    </row>
    <row r="46910" spans="129:129" x14ac:dyDescent="0.2">
      <c r="DY46910" s="185" t="s">
        <v>215</v>
      </c>
    </row>
    <row r="46911" spans="129:129" x14ac:dyDescent="0.2">
      <c r="DY46911" s="185" t="s">
        <v>215</v>
      </c>
    </row>
    <row r="46912" spans="129:129" x14ac:dyDescent="0.2">
      <c r="DY46912" s="185" t="s">
        <v>215</v>
      </c>
    </row>
    <row r="46913" spans="129:129" x14ac:dyDescent="0.2">
      <c r="DY46913" s="185" t="s">
        <v>215</v>
      </c>
    </row>
    <row r="46914" spans="129:129" x14ac:dyDescent="0.2">
      <c r="DY46914" s="185" t="s">
        <v>215</v>
      </c>
    </row>
    <row r="46915" spans="129:129" x14ac:dyDescent="0.2">
      <c r="DY46915" s="185" t="s">
        <v>215</v>
      </c>
    </row>
    <row r="46916" spans="129:129" x14ac:dyDescent="0.2">
      <c r="DY46916" s="185" t="s">
        <v>215</v>
      </c>
    </row>
    <row r="46917" spans="129:129" x14ac:dyDescent="0.2">
      <c r="DY46917" s="185" t="s">
        <v>215</v>
      </c>
    </row>
    <row r="46918" spans="129:129" x14ac:dyDescent="0.2">
      <c r="DY46918" s="185" t="s">
        <v>215</v>
      </c>
    </row>
    <row r="46919" spans="129:129" x14ac:dyDescent="0.2">
      <c r="DY46919" s="185" t="s">
        <v>215</v>
      </c>
    </row>
    <row r="46920" spans="129:129" x14ac:dyDescent="0.2">
      <c r="DY46920" s="185" t="s">
        <v>215</v>
      </c>
    </row>
    <row r="46921" spans="129:129" x14ac:dyDescent="0.2">
      <c r="DY46921" s="185" t="s">
        <v>215</v>
      </c>
    </row>
    <row r="46922" spans="129:129" x14ac:dyDescent="0.2">
      <c r="DY46922" s="185" t="s">
        <v>215</v>
      </c>
    </row>
    <row r="46923" spans="129:129" x14ac:dyDescent="0.2">
      <c r="DY46923" s="185" t="s">
        <v>215</v>
      </c>
    </row>
    <row r="46924" spans="129:129" x14ac:dyDescent="0.2">
      <c r="DY46924" s="185" t="s">
        <v>215</v>
      </c>
    </row>
    <row r="46925" spans="129:129" x14ac:dyDescent="0.2">
      <c r="DY46925" s="185" t="s">
        <v>215</v>
      </c>
    </row>
    <row r="46926" spans="129:129" x14ac:dyDescent="0.2">
      <c r="DY46926" s="185" t="s">
        <v>215</v>
      </c>
    </row>
    <row r="46927" spans="129:129" x14ac:dyDescent="0.2">
      <c r="DY46927" s="185" t="s">
        <v>215</v>
      </c>
    </row>
    <row r="46928" spans="129:129" x14ac:dyDescent="0.2">
      <c r="DY46928" s="185" t="s">
        <v>215</v>
      </c>
    </row>
    <row r="46929" spans="129:129" x14ac:dyDescent="0.2">
      <c r="DY46929" s="185" t="s">
        <v>215</v>
      </c>
    </row>
    <row r="46930" spans="129:129" x14ac:dyDescent="0.2">
      <c r="DY46930" s="185" t="s">
        <v>215</v>
      </c>
    </row>
    <row r="46931" spans="129:129" x14ac:dyDescent="0.2">
      <c r="DY46931" s="185" t="s">
        <v>215</v>
      </c>
    </row>
    <row r="46932" spans="129:129" x14ac:dyDescent="0.2">
      <c r="DY46932" s="185" t="s">
        <v>215</v>
      </c>
    </row>
    <row r="46933" spans="129:129" x14ac:dyDescent="0.2">
      <c r="DY46933" s="185" t="s">
        <v>215</v>
      </c>
    </row>
    <row r="46934" spans="129:129" x14ac:dyDescent="0.2">
      <c r="DY46934" s="185" t="s">
        <v>215</v>
      </c>
    </row>
    <row r="46935" spans="129:129" x14ac:dyDescent="0.2">
      <c r="DY46935" s="185" t="s">
        <v>215</v>
      </c>
    </row>
    <row r="46936" spans="129:129" x14ac:dyDescent="0.2">
      <c r="DY46936" s="185" t="s">
        <v>215</v>
      </c>
    </row>
    <row r="46937" spans="129:129" x14ac:dyDescent="0.2">
      <c r="DY46937" s="185" t="s">
        <v>215</v>
      </c>
    </row>
    <row r="46938" spans="129:129" x14ac:dyDescent="0.2">
      <c r="DY46938" s="185" t="s">
        <v>215</v>
      </c>
    </row>
    <row r="46939" spans="129:129" x14ac:dyDescent="0.2">
      <c r="DY46939" s="185" t="s">
        <v>215</v>
      </c>
    </row>
    <row r="46940" spans="129:129" x14ac:dyDescent="0.2">
      <c r="DY46940" s="185" t="s">
        <v>215</v>
      </c>
    </row>
    <row r="46941" spans="129:129" x14ac:dyDescent="0.2">
      <c r="DY46941" s="185" t="s">
        <v>215</v>
      </c>
    </row>
    <row r="46942" spans="129:129" x14ac:dyDescent="0.2">
      <c r="DY46942" s="185" t="s">
        <v>215</v>
      </c>
    </row>
    <row r="46943" spans="129:129" x14ac:dyDescent="0.2">
      <c r="DY46943" s="185" t="s">
        <v>215</v>
      </c>
    </row>
    <row r="46944" spans="129:129" x14ac:dyDescent="0.2">
      <c r="DY46944" s="185" t="s">
        <v>215</v>
      </c>
    </row>
    <row r="46945" spans="129:129" x14ac:dyDescent="0.2">
      <c r="DY46945" s="185" t="s">
        <v>215</v>
      </c>
    </row>
    <row r="46946" spans="129:129" x14ac:dyDescent="0.2">
      <c r="DY46946" s="185" t="s">
        <v>215</v>
      </c>
    </row>
    <row r="46947" spans="129:129" x14ac:dyDescent="0.2">
      <c r="DY46947" s="185" t="s">
        <v>215</v>
      </c>
    </row>
    <row r="46948" spans="129:129" x14ac:dyDescent="0.2">
      <c r="DY46948" s="185" t="s">
        <v>215</v>
      </c>
    </row>
    <row r="46949" spans="129:129" x14ac:dyDescent="0.2">
      <c r="DY46949" s="185" t="s">
        <v>215</v>
      </c>
    </row>
    <row r="46950" spans="129:129" x14ac:dyDescent="0.2">
      <c r="DY46950" s="185" t="s">
        <v>215</v>
      </c>
    </row>
    <row r="46951" spans="129:129" x14ac:dyDescent="0.2">
      <c r="DY46951" s="185" t="s">
        <v>215</v>
      </c>
    </row>
    <row r="46952" spans="129:129" x14ac:dyDescent="0.2">
      <c r="DY46952" s="185" t="s">
        <v>215</v>
      </c>
    </row>
    <row r="46953" spans="129:129" x14ac:dyDescent="0.2">
      <c r="DY46953" s="185" t="s">
        <v>215</v>
      </c>
    </row>
    <row r="46954" spans="129:129" x14ac:dyDescent="0.2">
      <c r="DY46954" s="185" t="s">
        <v>215</v>
      </c>
    </row>
    <row r="46955" spans="129:129" x14ac:dyDescent="0.2">
      <c r="DY46955" s="185" t="s">
        <v>215</v>
      </c>
    </row>
    <row r="46956" spans="129:129" x14ac:dyDescent="0.2">
      <c r="DY46956" s="185" t="s">
        <v>215</v>
      </c>
    </row>
    <row r="46957" spans="129:129" x14ac:dyDescent="0.2">
      <c r="DY46957" s="185" t="s">
        <v>215</v>
      </c>
    </row>
    <row r="46958" spans="129:129" x14ac:dyDescent="0.2">
      <c r="DY46958" s="185" t="s">
        <v>215</v>
      </c>
    </row>
    <row r="46959" spans="129:129" x14ac:dyDescent="0.2">
      <c r="DY46959" s="185" t="s">
        <v>215</v>
      </c>
    </row>
    <row r="46960" spans="129:129" x14ac:dyDescent="0.2">
      <c r="DY46960" s="185" t="s">
        <v>215</v>
      </c>
    </row>
    <row r="46961" spans="129:129" x14ac:dyDescent="0.2">
      <c r="DY46961" s="185" t="s">
        <v>215</v>
      </c>
    </row>
    <row r="46962" spans="129:129" x14ac:dyDescent="0.2">
      <c r="DY46962" s="185" t="s">
        <v>215</v>
      </c>
    </row>
    <row r="46963" spans="129:129" x14ac:dyDescent="0.2">
      <c r="DY46963" s="185" t="s">
        <v>215</v>
      </c>
    </row>
    <row r="46964" spans="129:129" x14ac:dyDescent="0.2">
      <c r="DY46964" s="185" t="s">
        <v>215</v>
      </c>
    </row>
    <row r="46965" spans="129:129" x14ac:dyDescent="0.2">
      <c r="DY46965" s="185" t="s">
        <v>215</v>
      </c>
    </row>
    <row r="46966" spans="129:129" x14ac:dyDescent="0.2">
      <c r="DY46966" s="185" t="s">
        <v>215</v>
      </c>
    </row>
    <row r="46967" spans="129:129" x14ac:dyDescent="0.2">
      <c r="DY46967" s="185" t="s">
        <v>215</v>
      </c>
    </row>
    <row r="46968" spans="129:129" x14ac:dyDescent="0.2">
      <c r="DY46968" s="185" t="s">
        <v>215</v>
      </c>
    </row>
    <row r="46969" spans="129:129" x14ac:dyDescent="0.2">
      <c r="DY46969" s="185" t="s">
        <v>215</v>
      </c>
    </row>
    <row r="46970" spans="129:129" x14ac:dyDescent="0.2">
      <c r="DY46970" s="185" t="s">
        <v>215</v>
      </c>
    </row>
    <row r="46971" spans="129:129" x14ac:dyDescent="0.2">
      <c r="DY46971" s="185" t="s">
        <v>215</v>
      </c>
    </row>
    <row r="46972" spans="129:129" x14ac:dyDescent="0.2">
      <c r="DY46972" s="185" t="s">
        <v>215</v>
      </c>
    </row>
    <row r="46973" spans="129:129" x14ac:dyDescent="0.2">
      <c r="DY46973" s="185" t="s">
        <v>215</v>
      </c>
    </row>
    <row r="46974" spans="129:129" x14ac:dyDescent="0.2">
      <c r="DY46974" s="185" t="s">
        <v>215</v>
      </c>
    </row>
    <row r="46975" spans="129:129" x14ac:dyDescent="0.2">
      <c r="DY46975" s="185" t="s">
        <v>215</v>
      </c>
    </row>
    <row r="46976" spans="129:129" x14ac:dyDescent="0.2">
      <c r="DY46976" s="185" t="s">
        <v>215</v>
      </c>
    </row>
    <row r="46977" spans="129:129" x14ac:dyDescent="0.2">
      <c r="DY46977" s="185" t="s">
        <v>215</v>
      </c>
    </row>
    <row r="46978" spans="129:129" x14ac:dyDescent="0.2">
      <c r="DY46978" s="185" t="s">
        <v>215</v>
      </c>
    </row>
    <row r="46979" spans="129:129" x14ac:dyDescent="0.2">
      <c r="DY46979" s="185" t="s">
        <v>215</v>
      </c>
    </row>
    <row r="46980" spans="129:129" x14ac:dyDescent="0.2">
      <c r="DY46980" s="185" t="s">
        <v>215</v>
      </c>
    </row>
    <row r="46981" spans="129:129" x14ac:dyDescent="0.2">
      <c r="DY46981" s="185" t="s">
        <v>215</v>
      </c>
    </row>
    <row r="46982" spans="129:129" x14ac:dyDescent="0.2">
      <c r="DY46982" s="185" t="s">
        <v>215</v>
      </c>
    </row>
    <row r="46983" spans="129:129" x14ac:dyDescent="0.2">
      <c r="DY46983" s="185" t="s">
        <v>215</v>
      </c>
    </row>
    <row r="46984" spans="129:129" x14ac:dyDescent="0.2">
      <c r="DY46984" s="185" t="s">
        <v>215</v>
      </c>
    </row>
    <row r="46985" spans="129:129" x14ac:dyDescent="0.2">
      <c r="DY46985" s="185" t="s">
        <v>215</v>
      </c>
    </row>
    <row r="46986" spans="129:129" x14ac:dyDescent="0.2">
      <c r="DY46986" s="185" t="s">
        <v>215</v>
      </c>
    </row>
    <row r="46987" spans="129:129" x14ac:dyDescent="0.2">
      <c r="DY46987" s="185" t="s">
        <v>215</v>
      </c>
    </row>
    <row r="46988" spans="129:129" x14ac:dyDescent="0.2">
      <c r="DY46988" s="185" t="s">
        <v>215</v>
      </c>
    </row>
    <row r="46989" spans="129:129" x14ac:dyDescent="0.2">
      <c r="DY46989" s="185" t="s">
        <v>215</v>
      </c>
    </row>
    <row r="46990" spans="129:129" x14ac:dyDescent="0.2">
      <c r="DY46990" s="185" t="s">
        <v>215</v>
      </c>
    </row>
    <row r="46991" spans="129:129" x14ac:dyDescent="0.2">
      <c r="DY46991" s="185" t="s">
        <v>215</v>
      </c>
    </row>
    <row r="46992" spans="129:129" x14ac:dyDescent="0.2">
      <c r="DY46992" s="185" t="s">
        <v>215</v>
      </c>
    </row>
    <row r="46993" spans="129:129" x14ac:dyDescent="0.2">
      <c r="DY46993" s="185" t="s">
        <v>215</v>
      </c>
    </row>
    <row r="46994" spans="129:129" x14ac:dyDescent="0.2">
      <c r="DY46994" s="185" t="s">
        <v>215</v>
      </c>
    </row>
    <row r="46995" spans="129:129" x14ac:dyDescent="0.2">
      <c r="DY46995" s="185" t="s">
        <v>215</v>
      </c>
    </row>
    <row r="46996" spans="129:129" x14ac:dyDescent="0.2">
      <c r="DY46996" s="185" t="s">
        <v>215</v>
      </c>
    </row>
    <row r="46997" spans="129:129" x14ac:dyDescent="0.2">
      <c r="DY46997" s="185" t="s">
        <v>215</v>
      </c>
    </row>
    <row r="46998" spans="129:129" x14ac:dyDescent="0.2">
      <c r="DY46998" s="185" t="s">
        <v>215</v>
      </c>
    </row>
    <row r="46999" spans="129:129" x14ac:dyDescent="0.2">
      <c r="DY46999" s="185" t="s">
        <v>215</v>
      </c>
    </row>
    <row r="47000" spans="129:129" x14ac:dyDescent="0.2">
      <c r="DY47000" s="185" t="s">
        <v>215</v>
      </c>
    </row>
    <row r="47001" spans="129:129" x14ac:dyDescent="0.2">
      <c r="DY47001" s="185" t="s">
        <v>215</v>
      </c>
    </row>
    <row r="47002" spans="129:129" x14ac:dyDescent="0.2">
      <c r="DY47002" s="185" t="s">
        <v>215</v>
      </c>
    </row>
    <row r="47003" spans="129:129" x14ac:dyDescent="0.2">
      <c r="DY47003" s="185" t="s">
        <v>215</v>
      </c>
    </row>
    <row r="47004" spans="129:129" x14ac:dyDescent="0.2">
      <c r="DY47004" s="185" t="s">
        <v>215</v>
      </c>
    </row>
    <row r="47005" spans="129:129" x14ac:dyDescent="0.2">
      <c r="DY47005" s="185" t="s">
        <v>215</v>
      </c>
    </row>
    <row r="47006" spans="129:129" x14ac:dyDescent="0.2">
      <c r="DY47006" s="185" t="s">
        <v>215</v>
      </c>
    </row>
    <row r="47007" spans="129:129" x14ac:dyDescent="0.2">
      <c r="DY47007" s="185" t="s">
        <v>215</v>
      </c>
    </row>
    <row r="47008" spans="129:129" x14ac:dyDescent="0.2">
      <c r="DY47008" s="185" t="s">
        <v>215</v>
      </c>
    </row>
    <row r="47009" spans="129:129" x14ac:dyDescent="0.2">
      <c r="DY47009" s="185" t="s">
        <v>215</v>
      </c>
    </row>
    <row r="47010" spans="129:129" x14ac:dyDescent="0.2">
      <c r="DY47010" s="185" t="s">
        <v>215</v>
      </c>
    </row>
    <row r="47011" spans="129:129" x14ac:dyDescent="0.2">
      <c r="DY47011" s="185" t="s">
        <v>215</v>
      </c>
    </row>
    <row r="47012" spans="129:129" x14ac:dyDescent="0.2">
      <c r="DY47012" s="185" t="s">
        <v>215</v>
      </c>
    </row>
    <row r="47013" spans="129:129" x14ac:dyDescent="0.2">
      <c r="DY47013" s="185" t="s">
        <v>215</v>
      </c>
    </row>
    <row r="47014" spans="129:129" x14ac:dyDescent="0.2">
      <c r="DY47014" s="185" t="s">
        <v>215</v>
      </c>
    </row>
    <row r="47015" spans="129:129" x14ac:dyDescent="0.2">
      <c r="DY47015" s="185" t="s">
        <v>215</v>
      </c>
    </row>
    <row r="47016" spans="129:129" x14ac:dyDescent="0.2">
      <c r="DY47016" s="185" t="s">
        <v>215</v>
      </c>
    </row>
    <row r="47017" spans="129:129" x14ac:dyDescent="0.2">
      <c r="DY47017" s="185" t="s">
        <v>215</v>
      </c>
    </row>
    <row r="47018" spans="129:129" x14ac:dyDescent="0.2">
      <c r="DY47018" s="185" t="s">
        <v>215</v>
      </c>
    </row>
    <row r="47019" spans="129:129" x14ac:dyDescent="0.2">
      <c r="DY47019" s="185" t="s">
        <v>215</v>
      </c>
    </row>
    <row r="47020" spans="129:129" x14ac:dyDescent="0.2">
      <c r="DY47020" s="185" t="s">
        <v>215</v>
      </c>
    </row>
    <row r="47021" spans="129:129" x14ac:dyDescent="0.2">
      <c r="DY47021" s="185" t="s">
        <v>215</v>
      </c>
    </row>
    <row r="47022" spans="129:129" x14ac:dyDescent="0.2">
      <c r="DY47022" s="185" t="s">
        <v>215</v>
      </c>
    </row>
    <row r="47023" spans="129:129" x14ac:dyDescent="0.2">
      <c r="DY47023" s="185" t="s">
        <v>215</v>
      </c>
    </row>
    <row r="47024" spans="129:129" x14ac:dyDescent="0.2">
      <c r="DY47024" s="185" t="s">
        <v>215</v>
      </c>
    </row>
    <row r="47025" spans="129:129" x14ac:dyDescent="0.2">
      <c r="DY47025" s="185" t="s">
        <v>215</v>
      </c>
    </row>
    <row r="47026" spans="129:129" x14ac:dyDescent="0.2">
      <c r="DY47026" s="185" t="s">
        <v>215</v>
      </c>
    </row>
    <row r="47027" spans="129:129" x14ac:dyDescent="0.2">
      <c r="DY47027" s="185" t="s">
        <v>215</v>
      </c>
    </row>
    <row r="47028" spans="129:129" x14ac:dyDescent="0.2">
      <c r="DY47028" s="185" t="s">
        <v>215</v>
      </c>
    </row>
    <row r="47029" spans="129:129" x14ac:dyDescent="0.2">
      <c r="DY47029" s="185" t="s">
        <v>215</v>
      </c>
    </row>
    <row r="47030" spans="129:129" x14ac:dyDescent="0.2">
      <c r="DY47030" s="185" t="s">
        <v>215</v>
      </c>
    </row>
    <row r="47031" spans="129:129" x14ac:dyDescent="0.2">
      <c r="DY47031" s="185" t="s">
        <v>215</v>
      </c>
    </row>
    <row r="47032" spans="129:129" x14ac:dyDescent="0.2">
      <c r="DY47032" s="185" t="s">
        <v>215</v>
      </c>
    </row>
    <row r="47033" spans="129:129" x14ac:dyDescent="0.2">
      <c r="DY47033" s="185" t="s">
        <v>215</v>
      </c>
    </row>
    <row r="47034" spans="129:129" x14ac:dyDescent="0.2">
      <c r="DY47034" s="185" t="s">
        <v>215</v>
      </c>
    </row>
    <row r="47035" spans="129:129" x14ac:dyDescent="0.2">
      <c r="DY47035" s="185" t="s">
        <v>215</v>
      </c>
    </row>
    <row r="47036" spans="129:129" x14ac:dyDescent="0.2">
      <c r="DY47036" s="185" t="s">
        <v>215</v>
      </c>
    </row>
    <row r="47037" spans="129:129" x14ac:dyDescent="0.2">
      <c r="DY47037" s="185" t="s">
        <v>215</v>
      </c>
    </row>
    <row r="47038" spans="129:129" x14ac:dyDescent="0.2">
      <c r="DY47038" s="185" t="s">
        <v>215</v>
      </c>
    </row>
    <row r="47039" spans="129:129" x14ac:dyDescent="0.2">
      <c r="DY47039" s="185" t="s">
        <v>215</v>
      </c>
    </row>
    <row r="47040" spans="129:129" x14ac:dyDescent="0.2">
      <c r="DY47040" s="185" t="s">
        <v>215</v>
      </c>
    </row>
    <row r="47041" spans="129:129" x14ac:dyDescent="0.2">
      <c r="DY47041" s="185" t="s">
        <v>215</v>
      </c>
    </row>
    <row r="47042" spans="129:129" x14ac:dyDescent="0.2">
      <c r="DY47042" s="185" t="s">
        <v>215</v>
      </c>
    </row>
    <row r="47043" spans="129:129" x14ac:dyDescent="0.2">
      <c r="DY47043" s="185" t="s">
        <v>215</v>
      </c>
    </row>
    <row r="47044" spans="129:129" x14ac:dyDescent="0.2">
      <c r="DY47044" s="185" t="s">
        <v>215</v>
      </c>
    </row>
    <row r="47045" spans="129:129" x14ac:dyDescent="0.2">
      <c r="DY47045" s="185" t="s">
        <v>215</v>
      </c>
    </row>
    <row r="47046" spans="129:129" x14ac:dyDescent="0.2">
      <c r="DY47046" s="185" t="s">
        <v>215</v>
      </c>
    </row>
    <row r="47047" spans="129:129" x14ac:dyDescent="0.2">
      <c r="DY47047" s="185" t="s">
        <v>215</v>
      </c>
    </row>
    <row r="47048" spans="129:129" x14ac:dyDescent="0.2">
      <c r="DY47048" s="185" t="s">
        <v>215</v>
      </c>
    </row>
    <row r="47049" spans="129:129" x14ac:dyDescent="0.2">
      <c r="DY47049" s="185" t="s">
        <v>215</v>
      </c>
    </row>
    <row r="47050" spans="129:129" x14ac:dyDescent="0.2">
      <c r="DY47050" s="185" t="s">
        <v>215</v>
      </c>
    </row>
    <row r="47051" spans="129:129" x14ac:dyDescent="0.2">
      <c r="DY47051" s="185" t="s">
        <v>215</v>
      </c>
    </row>
    <row r="47052" spans="129:129" x14ac:dyDescent="0.2">
      <c r="DY47052" s="185" t="s">
        <v>215</v>
      </c>
    </row>
    <row r="47053" spans="129:129" x14ac:dyDescent="0.2">
      <c r="DY47053" s="185" t="s">
        <v>215</v>
      </c>
    </row>
    <row r="47054" spans="129:129" x14ac:dyDescent="0.2">
      <c r="DY47054" s="185" t="s">
        <v>215</v>
      </c>
    </row>
    <row r="47055" spans="129:129" x14ac:dyDescent="0.2">
      <c r="DY47055" s="185" t="s">
        <v>215</v>
      </c>
    </row>
    <row r="47056" spans="129:129" x14ac:dyDescent="0.2">
      <c r="DY47056" s="185" t="s">
        <v>215</v>
      </c>
    </row>
    <row r="47057" spans="129:129" x14ac:dyDescent="0.2">
      <c r="DY47057" s="185" t="s">
        <v>215</v>
      </c>
    </row>
    <row r="47058" spans="129:129" x14ac:dyDescent="0.2">
      <c r="DY47058" s="185" t="s">
        <v>215</v>
      </c>
    </row>
    <row r="47059" spans="129:129" x14ac:dyDescent="0.2">
      <c r="DY47059" s="185" t="s">
        <v>215</v>
      </c>
    </row>
    <row r="47060" spans="129:129" x14ac:dyDescent="0.2">
      <c r="DY47060" s="185" t="s">
        <v>215</v>
      </c>
    </row>
    <row r="47061" spans="129:129" x14ac:dyDescent="0.2">
      <c r="DY47061" s="185" t="s">
        <v>215</v>
      </c>
    </row>
    <row r="47062" spans="129:129" x14ac:dyDescent="0.2">
      <c r="DY47062" s="185" t="s">
        <v>215</v>
      </c>
    </row>
    <row r="47063" spans="129:129" x14ac:dyDescent="0.2">
      <c r="DY47063" s="185" t="s">
        <v>215</v>
      </c>
    </row>
    <row r="47064" spans="129:129" x14ac:dyDescent="0.2">
      <c r="DY47064" s="185" t="s">
        <v>215</v>
      </c>
    </row>
    <row r="47065" spans="129:129" x14ac:dyDescent="0.2">
      <c r="DY47065" s="185" t="s">
        <v>215</v>
      </c>
    </row>
    <row r="47066" spans="129:129" x14ac:dyDescent="0.2">
      <c r="DY47066" s="185" t="s">
        <v>215</v>
      </c>
    </row>
    <row r="47067" spans="129:129" x14ac:dyDescent="0.2">
      <c r="DY47067" s="185" t="s">
        <v>215</v>
      </c>
    </row>
    <row r="47068" spans="129:129" x14ac:dyDescent="0.2">
      <c r="DY47068" s="185" t="s">
        <v>215</v>
      </c>
    </row>
    <row r="47069" spans="129:129" x14ac:dyDescent="0.2">
      <c r="DY47069" s="185" t="s">
        <v>215</v>
      </c>
    </row>
    <row r="47070" spans="129:129" x14ac:dyDescent="0.2">
      <c r="DY47070" s="185" t="s">
        <v>215</v>
      </c>
    </row>
    <row r="47071" spans="129:129" x14ac:dyDescent="0.2">
      <c r="DY47071" s="185" t="s">
        <v>215</v>
      </c>
    </row>
    <row r="47072" spans="129:129" x14ac:dyDescent="0.2">
      <c r="DY47072" s="185" t="s">
        <v>215</v>
      </c>
    </row>
    <row r="47073" spans="129:129" x14ac:dyDescent="0.2">
      <c r="DY47073" s="185" t="s">
        <v>215</v>
      </c>
    </row>
    <row r="47074" spans="129:129" x14ac:dyDescent="0.2">
      <c r="DY47074" s="185" t="s">
        <v>215</v>
      </c>
    </row>
    <row r="47075" spans="129:129" x14ac:dyDescent="0.2">
      <c r="DY47075" s="185" t="s">
        <v>215</v>
      </c>
    </row>
    <row r="47076" spans="129:129" x14ac:dyDescent="0.2">
      <c r="DY47076" s="185" t="s">
        <v>215</v>
      </c>
    </row>
    <row r="47077" spans="129:129" x14ac:dyDescent="0.2">
      <c r="DY47077" s="185" t="s">
        <v>215</v>
      </c>
    </row>
    <row r="47078" spans="129:129" x14ac:dyDescent="0.2">
      <c r="DY47078" s="185" t="s">
        <v>215</v>
      </c>
    </row>
    <row r="47079" spans="129:129" x14ac:dyDescent="0.2">
      <c r="DY47079" s="185" t="s">
        <v>215</v>
      </c>
    </row>
    <row r="47080" spans="129:129" x14ac:dyDescent="0.2">
      <c r="DY47080" s="185" t="s">
        <v>215</v>
      </c>
    </row>
    <row r="47081" spans="129:129" x14ac:dyDescent="0.2">
      <c r="DY47081" s="185" t="s">
        <v>215</v>
      </c>
    </row>
    <row r="47082" spans="129:129" x14ac:dyDescent="0.2">
      <c r="DY47082" s="185" t="s">
        <v>215</v>
      </c>
    </row>
    <row r="47083" spans="129:129" x14ac:dyDescent="0.2">
      <c r="DY47083" s="185" t="s">
        <v>215</v>
      </c>
    </row>
    <row r="47084" spans="129:129" x14ac:dyDescent="0.2">
      <c r="DY47084" s="185" t="s">
        <v>215</v>
      </c>
    </row>
    <row r="47085" spans="129:129" x14ac:dyDescent="0.2">
      <c r="DY47085" s="185" t="s">
        <v>215</v>
      </c>
    </row>
    <row r="47086" spans="129:129" x14ac:dyDescent="0.2">
      <c r="DY47086" s="185" t="s">
        <v>215</v>
      </c>
    </row>
    <row r="47087" spans="129:129" x14ac:dyDescent="0.2">
      <c r="DY47087" s="185" t="s">
        <v>215</v>
      </c>
    </row>
    <row r="47088" spans="129:129" x14ac:dyDescent="0.2">
      <c r="DY47088" s="185" t="s">
        <v>215</v>
      </c>
    </row>
    <row r="47089" spans="129:129" x14ac:dyDescent="0.2">
      <c r="DY47089" s="185" t="s">
        <v>215</v>
      </c>
    </row>
    <row r="47090" spans="129:129" x14ac:dyDescent="0.2">
      <c r="DY47090" s="185" t="s">
        <v>215</v>
      </c>
    </row>
    <row r="47091" spans="129:129" x14ac:dyDescent="0.2">
      <c r="DY47091" s="185" t="s">
        <v>215</v>
      </c>
    </row>
    <row r="47092" spans="129:129" x14ac:dyDescent="0.2">
      <c r="DY47092" s="185" t="s">
        <v>215</v>
      </c>
    </row>
    <row r="47093" spans="129:129" x14ac:dyDescent="0.2">
      <c r="DY47093" s="185" t="s">
        <v>215</v>
      </c>
    </row>
    <row r="47094" spans="129:129" x14ac:dyDescent="0.2">
      <c r="DY47094" s="185" t="s">
        <v>215</v>
      </c>
    </row>
    <row r="47095" spans="129:129" x14ac:dyDescent="0.2">
      <c r="DY47095" s="185" t="s">
        <v>215</v>
      </c>
    </row>
    <row r="47096" spans="129:129" x14ac:dyDescent="0.2">
      <c r="DY47096" s="185" t="s">
        <v>215</v>
      </c>
    </row>
    <row r="47097" spans="129:129" x14ac:dyDescent="0.2">
      <c r="DY47097" s="185" t="s">
        <v>215</v>
      </c>
    </row>
    <row r="47098" spans="129:129" x14ac:dyDescent="0.2">
      <c r="DY47098" s="185" t="s">
        <v>215</v>
      </c>
    </row>
    <row r="47099" spans="129:129" x14ac:dyDescent="0.2">
      <c r="DY47099" s="185" t="s">
        <v>215</v>
      </c>
    </row>
    <row r="47100" spans="129:129" x14ac:dyDescent="0.2">
      <c r="DY47100" s="185" t="s">
        <v>215</v>
      </c>
    </row>
    <row r="47101" spans="129:129" x14ac:dyDescent="0.2">
      <c r="DY47101" s="185" t="s">
        <v>215</v>
      </c>
    </row>
    <row r="47102" spans="129:129" x14ac:dyDescent="0.2">
      <c r="DY47102" s="185" t="s">
        <v>215</v>
      </c>
    </row>
    <row r="47103" spans="129:129" x14ac:dyDescent="0.2">
      <c r="DY47103" s="185" t="s">
        <v>215</v>
      </c>
    </row>
    <row r="47104" spans="129:129" x14ac:dyDescent="0.2">
      <c r="DY47104" s="185" t="s">
        <v>215</v>
      </c>
    </row>
    <row r="47105" spans="129:129" x14ac:dyDescent="0.2">
      <c r="DY47105" s="185" t="s">
        <v>215</v>
      </c>
    </row>
    <row r="47106" spans="129:129" x14ac:dyDescent="0.2">
      <c r="DY47106" s="185" t="s">
        <v>215</v>
      </c>
    </row>
    <row r="47107" spans="129:129" x14ac:dyDescent="0.2">
      <c r="DY47107" s="185" t="s">
        <v>215</v>
      </c>
    </row>
    <row r="47108" spans="129:129" x14ac:dyDescent="0.2">
      <c r="DY47108" s="185" t="s">
        <v>215</v>
      </c>
    </row>
    <row r="47109" spans="129:129" x14ac:dyDescent="0.2">
      <c r="DY47109" s="185" t="s">
        <v>215</v>
      </c>
    </row>
    <row r="47110" spans="129:129" x14ac:dyDescent="0.2">
      <c r="DY47110" s="185" t="s">
        <v>215</v>
      </c>
    </row>
    <row r="47111" spans="129:129" x14ac:dyDescent="0.2">
      <c r="DY47111" s="185" t="s">
        <v>215</v>
      </c>
    </row>
    <row r="47112" spans="129:129" x14ac:dyDescent="0.2">
      <c r="DY47112" s="185" t="s">
        <v>215</v>
      </c>
    </row>
    <row r="47113" spans="129:129" x14ac:dyDescent="0.2">
      <c r="DY47113" s="185" t="s">
        <v>215</v>
      </c>
    </row>
    <row r="47114" spans="129:129" x14ac:dyDescent="0.2">
      <c r="DY47114" s="185" t="s">
        <v>215</v>
      </c>
    </row>
    <row r="47115" spans="129:129" x14ac:dyDescent="0.2">
      <c r="DY47115" s="185" t="s">
        <v>215</v>
      </c>
    </row>
    <row r="47116" spans="129:129" x14ac:dyDescent="0.2">
      <c r="DY47116" s="185" t="s">
        <v>215</v>
      </c>
    </row>
    <row r="47117" spans="129:129" x14ac:dyDescent="0.2">
      <c r="DY47117" s="185" t="s">
        <v>215</v>
      </c>
    </row>
    <row r="47118" spans="129:129" x14ac:dyDescent="0.2">
      <c r="DY47118" s="185" t="s">
        <v>215</v>
      </c>
    </row>
    <row r="47119" spans="129:129" x14ac:dyDescent="0.2">
      <c r="DY47119" s="185" t="s">
        <v>215</v>
      </c>
    </row>
    <row r="47120" spans="129:129" x14ac:dyDescent="0.2">
      <c r="DY47120" s="185" t="s">
        <v>215</v>
      </c>
    </row>
    <row r="47121" spans="129:129" x14ac:dyDescent="0.2">
      <c r="DY47121" s="185" t="s">
        <v>215</v>
      </c>
    </row>
    <row r="47122" spans="129:129" x14ac:dyDescent="0.2">
      <c r="DY47122" s="185" t="s">
        <v>215</v>
      </c>
    </row>
    <row r="47123" spans="129:129" x14ac:dyDescent="0.2">
      <c r="DY47123" s="185" t="s">
        <v>215</v>
      </c>
    </row>
    <row r="47124" spans="129:129" x14ac:dyDescent="0.2">
      <c r="DY47124" s="185" t="s">
        <v>215</v>
      </c>
    </row>
    <row r="47125" spans="129:129" x14ac:dyDescent="0.2">
      <c r="DY47125" s="185" t="s">
        <v>215</v>
      </c>
    </row>
    <row r="47126" spans="129:129" x14ac:dyDescent="0.2">
      <c r="DY47126" s="185" t="s">
        <v>215</v>
      </c>
    </row>
    <row r="47127" spans="129:129" x14ac:dyDescent="0.2">
      <c r="DY47127" s="185" t="s">
        <v>215</v>
      </c>
    </row>
    <row r="47128" spans="129:129" x14ac:dyDescent="0.2">
      <c r="DY47128" s="185" t="s">
        <v>215</v>
      </c>
    </row>
    <row r="47129" spans="129:129" x14ac:dyDescent="0.2">
      <c r="DY47129" s="185" t="s">
        <v>215</v>
      </c>
    </row>
    <row r="47130" spans="129:129" x14ac:dyDescent="0.2">
      <c r="DY47130" s="185" t="s">
        <v>215</v>
      </c>
    </row>
    <row r="47131" spans="129:129" x14ac:dyDescent="0.2">
      <c r="DY47131" s="185" t="s">
        <v>215</v>
      </c>
    </row>
    <row r="47132" spans="129:129" x14ac:dyDescent="0.2">
      <c r="DY47132" s="185" t="s">
        <v>215</v>
      </c>
    </row>
    <row r="47133" spans="129:129" x14ac:dyDescent="0.2">
      <c r="DY47133" s="185" t="s">
        <v>215</v>
      </c>
    </row>
    <row r="47134" spans="129:129" x14ac:dyDescent="0.2">
      <c r="DY47134" s="185" t="s">
        <v>215</v>
      </c>
    </row>
    <row r="47135" spans="129:129" x14ac:dyDescent="0.2">
      <c r="DY47135" s="185" t="s">
        <v>215</v>
      </c>
    </row>
    <row r="47136" spans="129:129" x14ac:dyDescent="0.2">
      <c r="DY47136" s="185" t="s">
        <v>215</v>
      </c>
    </row>
    <row r="47137" spans="129:129" x14ac:dyDescent="0.2">
      <c r="DY47137" s="185" t="s">
        <v>215</v>
      </c>
    </row>
    <row r="47138" spans="129:129" x14ac:dyDescent="0.2">
      <c r="DY47138" s="185" t="s">
        <v>215</v>
      </c>
    </row>
    <row r="47139" spans="129:129" x14ac:dyDescent="0.2">
      <c r="DY47139" s="185" t="s">
        <v>215</v>
      </c>
    </row>
    <row r="47140" spans="129:129" x14ac:dyDescent="0.2">
      <c r="DY47140" s="185" t="s">
        <v>215</v>
      </c>
    </row>
    <row r="47141" spans="129:129" x14ac:dyDescent="0.2">
      <c r="DY47141" s="185" t="s">
        <v>215</v>
      </c>
    </row>
    <row r="47142" spans="129:129" x14ac:dyDescent="0.2">
      <c r="DY47142" s="185" t="s">
        <v>215</v>
      </c>
    </row>
    <row r="47143" spans="129:129" x14ac:dyDescent="0.2">
      <c r="DY47143" s="185" t="s">
        <v>215</v>
      </c>
    </row>
    <row r="47144" spans="129:129" x14ac:dyDescent="0.2">
      <c r="DY47144" s="185" t="s">
        <v>215</v>
      </c>
    </row>
    <row r="47145" spans="129:129" x14ac:dyDescent="0.2">
      <c r="DY47145" s="185" t="s">
        <v>215</v>
      </c>
    </row>
    <row r="47146" spans="129:129" x14ac:dyDescent="0.2">
      <c r="DY47146" s="185" t="s">
        <v>215</v>
      </c>
    </row>
    <row r="47147" spans="129:129" x14ac:dyDescent="0.2">
      <c r="DY47147" s="185" t="s">
        <v>215</v>
      </c>
    </row>
    <row r="47148" spans="129:129" x14ac:dyDescent="0.2">
      <c r="DY47148" s="185" t="s">
        <v>215</v>
      </c>
    </row>
    <row r="47149" spans="129:129" x14ac:dyDescent="0.2">
      <c r="DY47149" s="185" t="s">
        <v>215</v>
      </c>
    </row>
    <row r="47150" spans="129:129" x14ac:dyDescent="0.2">
      <c r="DY47150" s="185" t="s">
        <v>215</v>
      </c>
    </row>
    <row r="47151" spans="129:129" x14ac:dyDescent="0.2">
      <c r="DY47151" s="185" t="s">
        <v>215</v>
      </c>
    </row>
    <row r="47152" spans="129:129" x14ac:dyDescent="0.2">
      <c r="DY47152" s="185" t="s">
        <v>215</v>
      </c>
    </row>
    <row r="47153" spans="129:129" x14ac:dyDescent="0.2">
      <c r="DY47153" s="185" t="s">
        <v>215</v>
      </c>
    </row>
    <row r="47154" spans="129:129" x14ac:dyDescent="0.2">
      <c r="DY47154" s="185" t="s">
        <v>215</v>
      </c>
    </row>
    <row r="47155" spans="129:129" x14ac:dyDescent="0.2">
      <c r="DY47155" s="185" t="s">
        <v>215</v>
      </c>
    </row>
    <row r="47156" spans="129:129" x14ac:dyDescent="0.2">
      <c r="DY47156" s="185" t="s">
        <v>215</v>
      </c>
    </row>
    <row r="47157" spans="129:129" x14ac:dyDescent="0.2">
      <c r="DY47157" s="185" t="s">
        <v>215</v>
      </c>
    </row>
    <row r="47158" spans="129:129" x14ac:dyDescent="0.2">
      <c r="DY47158" s="185" t="s">
        <v>215</v>
      </c>
    </row>
    <row r="47159" spans="129:129" x14ac:dyDescent="0.2">
      <c r="DY47159" s="185" t="s">
        <v>215</v>
      </c>
    </row>
    <row r="47160" spans="129:129" x14ac:dyDescent="0.2">
      <c r="DY47160" s="185" t="s">
        <v>215</v>
      </c>
    </row>
    <row r="47161" spans="129:129" x14ac:dyDescent="0.2">
      <c r="DY47161" s="185" t="s">
        <v>215</v>
      </c>
    </row>
    <row r="47162" spans="129:129" x14ac:dyDescent="0.2">
      <c r="DY47162" s="185" t="s">
        <v>215</v>
      </c>
    </row>
    <row r="47163" spans="129:129" x14ac:dyDescent="0.2">
      <c r="DY47163" s="185" t="s">
        <v>215</v>
      </c>
    </row>
    <row r="47164" spans="129:129" x14ac:dyDescent="0.2">
      <c r="DY47164" s="185" t="s">
        <v>215</v>
      </c>
    </row>
    <row r="47165" spans="129:129" x14ac:dyDescent="0.2">
      <c r="DY47165" s="185" t="s">
        <v>215</v>
      </c>
    </row>
    <row r="47166" spans="129:129" x14ac:dyDescent="0.2">
      <c r="DY47166" s="185" t="s">
        <v>215</v>
      </c>
    </row>
    <row r="47167" spans="129:129" x14ac:dyDescent="0.2">
      <c r="DY47167" s="185" t="s">
        <v>215</v>
      </c>
    </row>
    <row r="47168" spans="129:129" x14ac:dyDescent="0.2">
      <c r="DY47168" s="185" t="s">
        <v>215</v>
      </c>
    </row>
    <row r="47169" spans="129:129" x14ac:dyDescent="0.2">
      <c r="DY47169" s="185" t="s">
        <v>215</v>
      </c>
    </row>
    <row r="47170" spans="129:129" x14ac:dyDescent="0.2">
      <c r="DY47170" s="185" t="s">
        <v>215</v>
      </c>
    </row>
    <row r="47171" spans="129:129" x14ac:dyDescent="0.2">
      <c r="DY47171" s="185" t="s">
        <v>215</v>
      </c>
    </row>
    <row r="47172" spans="129:129" x14ac:dyDescent="0.2">
      <c r="DY47172" s="185" t="s">
        <v>215</v>
      </c>
    </row>
    <row r="47173" spans="129:129" x14ac:dyDescent="0.2">
      <c r="DY47173" s="185" t="s">
        <v>215</v>
      </c>
    </row>
    <row r="47174" spans="129:129" x14ac:dyDescent="0.2">
      <c r="DY47174" s="185" t="s">
        <v>215</v>
      </c>
    </row>
    <row r="47175" spans="129:129" x14ac:dyDescent="0.2">
      <c r="DY47175" s="185" t="s">
        <v>215</v>
      </c>
    </row>
    <row r="47176" spans="129:129" x14ac:dyDescent="0.2">
      <c r="DY47176" s="185" t="s">
        <v>215</v>
      </c>
    </row>
    <row r="47177" spans="129:129" x14ac:dyDescent="0.2">
      <c r="DY47177" s="185" t="s">
        <v>215</v>
      </c>
    </row>
    <row r="47178" spans="129:129" x14ac:dyDescent="0.2">
      <c r="DY47178" s="185" t="s">
        <v>215</v>
      </c>
    </row>
    <row r="47179" spans="129:129" x14ac:dyDescent="0.2">
      <c r="DY47179" s="185" t="s">
        <v>215</v>
      </c>
    </row>
    <row r="47180" spans="129:129" x14ac:dyDescent="0.2">
      <c r="DY47180" s="185" t="s">
        <v>215</v>
      </c>
    </row>
    <row r="47181" spans="129:129" x14ac:dyDescent="0.2">
      <c r="DY47181" s="185" t="s">
        <v>215</v>
      </c>
    </row>
    <row r="47182" spans="129:129" x14ac:dyDescent="0.2">
      <c r="DY47182" s="185" t="s">
        <v>215</v>
      </c>
    </row>
    <row r="47183" spans="129:129" x14ac:dyDescent="0.2">
      <c r="DY47183" s="185" t="s">
        <v>215</v>
      </c>
    </row>
    <row r="47184" spans="129:129" x14ac:dyDescent="0.2">
      <c r="DY47184" s="185" t="s">
        <v>215</v>
      </c>
    </row>
    <row r="47185" spans="129:129" x14ac:dyDescent="0.2">
      <c r="DY47185" s="185" t="s">
        <v>215</v>
      </c>
    </row>
    <row r="47186" spans="129:129" x14ac:dyDescent="0.2">
      <c r="DY47186" s="185" t="s">
        <v>215</v>
      </c>
    </row>
    <row r="47187" spans="129:129" x14ac:dyDescent="0.2">
      <c r="DY47187" s="185" t="s">
        <v>215</v>
      </c>
    </row>
    <row r="47188" spans="129:129" x14ac:dyDescent="0.2">
      <c r="DY47188" s="185" t="s">
        <v>215</v>
      </c>
    </row>
    <row r="47189" spans="129:129" x14ac:dyDescent="0.2">
      <c r="DY47189" s="185" t="s">
        <v>215</v>
      </c>
    </row>
    <row r="47190" spans="129:129" x14ac:dyDescent="0.2">
      <c r="DY47190" s="185" t="s">
        <v>215</v>
      </c>
    </row>
    <row r="47191" spans="129:129" x14ac:dyDescent="0.2">
      <c r="DY47191" s="185" t="s">
        <v>215</v>
      </c>
    </row>
    <row r="47192" spans="129:129" x14ac:dyDescent="0.2">
      <c r="DY47192" s="185" t="s">
        <v>215</v>
      </c>
    </row>
    <row r="47193" spans="129:129" x14ac:dyDescent="0.2">
      <c r="DY47193" s="185" t="s">
        <v>215</v>
      </c>
    </row>
    <row r="47194" spans="129:129" x14ac:dyDescent="0.2">
      <c r="DY47194" s="185" t="s">
        <v>215</v>
      </c>
    </row>
    <row r="47195" spans="129:129" x14ac:dyDescent="0.2">
      <c r="DY47195" s="185" t="s">
        <v>215</v>
      </c>
    </row>
    <row r="47196" spans="129:129" x14ac:dyDescent="0.2">
      <c r="DY47196" s="185" t="s">
        <v>215</v>
      </c>
    </row>
    <row r="47197" spans="129:129" x14ac:dyDescent="0.2">
      <c r="DY47197" s="185" t="s">
        <v>215</v>
      </c>
    </row>
    <row r="47198" spans="129:129" x14ac:dyDescent="0.2">
      <c r="DY47198" s="185" t="s">
        <v>215</v>
      </c>
    </row>
    <row r="47199" spans="129:129" x14ac:dyDescent="0.2">
      <c r="DY47199" s="185" t="s">
        <v>215</v>
      </c>
    </row>
    <row r="47200" spans="129:129" x14ac:dyDescent="0.2">
      <c r="DY47200" s="185" t="s">
        <v>215</v>
      </c>
    </row>
    <row r="47201" spans="129:129" x14ac:dyDescent="0.2">
      <c r="DY47201" s="185" t="s">
        <v>215</v>
      </c>
    </row>
    <row r="47202" spans="129:129" x14ac:dyDescent="0.2">
      <c r="DY47202" s="185" t="s">
        <v>215</v>
      </c>
    </row>
    <row r="47203" spans="129:129" x14ac:dyDescent="0.2">
      <c r="DY47203" s="185" t="s">
        <v>215</v>
      </c>
    </row>
    <row r="47204" spans="129:129" x14ac:dyDescent="0.2">
      <c r="DY47204" s="185" t="s">
        <v>215</v>
      </c>
    </row>
    <row r="47205" spans="129:129" x14ac:dyDescent="0.2">
      <c r="DY47205" s="185" t="s">
        <v>215</v>
      </c>
    </row>
    <row r="47206" spans="129:129" x14ac:dyDescent="0.2">
      <c r="DY47206" s="185" t="s">
        <v>215</v>
      </c>
    </row>
    <row r="47207" spans="129:129" x14ac:dyDescent="0.2">
      <c r="DY47207" s="185" t="s">
        <v>215</v>
      </c>
    </row>
    <row r="47208" spans="129:129" x14ac:dyDescent="0.2">
      <c r="DY47208" s="185" t="s">
        <v>215</v>
      </c>
    </row>
    <row r="47209" spans="129:129" x14ac:dyDescent="0.2">
      <c r="DY47209" s="185" t="s">
        <v>215</v>
      </c>
    </row>
    <row r="47210" spans="129:129" x14ac:dyDescent="0.2">
      <c r="DY47210" s="185" t="s">
        <v>215</v>
      </c>
    </row>
    <row r="47211" spans="129:129" x14ac:dyDescent="0.2">
      <c r="DY47211" s="185" t="s">
        <v>215</v>
      </c>
    </row>
    <row r="47212" spans="129:129" x14ac:dyDescent="0.2">
      <c r="DY47212" s="185" t="s">
        <v>215</v>
      </c>
    </row>
    <row r="47213" spans="129:129" x14ac:dyDescent="0.2">
      <c r="DY47213" s="185" t="s">
        <v>215</v>
      </c>
    </row>
    <row r="47214" spans="129:129" x14ac:dyDescent="0.2">
      <c r="DY47214" s="185" t="s">
        <v>215</v>
      </c>
    </row>
    <row r="47215" spans="129:129" x14ac:dyDescent="0.2">
      <c r="DY47215" s="185" t="s">
        <v>215</v>
      </c>
    </row>
    <row r="47216" spans="129:129" x14ac:dyDescent="0.2">
      <c r="DY47216" s="185" t="s">
        <v>215</v>
      </c>
    </row>
    <row r="47217" spans="129:129" x14ac:dyDescent="0.2">
      <c r="DY47217" s="185" t="s">
        <v>215</v>
      </c>
    </row>
    <row r="47218" spans="129:129" x14ac:dyDescent="0.2">
      <c r="DY47218" s="185" t="s">
        <v>215</v>
      </c>
    </row>
    <row r="47219" spans="129:129" x14ac:dyDescent="0.2">
      <c r="DY47219" s="185" t="s">
        <v>215</v>
      </c>
    </row>
    <row r="47220" spans="129:129" x14ac:dyDescent="0.2">
      <c r="DY47220" s="185" t="s">
        <v>215</v>
      </c>
    </row>
    <row r="47221" spans="129:129" x14ac:dyDescent="0.2">
      <c r="DY47221" s="185" t="s">
        <v>215</v>
      </c>
    </row>
    <row r="47222" spans="129:129" x14ac:dyDescent="0.2">
      <c r="DY47222" s="185" t="s">
        <v>215</v>
      </c>
    </row>
    <row r="47223" spans="129:129" x14ac:dyDescent="0.2">
      <c r="DY47223" s="185" t="s">
        <v>215</v>
      </c>
    </row>
    <row r="47224" spans="129:129" x14ac:dyDescent="0.2">
      <c r="DY47224" s="185" t="s">
        <v>215</v>
      </c>
    </row>
    <row r="47225" spans="129:129" x14ac:dyDescent="0.2">
      <c r="DY47225" s="185" t="s">
        <v>215</v>
      </c>
    </row>
    <row r="47226" spans="129:129" x14ac:dyDescent="0.2">
      <c r="DY47226" s="185" t="s">
        <v>215</v>
      </c>
    </row>
    <row r="47227" spans="129:129" x14ac:dyDescent="0.2">
      <c r="DY47227" s="185" t="s">
        <v>215</v>
      </c>
    </row>
    <row r="47228" spans="129:129" x14ac:dyDescent="0.2">
      <c r="DY47228" s="185" t="s">
        <v>215</v>
      </c>
    </row>
    <row r="47229" spans="129:129" x14ac:dyDescent="0.2">
      <c r="DY47229" s="185" t="s">
        <v>215</v>
      </c>
    </row>
    <row r="47230" spans="129:129" x14ac:dyDescent="0.2">
      <c r="DY47230" s="185" t="s">
        <v>215</v>
      </c>
    </row>
    <row r="47231" spans="129:129" x14ac:dyDescent="0.2">
      <c r="DY47231" s="185" t="s">
        <v>215</v>
      </c>
    </row>
    <row r="47232" spans="129:129" x14ac:dyDescent="0.2">
      <c r="DY47232" s="185" t="s">
        <v>215</v>
      </c>
    </row>
    <row r="47233" spans="129:129" x14ac:dyDescent="0.2">
      <c r="DY47233" s="185" t="s">
        <v>215</v>
      </c>
    </row>
    <row r="47234" spans="129:129" x14ac:dyDescent="0.2">
      <c r="DY47234" s="185" t="s">
        <v>215</v>
      </c>
    </row>
    <row r="47235" spans="129:129" x14ac:dyDescent="0.2">
      <c r="DY47235" s="185" t="s">
        <v>215</v>
      </c>
    </row>
    <row r="47236" spans="129:129" x14ac:dyDescent="0.2">
      <c r="DY47236" s="185" t="s">
        <v>215</v>
      </c>
    </row>
    <row r="47237" spans="129:129" x14ac:dyDescent="0.2">
      <c r="DY47237" s="185" t="s">
        <v>215</v>
      </c>
    </row>
    <row r="47238" spans="129:129" x14ac:dyDescent="0.2">
      <c r="DY47238" s="185" t="s">
        <v>215</v>
      </c>
    </row>
    <row r="47239" spans="129:129" x14ac:dyDescent="0.2">
      <c r="DY47239" s="185" t="s">
        <v>215</v>
      </c>
    </row>
    <row r="47240" spans="129:129" x14ac:dyDescent="0.2">
      <c r="DY47240" s="185" t="s">
        <v>215</v>
      </c>
    </row>
    <row r="47241" spans="129:129" x14ac:dyDescent="0.2">
      <c r="DY47241" s="185" t="s">
        <v>215</v>
      </c>
    </row>
    <row r="47242" spans="129:129" x14ac:dyDescent="0.2">
      <c r="DY47242" s="185" t="s">
        <v>215</v>
      </c>
    </row>
    <row r="47243" spans="129:129" x14ac:dyDescent="0.2">
      <c r="DY47243" s="185" t="s">
        <v>215</v>
      </c>
    </row>
    <row r="47244" spans="129:129" x14ac:dyDescent="0.2">
      <c r="DY47244" s="185" t="s">
        <v>215</v>
      </c>
    </row>
    <row r="47245" spans="129:129" x14ac:dyDescent="0.2">
      <c r="DY47245" s="185" t="s">
        <v>215</v>
      </c>
    </row>
    <row r="47246" spans="129:129" x14ac:dyDescent="0.2">
      <c r="DY47246" s="185" t="s">
        <v>215</v>
      </c>
    </row>
    <row r="47247" spans="129:129" x14ac:dyDescent="0.2">
      <c r="DY47247" s="185" t="s">
        <v>215</v>
      </c>
    </row>
    <row r="47248" spans="129:129" x14ac:dyDescent="0.2">
      <c r="DY47248" s="185" t="s">
        <v>215</v>
      </c>
    </row>
    <row r="47249" spans="129:129" x14ac:dyDescent="0.2">
      <c r="DY47249" s="185" t="s">
        <v>215</v>
      </c>
    </row>
    <row r="47250" spans="129:129" x14ac:dyDescent="0.2">
      <c r="DY47250" s="185" t="s">
        <v>215</v>
      </c>
    </row>
    <row r="47251" spans="129:129" x14ac:dyDescent="0.2">
      <c r="DY47251" s="185" t="s">
        <v>215</v>
      </c>
    </row>
    <row r="47252" spans="129:129" x14ac:dyDescent="0.2">
      <c r="DY47252" s="185" t="s">
        <v>215</v>
      </c>
    </row>
    <row r="47253" spans="129:129" x14ac:dyDescent="0.2">
      <c r="DY47253" s="185" t="s">
        <v>215</v>
      </c>
    </row>
    <row r="47254" spans="129:129" x14ac:dyDescent="0.2">
      <c r="DY47254" s="185" t="s">
        <v>215</v>
      </c>
    </row>
    <row r="47255" spans="129:129" x14ac:dyDescent="0.2">
      <c r="DY47255" s="185" t="s">
        <v>215</v>
      </c>
    </row>
    <row r="47256" spans="129:129" x14ac:dyDescent="0.2">
      <c r="DY47256" s="185" t="s">
        <v>215</v>
      </c>
    </row>
    <row r="47257" spans="129:129" x14ac:dyDescent="0.2">
      <c r="DY47257" s="185" t="s">
        <v>215</v>
      </c>
    </row>
    <row r="47258" spans="129:129" x14ac:dyDescent="0.2">
      <c r="DY47258" s="185" t="s">
        <v>215</v>
      </c>
    </row>
    <row r="47259" spans="129:129" x14ac:dyDescent="0.2">
      <c r="DY47259" s="185" t="s">
        <v>215</v>
      </c>
    </row>
    <row r="47260" spans="129:129" x14ac:dyDescent="0.2">
      <c r="DY47260" s="185" t="s">
        <v>215</v>
      </c>
    </row>
    <row r="47261" spans="129:129" x14ac:dyDescent="0.2">
      <c r="DY47261" s="185" t="s">
        <v>215</v>
      </c>
    </row>
    <row r="47262" spans="129:129" x14ac:dyDescent="0.2">
      <c r="DY47262" s="185" t="s">
        <v>215</v>
      </c>
    </row>
    <row r="47263" spans="129:129" x14ac:dyDescent="0.2">
      <c r="DY47263" s="185" t="s">
        <v>215</v>
      </c>
    </row>
    <row r="47264" spans="129:129" x14ac:dyDescent="0.2">
      <c r="DY47264" s="185" t="s">
        <v>215</v>
      </c>
    </row>
    <row r="47265" spans="129:129" x14ac:dyDescent="0.2">
      <c r="DY47265" s="185" t="s">
        <v>215</v>
      </c>
    </row>
    <row r="47266" spans="129:129" x14ac:dyDescent="0.2">
      <c r="DY47266" s="185" t="s">
        <v>215</v>
      </c>
    </row>
    <row r="47267" spans="129:129" x14ac:dyDescent="0.2">
      <c r="DY47267" s="185" t="s">
        <v>215</v>
      </c>
    </row>
    <row r="47268" spans="129:129" x14ac:dyDescent="0.2">
      <c r="DY47268" s="185" t="s">
        <v>215</v>
      </c>
    </row>
    <row r="47269" spans="129:129" x14ac:dyDescent="0.2">
      <c r="DY47269" s="185" t="s">
        <v>215</v>
      </c>
    </row>
    <row r="47270" spans="129:129" x14ac:dyDescent="0.2">
      <c r="DY47270" s="185" t="s">
        <v>215</v>
      </c>
    </row>
    <row r="47271" spans="129:129" x14ac:dyDescent="0.2">
      <c r="DY47271" s="185" t="s">
        <v>215</v>
      </c>
    </row>
    <row r="47272" spans="129:129" x14ac:dyDescent="0.2">
      <c r="DY47272" s="185" t="s">
        <v>215</v>
      </c>
    </row>
    <row r="47273" spans="129:129" x14ac:dyDescent="0.2">
      <c r="DY47273" s="185" t="s">
        <v>215</v>
      </c>
    </row>
    <row r="47274" spans="129:129" x14ac:dyDescent="0.2">
      <c r="DY47274" s="185" t="s">
        <v>215</v>
      </c>
    </row>
    <row r="47275" spans="129:129" x14ac:dyDescent="0.2">
      <c r="DY47275" s="185" t="s">
        <v>215</v>
      </c>
    </row>
    <row r="47276" spans="129:129" x14ac:dyDescent="0.2">
      <c r="DY47276" s="185" t="s">
        <v>215</v>
      </c>
    </row>
    <row r="47277" spans="129:129" x14ac:dyDescent="0.2">
      <c r="DY47277" s="185" t="s">
        <v>215</v>
      </c>
    </row>
    <row r="47278" spans="129:129" x14ac:dyDescent="0.2">
      <c r="DY47278" s="185" t="s">
        <v>215</v>
      </c>
    </row>
    <row r="47279" spans="129:129" x14ac:dyDescent="0.2">
      <c r="DY47279" s="185" t="s">
        <v>215</v>
      </c>
    </row>
    <row r="47280" spans="129:129" x14ac:dyDescent="0.2">
      <c r="DY47280" s="185" t="s">
        <v>215</v>
      </c>
    </row>
    <row r="47281" spans="129:129" x14ac:dyDescent="0.2">
      <c r="DY47281" s="185" t="s">
        <v>215</v>
      </c>
    </row>
    <row r="47282" spans="129:129" x14ac:dyDescent="0.2">
      <c r="DY47282" s="185" t="s">
        <v>215</v>
      </c>
    </row>
    <row r="47283" spans="129:129" x14ac:dyDescent="0.2">
      <c r="DY47283" s="185" t="s">
        <v>215</v>
      </c>
    </row>
    <row r="47284" spans="129:129" x14ac:dyDescent="0.2">
      <c r="DY47284" s="185" t="s">
        <v>215</v>
      </c>
    </row>
    <row r="47285" spans="129:129" x14ac:dyDescent="0.2">
      <c r="DY47285" s="185" t="s">
        <v>215</v>
      </c>
    </row>
    <row r="47286" spans="129:129" x14ac:dyDescent="0.2">
      <c r="DY47286" s="185" t="s">
        <v>215</v>
      </c>
    </row>
    <row r="47287" spans="129:129" x14ac:dyDescent="0.2">
      <c r="DY47287" s="185" t="s">
        <v>215</v>
      </c>
    </row>
    <row r="47288" spans="129:129" x14ac:dyDescent="0.2">
      <c r="DY47288" s="185" t="s">
        <v>215</v>
      </c>
    </row>
    <row r="47289" spans="129:129" x14ac:dyDescent="0.2">
      <c r="DY47289" s="185" t="s">
        <v>215</v>
      </c>
    </row>
    <row r="47290" spans="129:129" x14ac:dyDescent="0.2">
      <c r="DY47290" s="185" t="s">
        <v>215</v>
      </c>
    </row>
    <row r="47291" spans="129:129" x14ac:dyDescent="0.2">
      <c r="DY47291" s="185" t="s">
        <v>215</v>
      </c>
    </row>
    <row r="47292" spans="129:129" x14ac:dyDescent="0.2">
      <c r="DY47292" s="185" t="s">
        <v>215</v>
      </c>
    </row>
    <row r="47293" spans="129:129" x14ac:dyDescent="0.2">
      <c r="DY47293" s="185" t="s">
        <v>215</v>
      </c>
    </row>
    <row r="47294" spans="129:129" x14ac:dyDescent="0.2">
      <c r="DY47294" s="185" t="s">
        <v>215</v>
      </c>
    </row>
    <row r="47295" spans="129:129" x14ac:dyDescent="0.2">
      <c r="DY47295" s="185" t="s">
        <v>215</v>
      </c>
    </row>
    <row r="47296" spans="129:129" x14ac:dyDescent="0.2">
      <c r="DY47296" s="185" t="s">
        <v>215</v>
      </c>
    </row>
    <row r="47297" spans="129:129" x14ac:dyDescent="0.2">
      <c r="DY47297" s="185" t="s">
        <v>215</v>
      </c>
    </row>
    <row r="47298" spans="129:129" x14ac:dyDescent="0.2">
      <c r="DY47298" s="185" t="s">
        <v>215</v>
      </c>
    </row>
    <row r="47299" spans="129:129" x14ac:dyDescent="0.2">
      <c r="DY47299" s="185" t="s">
        <v>215</v>
      </c>
    </row>
    <row r="47300" spans="129:129" x14ac:dyDescent="0.2">
      <c r="DY47300" s="185" t="s">
        <v>215</v>
      </c>
    </row>
    <row r="47301" spans="129:129" x14ac:dyDescent="0.2">
      <c r="DY47301" s="185" t="s">
        <v>215</v>
      </c>
    </row>
    <row r="47302" spans="129:129" x14ac:dyDescent="0.2">
      <c r="DY47302" s="185" t="s">
        <v>215</v>
      </c>
    </row>
    <row r="47303" spans="129:129" x14ac:dyDescent="0.2">
      <c r="DY47303" s="185" t="s">
        <v>215</v>
      </c>
    </row>
    <row r="47304" spans="129:129" x14ac:dyDescent="0.2">
      <c r="DY47304" s="185" t="s">
        <v>215</v>
      </c>
    </row>
    <row r="47305" spans="129:129" x14ac:dyDescent="0.2">
      <c r="DY47305" s="185" t="s">
        <v>215</v>
      </c>
    </row>
    <row r="47306" spans="129:129" x14ac:dyDescent="0.2">
      <c r="DY47306" s="185" t="s">
        <v>215</v>
      </c>
    </row>
    <row r="47307" spans="129:129" x14ac:dyDescent="0.2">
      <c r="DY47307" s="185" t="s">
        <v>215</v>
      </c>
    </row>
    <row r="47308" spans="129:129" x14ac:dyDescent="0.2">
      <c r="DY47308" s="185" t="s">
        <v>215</v>
      </c>
    </row>
    <row r="47309" spans="129:129" x14ac:dyDescent="0.2">
      <c r="DY47309" s="185" t="s">
        <v>215</v>
      </c>
    </row>
    <row r="47310" spans="129:129" x14ac:dyDescent="0.2">
      <c r="DY47310" s="185" t="s">
        <v>215</v>
      </c>
    </row>
    <row r="47311" spans="129:129" x14ac:dyDescent="0.2">
      <c r="DY47311" s="185" t="s">
        <v>215</v>
      </c>
    </row>
    <row r="47312" spans="129:129" x14ac:dyDescent="0.2">
      <c r="DY47312" s="185" t="s">
        <v>215</v>
      </c>
    </row>
    <row r="47313" spans="129:129" x14ac:dyDescent="0.2">
      <c r="DY47313" s="185" t="s">
        <v>215</v>
      </c>
    </row>
    <row r="47314" spans="129:129" x14ac:dyDescent="0.2">
      <c r="DY47314" s="185" t="s">
        <v>215</v>
      </c>
    </row>
    <row r="47315" spans="129:129" x14ac:dyDescent="0.2">
      <c r="DY47315" s="185" t="s">
        <v>215</v>
      </c>
    </row>
    <row r="47316" spans="129:129" x14ac:dyDescent="0.2">
      <c r="DY47316" s="185" t="s">
        <v>215</v>
      </c>
    </row>
    <row r="47317" spans="129:129" x14ac:dyDescent="0.2">
      <c r="DY47317" s="185" t="s">
        <v>215</v>
      </c>
    </row>
    <row r="47318" spans="129:129" x14ac:dyDescent="0.2">
      <c r="DY47318" s="185" t="s">
        <v>215</v>
      </c>
    </row>
    <row r="47319" spans="129:129" x14ac:dyDescent="0.2">
      <c r="DY47319" s="185" t="s">
        <v>215</v>
      </c>
    </row>
    <row r="47320" spans="129:129" x14ac:dyDescent="0.2">
      <c r="DY47320" s="185" t="s">
        <v>215</v>
      </c>
    </row>
    <row r="47321" spans="129:129" x14ac:dyDescent="0.2">
      <c r="DY47321" s="185" t="s">
        <v>215</v>
      </c>
    </row>
    <row r="47322" spans="129:129" x14ac:dyDescent="0.2">
      <c r="DY47322" s="185" t="s">
        <v>215</v>
      </c>
    </row>
    <row r="47323" spans="129:129" x14ac:dyDescent="0.2">
      <c r="DY47323" s="185" t="s">
        <v>215</v>
      </c>
    </row>
    <row r="47324" spans="129:129" x14ac:dyDescent="0.2">
      <c r="DY47324" s="185" t="s">
        <v>215</v>
      </c>
    </row>
    <row r="47325" spans="129:129" x14ac:dyDescent="0.2">
      <c r="DY47325" s="185" t="s">
        <v>215</v>
      </c>
    </row>
    <row r="47326" spans="129:129" x14ac:dyDescent="0.2">
      <c r="DY47326" s="185" t="s">
        <v>215</v>
      </c>
    </row>
    <row r="47327" spans="129:129" x14ac:dyDescent="0.2">
      <c r="DY47327" s="185" t="s">
        <v>215</v>
      </c>
    </row>
    <row r="47328" spans="129:129" x14ac:dyDescent="0.2">
      <c r="DY47328" s="185" t="s">
        <v>215</v>
      </c>
    </row>
    <row r="47329" spans="129:129" x14ac:dyDescent="0.2">
      <c r="DY47329" s="185" t="s">
        <v>215</v>
      </c>
    </row>
    <row r="47330" spans="129:129" x14ac:dyDescent="0.2">
      <c r="DY47330" s="185" t="s">
        <v>215</v>
      </c>
    </row>
    <row r="47331" spans="129:129" x14ac:dyDescent="0.2">
      <c r="DY47331" s="185" t="s">
        <v>215</v>
      </c>
    </row>
    <row r="47332" spans="129:129" x14ac:dyDescent="0.2">
      <c r="DY47332" s="185" t="s">
        <v>215</v>
      </c>
    </row>
    <row r="47333" spans="129:129" x14ac:dyDescent="0.2">
      <c r="DY47333" s="185" t="s">
        <v>215</v>
      </c>
    </row>
    <row r="47334" spans="129:129" x14ac:dyDescent="0.2">
      <c r="DY47334" s="185" t="s">
        <v>215</v>
      </c>
    </row>
    <row r="47335" spans="129:129" x14ac:dyDescent="0.2">
      <c r="DY47335" s="185" t="s">
        <v>215</v>
      </c>
    </row>
    <row r="47336" spans="129:129" x14ac:dyDescent="0.2">
      <c r="DY47336" s="185" t="s">
        <v>215</v>
      </c>
    </row>
    <row r="47337" spans="129:129" x14ac:dyDescent="0.2">
      <c r="DY47337" s="185" t="s">
        <v>215</v>
      </c>
    </row>
    <row r="47338" spans="129:129" x14ac:dyDescent="0.2">
      <c r="DY47338" s="185" t="s">
        <v>215</v>
      </c>
    </row>
    <row r="47339" spans="129:129" x14ac:dyDescent="0.2">
      <c r="DY47339" s="185" t="s">
        <v>215</v>
      </c>
    </row>
    <row r="47340" spans="129:129" x14ac:dyDescent="0.2">
      <c r="DY47340" s="185" t="s">
        <v>215</v>
      </c>
    </row>
    <row r="47341" spans="129:129" x14ac:dyDescent="0.2">
      <c r="DY47341" s="185" t="s">
        <v>215</v>
      </c>
    </row>
    <row r="47342" spans="129:129" x14ac:dyDescent="0.2">
      <c r="DY47342" s="185" t="s">
        <v>215</v>
      </c>
    </row>
    <row r="47343" spans="129:129" x14ac:dyDescent="0.2">
      <c r="DY47343" s="185" t="s">
        <v>215</v>
      </c>
    </row>
    <row r="47344" spans="129:129" x14ac:dyDescent="0.2">
      <c r="DY47344" s="185" t="s">
        <v>215</v>
      </c>
    </row>
    <row r="47345" spans="129:129" x14ac:dyDescent="0.2">
      <c r="DY47345" s="185" t="s">
        <v>215</v>
      </c>
    </row>
    <row r="47346" spans="129:129" x14ac:dyDescent="0.2">
      <c r="DY47346" s="185" t="s">
        <v>215</v>
      </c>
    </row>
    <row r="47347" spans="129:129" x14ac:dyDescent="0.2">
      <c r="DY47347" s="185" t="s">
        <v>215</v>
      </c>
    </row>
    <row r="47348" spans="129:129" x14ac:dyDescent="0.2">
      <c r="DY47348" s="185" t="s">
        <v>215</v>
      </c>
    </row>
    <row r="47349" spans="129:129" x14ac:dyDescent="0.2">
      <c r="DY47349" s="185" t="s">
        <v>215</v>
      </c>
    </row>
    <row r="47350" spans="129:129" x14ac:dyDescent="0.2">
      <c r="DY47350" s="185" t="s">
        <v>215</v>
      </c>
    </row>
    <row r="47351" spans="129:129" x14ac:dyDescent="0.2">
      <c r="DY47351" s="185" t="s">
        <v>215</v>
      </c>
    </row>
    <row r="47352" spans="129:129" x14ac:dyDescent="0.2">
      <c r="DY47352" s="185" t="s">
        <v>215</v>
      </c>
    </row>
    <row r="47353" spans="129:129" x14ac:dyDescent="0.2">
      <c r="DY47353" s="185" t="s">
        <v>215</v>
      </c>
    </row>
    <row r="47354" spans="129:129" x14ac:dyDescent="0.2">
      <c r="DY47354" s="185" t="s">
        <v>215</v>
      </c>
    </row>
    <row r="47355" spans="129:129" x14ac:dyDescent="0.2">
      <c r="DY47355" s="185" t="s">
        <v>215</v>
      </c>
    </row>
    <row r="47356" spans="129:129" x14ac:dyDescent="0.2">
      <c r="DY47356" s="185" t="s">
        <v>215</v>
      </c>
    </row>
    <row r="47357" spans="129:129" x14ac:dyDescent="0.2">
      <c r="DY47357" s="185" t="s">
        <v>215</v>
      </c>
    </row>
    <row r="47358" spans="129:129" x14ac:dyDescent="0.2">
      <c r="DY47358" s="185" t="s">
        <v>215</v>
      </c>
    </row>
    <row r="47359" spans="129:129" x14ac:dyDescent="0.2">
      <c r="DY47359" s="185" t="s">
        <v>215</v>
      </c>
    </row>
    <row r="47360" spans="129:129" x14ac:dyDescent="0.2">
      <c r="DY47360" s="185" t="s">
        <v>215</v>
      </c>
    </row>
    <row r="47361" spans="129:129" x14ac:dyDescent="0.2">
      <c r="DY47361" s="185" t="s">
        <v>215</v>
      </c>
    </row>
    <row r="47362" spans="129:129" x14ac:dyDescent="0.2">
      <c r="DY47362" s="185" t="s">
        <v>215</v>
      </c>
    </row>
    <row r="47363" spans="129:129" x14ac:dyDescent="0.2">
      <c r="DY47363" s="185" t="s">
        <v>215</v>
      </c>
    </row>
    <row r="47364" spans="129:129" x14ac:dyDescent="0.2">
      <c r="DY47364" s="185" t="s">
        <v>215</v>
      </c>
    </row>
    <row r="47365" spans="129:129" x14ac:dyDescent="0.2">
      <c r="DY47365" s="185" t="s">
        <v>215</v>
      </c>
    </row>
    <row r="47366" spans="129:129" x14ac:dyDescent="0.2">
      <c r="DY47366" s="185" t="s">
        <v>215</v>
      </c>
    </row>
    <row r="47367" spans="129:129" x14ac:dyDescent="0.2">
      <c r="DY47367" s="185" t="s">
        <v>215</v>
      </c>
    </row>
    <row r="47368" spans="129:129" x14ac:dyDescent="0.2">
      <c r="DY47368" s="185" t="s">
        <v>215</v>
      </c>
    </row>
    <row r="47369" spans="129:129" x14ac:dyDescent="0.2">
      <c r="DY47369" s="185" t="s">
        <v>215</v>
      </c>
    </row>
    <row r="47370" spans="129:129" x14ac:dyDescent="0.2">
      <c r="DY47370" s="185" t="s">
        <v>215</v>
      </c>
    </row>
    <row r="47371" spans="129:129" x14ac:dyDescent="0.2">
      <c r="DY47371" s="185" t="s">
        <v>215</v>
      </c>
    </row>
    <row r="47372" spans="129:129" x14ac:dyDescent="0.2">
      <c r="DY47372" s="185" t="s">
        <v>215</v>
      </c>
    </row>
    <row r="47373" spans="129:129" x14ac:dyDescent="0.2">
      <c r="DY47373" s="185" t="s">
        <v>215</v>
      </c>
    </row>
    <row r="47374" spans="129:129" x14ac:dyDescent="0.2">
      <c r="DY47374" s="185" t="s">
        <v>215</v>
      </c>
    </row>
    <row r="47375" spans="129:129" x14ac:dyDescent="0.2">
      <c r="DY47375" s="185" t="s">
        <v>215</v>
      </c>
    </row>
    <row r="47376" spans="129:129" x14ac:dyDescent="0.2">
      <c r="DY47376" s="185" t="s">
        <v>215</v>
      </c>
    </row>
    <row r="47377" spans="129:129" x14ac:dyDescent="0.2">
      <c r="DY47377" s="185" t="s">
        <v>215</v>
      </c>
    </row>
    <row r="47378" spans="129:129" x14ac:dyDescent="0.2">
      <c r="DY47378" s="185" t="s">
        <v>215</v>
      </c>
    </row>
    <row r="47379" spans="129:129" x14ac:dyDescent="0.2">
      <c r="DY47379" s="185" t="s">
        <v>215</v>
      </c>
    </row>
    <row r="47380" spans="129:129" x14ac:dyDescent="0.2">
      <c r="DY47380" s="185" t="s">
        <v>215</v>
      </c>
    </row>
    <row r="47381" spans="129:129" x14ac:dyDescent="0.2">
      <c r="DY47381" s="185" t="s">
        <v>215</v>
      </c>
    </row>
    <row r="47382" spans="129:129" x14ac:dyDescent="0.2">
      <c r="DY47382" s="185" t="s">
        <v>215</v>
      </c>
    </row>
    <row r="47383" spans="129:129" x14ac:dyDescent="0.2">
      <c r="DY47383" s="185" t="s">
        <v>215</v>
      </c>
    </row>
    <row r="47384" spans="129:129" x14ac:dyDescent="0.2">
      <c r="DY47384" s="185" t="s">
        <v>215</v>
      </c>
    </row>
    <row r="47385" spans="129:129" x14ac:dyDescent="0.2">
      <c r="DY47385" s="185" t="s">
        <v>215</v>
      </c>
    </row>
    <row r="47386" spans="129:129" x14ac:dyDescent="0.2">
      <c r="DY47386" s="185" t="s">
        <v>215</v>
      </c>
    </row>
    <row r="47387" spans="129:129" x14ac:dyDescent="0.2">
      <c r="DY47387" s="185" t="s">
        <v>215</v>
      </c>
    </row>
    <row r="47388" spans="129:129" x14ac:dyDescent="0.2">
      <c r="DY47388" s="185" t="s">
        <v>215</v>
      </c>
    </row>
    <row r="47389" spans="129:129" x14ac:dyDescent="0.2">
      <c r="DY47389" s="185" t="s">
        <v>215</v>
      </c>
    </row>
    <row r="47390" spans="129:129" x14ac:dyDescent="0.2">
      <c r="DY47390" s="185" t="s">
        <v>215</v>
      </c>
    </row>
    <row r="47391" spans="129:129" x14ac:dyDescent="0.2">
      <c r="DY47391" s="185" t="s">
        <v>215</v>
      </c>
    </row>
    <row r="47392" spans="129:129" x14ac:dyDescent="0.2">
      <c r="DY47392" s="185" t="s">
        <v>215</v>
      </c>
    </row>
    <row r="47393" spans="129:129" x14ac:dyDescent="0.2">
      <c r="DY47393" s="185" t="s">
        <v>215</v>
      </c>
    </row>
    <row r="47394" spans="129:129" x14ac:dyDescent="0.2">
      <c r="DY47394" s="185" t="s">
        <v>215</v>
      </c>
    </row>
    <row r="47395" spans="129:129" x14ac:dyDescent="0.2">
      <c r="DY47395" s="185" t="s">
        <v>215</v>
      </c>
    </row>
    <row r="47396" spans="129:129" x14ac:dyDescent="0.2">
      <c r="DY47396" s="185" t="s">
        <v>215</v>
      </c>
    </row>
    <row r="47397" spans="129:129" x14ac:dyDescent="0.2">
      <c r="DY47397" s="185" t="s">
        <v>215</v>
      </c>
    </row>
    <row r="47398" spans="129:129" x14ac:dyDescent="0.2">
      <c r="DY47398" s="185" t="s">
        <v>215</v>
      </c>
    </row>
    <row r="47399" spans="129:129" x14ac:dyDescent="0.2">
      <c r="DY47399" s="185" t="s">
        <v>215</v>
      </c>
    </row>
    <row r="47400" spans="129:129" x14ac:dyDescent="0.2">
      <c r="DY47400" s="185" t="s">
        <v>215</v>
      </c>
    </row>
    <row r="47401" spans="129:129" x14ac:dyDescent="0.2">
      <c r="DY47401" s="185" t="s">
        <v>215</v>
      </c>
    </row>
    <row r="47402" spans="129:129" x14ac:dyDescent="0.2">
      <c r="DY47402" s="185" t="s">
        <v>215</v>
      </c>
    </row>
    <row r="47403" spans="129:129" x14ac:dyDescent="0.2">
      <c r="DY47403" s="185" t="s">
        <v>215</v>
      </c>
    </row>
    <row r="47404" spans="129:129" x14ac:dyDescent="0.2">
      <c r="DY47404" s="185" t="s">
        <v>215</v>
      </c>
    </row>
    <row r="47405" spans="129:129" x14ac:dyDescent="0.2">
      <c r="DY47405" s="185" t="s">
        <v>215</v>
      </c>
    </row>
    <row r="47406" spans="129:129" x14ac:dyDescent="0.2">
      <c r="DY47406" s="185" t="s">
        <v>215</v>
      </c>
    </row>
    <row r="47407" spans="129:129" x14ac:dyDescent="0.2">
      <c r="DY47407" s="185" t="s">
        <v>215</v>
      </c>
    </row>
    <row r="47408" spans="129:129" x14ac:dyDescent="0.2">
      <c r="DY47408" s="185" t="s">
        <v>215</v>
      </c>
    </row>
    <row r="47409" spans="129:129" x14ac:dyDescent="0.2">
      <c r="DY47409" s="185" t="s">
        <v>215</v>
      </c>
    </row>
    <row r="47410" spans="129:129" x14ac:dyDescent="0.2">
      <c r="DY47410" s="185" t="s">
        <v>215</v>
      </c>
    </row>
    <row r="47411" spans="129:129" x14ac:dyDescent="0.2">
      <c r="DY47411" s="185" t="s">
        <v>215</v>
      </c>
    </row>
    <row r="47412" spans="129:129" x14ac:dyDescent="0.2">
      <c r="DY47412" s="185" t="s">
        <v>215</v>
      </c>
    </row>
    <row r="47413" spans="129:129" x14ac:dyDescent="0.2">
      <c r="DY47413" s="185" t="s">
        <v>215</v>
      </c>
    </row>
    <row r="47414" spans="129:129" x14ac:dyDescent="0.2">
      <c r="DY47414" s="185" t="s">
        <v>215</v>
      </c>
    </row>
    <row r="47415" spans="129:129" x14ac:dyDescent="0.2">
      <c r="DY47415" s="185" t="s">
        <v>215</v>
      </c>
    </row>
    <row r="47416" spans="129:129" x14ac:dyDescent="0.2">
      <c r="DY47416" s="185" t="s">
        <v>215</v>
      </c>
    </row>
    <row r="47417" spans="129:129" x14ac:dyDescent="0.2">
      <c r="DY47417" s="185" t="s">
        <v>215</v>
      </c>
    </row>
    <row r="47418" spans="129:129" x14ac:dyDescent="0.2">
      <c r="DY47418" s="185" t="s">
        <v>215</v>
      </c>
    </row>
    <row r="47419" spans="129:129" x14ac:dyDescent="0.2">
      <c r="DY47419" s="185" t="s">
        <v>215</v>
      </c>
    </row>
    <row r="47420" spans="129:129" x14ac:dyDescent="0.2">
      <c r="DY47420" s="185" t="s">
        <v>215</v>
      </c>
    </row>
    <row r="47421" spans="129:129" x14ac:dyDescent="0.2">
      <c r="DY47421" s="185" t="s">
        <v>215</v>
      </c>
    </row>
    <row r="47422" spans="129:129" x14ac:dyDescent="0.2">
      <c r="DY47422" s="185" t="s">
        <v>215</v>
      </c>
    </row>
    <row r="47423" spans="129:129" x14ac:dyDescent="0.2">
      <c r="DY47423" s="185" t="s">
        <v>215</v>
      </c>
    </row>
    <row r="47424" spans="129:129" x14ac:dyDescent="0.2">
      <c r="DY47424" s="185" t="s">
        <v>215</v>
      </c>
    </row>
    <row r="47425" spans="129:129" x14ac:dyDescent="0.2">
      <c r="DY47425" s="185" t="s">
        <v>215</v>
      </c>
    </row>
    <row r="47426" spans="129:129" x14ac:dyDescent="0.2">
      <c r="DY47426" s="185" t="s">
        <v>215</v>
      </c>
    </row>
    <row r="47427" spans="129:129" x14ac:dyDescent="0.2">
      <c r="DY47427" s="185" t="s">
        <v>215</v>
      </c>
    </row>
    <row r="47428" spans="129:129" x14ac:dyDescent="0.2">
      <c r="DY47428" s="185" t="s">
        <v>215</v>
      </c>
    </row>
    <row r="47429" spans="129:129" x14ac:dyDescent="0.2">
      <c r="DY47429" s="185" t="s">
        <v>215</v>
      </c>
    </row>
    <row r="47430" spans="129:129" x14ac:dyDescent="0.2">
      <c r="DY47430" s="185" t="s">
        <v>215</v>
      </c>
    </row>
    <row r="47431" spans="129:129" x14ac:dyDescent="0.2">
      <c r="DY47431" s="185" t="s">
        <v>215</v>
      </c>
    </row>
    <row r="47432" spans="129:129" x14ac:dyDescent="0.2">
      <c r="DY47432" s="185" t="s">
        <v>215</v>
      </c>
    </row>
    <row r="47433" spans="129:129" x14ac:dyDescent="0.2">
      <c r="DY47433" s="185" t="s">
        <v>215</v>
      </c>
    </row>
    <row r="47434" spans="129:129" x14ac:dyDescent="0.2">
      <c r="DY47434" s="185" t="s">
        <v>215</v>
      </c>
    </row>
    <row r="47435" spans="129:129" x14ac:dyDescent="0.2">
      <c r="DY47435" s="185" t="s">
        <v>215</v>
      </c>
    </row>
    <row r="47436" spans="129:129" x14ac:dyDescent="0.2">
      <c r="DY47436" s="185" t="s">
        <v>215</v>
      </c>
    </row>
    <row r="47437" spans="129:129" x14ac:dyDescent="0.2">
      <c r="DY47437" s="185" t="s">
        <v>215</v>
      </c>
    </row>
    <row r="47438" spans="129:129" x14ac:dyDescent="0.2">
      <c r="DY47438" s="185" t="s">
        <v>215</v>
      </c>
    </row>
    <row r="47439" spans="129:129" x14ac:dyDescent="0.2">
      <c r="DY47439" s="185" t="s">
        <v>215</v>
      </c>
    </row>
    <row r="47440" spans="129:129" x14ac:dyDescent="0.2">
      <c r="DY47440" s="185" t="s">
        <v>215</v>
      </c>
    </row>
    <row r="47441" spans="129:129" x14ac:dyDescent="0.2">
      <c r="DY47441" s="185" t="s">
        <v>215</v>
      </c>
    </row>
    <row r="47442" spans="129:129" x14ac:dyDescent="0.2">
      <c r="DY47442" s="185" t="s">
        <v>215</v>
      </c>
    </row>
    <row r="47443" spans="129:129" x14ac:dyDescent="0.2">
      <c r="DY47443" s="185" t="s">
        <v>215</v>
      </c>
    </row>
    <row r="47444" spans="129:129" x14ac:dyDescent="0.2">
      <c r="DY47444" s="185" t="s">
        <v>215</v>
      </c>
    </row>
    <row r="47445" spans="129:129" x14ac:dyDescent="0.2">
      <c r="DY47445" s="185" t="s">
        <v>215</v>
      </c>
    </row>
    <row r="47446" spans="129:129" x14ac:dyDescent="0.2">
      <c r="DY47446" s="185" t="s">
        <v>215</v>
      </c>
    </row>
    <row r="47447" spans="129:129" x14ac:dyDescent="0.2">
      <c r="DY47447" s="185" t="s">
        <v>215</v>
      </c>
    </row>
    <row r="47448" spans="129:129" x14ac:dyDescent="0.2">
      <c r="DY47448" s="185" t="s">
        <v>215</v>
      </c>
    </row>
    <row r="47449" spans="129:129" x14ac:dyDescent="0.2">
      <c r="DY47449" s="185" t="s">
        <v>215</v>
      </c>
    </row>
    <row r="47450" spans="129:129" x14ac:dyDescent="0.2">
      <c r="DY47450" s="185" t="s">
        <v>215</v>
      </c>
    </row>
    <row r="47451" spans="129:129" x14ac:dyDescent="0.2">
      <c r="DY47451" s="185" t="s">
        <v>215</v>
      </c>
    </row>
    <row r="47452" spans="129:129" x14ac:dyDescent="0.2">
      <c r="DY47452" s="185" t="s">
        <v>215</v>
      </c>
    </row>
    <row r="47453" spans="129:129" x14ac:dyDescent="0.2">
      <c r="DY47453" s="185" t="s">
        <v>215</v>
      </c>
    </row>
    <row r="47454" spans="129:129" x14ac:dyDescent="0.2">
      <c r="DY47454" s="185" t="s">
        <v>215</v>
      </c>
    </row>
    <row r="47455" spans="129:129" x14ac:dyDescent="0.2">
      <c r="DY47455" s="185" t="s">
        <v>215</v>
      </c>
    </row>
    <row r="47456" spans="129:129" x14ac:dyDescent="0.2">
      <c r="DY47456" s="185" t="s">
        <v>215</v>
      </c>
    </row>
    <row r="47457" spans="129:129" x14ac:dyDescent="0.2">
      <c r="DY47457" s="185" t="s">
        <v>215</v>
      </c>
    </row>
    <row r="47458" spans="129:129" x14ac:dyDescent="0.2">
      <c r="DY47458" s="185" t="s">
        <v>215</v>
      </c>
    </row>
    <row r="47459" spans="129:129" x14ac:dyDescent="0.2">
      <c r="DY47459" s="185" t="s">
        <v>215</v>
      </c>
    </row>
    <row r="47460" spans="129:129" x14ac:dyDescent="0.2">
      <c r="DY47460" s="185" t="s">
        <v>215</v>
      </c>
    </row>
    <row r="47461" spans="129:129" x14ac:dyDescent="0.2">
      <c r="DY47461" s="185" t="s">
        <v>215</v>
      </c>
    </row>
    <row r="47462" spans="129:129" x14ac:dyDescent="0.2">
      <c r="DY47462" s="185" t="s">
        <v>215</v>
      </c>
    </row>
    <row r="47463" spans="129:129" x14ac:dyDescent="0.2">
      <c r="DY47463" s="185" t="s">
        <v>215</v>
      </c>
    </row>
    <row r="47464" spans="129:129" x14ac:dyDescent="0.2">
      <c r="DY47464" s="185" t="s">
        <v>215</v>
      </c>
    </row>
    <row r="47465" spans="129:129" x14ac:dyDescent="0.2">
      <c r="DY47465" s="185" t="s">
        <v>215</v>
      </c>
    </row>
    <row r="47466" spans="129:129" x14ac:dyDescent="0.2">
      <c r="DY47466" s="185" t="s">
        <v>215</v>
      </c>
    </row>
    <row r="47467" spans="129:129" x14ac:dyDescent="0.2">
      <c r="DY47467" s="185" t="s">
        <v>215</v>
      </c>
    </row>
    <row r="47468" spans="129:129" x14ac:dyDescent="0.2">
      <c r="DY47468" s="185" t="s">
        <v>215</v>
      </c>
    </row>
    <row r="47469" spans="129:129" x14ac:dyDescent="0.2">
      <c r="DY47469" s="185" t="s">
        <v>215</v>
      </c>
    </row>
    <row r="47470" spans="129:129" x14ac:dyDescent="0.2">
      <c r="DY47470" s="185" t="s">
        <v>215</v>
      </c>
    </row>
    <row r="47471" spans="129:129" x14ac:dyDescent="0.2">
      <c r="DY47471" s="185" t="s">
        <v>215</v>
      </c>
    </row>
    <row r="47472" spans="129:129" x14ac:dyDescent="0.2">
      <c r="DY47472" s="185" t="s">
        <v>215</v>
      </c>
    </row>
    <row r="47473" spans="129:129" x14ac:dyDescent="0.2">
      <c r="DY47473" s="185" t="s">
        <v>215</v>
      </c>
    </row>
    <row r="47474" spans="129:129" x14ac:dyDescent="0.2">
      <c r="DY47474" s="185" t="s">
        <v>215</v>
      </c>
    </row>
    <row r="47475" spans="129:129" x14ac:dyDescent="0.2">
      <c r="DY47475" s="185" t="s">
        <v>215</v>
      </c>
    </row>
    <row r="47476" spans="129:129" x14ac:dyDescent="0.2">
      <c r="DY47476" s="185" t="s">
        <v>215</v>
      </c>
    </row>
    <row r="47477" spans="129:129" x14ac:dyDescent="0.2">
      <c r="DY47477" s="185" t="s">
        <v>215</v>
      </c>
    </row>
    <row r="47478" spans="129:129" x14ac:dyDescent="0.2">
      <c r="DY47478" s="185" t="s">
        <v>215</v>
      </c>
    </row>
    <row r="47479" spans="129:129" x14ac:dyDescent="0.2">
      <c r="DY47479" s="185" t="s">
        <v>215</v>
      </c>
    </row>
    <row r="47480" spans="129:129" x14ac:dyDescent="0.2">
      <c r="DY47480" s="185" t="s">
        <v>215</v>
      </c>
    </row>
    <row r="47481" spans="129:129" x14ac:dyDescent="0.2">
      <c r="DY47481" s="185" t="s">
        <v>215</v>
      </c>
    </row>
    <row r="47482" spans="129:129" x14ac:dyDescent="0.2">
      <c r="DY47482" s="185" t="s">
        <v>215</v>
      </c>
    </row>
    <row r="47483" spans="129:129" x14ac:dyDescent="0.2">
      <c r="DY47483" s="185" t="s">
        <v>215</v>
      </c>
    </row>
    <row r="47484" spans="129:129" x14ac:dyDescent="0.2">
      <c r="DY47484" s="185" t="s">
        <v>215</v>
      </c>
    </row>
    <row r="47485" spans="129:129" x14ac:dyDescent="0.2">
      <c r="DY47485" s="185" t="s">
        <v>215</v>
      </c>
    </row>
    <row r="47486" spans="129:129" x14ac:dyDescent="0.2">
      <c r="DY47486" s="185" t="s">
        <v>215</v>
      </c>
    </row>
    <row r="47487" spans="129:129" x14ac:dyDescent="0.2">
      <c r="DY47487" s="185" t="s">
        <v>215</v>
      </c>
    </row>
    <row r="47488" spans="129:129" x14ac:dyDescent="0.2">
      <c r="DY47488" s="185" t="s">
        <v>215</v>
      </c>
    </row>
    <row r="47489" spans="129:129" x14ac:dyDescent="0.2">
      <c r="DY47489" s="185" t="s">
        <v>215</v>
      </c>
    </row>
    <row r="47490" spans="129:129" x14ac:dyDescent="0.2">
      <c r="DY47490" s="185" t="s">
        <v>215</v>
      </c>
    </row>
    <row r="47491" spans="129:129" x14ac:dyDescent="0.2">
      <c r="DY47491" s="185" t="s">
        <v>215</v>
      </c>
    </row>
    <row r="47492" spans="129:129" x14ac:dyDescent="0.2">
      <c r="DY47492" s="185" t="s">
        <v>215</v>
      </c>
    </row>
    <row r="47493" spans="129:129" x14ac:dyDescent="0.2">
      <c r="DY47493" s="185" t="s">
        <v>215</v>
      </c>
    </row>
    <row r="47494" spans="129:129" x14ac:dyDescent="0.2">
      <c r="DY47494" s="185" t="s">
        <v>215</v>
      </c>
    </row>
    <row r="47495" spans="129:129" x14ac:dyDescent="0.2">
      <c r="DY47495" s="185" t="s">
        <v>215</v>
      </c>
    </row>
    <row r="47496" spans="129:129" x14ac:dyDescent="0.2">
      <c r="DY47496" s="185" t="s">
        <v>215</v>
      </c>
    </row>
    <row r="47497" spans="129:129" x14ac:dyDescent="0.2">
      <c r="DY47497" s="185" t="s">
        <v>215</v>
      </c>
    </row>
    <row r="47498" spans="129:129" x14ac:dyDescent="0.2">
      <c r="DY47498" s="185" t="s">
        <v>215</v>
      </c>
    </row>
    <row r="47499" spans="129:129" x14ac:dyDescent="0.2">
      <c r="DY47499" s="185" t="s">
        <v>215</v>
      </c>
    </row>
    <row r="47500" spans="129:129" x14ac:dyDescent="0.2">
      <c r="DY47500" s="185" t="s">
        <v>215</v>
      </c>
    </row>
    <row r="47501" spans="129:129" x14ac:dyDescent="0.2">
      <c r="DY47501" s="185" t="s">
        <v>215</v>
      </c>
    </row>
    <row r="47502" spans="129:129" x14ac:dyDescent="0.2">
      <c r="DY47502" s="185" t="s">
        <v>215</v>
      </c>
    </row>
    <row r="47503" spans="129:129" x14ac:dyDescent="0.2">
      <c r="DY47503" s="185" t="s">
        <v>215</v>
      </c>
    </row>
    <row r="47504" spans="129:129" x14ac:dyDescent="0.2">
      <c r="DY47504" s="185" t="s">
        <v>215</v>
      </c>
    </row>
    <row r="47505" spans="129:129" x14ac:dyDescent="0.2">
      <c r="DY47505" s="185" t="s">
        <v>215</v>
      </c>
    </row>
    <row r="47506" spans="129:129" x14ac:dyDescent="0.2">
      <c r="DY47506" s="185" t="s">
        <v>215</v>
      </c>
    </row>
    <row r="47507" spans="129:129" x14ac:dyDescent="0.2">
      <c r="DY47507" s="185" t="s">
        <v>215</v>
      </c>
    </row>
    <row r="47508" spans="129:129" x14ac:dyDescent="0.2">
      <c r="DY47508" s="185" t="s">
        <v>215</v>
      </c>
    </row>
    <row r="47509" spans="129:129" x14ac:dyDescent="0.2">
      <c r="DY47509" s="185" t="s">
        <v>215</v>
      </c>
    </row>
    <row r="47510" spans="129:129" x14ac:dyDescent="0.2">
      <c r="DY47510" s="185" t="s">
        <v>215</v>
      </c>
    </row>
    <row r="47511" spans="129:129" x14ac:dyDescent="0.2">
      <c r="DY47511" s="185" t="s">
        <v>215</v>
      </c>
    </row>
    <row r="47512" spans="129:129" x14ac:dyDescent="0.2">
      <c r="DY47512" s="185" t="s">
        <v>215</v>
      </c>
    </row>
    <row r="47513" spans="129:129" x14ac:dyDescent="0.2">
      <c r="DY47513" s="185" t="s">
        <v>215</v>
      </c>
    </row>
    <row r="47514" spans="129:129" x14ac:dyDescent="0.2">
      <c r="DY47514" s="185" t="s">
        <v>215</v>
      </c>
    </row>
    <row r="47515" spans="129:129" x14ac:dyDescent="0.2">
      <c r="DY47515" s="185" t="s">
        <v>215</v>
      </c>
    </row>
    <row r="47516" spans="129:129" x14ac:dyDescent="0.2">
      <c r="DY47516" s="185" t="s">
        <v>215</v>
      </c>
    </row>
    <row r="47517" spans="129:129" x14ac:dyDescent="0.2">
      <c r="DY47517" s="185" t="s">
        <v>215</v>
      </c>
    </row>
    <row r="47518" spans="129:129" x14ac:dyDescent="0.2">
      <c r="DY47518" s="185" t="s">
        <v>215</v>
      </c>
    </row>
    <row r="47519" spans="129:129" x14ac:dyDescent="0.2">
      <c r="DY47519" s="185" t="s">
        <v>215</v>
      </c>
    </row>
    <row r="47520" spans="129:129" x14ac:dyDescent="0.2">
      <c r="DY47520" s="185" t="s">
        <v>215</v>
      </c>
    </row>
    <row r="47521" spans="129:129" x14ac:dyDescent="0.2">
      <c r="DY47521" s="185" t="s">
        <v>215</v>
      </c>
    </row>
    <row r="47522" spans="129:129" x14ac:dyDescent="0.2">
      <c r="DY47522" s="185" t="s">
        <v>215</v>
      </c>
    </row>
    <row r="47523" spans="129:129" x14ac:dyDescent="0.2">
      <c r="DY47523" s="185" t="s">
        <v>215</v>
      </c>
    </row>
    <row r="47524" spans="129:129" x14ac:dyDescent="0.2">
      <c r="DY47524" s="185" t="s">
        <v>215</v>
      </c>
    </row>
    <row r="47525" spans="129:129" x14ac:dyDescent="0.2">
      <c r="DY47525" s="185" t="s">
        <v>215</v>
      </c>
    </row>
    <row r="47526" spans="129:129" x14ac:dyDescent="0.2">
      <c r="DY47526" s="185" t="s">
        <v>215</v>
      </c>
    </row>
    <row r="47527" spans="129:129" x14ac:dyDescent="0.2">
      <c r="DY47527" s="185" t="s">
        <v>215</v>
      </c>
    </row>
    <row r="47528" spans="129:129" x14ac:dyDescent="0.2">
      <c r="DY47528" s="185" t="s">
        <v>215</v>
      </c>
    </row>
    <row r="47529" spans="129:129" x14ac:dyDescent="0.2">
      <c r="DY47529" s="185" t="s">
        <v>215</v>
      </c>
    </row>
    <row r="47530" spans="129:129" x14ac:dyDescent="0.2">
      <c r="DY47530" s="185" t="s">
        <v>215</v>
      </c>
    </row>
    <row r="47531" spans="129:129" x14ac:dyDescent="0.2">
      <c r="DY47531" s="185" t="s">
        <v>215</v>
      </c>
    </row>
    <row r="47532" spans="129:129" x14ac:dyDescent="0.2">
      <c r="DY47532" s="185" t="s">
        <v>215</v>
      </c>
    </row>
    <row r="47533" spans="129:129" x14ac:dyDescent="0.2">
      <c r="DY47533" s="185" t="s">
        <v>215</v>
      </c>
    </row>
    <row r="47534" spans="129:129" x14ac:dyDescent="0.2">
      <c r="DY47534" s="185" t="s">
        <v>215</v>
      </c>
    </row>
    <row r="47535" spans="129:129" x14ac:dyDescent="0.2">
      <c r="DY47535" s="185" t="s">
        <v>215</v>
      </c>
    </row>
    <row r="47536" spans="129:129" x14ac:dyDescent="0.2">
      <c r="DY47536" s="185" t="s">
        <v>215</v>
      </c>
    </row>
    <row r="47537" spans="129:129" x14ac:dyDescent="0.2">
      <c r="DY47537" s="185" t="s">
        <v>215</v>
      </c>
    </row>
    <row r="47538" spans="129:129" x14ac:dyDescent="0.2">
      <c r="DY47538" s="185" t="s">
        <v>215</v>
      </c>
    </row>
    <row r="47539" spans="129:129" x14ac:dyDescent="0.2">
      <c r="DY47539" s="185" t="s">
        <v>215</v>
      </c>
    </row>
    <row r="47540" spans="129:129" x14ac:dyDescent="0.2">
      <c r="DY47540" s="185" t="s">
        <v>215</v>
      </c>
    </row>
    <row r="47541" spans="129:129" x14ac:dyDescent="0.2">
      <c r="DY47541" s="185" t="s">
        <v>215</v>
      </c>
    </row>
    <row r="47542" spans="129:129" x14ac:dyDescent="0.2">
      <c r="DY47542" s="185" t="s">
        <v>215</v>
      </c>
    </row>
    <row r="47543" spans="129:129" x14ac:dyDescent="0.2">
      <c r="DY47543" s="185" t="s">
        <v>215</v>
      </c>
    </row>
    <row r="47544" spans="129:129" x14ac:dyDescent="0.2">
      <c r="DY47544" s="185" t="s">
        <v>215</v>
      </c>
    </row>
    <row r="47545" spans="129:129" x14ac:dyDescent="0.2">
      <c r="DY47545" s="185" t="s">
        <v>215</v>
      </c>
    </row>
    <row r="47546" spans="129:129" x14ac:dyDescent="0.2">
      <c r="DY47546" s="185" t="s">
        <v>215</v>
      </c>
    </row>
    <row r="47547" spans="129:129" x14ac:dyDescent="0.2">
      <c r="DY47547" s="185" t="s">
        <v>215</v>
      </c>
    </row>
    <row r="47548" spans="129:129" x14ac:dyDescent="0.2">
      <c r="DY47548" s="185" t="s">
        <v>215</v>
      </c>
    </row>
    <row r="47549" spans="129:129" x14ac:dyDescent="0.2">
      <c r="DY47549" s="185" t="s">
        <v>215</v>
      </c>
    </row>
    <row r="47550" spans="129:129" x14ac:dyDescent="0.2">
      <c r="DY47550" s="185" t="s">
        <v>215</v>
      </c>
    </row>
    <row r="47551" spans="129:129" x14ac:dyDescent="0.2">
      <c r="DY47551" s="185" t="s">
        <v>215</v>
      </c>
    </row>
    <row r="47552" spans="129:129" x14ac:dyDescent="0.2">
      <c r="DY47552" s="185" t="s">
        <v>215</v>
      </c>
    </row>
    <row r="47553" spans="129:129" x14ac:dyDescent="0.2">
      <c r="DY47553" s="185" t="s">
        <v>215</v>
      </c>
    </row>
    <row r="47554" spans="129:129" x14ac:dyDescent="0.2">
      <c r="DY47554" s="185" t="s">
        <v>215</v>
      </c>
    </row>
    <row r="47555" spans="129:129" x14ac:dyDescent="0.2">
      <c r="DY47555" s="185" t="s">
        <v>215</v>
      </c>
    </row>
    <row r="47556" spans="129:129" x14ac:dyDescent="0.2">
      <c r="DY47556" s="185" t="s">
        <v>215</v>
      </c>
    </row>
    <row r="47557" spans="129:129" x14ac:dyDescent="0.2">
      <c r="DY47557" s="185" t="s">
        <v>215</v>
      </c>
    </row>
    <row r="47558" spans="129:129" x14ac:dyDescent="0.2">
      <c r="DY47558" s="185" t="s">
        <v>215</v>
      </c>
    </row>
    <row r="47559" spans="129:129" x14ac:dyDescent="0.2">
      <c r="DY47559" s="185" t="s">
        <v>215</v>
      </c>
    </row>
    <row r="47560" spans="129:129" x14ac:dyDescent="0.2">
      <c r="DY47560" s="185" t="s">
        <v>215</v>
      </c>
    </row>
    <row r="47561" spans="129:129" x14ac:dyDescent="0.2">
      <c r="DY47561" s="185" t="s">
        <v>215</v>
      </c>
    </row>
    <row r="47562" spans="129:129" x14ac:dyDescent="0.2">
      <c r="DY47562" s="185" t="s">
        <v>215</v>
      </c>
    </row>
    <row r="47563" spans="129:129" x14ac:dyDescent="0.2">
      <c r="DY47563" s="185" t="s">
        <v>215</v>
      </c>
    </row>
    <row r="47564" spans="129:129" x14ac:dyDescent="0.2">
      <c r="DY47564" s="185" t="s">
        <v>215</v>
      </c>
    </row>
    <row r="47565" spans="129:129" x14ac:dyDescent="0.2">
      <c r="DY47565" s="185" t="s">
        <v>215</v>
      </c>
    </row>
    <row r="47566" spans="129:129" x14ac:dyDescent="0.2">
      <c r="DY47566" s="185" t="s">
        <v>215</v>
      </c>
    </row>
    <row r="47567" spans="129:129" x14ac:dyDescent="0.2">
      <c r="DY47567" s="185" t="s">
        <v>215</v>
      </c>
    </row>
    <row r="47568" spans="129:129" x14ac:dyDescent="0.2">
      <c r="DY47568" s="185" t="s">
        <v>215</v>
      </c>
    </row>
    <row r="47569" spans="129:129" x14ac:dyDescent="0.2">
      <c r="DY47569" s="185" t="s">
        <v>215</v>
      </c>
    </row>
    <row r="47570" spans="129:129" x14ac:dyDescent="0.2">
      <c r="DY47570" s="185" t="s">
        <v>215</v>
      </c>
    </row>
    <row r="47571" spans="129:129" x14ac:dyDescent="0.2">
      <c r="DY47571" s="185" t="s">
        <v>215</v>
      </c>
    </row>
    <row r="47572" spans="129:129" x14ac:dyDescent="0.2">
      <c r="DY47572" s="185" t="s">
        <v>215</v>
      </c>
    </row>
    <row r="47573" spans="129:129" x14ac:dyDescent="0.2">
      <c r="DY47573" s="185" t="s">
        <v>215</v>
      </c>
    </row>
    <row r="47574" spans="129:129" x14ac:dyDescent="0.2">
      <c r="DY47574" s="185" t="s">
        <v>215</v>
      </c>
    </row>
    <row r="47575" spans="129:129" x14ac:dyDescent="0.2">
      <c r="DY47575" s="185" t="s">
        <v>215</v>
      </c>
    </row>
    <row r="47576" spans="129:129" x14ac:dyDescent="0.2">
      <c r="DY47576" s="185" t="s">
        <v>215</v>
      </c>
    </row>
    <row r="47577" spans="129:129" x14ac:dyDescent="0.2">
      <c r="DY47577" s="185" t="s">
        <v>215</v>
      </c>
    </row>
    <row r="47578" spans="129:129" x14ac:dyDescent="0.2">
      <c r="DY47578" s="185" t="s">
        <v>215</v>
      </c>
    </row>
    <row r="47579" spans="129:129" x14ac:dyDescent="0.2">
      <c r="DY47579" s="185" t="s">
        <v>215</v>
      </c>
    </row>
    <row r="47580" spans="129:129" x14ac:dyDescent="0.2">
      <c r="DY47580" s="185" t="s">
        <v>215</v>
      </c>
    </row>
    <row r="47581" spans="129:129" x14ac:dyDescent="0.2">
      <c r="DY47581" s="185" t="s">
        <v>215</v>
      </c>
    </row>
    <row r="47582" spans="129:129" x14ac:dyDescent="0.2">
      <c r="DY47582" s="185" t="s">
        <v>215</v>
      </c>
    </row>
    <row r="47583" spans="129:129" x14ac:dyDescent="0.2">
      <c r="DY47583" s="185" t="s">
        <v>215</v>
      </c>
    </row>
    <row r="47584" spans="129:129" x14ac:dyDescent="0.2">
      <c r="DY47584" s="185" t="s">
        <v>215</v>
      </c>
    </row>
    <row r="47585" spans="129:129" x14ac:dyDescent="0.2">
      <c r="DY47585" s="185" t="s">
        <v>215</v>
      </c>
    </row>
    <row r="47586" spans="129:129" x14ac:dyDescent="0.2">
      <c r="DY47586" s="185" t="s">
        <v>215</v>
      </c>
    </row>
    <row r="47587" spans="129:129" x14ac:dyDescent="0.2">
      <c r="DY47587" s="185" t="s">
        <v>215</v>
      </c>
    </row>
    <row r="47588" spans="129:129" x14ac:dyDescent="0.2">
      <c r="DY47588" s="185" t="s">
        <v>215</v>
      </c>
    </row>
    <row r="47589" spans="129:129" x14ac:dyDescent="0.2">
      <c r="DY47589" s="185" t="s">
        <v>215</v>
      </c>
    </row>
    <row r="47590" spans="129:129" x14ac:dyDescent="0.2">
      <c r="DY47590" s="185" t="s">
        <v>215</v>
      </c>
    </row>
    <row r="47591" spans="129:129" x14ac:dyDescent="0.2">
      <c r="DY47591" s="185" t="s">
        <v>215</v>
      </c>
    </row>
    <row r="47592" spans="129:129" x14ac:dyDescent="0.2">
      <c r="DY47592" s="185" t="s">
        <v>215</v>
      </c>
    </row>
    <row r="47593" spans="129:129" x14ac:dyDescent="0.2">
      <c r="DY47593" s="185" t="s">
        <v>215</v>
      </c>
    </row>
    <row r="47594" spans="129:129" x14ac:dyDescent="0.2">
      <c r="DY47594" s="185" t="s">
        <v>215</v>
      </c>
    </row>
    <row r="47595" spans="129:129" x14ac:dyDescent="0.2">
      <c r="DY47595" s="185" t="s">
        <v>215</v>
      </c>
    </row>
    <row r="47596" spans="129:129" x14ac:dyDescent="0.2">
      <c r="DY47596" s="185" t="s">
        <v>215</v>
      </c>
    </row>
    <row r="47597" spans="129:129" x14ac:dyDescent="0.2">
      <c r="DY47597" s="185" t="s">
        <v>215</v>
      </c>
    </row>
    <row r="47598" spans="129:129" x14ac:dyDescent="0.2">
      <c r="DY47598" s="185" t="s">
        <v>215</v>
      </c>
    </row>
    <row r="47599" spans="129:129" x14ac:dyDescent="0.2">
      <c r="DY47599" s="185" t="s">
        <v>215</v>
      </c>
    </row>
    <row r="47600" spans="129:129" x14ac:dyDescent="0.2">
      <c r="DY47600" s="185" t="s">
        <v>215</v>
      </c>
    </row>
    <row r="47601" spans="129:129" x14ac:dyDescent="0.2">
      <c r="DY47601" s="185" t="s">
        <v>215</v>
      </c>
    </row>
    <row r="47602" spans="129:129" x14ac:dyDescent="0.2">
      <c r="DY47602" s="185" t="s">
        <v>215</v>
      </c>
    </row>
    <row r="47603" spans="129:129" x14ac:dyDescent="0.2">
      <c r="DY47603" s="185" t="s">
        <v>215</v>
      </c>
    </row>
    <row r="47604" spans="129:129" x14ac:dyDescent="0.2">
      <c r="DY47604" s="185" t="s">
        <v>215</v>
      </c>
    </row>
    <row r="47605" spans="129:129" x14ac:dyDescent="0.2">
      <c r="DY47605" s="185" t="s">
        <v>215</v>
      </c>
    </row>
    <row r="47606" spans="129:129" x14ac:dyDescent="0.2">
      <c r="DY47606" s="185" t="s">
        <v>215</v>
      </c>
    </row>
    <row r="47607" spans="129:129" x14ac:dyDescent="0.2">
      <c r="DY47607" s="185" t="s">
        <v>215</v>
      </c>
    </row>
    <row r="47608" spans="129:129" x14ac:dyDescent="0.2">
      <c r="DY47608" s="185" t="s">
        <v>215</v>
      </c>
    </row>
    <row r="47609" spans="129:129" x14ac:dyDescent="0.2">
      <c r="DY47609" s="185" t="s">
        <v>215</v>
      </c>
    </row>
    <row r="47610" spans="129:129" x14ac:dyDescent="0.2">
      <c r="DY47610" s="185" t="s">
        <v>215</v>
      </c>
    </row>
    <row r="47611" spans="129:129" x14ac:dyDescent="0.2">
      <c r="DY47611" s="185" t="s">
        <v>215</v>
      </c>
    </row>
    <row r="47612" spans="129:129" x14ac:dyDescent="0.2">
      <c r="DY47612" s="185" t="s">
        <v>215</v>
      </c>
    </row>
    <row r="47613" spans="129:129" x14ac:dyDescent="0.2">
      <c r="DY47613" s="185" t="s">
        <v>215</v>
      </c>
    </row>
    <row r="47614" spans="129:129" x14ac:dyDescent="0.2">
      <c r="DY47614" s="185" t="s">
        <v>215</v>
      </c>
    </row>
    <row r="47615" spans="129:129" x14ac:dyDescent="0.2">
      <c r="DY47615" s="185" t="s">
        <v>215</v>
      </c>
    </row>
    <row r="47616" spans="129:129" x14ac:dyDescent="0.2">
      <c r="DY47616" s="185" t="s">
        <v>215</v>
      </c>
    </row>
    <row r="47617" spans="129:129" x14ac:dyDescent="0.2">
      <c r="DY47617" s="185" t="s">
        <v>215</v>
      </c>
    </row>
    <row r="47618" spans="129:129" x14ac:dyDescent="0.2">
      <c r="DY47618" s="185" t="s">
        <v>215</v>
      </c>
    </row>
    <row r="47619" spans="129:129" x14ac:dyDescent="0.2">
      <c r="DY47619" s="185" t="s">
        <v>215</v>
      </c>
    </row>
    <row r="47620" spans="129:129" x14ac:dyDescent="0.2">
      <c r="DY47620" s="185" t="s">
        <v>215</v>
      </c>
    </row>
    <row r="47621" spans="129:129" x14ac:dyDescent="0.2">
      <c r="DY47621" s="185" t="s">
        <v>215</v>
      </c>
    </row>
    <row r="47622" spans="129:129" x14ac:dyDescent="0.2">
      <c r="DY47622" s="185" t="s">
        <v>215</v>
      </c>
    </row>
    <row r="47623" spans="129:129" x14ac:dyDescent="0.2">
      <c r="DY47623" s="185" t="s">
        <v>215</v>
      </c>
    </row>
    <row r="47624" spans="129:129" x14ac:dyDescent="0.2">
      <c r="DY47624" s="185" t="s">
        <v>215</v>
      </c>
    </row>
    <row r="47625" spans="129:129" x14ac:dyDescent="0.2">
      <c r="DY47625" s="185" t="s">
        <v>215</v>
      </c>
    </row>
    <row r="47626" spans="129:129" x14ac:dyDescent="0.2">
      <c r="DY47626" s="185" t="s">
        <v>215</v>
      </c>
    </row>
    <row r="47627" spans="129:129" x14ac:dyDescent="0.2">
      <c r="DY47627" s="185" t="s">
        <v>215</v>
      </c>
    </row>
    <row r="47628" spans="129:129" x14ac:dyDescent="0.2">
      <c r="DY47628" s="185" t="s">
        <v>215</v>
      </c>
    </row>
    <row r="47629" spans="129:129" x14ac:dyDescent="0.2">
      <c r="DY47629" s="185" t="s">
        <v>215</v>
      </c>
    </row>
    <row r="47630" spans="129:129" x14ac:dyDescent="0.2">
      <c r="DY47630" s="185" t="s">
        <v>215</v>
      </c>
    </row>
    <row r="47631" spans="129:129" x14ac:dyDescent="0.2">
      <c r="DY47631" s="185" t="s">
        <v>215</v>
      </c>
    </row>
    <row r="47632" spans="129:129" x14ac:dyDescent="0.2">
      <c r="DY47632" s="185" t="s">
        <v>215</v>
      </c>
    </row>
    <row r="47633" spans="129:129" x14ac:dyDescent="0.2">
      <c r="DY47633" s="185" t="s">
        <v>215</v>
      </c>
    </row>
    <row r="47634" spans="129:129" x14ac:dyDescent="0.2">
      <c r="DY47634" s="185" t="s">
        <v>215</v>
      </c>
    </row>
    <row r="47635" spans="129:129" x14ac:dyDescent="0.2">
      <c r="DY47635" s="185" t="s">
        <v>215</v>
      </c>
    </row>
    <row r="47636" spans="129:129" x14ac:dyDescent="0.2">
      <c r="DY47636" s="185" t="s">
        <v>215</v>
      </c>
    </row>
    <row r="47637" spans="129:129" x14ac:dyDescent="0.2">
      <c r="DY47637" s="185" t="s">
        <v>215</v>
      </c>
    </row>
    <row r="47638" spans="129:129" x14ac:dyDescent="0.2">
      <c r="DY47638" s="185" t="s">
        <v>215</v>
      </c>
    </row>
    <row r="47639" spans="129:129" x14ac:dyDescent="0.2">
      <c r="DY47639" s="185" t="s">
        <v>215</v>
      </c>
    </row>
    <row r="47640" spans="129:129" x14ac:dyDescent="0.2">
      <c r="DY47640" s="185" t="s">
        <v>215</v>
      </c>
    </row>
    <row r="47641" spans="129:129" x14ac:dyDescent="0.2">
      <c r="DY47641" s="185" t="s">
        <v>215</v>
      </c>
    </row>
    <row r="47642" spans="129:129" x14ac:dyDescent="0.2">
      <c r="DY47642" s="185" t="s">
        <v>215</v>
      </c>
    </row>
    <row r="47643" spans="129:129" x14ac:dyDescent="0.2">
      <c r="DY47643" s="185" t="s">
        <v>215</v>
      </c>
    </row>
    <row r="47644" spans="129:129" x14ac:dyDescent="0.2">
      <c r="DY47644" s="185" t="s">
        <v>215</v>
      </c>
    </row>
    <row r="47645" spans="129:129" x14ac:dyDescent="0.2">
      <c r="DY47645" s="185" t="s">
        <v>215</v>
      </c>
    </row>
    <row r="47646" spans="129:129" x14ac:dyDescent="0.2">
      <c r="DY47646" s="185" t="s">
        <v>215</v>
      </c>
    </row>
    <row r="47647" spans="129:129" x14ac:dyDescent="0.2">
      <c r="DY47647" s="185" t="s">
        <v>215</v>
      </c>
    </row>
    <row r="47648" spans="129:129" x14ac:dyDescent="0.2">
      <c r="DY47648" s="185" t="s">
        <v>215</v>
      </c>
    </row>
    <row r="47649" spans="129:129" x14ac:dyDescent="0.2">
      <c r="DY47649" s="185" t="s">
        <v>215</v>
      </c>
    </row>
    <row r="47650" spans="129:129" x14ac:dyDescent="0.2">
      <c r="DY47650" s="185" t="s">
        <v>215</v>
      </c>
    </row>
    <row r="47651" spans="129:129" x14ac:dyDescent="0.2">
      <c r="DY47651" s="185" t="s">
        <v>215</v>
      </c>
    </row>
    <row r="47652" spans="129:129" x14ac:dyDescent="0.2">
      <c r="DY47652" s="185" t="s">
        <v>215</v>
      </c>
    </row>
    <row r="47653" spans="129:129" x14ac:dyDescent="0.2">
      <c r="DY47653" s="185" t="s">
        <v>215</v>
      </c>
    </row>
    <row r="47654" spans="129:129" x14ac:dyDescent="0.2">
      <c r="DY47654" s="185" t="s">
        <v>215</v>
      </c>
    </row>
    <row r="47655" spans="129:129" x14ac:dyDescent="0.2">
      <c r="DY47655" s="185" t="s">
        <v>215</v>
      </c>
    </row>
    <row r="47656" spans="129:129" x14ac:dyDescent="0.2">
      <c r="DY47656" s="185" t="s">
        <v>215</v>
      </c>
    </row>
    <row r="47657" spans="129:129" x14ac:dyDescent="0.2">
      <c r="DY47657" s="185" t="s">
        <v>215</v>
      </c>
    </row>
    <row r="47658" spans="129:129" x14ac:dyDescent="0.2">
      <c r="DY47658" s="185" t="s">
        <v>215</v>
      </c>
    </row>
    <row r="47659" spans="129:129" x14ac:dyDescent="0.2">
      <c r="DY47659" s="185" t="s">
        <v>215</v>
      </c>
    </row>
    <row r="47660" spans="129:129" x14ac:dyDescent="0.2">
      <c r="DY47660" s="185" t="s">
        <v>215</v>
      </c>
    </row>
    <row r="47661" spans="129:129" x14ac:dyDescent="0.2">
      <c r="DY47661" s="185" t="s">
        <v>215</v>
      </c>
    </row>
    <row r="47662" spans="129:129" x14ac:dyDescent="0.2">
      <c r="DY47662" s="185" t="s">
        <v>215</v>
      </c>
    </row>
    <row r="47663" spans="129:129" x14ac:dyDescent="0.2">
      <c r="DY47663" s="185" t="s">
        <v>215</v>
      </c>
    </row>
    <row r="47664" spans="129:129" x14ac:dyDescent="0.2">
      <c r="DY47664" s="185" t="s">
        <v>215</v>
      </c>
    </row>
    <row r="47665" spans="129:129" x14ac:dyDescent="0.2">
      <c r="DY47665" s="185" t="s">
        <v>215</v>
      </c>
    </row>
    <row r="47666" spans="129:129" x14ac:dyDescent="0.2">
      <c r="DY47666" s="185" t="s">
        <v>215</v>
      </c>
    </row>
    <row r="47667" spans="129:129" x14ac:dyDescent="0.2">
      <c r="DY47667" s="185" t="s">
        <v>215</v>
      </c>
    </row>
    <row r="47668" spans="129:129" x14ac:dyDescent="0.2">
      <c r="DY47668" s="185" t="s">
        <v>215</v>
      </c>
    </row>
    <row r="47669" spans="129:129" x14ac:dyDescent="0.2">
      <c r="DY47669" s="185" t="s">
        <v>215</v>
      </c>
    </row>
    <row r="47670" spans="129:129" x14ac:dyDescent="0.2">
      <c r="DY47670" s="185" t="s">
        <v>215</v>
      </c>
    </row>
    <row r="47671" spans="129:129" x14ac:dyDescent="0.2">
      <c r="DY47671" s="185" t="s">
        <v>215</v>
      </c>
    </row>
    <row r="47672" spans="129:129" x14ac:dyDescent="0.2">
      <c r="DY47672" s="185" t="s">
        <v>215</v>
      </c>
    </row>
    <row r="47673" spans="129:129" x14ac:dyDescent="0.2">
      <c r="DY47673" s="185" t="s">
        <v>215</v>
      </c>
    </row>
    <row r="47674" spans="129:129" x14ac:dyDescent="0.2">
      <c r="DY47674" s="185" t="s">
        <v>215</v>
      </c>
    </row>
    <row r="47675" spans="129:129" x14ac:dyDescent="0.2">
      <c r="DY47675" s="185" t="s">
        <v>215</v>
      </c>
    </row>
    <row r="47676" spans="129:129" x14ac:dyDescent="0.2">
      <c r="DY47676" s="185" t="s">
        <v>215</v>
      </c>
    </row>
    <row r="47677" spans="129:129" x14ac:dyDescent="0.2">
      <c r="DY47677" s="185" t="s">
        <v>215</v>
      </c>
    </row>
    <row r="47678" spans="129:129" x14ac:dyDescent="0.2">
      <c r="DY47678" s="185" t="s">
        <v>215</v>
      </c>
    </row>
    <row r="47679" spans="129:129" x14ac:dyDescent="0.2">
      <c r="DY47679" s="185" t="s">
        <v>215</v>
      </c>
    </row>
    <row r="47680" spans="129:129" x14ac:dyDescent="0.2">
      <c r="DY47680" s="185" t="s">
        <v>215</v>
      </c>
    </row>
    <row r="47681" spans="129:129" x14ac:dyDescent="0.2">
      <c r="DY47681" s="185" t="s">
        <v>215</v>
      </c>
    </row>
    <row r="47682" spans="129:129" x14ac:dyDescent="0.2">
      <c r="DY47682" s="185" t="s">
        <v>215</v>
      </c>
    </row>
    <row r="47683" spans="129:129" x14ac:dyDescent="0.2">
      <c r="DY47683" s="185" t="s">
        <v>215</v>
      </c>
    </row>
    <row r="47684" spans="129:129" x14ac:dyDescent="0.2">
      <c r="DY47684" s="185" t="s">
        <v>215</v>
      </c>
    </row>
    <row r="47685" spans="129:129" x14ac:dyDescent="0.2">
      <c r="DY47685" s="185" t="s">
        <v>215</v>
      </c>
    </row>
    <row r="47686" spans="129:129" x14ac:dyDescent="0.2">
      <c r="DY47686" s="185" t="s">
        <v>215</v>
      </c>
    </row>
    <row r="47687" spans="129:129" x14ac:dyDescent="0.2">
      <c r="DY47687" s="185" t="s">
        <v>215</v>
      </c>
    </row>
    <row r="47688" spans="129:129" x14ac:dyDescent="0.2">
      <c r="DY47688" s="185" t="s">
        <v>215</v>
      </c>
    </row>
    <row r="47689" spans="129:129" x14ac:dyDescent="0.2">
      <c r="DY47689" s="185" t="s">
        <v>215</v>
      </c>
    </row>
    <row r="47690" spans="129:129" x14ac:dyDescent="0.2">
      <c r="DY47690" s="185" t="s">
        <v>215</v>
      </c>
    </row>
    <row r="47691" spans="129:129" x14ac:dyDescent="0.2">
      <c r="DY47691" s="185" t="s">
        <v>215</v>
      </c>
    </row>
    <row r="47692" spans="129:129" x14ac:dyDescent="0.2">
      <c r="DY47692" s="185" t="s">
        <v>215</v>
      </c>
    </row>
    <row r="47693" spans="129:129" x14ac:dyDescent="0.2">
      <c r="DY47693" s="185" t="s">
        <v>215</v>
      </c>
    </row>
    <row r="47694" spans="129:129" x14ac:dyDescent="0.2">
      <c r="DY47694" s="185" t="s">
        <v>215</v>
      </c>
    </row>
    <row r="47695" spans="129:129" x14ac:dyDescent="0.2">
      <c r="DY47695" s="185" t="s">
        <v>215</v>
      </c>
    </row>
    <row r="47696" spans="129:129" x14ac:dyDescent="0.2">
      <c r="DY47696" s="185" t="s">
        <v>215</v>
      </c>
    </row>
    <row r="47697" spans="129:129" x14ac:dyDescent="0.2">
      <c r="DY47697" s="185" t="s">
        <v>215</v>
      </c>
    </row>
    <row r="47698" spans="129:129" x14ac:dyDescent="0.2">
      <c r="DY47698" s="185" t="s">
        <v>215</v>
      </c>
    </row>
    <row r="47699" spans="129:129" x14ac:dyDescent="0.2">
      <c r="DY47699" s="185" t="s">
        <v>215</v>
      </c>
    </row>
    <row r="47700" spans="129:129" x14ac:dyDescent="0.2">
      <c r="DY47700" s="185" t="s">
        <v>215</v>
      </c>
    </row>
    <row r="47701" spans="129:129" x14ac:dyDescent="0.2">
      <c r="DY47701" s="185" t="s">
        <v>215</v>
      </c>
    </row>
    <row r="47702" spans="129:129" x14ac:dyDescent="0.2">
      <c r="DY47702" s="185" t="s">
        <v>215</v>
      </c>
    </row>
    <row r="47703" spans="129:129" x14ac:dyDescent="0.2">
      <c r="DY47703" s="185" t="s">
        <v>215</v>
      </c>
    </row>
    <row r="47704" spans="129:129" x14ac:dyDescent="0.2">
      <c r="DY47704" s="185" t="s">
        <v>215</v>
      </c>
    </row>
    <row r="47705" spans="129:129" x14ac:dyDescent="0.2">
      <c r="DY47705" s="185" t="s">
        <v>215</v>
      </c>
    </row>
    <row r="47706" spans="129:129" x14ac:dyDescent="0.2">
      <c r="DY47706" s="185" t="s">
        <v>215</v>
      </c>
    </row>
    <row r="47707" spans="129:129" x14ac:dyDescent="0.2">
      <c r="DY47707" s="185" t="s">
        <v>215</v>
      </c>
    </row>
    <row r="47708" spans="129:129" x14ac:dyDescent="0.2">
      <c r="DY47708" s="185" t="s">
        <v>215</v>
      </c>
    </row>
    <row r="47709" spans="129:129" x14ac:dyDescent="0.2">
      <c r="DY47709" s="185" t="s">
        <v>215</v>
      </c>
    </row>
    <row r="47710" spans="129:129" x14ac:dyDescent="0.2">
      <c r="DY47710" s="185" t="s">
        <v>215</v>
      </c>
    </row>
    <row r="47711" spans="129:129" x14ac:dyDescent="0.2">
      <c r="DY47711" s="185" t="s">
        <v>215</v>
      </c>
    </row>
    <row r="47712" spans="129:129" x14ac:dyDescent="0.2">
      <c r="DY47712" s="185" t="s">
        <v>215</v>
      </c>
    </row>
    <row r="47713" spans="129:129" x14ac:dyDescent="0.2">
      <c r="DY47713" s="185" t="s">
        <v>215</v>
      </c>
    </row>
    <row r="47714" spans="129:129" x14ac:dyDescent="0.2">
      <c r="DY47714" s="185" t="s">
        <v>215</v>
      </c>
    </row>
    <row r="47715" spans="129:129" x14ac:dyDescent="0.2">
      <c r="DY47715" s="185" t="s">
        <v>215</v>
      </c>
    </row>
    <row r="47716" spans="129:129" x14ac:dyDescent="0.2">
      <c r="DY47716" s="185" t="s">
        <v>215</v>
      </c>
    </row>
    <row r="47717" spans="129:129" x14ac:dyDescent="0.2">
      <c r="DY47717" s="185" t="s">
        <v>215</v>
      </c>
    </row>
    <row r="47718" spans="129:129" x14ac:dyDescent="0.2">
      <c r="DY47718" s="185" t="s">
        <v>215</v>
      </c>
    </row>
    <row r="47719" spans="129:129" x14ac:dyDescent="0.2">
      <c r="DY47719" s="185" t="s">
        <v>215</v>
      </c>
    </row>
    <row r="47720" spans="129:129" x14ac:dyDescent="0.2">
      <c r="DY47720" s="185" t="s">
        <v>215</v>
      </c>
    </row>
    <row r="47721" spans="129:129" x14ac:dyDescent="0.2">
      <c r="DY47721" s="185" t="s">
        <v>215</v>
      </c>
    </row>
    <row r="47722" spans="129:129" x14ac:dyDescent="0.2">
      <c r="DY47722" s="185" t="s">
        <v>215</v>
      </c>
    </row>
    <row r="47723" spans="129:129" x14ac:dyDescent="0.2">
      <c r="DY47723" s="185" t="s">
        <v>215</v>
      </c>
    </row>
    <row r="47724" spans="129:129" x14ac:dyDescent="0.2">
      <c r="DY47724" s="185" t="s">
        <v>215</v>
      </c>
    </row>
    <row r="47725" spans="129:129" x14ac:dyDescent="0.2">
      <c r="DY47725" s="185" t="s">
        <v>215</v>
      </c>
    </row>
    <row r="47726" spans="129:129" x14ac:dyDescent="0.2">
      <c r="DY47726" s="185" t="s">
        <v>215</v>
      </c>
    </row>
    <row r="47727" spans="129:129" x14ac:dyDescent="0.2">
      <c r="DY47727" s="185" t="s">
        <v>215</v>
      </c>
    </row>
    <row r="47728" spans="129:129" x14ac:dyDescent="0.2">
      <c r="DY47728" s="185" t="s">
        <v>215</v>
      </c>
    </row>
    <row r="47729" spans="129:129" x14ac:dyDescent="0.2">
      <c r="DY47729" s="185" t="s">
        <v>215</v>
      </c>
    </row>
    <row r="47730" spans="129:129" x14ac:dyDescent="0.2">
      <c r="DY47730" s="185" t="s">
        <v>215</v>
      </c>
    </row>
    <row r="47731" spans="129:129" x14ac:dyDescent="0.2">
      <c r="DY47731" s="185" t="s">
        <v>215</v>
      </c>
    </row>
    <row r="47732" spans="129:129" x14ac:dyDescent="0.2">
      <c r="DY47732" s="185" t="s">
        <v>215</v>
      </c>
    </row>
    <row r="47733" spans="129:129" x14ac:dyDescent="0.2">
      <c r="DY47733" s="185" t="s">
        <v>215</v>
      </c>
    </row>
    <row r="47734" spans="129:129" x14ac:dyDescent="0.2">
      <c r="DY47734" s="185" t="s">
        <v>215</v>
      </c>
    </row>
    <row r="47735" spans="129:129" x14ac:dyDescent="0.2">
      <c r="DY47735" s="185" t="s">
        <v>215</v>
      </c>
    </row>
    <row r="47736" spans="129:129" x14ac:dyDescent="0.2">
      <c r="DY47736" s="185" t="s">
        <v>215</v>
      </c>
    </row>
    <row r="47737" spans="129:129" x14ac:dyDescent="0.2">
      <c r="DY47737" s="185" t="s">
        <v>215</v>
      </c>
    </row>
    <row r="47738" spans="129:129" x14ac:dyDescent="0.2">
      <c r="DY47738" s="185" t="s">
        <v>215</v>
      </c>
    </row>
    <row r="47739" spans="129:129" x14ac:dyDescent="0.2">
      <c r="DY47739" s="185" t="s">
        <v>215</v>
      </c>
    </row>
    <row r="47740" spans="129:129" x14ac:dyDescent="0.2">
      <c r="DY47740" s="185" t="s">
        <v>215</v>
      </c>
    </row>
    <row r="47741" spans="129:129" x14ac:dyDescent="0.2">
      <c r="DY47741" s="185" t="s">
        <v>215</v>
      </c>
    </row>
    <row r="47742" spans="129:129" x14ac:dyDescent="0.2">
      <c r="DY47742" s="185" t="s">
        <v>215</v>
      </c>
    </row>
    <row r="47743" spans="129:129" x14ac:dyDescent="0.2">
      <c r="DY47743" s="185" t="s">
        <v>215</v>
      </c>
    </row>
    <row r="47744" spans="129:129" x14ac:dyDescent="0.2">
      <c r="DY47744" s="185" t="s">
        <v>215</v>
      </c>
    </row>
    <row r="47745" spans="129:129" x14ac:dyDescent="0.2">
      <c r="DY47745" s="185" t="s">
        <v>215</v>
      </c>
    </row>
    <row r="47746" spans="129:129" x14ac:dyDescent="0.2">
      <c r="DY47746" s="185" t="s">
        <v>215</v>
      </c>
    </row>
    <row r="47747" spans="129:129" x14ac:dyDescent="0.2">
      <c r="DY47747" s="185" t="s">
        <v>215</v>
      </c>
    </row>
    <row r="47748" spans="129:129" x14ac:dyDescent="0.2">
      <c r="DY47748" s="185" t="s">
        <v>215</v>
      </c>
    </row>
    <row r="47749" spans="129:129" x14ac:dyDescent="0.2">
      <c r="DY47749" s="185" t="s">
        <v>215</v>
      </c>
    </row>
    <row r="47750" spans="129:129" x14ac:dyDescent="0.2">
      <c r="DY47750" s="185" t="s">
        <v>215</v>
      </c>
    </row>
    <row r="47751" spans="129:129" x14ac:dyDescent="0.2">
      <c r="DY47751" s="185" t="s">
        <v>215</v>
      </c>
    </row>
    <row r="47752" spans="129:129" x14ac:dyDescent="0.2">
      <c r="DY47752" s="185" t="s">
        <v>215</v>
      </c>
    </row>
    <row r="47753" spans="129:129" x14ac:dyDescent="0.2">
      <c r="DY47753" s="185" t="s">
        <v>215</v>
      </c>
    </row>
    <row r="47754" spans="129:129" x14ac:dyDescent="0.2">
      <c r="DY47754" s="185" t="s">
        <v>215</v>
      </c>
    </row>
    <row r="47755" spans="129:129" x14ac:dyDescent="0.2">
      <c r="DY47755" s="185" t="s">
        <v>215</v>
      </c>
    </row>
    <row r="47756" spans="129:129" x14ac:dyDescent="0.2">
      <c r="DY47756" s="185" t="s">
        <v>215</v>
      </c>
    </row>
    <row r="47757" spans="129:129" x14ac:dyDescent="0.2">
      <c r="DY47757" s="185" t="s">
        <v>215</v>
      </c>
    </row>
    <row r="47758" spans="129:129" x14ac:dyDescent="0.2">
      <c r="DY47758" s="185" t="s">
        <v>215</v>
      </c>
    </row>
    <row r="47759" spans="129:129" x14ac:dyDescent="0.2">
      <c r="DY47759" s="185" t="s">
        <v>215</v>
      </c>
    </row>
    <row r="47760" spans="129:129" x14ac:dyDescent="0.2">
      <c r="DY47760" s="185" t="s">
        <v>215</v>
      </c>
    </row>
    <row r="47761" spans="129:129" x14ac:dyDescent="0.2">
      <c r="DY47761" s="185" t="s">
        <v>215</v>
      </c>
    </row>
    <row r="47762" spans="129:129" x14ac:dyDescent="0.2">
      <c r="DY47762" s="185" t="s">
        <v>215</v>
      </c>
    </row>
    <row r="47763" spans="129:129" x14ac:dyDescent="0.2">
      <c r="DY47763" s="185" t="s">
        <v>215</v>
      </c>
    </row>
    <row r="47764" spans="129:129" x14ac:dyDescent="0.2">
      <c r="DY47764" s="185" t="s">
        <v>215</v>
      </c>
    </row>
    <row r="47765" spans="129:129" x14ac:dyDescent="0.2">
      <c r="DY47765" s="185" t="s">
        <v>215</v>
      </c>
    </row>
    <row r="47766" spans="129:129" x14ac:dyDescent="0.2">
      <c r="DY47766" s="185" t="s">
        <v>215</v>
      </c>
    </row>
    <row r="47767" spans="129:129" x14ac:dyDescent="0.2">
      <c r="DY47767" s="185" t="s">
        <v>215</v>
      </c>
    </row>
    <row r="47768" spans="129:129" x14ac:dyDescent="0.2">
      <c r="DY47768" s="185" t="s">
        <v>215</v>
      </c>
    </row>
    <row r="47769" spans="129:129" x14ac:dyDescent="0.2">
      <c r="DY47769" s="185" t="s">
        <v>215</v>
      </c>
    </row>
    <row r="47770" spans="129:129" x14ac:dyDescent="0.2">
      <c r="DY47770" s="185" t="s">
        <v>215</v>
      </c>
    </row>
    <row r="47771" spans="129:129" x14ac:dyDescent="0.2">
      <c r="DY47771" s="185" t="s">
        <v>215</v>
      </c>
    </row>
    <row r="47772" spans="129:129" x14ac:dyDescent="0.2">
      <c r="DY47772" s="185" t="s">
        <v>215</v>
      </c>
    </row>
    <row r="47773" spans="129:129" x14ac:dyDescent="0.2">
      <c r="DY47773" s="185" t="s">
        <v>215</v>
      </c>
    </row>
    <row r="47774" spans="129:129" x14ac:dyDescent="0.2">
      <c r="DY47774" s="185" t="s">
        <v>215</v>
      </c>
    </row>
    <row r="47775" spans="129:129" x14ac:dyDescent="0.2">
      <c r="DY47775" s="185" t="s">
        <v>215</v>
      </c>
    </row>
    <row r="47776" spans="129:129" x14ac:dyDescent="0.2">
      <c r="DY47776" s="185" t="s">
        <v>215</v>
      </c>
    </row>
    <row r="47777" spans="129:129" x14ac:dyDescent="0.2">
      <c r="DY47777" s="185" t="s">
        <v>215</v>
      </c>
    </row>
    <row r="47778" spans="129:129" x14ac:dyDescent="0.2">
      <c r="DY47778" s="185" t="s">
        <v>215</v>
      </c>
    </row>
    <row r="47779" spans="129:129" x14ac:dyDescent="0.2">
      <c r="DY47779" s="185" t="s">
        <v>215</v>
      </c>
    </row>
    <row r="47780" spans="129:129" x14ac:dyDescent="0.2">
      <c r="DY47780" s="185" t="s">
        <v>215</v>
      </c>
    </row>
    <row r="47781" spans="129:129" x14ac:dyDescent="0.2">
      <c r="DY47781" s="185" t="s">
        <v>215</v>
      </c>
    </row>
    <row r="47782" spans="129:129" x14ac:dyDescent="0.2">
      <c r="DY47782" s="185" t="s">
        <v>215</v>
      </c>
    </row>
    <row r="47783" spans="129:129" x14ac:dyDescent="0.2">
      <c r="DY47783" s="185" t="s">
        <v>215</v>
      </c>
    </row>
    <row r="47784" spans="129:129" x14ac:dyDescent="0.2">
      <c r="DY47784" s="185" t="s">
        <v>215</v>
      </c>
    </row>
    <row r="47785" spans="129:129" x14ac:dyDescent="0.2">
      <c r="DY47785" s="185" t="s">
        <v>215</v>
      </c>
    </row>
    <row r="47786" spans="129:129" x14ac:dyDescent="0.2">
      <c r="DY47786" s="185" t="s">
        <v>215</v>
      </c>
    </row>
    <row r="47787" spans="129:129" x14ac:dyDescent="0.2">
      <c r="DY47787" s="185" t="s">
        <v>215</v>
      </c>
    </row>
    <row r="47788" spans="129:129" x14ac:dyDescent="0.2">
      <c r="DY47788" s="185" t="s">
        <v>215</v>
      </c>
    </row>
    <row r="47789" spans="129:129" x14ac:dyDescent="0.2">
      <c r="DY47789" s="185" t="s">
        <v>215</v>
      </c>
    </row>
    <row r="47790" spans="129:129" x14ac:dyDescent="0.2">
      <c r="DY47790" s="185" t="s">
        <v>215</v>
      </c>
    </row>
    <row r="47791" spans="129:129" x14ac:dyDescent="0.2">
      <c r="DY47791" s="185" t="s">
        <v>215</v>
      </c>
    </row>
    <row r="47792" spans="129:129" x14ac:dyDescent="0.2">
      <c r="DY47792" s="185" t="s">
        <v>215</v>
      </c>
    </row>
    <row r="47793" spans="129:129" x14ac:dyDescent="0.2">
      <c r="DY47793" s="185" t="s">
        <v>215</v>
      </c>
    </row>
    <row r="47794" spans="129:129" x14ac:dyDescent="0.2">
      <c r="DY47794" s="185" t="s">
        <v>215</v>
      </c>
    </row>
    <row r="47795" spans="129:129" x14ac:dyDescent="0.2">
      <c r="DY47795" s="185" t="s">
        <v>215</v>
      </c>
    </row>
    <row r="47796" spans="129:129" x14ac:dyDescent="0.2">
      <c r="DY47796" s="185" t="s">
        <v>215</v>
      </c>
    </row>
    <row r="47797" spans="129:129" x14ac:dyDescent="0.2">
      <c r="DY47797" s="185" t="s">
        <v>215</v>
      </c>
    </row>
    <row r="47798" spans="129:129" x14ac:dyDescent="0.2">
      <c r="DY47798" s="185" t="s">
        <v>215</v>
      </c>
    </row>
    <row r="47799" spans="129:129" x14ac:dyDescent="0.2">
      <c r="DY47799" s="185" t="s">
        <v>215</v>
      </c>
    </row>
    <row r="47800" spans="129:129" x14ac:dyDescent="0.2">
      <c r="DY47800" s="185" t="s">
        <v>215</v>
      </c>
    </row>
    <row r="47801" spans="129:129" x14ac:dyDescent="0.2">
      <c r="DY47801" s="185" t="s">
        <v>215</v>
      </c>
    </row>
    <row r="47802" spans="129:129" x14ac:dyDescent="0.2">
      <c r="DY47802" s="185" t="s">
        <v>215</v>
      </c>
    </row>
    <row r="47803" spans="129:129" x14ac:dyDescent="0.2">
      <c r="DY47803" s="185" t="s">
        <v>215</v>
      </c>
    </row>
    <row r="47804" spans="129:129" x14ac:dyDescent="0.2">
      <c r="DY47804" s="185" t="s">
        <v>215</v>
      </c>
    </row>
    <row r="47805" spans="129:129" x14ac:dyDescent="0.2">
      <c r="DY47805" s="185" t="s">
        <v>215</v>
      </c>
    </row>
    <row r="47806" spans="129:129" x14ac:dyDescent="0.2">
      <c r="DY47806" s="185" t="s">
        <v>215</v>
      </c>
    </row>
    <row r="47807" spans="129:129" x14ac:dyDescent="0.2">
      <c r="DY47807" s="185" t="s">
        <v>215</v>
      </c>
    </row>
    <row r="47808" spans="129:129" x14ac:dyDescent="0.2">
      <c r="DY47808" s="185" t="s">
        <v>215</v>
      </c>
    </row>
    <row r="47809" spans="129:129" x14ac:dyDescent="0.2">
      <c r="DY47809" s="185" t="s">
        <v>215</v>
      </c>
    </row>
    <row r="47810" spans="129:129" x14ac:dyDescent="0.2">
      <c r="DY47810" s="185" t="s">
        <v>215</v>
      </c>
    </row>
    <row r="47811" spans="129:129" x14ac:dyDescent="0.2">
      <c r="DY47811" s="185" t="s">
        <v>215</v>
      </c>
    </row>
    <row r="47812" spans="129:129" x14ac:dyDescent="0.2">
      <c r="DY47812" s="185" t="s">
        <v>215</v>
      </c>
    </row>
    <row r="47813" spans="129:129" x14ac:dyDescent="0.2">
      <c r="DY47813" s="185" t="s">
        <v>215</v>
      </c>
    </row>
    <row r="47814" spans="129:129" x14ac:dyDescent="0.2">
      <c r="DY47814" s="185" t="s">
        <v>215</v>
      </c>
    </row>
    <row r="47815" spans="129:129" x14ac:dyDescent="0.2">
      <c r="DY47815" s="185" t="s">
        <v>215</v>
      </c>
    </row>
    <row r="47816" spans="129:129" x14ac:dyDescent="0.2">
      <c r="DY47816" s="185" t="s">
        <v>215</v>
      </c>
    </row>
    <row r="47817" spans="129:129" x14ac:dyDescent="0.2">
      <c r="DY47817" s="185" t="s">
        <v>215</v>
      </c>
    </row>
    <row r="47818" spans="129:129" x14ac:dyDescent="0.2">
      <c r="DY47818" s="185" t="s">
        <v>215</v>
      </c>
    </row>
    <row r="47819" spans="129:129" x14ac:dyDescent="0.2">
      <c r="DY47819" s="185" t="s">
        <v>215</v>
      </c>
    </row>
    <row r="47820" spans="129:129" x14ac:dyDescent="0.2">
      <c r="DY47820" s="185" t="s">
        <v>215</v>
      </c>
    </row>
    <row r="47821" spans="129:129" x14ac:dyDescent="0.2">
      <c r="DY47821" s="185" t="s">
        <v>215</v>
      </c>
    </row>
    <row r="47822" spans="129:129" x14ac:dyDescent="0.2">
      <c r="DY47822" s="185" t="s">
        <v>215</v>
      </c>
    </row>
    <row r="47823" spans="129:129" x14ac:dyDescent="0.2">
      <c r="DY47823" s="185" t="s">
        <v>215</v>
      </c>
    </row>
    <row r="47824" spans="129:129" x14ac:dyDescent="0.2">
      <c r="DY47824" s="185" t="s">
        <v>215</v>
      </c>
    </row>
    <row r="47825" spans="129:129" x14ac:dyDescent="0.2">
      <c r="DY47825" s="185" t="s">
        <v>215</v>
      </c>
    </row>
    <row r="47826" spans="129:129" x14ac:dyDescent="0.2">
      <c r="DY47826" s="185" t="s">
        <v>215</v>
      </c>
    </row>
    <row r="47827" spans="129:129" x14ac:dyDescent="0.2">
      <c r="DY47827" s="185" t="s">
        <v>215</v>
      </c>
    </row>
    <row r="47828" spans="129:129" x14ac:dyDescent="0.2">
      <c r="DY47828" s="185" t="s">
        <v>215</v>
      </c>
    </row>
    <row r="47829" spans="129:129" x14ac:dyDescent="0.2">
      <c r="DY47829" s="185" t="s">
        <v>215</v>
      </c>
    </row>
    <row r="47830" spans="129:129" x14ac:dyDescent="0.2">
      <c r="DY47830" s="185" t="s">
        <v>215</v>
      </c>
    </row>
    <row r="47831" spans="129:129" x14ac:dyDescent="0.2">
      <c r="DY47831" s="185" t="s">
        <v>215</v>
      </c>
    </row>
    <row r="47832" spans="129:129" x14ac:dyDescent="0.2">
      <c r="DY47832" s="185" t="s">
        <v>215</v>
      </c>
    </row>
    <row r="47833" spans="129:129" x14ac:dyDescent="0.2">
      <c r="DY47833" s="185" t="s">
        <v>215</v>
      </c>
    </row>
    <row r="47834" spans="129:129" x14ac:dyDescent="0.2">
      <c r="DY47834" s="185" t="s">
        <v>215</v>
      </c>
    </row>
    <row r="47835" spans="129:129" x14ac:dyDescent="0.2">
      <c r="DY47835" s="185" t="s">
        <v>215</v>
      </c>
    </row>
    <row r="47836" spans="129:129" x14ac:dyDescent="0.2">
      <c r="DY47836" s="185" t="s">
        <v>215</v>
      </c>
    </row>
    <row r="47837" spans="129:129" x14ac:dyDescent="0.2">
      <c r="DY47837" s="185" t="s">
        <v>215</v>
      </c>
    </row>
    <row r="47838" spans="129:129" x14ac:dyDescent="0.2">
      <c r="DY47838" s="185" t="s">
        <v>215</v>
      </c>
    </row>
    <row r="47839" spans="129:129" x14ac:dyDescent="0.2">
      <c r="DY47839" s="185" t="s">
        <v>215</v>
      </c>
    </row>
    <row r="47840" spans="129:129" x14ac:dyDescent="0.2">
      <c r="DY47840" s="185" t="s">
        <v>215</v>
      </c>
    </row>
    <row r="47841" spans="129:129" x14ac:dyDescent="0.2">
      <c r="DY47841" s="185" t="s">
        <v>215</v>
      </c>
    </row>
    <row r="47842" spans="129:129" x14ac:dyDescent="0.2">
      <c r="DY47842" s="185" t="s">
        <v>215</v>
      </c>
    </row>
    <row r="47843" spans="129:129" x14ac:dyDescent="0.2">
      <c r="DY47843" s="185" t="s">
        <v>215</v>
      </c>
    </row>
    <row r="47844" spans="129:129" x14ac:dyDescent="0.2">
      <c r="DY47844" s="185" t="s">
        <v>215</v>
      </c>
    </row>
    <row r="47845" spans="129:129" x14ac:dyDescent="0.2">
      <c r="DY47845" s="185" t="s">
        <v>215</v>
      </c>
    </row>
    <row r="47846" spans="129:129" x14ac:dyDescent="0.2">
      <c r="DY47846" s="185" t="s">
        <v>215</v>
      </c>
    </row>
    <row r="47847" spans="129:129" x14ac:dyDescent="0.2">
      <c r="DY47847" s="185" t="s">
        <v>215</v>
      </c>
    </row>
    <row r="47848" spans="129:129" x14ac:dyDescent="0.2">
      <c r="DY47848" s="185" t="s">
        <v>215</v>
      </c>
    </row>
    <row r="47849" spans="129:129" x14ac:dyDescent="0.2">
      <c r="DY47849" s="185" t="s">
        <v>215</v>
      </c>
    </row>
    <row r="47850" spans="129:129" x14ac:dyDescent="0.2">
      <c r="DY47850" s="185" t="s">
        <v>215</v>
      </c>
    </row>
    <row r="47851" spans="129:129" x14ac:dyDescent="0.2">
      <c r="DY47851" s="185" t="s">
        <v>215</v>
      </c>
    </row>
    <row r="47852" spans="129:129" x14ac:dyDescent="0.2">
      <c r="DY47852" s="185" t="s">
        <v>215</v>
      </c>
    </row>
    <row r="47853" spans="129:129" x14ac:dyDescent="0.2">
      <c r="DY47853" s="185" t="s">
        <v>215</v>
      </c>
    </row>
    <row r="47854" spans="129:129" x14ac:dyDescent="0.2">
      <c r="DY47854" s="185" t="s">
        <v>215</v>
      </c>
    </row>
    <row r="47855" spans="129:129" x14ac:dyDescent="0.2">
      <c r="DY47855" s="185" t="s">
        <v>215</v>
      </c>
    </row>
    <row r="47856" spans="129:129" x14ac:dyDescent="0.2">
      <c r="DY47856" s="185" t="s">
        <v>215</v>
      </c>
    </row>
    <row r="47857" spans="129:129" x14ac:dyDescent="0.2">
      <c r="DY47857" s="185" t="s">
        <v>215</v>
      </c>
    </row>
    <row r="47858" spans="129:129" x14ac:dyDescent="0.2">
      <c r="DY47858" s="185" t="s">
        <v>215</v>
      </c>
    </row>
    <row r="47859" spans="129:129" x14ac:dyDescent="0.2">
      <c r="DY47859" s="185" t="s">
        <v>215</v>
      </c>
    </row>
    <row r="47860" spans="129:129" x14ac:dyDescent="0.2">
      <c r="DY47860" s="185" t="s">
        <v>215</v>
      </c>
    </row>
    <row r="47861" spans="129:129" x14ac:dyDescent="0.2">
      <c r="DY47861" s="185" t="s">
        <v>215</v>
      </c>
    </row>
    <row r="47862" spans="129:129" x14ac:dyDescent="0.2">
      <c r="DY47862" s="185" t="s">
        <v>215</v>
      </c>
    </row>
    <row r="47863" spans="129:129" x14ac:dyDescent="0.2">
      <c r="DY47863" s="185" t="s">
        <v>215</v>
      </c>
    </row>
    <row r="47864" spans="129:129" x14ac:dyDescent="0.2">
      <c r="DY47864" s="185" t="s">
        <v>215</v>
      </c>
    </row>
    <row r="47865" spans="129:129" x14ac:dyDescent="0.2">
      <c r="DY47865" s="185" t="s">
        <v>215</v>
      </c>
    </row>
    <row r="47866" spans="129:129" x14ac:dyDescent="0.2">
      <c r="DY47866" s="185" t="s">
        <v>215</v>
      </c>
    </row>
    <row r="47867" spans="129:129" x14ac:dyDescent="0.2">
      <c r="DY47867" s="185" t="s">
        <v>215</v>
      </c>
    </row>
    <row r="47868" spans="129:129" x14ac:dyDescent="0.2">
      <c r="DY47868" s="185" t="s">
        <v>215</v>
      </c>
    </row>
    <row r="47869" spans="129:129" x14ac:dyDescent="0.2">
      <c r="DY47869" s="185" t="s">
        <v>215</v>
      </c>
    </row>
    <row r="47870" spans="129:129" x14ac:dyDescent="0.2">
      <c r="DY47870" s="185" t="s">
        <v>215</v>
      </c>
    </row>
    <row r="47871" spans="129:129" x14ac:dyDescent="0.2">
      <c r="DY47871" s="185" t="s">
        <v>215</v>
      </c>
    </row>
    <row r="47872" spans="129:129" x14ac:dyDescent="0.2">
      <c r="DY47872" s="185" t="s">
        <v>215</v>
      </c>
    </row>
    <row r="47873" spans="129:129" x14ac:dyDescent="0.2">
      <c r="DY47873" s="185" t="s">
        <v>215</v>
      </c>
    </row>
    <row r="47874" spans="129:129" x14ac:dyDescent="0.2">
      <c r="DY47874" s="185" t="s">
        <v>215</v>
      </c>
    </row>
    <row r="47875" spans="129:129" x14ac:dyDescent="0.2">
      <c r="DY47875" s="185" t="s">
        <v>215</v>
      </c>
    </row>
    <row r="47876" spans="129:129" x14ac:dyDescent="0.2">
      <c r="DY47876" s="185" t="s">
        <v>215</v>
      </c>
    </row>
    <row r="47877" spans="129:129" x14ac:dyDescent="0.2">
      <c r="DY47877" s="185" t="s">
        <v>215</v>
      </c>
    </row>
    <row r="47878" spans="129:129" x14ac:dyDescent="0.2">
      <c r="DY47878" s="185" t="s">
        <v>215</v>
      </c>
    </row>
    <row r="47879" spans="129:129" x14ac:dyDescent="0.2">
      <c r="DY47879" s="185" t="s">
        <v>215</v>
      </c>
    </row>
    <row r="47880" spans="129:129" x14ac:dyDescent="0.2">
      <c r="DY47880" s="185" t="s">
        <v>215</v>
      </c>
    </row>
    <row r="47881" spans="129:129" x14ac:dyDescent="0.2">
      <c r="DY47881" s="185" t="s">
        <v>215</v>
      </c>
    </row>
    <row r="47882" spans="129:129" x14ac:dyDescent="0.2">
      <c r="DY47882" s="185" t="s">
        <v>215</v>
      </c>
    </row>
    <row r="47883" spans="129:129" x14ac:dyDescent="0.2">
      <c r="DY47883" s="185" t="s">
        <v>215</v>
      </c>
    </row>
    <row r="47884" spans="129:129" x14ac:dyDescent="0.2">
      <c r="DY47884" s="185" t="s">
        <v>215</v>
      </c>
    </row>
    <row r="47885" spans="129:129" x14ac:dyDescent="0.2">
      <c r="DY47885" s="185" t="s">
        <v>215</v>
      </c>
    </row>
    <row r="47886" spans="129:129" x14ac:dyDescent="0.2">
      <c r="DY47886" s="185" t="s">
        <v>215</v>
      </c>
    </row>
    <row r="47887" spans="129:129" x14ac:dyDescent="0.2">
      <c r="DY47887" s="185" t="s">
        <v>215</v>
      </c>
    </row>
    <row r="47888" spans="129:129" x14ac:dyDescent="0.2">
      <c r="DY47888" s="185" t="s">
        <v>215</v>
      </c>
    </row>
    <row r="47889" spans="129:129" x14ac:dyDescent="0.2">
      <c r="DY47889" s="185" t="s">
        <v>215</v>
      </c>
    </row>
    <row r="47890" spans="129:129" x14ac:dyDescent="0.2">
      <c r="DY47890" s="185" t="s">
        <v>215</v>
      </c>
    </row>
    <row r="47891" spans="129:129" x14ac:dyDescent="0.2">
      <c r="DY47891" s="185" t="s">
        <v>215</v>
      </c>
    </row>
    <row r="47892" spans="129:129" x14ac:dyDescent="0.2">
      <c r="DY47892" s="185" t="s">
        <v>215</v>
      </c>
    </row>
    <row r="47893" spans="129:129" x14ac:dyDescent="0.2">
      <c r="DY47893" s="185" t="s">
        <v>215</v>
      </c>
    </row>
    <row r="47894" spans="129:129" x14ac:dyDescent="0.2">
      <c r="DY47894" s="185" t="s">
        <v>215</v>
      </c>
    </row>
    <row r="47895" spans="129:129" x14ac:dyDescent="0.2">
      <c r="DY47895" s="185" t="s">
        <v>215</v>
      </c>
    </row>
    <row r="47896" spans="129:129" x14ac:dyDescent="0.2">
      <c r="DY47896" s="185" t="s">
        <v>215</v>
      </c>
    </row>
    <row r="47897" spans="129:129" x14ac:dyDescent="0.2">
      <c r="DY47897" s="185" t="s">
        <v>215</v>
      </c>
    </row>
    <row r="47898" spans="129:129" x14ac:dyDescent="0.2">
      <c r="DY47898" s="185" t="s">
        <v>215</v>
      </c>
    </row>
    <row r="47899" spans="129:129" x14ac:dyDescent="0.2">
      <c r="DY47899" s="185" t="s">
        <v>215</v>
      </c>
    </row>
    <row r="47900" spans="129:129" x14ac:dyDescent="0.2">
      <c r="DY47900" s="185" t="s">
        <v>215</v>
      </c>
    </row>
    <row r="47901" spans="129:129" x14ac:dyDescent="0.2">
      <c r="DY47901" s="185" t="s">
        <v>215</v>
      </c>
    </row>
    <row r="47902" spans="129:129" x14ac:dyDescent="0.2">
      <c r="DY47902" s="185" t="s">
        <v>215</v>
      </c>
    </row>
    <row r="47903" spans="129:129" x14ac:dyDescent="0.2">
      <c r="DY47903" s="185" t="s">
        <v>215</v>
      </c>
    </row>
    <row r="47904" spans="129:129" x14ac:dyDescent="0.2">
      <c r="DY47904" s="185" t="s">
        <v>215</v>
      </c>
    </row>
    <row r="47905" spans="129:129" x14ac:dyDescent="0.2">
      <c r="DY47905" s="185" t="s">
        <v>215</v>
      </c>
    </row>
    <row r="47906" spans="129:129" x14ac:dyDescent="0.2">
      <c r="DY47906" s="185" t="s">
        <v>215</v>
      </c>
    </row>
    <row r="47907" spans="129:129" x14ac:dyDescent="0.2">
      <c r="DY47907" s="185" t="s">
        <v>215</v>
      </c>
    </row>
    <row r="47908" spans="129:129" x14ac:dyDescent="0.2">
      <c r="DY47908" s="185" t="s">
        <v>215</v>
      </c>
    </row>
    <row r="47909" spans="129:129" x14ac:dyDescent="0.2">
      <c r="DY47909" s="185" t="s">
        <v>215</v>
      </c>
    </row>
    <row r="47910" spans="129:129" x14ac:dyDescent="0.2">
      <c r="DY47910" s="185" t="s">
        <v>215</v>
      </c>
    </row>
    <row r="47911" spans="129:129" x14ac:dyDescent="0.2">
      <c r="DY47911" s="185" t="s">
        <v>215</v>
      </c>
    </row>
    <row r="47912" spans="129:129" x14ac:dyDescent="0.2">
      <c r="DY47912" s="185" t="s">
        <v>215</v>
      </c>
    </row>
    <row r="47913" spans="129:129" x14ac:dyDescent="0.2">
      <c r="DY47913" s="185" t="s">
        <v>215</v>
      </c>
    </row>
    <row r="47914" spans="129:129" x14ac:dyDescent="0.2">
      <c r="DY47914" s="185" t="s">
        <v>215</v>
      </c>
    </row>
    <row r="47915" spans="129:129" x14ac:dyDescent="0.2">
      <c r="DY47915" s="185" t="s">
        <v>215</v>
      </c>
    </row>
    <row r="47916" spans="129:129" x14ac:dyDescent="0.2">
      <c r="DY47916" s="185" t="s">
        <v>215</v>
      </c>
    </row>
    <row r="47917" spans="129:129" x14ac:dyDescent="0.2">
      <c r="DY47917" s="185" t="s">
        <v>215</v>
      </c>
    </row>
    <row r="47918" spans="129:129" x14ac:dyDescent="0.2">
      <c r="DY47918" s="185" t="s">
        <v>215</v>
      </c>
    </row>
    <row r="47919" spans="129:129" x14ac:dyDescent="0.2">
      <c r="DY47919" s="185" t="s">
        <v>215</v>
      </c>
    </row>
    <row r="47920" spans="129:129" x14ac:dyDescent="0.2">
      <c r="DY47920" s="185" t="s">
        <v>215</v>
      </c>
    </row>
    <row r="47921" spans="129:129" x14ac:dyDescent="0.2">
      <c r="DY47921" s="185" t="s">
        <v>215</v>
      </c>
    </row>
    <row r="47922" spans="129:129" x14ac:dyDescent="0.2">
      <c r="DY47922" s="185" t="s">
        <v>215</v>
      </c>
    </row>
    <row r="47923" spans="129:129" x14ac:dyDescent="0.2">
      <c r="DY47923" s="185" t="s">
        <v>215</v>
      </c>
    </row>
    <row r="47924" spans="129:129" x14ac:dyDescent="0.2">
      <c r="DY47924" s="185" t="s">
        <v>215</v>
      </c>
    </row>
    <row r="47925" spans="129:129" x14ac:dyDescent="0.2">
      <c r="DY47925" s="185" t="s">
        <v>215</v>
      </c>
    </row>
    <row r="47926" spans="129:129" x14ac:dyDescent="0.2">
      <c r="DY47926" s="185" t="s">
        <v>215</v>
      </c>
    </row>
    <row r="47927" spans="129:129" x14ac:dyDescent="0.2">
      <c r="DY47927" s="185" t="s">
        <v>215</v>
      </c>
    </row>
    <row r="47928" spans="129:129" x14ac:dyDescent="0.2">
      <c r="DY47928" s="185" t="s">
        <v>215</v>
      </c>
    </row>
    <row r="47929" spans="129:129" x14ac:dyDescent="0.2">
      <c r="DY47929" s="185" t="s">
        <v>215</v>
      </c>
    </row>
    <row r="47930" spans="129:129" x14ac:dyDescent="0.2">
      <c r="DY47930" s="185" t="s">
        <v>215</v>
      </c>
    </row>
    <row r="47931" spans="129:129" x14ac:dyDescent="0.2">
      <c r="DY47931" s="185" t="s">
        <v>215</v>
      </c>
    </row>
    <row r="47932" spans="129:129" x14ac:dyDescent="0.2">
      <c r="DY47932" s="185" t="s">
        <v>215</v>
      </c>
    </row>
    <row r="47933" spans="129:129" x14ac:dyDescent="0.2">
      <c r="DY47933" s="185" t="s">
        <v>215</v>
      </c>
    </row>
    <row r="47934" spans="129:129" x14ac:dyDescent="0.2">
      <c r="DY47934" s="185" t="s">
        <v>215</v>
      </c>
    </row>
    <row r="47935" spans="129:129" x14ac:dyDescent="0.2">
      <c r="DY47935" s="185" t="s">
        <v>215</v>
      </c>
    </row>
    <row r="47936" spans="129:129" x14ac:dyDescent="0.2">
      <c r="DY47936" s="185" t="s">
        <v>215</v>
      </c>
    </row>
    <row r="47937" spans="129:129" x14ac:dyDescent="0.2">
      <c r="DY47937" s="185" t="s">
        <v>215</v>
      </c>
    </row>
    <row r="47938" spans="129:129" x14ac:dyDescent="0.2">
      <c r="DY47938" s="185" t="s">
        <v>215</v>
      </c>
    </row>
    <row r="47939" spans="129:129" x14ac:dyDescent="0.2">
      <c r="DY47939" s="185" t="s">
        <v>215</v>
      </c>
    </row>
    <row r="47940" spans="129:129" x14ac:dyDescent="0.2">
      <c r="DY47940" s="185" t="s">
        <v>215</v>
      </c>
    </row>
    <row r="47941" spans="129:129" x14ac:dyDescent="0.2">
      <c r="DY47941" s="185" t="s">
        <v>215</v>
      </c>
    </row>
    <row r="47942" spans="129:129" x14ac:dyDescent="0.2">
      <c r="DY47942" s="185" t="s">
        <v>215</v>
      </c>
    </row>
    <row r="47943" spans="129:129" x14ac:dyDescent="0.2">
      <c r="DY47943" s="185" t="s">
        <v>215</v>
      </c>
    </row>
    <row r="47944" spans="129:129" x14ac:dyDescent="0.2">
      <c r="DY47944" s="185" t="s">
        <v>215</v>
      </c>
    </row>
    <row r="47945" spans="129:129" x14ac:dyDescent="0.2">
      <c r="DY47945" s="185" t="s">
        <v>215</v>
      </c>
    </row>
    <row r="47946" spans="129:129" x14ac:dyDescent="0.2">
      <c r="DY47946" s="185" t="s">
        <v>215</v>
      </c>
    </row>
    <row r="47947" spans="129:129" x14ac:dyDescent="0.2">
      <c r="DY47947" s="185" t="s">
        <v>215</v>
      </c>
    </row>
    <row r="47948" spans="129:129" x14ac:dyDescent="0.2">
      <c r="DY47948" s="185" t="s">
        <v>215</v>
      </c>
    </row>
    <row r="47949" spans="129:129" x14ac:dyDescent="0.2">
      <c r="DY47949" s="185" t="s">
        <v>215</v>
      </c>
    </row>
    <row r="47950" spans="129:129" x14ac:dyDescent="0.2">
      <c r="DY47950" s="185" t="s">
        <v>215</v>
      </c>
    </row>
    <row r="47951" spans="129:129" x14ac:dyDescent="0.2">
      <c r="DY47951" s="185" t="s">
        <v>215</v>
      </c>
    </row>
    <row r="47952" spans="129:129" x14ac:dyDescent="0.2">
      <c r="DY47952" s="185" t="s">
        <v>215</v>
      </c>
    </row>
    <row r="47953" spans="129:129" x14ac:dyDescent="0.2">
      <c r="DY47953" s="185" t="s">
        <v>215</v>
      </c>
    </row>
    <row r="47954" spans="129:129" x14ac:dyDescent="0.2">
      <c r="DY47954" s="185" t="s">
        <v>215</v>
      </c>
    </row>
    <row r="47955" spans="129:129" x14ac:dyDescent="0.2">
      <c r="DY47955" s="185" t="s">
        <v>215</v>
      </c>
    </row>
    <row r="47956" spans="129:129" x14ac:dyDescent="0.2">
      <c r="DY47956" s="185" t="s">
        <v>215</v>
      </c>
    </row>
    <row r="47957" spans="129:129" x14ac:dyDescent="0.2">
      <c r="DY47957" s="185" t="s">
        <v>215</v>
      </c>
    </row>
    <row r="47958" spans="129:129" x14ac:dyDescent="0.2">
      <c r="DY47958" s="185" t="s">
        <v>215</v>
      </c>
    </row>
    <row r="47959" spans="129:129" x14ac:dyDescent="0.2">
      <c r="DY47959" s="185" t="s">
        <v>215</v>
      </c>
    </row>
    <row r="47960" spans="129:129" x14ac:dyDescent="0.2">
      <c r="DY47960" s="185" t="s">
        <v>215</v>
      </c>
    </row>
    <row r="47961" spans="129:129" x14ac:dyDescent="0.2">
      <c r="DY47961" s="185" t="s">
        <v>215</v>
      </c>
    </row>
    <row r="47962" spans="129:129" x14ac:dyDescent="0.2">
      <c r="DY47962" s="185" t="s">
        <v>215</v>
      </c>
    </row>
    <row r="47963" spans="129:129" x14ac:dyDescent="0.2">
      <c r="DY47963" s="185" t="s">
        <v>215</v>
      </c>
    </row>
    <row r="47964" spans="129:129" x14ac:dyDescent="0.2">
      <c r="DY47964" s="185" t="s">
        <v>215</v>
      </c>
    </row>
    <row r="47965" spans="129:129" x14ac:dyDescent="0.2">
      <c r="DY47965" s="185" t="s">
        <v>215</v>
      </c>
    </row>
    <row r="47966" spans="129:129" x14ac:dyDescent="0.2">
      <c r="DY47966" s="185" t="s">
        <v>215</v>
      </c>
    </row>
    <row r="47967" spans="129:129" x14ac:dyDescent="0.2">
      <c r="DY47967" s="185" t="s">
        <v>215</v>
      </c>
    </row>
    <row r="47968" spans="129:129" x14ac:dyDescent="0.2">
      <c r="DY47968" s="185" t="s">
        <v>215</v>
      </c>
    </row>
    <row r="47969" spans="129:129" x14ac:dyDescent="0.2">
      <c r="DY47969" s="185" t="s">
        <v>215</v>
      </c>
    </row>
    <row r="47970" spans="129:129" x14ac:dyDescent="0.2">
      <c r="DY47970" s="185" t="s">
        <v>215</v>
      </c>
    </row>
    <row r="47971" spans="129:129" x14ac:dyDescent="0.2">
      <c r="DY47971" s="185" t="s">
        <v>215</v>
      </c>
    </row>
    <row r="47972" spans="129:129" x14ac:dyDescent="0.2">
      <c r="DY47972" s="185" t="s">
        <v>215</v>
      </c>
    </row>
    <row r="47973" spans="129:129" x14ac:dyDescent="0.2">
      <c r="DY47973" s="185" t="s">
        <v>215</v>
      </c>
    </row>
    <row r="47974" spans="129:129" x14ac:dyDescent="0.2">
      <c r="DY47974" s="185" t="s">
        <v>215</v>
      </c>
    </row>
    <row r="47975" spans="129:129" x14ac:dyDescent="0.2">
      <c r="DY47975" s="185" t="s">
        <v>215</v>
      </c>
    </row>
    <row r="47976" spans="129:129" x14ac:dyDescent="0.2">
      <c r="DY47976" s="185" t="s">
        <v>215</v>
      </c>
    </row>
    <row r="47977" spans="129:129" x14ac:dyDescent="0.2">
      <c r="DY47977" s="185" t="s">
        <v>215</v>
      </c>
    </row>
    <row r="47978" spans="129:129" x14ac:dyDescent="0.2">
      <c r="DY47978" s="185" t="s">
        <v>215</v>
      </c>
    </row>
    <row r="47979" spans="129:129" x14ac:dyDescent="0.2">
      <c r="DY47979" s="185" t="s">
        <v>215</v>
      </c>
    </row>
    <row r="47980" spans="129:129" x14ac:dyDescent="0.2">
      <c r="DY47980" s="185" t="s">
        <v>215</v>
      </c>
    </row>
    <row r="47981" spans="129:129" x14ac:dyDescent="0.2">
      <c r="DY47981" s="185" t="s">
        <v>215</v>
      </c>
    </row>
    <row r="47982" spans="129:129" x14ac:dyDescent="0.2">
      <c r="DY47982" s="185" t="s">
        <v>215</v>
      </c>
    </row>
    <row r="47983" spans="129:129" x14ac:dyDescent="0.2">
      <c r="DY47983" s="185" t="s">
        <v>215</v>
      </c>
    </row>
    <row r="47984" spans="129:129" x14ac:dyDescent="0.2">
      <c r="DY47984" s="185" t="s">
        <v>215</v>
      </c>
    </row>
    <row r="47985" spans="129:129" x14ac:dyDescent="0.2">
      <c r="DY47985" s="185" t="s">
        <v>215</v>
      </c>
    </row>
    <row r="47986" spans="129:129" x14ac:dyDescent="0.2">
      <c r="DY47986" s="185" t="s">
        <v>215</v>
      </c>
    </row>
    <row r="47987" spans="129:129" x14ac:dyDescent="0.2">
      <c r="DY47987" s="185" t="s">
        <v>215</v>
      </c>
    </row>
    <row r="47988" spans="129:129" x14ac:dyDescent="0.2">
      <c r="DY47988" s="185" t="s">
        <v>215</v>
      </c>
    </row>
    <row r="47989" spans="129:129" x14ac:dyDescent="0.2">
      <c r="DY47989" s="185" t="s">
        <v>215</v>
      </c>
    </row>
    <row r="47990" spans="129:129" x14ac:dyDescent="0.2">
      <c r="DY47990" s="185" t="s">
        <v>215</v>
      </c>
    </row>
    <row r="47991" spans="129:129" x14ac:dyDescent="0.2">
      <c r="DY47991" s="185" t="s">
        <v>215</v>
      </c>
    </row>
    <row r="47992" spans="129:129" x14ac:dyDescent="0.2">
      <c r="DY47992" s="185" t="s">
        <v>215</v>
      </c>
    </row>
    <row r="47993" spans="129:129" x14ac:dyDescent="0.2">
      <c r="DY47993" s="185" t="s">
        <v>215</v>
      </c>
    </row>
    <row r="47994" spans="129:129" x14ac:dyDescent="0.2">
      <c r="DY47994" s="185" t="s">
        <v>215</v>
      </c>
    </row>
    <row r="47995" spans="129:129" x14ac:dyDescent="0.2">
      <c r="DY47995" s="185" t="s">
        <v>215</v>
      </c>
    </row>
    <row r="47996" spans="129:129" x14ac:dyDescent="0.2">
      <c r="DY47996" s="185" t="s">
        <v>215</v>
      </c>
    </row>
    <row r="47997" spans="129:129" x14ac:dyDescent="0.2">
      <c r="DY47997" s="185" t="s">
        <v>215</v>
      </c>
    </row>
    <row r="47998" spans="129:129" x14ac:dyDescent="0.2">
      <c r="DY47998" s="185" t="s">
        <v>215</v>
      </c>
    </row>
    <row r="47999" spans="129:129" x14ac:dyDescent="0.2">
      <c r="DY47999" s="185" t="s">
        <v>215</v>
      </c>
    </row>
    <row r="48000" spans="129:129" x14ac:dyDescent="0.2">
      <c r="DY48000" s="185" t="s">
        <v>215</v>
      </c>
    </row>
    <row r="48001" spans="129:129" x14ac:dyDescent="0.2">
      <c r="DY48001" s="185" t="s">
        <v>215</v>
      </c>
    </row>
    <row r="48002" spans="129:129" x14ac:dyDescent="0.2">
      <c r="DY48002" s="185" t="s">
        <v>215</v>
      </c>
    </row>
    <row r="48003" spans="129:129" x14ac:dyDescent="0.2">
      <c r="DY48003" s="185" t="s">
        <v>215</v>
      </c>
    </row>
    <row r="48004" spans="129:129" x14ac:dyDescent="0.2">
      <c r="DY48004" s="185" t="s">
        <v>215</v>
      </c>
    </row>
    <row r="48005" spans="129:129" x14ac:dyDescent="0.2">
      <c r="DY48005" s="185" t="s">
        <v>215</v>
      </c>
    </row>
    <row r="48006" spans="129:129" x14ac:dyDescent="0.2">
      <c r="DY48006" s="185" t="s">
        <v>215</v>
      </c>
    </row>
    <row r="48007" spans="129:129" x14ac:dyDescent="0.2">
      <c r="DY48007" s="185" t="s">
        <v>215</v>
      </c>
    </row>
    <row r="48008" spans="129:129" x14ac:dyDescent="0.2">
      <c r="DY48008" s="185" t="s">
        <v>215</v>
      </c>
    </row>
    <row r="48009" spans="129:129" x14ac:dyDescent="0.2">
      <c r="DY48009" s="185" t="s">
        <v>215</v>
      </c>
    </row>
    <row r="48010" spans="129:129" x14ac:dyDescent="0.2">
      <c r="DY48010" s="185" t="s">
        <v>215</v>
      </c>
    </row>
    <row r="48011" spans="129:129" x14ac:dyDescent="0.2">
      <c r="DY48011" s="185" t="s">
        <v>215</v>
      </c>
    </row>
    <row r="48012" spans="129:129" x14ac:dyDescent="0.2">
      <c r="DY48012" s="185" t="s">
        <v>215</v>
      </c>
    </row>
    <row r="48013" spans="129:129" x14ac:dyDescent="0.2">
      <c r="DY48013" s="185" t="s">
        <v>215</v>
      </c>
    </row>
    <row r="48014" spans="129:129" x14ac:dyDescent="0.2">
      <c r="DY48014" s="185" t="s">
        <v>215</v>
      </c>
    </row>
    <row r="48015" spans="129:129" x14ac:dyDescent="0.2">
      <c r="DY48015" s="185" t="s">
        <v>215</v>
      </c>
    </row>
    <row r="48016" spans="129:129" x14ac:dyDescent="0.2">
      <c r="DY48016" s="185" t="s">
        <v>215</v>
      </c>
    </row>
    <row r="48017" spans="129:129" x14ac:dyDescent="0.2">
      <c r="DY48017" s="185" t="s">
        <v>215</v>
      </c>
    </row>
    <row r="48018" spans="129:129" x14ac:dyDescent="0.2">
      <c r="DY48018" s="185" t="s">
        <v>215</v>
      </c>
    </row>
    <row r="48019" spans="129:129" x14ac:dyDescent="0.2">
      <c r="DY48019" s="185" t="s">
        <v>215</v>
      </c>
    </row>
    <row r="48020" spans="129:129" x14ac:dyDescent="0.2">
      <c r="DY48020" s="185" t="s">
        <v>215</v>
      </c>
    </row>
    <row r="48021" spans="129:129" x14ac:dyDescent="0.2">
      <c r="DY48021" s="185" t="s">
        <v>215</v>
      </c>
    </row>
    <row r="48022" spans="129:129" x14ac:dyDescent="0.2">
      <c r="DY48022" s="185" t="s">
        <v>215</v>
      </c>
    </row>
    <row r="48023" spans="129:129" x14ac:dyDescent="0.2">
      <c r="DY48023" s="185" t="s">
        <v>215</v>
      </c>
    </row>
    <row r="48024" spans="129:129" x14ac:dyDescent="0.2">
      <c r="DY48024" s="185" t="s">
        <v>215</v>
      </c>
    </row>
    <row r="48025" spans="129:129" x14ac:dyDescent="0.2">
      <c r="DY48025" s="185" t="s">
        <v>215</v>
      </c>
    </row>
    <row r="48026" spans="129:129" x14ac:dyDescent="0.2">
      <c r="DY48026" s="185" t="s">
        <v>215</v>
      </c>
    </row>
    <row r="48027" spans="129:129" x14ac:dyDescent="0.2">
      <c r="DY48027" s="185" t="s">
        <v>215</v>
      </c>
    </row>
    <row r="48028" spans="129:129" x14ac:dyDescent="0.2">
      <c r="DY48028" s="185" t="s">
        <v>215</v>
      </c>
    </row>
    <row r="48029" spans="129:129" x14ac:dyDescent="0.2">
      <c r="DY48029" s="185" t="s">
        <v>215</v>
      </c>
    </row>
    <row r="48030" spans="129:129" x14ac:dyDescent="0.2">
      <c r="DY48030" s="185" t="s">
        <v>215</v>
      </c>
    </row>
    <row r="48031" spans="129:129" x14ac:dyDescent="0.2">
      <c r="DY48031" s="185" t="s">
        <v>215</v>
      </c>
    </row>
    <row r="48032" spans="129:129" x14ac:dyDescent="0.2">
      <c r="DY48032" s="185" t="s">
        <v>215</v>
      </c>
    </row>
    <row r="48033" spans="129:129" x14ac:dyDescent="0.2">
      <c r="DY48033" s="185" t="s">
        <v>215</v>
      </c>
    </row>
    <row r="48034" spans="129:129" x14ac:dyDescent="0.2">
      <c r="DY48034" s="185" t="s">
        <v>215</v>
      </c>
    </row>
    <row r="48035" spans="129:129" x14ac:dyDescent="0.2">
      <c r="DY48035" s="185" t="s">
        <v>215</v>
      </c>
    </row>
    <row r="48036" spans="129:129" x14ac:dyDescent="0.2">
      <c r="DY48036" s="185" t="s">
        <v>215</v>
      </c>
    </row>
    <row r="48037" spans="129:129" x14ac:dyDescent="0.2">
      <c r="DY48037" s="185" t="s">
        <v>215</v>
      </c>
    </row>
    <row r="48038" spans="129:129" x14ac:dyDescent="0.2">
      <c r="DY48038" s="185" t="s">
        <v>215</v>
      </c>
    </row>
    <row r="48039" spans="129:129" x14ac:dyDescent="0.2">
      <c r="DY48039" s="185" t="s">
        <v>215</v>
      </c>
    </row>
    <row r="48040" spans="129:129" x14ac:dyDescent="0.2">
      <c r="DY48040" s="185" t="s">
        <v>215</v>
      </c>
    </row>
    <row r="48041" spans="129:129" x14ac:dyDescent="0.2">
      <c r="DY48041" s="185" t="s">
        <v>215</v>
      </c>
    </row>
    <row r="48042" spans="129:129" x14ac:dyDescent="0.2">
      <c r="DY48042" s="185" t="s">
        <v>215</v>
      </c>
    </row>
    <row r="48043" spans="129:129" x14ac:dyDescent="0.2">
      <c r="DY48043" s="185" t="s">
        <v>215</v>
      </c>
    </row>
    <row r="48044" spans="129:129" x14ac:dyDescent="0.2">
      <c r="DY48044" s="185" t="s">
        <v>215</v>
      </c>
    </row>
    <row r="48045" spans="129:129" x14ac:dyDescent="0.2">
      <c r="DY48045" s="185" t="s">
        <v>215</v>
      </c>
    </row>
    <row r="48046" spans="129:129" x14ac:dyDescent="0.2">
      <c r="DY48046" s="185" t="s">
        <v>215</v>
      </c>
    </row>
    <row r="48047" spans="129:129" x14ac:dyDescent="0.2">
      <c r="DY48047" s="185" t="s">
        <v>215</v>
      </c>
    </row>
    <row r="48048" spans="129:129" x14ac:dyDescent="0.2">
      <c r="DY48048" s="185" t="s">
        <v>215</v>
      </c>
    </row>
    <row r="48049" spans="129:129" x14ac:dyDescent="0.2">
      <c r="DY48049" s="185" t="s">
        <v>215</v>
      </c>
    </row>
    <row r="48050" spans="129:129" x14ac:dyDescent="0.2">
      <c r="DY48050" s="185" t="s">
        <v>215</v>
      </c>
    </row>
    <row r="48051" spans="129:129" x14ac:dyDescent="0.2">
      <c r="DY48051" s="185" t="s">
        <v>215</v>
      </c>
    </row>
    <row r="48052" spans="129:129" x14ac:dyDescent="0.2">
      <c r="DY48052" s="185" t="s">
        <v>215</v>
      </c>
    </row>
    <row r="48053" spans="129:129" x14ac:dyDescent="0.2">
      <c r="DY48053" s="185" t="s">
        <v>215</v>
      </c>
    </row>
    <row r="48054" spans="129:129" x14ac:dyDescent="0.2">
      <c r="DY48054" s="185" t="s">
        <v>215</v>
      </c>
    </row>
    <row r="48055" spans="129:129" x14ac:dyDescent="0.2">
      <c r="DY48055" s="185" t="s">
        <v>215</v>
      </c>
    </row>
    <row r="48056" spans="129:129" x14ac:dyDescent="0.2">
      <c r="DY48056" s="185" t="s">
        <v>215</v>
      </c>
    </row>
    <row r="48057" spans="129:129" x14ac:dyDescent="0.2">
      <c r="DY48057" s="185" t="s">
        <v>215</v>
      </c>
    </row>
    <row r="48058" spans="129:129" x14ac:dyDescent="0.2">
      <c r="DY48058" s="185" t="s">
        <v>215</v>
      </c>
    </row>
    <row r="48059" spans="129:129" x14ac:dyDescent="0.2">
      <c r="DY48059" s="185" t="s">
        <v>215</v>
      </c>
    </row>
    <row r="48060" spans="129:129" x14ac:dyDescent="0.2">
      <c r="DY48060" s="185" t="s">
        <v>215</v>
      </c>
    </row>
    <row r="48061" spans="129:129" x14ac:dyDescent="0.2">
      <c r="DY48061" s="185" t="s">
        <v>215</v>
      </c>
    </row>
    <row r="48062" spans="129:129" x14ac:dyDescent="0.2">
      <c r="DY48062" s="185" t="s">
        <v>215</v>
      </c>
    </row>
    <row r="48063" spans="129:129" x14ac:dyDescent="0.2">
      <c r="DY48063" s="185" t="s">
        <v>215</v>
      </c>
    </row>
    <row r="48064" spans="129:129" x14ac:dyDescent="0.2">
      <c r="DY48064" s="185" t="s">
        <v>215</v>
      </c>
    </row>
    <row r="48065" spans="129:129" x14ac:dyDescent="0.2">
      <c r="DY48065" s="185" t="s">
        <v>215</v>
      </c>
    </row>
    <row r="48066" spans="129:129" x14ac:dyDescent="0.2">
      <c r="DY48066" s="185" t="s">
        <v>215</v>
      </c>
    </row>
    <row r="48067" spans="129:129" x14ac:dyDescent="0.2">
      <c r="DY48067" s="185" t="s">
        <v>215</v>
      </c>
    </row>
    <row r="48068" spans="129:129" x14ac:dyDescent="0.2">
      <c r="DY48068" s="185" t="s">
        <v>215</v>
      </c>
    </row>
    <row r="48069" spans="129:129" x14ac:dyDescent="0.2">
      <c r="DY48069" s="185" t="s">
        <v>215</v>
      </c>
    </row>
    <row r="48070" spans="129:129" x14ac:dyDescent="0.2">
      <c r="DY48070" s="185" t="s">
        <v>215</v>
      </c>
    </row>
    <row r="48071" spans="129:129" x14ac:dyDescent="0.2">
      <c r="DY48071" s="185" t="s">
        <v>215</v>
      </c>
    </row>
    <row r="48072" spans="129:129" x14ac:dyDescent="0.2">
      <c r="DY48072" s="185" t="s">
        <v>215</v>
      </c>
    </row>
    <row r="48073" spans="129:129" x14ac:dyDescent="0.2">
      <c r="DY48073" s="185" t="s">
        <v>215</v>
      </c>
    </row>
    <row r="48074" spans="129:129" x14ac:dyDescent="0.2">
      <c r="DY48074" s="185" t="s">
        <v>215</v>
      </c>
    </row>
    <row r="48075" spans="129:129" x14ac:dyDescent="0.2">
      <c r="DY48075" s="185" t="s">
        <v>215</v>
      </c>
    </row>
    <row r="48076" spans="129:129" x14ac:dyDescent="0.2">
      <c r="DY48076" s="185" t="s">
        <v>215</v>
      </c>
    </row>
    <row r="48077" spans="129:129" x14ac:dyDescent="0.2">
      <c r="DY48077" s="185" t="s">
        <v>215</v>
      </c>
    </row>
    <row r="48078" spans="129:129" x14ac:dyDescent="0.2">
      <c r="DY48078" s="185" t="s">
        <v>215</v>
      </c>
    </row>
    <row r="48079" spans="129:129" x14ac:dyDescent="0.2">
      <c r="DY48079" s="185" t="s">
        <v>215</v>
      </c>
    </row>
    <row r="48080" spans="129:129" x14ac:dyDescent="0.2">
      <c r="DY48080" s="185" t="s">
        <v>215</v>
      </c>
    </row>
    <row r="48081" spans="129:129" x14ac:dyDescent="0.2">
      <c r="DY48081" s="185" t="s">
        <v>215</v>
      </c>
    </row>
    <row r="48082" spans="129:129" x14ac:dyDescent="0.2">
      <c r="DY48082" s="185" t="s">
        <v>215</v>
      </c>
    </row>
    <row r="48083" spans="129:129" x14ac:dyDescent="0.2">
      <c r="DY48083" s="185" t="s">
        <v>215</v>
      </c>
    </row>
    <row r="48084" spans="129:129" x14ac:dyDescent="0.2">
      <c r="DY48084" s="185" t="s">
        <v>215</v>
      </c>
    </row>
    <row r="48085" spans="129:129" x14ac:dyDescent="0.2">
      <c r="DY48085" s="185" t="s">
        <v>215</v>
      </c>
    </row>
    <row r="48086" spans="129:129" x14ac:dyDescent="0.2">
      <c r="DY48086" s="185" t="s">
        <v>215</v>
      </c>
    </row>
    <row r="48087" spans="129:129" x14ac:dyDescent="0.2">
      <c r="DY48087" s="185" t="s">
        <v>215</v>
      </c>
    </row>
    <row r="48088" spans="129:129" x14ac:dyDescent="0.2">
      <c r="DY48088" s="185" t="s">
        <v>215</v>
      </c>
    </row>
    <row r="48089" spans="129:129" x14ac:dyDescent="0.2">
      <c r="DY48089" s="185" t="s">
        <v>215</v>
      </c>
    </row>
    <row r="48090" spans="129:129" x14ac:dyDescent="0.2">
      <c r="DY48090" s="185" t="s">
        <v>215</v>
      </c>
    </row>
    <row r="48091" spans="129:129" x14ac:dyDescent="0.2">
      <c r="DY48091" s="185" t="s">
        <v>215</v>
      </c>
    </row>
    <row r="48092" spans="129:129" x14ac:dyDescent="0.2">
      <c r="DY48092" s="185" t="s">
        <v>215</v>
      </c>
    </row>
    <row r="48093" spans="129:129" x14ac:dyDescent="0.2">
      <c r="DY48093" s="185" t="s">
        <v>215</v>
      </c>
    </row>
    <row r="48094" spans="129:129" x14ac:dyDescent="0.2">
      <c r="DY48094" s="185" t="s">
        <v>215</v>
      </c>
    </row>
    <row r="48095" spans="129:129" x14ac:dyDescent="0.2">
      <c r="DY48095" s="185" t="s">
        <v>215</v>
      </c>
    </row>
    <row r="48096" spans="129:129" x14ac:dyDescent="0.2">
      <c r="DY48096" s="185" t="s">
        <v>215</v>
      </c>
    </row>
    <row r="48097" spans="129:129" x14ac:dyDescent="0.2">
      <c r="DY48097" s="185" t="s">
        <v>215</v>
      </c>
    </row>
    <row r="48098" spans="129:129" x14ac:dyDescent="0.2">
      <c r="DY48098" s="185" t="s">
        <v>215</v>
      </c>
    </row>
    <row r="48099" spans="129:129" x14ac:dyDescent="0.2">
      <c r="DY48099" s="185" t="s">
        <v>215</v>
      </c>
    </row>
    <row r="48100" spans="129:129" x14ac:dyDescent="0.2">
      <c r="DY48100" s="185" t="s">
        <v>215</v>
      </c>
    </row>
    <row r="48101" spans="129:129" x14ac:dyDescent="0.2">
      <c r="DY48101" s="185" t="s">
        <v>215</v>
      </c>
    </row>
    <row r="48102" spans="129:129" x14ac:dyDescent="0.2">
      <c r="DY48102" s="185" t="s">
        <v>215</v>
      </c>
    </row>
    <row r="48103" spans="129:129" x14ac:dyDescent="0.2">
      <c r="DY48103" s="185" t="s">
        <v>215</v>
      </c>
    </row>
    <row r="48104" spans="129:129" x14ac:dyDescent="0.2">
      <c r="DY48104" s="185" t="s">
        <v>215</v>
      </c>
    </row>
    <row r="48105" spans="129:129" x14ac:dyDescent="0.2">
      <c r="DY48105" s="185" t="s">
        <v>215</v>
      </c>
    </row>
    <row r="48106" spans="129:129" x14ac:dyDescent="0.2">
      <c r="DY48106" s="185" t="s">
        <v>215</v>
      </c>
    </row>
    <row r="48107" spans="129:129" x14ac:dyDescent="0.2">
      <c r="DY48107" s="185" t="s">
        <v>215</v>
      </c>
    </row>
    <row r="48108" spans="129:129" x14ac:dyDescent="0.2">
      <c r="DY48108" s="185" t="s">
        <v>215</v>
      </c>
    </row>
    <row r="48109" spans="129:129" x14ac:dyDescent="0.2">
      <c r="DY48109" s="185" t="s">
        <v>215</v>
      </c>
    </row>
    <row r="48110" spans="129:129" x14ac:dyDescent="0.2">
      <c r="DY48110" s="185" t="s">
        <v>215</v>
      </c>
    </row>
    <row r="48111" spans="129:129" x14ac:dyDescent="0.2">
      <c r="DY48111" s="185" t="s">
        <v>215</v>
      </c>
    </row>
    <row r="48112" spans="129:129" x14ac:dyDescent="0.2">
      <c r="DY48112" s="185" t="s">
        <v>215</v>
      </c>
    </row>
    <row r="48113" spans="129:129" x14ac:dyDescent="0.2">
      <c r="DY48113" s="185" t="s">
        <v>215</v>
      </c>
    </row>
    <row r="48114" spans="129:129" x14ac:dyDescent="0.2">
      <c r="DY48114" s="185" t="s">
        <v>215</v>
      </c>
    </row>
    <row r="48115" spans="129:129" x14ac:dyDescent="0.2">
      <c r="DY48115" s="185" t="s">
        <v>215</v>
      </c>
    </row>
    <row r="48116" spans="129:129" x14ac:dyDescent="0.2">
      <c r="DY48116" s="185" t="s">
        <v>215</v>
      </c>
    </row>
    <row r="48117" spans="129:129" x14ac:dyDescent="0.2">
      <c r="DY48117" s="185" t="s">
        <v>215</v>
      </c>
    </row>
    <row r="48118" spans="129:129" x14ac:dyDescent="0.2">
      <c r="DY48118" s="185" t="s">
        <v>215</v>
      </c>
    </row>
    <row r="48119" spans="129:129" x14ac:dyDescent="0.2">
      <c r="DY48119" s="185" t="s">
        <v>215</v>
      </c>
    </row>
    <row r="48120" spans="129:129" x14ac:dyDescent="0.2">
      <c r="DY48120" s="185" t="s">
        <v>215</v>
      </c>
    </row>
    <row r="48121" spans="129:129" x14ac:dyDescent="0.2">
      <c r="DY48121" s="185" t="s">
        <v>215</v>
      </c>
    </row>
    <row r="48122" spans="129:129" x14ac:dyDescent="0.2">
      <c r="DY48122" s="185" t="s">
        <v>215</v>
      </c>
    </row>
    <row r="48123" spans="129:129" x14ac:dyDescent="0.2">
      <c r="DY48123" s="185" t="s">
        <v>215</v>
      </c>
    </row>
    <row r="48124" spans="129:129" x14ac:dyDescent="0.2">
      <c r="DY48124" s="185" t="s">
        <v>215</v>
      </c>
    </row>
    <row r="48125" spans="129:129" x14ac:dyDescent="0.2">
      <c r="DY48125" s="185" t="s">
        <v>215</v>
      </c>
    </row>
    <row r="48126" spans="129:129" x14ac:dyDescent="0.2">
      <c r="DY48126" s="185" t="s">
        <v>215</v>
      </c>
    </row>
    <row r="48127" spans="129:129" x14ac:dyDescent="0.2">
      <c r="DY48127" s="185" t="s">
        <v>215</v>
      </c>
    </row>
    <row r="48128" spans="129:129" x14ac:dyDescent="0.2">
      <c r="DY48128" s="185" t="s">
        <v>215</v>
      </c>
    </row>
    <row r="48129" spans="129:129" x14ac:dyDescent="0.2">
      <c r="DY48129" s="185" t="s">
        <v>215</v>
      </c>
    </row>
    <row r="48130" spans="129:129" x14ac:dyDescent="0.2">
      <c r="DY48130" s="185" t="s">
        <v>215</v>
      </c>
    </row>
    <row r="48131" spans="129:129" x14ac:dyDescent="0.2">
      <c r="DY48131" s="185" t="s">
        <v>215</v>
      </c>
    </row>
    <row r="48132" spans="129:129" x14ac:dyDescent="0.2">
      <c r="DY48132" s="185" t="s">
        <v>215</v>
      </c>
    </row>
    <row r="48133" spans="129:129" x14ac:dyDescent="0.2">
      <c r="DY48133" s="185" t="s">
        <v>215</v>
      </c>
    </row>
    <row r="48134" spans="129:129" x14ac:dyDescent="0.2">
      <c r="DY48134" s="185" t="s">
        <v>215</v>
      </c>
    </row>
    <row r="48135" spans="129:129" x14ac:dyDescent="0.2">
      <c r="DY48135" s="185" t="s">
        <v>215</v>
      </c>
    </row>
    <row r="48136" spans="129:129" x14ac:dyDescent="0.2">
      <c r="DY48136" s="185" t="s">
        <v>215</v>
      </c>
    </row>
    <row r="48137" spans="129:129" x14ac:dyDescent="0.2">
      <c r="DY48137" s="185" t="s">
        <v>215</v>
      </c>
    </row>
    <row r="48138" spans="129:129" x14ac:dyDescent="0.2">
      <c r="DY48138" s="185" t="s">
        <v>215</v>
      </c>
    </row>
    <row r="48139" spans="129:129" x14ac:dyDescent="0.2">
      <c r="DY48139" s="185" t="s">
        <v>215</v>
      </c>
    </row>
    <row r="48140" spans="129:129" x14ac:dyDescent="0.2">
      <c r="DY48140" s="185" t="s">
        <v>215</v>
      </c>
    </row>
    <row r="48141" spans="129:129" x14ac:dyDescent="0.2">
      <c r="DY48141" s="185" t="s">
        <v>215</v>
      </c>
    </row>
    <row r="48142" spans="129:129" x14ac:dyDescent="0.2">
      <c r="DY48142" s="185" t="s">
        <v>215</v>
      </c>
    </row>
    <row r="48143" spans="129:129" x14ac:dyDescent="0.2">
      <c r="DY48143" s="185" t="s">
        <v>215</v>
      </c>
    </row>
    <row r="48144" spans="129:129" x14ac:dyDescent="0.2">
      <c r="DY48144" s="185" t="s">
        <v>215</v>
      </c>
    </row>
    <row r="48145" spans="129:129" x14ac:dyDescent="0.2">
      <c r="DY48145" s="185" t="s">
        <v>215</v>
      </c>
    </row>
    <row r="48146" spans="129:129" x14ac:dyDescent="0.2">
      <c r="DY48146" s="185" t="s">
        <v>215</v>
      </c>
    </row>
    <row r="48147" spans="129:129" x14ac:dyDescent="0.2">
      <c r="DY48147" s="185" t="s">
        <v>215</v>
      </c>
    </row>
    <row r="48148" spans="129:129" x14ac:dyDescent="0.2">
      <c r="DY48148" s="185" t="s">
        <v>215</v>
      </c>
    </row>
    <row r="48149" spans="129:129" x14ac:dyDescent="0.2">
      <c r="DY48149" s="185" t="s">
        <v>215</v>
      </c>
    </row>
    <row r="48150" spans="129:129" x14ac:dyDescent="0.2">
      <c r="DY48150" s="185" t="s">
        <v>215</v>
      </c>
    </row>
    <row r="48151" spans="129:129" x14ac:dyDescent="0.2">
      <c r="DY48151" s="185" t="s">
        <v>215</v>
      </c>
    </row>
    <row r="48152" spans="129:129" x14ac:dyDescent="0.2">
      <c r="DY48152" s="185" t="s">
        <v>215</v>
      </c>
    </row>
    <row r="48153" spans="129:129" x14ac:dyDescent="0.2">
      <c r="DY48153" s="185" t="s">
        <v>215</v>
      </c>
    </row>
    <row r="48154" spans="129:129" x14ac:dyDescent="0.2">
      <c r="DY48154" s="185" t="s">
        <v>215</v>
      </c>
    </row>
    <row r="48155" spans="129:129" x14ac:dyDescent="0.2">
      <c r="DY48155" s="185" t="s">
        <v>215</v>
      </c>
    </row>
    <row r="48156" spans="129:129" x14ac:dyDescent="0.2">
      <c r="DY48156" s="185" t="s">
        <v>215</v>
      </c>
    </row>
    <row r="48157" spans="129:129" x14ac:dyDescent="0.2">
      <c r="DY48157" s="185" t="s">
        <v>215</v>
      </c>
    </row>
    <row r="48158" spans="129:129" x14ac:dyDescent="0.2">
      <c r="DY48158" s="185" t="s">
        <v>215</v>
      </c>
    </row>
    <row r="48159" spans="129:129" x14ac:dyDescent="0.2">
      <c r="DY48159" s="185" t="s">
        <v>215</v>
      </c>
    </row>
    <row r="48160" spans="129:129" x14ac:dyDescent="0.2">
      <c r="DY48160" s="185" t="s">
        <v>215</v>
      </c>
    </row>
    <row r="48161" spans="129:129" x14ac:dyDescent="0.2">
      <c r="DY48161" s="185" t="s">
        <v>215</v>
      </c>
    </row>
    <row r="48162" spans="129:129" x14ac:dyDescent="0.2">
      <c r="DY48162" s="185" t="s">
        <v>215</v>
      </c>
    </row>
    <row r="48163" spans="129:129" x14ac:dyDescent="0.2">
      <c r="DY48163" s="185" t="s">
        <v>215</v>
      </c>
    </row>
    <row r="48164" spans="129:129" x14ac:dyDescent="0.2">
      <c r="DY48164" s="185" t="s">
        <v>215</v>
      </c>
    </row>
    <row r="48165" spans="129:129" x14ac:dyDescent="0.2">
      <c r="DY48165" s="185" t="s">
        <v>215</v>
      </c>
    </row>
    <row r="48166" spans="129:129" x14ac:dyDescent="0.2">
      <c r="DY48166" s="185" t="s">
        <v>215</v>
      </c>
    </row>
    <row r="48167" spans="129:129" x14ac:dyDescent="0.2">
      <c r="DY48167" s="185" t="s">
        <v>215</v>
      </c>
    </row>
    <row r="48168" spans="129:129" x14ac:dyDescent="0.2">
      <c r="DY48168" s="185" t="s">
        <v>215</v>
      </c>
    </row>
    <row r="48169" spans="129:129" x14ac:dyDescent="0.2">
      <c r="DY48169" s="185" t="s">
        <v>215</v>
      </c>
    </row>
    <row r="48170" spans="129:129" x14ac:dyDescent="0.2">
      <c r="DY48170" s="185" t="s">
        <v>215</v>
      </c>
    </row>
    <row r="48171" spans="129:129" x14ac:dyDescent="0.2">
      <c r="DY48171" s="185" t="s">
        <v>215</v>
      </c>
    </row>
    <row r="48172" spans="129:129" x14ac:dyDescent="0.2">
      <c r="DY48172" s="185" t="s">
        <v>215</v>
      </c>
    </row>
    <row r="48173" spans="129:129" x14ac:dyDescent="0.2">
      <c r="DY48173" s="185" t="s">
        <v>215</v>
      </c>
    </row>
    <row r="48174" spans="129:129" x14ac:dyDescent="0.2">
      <c r="DY48174" s="185" t="s">
        <v>215</v>
      </c>
    </row>
    <row r="48175" spans="129:129" x14ac:dyDescent="0.2">
      <c r="DY48175" s="185" t="s">
        <v>215</v>
      </c>
    </row>
    <row r="48176" spans="129:129" x14ac:dyDescent="0.2">
      <c r="DY48176" s="185" t="s">
        <v>215</v>
      </c>
    </row>
    <row r="48177" spans="129:129" x14ac:dyDescent="0.2">
      <c r="DY48177" s="185" t="s">
        <v>215</v>
      </c>
    </row>
    <row r="48178" spans="129:129" x14ac:dyDescent="0.2">
      <c r="DY48178" s="185" t="s">
        <v>215</v>
      </c>
    </row>
    <row r="48179" spans="129:129" x14ac:dyDescent="0.2">
      <c r="DY48179" s="185" t="s">
        <v>215</v>
      </c>
    </row>
    <row r="48180" spans="129:129" x14ac:dyDescent="0.2">
      <c r="DY48180" s="185" t="s">
        <v>215</v>
      </c>
    </row>
    <row r="48181" spans="129:129" x14ac:dyDescent="0.2">
      <c r="DY48181" s="185" t="s">
        <v>215</v>
      </c>
    </row>
    <row r="48182" spans="129:129" x14ac:dyDescent="0.2">
      <c r="DY48182" s="185" t="s">
        <v>215</v>
      </c>
    </row>
    <row r="48183" spans="129:129" x14ac:dyDescent="0.2">
      <c r="DY48183" s="185" t="s">
        <v>215</v>
      </c>
    </row>
    <row r="48184" spans="129:129" x14ac:dyDescent="0.2">
      <c r="DY48184" s="185" t="s">
        <v>215</v>
      </c>
    </row>
    <row r="48185" spans="129:129" x14ac:dyDescent="0.2">
      <c r="DY48185" s="185" t="s">
        <v>215</v>
      </c>
    </row>
    <row r="48186" spans="129:129" x14ac:dyDescent="0.2">
      <c r="DY48186" s="185" t="s">
        <v>215</v>
      </c>
    </row>
    <row r="48187" spans="129:129" x14ac:dyDescent="0.2">
      <c r="DY48187" s="185" t="s">
        <v>215</v>
      </c>
    </row>
    <row r="48188" spans="129:129" x14ac:dyDescent="0.2">
      <c r="DY48188" s="185" t="s">
        <v>215</v>
      </c>
    </row>
    <row r="48189" spans="129:129" x14ac:dyDescent="0.2">
      <c r="DY48189" s="185" t="s">
        <v>215</v>
      </c>
    </row>
    <row r="48190" spans="129:129" x14ac:dyDescent="0.2">
      <c r="DY48190" s="185" t="s">
        <v>215</v>
      </c>
    </row>
    <row r="48191" spans="129:129" x14ac:dyDescent="0.2">
      <c r="DY48191" s="185" t="s">
        <v>215</v>
      </c>
    </row>
    <row r="48192" spans="129:129" x14ac:dyDescent="0.2">
      <c r="DY48192" s="185" t="s">
        <v>215</v>
      </c>
    </row>
    <row r="48193" spans="129:129" x14ac:dyDescent="0.2">
      <c r="DY48193" s="185" t="s">
        <v>215</v>
      </c>
    </row>
    <row r="48194" spans="129:129" x14ac:dyDescent="0.2">
      <c r="DY48194" s="185" t="s">
        <v>215</v>
      </c>
    </row>
    <row r="48195" spans="129:129" x14ac:dyDescent="0.2">
      <c r="DY48195" s="185" t="s">
        <v>215</v>
      </c>
    </row>
    <row r="48196" spans="129:129" x14ac:dyDescent="0.2">
      <c r="DY48196" s="185" t="s">
        <v>215</v>
      </c>
    </row>
    <row r="48197" spans="129:129" x14ac:dyDescent="0.2">
      <c r="DY48197" s="185" t="s">
        <v>215</v>
      </c>
    </row>
    <row r="48198" spans="129:129" x14ac:dyDescent="0.2">
      <c r="DY48198" s="185" t="s">
        <v>215</v>
      </c>
    </row>
    <row r="48199" spans="129:129" x14ac:dyDescent="0.2">
      <c r="DY48199" s="185" t="s">
        <v>215</v>
      </c>
    </row>
    <row r="48200" spans="129:129" x14ac:dyDescent="0.2">
      <c r="DY48200" s="185" t="s">
        <v>215</v>
      </c>
    </row>
    <row r="48201" spans="129:129" x14ac:dyDescent="0.2">
      <c r="DY48201" s="185" t="s">
        <v>215</v>
      </c>
    </row>
    <row r="48202" spans="129:129" x14ac:dyDescent="0.2">
      <c r="DY48202" s="185" t="s">
        <v>215</v>
      </c>
    </row>
    <row r="48203" spans="129:129" x14ac:dyDescent="0.2">
      <c r="DY48203" s="185" t="s">
        <v>215</v>
      </c>
    </row>
    <row r="48204" spans="129:129" x14ac:dyDescent="0.2">
      <c r="DY48204" s="185" t="s">
        <v>215</v>
      </c>
    </row>
    <row r="48205" spans="129:129" x14ac:dyDescent="0.2">
      <c r="DY48205" s="185" t="s">
        <v>215</v>
      </c>
    </row>
    <row r="48206" spans="129:129" x14ac:dyDescent="0.2">
      <c r="DY48206" s="185" t="s">
        <v>215</v>
      </c>
    </row>
    <row r="48207" spans="129:129" x14ac:dyDescent="0.2">
      <c r="DY48207" s="185" t="s">
        <v>215</v>
      </c>
    </row>
    <row r="48208" spans="129:129" x14ac:dyDescent="0.2">
      <c r="DY48208" s="185" t="s">
        <v>215</v>
      </c>
    </row>
    <row r="48209" spans="129:129" x14ac:dyDescent="0.2">
      <c r="DY48209" s="185" t="s">
        <v>215</v>
      </c>
    </row>
    <row r="48210" spans="129:129" x14ac:dyDescent="0.2">
      <c r="DY48210" s="185" t="s">
        <v>215</v>
      </c>
    </row>
    <row r="48211" spans="129:129" x14ac:dyDescent="0.2">
      <c r="DY48211" s="185" t="s">
        <v>215</v>
      </c>
    </row>
    <row r="48212" spans="129:129" x14ac:dyDescent="0.2">
      <c r="DY48212" s="185" t="s">
        <v>215</v>
      </c>
    </row>
    <row r="48213" spans="129:129" x14ac:dyDescent="0.2">
      <c r="DY48213" s="185" t="s">
        <v>215</v>
      </c>
    </row>
    <row r="48214" spans="129:129" x14ac:dyDescent="0.2">
      <c r="DY48214" s="185" t="s">
        <v>215</v>
      </c>
    </row>
    <row r="48215" spans="129:129" x14ac:dyDescent="0.2">
      <c r="DY48215" s="185" t="s">
        <v>215</v>
      </c>
    </row>
    <row r="48216" spans="129:129" x14ac:dyDescent="0.2">
      <c r="DY48216" s="185" t="s">
        <v>215</v>
      </c>
    </row>
    <row r="48217" spans="129:129" x14ac:dyDescent="0.2">
      <c r="DY48217" s="185" t="s">
        <v>215</v>
      </c>
    </row>
    <row r="48218" spans="129:129" x14ac:dyDescent="0.2">
      <c r="DY48218" s="185" t="s">
        <v>215</v>
      </c>
    </row>
    <row r="48219" spans="129:129" x14ac:dyDescent="0.2">
      <c r="DY48219" s="185" t="s">
        <v>215</v>
      </c>
    </row>
    <row r="48220" spans="129:129" x14ac:dyDescent="0.2">
      <c r="DY48220" s="185" t="s">
        <v>215</v>
      </c>
    </row>
    <row r="48221" spans="129:129" x14ac:dyDescent="0.2">
      <c r="DY48221" s="185" t="s">
        <v>215</v>
      </c>
    </row>
    <row r="48222" spans="129:129" x14ac:dyDescent="0.2">
      <c r="DY48222" s="185" t="s">
        <v>215</v>
      </c>
    </row>
    <row r="48223" spans="129:129" x14ac:dyDescent="0.2">
      <c r="DY48223" s="185" t="s">
        <v>215</v>
      </c>
    </row>
    <row r="48224" spans="129:129" x14ac:dyDescent="0.2">
      <c r="DY48224" s="185" t="s">
        <v>215</v>
      </c>
    </row>
    <row r="48225" spans="129:129" x14ac:dyDescent="0.2">
      <c r="DY48225" s="185" t="s">
        <v>215</v>
      </c>
    </row>
    <row r="48226" spans="129:129" x14ac:dyDescent="0.2">
      <c r="DY48226" s="185" t="s">
        <v>215</v>
      </c>
    </row>
    <row r="48227" spans="129:129" x14ac:dyDescent="0.2">
      <c r="DY48227" s="185" t="s">
        <v>215</v>
      </c>
    </row>
    <row r="48228" spans="129:129" x14ac:dyDescent="0.2">
      <c r="DY48228" s="185" t="s">
        <v>215</v>
      </c>
    </row>
    <row r="48229" spans="129:129" x14ac:dyDescent="0.2">
      <c r="DY48229" s="185" t="s">
        <v>215</v>
      </c>
    </row>
    <row r="48230" spans="129:129" x14ac:dyDescent="0.2">
      <c r="DY48230" s="185" t="s">
        <v>215</v>
      </c>
    </row>
    <row r="48231" spans="129:129" x14ac:dyDescent="0.2">
      <c r="DY48231" s="185" t="s">
        <v>215</v>
      </c>
    </row>
    <row r="48232" spans="129:129" x14ac:dyDescent="0.2">
      <c r="DY48232" s="185" t="s">
        <v>215</v>
      </c>
    </row>
    <row r="48233" spans="129:129" x14ac:dyDescent="0.2">
      <c r="DY48233" s="185" t="s">
        <v>215</v>
      </c>
    </row>
    <row r="48234" spans="129:129" x14ac:dyDescent="0.2">
      <c r="DY48234" s="185" t="s">
        <v>215</v>
      </c>
    </row>
    <row r="48235" spans="129:129" x14ac:dyDescent="0.2">
      <c r="DY48235" s="185" t="s">
        <v>215</v>
      </c>
    </row>
    <row r="48236" spans="129:129" x14ac:dyDescent="0.2">
      <c r="DY48236" s="185" t="s">
        <v>215</v>
      </c>
    </row>
    <row r="48237" spans="129:129" x14ac:dyDescent="0.2">
      <c r="DY48237" s="185" t="s">
        <v>215</v>
      </c>
    </row>
    <row r="48238" spans="129:129" x14ac:dyDescent="0.2">
      <c r="DY48238" s="185" t="s">
        <v>215</v>
      </c>
    </row>
    <row r="48239" spans="129:129" x14ac:dyDescent="0.2">
      <c r="DY48239" s="185" t="s">
        <v>215</v>
      </c>
    </row>
    <row r="48240" spans="129:129" x14ac:dyDescent="0.2">
      <c r="DY48240" s="185" t="s">
        <v>215</v>
      </c>
    </row>
    <row r="48241" spans="129:129" x14ac:dyDescent="0.2">
      <c r="DY48241" s="185" t="s">
        <v>215</v>
      </c>
    </row>
    <row r="48242" spans="129:129" x14ac:dyDescent="0.2">
      <c r="DY48242" s="185" t="s">
        <v>215</v>
      </c>
    </row>
    <row r="48243" spans="129:129" x14ac:dyDescent="0.2">
      <c r="DY48243" s="185" t="s">
        <v>215</v>
      </c>
    </row>
    <row r="48244" spans="129:129" x14ac:dyDescent="0.2">
      <c r="DY48244" s="185" t="s">
        <v>215</v>
      </c>
    </row>
    <row r="48245" spans="129:129" x14ac:dyDescent="0.2">
      <c r="DY48245" s="185" t="s">
        <v>215</v>
      </c>
    </row>
    <row r="48246" spans="129:129" x14ac:dyDescent="0.2">
      <c r="DY48246" s="185" t="s">
        <v>215</v>
      </c>
    </row>
    <row r="48247" spans="129:129" x14ac:dyDescent="0.2">
      <c r="DY48247" s="185" t="s">
        <v>215</v>
      </c>
    </row>
    <row r="48248" spans="129:129" x14ac:dyDescent="0.2">
      <c r="DY48248" s="185" t="s">
        <v>215</v>
      </c>
    </row>
    <row r="48249" spans="129:129" x14ac:dyDescent="0.2">
      <c r="DY48249" s="185" t="s">
        <v>215</v>
      </c>
    </row>
    <row r="48250" spans="129:129" x14ac:dyDescent="0.2">
      <c r="DY48250" s="185" t="s">
        <v>215</v>
      </c>
    </row>
    <row r="48251" spans="129:129" x14ac:dyDescent="0.2">
      <c r="DY48251" s="185" t="s">
        <v>215</v>
      </c>
    </row>
    <row r="48252" spans="129:129" x14ac:dyDescent="0.2">
      <c r="DY48252" s="185" t="s">
        <v>215</v>
      </c>
    </row>
    <row r="48253" spans="129:129" x14ac:dyDescent="0.2">
      <c r="DY48253" s="185" t="s">
        <v>215</v>
      </c>
    </row>
    <row r="48254" spans="129:129" x14ac:dyDescent="0.2">
      <c r="DY48254" s="185" t="s">
        <v>215</v>
      </c>
    </row>
    <row r="48255" spans="129:129" x14ac:dyDescent="0.2">
      <c r="DY48255" s="185" t="s">
        <v>215</v>
      </c>
    </row>
    <row r="48256" spans="129:129" x14ac:dyDescent="0.2">
      <c r="DY48256" s="185" t="s">
        <v>215</v>
      </c>
    </row>
    <row r="48257" spans="129:129" x14ac:dyDescent="0.2">
      <c r="DY48257" s="185" t="s">
        <v>215</v>
      </c>
    </row>
    <row r="48258" spans="129:129" x14ac:dyDescent="0.2">
      <c r="DY48258" s="185" t="s">
        <v>215</v>
      </c>
    </row>
    <row r="48259" spans="129:129" x14ac:dyDescent="0.2">
      <c r="DY48259" s="185" t="s">
        <v>215</v>
      </c>
    </row>
    <row r="48260" spans="129:129" x14ac:dyDescent="0.2">
      <c r="DY48260" s="185" t="s">
        <v>215</v>
      </c>
    </row>
    <row r="48261" spans="129:129" x14ac:dyDescent="0.2">
      <c r="DY48261" s="185" t="s">
        <v>215</v>
      </c>
    </row>
    <row r="48262" spans="129:129" x14ac:dyDescent="0.2">
      <c r="DY48262" s="185" t="s">
        <v>215</v>
      </c>
    </row>
    <row r="48263" spans="129:129" x14ac:dyDescent="0.2">
      <c r="DY48263" s="185" t="s">
        <v>215</v>
      </c>
    </row>
    <row r="48264" spans="129:129" x14ac:dyDescent="0.2">
      <c r="DY48264" s="185" t="s">
        <v>215</v>
      </c>
    </row>
    <row r="48265" spans="129:129" x14ac:dyDescent="0.2">
      <c r="DY48265" s="185" t="s">
        <v>215</v>
      </c>
    </row>
    <row r="48266" spans="129:129" x14ac:dyDescent="0.2">
      <c r="DY48266" s="185" t="s">
        <v>215</v>
      </c>
    </row>
    <row r="48267" spans="129:129" x14ac:dyDescent="0.2">
      <c r="DY48267" s="185" t="s">
        <v>215</v>
      </c>
    </row>
    <row r="48268" spans="129:129" x14ac:dyDescent="0.2">
      <c r="DY48268" s="185" t="s">
        <v>215</v>
      </c>
    </row>
    <row r="48269" spans="129:129" x14ac:dyDescent="0.2">
      <c r="DY48269" s="185" t="s">
        <v>215</v>
      </c>
    </row>
    <row r="48270" spans="129:129" x14ac:dyDescent="0.2">
      <c r="DY48270" s="185" t="s">
        <v>215</v>
      </c>
    </row>
    <row r="48271" spans="129:129" x14ac:dyDescent="0.2">
      <c r="DY48271" s="185" t="s">
        <v>215</v>
      </c>
    </row>
    <row r="48272" spans="129:129" x14ac:dyDescent="0.2">
      <c r="DY48272" s="185" t="s">
        <v>215</v>
      </c>
    </row>
    <row r="48273" spans="129:129" x14ac:dyDescent="0.2">
      <c r="DY48273" s="185" t="s">
        <v>215</v>
      </c>
    </row>
    <row r="48274" spans="129:129" x14ac:dyDescent="0.2">
      <c r="DY48274" s="185" t="s">
        <v>215</v>
      </c>
    </row>
    <row r="48275" spans="129:129" x14ac:dyDescent="0.2">
      <c r="DY48275" s="185" t="s">
        <v>215</v>
      </c>
    </row>
    <row r="48276" spans="129:129" x14ac:dyDescent="0.2">
      <c r="DY48276" s="185" t="s">
        <v>215</v>
      </c>
    </row>
    <row r="48277" spans="129:129" x14ac:dyDescent="0.2">
      <c r="DY48277" s="185" t="s">
        <v>215</v>
      </c>
    </row>
    <row r="48278" spans="129:129" x14ac:dyDescent="0.2">
      <c r="DY48278" s="185" t="s">
        <v>215</v>
      </c>
    </row>
    <row r="48279" spans="129:129" x14ac:dyDescent="0.2">
      <c r="DY48279" s="185" t="s">
        <v>215</v>
      </c>
    </row>
    <row r="48280" spans="129:129" x14ac:dyDescent="0.2">
      <c r="DY48280" s="185" t="s">
        <v>215</v>
      </c>
    </row>
    <row r="48281" spans="129:129" x14ac:dyDescent="0.2">
      <c r="DY48281" s="185" t="s">
        <v>215</v>
      </c>
    </row>
    <row r="48282" spans="129:129" x14ac:dyDescent="0.2">
      <c r="DY48282" s="185" t="s">
        <v>215</v>
      </c>
    </row>
    <row r="48283" spans="129:129" x14ac:dyDescent="0.2">
      <c r="DY48283" s="185" t="s">
        <v>215</v>
      </c>
    </row>
    <row r="48284" spans="129:129" x14ac:dyDescent="0.2">
      <c r="DY48284" s="185" t="s">
        <v>215</v>
      </c>
    </row>
    <row r="48285" spans="129:129" x14ac:dyDescent="0.2">
      <c r="DY48285" s="185" t="s">
        <v>215</v>
      </c>
    </row>
    <row r="48286" spans="129:129" x14ac:dyDescent="0.2">
      <c r="DY48286" s="185" t="s">
        <v>215</v>
      </c>
    </row>
    <row r="48287" spans="129:129" x14ac:dyDescent="0.2">
      <c r="DY48287" s="185" t="s">
        <v>215</v>
      </c>
    </row>
    <row r="48288" spans="129:129" x14ac:dyDescent="0.2">
      <c r="DY48288" s="185" t="s">
        <v>215</v>
      </c>
    </row>
    <row r="48289" spans="129:129" x14ac:dyDescent="0.2">
      <c r="DY48289" s="185" t="s">
        <v>215</v>
      </c>
    </row>
    <row r="48290" spans="129:129" x14ac:dyDescent="0.2">
      <c r="DY48290" s="185" t="s">
        <v>215</v>
      </c>
    </row>
    <row r="48291" spans="129:129" x14ac:dyDescent="0.2">
      <c r="DY48291" s="185" t="s">
        <v>215</v>
      </c>
    </row>
    <row r="48292" spans="129:129" x14ac:dyDescent="0.2">
      <c r="DY48292" s="185" t="s">
        <v>215</v>
      </c>
    </row>
    <row r="48293" spans="129:129" x14ac:dyDescent="0.2">
      <c r="DY48293" s="185" t="s">
        <v>215</v>
      </c>
    </row>
    <row r="48294" spans="129:129" x14ac:dyDescent="0.2">
      <c r="DY48294" s="185" t="s">
        <v>215</v>
      </c>
    </row>
    <row r="48295" spans="129:129" x14ac:dyDescent="0.2">
      <c r="DY48295" s="185" t="s">
        <v>215</v>
      </c>
    </row>
    <row r="48296" spans="129:129" x14ac:dyDescent="0.2">
      <c r="DY48296" s="185" t="s">
        <v>215</v>
      </c>
    </row>
    <row r="48297" spans="129:129" x14ac:dyDescent="0.2">
      <c r="DY48297" s="185" t="s">
        <v>215</v>
      </c>
    </row>
    <row r="48298" spans="129:129" x14ac:dyDescent="0.2">
      <c r="DY48298" s="185" t="s">
        <v>215</v>
      </c>
    </row>
    <row r="48299" spans="129:129" x14ac:dyDescent="0.2">
      <c r="DY48299" s="185" t="s">
        <v>215</v>
      </c>
    </row>
    <row r="48300" spans="129:129" x14ac:dyDescent="0.2">
      <c r="DY48300" s="185" t="s">
        <v>215</v>
      </c>
    </row>
    <row r="48301" spans="129:129" x14ac:dyDescent="0.2">
      <c r="DY48301" s="185" t="s">
        <v>215</v>
      </c>
    </row>
    <row r="48302" spans="129:129" x14ac:dyDescent="0.2">
      <c r="DY48302" s="185" t="s">
        <v>215</v>
      </c>
    </row>
    <row r="48303" spans="129:129" x14ac:dyDescent="0.2">
      <c r="DY48303" s="185" t="s">
        <v>215</v>
      </c>
    </row>
    <row r="48304" spans="129:129" x14ac:dyDescent="0.2">
      <c r="DY48304" s="185" t="s">
        <v>215</v>
      </c>
    </row>
    <row r="48305" spans="129:129" x14ac:dyDescent="0.2">
      <c r="DY48305" s="185" t="s">
        <v>215</v>
      </c>
    </row>
    <row r="48306" spans="129:129" x14ac:dyDescent="0.2">
      <c r="DY48306" s="185" t="s">
        <v>215</v>
      </c>
    </row>
    <row r="48307" spans="129:129" x14ac:dyDescent="0.2">
      <c r="DY48307" s="185" t="s">
        <v>215</v>
      </c>
    </row>
    <row r="48308" spans="129:129" x14ac:dyDescent="0.2">
      <c r="DY48308" s="185" t="s">
        <v>215</v>
      </c>
    </row>
    <row r="48309" spans="129:129" x14ac:dyDescent="0.2">
      <c r="DY48309" s="185" t="s">
        <v>215</v>
      </c>
    </row>
    <row r="48310" spans="129:129" x14ac:dyDescent="0.2">
      <c r="DY48310" s="185" t="s">
        <v>215</v>
      </c>
    </row>
    <row r="48311" spans="129:129" x14ac:dyDescent="0.2">
      <c r="DY48311" s="185" t="s">
        <v>215</v>
      </c>
    </row>
    <row r="48312" spans="129:129" x14ac:dyDescent="0.2">
      <c r="DY48312" s="185" t="s">
        <v>215</v>
      </c>
    </row>
    <row r="48313" spans="129:129" x14ac:dyDescent="0.2">
      <c r="DY48313" s="185" t="s">
        <v>215</v>
      </c>
    </row>
    <row r="48314" spans="129:129" x14ac:dyDescent="0.2">
      <c r="DY48314" s="185" t="s">
        <v>215</v>
      </c>
    </row>
    <row r="48315" spans="129:129" x14ac:dyDescent="0.2">
      <c r="DY48315" s="185" t="s">
        <v>215</v>
      </c>
    </row>
    <row r="48316" spans="129:129" x14ac:dyDescent="0.2">
      <c r="DY48316" s="185" t="s">
        <v>215</v>
      </c>
    </row>
    <row r="48317" spans="129:129" x14ac:dyDescent="0.2">
      <c r="DY48317" s="185" t="s">
        <v>215</v>
      </c>
    </row>
    <row r="48318" spans="129:129" x14ac:dyDescent="0.2">
      <c r="DY48318" s="185" t="s">
        <v>215</v>
      </c>
    </row>
    <row r="48319" spans="129:129" x14ac:dyDescent="0.2">
      <c r="DY48319" s="185" t="s">
        <v>215</v>
      </c>
    </row>
    <row r="48320" spans="129:129" x14ac:dyDescent="0.2">
      <c r="DY48320" s="185" t="s">
        <v>215</v>
      </c>
    </row>
    <row r="48321" spans="129:129" x14ac:dyDescent="0.2">
      <c r="DY48321" s="185" t="s">
        <v>215</v>
      </c>
    </row>
    <row r="48322" spans="129:129" x14ac:dyDescent="0.2">
      <c r="DY48322" s="185" t="s">
        <v>215</v>
      </c>
    </row>
    <row r="48323" spans="129:129" x14ac:dyDescent="0.2">
      <c r="DY48323" s="185" t="s">
        <v>215</v>
      </c>
    </row>
    <row r="48324" spans="129:129" x14ac:dyDescent="0.2">
      <c r="DY48324" s="185" t="s">
        <v>215</v>
      </c>
    </row>
    <row r="48325" spans="129:129" x14ac:dyDescent="0.2">
      <c r="DY48325" s="185" t="s">
        <v>215</v>
      </c>
    </row>
    <row r="48326" spans="129:129" x14ac:dyDescent="0.2">
      <c r="DY48326" s="185" t="s">
        <v>215</v>
      </c>
    </row>
    <row r="48327" spans="129:129" x14ac:dyDescent="0.2">
      <c r="DY48327" s="185" t="s">
        <v>215</v>
      </c>
    </row>
    <row r="48328" spans="129:129" x14ac:dyDescent="0.2">
      <c r="DY48328" s="185" t="s">
        <v>215</v>
      </c>
    </row>
    <row r="48329" spans="129:129" x14ac:dyDescent="0.2">
      <c r="DY48329" s="185" t="s">
        <v>215</v>
      </c>
    </row>
    <row r="48330" spans="129:129" x14ac:dyDescent="0.2">
      <c r="DY48330" s="185" t="s">
        <v>215</v>
      </c>
    </row>
    <row r="48331" spans="129:129" x14ac:dyDescent="0.2">
      <c r="DY48331" s="185" t="s">
        <v>215</v>
      </c>
    </row>
    <row r="48332" spans="129:129" x14ac:dyDescent="0.2">
      <c r="DY48332" s="185" t="s">
        <v>215</v>
      </c>
    </row>
    <row r="48333" spans="129:129" x14ac:dyDescent="0.2">
      <c r="DY48333" s="185" t="s">
        <v>215</v>
      </c>
    </row>
    <row r="48334" spans="129:129" x14ac:dyDescent="0.2">
      <c r="DY48334" s="185" t="s">
        <v>215</v>
      </c>
    </row>
    <row r="48335" spans="129:129" x14ac:dyDescent="0.2">
      <c r="DY48335" s="185" t="s">
        <v>215</v>
      </c>
    </row>
    <row r="48336" spans="129:129" x14ac:dyDescent="0.2">
      <c r="DY48336" s="185" t="s">
        <v>215</v>
      </c>
    </row>
    <row r="48337" spans="129:129" x14ac:dyDescent="0.2">
      <c r="DY48337" s="185" t="s">
        <v>215</v>
      </c>
    </row>
    <row r="48338" spans="129:129" x14ac:dyDescent="0.2">
      <c r="DY48338" s="185" t="s">
        <v>215</v>
      </c>
    </row>
    <row r="48339" spans="129:129" x14ac:dyDescent="0.2">
      <c r="DY48339" s="185" t="s">
        <v>215</v>
      </c>
    </row>
    <row r="48340" spans="129:129" x14ac:dyDescent="0.2">
      <c r="DY48340" s="185" t="s">
        <v>215</v>
      </c>
    </row>
    <row r="48341" spans="129:129" x14ac:dyDescent="0.2">
      <c r="DY48341" s="185" t="s">
        <v>215</v>
      </c>
    </row>
    <row r="48342" spans="129:129" x14ac:dyDescent="0.2">
      <c r="DY48342" s="185" t="s">
        <v>215</v>
      </c>
    </row>
    <row r="48343" spans="129:129" x14ac:dyDescent="0.2">
      <c r="DY48343" s="185" t="s">
        <v>215</v>
      </c>
    </row>
    <row r="48344" spans="129:129" x14ac:dyDescent="0.2">
      <c r="DY48344" s="185" t="s">
        <v>215</v>
      </c>
    </row>
    <row r="48345" spans="129:129" x14ac:dyDescent="0.2">
      <c r="DY48345" s="185" t="s">
        <v>215</v>
      </c>
    </row>
    <row r="48346" spans="129:129" x14ac:dyDescent="0.2">
      <c r="DY48346" s="185" t="s">
        <v>215</v>
      </c>
    </row>
    <row r="48347" spans="129:129" x14ac:dyDescent="0.2">
      <c r="DY48347" s="185" t="s">
        <v>215</v>
      </c>
    </row>
    <row r="48348" spans="129:129" x14ac:dyDescent="0.2">
      <c r="DY48348" s="185" t="s">
        <v>215</v>
      </c>
    </row>
    <row r="48349" spans="129:129" x14ac:dyDescent="0.2">
      <c r="DY48349" s="185" t="s">
        <v>215</v>
      </c>
    </row>
    <row r="48350" spans="129:129" x14ac:dyDescent="0.2">
      <c r="DY48350" s="185" t="s">
        <v>215</v>
      </c>
    </row>
    <row r="48351" spans="129:129" x14ac:dyDescent="0.2">
      <c r="DY48351" s="185" t="s">
        <v>215</v>
      </c>
    </row>
    <row r="48352" spans="129:129" x14ac:dyDescent="0.2">
      <c r="DY48352" s="185" t="s">
        <v>215</v>
      </c>
    </row>
    <row r="48353" spans="129:129" x14ac:dyDescent="0.2">
      <c r="DY48353" s="185" t="s">
        <v>215</v>
      </c>
    </row>
    <row r="48354" spans="129:129" x14ac:dyDescent="0.2">
      <c r="DY48354" s="185" t="s">
        <v>215</v>
      </c>
    </row>
    <row r="48355" spans="129:129" x14ac:dyDescent="0.2">
      <c r="DY48355" s="185" t="s">
        <v>215</v>
      </c>
    </row>
    <row r="48356" spans="129:129" x14ac:dyDescent="0.2">
      <c r="DY48356" s="185" t="s">
        <v>215</v>
      </c>
    </row>
    <row r="48357" spans="129:129" x14ac:dyDescent="0.2">
      <c r="DY48357" s="185" t="s">
        <v>215</v>
      </c>
    </row>
    <row r="48358" spans="129:129" x14ac:dyDescent="0.2">
      <c r="DY48358" s="185" t="s">
        <v>215</v>
      </c>
    </row>
    <row r="48359" spans="129:129" x14ac:dyDescent="0.2">
      <c r="DY48359" s="185" t="s">
        <v>215</v>
      </c>
    </row>
    <row r="48360" spans="129:129" x14ac:dyDescent="0.2">
      <c r="DY48360" s="185" t="s">
        <v>215</v>
      </c>
    </row>
    <row r="48361" spans="129:129" x14ac:dyDescent="0.2">
      <c r="DY48361" s="185" t="s">
        <v>215</v>
      </c>
    </row>
    <row r="48362" spans="129:129" x14ac:dyDescent="0.2">
      <c r="DY48362" s="185" t="s">
        <v>215</v>
      </c>
    </row>
    <row r="48363" spans="129:129" x14ac:dyDescent="0.2">
      <c r="DY48363" s="185" t="s">
        <v>215</v>
      </c>
    </row>
    <row r="48364" spans="129:129" x14ac:dyDescent="0.2">
      <c r="DY48364" s="185" t="s">
        <v>215</v>
      </c>
    </row>
    <row r="48365" spans="129:129" x14ac:dyDescent="0.2">
      <c r="DY48365" s="185" t="s">
        <v>215</v>
      </c>
    </row>
    <row r="48366" spans="129:129" x14ac:dyDescent="0.2">
      <c r="DY48366" s="185" t="s">
        <v>215</v>
      </c>
    </row>
    <row r="48367" spans="129:129" x14ac:dyDescent="0.2">
      <c r="DY48367" s="185" t="s">
        <v>215</v>
      </c>
    </row>
    <row r="48368" spans="129:129" x14ac:dyDescent="0.2">
      <c r="DY48368" s="185" t="s">
        <v>215</v>
      </c>
    </row>
    <row r="48369" spans="129:129" x14ac:dyDescent="0.2">
      <c r="DY48369" s="185" t="s">
        <v>215</v>
      </c>
    </row>
    <row r="48370" spans="129:129" x14ac:dyDescent="0.2">
      <c r="DY48370" s="185" t="s">
        <v>215</v>
      </c>
    </row>
    <row r="48371" spans="129:129" x14ac:dyDescent="0.2">
      <c r="DY48371" s="185" t="s">
        <v>215</v>
      </c>
    </row>
    <row r="48372" spans="129:129" x14ac:dyDescent="0.2">
      <c r="DY48372" s="185" t="s">
        <v>215</v>
      </c>
    </row>
    <row r="48373" spans="129:129" x14ac:dyDescent="0.2">
      <c r="DY48373" s="185" t="s">
        <v>215</v>
      </c>
    </row>
    <row r="48374" spans="129:129" x14ac:dyDescent="0.2">
      <c r="DY48374" s="185" t="s">
        <v>215</v>
      </c>
    </row>
    <row r="48375" spans="129:129" x14ac:dyDescent="0.2">
      <c r="DY48375" s="185" t="s">
        <v>215</v>
      </c>
    </row>
    <row r="48376" spans="129:129" x14ac:dyDescent="0.2">
      <c r="DY48376" s="185" t="s">
        <v>215</v>
      </c>
    </row>
    <row r="48377" spans="129:129" x14ac:dyDescent="0.2">
      <c r="DY48377" s="185" t="s">
        <v>215</v>
      </c>
    </row>
    <row r="48378" spans="129:129" x14ac:dyDescent="0.2">
      <c r="DY48378" s="185" t="s">
        <v>215</v>
      </c>
    </row>
    <row r="48379" spans="129:129" x14ac:dyDescent="0.2">
      <c r="DY48379" s="185" t="s">
        <v>215</v>
      </c>
    </row>
    <row r="48380" spans="129:129" x14ac:dyDescent="0.2">
      <c r="DY48380" s="185" t="s">
        <v>215</v>
      </c>
    </row>
    <row r="48381" spans="129:129" x14ac:dyDescent="0.2">
      <c r="DY48381" s="185" t="s">
        <v>215</v>
      </c>
    </row>
    <row r="48382" spans="129:129" x14ac:dyDescent="0.2">
      <c r="DY48382" s="185" t="s">
        <v>215</v>
      </c>
    </row>
    <row r="48383" spans="129:129" x14ac:dyDescent="0.2">
      <c r="DY48383" s="185" t="s">
        <v>215</v>
      </c>
    </row>
    <row r="48384" spans="129:129" x14ac:dyDescent="0.2">
      <c r="DY48384" s="185" t="s">
        <v>215</v>
      </c>
    </row>
    <row r="48385" spans="129:129" x14ac:dyDescent="0.2">
      <c r="DY48385" s="185" t="s">
        <v>215</v>
      </c>
    </row>
    <row r="48386" spans="129:129" x14ac:dyDescent="0.2">
      <c r="DY48386" s="185" t="s">
        <v>215</v>
      </c>
    </row>
    <row r="48387" spans="129:129" x14ac:dyDescent="0.2">
      <c r="DY48387" s="185" t="s">
        <v>215</v>
      </c>
    </row>
    <row r="48388" spans="129:129" x14ac:dyDescent="0.2">
      <c r="DY48388" s="185" t="s">
        <v>215</v>
      </c>
    </row>
    <row r="48389" spans="129:129" x14ac:dyDescent="0.2">
      <c r="DY48389" s="185" t="s">
        <v>215</v>
      </c>
    </row>
    <row r="48390" spans="129:129" x14ac:dyDescent="0.2">
      <c r="DY48390" s="185" t="s">
        <v>215</v>
      </c>
    </row>
    <row r="48391" spans="129:129" x14ac:dyDescent="0.2">
      <c r="DY48391" s="185" t="s">
        <v>215</v>
      </c>
    </row>
    <row r="48392" spans="129:129" x14ac:dyDescent="0.2">
      <c r="DY48392" s="185" t="s">
        <v>215</v>
      </c>
    </row>
    <row r="48393" spans="129:129" x14ac:dyDescent="0.2">
      <c r="DY48393" s="185" t="s">
        <v>215</v>
      </c>
    </row>
    <row r="48394" spans="129:129" x14ac:dyDescent="0.2">
      <c r="DY48394" s="185" t="s">
        <v>215</v>
      </c>
    </row>
    <row r="48395" spans="129:129" x14ac:dyDescent="0.2">
      <c r="DY48395" s="185" t="s">
        <v>215</v>
      </c>
    </row>
    <row r="48396" spans="129:129" x14ac:dyDescent="0.2">
      <c r="DY48396" s="185" t="s">
        <v>215</v>
      </c>
    </row>
    <row r="48397" spans="129:129" x14ac:dyDescent="0.2">
      <c r="DY48397" s="185" t="s">
        <v>215</v>
      </c>
    </row>
    <row r="48398" spans="129:129" x14ac:dyDescent="0.2">
      <c r="DY48398" s="185" t="s">
        <v>215</v>
      </c>
    </row>
    <row r="48399" spans="129:129" x14ac:dyDescent="0.2">
      <c r="DY48399" s="185" t="s">
        <v>215</v>
      </c>
    </row>
    <row r="48400" spans="129:129" x14ac:dyDescent="0.2">
      <c r="DY48400" s="185" t="s">
        <v>215</v>
      </c>
    </row>
    <row r="48401" spans="129:129" x14ac:dyDescent="0.2">
      <c r="DY48401" s="185" t="s">
        <v>215</v>
      </c>
    </row>
    <row r="48402" spans="129:129" x14ac:dyDescent="0.2">
      <c r="DY48402" s="185" t="s">
        <v>215</v>
      </c>
    </row>
    <row r="48403" spans="129:129" x14ac:dyDescent="0.2">
      <c r="DY48403" s="185" t="s">
        <v>215</v>
      </c>
    </row>
    <row r="48404" spans="129:129" x14ac:dyDescent="0.2">
      <c r="DY48404" s="185" t="s">
        <v>215</v>
      </c>
    </row>
    <row r="48405" spans="129:129" x14ac:dyDescent="0.2">
      <c r="DY48405" s="185" t="s">
        <v>215</v>
      </c>
    </row>
    <row r="48406" spans="129:129" x14ac:dyDescent="0.2">
      <c r="DY48406" s="185" t="s">
        <v>215</v>
      </c>
    </row>
    <row r="48407" spans="129:129" x14ac:dyDescent="0.2">
      <c r="DY48407" s="185" t="s">
        <v>215</v>
      </c>
    </row>
    <row r="48408" spans="129:129" x14ac:dyDescent="0.2">
      <c r="DY48408" s="185" t="s">
        <v>215</v>
      </c>
    </row>
    <row r="48409" spans="129:129" x14ac:dyDescent="0.2">
      <c r="DY48409" s="185" t="s">
        <v>215</v>
      </c>
    </row>
    <row r="48410" spans="129:129" x14ac:dyDescent="0.2">
      <c r="DY48410" s="185" t="s">
        <v>215</v>
      </c>
    </row>
    <row r="48411" spans="129:129" x14ac:dyDescent="0.2">
      <c r="DY48411" s="185" t="s">
        <v>215</v>
      </c>
    </row>
    <row r="48412" spans="129:129" x14ac:dyDescent="0.2">
      <c r="DY48412" s="185" t="s">
        <v>215</v>
      </c>
    </row>
    <row r="48413" spans="129:129" x14ac:dyDescent="0.2">
      <c r="DY48413" s="185" t="s">
        <v>215</v>
      </c>
    </row>
    <row r="48414" spans="129:129" x14ac:dyDescent="0.2">
      <c r="DY48414" s="185" t="s">
        <v>215</v>
      </c>
    </row>
    <row r="48415" spans="129:129" x14ac:dyDescent="0.2">
      <c r="DY48415" s="185" t="s">
        <v>215</v>
      </c>
    </row>
    <row r="48416" spans="129:129" x14ac:dyDescent="0.2">
      <c r="DY48416" s="185" t="s">
        <v>215</v>
      </c>
    </row>
    <row r="48417" spans="129:129" x14ac:dyDescent="0.2">
      <c r="DY48417" s="185" t="s">
        <v>215</v>
      </c>
    </row>
    <row r="48418" spans="129:129" x14ac:dyDescent="0.2">
      <c r="DY48418" s="185" t="s">
        <v>215</v>
      </c>
    </row>
    <row r="48419" spans="129:129" x14ac:dyDescent="0.2">
      <c r="DY48419" s="185" t="s">
        <v>215</v>
      </c>
    </row>
    <row r="48420" spans="129:129" x14ac:dyDescent="0.2">
      <c r="DY48420" s="185" t="s">
        <v>215</v>
      </c>
    </row>
    <row r="48421" spans="129:129" x14ac:dyDescent="0.2">
      <c r="DY48421" s="185" t="s">
        <v>215</v>
      </c>
    </row>
    <row r="48422" spans="129:129" x14ac:dyDescent="0.2">
      <c r="DY48422" s="185" t="s">
        <v>215</v>
      </c>
    </row>
    <row r="48423" spans="129:129" x14ac:dyDescent="0.2">
      <c r="DY48423" s="185" t="s">
        <v>215</v>
      </c>
    </row>
    <row r="48424" spans="129:129" x14ac:dyDescent="0.2">
      <c r="DY48424" s="185" t="s">
        <v>215</v>
      </c>
    </row>
    <row r="48425" spans="129:129" x14ac:dyDescent="0.2">
      <c r="DY48425" s="185" t="s">
        <v>215</v>
      </c>
    </row>
    <row r="48426" spans="129:129" x14ac:dyDescent="0.2">
      <c r="DY48426" s="185" t="s">
        <v>215</v>
      </c>
    </row>
    <row r="48427" spans="129:129" x14ac:dyDescent="0.2">
      <c r="DY48427" s="185" t="s">
        <v>215</v>
      </c>
    </row>
    <row r="48428" spans="129:129" x14ac:dyDescent="0.2">
      <c r="DY48428" s="185" t="s">
        <v>215</v>
      </c>
    </row>
    <row r="48429" spans="129:129" x14ac:dyDescent="0.2">
      <c r="DY48429" s="185" t="s">
        <v>215</v>
      </c>
    </row>
    <row r="48430" spans="129:129" x14ac:dyDescent="0.2">
      <c r="DY48430" s="185" t="s">
        <v>215</v>
      </c>
    </row>
    <row r="48431" spans="129:129" x14ac:dyDescent="0.2">
      <c r="DY48431" s="185" t="s">
        <v>215</v>
      </c>
    </row>
    <row r="48432" spans="129:129" x14ac:dyDescent="0.2">
      <c r="DY48432" s="185" t="s">
        <v>215</v>
      </c>
    </row>
    <row r="48433" spans="129:129" x14ac:dyDescent="0.2">
      <c r="DY48433" s="185" t="s">
        <v>215</v>
      </c>
    </row>
    <row r="48434" spans="129:129" x14ac:dyDescent="0.2">
      <c r="DY48434" s="185" t="s">
        <v>215</v>
      </c>
    </row>
    <row r="48435" spans="129:129" x14ac:dyDescent="0.2">
      <c r="DY48435" s="185" t="s">
        <v>215</v>
      </c>
    </row>
    <row r="48436" spans="129:129" x14ac:dyDescent="0.2">
      <c r="DY48436" s="185" t="s">
        <v>215</v>
      </c>
    </row>
    <row r="48437" spans="129:129" x14ac:dyDescent="0.2">
      <c r="DY48437" s="185" t="s">
        <v>215</v>
      </c>
    </row>
    <row r="48438" spans="129:129" x14ac:dyDescent="0.2">
      <c r="DY48438" s="185" t="s">
        <v>215</v>
      </c>
    </row>
    <row r="48439" spans="129:129" x14ac:dyDescent="0.2">
      <c r="DY48439" s="185" t="s">
        <v>215</v>
      </c>
    </row>
    <row r="48440" spans="129:129" x14ac:dyDescent="0.2">
      <c r="DY48440" s="185" t="s">
        <v>215</v>
      </c>
    </row>
    <row r="48441" spans="129:129" x14ac:dyDescent="0.2">
      <c r="DY48441" s="185" t="s">
        <v>215</v>
      </c>
    </row>
    <row r="48442" spans="129:129" x14ac:dyDescent="0.2">
      <c r="DY48442" s="185" t="s">
        <v>215</v>
      </c>
    </row>
    <row r="48443" spans="129:129" x14ac:dyDescent="0.2">
      <c r="DY48443" s="185" t="s">
        <v>215</v>
      </c>
    </row>
    <row r="48444" spans="129:129" x14ac:dyDescent="0.2">
      <c r="DY48444" s="185" t="s">
        <v>215</v>
      </c>
    </row>
    <row r="48445" spans="129:129" x14ac:dyDescent="0.2">
      <c r="DY48445" s="185" t="s">
        <v>215</v>
      </c>
    </row>
    <row r="48446" spans="129:129" x14ac:dyDescent="0.2">
      <c r="DY48446" s="185" t="s">
        <v>215</v>
      </c>
    </row>
    <row r="48447" spans="129:129" x14ac:dyDescent="0.2">
      <c r="DY48447" s="185" t="s">
        <v>215</v>
      </c>
    </row>
    <row r="48448" spans="129:129" x14ac:dyDescent="0.2">
      <c r="DY48448" s="185" t="s">
        <v>215</v>
      </c>
    </row>
    <row r="48449" spans="129:129" x14ac:dyDescent="0.2">
      <c r="DY48449" s="185" t="s">
        <v>215</v>
      </c>
    </row>
    <row r="48450" spans="129:129" x14ac:dyDescent="0.2">
      <c r="DY48450" s="185" t="s">
        <v>215</v>
      </c>
    </row>
    <row r="48451" spans="129:129" x14ac:dyDescent="0.2">
      <c r="DY48451" s="185" t="s">
        <v>215</v>
      </c>
    </row>
    <row r="48452" spans="129:129" x14ac:dyDescent="0.2">
      <c r="DY48452" s="185" t="s">
        <v>215</v>
      </c>
    </row>
    <row r="48453" spans="129:129" x14ac:dyDescent="0.2">
      <c r="DY48453" s="185" t="s">
        <v>215</v>
      </c>
    </row>
    <row r="48454" spans="129:129" x14ac:dyDescent="0.2">
      <c r="DY48454" s="185" t="s">
        <v>215</v>
      </c>
    </row>
    <row r="48455" spans="129:129" x14ac:dyDescent="0.2">
      <c r="DY48455" s="185" t="s">
        <v>215</v>
      </c>
    </row>
    <row r="48456" spans="129:129" x14ac:dyDescent="0.2">
      <c r="DY48456" s="185" t="s">
        <v>215</v>
      </c>
    </row>
    <row r="48457" spans="129:129" x14ac:dyDescent="0.2">
      <c r="DY48457" s="185" t="s">
        <v>215</v>
      </c>
    </row>
    <row r="48458" spans="129:129" x14ac:dyDescent="0.2">
      <c r="DY48458" s="185" t="s">
        <v>215</v>
      </c>
    </row>
    <row r="48459" spans="129:129" x14ac:dyDescent="0.2">
      <c r="DY48459" s="185" t="s">
        <v>215</v>
      </c>
    </row>
    <row r="48460" spans="129:129" x14ac:dyDescent="0.2">
      <c r="DY48460" s="185" t="s">
        <v>215</v>
      </c>
    </row>
    <row r="48461" spans="129:129" x14ac:dyDescent="0.2">
      <c r="DY48461" s="185" t="s">
        <v>215</v>
      </c>
    </row>
    <row r="48462" spans="129:129" x14ac:dyDescent="0.2">
      <c r="DY48462" s="185" t="s">
        <v>215</v>
      </c>
    </row>
    <row r="48463" spans="129:129" x14ac:dyDescent="0.2">
      <c r="DY48463" s="185" t="s">
        <v>215</v>
      </c>
    </row>
    <row r="48464" spans="129:129" x14ac:dyDescent="0.2">
      <c r="DY48464" s="185" t="s">
        <v>215</v>
      </c>
    </row>
    <row r="48465" spans="129:129" x14ac:dyDescent="0.2">
      <c r="DY48465" s="185" t="s">
        <v>215</v>
      </c>
    </row>
    <row r="48466" spans="129:129" x14ac:dyDescent="0.2">
      <c r="DY48466" s="185" t="s">
        <v>215</v>
      </c>
    </row>
    <row r="48467" spans="129:129" x14ac:dyDescent="0.2">
      <c r="DY48467" s="185" t="s">
        <v>215</v>
      </c>
    </row>
    <row r="48468" spans="129:129" x14ac:dyDescent="0.2">
      <c r="DY48468" s="185" t="s">
        <v>215</v>
      </c>
    </row>
    <row r="48469" spans="129:129" x14ac:dyDescent="0.2">
      <c r="DY48469" s="185" t="s">
        <v>215</v>
      </c>
    </row>
    <row r="48470" spans="129:129" x14ac:dyDescent="0.2">
      <c r="DY48470" s="185" t="s">
        <v>215</v>
      </c>
    </row>
    <row r="48471" spans="129:129" x14ac:dyDescent="0.2">
      <c r="DY48471" s="185" t="s">
        <v>215</v>
      </c>
    </row>
    <row r="48472" spans="129:129" x14ac:dyDescent="0.2">
      <c r="DY48472" s="185" t="s">
        <v>215</v>
      </c>
    </row>
    <row r="48473" spans="129:129" x14ac:dyDescent="0.2">
      <c r="DY48473" s="185" t="s">
        <v>215</v>
      </c>
    </row>
    <row r="48474" spans="129:129" x14ac:dyDescent="0.2">
      <c r="DY48474" s="185" t="s">
        <v>215</v>
      </c>
    </row>
    <row r="48475" spans="129:129" x14ac:dyDescent="0.2">
      <c r="DY48475" s="185" t="s">
        <v>215</v>
      </c>
    </row>
    <row r="48476" spans="129:129" x14ac:dyDescent="0.2">
      <c r="DY48476" s="185" t="s">
        <v>215</v>
      </c>
    </row>
    <row r="48477" spans="129:129" x14ac:dyDescent="0.2">
      <c r="DY48477" s="185" t="s">
        <v>215</v>
      </c>
    </row>
    <row r="48478" spans="129:129" x14ac:dyDescent="0.2">
      <c r="DY48478" s="185" t="s">
        <v>215</v>
      </c>
    </row>
    <row r="48479" spans="129:129" x14ac:dyDescent="0.2">
      <c r="DY48479" s="185" t="s">
        <v>215</v>
      </c>
    </row>
    <row r="48480" spans="129:129" x14ac:dyDescent="0.2">
      <c r="DY48480" s="185" t="s">
        <v>215</v>
      </c>
    </row>
    <row r="48481" spans="129:129" x14ac:dyDescent="0.2">
      <c r="DY48481" s="185" t="s">
        <v>215</v>
      </c>
    </row>
    <row r="48482" spans="129:129" x14ac:dyDescent="0.2">
      <c r="DY48482" s="185" t="s">
        <v>215</v>
      </c>
    </row>
    <row r="48483" spans="129:129" x14ac:dyDescent="0.2">
      <c r="DY48483" s="185" t="s">
        <v>215</v>
      </c>
    </row>
    <row r="48484" spans="129:129" x14ac:dyDescent="0.2">
      <c r="DY48484" s="185" t="s">
        <v>215</v>
      </c>
    </row>
    <row r="48485" spans="129:129" x14ac:dyDescent="0.2">
      <c r="DY48485" s="185" t="s">
        <v>215</v>
      </c>
    </row>
    <row r="48486" spans="129:129" x14ac:dyDescent="0.2">
      <c r="DY48486" s="185" t="s">
        <v>215</v>
      </c>
    </row>
    <row r="48487" spans="129:129" x14ac:dyDescent="0.2">
      <c r="DY48487" s="185" t="s">
        <v>215</v>
      </c>
    </row>
    <row r="48488" spans="129:129" x14ac:dyDescent="0.2">
      <c r="DY48488" s="185" t="s">
        <v>215</v>
      </c>
    </row>
    <row r="48489" spans="129:129" x14ac:dyDescent="0.2">
      <c r="DY48489" s="185" t="s">
        <v>215</v>
      </c>
    </row>
    <row r="48490" spans="129:129" x14ac:dyDescent="0.2">
      <c r="DY48490" s="185" t="s">
        <v>215</v>
      </c>
    </row>
    <row r="48491" spans="129:129" x14ac:dyDescent="0.2">
      <c r="DY48491" s="185" t="s">
        <v>215</v>
      </c>
    </row>
    <row r="48492" spans="129:129" x14ac:dyDescent="0.2">
      <c r="DY48492" s="185" t="s">
        <v>215</v>
      </c>
    </row>
    <row r="48493" spans="129:129" x14ac:dyDescent="0.2">
      <c r="DY48493" s="185" t="s">
        <v>215</v>
      </c>
    </row>
    <row r="48494" spans="129:129" x14ac:dyDescent="0.2">
      <c r="DY48494" s="185" t="s">
        <v>215</v>
      </c>
    </row>
    <row r="48495" spans="129:129" x14ac:dyDescent="0.2">
      <c r="DY48495" s="185" t="s">
        <v>215</v>
      </c>
    </row>
    <row r="48496" spans="129:129" x14ac:dyDescent="0.2">
      <c r="DY48496" s="185" t="s">
        <v>215</v>
      </c>
    </row>
    <row r="48497" spans="129:129" x14ac:dyDescent="0.2">
      <c r="DY48497" s="185" t="s">
        <v>215</v>
      </c>
    </row>
    <row r="48498" spans="129:129" x14ac:dyDescent="0.2">
      <c r="DY48498" s="185" t="s">
        <v>215</v>
      </c>
    </row>
    <row r="48499" spans="129:129" x14ac:dyDescent="0.2">
      <c r="DY48499" s="185" t="s">
        <v>215</v>
      </c>
    </row>
    <row r="48500" spans="129:129" x14ac:dyDescent="0.2">
      <c r="DY48500" s="185" t="s">
        <v>215</v>
      </c>
    </row>
    <row r="48501" spans="129:129" x14ac:dyDescent="0.2">
      <c r="DY48501" s="185" t="s">
        <v>215</v>
      </c>
    </row>
    <row r="48502" spans="129:129" x14ac:dyDescent="0.2">
      <c r="DY48502" s="185" t="s">
        <v>215</v>
      </c>
    </row>
    <row r="48503" spans="129:129" x14ac:dyDescent="0.2">
      <c r="DY48503" s="185" t="s">
        <v>215</v>
      </c>
    </row>
    <row r="48504" spans="129:129" x14ac:dyDescent="0.2">
      <c r="DY48504" s="185" t="s">
        <v>215</v>
      </c>
    </row>
    <row r="48505" spans="129:129" x14ac:dyDescent="0.2">
      <c r="DY48505" s="185" t="s">
        <v>215</v>
      </c>
    </row>
    <row r="48506" spans="129:129" x14ac:dyDescent="0.2">
      <c r="DY48506" s="185" t="s">
        <v>215</v>
      </c>
    </row>
    <row r="48507" spans="129:129" x14ac:dyDescent="0.2">
      <c r="DY48507" s="185" t="s">
        <v>215</v>
      </c>
    </row>
    <row r="48508" spans="129:129" x14ac:dyDescent="0.2">
      <c r="DY48508" s="185" t="s">
        <v>215</v>
      </c>
    </row>
    <row r="48509" spans="129:129" x14ac:dyDescent="0.2">
      <c r="DY48509" s="185" t="s">
        <v>215</v>
      </c>
    </row>
    <row r="48510" spans="129:129" x14ac:dyDescent="0.2">
      <c r="DY48510" s="185" t="s">
        <v>215</v>
      </c>
    </row>
    <row r="48511" spans="129:129" x14ac:dyDescent="0.2">
      <c r="DY48511" s="185" t="s">
        <v>215</v>
      </c>
    </row>
    <row r="48512" spans="129:129" x14ac:dyDescent="0.2">
      <c r="DY48512" s="185" t="s">
        <v>215</v>
      </c>
    </row>
    <row r="48513" spans="129:129" x14ac:dyDescent="0.2">
      <c r="DY48513" s="185" t="s">
        <v>215</v>
      </c>
    </row>
    <row r="48514" spans="129:129" x14ac:dyDescent="0.2">
      <c r="DY48514" s="185" t="s">
        <v>215</v>
      </c>
    </row>
    <row r="48515" spans="129:129" x14ac:dyDescent="0.2">
      <c r="DY48515" s="185" t="s">
        <v>215</v>
      </c>
    </row>
    <row r="48516" spans="129:129" x14ac:dyDescent="0.2">
      <c r="DY48516" s="185" t="s">
        <v>215</v>
      </c>
    </row>
    <row r="48517" spans="129:129" x14ac:dyDescent="0.2">
      <c r="DY48517" s="185" t="s">
        <v>215</v>
      </c>
    </row>
    <row r="48518" spans="129:129" x14ac:dyDescent="0.2">
      <c r="DY48518" s="185" t="s">
        <v>215</v>
      </c>
    </row>
    <row r="48519" spans="129:129" x14ac:dyDescent="0.2">
      <c r="DY48519" s="185" t="s">
        <v>215</v>
      </c>
    </row>
    <row r="48520" spans="129:129" x14ac:dyDescent="0.2">
      <c r="DY48520" s="185" t="s">
        <v>215</v>
      </c>
    </row>
    <row r="48521" spans="129:129" x14ac:dyDescent="0.2">
      <c r="DY48521" s="185" t="s">
        <v>215</v>
      </c>
    </row>
    <row r="48522" spans="129:129" x14ac:dyDescent="0.2">
      <c r="DY48522" s="185" t="s">
        <v>215</v>
      </c>
    </row>
    <row r="48523" spans="129:129" x14ac:dyDescent="0.2">
      <c r="DY48523" s="185" t="s">
        <v>215</v>
      </c>
    </row>
    <row r="48524" spans="129:129" x14ac:dyDescent="0.2">
      <c r="DY48524" s="185" t="s">
        <v>215</v>
      </c>
    </row>
    <row r="48525" spans="129:129" x14ac:dyDescent="0.2">
      <c r="DY48525" s="185" t="s">
        <v>215</v>
      </c>
    </row>
    <row r="48526" spans="129:129" x14ac:dyDescent="0.2">
      <c r="DY48526" s="185" t="s">
        <v>215</v>
      </c>
    </row>
    <row r="48527" spans="129:129" x14ac:dyDescent="0.2">
      <c r="DY48527" s="185" t="s">
        <v>215</v>
      </c>
    </row>
    <row r="48528" spans="129:129" x14ac:dyDescent="0.2">
      <c r="DY48528" s="185" t="s">
        <v>215</v>
      </c>
    </row>
    <row r="48529" spans="129:129" x14ac:dyDescent="0.2">
      <c r="DY48529" s="185" t="s">
        <v>215</v>
      </c>
    </row>
    <row r="48530" spans="129:129" x14ac:dyDescent="0.2">
      <c r="DY48530" s="185" t="s">
        <v>215</v>
      </c>
    </row>
    <row r="48531" spans="129:129" x14ac:dyDescent="0.2">
      <c r="DY48531" s="185" t="s">
        <v>215</v>
      </c>
    </row>
    <row r="48532" spans="129:129" x14ac:dyDescent="0.2">
      <c r="DY48532" s="185" t="s">
        <v>215</v>
      </c>
    </row>
    <row r="48533" spans="129:129" x14ac:dyDescent="0.2">
      <c r="DY48533" s="185" t="s">
        <v>215</v>
      </c>
    </row>
    <row r="48534" spans="129:129" x14ac:dyDescent="0.2">
      <c r="DY48534" s="185" t="s">
        <v>215</v>
      </c>
    </row>
    <row r="48535" spans="129:129" x14ac:dyDescent="0.2">
      <c r="DY48535" s="185" t="s">
        <v>215</v>
      </c>
    </row>
    <row r="48536" spans="129:129" x14ac:dyDescent="0.2">
      <c r="DY48536" s="185" t="s">
        <v>215</v>
      </c>
    </row>
    <row r="48537" spans="129:129" x14ac:dyDescent="0.2">
      <c r="DY48537" s="185" t="s">
        <v>215</v>
      </c>
    </row>
    <row r="48538" spans="129:129" x14ac:dyDescent="0.2">
      <c r="DY48538" s="185" t="s">
        <v>215</v>
      </c>
    </row>
    <row r="48539" spans="129:129" x14ac:dyDescent="0.2">
      <c r="DY48539" s="185" t="s">
        <v>215</v>
      </c>
    </row>
    <row r="48540" spans="129:129" x14ac:dyDescent="0.2">
      <c r="DY48540" s="185" t="s">
        <v>215</v>
      </c>
    </row>
    <row r="48541" spans="129:129" x14ac:dyDescent="0.2">
      <c r="DY48541" s="185" t="s">
        <v>215</v>
      </c>
    </row>
    <row r="48542" spans="129:129" x14ac:dyDescent="0.2">
      <c r="DY48542" s="185" t="s">
        <v>215</v>
      </c>
    </row>
    <row r="48543" spans="129:129" x14ac:dyDescent="0.2">
      <c r="DY48543" s="185" t="s">
        <v>215</v>
      </c>
    </row>
    <row r="48544" spans="129:129" x14ac:dyDescent="0.2">
      <c r="DY48544" s="185" t="s">
        <v>215</v>
      </c>
    </row>
    <row r="48545" spans="129:129" x14ac:dyDescent="0.2">
      <c r="DY48545" s="185" t="s">
        <v>215</v>
      </c>
    </row>
    <row r="48546" spans="129:129" x14ac:dyDescent="0.2">
      <c r="DY48546" s="185" t="s">
        <v>215</v>
      </c>
    </row>
    <row r="48547" spans="129:129" x14ac:dyDescent="0.2">
      <c r="DY48547" s="185" t="s">
        <v>215</v>
      </c>
    </row>
    <row r="48548" spans="129:129" x14ac:dyDescent="0.2">
      <c r="DY48548" s="185" t="s">
        <v>215</v>
      </c>
    </row>
    <row r="48549" spans="129:129" x14ac:dyDescent="0.2">
      <c r="DY48549" s="185" t="s">
        <v>215</v>
      </c>
    </row>
    <row r="48550" spans="129:129" x14ac:dyDescent="0.2">
      <c r="DY48550" s="185" t="s">
        <v>215</v>
      </c>
    </row>
    <row r="48551" spans="129:129" x14ac:dyDescent="0.2">
      <c r="DY48551" s="185" t="s">
        <v>215</v>
      </c>
    </row>
    <row r="48552" spans="129:129" x14ac:dyDescent="0.2">
      <c r="DY48552" s="185" t="s">
        <v>215</v>
      </c>
    </row>
    <row r="48553" spans="129:129" x14ac:dyDescent="0.2">
      <c r="DY48553" s="185" t="s">
        <v>215</v>
      </c>
    </row>
    <row r="48554" spans="129:129" x14ac:dyDescent="0.2">
      <c r="DY48554" s="185" t="s">
        <v>215</v>
      </c>
    </row>
    <row r="48555" spans="129:129" x14ac:dyDescent="0.2">
      <c r="DY48555" s="185" t="s">
        <v>215</v>
      </c>
    </row>
    <row r="48556" spans="129:129" x14ac:dyDescent="0.2">
      <c r="DY48556" s="185" t="s">
        <v>215</v>
      </c>
    </row>
    <row r="48557" spans="129:129" x14ac:dyDescent="0.2">
      <c r="DY48557" s="185" t="s">
        <v>215</v>
      </c>
    </row>
    <row r="48558" spans="129:129" x14ac:dyDescent="0.2">
      <c r="DY48558" s="185" t="s">
        <v>215</v>
      </c>
    </row>
    <row r="48559" spans="129:129" x14ac:dyDescent="0.2">
      <c r="DY48559" s="185" t="s">
        <v>215</v>
      </c>
    </row>
    <row r="48560" spans="129:129" x14ac:dyDescent="0.2">
      <c r="DY48560" s="185" t="s">
        <v>215</v>
      </c>
    </row>
    <row r="48561" spans="129:129" x14ac:dyDescent="0.2">
      <c r="DY48561" s="185" t="s">
        <v>215</v>
      </c>
    </row>
    <row r="48562" spans="129:129" x14ac:dyDescent="0.2">
      <c r="DY48562" s="185" t="s">
        <v>215</v>
      </c>
    </row>
    <row r="48563" spans="129:129" x14ac:dyDescent="0.2">
      <c r="DY48563" s="185" t="s">
        <v>215</v>
      </c>
    </row>
    <row r="48564" spans="129:129" x14ac:dyDescent="0.2">
      <c r="DY48564" s="185" t="s">
        <v>215</v>
      </c>
    </row>
    <row r="48565" spans="129:129" x14ac:dyDescent="0.2">
      <c r="DY48565" s="185" t="s">
        <v>215</v>
      </c>
    </row>
    <row r="48566" spans="129:129" x14ac:dyDescent="0.2">
      <c r="DY48566" s="185" t="s">
        <v>215</v>
      </c>
    </row>
    <row r="48567" spans="129:129" x14ac:dyDescent="0.2">
      <c r="DY48567" s="185" t="s">
        <v>215</v>
      </c>
    </row>
    <row r="48568" spans="129:129" x14ac:dyDescent="0.2">
      <c r="DY48568" s="185" t="s">
        <v>215</v>
      </c>
    </row>
    <row r="48569" spans="129:129" x14ac:dyDescent="0.2">
      <c r="DY48569" s="185" t="s">
        <v>215</v>
      </c>
    </row>
    <row r="48570" spans="129:129" x14ac:dyDescent="0.2">
      <c r="DY48570" s="185" t="s">
        <v>215</v>
      </c>
    </row>
    <row r="48571" spans="129:129" x14ac:dyDescent="0.2">
      <c r="DY48571" s="185" t="s">
        <v>215</v>
      </c>
    </row>
    <row r="48572" spans="129:129" x14ac:dyDescent="0.2">
      <c r="DY48572" s="185" t="s">
        <v>215</v>
      </c>
    </row>
    <row r="48573" spans="129:129" x14ac:dyDescent="0.2">
      <c r="DY48573" s="185" t="s">
        <v>215</v>
      </c>
    </row>
    <row r="48574" spans="129:129" x14ac:dyDescent="0.2">
      <c r="DY48574" s="185" t="s">
        <v>215</v>
      </c>
    </row>
    <row r="48575" spans="129:129" x14ac:dyDescent="0.2">
      <c r="DY48575" s="185" t="s">
        <v>215</v>
      </c>
    </row>
    <row r="48576" spans="129:129" x14ac:dyDescent="0.2">
      <c r="DY48576" s="185" t="s">
        <v>215</v>
      </c>
    </row>
    <row r="48577" spans="129:129" x14ac:dyDescent="0.2">
      <c r="DY48577" s="185" t="s">
        <v>215</v>
      </c>
    </row>
    <row r="48578" spans="129:129" x14ac:dyDescent="0.2">
      <c r="DY48578" s="185" t="s">
        <v>215</v>
      </c>
    </row>
    <row r="48579" spans="129:129" x14ac:dyDescent="0.2">
      <c r="DY48579" s="185" t="s">
        <v>215</v>
      </c>
    </row>
    <row r="48580" spans="129:129" x14ac:dyDescent="0.2">
      <c r="DY48580" s="185" t="s">
        <v>215</v>
      </c>
    </row>
    <row r="48581" spans="129:129" x14ac:dyDescent="0.2">
      <c r="DY48581" s="185" t="s">
        <v>215</v>
      </c>
    </row>
    <row r="48582" spans="129:129" x14ac:dyDescent="0.2">
      <c r="DY48582" s="185" t="s">
        <v>215</v>
      </c>
    </row>
    <row r="48583" spans="129:129" x14ac:dyDescent="0.2">
      <c r="DY48583" s="185" t="s">
        <v>215</v>
      </c>
    </row>
    <row r="48584" spans="129:129" x14ac:dyDescent="0.2">
      <c r="DY48584" s="185" t="s">
        <v>215</v>
      </c>
    </row>
    <row r="48585" spans="129:129" x14ac:dyDescent="0.2">
      <c r="DY48585" s="185" t="s">
        <v>215</v>
      </c>
    </row>
    <row r="48586" spans="129:129" x14ac:dyDescent="0.2">
      <c r="DY48586" s="185" t="s">
        <v>215</v>
      </c>
    </row>
    <row r="48587" spans="129:129" x14ac:dyDescent="0.2">
      <c r="DY48587" s="185" t="s">
        <v>215</v>
      </c>
    </row>
    <row r="48588" spans="129:129" x14ac:dyDescent="0.2">
      <c r="DY48588" s="185" t="s">
        <v>215</v>
      </c>
    </row>
    <row r="48589" spans="129:129" x14ac:dyDescent="0.2">
      <c r="DY48589" s="185" t="s">
        <v>215</v>
      </c>
    </row>
    <row r="48590" spans="129:129" x14ac:dyDescent="0.2">
      <c r="DY48590" s="185" t="s">
        <v>215</v>
      </c>
    </row>
    <row r="48591" spans="129:129" x14ac:dyDescent="0.2">
      <c r="DY48591" s="185" t="s">
        <v>215</v>
      </c>
    </row>
    <row r="48592" spans="129:129" x14ac:dyDescent="0.2">
      <c r="DY48592" s="185" t="s">
        <v>215</v>
      </c>
    </row>
    <row r="48593" spans="129:129" x14ac:dyDescent="0.2">
      <c r="DY48593" s="185" t="s">
        <v>215</v>
      </c>
    </row>
    <row r="48594" spans="129:129" x14ac:dyDescent="0.2">
      <c r="DY48594" s="185" t="s">
        <v>215</v>
      </c>
    </row>
    <row r="48595" spans="129:129" x14ac:dyDescent="0.2">
      <c r="DY48595" s="185" t="s">
        <v>215</v>
      </c>
    </row>
    <row r="48596" spans="129:129" x14ac:dyDescent="0.2">
      <c r="DY48596" s="185" t="s">
        <v>215</v>
      </c>
    </row>
    <row r="48597" spans="129:129" x14ac:dyDescent="0.2">
      <c r="DY48597" s="185" t="s">
        <v>215</v>
      </c>
    </row>
    <row r="48598" spans="129:129" x14ac:dyDescent="0.2">
      <c r="DY48598" s="185" t="s">
        <v>215</v>
      </c>
    </row>
    <row r="48599" spans="129:129" x14ac:dyDescent="0.2">
      <c r="DY48599" s="185" t="s">
        <v>215</v>
      </c>
    </row>
    <row r="48600" spans="129:129" x14ac:dyDescent="0.2">
      <c r="DY48600" s="185" t="s">
        <v>215</v>
      </c>
    </row>
    <row r="48601" spans="129:129" x14ac:dyDescent="0.2">
      <c r="DY48601" s="185" t="s">
        <v>215</v>
      </c>
    </row>
    <row r="48602" spans="129:129" x14ac:dyDescent="0.2">
      <c r="DY48602" s="185" t="s">
        <v>215</v>
      </c>
    </row>
    <row r="48603" spans="129:129" x14ac:dyDescent="0.2">
      <c r="DY48603" s="185" t="s">
        <v>215</v>
      </c>
    </row>
    <row r="48604" spans="129:129" x14ac:dyDescent="0.2">
      <c r="DY48604" s="185" t="s">
        <v>215</v>
      </c>
    </row>
    <row r="48605" spans="129:129" x14ac:dyDescent="0.2">
      <c r="DY48605" s="185" t="s">
        <v>215</v>
      </c>
    </row>
    <row r="48606" spans="129:129" x14ac:dyDescent="0.2">
      <c r="DY48606" s="185" t="s">
        <v>215</v>
      </c>
    </row>
    <row r="48607" spans="129:129" x14ac:dyDescent="0.2">
      <c r="DY48607" s="185" t="s">
        <v>215</v>
      </c>
    </row>
    <row r="48608" spans="129:129" x14ac:dyDescent="0.2">
      <c r="DY48608" s="185" t="s">
        <v>215</v>
      </c>
    </row>
    <row r="48609" spans="129:129" x14ac:dyDescent="0.2">
      <c r="DY48609" s="185" t="s">
        <v>215</v>
      </c>
    </row>
    <row r="48610" spans="129:129" x14ac:dyDescent="0.2">
      <c r="DY48610" s="185" t="s">
        <v>215</v>
      </c>
    </row>
    <row r="48611" spans="129:129" x14ac:dyDescent="0.2">
      <c r="DY48611" s="185" t="s">
        <v>215</v>
      </c>
    </row>
    <row r="48612" spans="129:129" x14ac:dyDescent="0.2">
      <c r="DY48612" s="185" t="s">
        <v>215</v>
      </c>
    </row>
    <row r="48613" spans="129:129" x14ac:dyDescent="0.2">
      <c r="DY48613" s="185" t="s">
        <v>215</v>
      </c>
    </row>
    <row r="48614" spans="129:129" x14ac:dyDescent="0.2">
      <c r="DY48614" s="185" t="s">
        <v>215</v>
      </c>
    </row>
    <row r="48615" spans="129:129" x14ac:dyDescent="0.2">
      <c r="DY48615" s="185" t="s">
        <v>215</v>
      </c>
    </row>
    <row r="48616" spans="129:129" x14ac:dyDescent="0.2">
      <c r="DY48616" s="185" t="s">
        <v>215</v>
      </c>
    </row>
    <row r="48617" spans="129:129" x14ac:dyDescent="0.2">
      <c r="DY48617" s="185" t="s">
        <v>215</v>
      </c>
    </row>
    <row r="48618" spans="129:129" x14ac:dyDescent="0.2">
      <c r="DY48618" s="185" t="s">
        <v>215</v>
      </c>
    </row>
    <row r="48619" spans="129:129" x14ac:dyDescent="0.2">
      <c r="DY48619" s="185" t="s">
        <v>215</v>
      </c>
    </row>
    <row r="48620" spans="129:129" x14ac:dyDescent="0.2">
      <c r="DY48620" s="185" t="s">
        <v>215</v>
      </c>
    </row>
    <row r="48621" spans="129:129" x14ac:dyDescent="0.2">
      <c r="DY48621" s="185" t="s">
        <v>215</v>
      </c>
    </row>
    <row r="48622" spans="129:129" x14ac:dyDescent="0.2">
      <c r="DY48622" s="185" t="s">
        <v>215</v>
      </c>
    </row>
    <row r="48623" spans="129:129" x14ac:dyDescent="0.2">
      <c r="DY48623" s="185" t="s">
        <v>215</v>
      </c>
    </row>
    <row r="48624" spans="129:129" x14ac:dyDescent="0.2">
      <c r="DY48624" s="185" t="s">
        <v>215</v>
      </c>
    </row>
    <row r="48625" spans="129:129" x14ac:dyDescent="0.2">
      <c r="DY48625" s="185" t="s">
        <v>215</v>
      </c>
    </row>
    <row r="48626" spans="129:129" x14ac:dyDescent="0.2">
      <c r="DY48626" s="185" t="s">
        <v>215</v>
      </c>
    </row>
    <row r="48627" spans="129:129" x14ac:dyDescent="0.2">
      <c r="DY48627" s="185" t="s">
        <v>215</v>
      </c>
    </row>
    <row r="48628" spans="129:129" x14ac:dyDescent="0.2">
      <c r="DY48628" s="185" t="s">
        <v>215</v>
      </c>
    </row>
    <row r="48629" spans="129:129" x14ac:dyDescent="0.2">
      <c r="DY48629" s="185" t="s">
        <v>215</v>
      </c>
    </row>
    <row r="48630" spans="129:129" x14ac:dyDescent="0.2">
      <c r="DY48630" s="185" t="s">
        <v>215</v>
      </c>
    </row>
    <row r="48631" spans="129:129" x14ac:dyDescent="0.2">
      <c r="DY48631" s="185" t="s">
        <v>215</v>
      </c>
    </row>
    <row r="48632" spans="129:129" x14ac:dyDescent="0.2">
      <c r="DY48632" s="185" t="s">
        <v>215</v>
      </c>
    </row>
    <row r="48633" spans="129:129" x14ac:dyDescent="0.2">
      <c r="DY48633" s="185" t="s">
        <v>215</v>
      </c>
    </row>
    <row r="48634" spans="129:129" x14ac:dyDescent="0.2">
      <c r="DY48634" s="185" t="s">
        <v>215</v>
      </c>
    </row>
    <row r="48635" spans="129:129" x14ac:dyDescent="0.2">
      <c r="DY48635" s="185" t="s">
        <v>215</v>
      </c>
    </row>
    <row r="48636" spans="129:129" x14ac:dyDescent="0.2">
      <c r="DY48636" s="185" t="s">
        <v>215</v>
      </c>
    </row>
    <row r="48637" spans="129:129" x14ac:dyDescent="0.2">
      <c r="DY48637" s="185" t="s">
        <v>215</v>
      </c>
    </row>
    <row r="48638" spans="129:129" x14ac:dyDescent="0.2">
      <c r="DY48638" s="185" t="s">
        <v>215</v>
      </c>
    </row>
    <row r="48639" spans="129:129" x14ac:dyDescent="0.2">
      <c r="DY48639" s="185" t="s">
        <v>215</v>
      </c>
    </row>
    <row r="48640" spans="129:129" x14ac:dyDescent="0.2">
      <c r="DY48640" s="185" t="s">
        <v>215</v>
      </c>
    </row>
    <row r="48641" spans="129:129" x14ac:dyDescent="0.2">
      <c r="DY48641" s="185" t="s">
        <v>215</v>
      </c>
    </row>
    <row r="48642" spans="129:129" x14ac:dyDescent="0.2">
      <c r="DY48642" s="185" t="s">
        <v>215</v>
      </c>
    </row>
    <row r="48643" spans="129:129" x14ac:dyDescent="0.2">
      <c r="DY48643" s="185" t="s">
        <v>215</v>
      </c>
    </row>
    <row r="48644" spans="129:129" x14ac:dyDescent="0.2">
      <c r="DY48644" s="185" t="s">
        <v>215</v>
      </c>
    </row>
    <row r="48645" spans="129:129" x14ac:dyDescent="0.2">
      <c r="DY48645" s="185" t="s">
        <v>215</v>
      </c>
    </row>
    <row r="48646" spans="129:129" x14ac:dyDescent="0.2">
      <c r="DY48646" s="185" t="s">
        <v>215</v>
      </c>
    </row>
    <row r="48647" spans="129:129" x14ac:dyDescent="0.2">
      <c r="DY48647" s="185" t="s">
        <v>215</v>
      </c>
    </row>
    <row r="48648" spans="129:129" x14ac:dyDescent="0.2">
      <c r="DY48648" s="185" t="s">
        <v>215</v>
      </c>
    </row>
    <row r="48649" spans="129:129" x14ac:dyDescent="0.2">
      <c r="DY48649" s="185" t="s">
        <v>215</v>
      </c>
    </row>
    <row r="48650" spans="129:129" x14ac:dyDescent="0.2">
      <c r="DY48650" s="185" t="s">
        <v>215</v>
      </c>
    </row>
    <row r="48651" spans="129:129" x14ac:dyDescent="0.2">
      <c r="DY48651" s="185" t="s">
        <v>215</v>
      </c>
    </row>
    <row r="48652" spans="129:129" x14ac:dyDescent="0.2">
      <c r="DY48652" s="185" t="s">
        <v>215</v>
      </c>
    </row>
    <row r="48653" spans="129:129" x14ac:dyDescent="0.2">
      <c r="DY48653" s="185" t="s">
        <v>215</v>
      </c>
    </row>
    <row r="48654" spans="129:129" x14ac:dyDescent="0.2">
      <c r="DY48654" s="185" t="s">
        <v>215</v>
      </c>
    </row>
    <row r="48655" spans="129:129" x14ac:dyDescent="0.2">
      <c r="DY48655" s="185" t="s">
        <v>215</v>
      </c>
    </row>
    <row r="48656" spans="129:129" x14ac:dyDescent="0.2">
      <c r="DY48656" s="185" t="s">
        <v>215</v>
      </c>
    </row>
    <row r="48657" spans="129:129" x14ac:dyDescent="0.2">
      <c r="DY48657" s="185" t="s">
        <v>215</v>
      </c>
    </row>
    <row r="48658" spans="129:129" x14ac:dyDescent="0.2">
      <c r="DY48658" s="185" t="s">
        <v>215</v>
      </c>
    </row>
    <row r="48659" spans="129:129" x14ac:dyDescent="0.2">
      <c r="DY48659" s="185" t="s">
        <v>215</v>
      </c>
    </row>
    <row r="48660" spans="129:129" x14ac:dyDescent="0.2">
      <c r="DY48660" s="185" t="s">
        <v>215</v>
      </c>
    </row>
    <row r="48661" spans="129:129" x14ac:dyDescent="0.2">
      <c r="DY48661" s="185" t="s">
        <v>215</v>
      </c>
    </row>
    <row r="48662" spans="129:129" x14ac:dyDescent="0.2">
      <c r="DY48662" s="185" t="s">
        <v>215</v>
      </c>
    </row>
    <row r="48663" spans="129:129" x14ac:dyDescent="0.2">
      <c r="DY48663" s="185" t="s">
        <v>215</v>
      </c>
    </row>
    <row r="48664" spans="129:129" x14ac:dyDescent="0.2">
      <c r="DY48664" s="185" t="s">
        <v>215</v>
      </c>
    </row>
    <row r="48665" spans="129:129" x14ac:dyDescent="0.2">
      <c r="DY48665" s="185" t="s">
        <v>215</v>
      </c>
    </row>
    <row r="48666" spans="129:129" x14ac:dyDescent="0.2">
      <c r="DY48666" s="185" t="s">
        <v>215</v>
      </c>
    </row>
    <row r="48667" spans="129:129" x14ac:dyDescent="0.2">
      <c r="DY48667" s="185" t="s">
        <v>215</v>
      </c>
    </row>
    <row r="48668" spans="129:129" x14ac:dyDescent="0.2">
      <c r="DY48668" s="185" t="s">
        <v>215</v>
      </c>
    </row>
    <row r="48669" spans="129:129" x14ac:dyDescent="0.2">
      <c r="DY48669" s="185" t="s">
        <v>215</v>
      </c>
    </row>
    <row r="48670" spans="129:129" x14ac:dyDescent="0.2">
      <c r="DY48670" s="185" t="s">
        <v>215</v>
      </c>
    </row>
    <row r="48671" spans="129:129" x14ac:dyDescent="0.2">
      <c r="DY48671" s="185" t="s">
        <v>215</v>
      </c>
    </row>
    <row r="48672" spans="129:129" x14ac:dyDescent="0.2">
      <c r="DY48672" s="185" t="s">
        <v>215</v>
      </c>
    </row>
    <row r="48673" spans="129:129" x14ac:dyDescent="0.2">
      <c r="DY48673" s="185" t="s">
        <v>215</v>
      </c>
    </row>
    <row r="48674" spans="129:129" x14ac:dyDescent="0.2">
      <c r="DY48674" s="185" t="s">
        <v>215</v>
      </c>
    </row>
    <row r="48675" spans="129:129" x14ac:dyDescent="0.2">
      <c r="DY48675" s="185" t="s">
        <v>215</v>
      </c>
    </row>
    <row r="48676" spans="129:129" x14ac:dyDescent="0.2">
      <c r="DY48676" s="185" t="s">
        <v>215</v>
      </c>
    </row>
    <row r="48677" spans="129:129" x14ac:dyDescent="0.2">
      <c r="DY48677" s="185" t="s">
        <v>215</v>
      </c>
    </row>
    <row r="48678" spans="129:129" x14ac:dyDescent="0.2">
      <c r="DY48678" s="185" t="s">
        <v>215</v>
      </c>
    </row>
    <row r="48679" spans="129:129" x14ac:dyDescent="0.2">
      <c r="DY48679" s="185" t="s">
        <v>215</v>
      </c>
    </row>
    <row r="48680" spans="129:129" x14ac:dyDescent="0.2">
      <c r="DY48680" s="185" t="s">
        <v>215</v>
      </c>
    </row>
    <row r="48681" spans="129:129" x14ac:dyDescent="0.2">
      <c r="DY48681" s="185" t="s">
        <v>215</v>
      </c>
    </row>
    <row r="48682" spans="129:129" x14ac:dyDescent="0.2">
      <c r="DY48682" s="185" t="s">
        <v>215</v>
      </c>
    </row>
    <row r="48683" spans="129:129" x14ac:dyDescent="0.2">
      <c r="DY48683" s="185" t="s">
        <v>215</v>
      </c>
    </row>
    <row r="48684" spans="129:129" x14ac:dyDescent="0.2">
      <c r="DY48684" s="185" t="s">
        <v>215</v>
      </c>
    </row>
    <row r="48685" spans="129:129" x14ac:dyDescent="0.2">
      <c r="DY48685" s="185" t="s">
        <v>215</v>
      </c>
    </row>
    <row r="48686" spans="129:129" x14ac:dyDescent="0.2">
      <c r="DY48686" s="185" t="s">
        <v>215</v>
      </c>
    </row>
    <row r="48687" spans="129:129" x14ac:dyDescent="0.2">
      <c r="DY48687" s="185" t="s">
        <v>215</v>
      </c>
    </row>
    <row r="48688" spans="129:129" x14ac:dyDescent="0.2">
      <c r="DY48688" s="185" t="s">
        <v>215</v>
      </c>
    </row>
    <row r="48689" spans="129:129" x14ac:dyDescent="0.2">
      <c r="DY48689" s="185" t="s">
        <v>215</v>
      </c>
    </row>
    <row r="48690" spans="129:129" x14ac:dyDescent="0.2">
      <c r="DY48690" s="185" t="s">
        <v>215</v>
      </c>
    </row>
    <row r="48691" spans="129:129" x14ac:dyDescent="0.2">
      <c r="DY48691" s="185" t="s">
        <v>215</v>
      </c>
    </row>
    <row r="48692" spans="129:129" x14ac:dyDescent="0.2">
      <c r="DY48692" s="185" t="s">
        <v>215</v>
      </c>
    </row>
    <row r="48693" spans="129:129" x14ac:dyDescent="0.2">
      <c r="DY48693" s="185" t="s">
        <v>215</v>
      </c>
    </row>
    <row r="48694" spans="129:129" x14ac:dyDescent="0.2">
      <c r="DY48694" s="185" t="s">
        <v>215</v>
      </c>
    </row>
    <row r="48695" spans="129:129" x14ac:dyDescent="0.2">
      <c r="DY48695" s="185" t="s">
        <v>215</v>
      </c>
    </row>
    <row r="48696" spans="129:129" x14ac:dyDescent="0.2">
      <c r="DY48696" s="185" t="s">
        <v>215</v>
      </c>
    </row>
    <row r="48697" spans="129:129" x14ac:dyDescent="0.2">
      <c r="DY48697" s="185" t="s">
        <v>215</v>
      </c>
    </row>
    <row r="48698" spans="129:129" x14ac:dyDescent="0.2">
      <c r="DY48698" s="185" t="s">
        <v>215</v>
      </c>
    </row>
    <row r="48699" spans="129:129" x14ac:dyDescent="0.2">
      <c r="DY48699" s="185" t="s">
        <v>215</v>
      </c>
    </row>
    <row r="48700" spans="129:129" x14ac:dyDescent="0.2">
      <c r="DY48700" s="185" t="s">
        <v>215</v>
      </c>
    </row>
    <row r="48701" spans="129:129" x14ac:dyDescent="0.2">
      <c r="DY48701" s="185" t="s">
        <v>215</v>
      </c>
    </row>
    <row r="48702" spans="129:129" x14ac:dyDescent="0.2">
      <c r="DY48702" s="185" t="s">
        <v>215</v>
      </c>
    </row>
    <row r="48703" spans="129:129" x14ac:dyDescent="0.2">
      <c r="DY48703" s="185" t="s">
        <v>215</v>
      </c>
    </row>
    <row r="48704" spans="129:129" x14ac:dyDescent="0.2">
      <c r="DY48704" s="185" t="s">
        <v>215</v>
      </c>
    </row>
    <row r="48705" spans="129:129" x14ac:dyDescent="0.2">
      <c r="DY48705" s="185" t="s">
        <v>215</v>
      </c>
    </row>
    <row r="48706" spans="129:129" x14ac:dyDescent="0.2">
      <c r="DY48706" s="185" t="s">
        <v>215</v>
      </c>
    </row>
    <row r="48707" spans="129:129" x14ac:dyDescent="0.2">
      <c r="DY48707" s="185" t="s">
        <v>215</v>
      </c>
    </row>
    <row r="48708" spans="129:129" x14ac:dyDescent="0.2">
      <c r="DY48708" s="185" t="s">
        <v>215</v>
      </c>
    </row>
    <row r="48709" spans="129:129" x14ac:dyDescent="0.2">
      <c r="DY48709" s="185" t="s">
        <v>215</v>
      </c>
    </row>
    <row r="48710" spans="129:129" x14ac:dyDescent="0.2">
      <c r="DY48710" s="185" t="s">
        <v>215</v>
      </c>
    </row>
    <row r="48711" spans="129:129" x14ac:dyDescent="0.2">
      <c r="DY48711" s="185" t="s">
        <v>215</v>
      </c>
    </row>
    <row r="48712" spans="129:129" x14ac:dyDescent="0.2">
      <c r="DY48712" s="185" t="s">
        <v>215</v>
      </c>
    </row>
    <row r="48713" spans="129:129" x14ac:dyDescent="0.2">
      <c r="DY48713" s="185" t="s">
        <v>215</v>
      </c>
    </row>
    <row r="48714" spans="129:129" x14ac:dyDescent="0.2">
      <c r="DY48714" s="185" t="s">
        <v>215</v>
      </c>
    </row>
    <row r="48715" spans="129:129" x14ac:dyDescent="0.2">
      <c r="DY48715" s="185" t="s">
        <v>215</v>
      </c>
    </row>
    <row r="48716" spans="129:129" x14ac:dyDescent="0.2">
      <c r="DY48716" s="185" t="s">
        <v>215</v>
      </c>
    </row>
    <row r="48717" spans="129:129" x14ac:dyDescent="0.2">
      <c r="DY48717" s="185" t="s">
        <v>215</v>
      </c>
    </row>
    <row r="48718" spans="129:129" x14ac:dyDescent="0.2">
      <c r="DY48718" s="185" t="s">
        <v>215</v>
      </c>
    </row>
    <row r="48719" spans="129:129" x14ac:dyDescent="0.2">
      <c r="DY48719" s="185" t="s">
        <v>215</v>
      </c>
    </row>
    <row r="48720" spans="129:129" x14ac:dyDescent="0.2">
      <c r="DY48720" s="185" t="s">
        <v>215</v>
      </c>
    </row>
    <row r="48721" spans="129:129" x14ac:dyDescent="0.2">
      <c r="DY48721" s="185" t="s">
        <v>215</v>
      </c>
    </row>
    <row r="48722" spans="129:129" x14ac:dyDescent="0.2">
      <c r="DY48722" s="185" t="s">
        <v>215</v>
      </c>
    </row>
    <row r="48723" spans="129:129" x14ac:dyDescent="0.2">
      <c r="DY48723" s="185" t="s">
        <v>215</v>
      </c>
    </row>
    <row r="48724" spans="129:129" x14ac:dyDescent="0.2">
      <c r="DY48724" s="185" t="s">
        <v>215</v>
      </c>
    </row>
    <row r="48725" spans="129:129" x14ac:dyDescent="0.2">
      <c r="DY48725" s="185" t="s">
        <v>215</v>
      </c>
    </row>
    <row r="48726" spans="129:129" x14ac:dyDescent="0.2">
      <c r="DY48726" s="185" t="s">
        <v>215</v>
      </c>
    </row>
    <row r="48727" spans="129:129" x14ac:dyDescent="0.2">
      <c r="DY48727" s="185" t="s">
        <v>215</v>
      </c>
    </row>
    <row r="48728" spans="129:129" x14ac:dyDescent="0.2">
      <c r="DY48728" s="185" t="s">
        <v>215</v>
      </c>
    </row>
    <row r="48729" spans="129:129" x14ac:dyDescent="0.2">
      <c r="DY48729" s="185" t="s">
        <v>215</v>
      </c>
    </row>
    <row r="48730" spans="129:129" x14ac:dyDescent="0.2">
      <c r="DY48730" s="185" t="s">
        <v>215</v>
      </c>
    </row>
    <row r="48731" spans="129:129" x14ac:dyDescent="0.2">
      <c r="DY48731" s="185" t="s">
        <v>215</v>
      </c>
    </row>
    <row r="48732" spans="129:129" x14ac:dyDescent="0.2">
      <c r="DY48732" s="185" t="s">
        <v>215</v>
      </c>
    </row>
    <row r="48733" spans="129:129" x14ac:dyDescent="0.2">
      <c r="DY48733" s="185" t="s">
        <v>215</v>
      </c>
    </row>
    <row r="48734" spans="129:129" x14ac:dyDescent="0.2">
      <c r="DY48734" s="185" t="s">
        <v>215</v>
      </c>
    </row>
    <row r="48735" spans="129:129" x14ac:dyDescent="0.2">
      <c r="DY48735" s="185" t="s">
        <v>215</v>
      </c>
    </row>
    <row r="48736" spans="129:129" x14ac:dyDescent="0.2">
      <c r="DY48736" s="185" t="s">
        <v>215</v>
      </c>
    </row>
    <row r="48737" spans="129:129" x14ac:dyDescent="0.2">
      <c r="DY48737" s="185" t="s">
        <v>215</v>
      </c>
    </row>
    <row r="48738" spans="129:129" x14ac:dyDescent="0.2">
      <c r="DY48738" s="185" t="s">
        <v>215</v>
      </c>
    </row>
    <row r="48739" spans="129:129" x14ac:dyDescent="0.2">
      <c r="DY48739" s="185" t="s">
        <v>215</v>
      </c>
    </row>
    <row r="48740" spans="129:129" x14ac:dyDescent="0.2">
      <c r="DY48740" s="185" t="s">
        <v>215</v>
      </c>
    </row>
    <row r="48741" spans="129:129" x14ac:dyDescent="0.2">
      <c r="DY48741" s="185" t="s">
        <v>215</v>
      </c>
    </row>
    <row r="48742" spans="129:129" x14ac:dyDescent="0.2">
      <c r="DY48742" s="185" t="s">
        <v>215</v>
      </c>
    </row>
    <row r="48743" spans="129:129" x14ac:dyDescent="0.2">
      <c r="DY48743" s="185" t="s">
        <v>215</v>
      </c>
    </row>
    <row r="48744" spans="129:129" x14ac:dyDescent="0.2">
      <c r="DY48744" s="185" t="s">
        <v>215</v>
      </c>
    </row>
    <row r="48745" spans="129:129" x14ac:dyDescent="0.2">
      <c r="DY48745" s="185" t="s">
        <v>215</v>
      </c>
    </row>
    <row r="48746" spans="129:129" x14ac:dyDescent="0.2">
      <c r="DY48746" s="185" t="s">
        <v>215</v>
      </c>
    </row>
    <row r="48747" spans="129:129" x14ac:dyDescent="0.2">
      <c r="DY48747" s="185" t="s">
        <v>215</v>
      </c>
    </row>
    <row r="48748" spans="129:129" x14ac:dyDescent="0.2">
      <c r="DY48748" s="185" t="s">
        <v>215</v>
      </c>
    </row>
    <row r="48749" spans="129:129" x14ac:dyDescent="0.2">
      <c r="DY48749" s="185" t="s">
        <v>215</v>
      </c>
    </row>
    <row r="48750" spans="129:129" x14ac:dyDescent="0.2">
      <c r="DY48750" s="185" t="s">
        <v>215</v>
      </c>
    </row>
    <row r="48751" spans="129:129" x14ac:dyDescent="0.2">
      <c r="DY48751" s="185" t="s">
        <v>215</v>
      </c>
    </row>
    <row r="48752" spans="129:129" x14ac:dyDescent="0.2">
      <c r="DY48752" s="185" t="s">
        <v>215</v>
      </c>
    </row>
    <row r="48753" spans="129:129" x14ac:dyDescent="0.2">
      <c r="DY48753" s="185" t="s">
        <v>215</v>
      </c>
    </row>
    <row r="48754" spans="129:129" x14ac:dyDescent="0.2">
      <c r="DY48754" s="185" t="s">
        <v>215</v>
      </c>
    </row>
    <row r="48755" spans="129:129" x14ac:dyDescent="0.2">
      <c r="DY48755" s="185" t="s">
        <v>215</v>
      </c>
    </row>
    <row r="48756" spans="129:129" x14ac:dyDescent="0.2">
      <c r="DY48756" s="185" t="s">
        <v>215</v>
      </c>
    </row>
    <row r="48757" spans="129:129" x14ac:dyDescent="0.2">
      <c r="DY48757" s="185" t="s">
        <v>215</v>
      </c>
    </row>
    <row r="48758" spans="129:129" x14ac:dyDescent="0.2">
      <c r="DY48758" s="185" t="s">
        <v>215</v>
      </c>
    </row>
    <row r="48759" spans="129:129" x14ac:dyDescent="0.2">
      <c r="DY48759" s="185" t="s">
        <v>215</v>
      </c>
    </row>
    <row r="48760" spans="129:129" x14ac:dyDescent="0.2">
      <c r="DY48760" s="185" t="s">
        <v>215</v>
      </c>
    </row>
    <row r="48761" spans="129:129" x14ac:dyDescent="0.2">
      <c r="DY48761" s="185" t="s">
        <v>215</v>
      </c>
    </row>
    <row r="48762" spans="129:129" x14ac:dyDescent="0.2">
      <c r="DY48762" s="185" t="s">
        <v>215</v>
      </c>
    </row>
    <row r="48763" spans="129:129" x14ac:dyDescent="0.2">
      <c r="DY48763" s="185" t="s">
        <v>215</v>
      </c>
    </row>
    <row r="48764" spans="129:129" x14ac:dyDescent="0.2">
      <c r="DY48764" s="185" t="s">
        <v>215</v>
      </c>
    </row>
    <row r="48765" spans="129:129" x14ac:dyDescent="0.2">
      <c r="DY48765" s="185" t="s">
        <v>215</v>
      </c>
    </row>
    <row r="48766" spans="129:129" x14ac:dyDescent="0.2">
      <c r="DY48766" s="185" t="s">
        <v>215</v>
      </c>
    </row>
    <row r="48767" spans="129:129" x14ac:dyDescent="0.2">
      <c r="DY48767" s="185" t="s">
        <v>215</v>
      </c>
    </row>
    <row r="48768" spans="129:129" x14ac:dyDescent="0.2">
      <c r="DY48768" s="185" t="s">
        <v>215</v>
      </c>
    </row>
    <row r="48769" spans="129:129" x14ac:dyDescent="0.2">
      <c r="DY48769" s="185" t="s">
        <v>215</v>
      </c>
    </row>
    <row r="48770" spans="129:129" x14ac:dyDescent="0.2">
      <c r="DY48770" s="185" t="s">
        <v>215</v>
      </c>
    </row>
    <row r="48771" spans="129:129" x14ac:dyDescent="0.2">
      <c r="DY48771" s="185" t="s">
        <v>215</v>
      </c>
    </row>
    <row r="48772" spans="129:129" x14ac:dyDescent="0.2">
      <c r="DY48772" s="185" t="s">
        <v>215</v>
      </c>
    </row>
    <row r="48773" spans="129:129" x14ac:dyDescent="0.2">
      <c r="DY48773" s="185" t="s">
        <v>215</v>
      </c>
    </row>
    <row r="48774" spans="129:129" x14ac:dyDescent="0.2">
      <c r="DY48774" s="185" t="s">
        <v>215</v>
      </c>
    </row>
    <row r="48775" spans="129:129" x14ac:dyDescent="0.2">
      <c r="DY48775" s="185" t="s">
        <v>215</v>
      </c>
    </row>
    <row r="48776" spans="129:129" x14ac:dyDescent="0.2">
      <c r="DY48776" s="185" t="s">
        <v>215</v>
      </c>
    </row>
    <row r="48777" spans="129:129" x14ac:dyDescent="0.2">
      <c r="DY48777" s="185" t="s">
        <v>215</v>
      </c>
    </row>
    <row r="48778" spans="129:129" x14ac:dyDescent="0.2">
      <c r="DY48778" s="185" t="s">
        <v>215</v>
      </c>
    </row>
    <row r="48779" spans="129:129" x14ac:dyDescent="0.2">
      <c r="DY48779" s="185" t="s">
        <v>215</v>
      </c>
    </row>
    <row r="48780" spans="129:129" x14ac:dyDescent="0.2">
      <c r="DY48780" s="185" t="s">
        <v>215</v>
      </c>
    </row>
    <row r="48781" spans="129:129" x14ac:dyDescent="0.2">
      <c r="DY48781" s="185" t="s">
        <v>215</v>
      </c>
    </row>
    <row r="48782" spans="129:129" x14ac:dyDescent="0.2">
      <c r="DY48782" s="185" t="s">
        <v>215</v>
      </c>
    </row>
    <row r="48783" spans="129:129" x14ac:dyDescent="0.2">
      <c r="DY48783" s="185" t="s">
        <v>215</v>
      </c>
    </row>
    <row r="48784" spans="129:129" x14ac:dyDescent="0.2">
      <c r="DY48784" s="185" t="s">
        <v>215</v>
      </c>
    </row>
    <row r="48785" spans="129:129" x14ac:dyDescent="0.2">
      <c r="DY48785" s="185" t="s">
        <v>215</v>
      </c>
    </row>
    <row r="48786" spans="129:129" x14ac:dyDescent="0.2">
      <c r="DY48786" s="185" t="s">
        <v>215</v>
      </c>
    </row>
    <row r="48787" spans="129:129" x14ac:dyDescent="0.2">
      <c r="DY48787" s="185" t="s">
        <v>215</v>
      </c>
    </row>
    <row r="48788" spans="129:129" x14ac:dyDescent="0.2">
      <c r="DY48788" s="185" t="s">
        <v>215</v>
      </c>
    </row>
    <row r="48789" spans="129:129" x14ac:dyDescent="0.2">
      <c r="DY48789" s="185" t="s">
        <v>215</v>
      </c>
    </row>
    <row r="48790" spans="129:129" x14ac:dyDescent="0.2">
      <c r="DY48790" s="185" t="s">
        <v>215</v>
      </c>
    </row>
    <row r="48791" spans="129:129" x14ac:dyDescent="0.2">
      <c r="DY48791" s="185" t="s">
        <v>215</v>
      </c>
    </row>
    <row r="48792" spans="129:129" x14ac:dyDescent="0.2">
      <c r="DY48792" s="185" t="s">
        <v>215</v>
      </c>
    </row>
    <row r="48793" spans="129:129" x14ac:dyDescent="0.2">
      <c r="DY48793" s="185" t="s">
        <v>215</v>
      </c>
    </row>
    <row r="48794" spans="129:129" x14ac:dyDescent="0.2">
      <c r="DY48794" s="185" t="s">
        <v>215</v>
      </c>
    </row>
    <row r="48795" spans="129:129" x14ac:dyDescent="0.2">
      <c r="DY48795" s="185" t="s">
        <v>215</v>
      </c>
    </row>
    <row r="48796" spans="129:129" x14ac:dyDescent="0.2">
      <c r="DY48796" s="185" t="s">
        <v>215</v>
      </c>
    </row>
    <row r="48797" spans="129:129" x14ac:dyDescent="0.2">
      <c r="DY48797" s="185" t="s">
        <v>215</v>
      </c>
    </row>
    <row r="48798" spans="129:129" x14ac:dyDescent="0.2">
      <c r="DY48798" s="185" t="s">
        <v>215</v>
      </c>
    </row>
    <row r="48799" spans="129:129" x14ac:dyDescent="0.2">
      <c r="DY48799" s="185" t="s">
        <v>215</v>
      </c>
    </row>
    <row r="48800" spans="129:129" x14ac:dyDescent="0.2">
      <c r="DY48800" s="185" t="s">
        <v>215</v>
      </c>
    </row>
    <row r="48801" spans="129:129" x14ac:dyDescent="0.2">
      <c r="DY48801" s="185" t="s">
        <v>215</v>
      </c>
    </row>
    <row r="48802" spans="129:129" x14ac:dyDescent="0.2">
      <c r="DY48802" s="185" t="s">
        <v>215</v>
      </c>
    </row>
    <row r="48803" spans="129:129" x14ac:dyDescent="0.2">
      <c r="DY48803" s="185" t="s">
        <v>215</v>
      </c>
    </row>
    <row r="48804" spans="129:129" x14ac:dyDescent="0.2">
      <c r="DY48804" s="185" t="s">
        <v>215</v>
      </c>
    </row>
    <row r="48805" spans="129:129" x14ac:dyDescent="0.2">
      <c r="DY48805" s="185" t="s">
        <v>215</v>
      </c>
    </row>
    <row r="48806" spans="129:129" x14ac:dyDescent="0.2">
      <c r="DY48806" s="185" t="s">
        <v>215</v>
      </c>
    </row>
    <row r="48807" spans="129:129" x14ac:dyDescent="0.2">
      <c r="DY48807" s="185" t="s">
        <v>215</v>
      </c>
    </row>
    <row r="48808" spans="129:129" x14ac:dyDescent="0.2">
      <c r="DY48808" s="185" t="s">
        <v>215</v>
      </c>
    </row>
    <row r="48809" spans="129:129" x14ac:dyDescent="0.2">
      <c r="DY48809" s="185" t="s">
        <v>215</v>
      </c>
    </row>
    <row r="48810" spans="129:129" x14ac:dyDescent="0.2">
      <c r="DY48810" s="185" t="s">
        <v>215</v>
      </c>
    </row>
    <row r="48811" spans="129:129" x14ac:dyDescent="0.2">
      <c r="DY48811" s="185" t="s">
        <v>215</v>
      </c>
    </row>
    <row r="48812" spans="129:129" x14ac:dyDescent="0.2">
      <c r="DY48812" s="185" t="s">
        <v>215</v>
      </c>
    </row>
    <row r="48813" spans="129:129" x14ac:dyDescent="0.2">
      <c r="DY48813" s="185" t="s">
        <v>215</v>
      </c>
    </row>
    <row r="48814" spans="129:129" x14ac:dyDescent="0.2">
      <c r="DY48814" s="185" t="s">
        <v>215</v>
      </c>
    </row>
    <row r="48815" spans="129:129" x14ac:dyDescent="0.2">
      <c r="DY48815" s="185" t="s">
        <v>215</v>
      </c>
    </row>
    <row r="48816" spans="129:129" x14ac:dyDescent="0.2">
      <c r="DY48816" s="185" t="s">
        <v>215</v>
      </c>
    </row>
    <row r="48817" spans="129:129" x14ac:dyDescent="0.2">
      <c r="DY48817" s="185" t="s">
        <v>215</v>
      </c>
    </row>
    <row r="48818" spans="129:129" x14ac:dyDescent="0.2">
      <c r="DY48818" s="185" t="s">
        <v>215</v>
      </c>
    </row>
    <row r="48819" spans="129:129" x14ac:dyDescent="0.2">
      <c r="DY48819" s="185" t="s">
        <v>215</v>
      </c>
    </row>
    <row r="48820" spans="129:129" x14ac:dyDescent="0.2">
      <c r="DY48820" s="185" t="s">
        <v>215</v>
      </c>
    </row>
    <row r="48821" spans="129:129" x14ac:dyDescent="0.2">
      <c r="DY48821" s="185" t="s">
        <v>215</v>
      </c>
    </row>
    <row r="48822" spans="129:129" x14ac:dyDescent="0.2">
      <c r="DY48822" s="185" t="s">
        <v>215</v>
      </c>
    </row>
    <row r="48823" spans="129:129" x14ac:dyDescent="0.2">
      <c r="DY48823" s="185" t="s">
        <v>215</v>
      </c>
    </row>
    <row r="48824" spans="129:129" x14ac:dyDescent="0.2">
      <c r="DY48824" s="185" t="s">
        <v>215</v>
      </c>
    </row>
    <row r="48825" spans="129:129" x14ac:dyDescent="0.2">
      <c r="DY48825" s="185" t="s">
        <v>215</v>
      </c>
    </row>
    <row r="48826" spans="129:129" x14ac:dyDescent="0.2">
      <c r="DY48826" s="185" t="s">
        <v>215</v>
      </c>
    </row>
    <row r="48827" spans="129:129" x14ac:dyDescent="0.2">
      <c r="DY48827" s="185" t="s">
        <v>215</v>
      </c>
    </row>
    <row r="48828" spans="129:129" x14ac:dyDescent="0.2">
      <c r="DY48828" s="185" t="s">
        <v>215</v>
      </c>
    </row>
    <row r="48829" spans="129:129" x14ac:dyDescent="0.2">
      <c r="DY48829" s="185" t="s">
        <v>215</v>
      </c>
    </row>
    <row r="48830" spans="129:129" x14ac:dyDescent="0.2">
      <c r="DY48830" s="185" t="s">
        <v>215</v>
      </c>
    </row>
    <row r="48831" spans="129:129" x14ac:dyDescent="0.2">
      <c r="DY48831" s="185" t="s">
        <v>215</v>
      </c>
    </row>
    <row r="48832" spans="129:129" x14ac:dyDescent="0.2">
      <c r="DY48832" s="185" t="s">
        <v>215</v>
      </c>
    </row>
    <row r="48833" spans="129:129" x14ac:dyDescent="0.2">
      <c r="DY48833" s="185" t="s">
        <v>215</v>
      </c>
    </row>
    <row r="48834" spans="129:129" x14ac:dyDescent="0.2">
      <c r="DY48834" s="185" t="s">
        <v>215</v>
      </c>
    </row>
    <row r="48835" spans="129:129" x14ac:dyDescent="0.2">
      <c r="DY48835" s="185" t="s">
        <v>215</v>
      </c>
    </row>
    <row r="48836" spans="129:129" x14ac:dyDescent="0.2">
      <c r="DY48836" s="185" t="s">
        <v>215</v>
      </c>
    </row>
    <row r="48837" spans="129:129" x14ac:dyDescent="0.2">
      <c r="DY48837" s="185" t="s">
        <v>215</v>
      </c>
    </row>
    <row r="48838" spans="129:129" x14ac:dyDescent="0.2">
      <c r="DY48838" s="185" t="s">
        <v>215</v>
      </c>
    </row>
    <row r="48839" spans="129:129" x14ac:dyDescent="0.2">
      <c r="DY48839" s="185" t="s">
        <v>215</v>
      </c>
    </row>
    <row r="48840" spans="129:129" x14ac:dyDescent="0.2">
      <c r="DY48840" s="185" t="s">
        <v>215</v>
      </c>
    </row>
    <row r="48841" spans="129:129" x14ac:dyDescent="0.2">
      <c r="DY48841" s="185" t="s">
        <v>215</v>
      </c>
    </row>
    <row r="48842" spans="129:129" x14ac:dyDescent="0.2">
      <c r="DY48842" s="185" t="s">
        <v>215</v>
      </c>
    </row>
    <row r="48843" spans="129:129" x14ac:dyDescent="0.2">
      <c r="DY48843" s="185" t="s">
        <v>215</v>
      </c>
    </row>
    <row r="48844" spans="129:129" x14ac:dyDescent="0.2">
      <c r="DY48844" s="185" t="s">
        <v>215</v>
      </c>
    </row>
    <row r="48845" spans="129:129" x14ac:dyDescent="0.2">
      <c r="DY48845" s="185" t="s">
        <v>215</v>
      </c>
    </row>
    <row r="48846" spans="129:129" x14ac:dyDescent="0.2">
      <c r="DY48846" s="185" t="s">
        <v>215</v>
      </c>
    </row>
    <row r="48847" spans="129:129" x14ac:dyDescent="0.2">
      <c r="DY48847" s="185" t="s">
        <v>215</v>
      </c>
    </row>
    <row r="48848" spans="129:129" x14ac:dyDescent="0.2">
      <c r="DY48848" s="185" t="s">
        <v>215</v>
      </c>
    </row>
    <row r="48849" spans="129:129" x14ac:dyDescent="0.2">
      <c r="DY48849" s="185" t="s">
        <v>215</v>
      </c>
    </row>
    <row r="48850" spans="129:129" x14ac:dyDescent="0.2">
      <c r="DY48850" s="185" t="s">
        <v>215</v>
      </c>
    </row>
    <row r="48851" spans="129:129" x14ac:dyDescent="0.2">
      <c r="DY48851" s="185" t="s">
        <v>215</v>
      </c>
    </row>
    <row r="48852" spans="129:129" x14ac:dyDescent="0.2">
      <c r="DY48852" s="185" t="s">
        <v>215</v>
      </c>
    </row>
    <row r="48853" spans="129:129" x14ac:dyDescent="0.2">
      <c r="DY48853" s="185" t="s">
        <v>215</v>
      </c>
    </row>
    <row r="48854" spans="129:129" x14ac:dyDescent="0.2">
      <c r="DY48854" s="185" t="s">
        <v>215</v>
      </c>
    </row>
    <row r="48855" spans="129:129" x14ac:dyDescent="0.2">
      <c r="DY48855" s="185" t="s">
        <v>215</v>
      </c>
    </row>
    <row r="48856" spans="129:129" x14ac:dyDescent="0.2">
      <c r="DY48856" s="185" t="s">
        <v>215</v>
      </c>
    </row>
    <row r="48857" spans="129:129" x14ac:dyDescent="0.2">
      <c r="DY48857" s="185" t="s">
        <v>215</v>
      </c>
    </row>
    <row r="48858" spans="129:129" x14ac:dyDescent="0.2">
      <c r="DY48858" s="185" t="s">
        <v>215</v>
      </c>
    </row>
    <row r="48859" spans="129:129" x14ac:dyDescent="0.2">
      <c r="DY48859" s="185" t="s">
        <v>215</v>
      </c>
    </row>
    <row r="48860" spans="129:129" x14ac:dyDescent="0.2">
      <c r="DY48860" s="185" t="s">
        <v>215</v>
      </c>
    </row>
    <row r="48861" spans="129:129" x14ac:dyDescent="0.2">
      <c r="DY48861" s="185" t="s">
        <v>215</v>
      </c>
    </row>
    <row r="48862" spans="129:129" x14ac:dyDescent="0.2">
      <c r="DY48862" s="185" t="s">
        <v>215</v>
      </c>
    </row>
    <row r="48863" spans="129:129" x14ac:dyDescent="0.2">
      <c r="DY48863" s="185" t="s">
        <v>215</v>
      </c>
    </row>
    <row r="48864" spans="129:129" x14ac:dyDescent="0.2">
      <c r="DY48864" s="185" t="s">
        <v>215</v>
      </c>
    </row>
    <row r="48865" spans="129:129" x14ac:dyDescent="0.2">
      <c r="DY48865" s="185" t="s">
        <v>215</v>
      </c>
    </row>
    <row r="48866" spans="129:129" x14ac:dyDescent="0.2">
      <c r="DY48866" s="185" t="s">
        <v>215</v>
      </c>
    </row>
    <row r="48867" spans="129:129" x14ac:dyDescent="0.2">
      <c r="DY48867" s="185" t="s">
        <v>215</v>
      </c>
    </row>
    <row r="48868" spans="129:129" x14ac:dyDescent="0.2">
      <c r="DY48868" s="185" t="s">
        <v>215</v>
      </c>
    </row>
    <row r="48869" spans="129:129" x14ac:dyDescent="0.2">
      <c r="DY48869" s="185" t="s">
        <v>215</v>
      </c>
    </row>
    <row r="48870" spans="129:129" x14ac:dyDescent="0.2">
      <c r="DY48870" s="185" t="s">
        <v>215</v>
      </c>
    </row>
    <row r="48871" spans="129:129" x14ac:dyDescent="0.2">
      <c r="DY48871" s="185" t="s">
        <v>215</v>
      </c>
    </row>
    <row r="48872" spans="129:129" x14ac:dyDescent="0.2">
      <c r="DY48872" s="185" t="s">
        <v>215</v>
      </c>
    </row>
    <row r="48873" spans="129:129" x14ac:dyDescent="0.2">
      <c r="DY48873" s="185" t="s">
        <v>215</v>
      </c>
    </row>
    <row r="48874" spans="129:129" x14ac:dyDescent="0.2">
      <c r="DY48874" s="185" t="s">
        <v>215</v>
      </c>
    </row>
    <row r="48875" spans="129:129" x14ac:dyDescent="0.2">
      <c r="DY48875" s="185" t="s">
        <v>215</v>
      </c>
    </row>
    <row r="48876" spans="129:129" x14ac:dyDescent="0.2">
      <c r="DY48876" s="185" t="s">
        <v>215</v>
      </c>
    </row>
    <row r="48877" spans="129:129" x14ac:dyDescent="0.2">
      <c r="DY48877" s="185" t="s">
        <v>215</v>
      </c>
    </row>
    <row r="48878" spans="129:129" x14ac:dyDescent="0.2">
      <c r="DY48878" s="185" t="s">
        <v>215</v>
      </c>
    </row>
    <row r="48879" spans="129:129" x14ac:dyDescent="0.2">
      <c r="DY48879" s="185" t="s">
        <v>215</v>
      </c>
    </row>
    <row r="48880" spans="129:129" x14ac:dyDescent="0.2">
      <c r="DY48880" s="185" t="s">
        <v>215</v>
      </c>
    </row>
    <row r="48881" spans="129:129" x14ac:dyDescent="0.2">
      <c r="DY48881" s="185" t="s">
        <v>215</v>
      </c>
    </row>
    <row r="48882" spans="129:129" x14ac:dyDescent="0.2">
      <c r="DY48882" s="185" t="s">
        <v>215</v>
      </c>
    </row>
    <row r="48883" spans="129:129" x14ac:dyDescent="0.2">
      <c r="DY48883" s="185" t="s">
        <v>215</v>
      </c>
    </row>
    <row r="48884" spans="129:129" x14ac:dyDescent="0.2">
      <c r="DY48884" s="185" t="s">
        <v>215</v>
      </c>
    </row>
    <row r="48885" spans="129:129" x14ac:dyDescent="0.2">
      <c r="DY48885" s="185" t="s">
        <v>215</v>
      </c>
    </row>
    <row r="48886" spans="129:129" x14ac:dyDescent="0.2">
      <c r="DY48886" s="185" t="s">
        <v>215</v>
      </c>
    </row>
    <row r="48887" spans="129:129" x14ac:dyDescent="0.2">
      <c r="DY48887" s="185" t="s">
        <v>215</v>
      </c>
    </row>
    <row r="48888" spans="129:129" x14ac:dyDescent="0.2">
      <c r="DY48888" s="185" t="s">
        <v>215</v>
      </c>
    </row>
    <row r="48889" spans="129:129" x14ac:dyDescent="0.2">
      <c r="DY48889" s="185" t="s">
        <v>215</v>
      </c>
    </row>
    <row r="48890" spans="129:129" x14ac:dyDescent="0.2">
      <c r="DY48890" s="185" t="s">
        <v>215</v>
      </c>
    </row>
    <row r="48891" spans="129:129" x14ac:dyDescent="0.2">
      <c r="DY48891" s="185" t="s">
        <v>215</v>
      </c>
    </row>
    <row r="48892" spans="129:129" x14ac:dyDescent="0.2">
      <c r="DY48892" s="185" t="s">
        <v>215</v>
      </c>
    </row>
    <row r="48893" spans="129:129" x14ac:dyDescent="0.2">
      <c r="DY48893" s="185" t="s">
        <v>215</v>
      </c>
    </row>
    <row r="48894" spans="129:129" x14ac:dyDescent="0.2">
      <c r="DY48894" s="185" t="s">
        <v>215</v>
      </c>
    </row>
    <row r="48895" spans="129:129" x14ac:dyDescent="0.2">
      <c r="DY48895" s="185" t="s">
        <v>215</v>
      </c>
    </row>
    <row r="48896" spans="129:129" x14ac:dyDescent="0.2">
      <c r="DY48896" s="185" t="s">
        <v>215</v>
      </c>
    </row>
    <row r="48897" spans="129:129" x14ac:dyDescent="0.2">
      <c r="DY48897" s="185" t="s">
        <v>215</v>
      </c>
    </row>
    <row r="48898" spans="129:129" x14ac:dyDescent="0.2">
      <c r="DY48898" s="185" t="s">
        <v>215</v>
      </c>
    </row>
    <row r="48899" spans="129:129" x14ac:dyDescent="0.2">
      <c r="DY48899" s="185" t="s">
        <v>215</v>
      </c>
    </row>
    <row r="48900" spans="129:129" x14ac:dyDescent="0.2">
      <c r="DY48900" s="185" t="s">
        <v>215</v>
      </c>
    </row>
    <row r="48901" spans="129:129" x14ac:dyDescent="0.2">
      <c r="DY48901" s="185" t="s">
        <v>215</v>
      </c>
    </row>
    <row r="48902" spans="129:129" x14ac:dyDescent="0.2">
      <c r="DY48902" s="185" t="s">
        <v>215</v>
      </c>
    </row>
    <row r="48903" spans="129:129" x14ac:dyDescent="0.2">
      <c r="DY48903" s="185" t="s">
        <v>215</v>
      </c>
    </row>
    <row r="48904" spans="129:129" x14ac:dyDescent="0.2">
      <c r="DY48904" s="185" t="s">
        <v>215</v>
      </c>
    </row>
    <row r="48905" spans="129:129" x14ac:dyDescent="0.2">
      <c r="DY48905" s="185" t="s">
        <v>215</v>
      </c>
    </row>
    <row r="48906" spans="129:129" x14ac:dyDescent="0.2">
      <c r="DY48906" s="185" t="s">
        <v>215</v>
      </c>
    </row>
    <row r="48907" spans="129:129" x14ac:dyDescent="0.2">
      <c r="DY48907" s="185" t="s">
        <v>215</v>
      </c>
    </row>
    <row r="48908" spans="129:129" x14ac:dyDescent="0.2">
      <c r="DY48908" s="185" t="s">
        <v>215</v>
      </c>
    </row>
    <row r="48909" spans="129:129" x14ac:dyDescent="0.2">
      <c r="DY48909" s="185" t="s">
        <v>215</v>
      </c>
    </row>
    <row r="48910" spans="129:129" x14ac:dyDescent="0.2">
      <c r="DY48910" s="185" t="s">
        <v>215</v>
      </c>
    </row>
    <row r="48911" spans="129:129" x14ac:dyDescent="0.2">
      <c r="DY48911" s="185" t="s">
        <v>215</v>
      </c>
    </row>
    <row r="48912" spans="129:129" x14ac:dyDescent="0.2">
      <c r="DY48912" s="185" t="s">
        <v>215</v>
      </c>
    </row>
    <row r="48913" spans="129:129" x14ac:dyDescent="0.2">
      <c r="DY48913" s="185" t="s">
        <v>215</v>
      </c>
    </row>
    <row r="48914" spans="129:129" x14ac:dyDescent="0.2">
      <c r="DY48914" s="185" t="s">
        <v>215</v>
      </c>
    </row>
    <row r="48915" spans="129:129" x14ac:dyDescent="0.2">
      <c r="DY48915" s="185" t="s">
        <v>215</v>
      </c>
    </row>
    <row r="48916" spans="129:129" x14ac:dyDescent="0.2">
      <c r="DY48916" s="185" t="s">
        <v>215</v>
      </c>
    </row>
    <row r="48917" spans="129:129" x14ac:dyDescent="0.2">
      <c r="DY48917" s="185" t="s">
        <v>215</v>
      </c>
    </row>
    <row r="48918" spans="129:129" x14ac:dyDescent="0.2">
      <c r="DY48918" s="185" t="s">
        <v>215</v>
      </c>
    </row>
    <row r="48919" spans="129:129" x14ac:dyDescent="0.2">
      <c r="DY48919" s="185" t="s">
        <v>215</v>
      </c>
    </row>
    <row r="48920" spans="129:129" x14ac:dyDescent="0.2">
      <c r="DY48920" s="185" t="s">
        <v>215</v>
      </c>
    </row>
    <row r="48921" spans="129:129" x14ac:dyDescent="0.2">
      <c r="DY48921" s="185" t="s">
        <v>215</v>
      </c>
    </row>
    <row r="48922" spans="129:129" x14ac:dyDescent="0.2">
      <c r="DY48922" s="185" t="s">
        <v>215</v>
      </c>
    </row>
    <row r="48923" spans="129:129" x14ac:dyDescent="0.2">
      <c r="DY48923" s="185" t="s">
        <v>215</v>
      </c>
    </row>
    <row r="48924" spans="129:129" x14ac:dyDescent="0.2">
      <c r="DY48924" s="185" t="s">
        <v>215</v>
      </c>
    </row>
    <row r="48925" spans="129:129" x14ac:dyDescent="0.2">
      <c r="DY48925" s="185" t="s">
        <v>215</v>
      </c>
    </row>
    <row r="48926" spans="129:129" x14ac:dyDescent="0.2">
      <c r="DY48926" s="185" t="s">
        <v>215</v>
      </c>
    </row>
    <row r="48927" spans="129:129" x14ac:dyDescent="0.2">
      <c r="DY48927" s="185" t="s">
        <v>215</v>
      </c>
    </row>
    <row r="48928" spans="129:129" x14ac:dyDescent="0.2">
      <c r="DY48928" s="185" t="s">
        <v>215</v>
      </c>
    </row>
    <row r="48929" spans="129:129" x14ac:dyDescent="0.2">
      <c r="DY48929" s="185" t="s">
        <v>215</v>
      </c>
    </row>
    <row r="48930" spans="129:129" x14ac:dyDescent="0.2">
      <c r="DY48930" s="185" t="s">
        <v>215</v>
      </c>
    </row>
    <row r="48931" spans="129:129" x14ac:dyDescent="0.2">
      <c r="DY48931" s="185" t="s">
        <v>215</v>
      </c>
    </row>
    <row r="48932" spans="129:129" x14ac:dyDescent="0.2">
      <c r="DY48932" s="185" t="s">
        <v>215</v>
      </c>
    </row>
    <row r="48933" spans="129:129" x14ac:dyDescent="0.2">
      <c r="DY48933" s="185" t="s">
        <v>215</v>
      </c>
    </row>
    <row r="48934" spans="129:129" x14ac:dyDescent="0.2">
      <c r="DY48934" s="185" t="s">
        <v>215</v>
      </c>
    </row>
    <row r="48935" spans="129:129" x14ac:dyDescent="0.2">
      <c r="DY48935" s="185" t="s">
        <v>215</v>
      </c>
    </row>
    <row r="48936" spans="129:129" x14ac:dyDescent="0.2">
      <c r="DY48936" s="185" t="s">
        <v>215</v>
      </c>
    </row>
    <row r="48937" spans="129:129" x14ac:dyDescent="0.2">
      <c r="DY48937" s="185" t="s">
        <v>215</v>
      </c>
    </row>
    <row r="48938" spans="129:129" x14ac:dyDescent="0.2">
      <c r="DY48938" s="185" t="s">
        <v>215</v>
      </c>
    </row>
    <row r="48939" spans="129:129" x14ac:dyDescent="0.2">
      <c r="DY48939" s="185" t="s">
        <v>215</v>
      </c>
    </row>
    <row r="48940" spans="129:129" x14ac:dyDescent="0.2">
      <c r="DY48940" s="185" t="s">
        <v>215</v>
      </c>
    </row>
    <row r="48941" spans="129:129" x14ac:dyDescent="0.2">
      <c r="DY48941" s="185" t="s">
        <v>215</v>
      </c>
    </row>
    <row r="48942" spans="129:129" x14ac:dyDescent="0.2">
      <c r="DY48942" s="185" t="s">
        <v>215</v>
      </c>
    </row>
    <row r="48943" spans="129:129" x14ac:dyDescent="0.2">
      <c r="DY48943" s="185" t="s">
        <v>215</v>
      </c>
    </row>
    <row r="48944" spans="129:129" x14ac:dyDescent="0.2">
      <c r="DY48944" s="185" t="s">
        <v>215</v>
      </c>
    </row>
    <row r="48945" spans="129:129" x14ac:dyDescent="0.2">
      <c r="DY48945" s="185" t="s">
        <v>215</v>
      </c>
    </row>
    <row r="48946" spans="129:129" x14ac:dyDescent="0.2">
      <c r="DY48946" s="185" t="s">
        <v>215</v>
      </c>
    </row>
    <row r="48947" spans="129:129" x14ac:dyDescent="0.2">
      <c r="DY48947" s="185" t="s">
        <v>215</v>
      </c>
    </row>
    <row r="48948" spans="129:129" x14ac:dyDescent="0.2">
      <c r="DY48948" s="185" t="s">
        <v>215</v>
      </c>
    </row>
    <row r="48949" spans="129:129" x14ac:dyDescent="0.2">
      <c r="DY48949" s="185" t="s">
        <v>215</v>
      </c>
    </row>
    <row r="48950" spans="129:129" x14ac:dyDescent="0.2">
      <c r="DY48950" s="185" t="s">
        <v>215</v>
      </c>
    </row>
    <row r="48951" spans="129:129" x14ac:dyDescent="0.2">
      <c r="DY48951" s="185" t="s">
        <v>215</v>
      </c>
    </row>
    <row r="48952" spans="129:129" x14ac:dyDescent="0.2">
      <c r="DY48952" s="185" t="s">
        <v>215</v>
      </c>
    </row>
    <row r="48953" spans="129:129" x14ac:dyDescent="0.2">
      <c r="DY48953" s="185" t="s">
        <v>215</v>
      </c>
    </row>
    <row r="48954" spans="129:129" x14ac:dyDescent="0.2">
      <c r="DY48954" s="185" t="s">
        <v>215</v>
      </c>
    </row>
    <row r="48955" spans="129:129" x14ac:dyDescent="0.2">
      <c r="DY48955" s="185" t="s">
        <v>215</v>
      </c>
    </row>
    <row r="48956" spans="129:129" x14ac:dyDescent="0.2">
      <c r="DY48956" s="185" t="s">
        <v>215</v>
      </c>
    </row>
    <row r="48957" spans="129:129" x14ac:dyDescent="0.2">
      <c r="DY48957" s="185" t="s">
        <v>215</v>
      </c>
    </row>
    <row r="48958" spans="129:129" x14ac:dyDescent="0.2">
      <c r="DY48958" s="185" t="s">
        <v>215</v>
      </c>
    </row>
    <row r="48959" spans="129:129" x14ac:dyDescent="0.2">
      <c r="DY48959" s="185" t="s">
        <v>215</v>
      </c>
    </row>
    <row r="48960" spans="129:129" x14ac:dyDescent="0.2">
      <c r="DY48960" s="185" t="s">
        <v>215</v>
      </c>
    </row>
    <row r="48961" spans="129:129" x14ac:dyDescent="0.2">
      <c r="DY48961" s="185" t="s">
        <v>215</v>
      </c>
    </row>
    <row r="48962" spans="129:129" x14ac:dyDescent="0.2">
      <c r="DY48962" s="185" t="s">
        <v>215</v>
      </c>
    </row>
    <row r="48963" spans="129:129" x14ac:dyDescent="0.2">
      <c r="DY48963" s="185" t="s">
        <v>215</v>
      </c>
    </row>
    <row r="48964" spans="129:129" x14ac:dyDescent="0.2">
      <c r="DY48964" s="185" t="s">
        <v>215</v>
      </c>
    </row>
    <row r="48965" spans="129:129" x14ac:dyDescent="0.2">
      <c r="DY48965" s="185" t="s">
        <v>215</v>
      </c>
    </row>
    <row r="48966" spans="129:129" x14ac:dyDescent="0.2">
      <c r="DY48966" s="185" t="s">
        <v>215</v>
      </c>
    </row>
    <row r="48967" spans="129:129" x14ac:dyDescent="0.2">
      <c r="DY48967" s="185" t="s">
        <v>215</v>
      </c>
    </row>
    <row r="48968" spans="129:129" x14ac:dyDescent="0.2">
      <c r="DY48968" s="185" t="s">
        <v>215</v>
      </c>
    </row>
    <row r="48969" spans="129:129" x14ac:dyDescent="0.2">
      <c r="DY48969" s="185" t="s">
        <v>215</v>
      </c>
    </row>
    <row r="48970" spans="129:129" x14ac:dyDescent="0.2">
      <c r="DY48970" s="185" t="s">
        <v>215</v>
      </c>
    </row>
    <row r="48971" spans="129:129" x14ac:dyDescent="0.2">
      <c r="DY48971" s="185" t="s">
        <v>215</v>
      </c>
    </row>
    <row r="48972" spans="129:129" x14ac:dyDescent="0.2">
      <c r="DY48972" s="185" t="s">
        <v>215</v>
      </c>
    </row>
    <row r="48973" spans="129:129" x14ac:dyDescent="0.2">
      <c r="DY48973" s="185" t="s">
        <v>215</v>
      </c>
    </row>
    <row r="48974" spans="129:129" x14ac:dyDescent="0.2">
      <c r="DY48974" s="185" t="s">
        <v>215</v>
      </c>
    </row>
    <row r="48975" spans="129:129" x14ac:dyDescent="0.2">
      <c r="DY48975" s="185" t="s">
        <v>215</v>
      </c>
    </row>
    <row r="48976" spans="129:129" x14ac:dyDescent="0.2">
      <c r="DY48976" s="185" t="s">
        <v>215</v>
      </c>
    </row>
    <row r="48977" spans="129:129" x14ac:dyDescent="0.2">
      <c r="DY48977" s="185" t="s">
        <v>215</v>
      </c>
    </row>
    <row r="48978" spans="129:129" x14ac:dyDescent="0.2">
      <c r="DY48978" s="185" t="s">
        <v>215</v>
      </c>
    </row>
    <row r="48979" spans="129:129" x14ac:dyDescent="0.2">
      <c r="DY48979" s="185" t="s">
        <v>215</v>
      </c>
    </row>
    <row r="48980" spans="129:129" x14ac:dyDescent="0.2">
      <c r="DY48980" s="185" t="s">
        <v>215</v>
      </c>
    </row>
    <row r="48981" spans="129:129" x14ac:dyDescent="0.2">
      <c r="DY48981" s="185" t="s">
        <v>215</v>
      </c>
    </row>
    <row r="48982" spans="129:129" x14ac:dyDescent="0.2">
      <c r="DY48982" s="185" t="s">
        <v>215</v>
      </c>
    </row>
    <row r="48983" spans="129:129" x14ac:dyDescent="0.2">
      <c r="DY48983" s="185" t="s">
        <v>215</v>
      </c>
    </row>
    <row r="48984" spans="129:129" x14ac:dyDescent="0.2">
      <c r="DY48984" s="185" t="s">
        <v>215</v>
      </c>
    </row>
    <row r="48985" spans="129:129" x14ac:dyDescent="0.2">
      <c r="DY48985" s="185" t="s">
        <v>215</v>
      </c>
    </row>
    <row r="48986" spans="129:129" x14ac:dyDescent="0.2">
      <c r="DY48986" s="185" t="s">
        <v>215</v>
      </c>
    </row>
    <row r="48987" spans="129:129" x14ac:dyDescent="0.2">
      <c r="DY48987" s="185" t="s">
        <v>215</v>
      </c>
    </row>
    <row r="48988" spans="129:129" x14ac:dyDescent="0.2">
      <c r="DY48988" s="185" t="s">
        <v>215</v>
      </c>
    </row>
    <row r="48989" spans="129:129" x14ac:dyDescent="0.2">
      <c r="DY48989" s="185" t="s">
        <v>215</v>
      </c>
    </row>
    <row r="48990" spans="129:129" x14ac:dyDescent="0.2">
      <c r="DY48990" s="185" t="s">
        <v>215</v>
      </c>
    </row>
    <row r="48991" spans="129:129" x14ac:dyDescent="0.2">
      <c r="DY48991" s="185" t="s">
        <v>215</v>
      </c>
    </row>
    <row r="48992" spans="129:129" x14ac:dyDescent="0.2">
      <c r="DY48992" s="185" t="s">
        <v>215</v>
      </c>
    </row>
    <row r="48993" spans="129:129" x14ac:dyDescent="0.2">
      <c r="DY48993" s="185" t="s">
        <v>215</v>
      </c>
    </row>
    <row r="48994" spans="129:129" x14ac:dyDescent="0.2">
      <c r="DY48994" s="185" t="s">
        <v>215</v>
      </c>
    </row>
    <row r="48995" spans="129:129" x14ac:dyDescent="0.2">
      <c r="DY48995" s="185" t="s">
        <v>215</v>
      </c>
    </row>
    <row r="48996" spans="129:129" x14ac:dyDescent="0.2">
      <c r="DY48996" s="185" t="s">
        <v>215</v>
      </c>
    </row>
    <row r="48997" spans="129:129" x14ac:dyDescent="0.2">
      <c r="DY48997" s="185" t="s">
        <v>215</v>
      </c>
    </row>
    <row r="48998" spans="129:129" x14ac:dyDescent="0.2">
      <c r="DY48998" s="185" t="s">
        <v>215</v>
      </c>
    </row>
    <row r="48999" spans="129:129" x14ac:dyDescent="0.2">
      <c r="DY48999" s="185" t="s">
        <v>215</v>
      </c>
    </row>
    <row r="49000" spans="129:129" x14ac:dyDescent="0.2">
      <c r="DY49000" s="185" t="s">
        <v>215</v>
      </c>
    </row>
    <row r="49001" spans="129:129" x14ac:dyDescent="0.2">
      <c r="DY49001" s="185" t="s">
        <v>215</v>
      </c>
    </row>
    <row r="49002" spans="129:129" x14ac:dyDescent="0.2">
      <c r="DY49002" s="185" t="s">
        <v>215</v>
      </c>
    </row>
    <row r="49003" spans="129:129" x14ac:dyDescent="0.2">
      <c r="DY49003" s="185" t="s">
        <v>215</v>
      </c>
    </row>
    <row r="49004" spans="129:129" x14ac:dyDescent="0.2">
      <c r="DY49004" s="185" t="s">
        <v>215</v>
      </c>
    </row>
    <row r="49005" spans="129:129" x14ac:dyDescent="0.2">
      <c r="DY49005" s="185" t="s">
        <v>215</v>
      </c>
    </row>
    <row r="49006" spans="129:129" x14ac:dyDescent="0.2">
      <c r="DY49006" s="185" t="s">
        <v>215</v>
      </c>
    </row>
    <row r="49007" spans="129:129" x14ac:dyDescent="0.2">
      <c r="DY49007" s="185" t="s">
        <v>215</v>
      </c>
    </row>
    <row r="49008" spans="129:129" x14ac:dyDescent="0.2">
      <c r="DY49008" s="185" t="s">
        <v>215</v>
      </c>
    </row>
    <row r="49009" spans="129:129" x14ac:dyDescent="0.2">
      <c r="DY49009" s="185" t="s">
        <v>215</v>
      </c>
    </row>
    <row r="49010" spans="129:129" x14ac:dyDescent="0.2">
      <c r="DY49010" s="185" t="s">
        <v>215</v>
      </c>
    </row>
    <row r="49011" spans="129:129" x14ac:dyDescent="0.2">
      <c r="DY49011" s="185" t="s">
        <v>215</v>
      </c>
    </row>
    <row r="49012" spans="129:129" x14ac:dyDescent="0.2">
      <c r="DY49012" s="185" t="s">
        <v>215</v>
      </c>
    </row>
    <row r="49013" spans="129:129" x14ac:dyDescent="0.2">
      <c r="DY49013" s="185" t="s">
        <v>215</v>
      </c>
    </row>
    <row r="49014" spans="129:129" x14ac:dyDescent="0.2">
      <c r="DY49014" s="185" t="s">
        <v>215</v>
      </c>
    </row>
    <row r="49015" spans="129:129" x14ac:dyDescent="0.2">
      <c r="DY49015" s="185" t="s">
        <v>215</v>
      </c>
    </row>
    <row r="49016" spans="129:129" x14ac:dyDescent="0.2">
      <c r="DY49016" s="185" t="s">
        <v>215</v>
      </c>
    </row>
    <row r="49017" spans="129:129" x14ac:dyDescent="0.2">
      <c r="DY49017" s="185" t="s">
        <v>215</v>
      </c>
    </row>
    <row r="49018" spans="129:129" x14ac:dyDescent="0.2">
      <c r="DY49018" s="185" t="s">
        <v>215</v>
      </c>
    </row>
    <row r="49019" spans="129:129" x14ac:dyDescent="0.2">
      <c r="DY49019" s="185" t="s">
        <v>215</v>
      </c>
    </row>
    <row r="49020" spans="129:129" x14ac:dyDescent="0.2">
      <c r="DY49020" s="185" t="s">
        <v>215</v>
      </c>
    </row>
    <row r="49021" spans="129:129" x14ac:dyDescent="0.2">
      <c r="DY49021" s="185" t="s">
        <v>215</v>
      </c>
    </row>
    <row r="49022" spans="129:129" x14ac:dyDescent="0.2">
      <c r="DY49022" s="185" t="s">
        <v>215</v>
      </c>
    </row>
    <row r="49023" spans="129:129" x14ac:dyDescent="0.2">
      <c r="DY49023" s="185" t="s">
        <v>215</v>
      </c>
    </row>
    <row r="49024" spans="129:129" x14ac:dyDescent="0.2">
      <c r="DY49024" s="185" t="s">
        <v>215</v>
      </c>
    </row>
    <row r="49025" spans="129:129" x14ac:dyDescent="0.2">
      <c r="DY49025" s="185" t="s">
        <v>215</v>
      </c>
    </row>
    <row r="49026" spans="129:129" x14ac:dyDescent="0.2">
      <c r="DY49026" s="185" t="s">
        <v>215</v>
      </c>
    </row>
    <row r="49027" spans="129:129" x14ac:dyDescent="0.2">
      <c r="DY49027" s="185" t="s">
        <v>215</v>
      </c>
    </row>
    <row r="49028" spans="129:129" x14ac:dyDescent="0.2">
      <c r="DY49028" s="185" t="s">
        <v>215</v>
      </c>
    </row>
    <row r="49029" spans="129:129" x14ac:dyDescent="0.2">
      <c r="DY49029" s="185" t="s">
        <v>215</v>
      </c>
    </row>
    <row r="49030" spans="129:129" x14ac:dyDescent="0.2">
      <c r="DY49030" s="185" t="s">
        <v>215</v>
      </c>
    </row>
    <row r="49031" spans="129:129" x14ac:dyDescent="0.2">
      <c r="DY49031" s="185" t="s">
        <v>215</v>
      </c>
    </row>
    <row r="49032" spans="129:129" x14ac:dyDescent="0.2">
      <c r="DY49032" s="185" t="s">
        <v>215</v>
      </c>
    </row>
    <row r="49033" spans="129:129" x14ac:dyDescent="0.2">
      <c r="DY49033" s="185" t="s">
        <v>215</v>
      </c>
    </row>
    <row r="49034" spans="129:129" x14ac:dyDescent="0.2">
      <c r="DY49034" s="185" t="s">
        <v>215</v>
      </c>
    </row>
    <row r="49035" spans="129:129" x14ac:dyDescent="0.2">
      <c r="DY49035" s="185" t="s">
        <v>215</v>
      </c>
    </row>
    <row r="49036" spans="129:129" x14ac:dyDescent="0.2">
      <c r="DY49036" s="185" t="s">
        <v>215</v>
      </c>
    </row>
    <row r="49037" spans="129:129" x14ac:dyDescent="0.2">
      <c r="DY49037" s="185" t="s">
        <v>215</v>
      </c>
    </row>
    <row r="49038" spans="129:129" x14ac:dyDescent="0.2">
      <c r="DY49038" s="185" t="s">
        <v>215</v>
      </c>
    </row>
    <row r="49039" spans="129:129" x14ac:dyDescent="0.2">
      <c r="DY49039" s="185" t="s">
        <v>215</v>
      </c>
    </row>
    <row r="49040" spans="129:129" x14ac:dyDescent="0.2">
      <c r="DY49040" s="185" t="s">
        <v>215</v>
      </c>
    </row>
    <row r="49041" spans="129:129" x14ac:dyDescent="0.2">
      <c r="DY49041" s="185" t="s">
        <v>215</v>
      </c>
    </row>
    <row r="49042" spans="129:129" x14ac:dyDescent="0.2">
      <c r="DY49042" s="185" t="s">
        <v>215</v>
      </c>
    </row>
    <row r="49043" spans="129:129" x14ac:dyDescent="0.2">
      <c r="DY49043" s="185" t="s">
        <v>215</v>
      </c>
    </row>
    <row r="49044" spans="129:129" x14ac:dyDescent="0.2">
      <c r="DY49044" s="185" t="s">
        <v>215</v>
      </c>
    </row>
    <row r="49045" spans="129:129" x14ac:dyDescent="0.2">
      <c r="DY49045" s="185" t="s">
        <v>215</v>
      </c>
    </row>
    <row r="49046" spans="129:129" x14ac:dyDescent="0.2">
      <c r="DY49046" s="185" t="s">
        <v>215</v>
      </c>
    </row>
    <row r="49047" spans="129:129" x14ac:dyDescent="0.2">
      <c r="DY49047" s="185" t="s">
        <v>215</v>
      </c>
    </row>
    <row r="49048" spans="129:129" x14ac:dyDescent="0.2">
      <c r="DY49048" s="185" t="s">
        <v>215</v>
      </c>
    </row>
    <row r="49049" spans="129:129" x14ac:dyDescent="0.2">
      <c r="DY49049" s="185" t="s">
        <v>215</v>
      </c>
    </row>
    <row r="49050" spans="129:129" x14ac:dyDescent="0.2">
      <c r="DY49050" s="185" t="s">
        <v>215</v>
      </c>
    </row>
    <row r="49051" spans="129:129" x14ac:dyDescent="0.2">
      <c r="DY49051" s="185" t="s">
        <v>215</v>
      </c>
    </row>
    <row r="49052" spans="129:129" x14ac:dyDescent="0.2">
      <c r="DY49052" s="185" t="s">
        <v>215</v>
      </c>
    </row>
    <row r="49053" spans="129:129" x14ac:dyDescent="0.2">
      <c r="DY49053" s="185" t="s">
        <v>215</v>
      </c>
    </row>
    <row r="49054" spans="129:129" x14ac:dyDescent="0.2">
      <c r="DY49054" s="185" t="s">
        <v>215</v>
      </c>
    </row>
    <row r="49055" spans="129:129" x14ac:dyDescent="0.2">
      <c r="DY49055" s="185" t="s">
        <v>215</v>
      </c>
    </row>
    <row r="49056" spans="129:129" x14ac:dyDescent="0.2">
      <c r="DY49056" s="185" t="s">
        <v>215</v>
      </c>
    </row>
    <row r="49057" spans="129:129" x14ac:dyDescent="0.2">
      <c r="DY49057" s="185" t="s">
        <v>215</v>
      </c>
    </row>
    <row r="49058" spans="129:129" x14ac:dyDescent="0.2">
      <c r="DY49058" s="185" t="s">
        <v>215</v>
      </c>
    </row>
    <row r="49059" spans="129:129" x14ac:dyDescent="0.2">
      <c r="DY49059" s="185" t="s">
        <v>215</v>
      </c>
    </row>
    <row r="49060" spans="129:129" x14ac:dyDescent="0.2">
      <c r="DY49060" s="185" t="s">
        <v>215</v>
      </c>
    </row>
    <row r="49061" spans="129:129" x14ac:dyDescent="0.2">
      <c r="DY49061" s="185" t="s">
        <v>215</v>
      </c>
    </row>
    <row r="49062" spans="129:129" x14ac:dyDescent="0.2">
      <c r="DY49062" s="185" t="s">
        <v>215</v>
      </c>
    </row>
    <row r="49063" spans="129:129" x14ac:dyDescent="0.2">
      <c r="DY49063" s="185" t="s">
        <v>215</v>
      </c>
    </row>
    <row r="49064" spans="129:129" x14ac:dyDescent="0.2">
      <c r="DY49064" s="185" t="s">
        <v>215</v>
      </c>
    </row>
    <row r="49065" spans="129:129" x14ac:dyDescent="0.2">
      <c r="DY49065" s="185" t="s">
        <v>215</v>
      </c>
    </row>
    <row r="49066" spans="129:129" x14ac:dyDescent="0.2">
      <c r="DY49066" s="185" t="s">
        <v>215</v>
      </c>
    </row>
    <row r="49067" spans="129:129" x14ac:dyDescent="0.2">
      <c r="DY49067" s="185" t="s">
        <v>215</v>
      </c>
    </row>
    <row r="49068" spans="129:129" x14ac:dyDescent="0.2">
      <c r="DY49068" s="185" t="s">
        <v>215</v>
      </c>
    </row>
    <row r="49069" spans="129:129" x14ac:dyDescent="0.2">
      <c r="DY49069" s="185" t="s">
        <v>215</v>
      </c>
    </row>
    <row r="49070" spans="129:129" x14ac:dyDescent="0.2">
      <c r="DY49070" s="185" t="s">
        <v>215</v>
      </c>
    </row>
    <row r="49071" spans="129:129" x14ac:dyDescent="0.2">
      <c r="DY49071" s="185" t="s">
        <v>215</v>
      </c>
    </row>
    <row r="49072" spans="129:129" x14ac:dyDescent="0.2">
      <c r="DY49072" s="185" t="s">
        <v>215</v>
      </c>
    </row>
    <row r="49073" spans="129:129" x14ac:dyDescent="0.2">
      <c r="DY49073" s="185" t="s">
        <v>215</v>
      </c>
    </row>
    <row r="49074" spans="129:129" x14ac:dyDescent="0.2">
      <c r="DY49074" s="185" t="s">
        <v>215</v>
      </c>
    </row>
    <row r="49075" spans="129:129" x14ac:dyDescent="0.2">
      <c r="DY49075" s="185" t="s">
        <v>215</v>
      </c>
    </row>
    <row r="49076" spans="129:129" x14ac:dyDescent="0.2">
      <c r="DY49076" s="185" t="s">
        <v>215</v>
      </c>
    </row>
    <row r="49077" spans="129:129" x14ac:dyDescent="0.2">
      <c r="DY49077" s="185" t="s">
        <v>215</v>
      </c>
    </row>
    <row r="49078" spans="129:129" x14ac:dyDescent="0.2">
      <c r="DY49078" s="185" t="s">
        <v>215</v>
      </c>
    </row>
    <row r="49079" spans="129:129" x14ac:dyDescent="0.2">
      <c r="DY49079" s="185" t="s">
        <v>215</v>
      </c>
    </row>
    <row r="49080" spans="129:129" x14ac:dyDescent="0.2">
      <c r="DY49080" s="185" t="s">
        <v>215</v>
      </c>
    </row>
    <row r="49081" spans="129:129" x14ac:dyDescent="0.2">
      <c r="DY49081" s="185" t="s">
        <v>215</v>
      </c>
    </row>
    <row r="49082" spans="129:129" x14ac:dyDescent="0.2">
      <c r="DY49082" s="185" t="s">
        <v>215</v>
      </c>
    </row>
    <row r="49083" spans="129:129" x14ac:dyDescent="0.2">
      <c r="DY49083" s="185" t="s">
        <v>215</v>
      </c>
    </row>
    <row r="49084" spans="129:129" x14ac:dyDescent="0.2">
      <c r="DY49084" s="185" t="s">
        <v>215</v>
      </c>
    </row>
    <row r="49085" spans="129:129" x14ac:dyDescent="0.2">
      <c r="DY49085" s="185" t="s">
        <v>215</v>
      </c>
    </row>
    <row r="49086" spans="129:129" x14ac:dyDescent="0.2">
      <c r="DY49086" s="185" t="s">
        <v>215</v>
      </c>
    </row>
    <row r="49087" spans="129:129" x14ac:dyDescent="0.2">
      <c r="DY49087" s="185" t="s">
        <v>215</v>
      </c>
    </row>
    <row r="49088" spans="129:129" x14ac:dyDescent="0.2">
      <c r="DY49088" s="185" t="s">
        <v>215</v>
      </c>
    </row>
    <row r="49089" spans="129:129" x14ac:dyDescent="0.2">
      <c r="DY49089" s="185" t="s">
        <v>215</v>
      </c>
    </row>
    <row r="49090" spans="129:129" x14ac:dyDescent="0.2">
      <c r="DY49090" s="185" t="s">
        <v>215</v>
      </c>
    </row>
    <row r="49091" spans="129:129" x14ac:dyDescent="0.2">
      <c r="DY49091" s="185" t="s">
        <v>215</v>
      </c>
    </row>
    <row r="49092" spans="129:129" x14ac:dyDescent="0.2">
      <c r="DY49092" s="185" t="s">
        <v>215</v>
      </c>
    </row>
    <row r="49093" spans="129:129" x14ac:dyDescent="0.2">
      <c r="DY49093" s="185" t="s">
        <v>215</v>
      </c>
    </row>
    <row r="49094" spans="129:129" x14ac:dyDescent="0.2">
      <c r="DY49094" s="185" t="s">
        <v>215</v>
      </c>
    </row>
    <row r="49095" spans="129:129" x14ac:dyDescent="0.2">
      <c r="DY49095" s="185" t="s">
        <v>215</v>
      </c>
    </row>
    <row r="49096" spans="129:129" x14ac:dyDescent="0.2">
      <c r="DY49096" s="185" t="s">
        <v>215</v>
      </c>
    </row>
    <row r="49097" spans="129:129" x14ac:dyDescent="0.2">
      <c r="DY49097" s="185" t="s">
        <v>215</v>
      </c>
    </row>
    <row r="49098" spans="129:129" x14ac:dyDescent="0.2">
      <c r="DY49098" s="185" t="s">
        <v>215</v>
      </c>
    </row>
    <row r="49099" spans="129:129" x14ac:dyDescent="0.2">
      <c r="DY49099" s="185" t="s">
        <v>215</v>
      </c>
    </row>
    <row r="49100" spans="129:129" x14ac:dyDescent="0.2">
      <c r="DY49100" s="185" t="s">
        <v>215</v>
      </c>
    </row>
    <row r="49101" spans="129:129" x14ac:dyDescent="0.2">
      <c r="DY49101" s="185" t="s">
        <v>215</v>
      </c>
    </row>
    <row r="49102" spans="129:129" x14ac:dyDescent="0.2">
      <c r="DY49102" s="185" t="s">
        <v>215</v>
      </c>
    </row>
    <row r="49103" spans="129:129" x14ac:dyDescent="0.2">
      <c r="DY49103" s="185" t="s">
        <v>215</v>
      </c>
    </row>
    <row r="49104" spans="129:129" x14ac:dyDescent="0.2">
      <c r="DY49104" s="185" t="s">
        <v>215</v>
      </c>
    </row>
    <row r="49105" spans="129:129" x14ac:dyDescent="0.2">
      <c r="DY49105" s="185" t="s">
        <v>215</v>
      </c>
    </row>
    <row r="49106" spans="129:129" x14ac:dyDescent="0.2">
      <c r="DY49106" s="185" t="s">
        <v>215</v>
      </c>
    </row>
    <row r="49107" spans="129:129" x14ac:dyDescent="0.2">
      <c r="DY49107" s="185" t="s">
        <v>215</v>
      </c>
    </row>
    <row r="49108" spans="129:129" x14ac:dyDescent="0.2">
      <c r="DY49108" s="185" t="s">
        <v>215</v>
      </c>
    </row>
    <row r="49109" spans="129:129" x14ac:dyDescent="0.2">
      <c r="DY49109" s="185" t="s">
        <v>215</v>
      </c>
    </row>
    <row r="49110" spans="129:129" x14ac:dyDescent="0.2">
      <c r="DY49110" s="185" t="s">
        <v>215</v>
      </c>
    </row>
    <row r="49111" spans="129:129" x14ac:dyDescent="0.2">
      <c r="DY49111" s="185" t="s">
        <v>215</v>
      </c>
    </row>
    <row r="49112" spans="129:129" x14ac:dyDescent="0.2">
      <c r="DY49112" s="185" t="s">
        <v>215</v>
      </c>
    </row>
    <row r="49113" spans="129:129" x14ac:dyDescent="0.2">
      <c r="DY49113" s="185" t="s">
        <v>215</v>
      </c>
    </row>
    <row r="49114" spans="129:129" x14ac:dyDescent="0.2">
      <c r="DY49114" s="185" t="s">
        <v>215</v>
      </c>
    </row>
    <row r="49115" spans="129:129" x14ac:dyDescent="0.2">
      <c r="DY49115" s="185" t="s">
        <v>215</v>
      </c>
    </row>
    <row r="49116" spans="129:129" x14ac:dyDescent="0.2">
      <c r="DY49116" s="185" t="s">
        <v>215</v>
      </c>
    </row>
    <row r="49117" spans="129:129" x14ac:dyDescent="0.2">
      <c r="DY49117" s="185" t="s">
        <v>215</v>
      </c>
    </row>
    <row r="49118" spans="129:129" x14ac:dyDescent="0.2">
      <c r="DY49118" s="185" t="s">
        <v>215</v>
      </c>
    </row>
    <row r="49119" spans="129:129" x14ac:dyDescent="0.2">
      <c r="DY49119" s="185" t="s">
        <v>215</v>
      </c>
    </row>
    <row r="49120" spans="129:129" x14ac:dyDescent="0.2">
      <c r="DY49120" s="185" t="s">
        <v>215</v>
      </c>
    </row>
    <row r="49121" spans="129:129" x14ac:dyDescent="0.2">
      <c r="DY49121" s="185" t="s">
        <v>215</v>
      </c>
    </row>
    <row r="49122" spans="129:129" x14ac:dyDescent="0.2">
      <c r="DY49122" s="185" t="s">
        <v>215</v>
      </c>
    </row>
    <row r="49123" spans="129:129" x14ac:dyDescent="0.2">
      <c r="DY49123" s="185" t="s">
        <v>215</v>
      </c>
    </row>
    <row r="49124" spans="129:129" x14ac:dyDescent="0.2">
      <c r="DY49124" s="185" t="s">
        <v>215</v>
      </c>
    </row>
    <row r="49125" spans="129:129" x14ac:dyDescent="0.2">
      <c r="DY49125" s="185" t="s">
        <v>215</v>
      </c>
    </row>
    <row r="49126" spans="129:129" x14ac:dyDescent="0.2">
      <c r="DY49126" s="185" t="s">
        <v>215</v>
      </c>
    </row>
    <row r="49127" spans="129:129" x14ac:dyDescent="0.2">
      <c r="DY49127" s="185" t="s">
        <v>215</v>
      </c>
    </row>
    <row r="49128" spans="129:129" x14ac:dyDescent="0.2">
      <c r="DY49128" s="185" t="s">
        <v>215</v>
      </c>
    </row>
    <row r="49129" spans="129:129" x14ac:dyDescent="0.2">
      <c r="DY49129" s="185" t="s">
        <v>215</v>
      </c>
    </row>
    <row r="49130" spans="129:129" x14ac:dyDescent="0.2">
      <c r="DY49130" s="185" t="s">
        <v>215</v>
      </c>
    </row>
    <row r="49131" spans="129:129" x14ac:dyDescent="0.2">
      <c r="DY49131" s="185" t="s">
        <v>215</v>
      </c>
    </row>
    <row r="49132" spans="129:129" x14ac:dyDescent="0.2">
      <c r="DY49132" s="185" t="s">
        <v>215</v>
      </c>
    </row>
    <row r="49133" spans="129:129" x14ac:dyDescent="0.2">
      <c r="DY49133" s="185" t="s">
        <v>215</v>
      </c>
    </row>
    <row r="49134" spans="129:129" x14ac:dyDescent="0.2">
      <c r="DY49134" s="185" t="s">
        <v>215</v>
      </c>
    </row>
    <row r="49135" spans="129:129" x14ac:dyDescent="0.2">
      <c r="DY49135" s="185" t="s">
        <v>215</v>
      </c>
    </row>
    <row r="49136" spans="129:129" x14ac:dyDescent="0.2">
      <c r="DY49136" s="185" t="s">
        <v>215</v>
      </c>
    </row>
    <row r="49137" spans="129:129" x14ac:dyDescent="0.2">
      <c r="DY49137" s="185" t="s">
        <v>215</v>
      </c>
    </row>
    <row r="49138" spans="129:129" x14ac:dyDescent="0.2">
      <c r="DY49138" s="185" t="s">
        <v>215</v>
      </c>
    </row>
    <row r="49139" spans="129:129" x14ac:dyDescent="0.2">
      <c r="DY49139" s="185" t="s">
        <v>215</v>
      </c>
    </row>
    <row r="49140" spans="129:129" x14ac:dyDescent="0.2">
      <c r="DY49140" s="185" t="s">
        <v>215</v>
      </c>
    </row>
    <row r="49141" spans="129:129" x14ac:dyDescent="0.2">
      <c r="DY49141" s="185" t="s">
        <v>215</v>
      </c>
    </row>
    <row r="49142" spans="129:129" x14ac:dyDescent="0.2">
      <c r="DY49142" s="185" t="s">
        <v>215</v>
      </c>
    </row>
    <row r="49143" spans="129:129" x14ac:dyDescent="0.2">
      <c r="DY49143" s="185" t="s">
        <v>215</v>
      </c>
    </row>
    <row r="49144" spans="129:129" x14ac:dyDescent="0.2">
      <c r="DY49144" s="185" t="s">
        <v>215</v>
      </c>
    </row>
    <row r="49145" spans="129:129" x14ac:dyDescent="0.2">
      <c r="DY49145" s="185" t="s">
        <v>215</v>
      </c>
    </row>
    <row r="49146" spans="129:129" x14ac:dyDescent="0.2">
      <c r="DY49146" s="185" t="s">
        <v>215</v>
      </c>
    </row>
    <row r="49147" spans="129:129" x14ac:dyDescent="0.2">
      <c r="DY49147" s="185" t="s">
        <v>215</v>
      </c>
    </row>
    <row r="49148" spans="129:129" x14ac:dyDescent="0.2">
      <c r="DY49148" s="185" t="s">
        <v>215</v>
      </c>
    </row>
    <row r="49149" spans="129:129" x14ac:dyDescent="0.2">
      <c r="DY49149" s="185" t="s">
        <v>215</v>
      </c>
    </row>
    <row r="49150" spans="129:129" x14ac:dyDescent="0.2">
      <c r="DY49150" s="185" t="s">
        <v>215</v>
      </c>
    </row>
    <row r="49151" spans="129:129" x14ac:dyDescent="0.2">
      <c r="DY49151" s="185" t="s">
        <v>215</v>
      </c>
    </row>
    <row r="49152" spans="129:129" x14ac:dyDescent="0.2">
      <c r="DY49152" s="185" t="s">
        <v>215</v>
      </c>
    </row>
    <row r="49153" spans="129:129" x14ac:dyDescent="0.2">
      <c r="DY49153" s="185" t="s">
        <v>215</v>
      </c>
    </row>
    <row r="49154" spans="129:129" x14ac:dyDescent="0.2">
      <c r="DY49154" s="185" t="s">
        <v>215</v>
      </c>
    </row>
    <row r="49155" spans="129:129" x14ac:dyDescent="0.2">
      <c r="DY49155" s="185" t="s">
        <v>215</v>
      </c>
    </row>
    <row r="49156" spans="129:129" x14ac:dyDescent="0.2">
      <c r="DY49156" s="185" t="s">
        <v>215</v>
      </c>
    </row>
    <row r="49157" spans="129:129" x14ac:dyDescent="0.2">
      <c r="DY49157" s="185" t="s">
        <v>215</v>
      </c>
    </row>
    <row r="49158" spans="129:129" x14ac:dyDescent="0.2">
      <c r="DY49158" s="185" t="s">
        <v>215</v>
      </c>
    </row>
    <row r="49159" spans="129:129" x14ac:dyDescent="0.2">
      <c r="DY49159" s="185" t="s">
        <v>215</v>
      </c>
    </row>
    <row r="49160" spans="129:129" x14ac:dyDescent="0.2">
      <c r="DY49160" s="185" t="s">
        <v>215</v>
      </c>
    </row>
    <row r="49161" spans="129:129" x14ac:dyDescent="0.2">
      <c r="DY49161" s="185" t="s">
        <v>215</v>
      </c>
    </row>
    <row r="49162" spans="129:129" x14ac:dyDescent="0.2">
      <c r="DY49162" s="185" t="s">
        <v>215</v>
      </c>
    </row>
    <row r="49163" spans="129:129" x14ac:dyDescent="0.2">
      <c r="DY49163" s="185" t="s">
        <v>215</v>
      </c>
    </row>
    <row r="49164" spans="129:129" x14ac:dyDescent="0.2">
      <c r="DY49164" s="185" t="s">
        <v>215</v>
      </c>
    </row>
    <row r="49165" spans="129:129" x14ac:dyDescent="0.2">
      <c r="DY49165" s="185" t="s">
        <v>215</v>
      </c>
    </row>
    <row r="49166" spans="129:129" x14ac:dyDescent="0.2">
      <c r="DY49166" s="185" t="s">
        <v>215</v>
      </c>
    </row>
    <row r="49167" spans="129:129" x14ac:dyDescent="0.2">
      <c r="DY49167" s="185" t="s">
        <v>215</v>
      </c>
    </row>
    <row r="49168" spans="129:129" x14ac:dyDescent="0.2">
      <c r="DY49168" s="185" t="s">
        <v>215</v>
      </c>
    </row>
    <row r="49169" spans="129:129" x14ac:dyDescent="0.2">
      <c r="DY49169" s="185" t="s">
        <v>215</v>
      </c>
    </row>
    <row r="49170" spans="129:129" x14ac:dyDescent="0.2">
      <c r="DY49170" s="185" t="s">
        <v>215</v>
      </c>
    </row>
    <row r="49171" spans="129:129" x14ac:dyDescent="0.2">
      <c r="DY49171" s="185" t="s">
        <v>215</v>
      </c>
    </row>
    <row r="49172" spans="129:129" x14ac:dyDescent="0.2">
      <c r="DY49172" s="185" t="s">
        <v>215</v>
      </c>
    </row>
    <row r="49173" spans="129:129" x14ac:dyDescent="0.2">
      <c r="DY49173" s="185" t="s">
        <v>215</v>
      </c>
    </row>
    <row r="49174" spans="129:129" x14ac:dyDescent="0.2">
      <c r="DY49174" s="185" t="s">
        <v>215</v>
      </c>
    </row>
    <row r="49175" spans="129:129" x14ac:dyDescent="0.2">
      <c r="DY49175" s="185" t="s">
        <v>215</v>
      </c>
    </row>
    <row r="49176" spans="129:129" x14ac:dyDescent="0.2">
      <c r="DY49176" s="185" t="s">
        <v>215</v>
      </c>
    </row>
    <row r="49177" spans="129:129" x14ac:dyDescent="0.2">
      <c r="DY49177" s="185" t="s">
        <v>215</v>
      </c>
    </row>
    <row r="49178" spans="129:129" x14ac:dyDescent="0.2">
      <c r="DY49178" s="185" t="s">
        <v>215</v>
      </c>
    </row>
    <row r="49179" spans="129:129" x14ac:dyDescent="0.2">
      <c r="DY49179" s="185" t="s">
        <v>215</v>
      </c>
    </row>
    <row r="49180" spans="129:129" x14ac:dyDescent="0.2">
      <c r="DY49180" s="185" t="s">
        <v>215</v>
      </c>
    </row>
    <row r="49181" spans="129:129" x14ac:dyDescent="0.2">
      <c r="DY49181" s="185" t="s">
        <v>215</v>
      </c>
    </row>
    <row r="49182" spans="129:129" x14ac:dyDescent="0.2">
      <c r="DY49182" s="185" t="s">
        <v>215</v>
      </c>
    </row>
    <row r="49183" spans="129:129" x14ac:dyDescent="0.2">
      <c r="DY49183" s="185" t="s">
        <v>215</v>
      </c>
    </row>
    <row r="49184" spans="129:129" x14ac:dyDescent="0.2">
      <c r="DY49184" s="185" t="s">
        <v>215</v>
      </c>
    </row>
    <row r="49185" spans="129:129" x14ac:dyDescent="0.2">
      <c r="DY49185" s="185" t="s">
        <v>215</v>
      </c>
    </row>
    <row r="49186" spans="129:129" x14ac:dyDescent="0.2">
      <c r="DY49186" s="185" t="s">
        <v>215</v>
      </c>
    </row>
    <row r="49187" spans="129:129" x14ac:dyDescent="0.2">
      <c r="DY49187" s="185" t="s">
        <v>215</v>
      </c>
    </row>
    <row r="49188" spans="129:129" x14ac:dyDescent="0.2">
      <c r="DY49188" s="185" t="s">
        <v>215</v>
      </c>
    </row>
    <row r="49189" spans="129:129" x14ac:dyDescent="0.2">
      <c r="DY49189" s="185" t="s">
        <v>215</v>
      </c>
    </row>
    <row r="49190" spans="129:129" x14ac:dyDescent="0.2">
      <c r="DY49190" s="185" t="s">
        <v>215</v>
      </c>
    </row>
    <row r="49191" spans="129:129" x14ac:dyDescent="0.2">
      <c r="DY49191" s="185" t="s">
        <v>215</v>
      </c>
    </row>
    <row r="49192" spans="129:129" x14ac:dyDescent="0.2">
      <c r="DY49192" s="185" t="s">
        <v>215</v>
      </c>
    </row>
    <row r="49193" spans="129:129" x14ac:dyDescent="0.2">
      <c r="DY49193" s="185" t="s">
        <v>215</v>
      </c>
    </row>
    <row r="49194" spans="129:129" x14ac:dyDescent="0.2">
      <c r="DY49194" s="185" t="s">
        <v>215</v>
      </c>
    </row>
    <row r="49195" spans="129:129" x14ac:dyDescent="0.2">
      <c r="DY49195" s="185" t="s">
        <v>215</v>
      </c>
    </row>
    <row r="49196" spans="129:129" x14ac:dyDescent="0.2">
      <c r="DY49196" s="185" t="s">
        <v>215</v>
      </c>
    </row>
    <row r="49197" spans="129:129" x14ac:dyDescent="0.2">
      <c r="DY49197" s="185" t="s">
        <v>215</v>
      </c>
    </row>
    <row r="49198" spans="129:129" x14ac:dyDescent="0.2">
      <c r="DY49198" s="185" t="s">
        <v>215</v>
      </c>
    </row>
    <row r="49199" spans="129:129" x14ac:dyDescent="0.2">
      <c r="DY49199" s="185" t="s">
        <v>215</v>
      </c>
    </row>
    <row r="49200" spans="129:129" x14ac:dyDescent="0.2">
      <c r="DY49200" s="185" t="s">
        <v>215</v>
      </c>
    </row>
    <row r="49201" spans="129:129" x14ac:dyDescent="0.2">
      <c r="DY49201" s="185" t="s">
        <v>215</v>
      </c>
    </row>
    <row r="49202" spans="129:129" x14ac:dyDescent="0.2">
      <c r="DY49202" s="185" t="s">
        <v>215</v>
      </c>
    </row>
    <row r="49203" spans="129:129" x14ac:dyDescent="0.2">
      <c r="DY49203" s="185" t="s">
        <v>215</v>
      </c>
    </row>
    <row r="49204" spans="129:129" x14ac:dyDescent="0.2">
      <c r="DY49204" s="185" t="s">
        <v>215</v>
      </c>
    </row>
    <row r="49205" spans="129:129" x14ac:dyDescent="0.2">
      <c r="DY49205" s="185" t="s">
        <v>215</v>
      </c>
    </row>
    <row r="49206" spans="129:129" x14ac:dyDescent="0.2">
      <c r="DY49206" s="185" t="s">
        <v>215</v>
      </c>
    </row>
    <row r="49207" spans="129:129" x14ac:dyDescent="0.2">
      <c r="DY49207" s="185" t="s">
        <v>215</v>
      </c>
    </row>
    <row r="49208" spans="129:129" x14ac:dyDescent="0.2">
      <c r="DY49208" s="185" t="s">
        <v>215</v>
      </c>
    </row>
    <row r="49209" spans="129:129" x14ac:dyDescent="0.2">
      <c r="DY49209" s="185" t="s">
        <v>215</v>
      </c>
    </row>
    <row r="49210" spans="129:129" x14ac:dyDescent="0.2">
      <c r="DY49210" s="185" t="s">
        <v>215</v>
      </c>
    </row>
    <row r="49211" spans="129:129" x14ac:dyDescent="0.2">
      <c r="DY49211" s="185" t="s">
        <v>215</v>
      </c>
    </row>
    <row r="49212" spans="129:129" x14ac:dyDescent="0.2">
      <c r="DY49212" s="185" t="s">
        <v>215</v>
      </c>
    </row>
    <row r="49213" spans="129:129" x14ac:dyDescent="0.2">
      <c r="DY49213" s="185" t="s">
        <v>215</v>
      </c>
    </row>
    <row r="49214" spans="129:129" x14ac:dyDescent="0.2">
      <c r="DY49214" s="185" t="s">
        <v>215</v>
      </c>
    </row>
    <row r="49215" spans="129:129" x14ac:dyDescent="0.2">
      <c r="DY49215" s="185" t="s">
        <v>215</v>
      </c>
    </row>
    <row r="49216" spans="129:129" x14ac:dyDescent="0.2">
      <c r="DY49216" s="185" t="s">
        <v>215</v>
      </c>
    </row>
    <row r="49217" spans="129:129" x14ac:dyDescent="0.2">
      <c r="DY49217" s="185" t="s">
        <v>215</v>
      </c>
    </row>
    <row r="49218" spans="129:129" x14ac:dyDescent="0.2">
      <c r="DY49218" s="185" t="s">
        <v>215</v>
      </c>
    </row>
    <row r="49219" spans="129:129" x14ac:dyDescent="0.2">
      <c r="DY49219" s="185" t="s">
        <v>215</v>
      </c>
    </row>
    <row r="49220" spans="129:129" x14ac:dyDescent="0.2">
      <c r="DY49220" s="185" t="s">
        <v>215</v>
      </c>
    </row>
    <row r="49221" spans="129:129" x14ac:dyDescent="0.2">
      <c r="DY49221" s="185" t="s">
        <v>215</v>
      </c>
    </row>
    <row r="49222" spans="129:129" x14ac:dyDescent="0.2">
      <c r="DY49222" s="185" t="s">
        <v>215</v>
      </c>
    </row>
    <row r="49223" spans="129:129" x14ac:dyDescent="0.2">
      <c r="DY49223" s="185" t="s">
        <v>215</v>
      </c>
    </row>
    <row r="49224" spans="129:129" x14ac:dyDescent="0.2">
      <c r="DY49224" s="185" t="s">
        <v>215</v>
      </c>
    </row>
    <row r="49225" spans="129:129" x14ac:dyDescent="0.2">
      <c r="DY49225" s="185" t="s">
        <v>215</v>
      </c>
    </row>
    <row r="49226" spans="129:129" x14ac:dyDescent="0.2">
      <c r="DY49226" s="185" t="s">
        <v>215</v>
      </c>
    </row>
    <row r="49227" spans="129:129" x14ac:dyDescent="0.2">
      <c r="DY49227" s="185" t="s">
        <v>215</v>
      </c>
    </row>
    <row r="49228" spans="129:129" x14ac:dyDescent="0.2">
      <c r="DY49228" s="185" t="s">
        <v>215</v>
      </c>
    </row>
    <row r="49229" spans="129:129" x14ac:dyDescent="0.2">
      <c r="DY49229" s="185" t="s">
        <v>215</v>
      </c>
    </row>
    <row r="49230" spans="129:129" x14ac:dyDescent="0.2">
      <c r="DY49230" s="185" t="s">
        <v>215</v>
      </c>
    </row>
    <row r="49231" spans="129:129" x14ac:dyDescent="0.2">
      <c r="DY49231" s="185" t="s">
        <v>215</v>
      </c>
    </row>
    <row r="49232" spans="129:129" x14ac:dyDescent="0.2">
      <c r="DY49232" s="185" t="s">
        <v>215</v>
      </c>
    </row>
    <row r="49233" spans="129:129" x14ac:dyDescent="0.2">
      <c r="DY49233" s="185" t="s">
        <v>215</v>
      </c>
    </row>
    <row r="49234" spans="129:129" x14ac:dyDescent="0.2">
      <c r="DY49234" s="185" t="s">
        <v>215</v>
      </c>
    </row>
    <row r="49235" spans="129:129" x14ac:dyDescent="0.2">
      <c r="DY49235" s="185" t="s">
        <v>215</v>
      </c>
    </row>
    <row r="49236" spans="129:129" x14ac:dyDescent="0.2">
      <c r="DY49236" s="185" t="s">
        <v>215</v>
      </c>
    </row>
    <row r="49237" spans="129:129" x14ac:dyDescent="0.2">
      <c r="DY49237" s="185" t="s">
        <v>215</v>
      </c>
    </row>
    <row r="49238" spans="129:129" x14ac:dyDescent="0.2">
      <c r="DY49238" s="185" t="s">
        <v>215</v>
      </c>
    </row>
    <row r="49239" spans="129:129" x14ac:dyDescent="0.2">
      <c r="DY49239" s="185" t="s">
        <v>215</v>
      </c>
    </row>
    <row r="49240" spans="129:129" x14ac:dyDescent="0.2">
      <c r="DY49240" s="185" t="s">
        <v>215</v>
      </c>
    </row>
    <row r="49241" spans="129:129" x14ac:dyDescent="0.2">
      <c r="DY49241" s="185" t="s">
        <v>215</v>
      </c>
    </row>
    <row r="49242" spans="129:129" x14ac:dyDescent="0.2">
      <c r="DY49242" s="185" t="s">
        <v>215</v>
      </c>
    </row>
    <row r="49243" spans="129:129" x14ac:dyDescent="0.2">
      <c r="DY49243" s="185" t="s">
        <v>215</v>
      </c>
    </row>
    <row r="49244" spans="129:129" x14ac:dyDescent="0.2">
      <c r="DY49244" s="185" t="s">
        <v>215</v>
      </c>
    </row>
    <row r="49245" spans="129:129" x14ac:dyDescent="0.2">
      <c r="DY49245" s="185" t="s">
        <v>215</v>
      </c>
    </row>
    <row r="49246" spans="129:129" x14ac:dyDescent="0.2">
      <c r="DY49246" s="185" t="s">
        <v>215</v>
      </c>
    </row>
    <row r="49247" spans="129:129" x14ac:dyDescent="0.2">
      <c r="DY49247" s="185" t="s">
        <v>215</v>
      </c>
    </row>
    <row r="49248" spans="129:129" x14ac:dyDescent="0.2">
      <c r="DY49248" s="185" t="s">
        <v>215</v>
      </c>
    </row>
    <row r="49249" spans="129:129" x14ac:dyDescent="0.2">
      <c r="DY49249" s="185" t="s">
        <v>215</v>
      </c>
    </row>
    <row r="49250" spans="129:129" x14ac:dyDescent="0.2">
      <c r="DY49250" s="185" t="s">
        <v>215</v>
      </c>
    </row>
    <row r="49251" spans="129:129" x14ac:dyDescent="0.2">
      <c r="DY49251" s="185" t="s">
        <v>215</v>
      </c>
    </row>
    <row r="49252" spans="129:129" x14ac:dyDescent="0.2">
      <c r="DY49252" s="185" t="s">
        <v>215</v>
      </c>
    </row>
    <row r="49253" spans="129:129" x14ac:dyDescent="0.2">
      <c r="DY49253" s="185" t="s">
        <v>215</v>
      </c>
    </row>
    <row r="49254" spans="129:129" x14ac:dyDescent="0.2">
      <c r="DY49254" s="185" t="s">
        <v>215</v>
      </c>
    </row>
    <row r="49255" spans="129:129" x14ac:dyDescent="0.2">
      <c r="DY49255" s="185" t="s">
        <v>215</v>
      </c>
    </row>
    <row r="49256" spans="129:129" x14ac:dyDescent="0.2">
      <c r="DY49256" s="185" t="s">
        <v>215</v>
      </c>
    </row>
    <row r="49257" spans="129:129" x14ac:dyDescent="0.2">
      <c r="DY49257" s="185" t="s">
        <v>215</v>
      </c>
    </row>
    <row r="49258" spans="129:129" x14ac:dyDescent="0.2">
      <c r="DY49258" s="185" t="s">
        <v>215</v>
      </c>
    </row>
    <row r="49259" spans="129:129" x14ac:dyDescent="0.2">
      <c r="DY49259" s="185" t="s">
        <v>215</v>
      </c>
    </row>
    <row r="49260" spans="129:129" x14ac:dyDescent="0.2">
      <c r="DY49260" s="185" t="s">
        <v>215</v>
      </c>
    </row>
    <row r="49261" spans="129:129" x14ac:dyDescent="0.2">
      <c r="DY49261" s="185" t="s">
        <v>215</v>
      </c>
    </row>
    <row r="49262" spans="129:129" x14ac:dyDescent="0.2">
      <c r="DY49262" s="185" t="s">
        <v>215</v>
      </c>
    </row>
    <row r="49263" spans="129:129" x14ac:dyDescent="0.2">
      <c r="DY49263" s="185" t="s">
        <v>215</v>
      </c>
    </row>
    <row r="49264" spans="129:129" x14ac:dyDescent="0.2">
      <c r="DY49264" s="185" t="s">
        <v>215</v>
      </c>
    </row>
    <row r="49265" spans="129:129" x14ac:dyDescent="0.2">
      <c r="DY49265" s="185" t="s">
        <v>215</v>
      </c>
    </row>
    <row r="49266" spans="129:129" x14ac:dyDescent="0.2">
      <c r="DY49266" s="185" t="s">
        <v>215</v>
      </c>
    </row>
    <row r="49267" spans="129:129" x14ac:dyDescent="0.2">
      <c r="DY49267" s="185" t="s">
        <v>215</v>
      </c>
    </row>
    <row r="49268" spans="129:129" x14ac:dyDescent="0.2">
      <c r="DY49268" s="185" t="s">
        <v>215</v>
      </c>
    </row>
    <row r="49269" spans="129:129" x14ac:dyDescent="0.2">
      <c r="DY49269" s="185" t="s">
        <v>215</v>
      </c>
    </row>
    <row r="49270" spans="129:129" x14ac:dyDescent="0.2">
      <c r="DY49270" s="185" t="s">
        <v>215</v>
      </c>
    </row>
    <row r="49271" spans="129:129" x14ac:dyDescent="0.2">
      <c r="DY49271" s="185" t="s">
        <v>215</v>
      </c>
    </row>
    <row r="49272" spans="129:129" x14ac:dyDescent="0.2">
      <c r="DY49272" s="185" t="s">
        <v>215</v>
      </c>
    </row>
    <row r="49273" spans="129:129" x14ac:dyDescent="0.2">
      <c r="DY49273" s="185" t="s">
        <v>215</v>
      </c>
    </row>
    <row r="49274" spans="129:129" x14ac:dyDescent="0.2">
      <c r="DY49274" s="185" t="s">
        <v>215</v>
      </c>
    </row>
    <row r="49275" spans="129:129" x14ac:dyDescent="0.2">
      <c r="DY49275" s="185" t="s">
        <v>215</v>
      </c>
    </row>
    <row r="49276" spans="129:129" x14ac:dyDescent="0.2">
      <c r="DY49276" s="185" t="s">
        <v>215</v>
      </c>
    </row>
    <row r="49277" spans="129:129" x14ac:dyDescent="0.2">
      <c r="DY49277" s="185" t="s">
        <v>215</v>
      </c>
    </row>
    <row r="49278" spans="129:129" x14ac:dyDescent="0.2">
      <c r="DY49278" s="185" t="s">
        <v>215</v>
      </c>
    </row>
    <row r="49279" spans="129:129" x14ac:dyDescent="0.2">
      <c r="DY49279" s="185" t="s">
        <v>215</v>
      </c>
    </row>
    <row r="49280" spans="129:129" x14ac:dyDescent="0.2">
      <c r="DY49280" s="185" t="s">
        <v>215</v>
      </c>
    </row>
    <row r="49281" spans="129:129" x14ac:dyDescent="0.2">
      <c r="DY49281" s="185" t="s">
        <v>215</v>
      </c>
    </row>
    <row r="49282" spans="129:129" x14ac:dyDescent="0.2">
      <c r="DY49282" s="185" t="s">
        <v>215</v>
      </c>
    </row>
    <row r="49283" spans="129:129" x14ac:dyDescent="0.2">
      <c r="DY49283" s="185" t="s">
        <v>215</v>
      </c>
    </row>
    <row r="49284" spans="129:129" x14ac:dyDescent="0.2">
      <c r="DY49284" s="185" t="s">
        <v>215</v>
      </c>
    </row>
    <row r="49285" spans="129:129" x14ac:dyDescent="0.2">
      <c r="DY49285" s="185" t="s">
        <v>215</v>
      </c>
    </row>
    <row r="49286" spans="129:129" x14ac:dyDescent="0.2">
      <c r="DY49286" s="185" t="s">
        <v>215</v>
      </c>
    </row>
    <row r="49287" spans="129:129" x14ac:dyDescent="0.2">
      <c r="DY49287" s="185" t="s">
        <v>215</v>
      </c>
    </row>
    <row r="49288" spans="129:129" x14ac:dyDescent="0.2">
      <c r="DY49288" s="185" t="s">
        <v>215</v>
      </c>
    </row>
    <row r="49289" spans="129:129" x14ac:dyDescent="0.2">
      <c r="DY49289" s="185" t="s">
        <v>215</v>
      </c>
    </row>
    <row r="49290" spans="129:129" x14ac:dyDescent="0.2">
      <c r="DY49290" s="185" t="s">
        <v>215</v>
      </c>
    </row>
    <row r="49291" spans="129:129" x14ac:dyDescent="0.2">
      <c r="DY49291" s="185" t="s">
        <v>215</v>
      </c>
    </row>
    <row r="49292" spans="129:129" x14ac:dyDescent="0.2">
      <c r="DY49292" s="185" t="s">
        <v>215</v>
      </c>
    </row>
    <row r="49293" spans="129:129" x14ac:dyDescent="0.2">
      <c r="DY49293" s="185" t="s">
        <v>215</v>
      </c>
    </row>
    <row r="49294" spans="129:129" x14ac:dyDescent="0.2">
      <c r="DY49294" s="185" t="s">
        <v>215</v>
      </c>
    </row>
    <row r="49295" spans="129:129" x14ac:dyDescent="0.2">
      <c r="DY49295" s="185" t="s">
        <v>215</v>
      </c>
    </row>
    <row r="49296" spans="129:129" x14ac:dyDescent="0.2">
      <c r="DY49296" s="185" t="s">
        <v>215</v>
      </c>
    </row>
    <row r="49297" spans="129:129" x14ac:dyDescent="0.2">
      <c r="DY49297" s="185" t="s">
        <v>215</v>
      </c>
    </row>
    <row r="49298" spans="129:129" x14ac:dyDescent="0.2">
      <c r="DY49298" s="185" t="s">
        <v>215</v>
      </c>
    </row>
    <row r="49299" spans="129:129" x14ac:dyDescent="0.2">
      <c r="DY49299" s="185" t="s">
        <v>215</v>
      </c>
    </row>
    <row r="49300" spans="129:129" x14ac:dyDescent="0.2">
      <c r="DY49300" s="185" t="s">
        <v>215</v>
      </c>
    </row>
    <row r="49301" spans="129:129" x14ac:dyDescent="0.2">
      <c r="DY49301" s="185" t="s">
        <v>215</v>
      </c>
    </row>
    <row r="49302" spans="129:129" x14ac:dyDescent="0.2">
      <c r="DY49302" s="185" t="s">
        <v>215</v>
      </c>
    </row>
    <row r="49303" spans="129:129" x14ac:dyDescent="0.2">
      <c r="DY49303" s="185" t="s">
        <v>215</v>
      </c>
    </row>
    <row r="49304" spans="129:129" x14ac:dyDescent="0.2">
      <c r="DY49304" s="185" t="s">
        <v>215</v>
      </c>
    </row>
    <row r="49305" spans="129:129" x14ac:dyDescent="0.2">
      <c r="DY49305" s="185" t="s">
        <v>215</v>
      </c>
    </row>
    <row r="49306" spans="129:129" x14ac:dyDescent="0.2">
      <c r="DY49306" s="185" t="s">
        <v>215</v>
      </c>
    </row>
    <row r="49307" spans="129:129" x14ac:dyDescent="0.2">
      <c r="DY49307" s="185" t="s">
        <v>215</v>
      </c>
    </row>
    <row r="49308" spans="129:129" x14ac:dyDescent="0.2">
      <c r="DY49308" s="185" t="s">
        <v>215</v>
      </c>
    </row>
    <row r="49309" spans="129:129" x14ac:dyDescent="0.2">
      <c r="DY49309" s="185" t="s">
        <v>215</v>
      </c>
    </row>
    <row r="49310" spans="129:129" x14ac:dyDescent="0.2">
      <c r="DY49310" s="185" t="s">
        <v>215</v>
      </c>
    </row>
    <row r="49311" spans="129:129" x14ac:dyDescent="0.2">
      <c r="DY49311" s="185" t="s">
        <v>215</v>
      </c>
    </row>
    <row r="49312" spans="129:129" x14ac:dyDescent="0.2">
      <c r="DY49312" s="185" t="s">
        <v>215</v>
      </c>
    </row>
    <row r="49313" spans="129:129" x14ac:dyDescent="0.2">
      <c r="DY49313" s="185" t="s">
        <v>215</v>
      </c>
    </row>
    <row r="49314" spans="129:129" x14ac:dyDescent="0.2">
      <c r="DY49314" s="185" t="s">
        <v>215</v>
      </c>
    </row>
    <row r="49315" spans="129:129" x14ac:dyDescent="0.2">
      <c r="DY49315" s="185" t="s">
        <v>215</v>
      </c>
    </row>
    <row r="49316" spans="129:129" x14ac:dyDescent="0.2">
      <c r="DY49316" s="185" t="s">
        <v>215</v>
      </c>
    </row>
    <row r="49317" spans="129:129" x14ac:dyDescent="0.2">
      <c r="DY49317" s="185" t="s">
        <v>215</v>
      </c>
    </row>
    <row r="49318" spans="129:129" x14ac:dyDescent="0.2">
      <c r="DY49318" s="185" t="s">
        <v>215</v>
      </c>
    </row>
    <row r="49319" spans="129:129" x14ac:dyDescent="0.2">
      <c r="DY49319" s="185" t="s">
        <v>215</v>
      </c>
    </row>
    <row r="49320" spans="129:129" x14ac:dyDescent="0.2">
      <c r="DY49320" s="185" t="s">
        <v>215</v>
      </c>
    </row>
    <row r="49321" spans="129:129" x14ac:dyDescent="0.2">
      <c r="DY49321" s="185" t="s">
        <v>215</v>
      </c>
    </row>
    <row r="49322" spans="129:129" x14ac:dyDescent="0.2">
      <c r="DY49322" s="185" t="s">
        <v>215</v>
      </c>
    </row>
    <row r="49323" spans="129:129" x14ac:dyDescent="0.2">
      <c r="DY49323" s="185" t="s">
        <v>215</v>
      </c>
    </row>
    <row r="49324" spans="129:129" x14ac:dyDescent="0.2">
      <c r="DY49324" s="185" t="s">
        <v>215</v>
      </c>
    </row>
    <row r="49325" spans="129:129" x14ac:dyDescent="0.2">
      <c r="DY49325" s="185" t="s">
        <v>215</v>
      </c>
    </row>
    <row r="49326" spans="129:129" x14ac:dyDescent="0.2">
      <c r="DY49326" s="185" t="s">
        <v>215</v>
      </c>
    </row>
    <row r="49327" spans="129:129" x14ac:dyDescent="0.2">
      <c r="DY49327" s="185" t="s">
        <v>215</v>
      </c>
    </row>
    <row r="49328" spans="129:129" x14ac:dyDescent="0.2">
      <c r="DY49328" s="185" t="s">
        <v>215</v>
      </c>
    </row>
    <row r="49329" spans="129:129" x14ac:dyDescent="0.2">
      <c r="DY49329" s="185" t="s">
        <v>215</v>
      </c>
    </row>
    <row r="49330" spans="129:129" x14ac:dyDescent="0.2">
      <c r="DY49330" s="185" t="s">
        <v>215</v>
      </c>
    </row>
    <row r="49331" spans="129:129" x14ac:dyDescent="0.2">
      <c r="DY49331" s="185" t="s">
        <v>215</v>
      </c>
    </row>
    <row r="49332" spans="129:129" x14ac:dyDescent="0.2">
      <c r="DY49332" s="185" t="s">
        <v>215</v>
      </c>
    </row>
    <row r="49333" spans="129:129" x14ac:dyDescent="0.2">
      <c r="DY49333" s="185" t="s">
        <v>215</v>
      </c>
    </row>
    <row r="49334" spans="129:129" x14ac:dyDescent="0.2">
      <c r="DY49334" s="185" t="s">
        <v>215</v>
      </c>
    </row>
    <row r="49335" spans="129:129" x14ac:dyDescent="0.2">
      <c r="DY49335" s="185" t="s">
        <v>215</v>
      </c>
    </row>
    <row r="49336" spans="129:129" x14ac:dyDescent="0.2">
      <c r="DY49336" s="185" t="s">
        <v>215</v>
      </c>
    </row>
    <row r="49337" spans="129:129" x14ac:dyDescent="0.2">
      <c r="DY49337" s="185" t="s">
        <v>215</v>
      </c>
    </row>
    <row r="49338" spans="129:129" x14ac:dyDescent="0.2">
      <c r="DY49338" s="185" t="s">
        <v>215</v>
      </c>
    </row>
    <row r="49339" spans="129:129" x14ac:dyDescent="0.2">
      <c r="DY49339" s="185" t="s">
        <v>215</v>
      </c>
    </row>
    <row r="49340" spans="129:129" x14ac:dyDescent="0.2">
      <c r="DY49340" s="185" t="s">
        <v>215</v>
      </c>
    </row>
    <row r="49341" spans="129:129" x14ac:dyDescent="0.2">
      <c r="DY49341" s="185" t="s">
        <v>215</v>
      </c>
    </row>
    <row r="49342" spans="129:129" x14ac:dyDescent="0.2">
      <c r="DY49342" s="185" t="s">
        <v>215</v>
      </c>
    </row>
    <row r="49343" spans="129:129" x14ac:dyDescent="0.2">
      <c r="DY49343" s="185" t="s">
        <v>215</v>
      </c>
    </row>
    <row r="49344" spans="129:129" x14ac:dyDescent="0.2">
      <c r="DY49344" s="185" t="s">
        <v>215</v>
      </c>
    </row>
    <row r="49345" spans="129:129" x14ac:dyDescent="0.2">
      <c r="DY49345" s="185" t="s">
        <v>215</v>
      </c>
    </row>
    <row r="49346" spans="129:129" x14ac:dyDescent="0.2">
      <c r="DY49346" s="185" t="s">
        <v>215</v>
      </c>
    </row>
    <row r="49347" spans="129:129" x14ac:dyDescent="0.2">
      <c r="DY49347" s="185" t="s">
        <v>215</v>
      </c>
    </row>
    <row r="49348" spans="129:129" x14ac:dyDescent="0.2">
      <c r="DY49348" s="185" t="s">
        <v>215</v>
      </c>
    </row>
    <row r="49349" spans="129:129" x14ac:dyDescent="0.2">
      <c r="DY49349" s="185" t="s">
        <v>215</v>
      </c>
    </row>
    <row r="49350" spans="129:129" x14ac:dyDescent="0.2">
      <c r="DY49350" s="185" t="s">
        <v>215</v>
      </c>
    </row>
    <row r="49351" spans="129:129" x14ac:dyDescent="0.2">
      <c r="DY49351" s="185" t="s">
        <v>215</v>
      </c>
    </row>
    <row r="49352" spans="129:129" x14ac:dyDescent="0.2">
      <c r="DY49352" s="185" t="s">
        <v>215</v>
      </c>
    </row>
    <row r="49353" spans="129:129" x14ac:dyDescent="0.2">
      <c r="DY49353" s="185" t="s">
        <v>215</v>
      </c>
    </row>
    <row r="49354" spans="129:129" x14ac:dyDescent="0.2">
      <c r="DY49354" s="185" t="s">
        <v>215</v>
      </c>
    </row>
    <row r="49355" spans="129:129" x14ac:dyDescent="0.2">
      <c r="DY49355" s="185" t="s">
        <v>215</v>
      </c>
    </row>
    <row r="49356" spans="129:129" x14ac:dyDescent="0.2">
      <c r="DY49356" s="185" t="s">
        <v>215</v>
      </c>
    </row>
    <row r="49357" spans="129:129" x14ac:dyDescent="0.2">
      <c r="DY49357" s="185" t="s">
        <v>215</v>
      </c>
    </row>
    <row r="49358" spans="129:129" x14ac:dyDescent="0.2">
      <c r="DY49358" s="185" t="s">
        <v>215</v>
      </c>
    </row>
    <row r="49359" spans="129:129" x14ac:dyDescent="0.2">
      <c r="DY49359" s="185" t="s">
        <v>215</v>
      </c>
    </row>
    <row r="49360" spans="129:129" x14ac:dyDescent="0.2">
      <c r="DY49360" s="185" t="s">
        <v>215</v>
      </c>
    </row>
    <row r="49361" spans="129:129" x14ac:dyDescent="0.2">
      <c r="DY49361" s="185" t="s">
        <v>215</v>
      </c>
    </row>
    <row r="49362" spans="129:129" x14ac:dyDescent="0.2">
      <c r="DY49362" s="185" t="s">
        <v>215</v>
      </c>
    </row>
    <row r="49363" spans="129:129" x14ac:dyDescent="0.2">
      <c r="DY49363" s="185" t="s">
        <v>215</v>
      </c>
    </row>
    <row r="49364" spans="129:129" x14ac:dyDescent="0.2">
      <c r="DY49364" s="185" t="s">
        <v>215</v>
      </c>
    </row>
    <row r="49365" spans="129:129" x14ac:dyDescent="0.2">
      <c r="DY49365" s="185" t="s">
        <v>215</v>
      </c>
    </row>
    <row r="49366" spans="129:129" x14ac:dyDescent="0.2">
      <c r="DY49366" s="185" t="s">
        <v>215</v>
      </c>
    </row>
    <row r="49367" spans="129:129" x14ac:dyDescent="0.2">
      <c r="DY49367" s="185" t="s">
        <v>215</v>
      </c>
    </row>
    <row r="49368" spans="129:129" x14ac:dyDescent="0.2">
      <c r="DY49368" s="185" t="s">
        <v>215</v>
      </c>
    </row>
    <row r="49369" spans="129:129" x14ac:dyDescent="0.2">
      <c r="DY49369" s="185" t="s">
        <v>215</v>
      </c>
    </row>
    <row r="49370" spans="129:129" x14ac:dyDescent="0.2">
      <c r="DY49370" s="185" t="s">
        <v>215</v>
      </c>
    </row>
    <row r="49371" spans="129:129" x14ac:dyDescent="0.2">
      <c r="DY49371" s="185" t="s">
        <v>215</v>
      </c>
    </row>
    <row r="49372" spans="129:129" x14ac:dyDescent="0.2">
      <c r="DY49372" s="185" t="s">
        <v>215</v>
      </c>
    </row>
    <row r="49373" spans="129:129" x14ac:dyDescent="0.2">
      <c r="DY49373" s="185" t="s">
        <v>215</v>
      </c>
    </row>
    <row r="49374" spans="129:129" x14ac:dyDescent="0.2">
      <c r="DY49374" s="185" t="s">
        <v>215</v>
      </c>
    </row>
    <row r="49375" spans="129:129" x14ac:dyDescent="0.2">
      <c r="DY49375" s="185" t="s">
        <v>215</v>
      </c>
    </row>
    <row r="49376" spans="129:129" x14ac:dyDescent="0.2">
      <c r="DY49376" s="185" t="s">
        <v>215</v>
      </c>
    </row>
    <row r="49377" spans="129:129" x14ac:dyDescent="0.2">
      <c r="DY49377" s="185" t="s">
        <v>215</v>
      </c>
    </row>
    <row r="49378" spans="129:129" x14ac:dyDescent="0.2">
      <c r="DY49378" s="185" t="s">
        <v>215</v>
      </c>
    </row>
    <row r="49379" spans="129:129" x14ac:dyDescent="0.2">
      <c r="DY49379" s="185" t="s">
        <v>215</v>
      </c>
    </row>
    <row r="49380" spans="129:129" x14ac:dyDescent="0.2">
      <c r="DY49380" s="185" t="s">
        <v>215</v>
      </c>
    </row>
    <row r="49381" spans="129:129" x14ac:dyDescent="0.2">
      <c r="DY49381" s="185" t="s">
        <v>215</v>
      </c>
    </row>
    <row r="49382" spans="129:129" x14ac:dyDescent="0.2">
      <c r="DY49382" s="185" t="s">
        <v>215</v>
      </c>
    </row>
    <row r="49383" spans="129:129" x14ac:dyDescent="0.2">
      <c r="DY49383" s="185" t="s">
        <v>215</v>
      </c>
    </row>
    <row r="49384" spans="129:129" x14ac:dyDescent="0.2">
      <c r="DY49384" s="185" t="s">
        <v>215</v>
      </c>
    </row>
    <row r="49385" spans="129:129" x14ac:dyDescent="0.2">
      <c r="DY49385" s="185" t="s">
        <v>215</v>
      </c>
    </row>
    <row r="49386" spans="129:129" x14ac:dyDescent="0.2">
      <c r="DY49386" s="185" t="s">
        <v>215</v>
      </c>
    </row>
    <row r="49387" spans="129:129" x14ac:dyDescent="0.2">
      <c r="DY49387" s="185" t="s">
        <v>215</v>
      </c>
    </row>
    <row r="49388" spans="129:129" x14ac:dyDescent="0.2">
      <c r="DY49388" s="185" t="s">
        <v>215</v>
      </c>
    </row>
    <row r="49389" spans="129:129" x14ac:dyDescent="0.2">
      <c r="DY49389" s="185" t="s">
        <v>215</v>
      </c>
    </row>
    <row r="49390" spans="129:129" x14ac:dyDescent="0.2">
      <c r="DY49390" s="185" t="s">
        <v>215</v>
      </c>
    </row>
    <row r="49391" spans="129:129" x14ac:dyDescent="0.2">
      <c r="DY49391" s="185" t="s">
        <v>215</v>
      </c>
    </row>
    <row r="49392" spans="129:129" x14ac:dyDescent="0.2">
      <c r="DY49392" s="185" t="s">
        <v>215</v>
      </c>
    </row>
    <row r="49393" spans="129:129" x14ac:dyDescent="0.2">
      <c r="DY49393" s="185" t="s">
        <v>215</v>
      </c>
    </row>
    <row r="49394" spans="129:129" x14ac:dyDescent="0.2">
      <c r="DY49394" s="185" t="s">
        <v>215</v>
      </c>
    </row>
    <row r="49395" spans="129:129" x14ac:dyDescent="0.2">
      <c r="DY49395" s="185" t="s">
        <v>215</v>
      </c>
    </row>
    <row r="49396" spans="129:129" x14ac:dyDescent="0.2">
      <c r="DY49396" s="185" t="s">
        <v>215</v>
      </c>
    </row>
    <row r="49397" spans="129:129" x14ac:dyDescent="0.2">
      <c r="DY49397" s="185" t="s">
        <v>215</v>
      </c>
    </row>
    <row r="49398" spans="129:129" x14ac:dyDescent="0.2">
      <c r="DY49398" s="185" t="s">
        <v>215</v>
      </c>
    </row>
    <row r="49399" spans="129:129" x14ac:dyDescent="0.2">
      <c r="DY49399" s="185" t="s">
        <v>215</v>
      </c>
    </row>
    <row r="49400" spans="129:129" x14ac:dyDescent="0.2">
      <c r="DY49400" s="185" t="s">
        <v>215</v>
      </c>
    </row>
    <row r="49401" spans="129:129" x14ac:dyDescent="0.2">
      <c r="DY49401" s="185" t="s">
        <v>215</v>
      </c>
    </row>
    <row r="49402" spans="129:129" x14ac:dyDescent="0.2">
      <c r="DY49402" s="185" t="s">
        <v>215</v>
      </c>
    </row>
    <row r="49403" spans="129:129" x14ac:dyDescent="0.2">
      <c r="DY49403" s="185" t="s">
        <v>215</v>
      </c>
    </row>
    <row r="49404" spans="129:129" x14ac:dyDescent="0.2">
      <c r="DY49404" s="185" t="s">
        <v>215</v>
      </c>
    </row>
    <row r="49405" spans="129:129" x14ac:dyDescent="0.2">
      <c r="DY49405" s="185" t="s">
        <v>215</v>
      </c>
    </row>
    <row r="49406" spans="129:129" x14ac:dyDescent="0.2">
      <c r="DY49406" s="185" t="s">
        <v>215</v>
      </c>
    </row>
    <row r="49407" spans="129:129" x14ac:dyDescent="0.2">
      <c r="DY49407" s="185" t="s">
        <v>215</v>
      </c>
    </row>
    <row r="49408" spans="129:129" x14ac:dyDescent="0.2">
      <c r="DY49408" s="185" t="s">
        <v>215</v>
      </c>
    </row>
    <row r="49409" spans="129:129" x14ac:dyDescent="0.2">
      <c r="DY49409" s="185" t="s">
        <v>215</v>
      </c>
    </row>
    <row r="49410" spans="129:129" x14ac:dyDescent="0.2">
      <c r="DY49410" s="185" t="s">
        <v>215</v>
      </c>
    </row>
    <row r="49411" spans="129:129" x14ac:dyDescent="0.2">
      <c r="DY49411" s="185" t="s">
        <v>215</v>
      </c>
    </row>
    <row r="49412" spans="129:129" x14ac:dyDescent="0.2">
      <c r="DY49412" s="185" t="s">
        <v>215</v>
      </c>
    </row>
    <row r="49413" spans="129:129" x14ac:dyDescent="0.2">
      <c r="DY49413" s="185" t="s">
        <v>215</v>
      </c>
    </row>
    <row r="49414" spans="129:129" x14ac:dyDescent="0.2">
      <c r="DY49414" s="185" t="s">
        <v>215</v>
      </c>
    </row>
    <row r="49415" spans="129:129" x14ac:dyDescent="0.2">
      <c r="DY49415" s="185" t="s">
        <v>215</v>
      </c>
    </row>
    <row r="49416" spans="129:129" x14ac:dyDescent="0.2">
      <c r="DY49416" s="185" t="s">
        <v>215</v>
      </c>
    </row>
    <row r="49417" spans="129:129" x14ac:dyDescent="0.2">
      <c r="DY49417" s="185" t="s">
        <v>215</v>
      </c>
    </row>
    <row r="49418" spans="129:129" x14ac:dyDescent="0.2">
      <c r="DY49418" s="185" t="s">
        <v>215</v>
      </c>
    </row>
    <row r="49419" spans="129:129" x14ac:dyDescent="0.2">
      <c r="DY49419" s="185" t="s">
        <v>215</v>
      </c>
    </row>
    <row r="49420" spans="129:129" x14ac:dyDescent="0.2">
      <c r="DY49420" s="185" t="s">
        <v>215</v>
      </c>
    </row>
    <row r="49421" spans="129:129" x14ac:dyDescent="0.2">
      <c r="DY49421" s="185" t="s">
        <v>215</v>
      </c>
    </row>
    <row r="49422" spans="129:129" x14ac:dyDescent="0.2">
      <c r="DY49422" s="185" t="s">
        <v>215</v>
      </c>
    </row>
    <row r="49423" spans="129:129" x14ac:dyDescent="0.2">
      <c r="DY49423" s="185" t="s">
        <v>215</v>
      </c>
    </row>
    <row r="49424" spans="129:129" x14ac:dyDescent="0.2">
      <c r="DY49424" s="185" t="s">
        <v>215</v>
      </c>
    </row>
    <row r="49425" spans="129:129" x14ac:dyDescent="0.2">
      <c r="DY49425" s="185" t="s">
        <v>215</v>
      </c>
    </row>
    <row r="49426" spans="129:129" x14ac:dyDescent="0.2">
      <c r="DY49426" s="185" t="s">
        <v>215</v>
      </c>
    </row>
    <row r="49427" spans="129:129" x14ac:dyDescent="0.2">
      <c r="DY49427" s="185" t="s">
        <v>215</v>
      </c>
    </row>
    <row r="49428" spans="129:129" x14ac:dyDescent="0.2">
      <c r="DY49428" s="185" t="s">
        <v>215</v>
      </c>
    </row>
    <row r="49429" spans="129:129" x14ac:dyDescent="0.2">
      <c r="DY49429" s="185" t="s">
        <v>215</v>
      </c>
    </row>
    <row r="49430" spans="129:129" x14ac:dyDescent="0.2">
      <c r="DY49430" s="185" t="s">
        <v>215</v>
      </c>
    </row>
    <row r="49431" spans="129:129" x14ac:dyDescent="0.2">
      <c r="DY49431" s="185" t="s">
        <v>215</v>
      </c>
    </row>
    <row r="49432" spans="129:129" x14ac:dyDescent="0.2">
      <c r="DY49432" s="185" t="s">
        <v>215</v>
      </c>
    </row>
    <row r="49433" spans="129:129" x14ac:dyDescent="0.2">
      <c r="DY49433" s="185" t="s">
        <v>215</v>
      </c>
    </row>
    <row r="49434" spans="129:129" x14ac:dyDescent="0.2">
      <c r="DY49434" s="185" t="s">
        <v>215</v>
      </c>
    </row>
    <row r="49435" spans="129:129" x14ac:dyDescent="0.2">
      <c r="DY49435" s="185" t="s">
        <v>215</v>
      </c>
    </row>
    <row r="49436" spans="129:129" x14ac:dyDescent="0.2">
      <c r="DY49436" s="185" t="s">
        <v>215</v>
      </c>
    </row>
    <row r="49437" spans="129:129" x14ac:dyDescent="0.2">
      <c r="DY49437" s="185" t="s">
        <v>215</v>
      </c>
    </row>
    <row r="49438" spans="129:129" x14ac:dyDescent="0.2">
      <c r="DY49438" s="185" t="s">
        <v>215</v>
      </c>
    </row>
    <row r="49439" spans="129:129" x14ac:dyDescent="0.2">
      <c r="DY49439" s="185" t="s">
        <v>215</v>
      </c>
    </row>
    <row r="49440" spans="129:129" x14ac:dyDescent="0.2">
      <c r="DY49440" s="185" t="s">
        <v>215</v>
      </c>
    </row>
    <row r="49441" spans="129:129" x14ac:dyDescent="0.2">
      <c r="DY49441" s="185" t="s">
        <v>215</v>
      </c>
    </row>
    <row r="49442" spans="129:129" x14ac:dyDescent="0.2">
      <c r="DY49442" s="185" t="s">
        <v>215</v>
      </c>
    </row>
    <row r="49443" spans="129:129" x14ac:dyDescent="0.2">
      <c r="DY49443" s="185" t="s">
        <v>215</v>
      </c>
    </row>
    <row r="49444" spans="129:129" x14ac:dyDescent="0.2">
      <c r="DY49444" s="185" t="s">
        <v>215</v>
      </c>
    </row>
    <row r="49445" spans="129:129" x14ac:dyDescent="0.2">
      <c r="DY49445" s="185" t="s">
        <v>215</v>
      </c>
    </row>
    <row r="49446" spans="129:129" x14ac:dyDescent="0.2">
      <c r="DY49446" s="185" t="s">
        <v>215</v>
      </c>
    </row>
    <row r="49447" spans="129:129" x14ac:dyDescent="0.2">
      <c r="DY49447" s="185" t="s">
        <v>215</v>
      </c>
    </row>
    <row r="49448" spans="129:129" x14ac:dyDescent="0.2">
      <c r="DY49448" s="185" t="s">
        <v>215</v>
      </c>
    </row>
    <row r="49449" spans="129:129" x14ac:dyDescent="0.2">
      <c r="DY49449" s="185" t="s">
        <v>215</v>
      </c>
    </row>
    <row r="49450" spans="129:129" x14ac:dyDescent="0.2">
      <c r="DY49450" s="185" t="s">
        <v>215</v>
      </c>
    </row>
    <row r="49451" spans="129:129" x14ac:dyDescent="0.2">
      <c r="DY49451" s="185" t="s">
        <v>215</v>
      </c>
    </row>
    <row r="49452" spans="129:129" x14ac:dyDescent="0.2">
      <c r="DY49452" s="185" t="s">
        <v>215</v>
      </c>
    </row>
    <row r="49453" spans="129:129" x14ac:dyDescent="0.2">
      <c r="DY49453" s="185" t="s">
        <v>215</v>
      </c>
    </row>
    <row r="49454" spans="129:129" x14ac:dyDescent="0.2">
      <c r="DY49454" s="185" t="s">
        <v>215</v>
      </c>
    </row>
    <row r="49455" spans="129:129" x14ac:dyDescent="0.2">
      <c r="DY49455" s="185" t="s">
        <v>215</v>
      </c>
    </row>
    <row r="49456" spans="129:129" x14ac:dyDescent="0.2">
      <c r="DY49456" s="185" t="s">
        <v>215</v>
      </c>
    </row>
    <row r="49457" spans="129:129" x14ac:dyDescent="0.2">
      <c r="DY49457" s="185" t="s">
        <v>215</v>
      </c>
    </row>
    <row r="49458" spans="129:129" x14ac:dyDescent="0.2">
      <c r="DY49458" s="185" t="s">
        <v>215</v>
      </c>
    </row>
    <row r="49459" spans="129:129" x14ac:dyDescent="0.2">
      <c r="DY49459" s="185" t="s">
        <v>215</v>
      </c>
    </row>
    <row r="49460" spans="129:129" x14ac:dyDescent="0.2">
      <c r="DY49460" s="185" t="s">
        <v>215</v>
      </c>
    </row>
    <row r="49461" spans="129:129" x14ac:dyDescent="0.2">
      <c r="DY49461" s="185" t="s">
        <v>215</v>
      </c>
    </row>
    <row r="49462" spans="129:129" x14ac:dyDescent="0.2">
      <c r="DY49462" s="185" t="s">
        <v>215</v>
      </c>
    </row>
    <row r="49463" spans="129:129" x14ac:dyDescent="0.2">
      <c r="DY49463" s="185" t="s">
        <v>215</v>
      </c>
    </row>
    <row r="49464" spans="129:129" x14ac:dyDescent="0.2">
      <c r="DY49464" s="185" t="s">
        <v>215</v>
      </c>
    </row>
    <row r="49465" spans="129:129" x14ac:dyDescent="0.2">
      <c r="DY49465" s="185" t="s">
        <v>215</v>
      </c>
    </row>
    <row r="49466" spans="129:129" x14ac:dyDescent="0.2">
      <c r="DY49466" s="185" t="s">
        <v>215</v>
      </c>
    </row>
    <row r="49467" spans="129:129" x14ac:dyDescent="0.2">
      <c r="DY49467" s="185" t="s">
        <v>215</v>
      </c>
    </row>
    <row r="49468" spans="129:129" x14ac:dyDescent="0.2">
      <c r="DY49468" s="185" t="s">
        <v>215</v>
      </c>
    </row>
    <row r="49469" spans="129:129" x14ac:dyDescent="0.2">
      <c r="DY49469" s="185" t="s">
        <v>215</v>
      </c>
    </row>
    <row r="49470" spans="129:129" x14ac:dyDescent="0.2">
      <c r="DY49470" s="185" t="s">
        <v>215</v>
      </c>
    </row>
    <row r="49471" spans="129:129" x14ac:dyDescent="0.2">
      <c r="DY49471" s="185" t="s">
        <v>215</v>
      </c>
    </row>
    <row r="49472" spans="129:129" x14ac:dyDescent="0.2">
      <c r="DY49472" s="185" t="s">
        <v>215</v>
      </c>
    </row>
    <row r="49473" spans="129:129" x14ac:dyDescent="0.2">
      <c r="DY49473" s="185" t="s">
        <v>215</v>
      </c>
    </row>
    <row r="49474" spans="129:129" x14ac:dyDescent="0.2">
      <c r="DY49474" s="185" t="s">
        <v>215</v>
      </c>
    </row>
    <row r="49475" spans="129:129" x14ac:dyDescent="0.2">
      <c r="DY49475" s="185" t="s">
        <v>215</v>
      </c>
    </row>
    <row r="49476" spans="129:129" x14ac:dyDescent="0.2">
      <c r="DY49476" s="185" t="s">
        <v>215</v>
      </c>
    </row>
    <row r="49477" spans="129:129" x14ac:dyDescent="0.2">
      <c r="DY49477" s="185" t="s">
        <v>215</v>
      </c>
    </row>
    <row r="49478" spans="129:129" x14ac:dyDescent="0.2">
      <c r="DY49478" s="185" t="s">
        <v>215</v>
      </c>
    </row>
    <row r="49479" spans="129:129" x14ac:dyDescent="0.2">
      <c r="DY49479" s="185" t="s">
        <v>215</v>
      </c>
    </row>
    <row r="49480" spans="129:129" x14ac:dyDescent="0.2">
      <c r="DY49480" s="185" t="s">
        <v>215</v>
      </c>
    </row>
    <row r="49481" spans="129:129" x14ac:dyDescent="0.2">
      <c r="DY49481" s="185" t="s">
        <v>215</v>
      </c>
    </row>
    <row r="49482" spans="129:129" x14ac:dyDescent="0.2">
      <c r="DY49482" s="185" t="s">
        <v>215</v>
      </c>
    </row>
    <row r="49483" spans="129:129" x14ac:dyDescent="0.2">
      <c r="DY49483" s="185" t="s">
        <v>215</v>
      </c>
    </row>
    <row r="49484" spans="129:129" x14ac:dyDescent="0.2">
      <c r="DY49484" s="185" t="s">
        <v>215</v>
      </c>
    </row>
    <row r="49485" spans="129:129" x14ac:dyDescent="0.2">
      <c r="DY49485" s="185" t="s">
        <v>215</v>
      </c>
    </row>
    <row r="49486" spans="129:129" x14ac:dyDescent="0.2">
      <c r="DY49486" s="185" t="s">
        <v>215</v>
      </c>
    </row>
    <row r="49487" spans="129:129" x14ac:dyDescent="0.2">
      <c r="DY49487" s="185" t="s">
        <v>215</v>
      </c>
    </row>
    <row r="49488" spans="129:129" x14ac:dyDescent="0.2">
      <c r="DY49488" s="185" t="s">
        <v>215</v>
      </c>
    </row>
    <row r="49489" spans="129:129" x14ac:dyDescent="0.2">
      <c r="DY49489" s="185" t="s">
        <v>215</v>
      </c>
    </row>
    <row r="49490" spans="129:129" x14ac:dyDescent="0.2">
      <c r="DY49490" s="185" t="s">
        <v>215</v>
      </c>
    </row>
    <row r="49491" spans="129:129" x14ac:dyDescent="0.2">
      <c r="DY49491" s="185" t="s">
        <v>215</v>
      </c>
    </row>
    <row r="49492" spans="129:129" x14ac:dyDescent="0.2">
      <c r="DY49492" s="185" t="s">
        <v>215</v>
      </c>
    </row>
    <row r="49493" spans="129:129" x14ac:dyDescent="0.2">
      <c r="DY49493" s="185" t="s">
        <v>215</v>
      </c>
    </row>
    <row r="49494" spans="129:129" x14ac:dyDescent="0.2">
      <c r="DY49494" s="185" t="s">
        <v>215</v>
      </c>
    </row>
    <row r="49495" spans="129:129" x14ac:dyDescent="0.2">
      <c r="DY49495" s="185" t="s">
        <v>215</v>
      </c>
    </row>
    <row r="49496" spans="129:129" x14ac:dyDescent="0.2">
      <c r="DY49496" s="185" t="s">
        <v>215</v>
      </c>
    </row>
    <row r="49497" spans="129:129" x14ac:dyDescent="0.2">
      <c r="DY49497" s="185" t="s">
        <v>215</v>
      </c>
    </row>
    <row r="49498" spans="129:129" x14ac:dyDescent="0.2">
      <c r="DY49498" s="185" t="s">
        <v>215</v>
      </c>
    </row>
    <row r="49499" spans="129:129" x14ac:dyDescent="0.2">
      <c r="DY49499" s="185" t="s">
        <v>215</v>
      </c>
    </row>
    <row r="49500" spans="129:129" x14ac:dyDescent="0.2">
      <c r="DY49500" s="185" t="s">
        <v>215</v>
      </c>
    </row>
    <row r="49501" spans="129:129" x14ac:dyDescent="0.2">
      <c r="DY49501" s="185" t="s">
        <v>215</v>
      </c>
    </row>
    <row r="49502" spans="129:129" x14ac:dyDescent="0.2">
      <c r="DY49502" s="185" t="s">
        <v>215</v>
      </c>
    </row>
    <row r="49503" spans="129:129" x14ac:dyDescent="0.2">
      <c r="DY49503" s="185" t="s">
        <v>215</v>
      </c>
    </row>
    <row r="49504" spans="129:129" x14ac:dyDescent="0.2">
      <c r="DY49504" s="185" t="s">
        <v>215</v>
      </c>
    </row>
    <row r="49505" spans="129:129" x14ac:dyDescent="0.2">
      <c r="DY49505" s="185" t="s">
        <v>215</v>
      </c>
    </row>
    <row r="49506" spans="129:129" x14ac:dyDescent="0.2">
      <c r="DY49506" s="185" t="s">
        <v>215</v>
      </c>
    </row>
    <row r="49507" spans="129:129" x14ac:dyDescent="0.2">
      <c r="DY49507" s="185" t="s">
        <v>215</v>
      </c>
    </row>
    <row r="49508" spans="129:129" x14ac:dyDescent="0.2">
      <c r="DY49508" s="185" t="s">
        <v>215</v>
      </c>
    </row>
    <row r="49509" spans="129:129" x14ac:dyDescent="0.2">
      <c r="DY49509" s="185" t="s">
        <v>215</v>
      </c>
    </row>
    <row r="49510" spans="129:129" x14ac:dyDescent="0.2">
      <c r="DY49510" s="185" t="s">
        <v>215</v>
      </c>
    </row>
    <row r="49511" spans="129:129" x14ac:dyDescent="0.2">
      <c r="DY49511" s="185" t="s">
        <v>215</v>
      </c>
    </row>
    <row r="49512" spans="129:129" x14ac:dyDescent="0.2">
      <c r="DY49512" s="185" t="s">
        <v>215</v>
      </c>
    </row>
    <row r="49513" spans="129:129" x14ac:dyDescent="0.2">
      <c r="DY49513" s="185" t="s">
        <v>215</v>
      </c>
    </row>
    <row r="49514" spans="129:129" x14ac:dyDescent="0.2">
      <c r="DY49514" s="185" t="s">
        <v>215</v>
      </c>
    </row>
    <row r="49515" spans="129:129" x14ac:dyDescent="0.2">
      <c r="DY49515" s="185" t="s">
        <v>215</v>
      </c>
    </row>
    <row r="49516" spans="129:129" x14ac:dyDescent="0.2">
      <c r="DY49516" s="185" t="s">
        <v>215</v>
      </c>
    </row>
    <row r="49517" spans="129:129" x14ac:dyDescent="0.2">
      <c r="DY49517" s="185" t="s">
        <v>215</v>
      </c>
    </row>
    <row r="49518" spans="129:129" x14ac:dyDescent="0.2">
      <c r="DY49518" s="185" t="s">
        <v>215</v>
      </c>
    </row>
    <row r="49519" spans="129:129" x14ac:dyDescent="0.2">
      <c r="DY49519" s="185" t="s">
        <v>215</v>
      </c>
    </row>
    <row r="49520" spans="129:129" x14ac:dyDescent="0.2">
      <c r="DY49520" s="185" t="s">
        <v>215</v>
      </c>
    </row>
    <row r="49521" spans="129:129" x14ac:dyDescent="0.2">
      <c r="DY49521" s="185" t="s">
        <v>215</v>
      </c>
    </row>
    <row r="49522" spans="129:129" x14ac:dyDescent="0.2">
      <c r="DY49522" s="185" t="s">
        <v>215</v>
      </c>
    </row>
    <row r="49523" spans="129:129" x14ac:dyDescent="0.2">
      <c r="DY49523" s="185" t="s">
        <v>215</v>
      </c>
    </row>
    <row r="49524" spans="129:129" x14ac:dyDescent="0.2">
      <c r="DY49524" s="185" t="s">
        <v>215</v>
      </c>
    </row>
    <row r="49525" spans="129:129" x14ac:dyDescent="0.2">
      <c r="DY49525" s="185" t="s">
        <v>215</v>
      </c>
    </row>
    <row r="49526" spans="129:129" x14ac:dyDescent="0.2">
      <c r="DY49526" s="185" t="s">
        <v>215</v>
      </c>
    </row>
    <row r="49527" spans="129:129" x14ac:dyDescent="0.2">
      <c r="DY49527" s="185" t="s">
        <v>215</v>
      </c>
    </row>
    <row r="49528" spans="129:129" x14ac:dyDescent="0.2">
      <c r="DY49528" s="185" t="s">
        <v>215</v>
      </c>
    </row>
    <row r="49529" spans="129:129" x14ac:dyDescent="0.2">
      <c r="DY49529" s="185" t="s">
        <v>215</v>
      </c>
    </row>
    <row r="49530" spans="129:129" x14ac:dyDescent="0.2">
      <c r="DY49530" s="185" t="s">
        <v>215</v>
      </c>
    </row>
    <row r="49531" spans="129:129" x14ac:dyDescent="0.2">
      <c r="DY49531" s="185" t="s">
        <v>215</v>
      </c>
    </row>
    <row r="49532" spans="129:129" x14ac:dyDescent="0.2">
      <c r="DY49532" s="185" t="s">
        <v>215</v>
      </c>
    </row>
    <row r="49533" spans="129:129" x14ac:dyDescent="0.2">
      <c r="DY49533" s="185" t="s">
        <v>215</v>
      </c>
    </row>
    <row r="49534" spans="129:129" x14ac:dyDescent="0.2">
      <c r="DY49534" s="185" t="s">
        <v>215</v>
      </c>
    </row>
    <row r="49535" spans="129:129" x14ac:dyDescent="0.2">
      <c r="DY49535" s="185" t="s">
        <v>215</v>
      </c>
    </row>
    <row r="49536" spans="129:129" x14ac:dyDescent="0.2">
      <c r="DY49536" s="185" t="s">
        <v>215</v>
      </c>
    </row>
    <row r="49537" spans="129:129" x14ac:dyDescent="0.2">
      <c r="DY49537" s="185" t="s">
        <v>215</v>
      </c>
    </row>
    <row r="49538" spans="129:129" x14ac:dyDescent="0.2">
      <c r="DY49538" s="185" t="s">
        <v>215</v>
      </c>
    </row>
    <row r="49539" spans="129:129" x14ac:dyDescent="0.2">
      <c r="DY49539" s="185" t="s">
        <v>215</v>
      </c>
    </row>
    <row r="49540" spans="129:129" x14ac:dyDescent="0.2">
      <c r="DY49540" s="185" t="s">
        <v>215</v>
      </c>
    </row>
    <row r="49541" spans="129:129" x14ac:dyDescent="0.2">
      <c r="DY49541" s="185" t="s">
        <v>215</v>
      </c>
    </row>
    <row r="49542" spans="129:129" x14ac:dyDescent="0.2">
      <c r="DY49542" s="185" t="s">
        <v>215</v>
      </c>
    </row>
    <row r="49543" spans="129:129" x14ac:dyDescent="0.2">
      <c r="DY49543" s="185" t="s">
        <v>215</v>
      </c>
    </row>
    <row r="49544" spans="129:129" x14ac:dyDescent="0.2">
      <c r="DY49544" s="185" t="s">
        <v>215</v>
      </c>
    </row>
    <row r="49545" spans="129:129" x14ac:dyDescent="0.2">
      <c r="DY49545" s="185" t="s">
        <v>215</v>
      </c>
    </row>
    <row r="49546" spans="129:129" x14ac:dyDescent="0.2">
      <c r="DY49546" s="185" t="s">
        <v>215</v>
      </c>
    </row>
    <row r="49547" spans="129:129" x14ac:dyDescent="0.2">
      <c r="DY49547" s="185" t="s">
        <v>215</v>
      </c>
    </row>
    <row r="49548" spans="129:129" x14ac:dyDescent="0.2">
      <c r="DY49548" s="185" t="s">
        <v>215</v>
      </c>
    </row>
    <row r="49549" spans="129:129" x14ac:dyDescent="0.2">
      <c r="DY49549" s="185" t="s">
        <v>215</v>
      </c>
    </row>
    <row r="49550" spans="129:129" x14ac:dyDescent="0.2">
      <c r="DY49550" s="185" t="s">
        <v>215</v>
      </c>
    </row>
    <row r="49551" spans="129:129" x14ac:dyDescent="0.2">
      <c r="DY49551" s="185" t="s">
        <v>215</v>
      </c>
    </row>
    <row r="49552" spans="129:129" x14ac:dyDescent="0.2">
      <c r="DY49552" s="185" t="s">
        <v>215</v>
      </c>
    </row>
    <row r="49553" spans="129:129" x14ac:dyDescent="0.2">
      <c r="DY49553" s="185" t="s">
        <v>215</v>
      </c>
    </row>
    <row r="49554" spans="129:129" x14ac:dyDescent="0.2">
      <c r="DY49554" s="185" t="s">
        <v>215</v>
      </c>
    </row>
    <row r="49555" spans="129:129" x14ac:dyDescent="0.2">
      <c r="DY49555" s="185" t="s">
        <v>215</v>
      </c>
    </row>
    <row r="49556" spans="129:129" x14ac:dyDescent="0.2">
      <c r="DY49556" s="185" t="s">
        <v>215</v>
      </c>
    </row>
    <row r="49557" spans="129:129" x14ac:dyDescent="0.2">
      <c r="DY49557" s="185" t="s">
        <v>215</v>
      </c>
    </row>
    <row r="49558" spans="129:129" x14ac:dyDescent="0.2">
      <c r="DY49558" s="185" t="s">
        <v>215</v>
      </c>
    </row>
    <row r="49559" spans="129:129" x14ac:dyDescent="0.2">
      <c r="DY49559" s="185" t="s">
        <v>215</v>
      </c>
    </row>
    <row r="49560" spans="129:129" x14ac:dyDescent="0.2">
      <c r="DY49560" s="185" t="s">
        <v>215</v>
      </c>
    </row>
    <row r="49561" spans="129:129" x14ac:dyDescent="0.2">
      <c r="DY49561" s="185" t="s">
        <v>215</v>
      </c>
    </row>
    <row r="49562" spans="129:129" x14ac:dyDescent="0.2">
      <c r="DY49562" s="185" t="s">
        <v>215</v>
      </c>
    </row>
    <row r="49563" spans="129:129" x14ac:dyDescent="0.2">
      <c r="DY49563" s="185" t="s">
        <v>215</v>
      </c>
    </row>
    <row r="49564" spans="129:129" x14ac:dyDescent="0.2">
      <c r="DY49564" s="185" t="s">
        <v>215</v>
      </c>
    </row>
    <row r="49565" spans="129:129" x14ac:dyDescent="0.2">
      <c r="DY49565" s="185" t="s">
        <v>215</v>
      </c>
    </row>
    <row r="49566" spans="129:129" x14ac:dyDescent="0.2">
      <c r="DY49566" s="185" t="s">
        <v>215</v>
      </c>
    </row>
    <row r="49567" spans="129:129" x14ac:dyDescent="0.2">
      <c r="DY49567" s="185" t="s">
        <v>215</v>
      </c>
    </row>
    <row r="49568" spans="129:129" x14ac:dyDescent="0.2">
      <c r="DY49568" s="185" t="s">
        <v>215</v>
      </c>
    </row>
    <row r="49569" spans="129:129" x14ac:dyDescent="0.2">
      <c r="DY49569" s="185" t="s">
        <v>215</v>
      </c>
    </row>
    <row r="49570" spans="129:129" x14ac:dyDescent="0.2">
      <c r="DY49570" s="185" t="s">
        <v>215</v>
      </c>
    </row>
    <row r="49571" spans="129:129" x14ac:dyDescent="0.2">
      <c r="DY49571" s="185" t="s">
        <v>215</v>
      </c>
    </row>
    <row r="49572" spans="129:129" x14ac:dyDescent="0.2">
      <c r="DY49572" s="185" t="s">
        <v>215</v>
      </c>
    </row>
    <row r="49573" spans="129:129" x14ac:dyDescent="0.2">
      <c r="DY49573" s="185" t="s">
        <v>215</v>
      </c>
    </row>
    <row r="49574" spans="129:129" x14ac:dyDescent="0.2">
      <c r="DY49574" s="185" t="s">
        <v>215</v>
      </c>
    </row>
    <row r="49575" spans="129:129" x14ac:dyDescent="0.2">
      <c r="DY49575" s="185" t="s">
        <v>215</v>
      </c>
    </row>
    <row r="49576" spans="129:129" x14ac:dyDescent="0.2">
      <c r="DY49576" s="185" t="s">
        <v>215</v>
      </c>
    </row>
    <row r="49577" spans="129:129" x14ac:dyDescent="0.2">
      <c r="DY49577" s="185" t="s">
        <v>215</v>
      </c>
    </row>
    <row r="49578" spans="129:129" x14ac:dyDescent="0.2">
      <c r="DY49578" s="185" t="s">
        <v>215</v>
      </c>
    </row>
    <row r="49579" spans="129:129" x14ac:dyDescent="0.2">
      <c r="DY49579" s="185" t="s">
        <v>215</v>
      </c>
    </row>
    <row r="49580" spans="129:129" x14ac:dyDescent="0.2">
      <c r="DY49580" s="185" t="s">
        <v>215</v>
      </c>
    </row>
    <row r="49581" spans="129:129" x14ac:dyDescent="0.2">
      <c r="DY49581" s="185" t="s">
        <v>215</v>
      </c>
    </row>
    <row r="49582" spans="129:129" x14ac:dyDescent="0.2">
      <c r="DY49582" s="185" t="s">
        <v>215</v>
      </c>
    </row>
    <row r="49583" spans="129:129" x14ac:dyDescent="0.2">
      <c r="DY49583" s="185" t="s">
        <v>215</v>
      </c>
    </row>
    <row r="49584" spans="129:129" x14ac:dyDescent="0.2">
      <c r="DY49584" s="185" t="s">
        <v>215</v>
      </c>
    </row>
    <row r="49585" spans="129:129" x14ac:dyDescent="0.2">
      <c r="DY49585" s="185" t="s">
        <v>215</v>
      </c>
    </row>
    <row r="49586" spans="129:129" x14ac:dyDescent="0.2">
      <c r="DY49586" s="185" t="s">
        <v>215</v>
      </c>
    </row>
    <row r="49587" spans="129:129" x14ac:dyDescent="0.2">
      <c r="DY49587" s="185" t="s">
        <v>215</v>
      </c>
    </row>
    <row r="49588" spans="129:129" x14ac:dyDescent="0.2">
      <c r="DY49588" s="185" t="s">
        <v>215</v>
      </c>
    </row>
    <row r="49589" spans="129:129" x14ac:dyDescent="0.2">
      <c r="DY49589" s="185" t="s">
        <v>215</v>
      </c>
    </row>
    <row r="49590" spans="129:129" x14ac:dyDescent="0.2">
      <c r="DY49590" s="185" t="s">
        <v>215</v>
      </c>
    </row>
    <row r="49591" spans="129:129" x14ac:dyDescent="0.2">
      <c r="DY49591" s="185" t="s">
        <v>215</v>
      </c>
    </row>
    <row r="49592" spans="129:129" x14ac:dyDescent="0.2">
      <c r="DY49592" s="185" t="s">
        <v>215</v>
      </c>
    </row>
    <row r="49593" spans="129:129" x14ac:dyDescent="0.2">
      <c r="DY49593" s="185" t="s">
        <v>215</v>
      </c>
    </row>
    <row r="49594" spans="129:129" x14ac:dyDescent="0.2">
      <c r="DY49594" s="185" t="s">
        <v>215</v>
      </c>
    </row>
    <row r="49595" spans="129:129" x14ac:dyDescent="0.2">
      <c r="DY49595" s="185" t="s">
        <v>215</v>
      </c>
    </row>
    <row r="49596" spans="129:129" x14ac:dyDescent="0.2">
      <c r="DY49596" s="185" t="s">
        <v>215</v>
      </c>
    </row>
    <row r="49597" spans="129:129" x14ac:dyDescent="0.2">
      <c r="DY49597" s="185" t="s">
        <v>215</v>
      </c>
    </row>
    <row r="49598" spans="129:129" x14ac:dyDescent="0.2">
      <c r="DY49598" s="185" t="s">
        <v>215</v>
      </c>
    </row>
    <row r="49599" spans="129:129" x14ac:dyDescent="0.2">
      <c r="DY49599" s="185" t="s">
        <v>215</v>
      </c>
    </row>
    <row r="49600" spans="129:129" x14ac:dyDescent="0.2">
      <c r="DY49600" s="185" t="s">
        <v>215</v>
      </c>
    </row>
    <row r="49601" spans="129:129" x14ac:dyDescent="0.2">
      <c r="DY49601" s="185" t="s">
        <v>215</v>
      </c>
    </row>
    <row r="49602" spans="129:129" x14ac:dyDescent="0.2">
      <c r="DY49602" s="185" t="s">
        <v>215</v>
      </c>
    </row>
    <row r="49603" spans="129:129" x14ac:dyDescent="0.2">
      <c r="DY49603" s="185" t="s">
        <v>215</v>
      </c>
    </row>
    <row r="49604" spans="129:129" x14ac:dyDescent="0.2">
      <c r="DY49604" s="185" t="s">
        <v>215</v>
      </c>
    </row>
    <row r="49605" spans="129:129" x14ac:dyDescent="0.2">
      <c r="DY49605" s="185" t="s">
        <v>215</v>
      </c>
    </row>
    <row r="49606" spans="129:129" x14ac:dyDescent="0.2">
      <c r="DY49606" s="185" t="s">
        <v>215</v>
      </c>
    </row>
    <row r="49607" spans="129:129" x14ac:dyDescent="0.2">
      <c r="DY49607" s="185" t="s">
        <v>215</v>
      </c>
    </row>
    <row r="49608" spans="129:129" x14ac:dyDescent="0.2">
      <c r="DY49608" s="185" t="s">
        <v>215</v>
      </c>
    </row>
    <row r="49609" spans="129:129" x14ac:dyDescent="0.2">
      <c r="DY49609" s="185" t="s">
        <v>215</v>
      </c>
    </row>
    <row r="49610" spans="129:129" x14ac:dyDescent="0.2">
      <c r="DY49610" s="185" t="s">
        <v>215</v>
      </c>
    </row>
    <row r="49611" spans="129:129" x14ac:dyDescent="0.2">
      <c r="DY49611" s="185" t="s">
        <v>215</v>
      </c>
    </row>
    <row r="49612" spans="129:129" x14ac:dyDescent="0.2">
      <c r="DY49612" s="185" t="s">
        <v>215</v>
      </c>
    </row>
    <row r="49613" spans="129:129" x14ac:dyDescent="0.2">
      <c r="DY49613" s="185" t="s">
        <v>215</v>
      </c>
    </row>
    <row r="49614" spans="129:129" x14ac:dyDescent="0.2">
      <c r="DY49614" s="185" t="s">
        <v>215</v>
      </c>
    </row>
    <row r="49615" spans="129:129" x14ac:dyDescent="0.2">
      <c r="DY49615" s="185" t="s">
        <v>215</v>
      </c>
    </row>
    <row r="49616" spans="129:129" x14ac:dyDescent="0.2">
      <c r="DY49616" s="185" t="s">
        <v>215</v>
      </c>
    </row>
    <row r="49617" spans="129:129" x14ac:dyDescent="0.2">
      <c r="DY49617" s="185" t="s">
        <v>215</v>
      </c>
    </row>
    <row r="49618" spans="129:129" x14ac:dyDescent="0.2">
      <c r="DY49618" s="185" t="s">
        <v>215</v>
      </c>
    </row>
    <row r="49619" spans="129:129" x14ac:dyDescent="0.2">
      <c r="DY49619" s="185" t="s">
        <v>215</v>
      </c>
    </row>
    <row r="49620" spans="129:129" x14ac:dyDescent="0.2">
      <c r="DY49620" s="185" t="s">
        <v>215</v>
      </c>
    </row>
    <row r="49621" spans="129:129" x14ac:dyDescent="0.2">
      <c r="DY49621" s="185" t="s">
        <v>215</v>
      </c>
    </row>
    <row r="49622" spans="129:129" x14ac:dyDescent="0.2">
      <c r="DY49622" s="185" t="s">
        <v>215</v>
      </c>
    </row>
    <row r="49623" spans="129:129" x14ac:dyDescent="0.2">
      <c r="DY49623" s="185" t="s">
        <v>215</v>
      </c>
    </row>
    <row r="49624" spans="129:129" x14ac:dyDescent="0.2">
      <c r="DY49624" s="185" t="s">
        <v>215</v>
      </c>
    </row>
    <row r="49625" spans="129:129" x14ac:dyDescent="0.2">
      <c r="DY49625" s="185" t="s">
        <v>215</v>
      </c>
    </row>
    <row r="49626" spans="129:129" x14ac:dyDescent="0.2">
      <c r="DY49626" s="185" t="s">
        <v>215</v>
      </c>
    </row>
    <row r="49627" spans="129:129" x14ac:dyDescent="0.2">
      <c r="DY49627" s="185" t="s">
        <v>215</v>
      </c>
    </row>
    <row r="49628" spans="129:129" x14ac:dyDescent="0.2">
      <c r="DY49628" s="185" t="s">
        <v>215</v>
      </c>
    </row>
    <row r="49629" spans="129:129" x14ac:dyDescent="0.2">
      <c r="DY49629" s="185" t="s">
        <v>215</v>
      </c>
    </row>
    <row r="49630" spans="129:129" x14ac:dyDescent="0.2">
      <c r="DY49630" s="185" t="s">
        <v>215</v>
      </c>
    </row>
    <row r="49631" spans="129:129" x14ac:dyDescent="0.2">
      <c r="DY49631" s="185" t="s">
        <v>215</v>
      </c>
    </row>
    <row r="49632" spans="129:129" x14ac:dyDescent="0.2">
      <c r="DY49632" s="185" t="s">
        <v>215</v>
      </c>
    </row>
    <row r="49633" spans="129:129" x14ac:dyDescent="0.2">
      <c r="DY49633" s="185" t="s">
        <v>215</v>
      </c>
    </row>
    <row r="49634" spans="129:129" x14ac:dyDescent="0.2">
      <c r="DY49634" s="185" t="s">
        <v>215</v>
      </c>
    </row>
    <row r="49635" spans="129:129" x14ac:dyDescent="0.2">
      <c r="DY49635" s="185" t="s">
        <v>215</v>
      </c>
    </row>
    <row r="49636" spans="129:129" x14ac:dyDescent="0.2">
      <c r="DY49636" s="185" t="s">
        <v>215</v>
      </c>
    </row>
    <row r="49637" spans="129:129" x14ac:dyDescent="0.2">
      <c r="DY49637" s="185" t="s">
        <v>215</v>
      </c>
    </row>
    <row r="49638" spans="129:129" x14ac:dyDescent="0.2">
      <c r="DY49638" s="185" t="s">
        <v>215</v>
      </c>
    </row>
    <row r="49639" spans="129:129" x14ac:dyDescent="0.2">
      <c r="DY49639" s="185" t="s">
        <v>215</v>
      </c>
    </row>
    <row r="49640" spans="129:129" x14ac:dyDescent="0.2">
      <c r="DY49640" s="185" t="s">
        <v>215</v>
      </c>
    </row>
    <row r="49641" spans="129:129" x14ac:dyDescent="0.2">
      <c r="DY49641" s="185" t="s">
        <v>215</v>
      </c>
    </row>
    <row r="49642" spans="129:129" x14ac:dyDescent="0.2">
      <c r="DY49642" s="185" t="s">
        <v>215</v>
      </c>
    </row>
    <row r="49643" spans="129:129" x14ac:dyDescent="0.2">
      <c r="DY49643" s="185" t="s">
        <v>215</v>
      </c>
    </row>
    <row r="49644" spans="129:129" x14ac:dyDescent="0.2">
      <c r="DY49644" s="185" t="s">
        <v>215</v>
      </c>
    </row>
    <row r="49645" spans="129:129" x14ac:dyDescent="0.2">
      <c r="DY49645" s="185" t="s">
        <v>215</v>
      </c>
    </row>
    <row r="49646" spans="129:129" x14ac:dyDescent="0.2">
      <c r="DY49646" s="185" t="s">
        <v>215</v>
      </c>
    </row>
    <row r="49647" spans="129:129" x14ac:dyDescent="0.2">
      <c r="DY49647" s="185" t="s">
        <v>215</v>
      </c>
    </row>
    <row r="49648" spans="129:129" x14ac:dyDescent="0.2">
      <c r="DY49648" s="185" t="s">
        <v>215</v>
      </c>
    </row>
    <row r="49649" spans="129:129" x14ac:dyDescent="0.2">
      <c r="DY49649" s="185" t="s">
        <v>215</v>
      </c>
    </row>
    <row r="49650" spans="129:129" x14ac:dyDescent="0.2">
      <c r="DY49650" s="185" t="s">
        <v>215</v>
      </c>
    </row>
    <row r="49651" spans="129:129" x14ac:dyDescent="0.2">
      <c r="DY49651" s="185" t="s">
        <v>215</v>
      </c>
    </row>
    <row r="49652" spans="129:129" x14ac:dyDescent="0.2">
      <c r="DY49652" s="185" t="s">
        <v>215</v>
      </c>
    </row>
    <row r="49653" spans="129:129" x14ac:dyDescent="0.2">
      <c r="DY49653" s="185" t="s">
        <v>215</v>
      </c>
    </row>
    <row r="49654" spans="129:129" x14ac:dyDescent="0.2">
      <c r="DY49654" s="185" t="s">
        <v>215</v>
      </c>
    </row>
    <row r="49655" spans="129:129" x14ac:dyDescent="0.2">
      <c r="DY49655" s="185" t="s">
        <v>215</v>
      </c>
    </row>
    <row r="49656" spans="129:129" x14ac:dyDescent="0.2">
      <c r="DY49656" s="185" t="s">
        <v>215</v>
      </c>
    </row>
    <row r="49657" spans="129:129" x14ac:dyDescent="0.2">
      <c r="DY49657" s="185" t="s">
        <v>215</v>
      </c>
    </row>
    <row r="49658" spans="129:129" x14ac:dyDescent="0.2">
      <c r="DY49658" s="185" t="s">
        <v>215</v>
      </c>
    </row>
    <row r="49659" spans="129:129" x14ac:dyDescent="0.2">
      <c r="DY49659" s="185" t="s">
        <v>215</v>
      </c>
    </row>
    <row r="49660" spans="129:129" x14ac:dyDescent="0.2">
      <c r="DY49660" s="185" t="s">
        <v>215</v>
      </c>
    </row>
    <row r="49661" spans="129:129" x14ac:dyDescent="0.2">
      <c r="DY49661" s="185" t="s">
        <v>215</v>
      </c>
    </row>
    <row r="49662" spans="129:129" x14ac:dyDescent="0.2">
      <c r="DY49662" s="185" t="s">
        <v>215</v>
      </c>
    </row>
    <row r="49663" spans="129:129" x14ac:dyDescent="0.2">
      <c r="DY49663" s="185" t="s">
        <v>215</v>
      </c>
    </row>
    <row r="49664" spans="129:129" x14ac:dyDescent="0.2">
      <c r="DY49664" s="185" t="s">
        <v>215</v>
      </c>
    </row>
    <row r="49665" spans="129:129" x14ac:dyDescent="0.2">
      <c r="DY49665" s="185" t="s">
        <v>215</v>
      </c>
    </row>
    <row r="49666" spans="129:129" x14ac:dyDescent="0.2">
      <c r="DY49666" s="185" t="s">
        <v>215</v>
      </c>
    </row>
    <row r="49667" spans="129:129" x14ac:dyDescent="0.2">
      <c r="DY49667" s="185" t="s">
        <v>215</v>
      </c>
    </row>
    <row r="49668" spans="129:129" x14ac:dyDescent="0.2">
      <c r="DY49668" s="185" t="s">
        <v>215</v>
      </c>
    </row>
    <row r="49669" spans="129:129" x14ac:dyDescent="0.2">
      <c r="DY49669" s="185" t="s">
        <v>215</v>
      </c>
    </row>
    <row r="49670" spans="129:129" x14ac:dyDescent="0.2">
      <c r="DY49670" s="185" t="s">
        <v>215</v>
      </c>
    </row>
    <row r="49671" spans="129:129" x14ac:dyDescent="0.2">
      <c r="DY49671" s="185" t="s">
        <v>215</v>
      </c>
    </row>
    <row r="49672" spans="129:129" x14ac:dyDescent="0.2">
      <c r="DY49672" s="185" t="s">
        <v>215</v>
      </c>
    </row>
    <row r="49673" spans="129:129" x14ac:dyDescent="0.2">
      <c r="DY49673" s="185" t="s">
        <v>215</v>
      </c>
    </row>
    <row r="49674" spans="129:129" x14ac:dyDescent="0.2">
      <c r="DY49674" s="185" t="s">
        <v>215</v>
      </c>
    </row>
    <row r="49675" spans="129:129" x14ac:dyDescent="0.2">
      <c r="DY49675" s="185" t="s">
        <v>215</v>
      </c>
    </row>
    <row r="49676" spans="129:129" x14ac:dyDescent="0.2">
      <c r="DY49676" s="185" t="s">
        <v>215</v>
      </c>
    </row>
    <row r="49677" spans="129:129" x14ac:dyDescent="0.2">
      <c r="DY49677" s="185" t="s">
        <v>215</v>
      </c>
    </row>
    <row r="49678" spans="129:129" x14ac:dyDescent="0.2">
      <c r="DY49678" s="185" t="s">
        <v>215</v>
      </c>
    </row>
    <row r="49679" spans="129:129" x14ac:dyDescent="0.2">
      <c r="DY49679" s="185" t="s">
        <v>215</v>
      </c>
    </row>
    <row r="49680" spans="129:129" x14ac:dyDescent="0.2">
      <c r="DY49680" s="185" t="s">
        <v>215</v>
      </c>
    </row>
    <row r="49681" spans="129:129" x14ac:dyDescent="0.2">
      <c r="DY49681" s="185" t="s">
        <v>215</v>
      </c>
    </row>
    <row r="49682" spans="129:129" x14ac:dyDescent="0.2">
      <c r="DY49682" s="185" t="s">
        <v>215</v>
      </c>
    </row>
    <row r="49683" spans="129:129" x14ac:dyDescent="0.2">
      <c r="DY49683" s="185" t="s">
        <v>215</v>
      </c>
    </row>
    <row r="49684" spans="129:129" x14ac:dyDescent="0.2">
      <c r="DY49684" s="185" t="s">
        <v>215</v>
      </c>
    </row>
    <row r="49685" spans="129:129" x14ac:dyDescent="0.2">
      <c r="DY49685" s="185" t="s">
        <v>215</v>
      </c>
    </row>
    <row r="49686" spans="129:129" x14ac:dyDescent="0.2">
      <c r="DY49686" s="185" t="s">
        <v>215</v>
      </c>
    </row>
    <row r="49687" spans="129:129" x14ac:dyDescent="0.2">
      <c r="DY49687" s="185" t="s">
        <v>215</v>
      </c>
    </row>
    <row r="49688" spans="129:129" x14ac:dyDescent="0.2">
      <c r="DY49688" s="185" t="s">
        <v>215</v>
      </c>
    </row>
    <row r="49689" spans="129:129" x14ac:dyDescent="0.2">
      <c r="DY49689" s="185" t="s">
        <v>215</v>
      </c>
    </row>
    <row r="49690" spans="129:129" x14ac:dyDescent="0.2">
      <c r="DY49690" s="185" t="s">
        <v>215</v>
      </c>
    </row>
    <row r="49691" spans="129:129" x14ac:dyDescent="0.2">
      <c r="DY49691" s="185" t="s">
        <v>215</v>
      </c>
    </row>
    <row r="49692" spans="129:129" x14ac:dyDescent="0.2">
      <c r="DY49692" s="185" t="s">
        <v>215</v>
      </c>
    </row>
    <row r="49693" spans="129:129" x14ac:dyDescent="0.2">
      <c r="DY49693" s="185" t="s">
        <v>215</v>
      </c>
    </row>
    <row r="49694" spans="129:129" x14ac:dyDescent="0.2">
      <c r="DY49694" s="185" t="s">
        <v>215</v>
      </c>
    </row>
    <row r="49695" spans="129:129" x14ac:dyDescent="0.2">
      <c r="DY49695" s="185" t="s">
        <v>215</v>
      </c>
    </row>
    <row r="49696" spans="129:129" x14ac:dyDescent="0.2">
      <c r="DY49696" s="185" t="s">
        <v>215</v>
      </c>
    </row>
    <row r="49697" spans="129:129" x14ac:dyDescent="0.2">
      <c r="DY49697" s="185" t="s">
        <v>215</v>
      </c>
    </row>
    <row r="49698" spans="129:129" x14ac:dyDescent="0.2">
      <c r="DY49698" s="185" t="s">
        <v>215</v>
      </c>
    </row>
    <row r="49699" spans="129:129" x14ac:dyDescent="0.2">
      <c r="DY49699" s="185" t="s">
        <v>215</v>
      </c>
    </row>
    <row r="49700" spans="129:129" x14ac:dyDescent="0.2">
      <c r="DY49700" s="185" t="s">
        <v>215</v>
      </c>
    </row>
    <row r="49701" spans="129:129" x14ac:dyDescent="0.2">
      <c r="DY49701" s="185" t="s">
        <v>215</v>
      </c>
    </row>
    <row r="49702" spans="129:129" x14ac:dyDescent="0.2">
      <c r="DY49702" s="185" t="s">
        <v>215</v>
      </c>
    </row>
    <row r="49703" spans="129:129" x14ac:dyDescent="0.2">
      <c r="DY49703" s="185" t="s">
        <v>215</v>
      </c>
    </row>
    <row r="49704" spans="129:129" x14ac:dyDescent="0.2">
      <c r="DY49704" s="185" t="s">
        <v>215</v>
      </c>
    </row>
    <row r="49705" spans="129:129" x14ac:dyDescent="0.2">
      <c r="DY49705" s="185" t="s">
        <v>215</v>
      </c>
    </row>
    <row r="49706" spans="129:129" x14ac:dyDescent="0.2">
      <c r="DY49706" s="185" t="s">
        <v>215</v>
      </c>
    </row>
    <row r="49707" spans="129:129" x14ac:dyDescent="0.2">
      <c r="DY49707" s="185" t="s">
        <v>215</v>
      </c>
    </row>
    <row r="49708" spans="129:129" x14ac:dyDescent="0.2">
      <c r="DY49708" s="185" t="s">
        <v>215</v>
      </c>
    </row>
    <row r="49709" spans="129:129" x14ac:dyDescent="0.2">
      <c r="DY49709" s="185" t="s">
        <v>215</v>
      </c>
    </row>
    <row r="49710" spans="129:129" x14ac:dyDescent="0.2">
      <c r="DY49710" s="185" t="s">
        <v>215</v>
      </c>
    </row>
    <row r="49711" spans="129:129" x14ac:dyDescent="0.2">
      <c r="DY49711" s="185" t="s">
        <v>215</v>
      </c>
    </row>
    <row r="49712" spans="129:129" x14ac:dyDescent="0.2">
      <c r="DY49712" s="185" t="s">
        <v>215</v>
      </c>
    </row>
    <row r="49713" spans="129:129" x14ac:dyDescent="0.2">
      <c r="DY49713" s="185" t="s">
        <v>215</v>
      </c>
    </row>
    <row r="49714" spans="129:129" x14ac:dyDescent="0.2">
      <c r="DY49714" s="185" t="s">
        <v>215</v>
      </c>
    </row>
    <row r="49715" spans="129:129" x14ac:dyDescent="0.2">
      <c r="DY49715" s="185" t="s">
        <v>215</v>
      </c>
    </row>
    <row r="49716" spans="129:129" x14ac:dyDescent="0.2">
      <c r="DY49716" s="185" t="s">
        <v>215</v>
      </c>
    </row>
    <row r="49717" spans="129:129" x14ac:dyDescent="0.2">
      <c r="DY49717" s="185" t="s">
        <v>215</v>
      </c>
    </row>
    <row r="49718" spans="129:129" x14ac:dyDescent="0.2">
      <c r="DY49718" s="185" t="s">
        <v>215</v>
      </c>
    </row>
    <row r="49719" spans="129:129" x14ac:dyDescent="0.2">
      <c r="DY49719" s="185" t="s">
        <v>215</v>
      </c>
    </row>
    <row r="49720" spans="129:129" x14ac:dyDescent="0.2">
      <c r="DY49720" s="185" t="s">
        <v>215</v>
      </c>
    </row>
    <row r="49721" spans="129:129" x14ac:dyDescent="0.2">
      <c r="DY49721" s="185" t="s">
        <v>215</v>
      </c>
    </row>
    <row r="49722" spans="129:129" x14ac:dyDescent="0.2">
      <c r="DY49722" s="185" t="s">
        <v>215</v>
      </c>
    </row>
    <row r="49723" spans="129:129" x14ac:dyDescent="0.2">
      <c r="DY49723" s="185" t="s">
        <v>215</v>
      </c>
    </row>
    <row r="49724" spans="129:129" x14ac:dyDescent="0.2">
      <c r="DY49724" s="185" t="s">
        <v>215</v>
      </c>
    </row>
    <row r="49725" spans="129:129" x14ac:dyDescent="0.2">
      <c r="DY49725" s="185" t="s">
        <v>215</v>
      </c>
    </row>
    <row r="49726" spans="129:129" x14ac:dyDescent="0.2">
      <c r="DY49726" s="185" t="s">
        <v>215</v>
      </c>
    </row>
    <row r="49727" spans="129:129" x14ac:dyDescent="0.2">
      <c r="DY49727" s="185" t="s">
        <v>215</v>
      </c>
    </row>
    <row r="49728" spans="129:129" x14ac:dyDescent="0.2">
      <c r="DY49728" s="185" t="s">
        <v>215</v>
      </c>
    </row>
    <row r="49729" spans="129:129" x14ac:dyDescent="0.2">
      <c r="DY49729" s="185" t="s">
        <v>215</v>
      </c>
    </row>
    <row r="49730" spans="129:129" x14ac:dyDescent="0.2">
      <c r="DY49730" s="185" t="s">
        <v>215</v>
      </c>
    </row>
    <row r="49731" spans="129:129" x14ac:dyDescent="0.2">
      <c r="DY49731" s="185" t="s">
        <v>215</v>
      </c>
    </row>
    <row r="49732" spans="129:129" x14ac:dyDescent="0.2">
      <c r="DY49732" s="185" t="s">
        <v>215</v>
      </c>
    </row>
    <row r="49733" spans="129:129" x14ac:dyDescent="0.2">
      <c r="DY49733" s="185" t="s">
        <v>215</v>
      </c>
    </row>
    <row r="49734" spans="129:129" x14ac:dyDescent="0.2">
      <c r="DY49734" s="185" t="s">
        <v>215</v>
      </c>
    </row>
    <row r="49735" spans="129:129" x14ac:dyDescent="0.2">
      <c r="DY49735" s="185" t="s">
        <v>215</v>
      </c>
    </row>
    <row r="49736" spans="129:129" x14ac:dyDescent="0.2">
      <c r="DY49736" s="185" t="s">
        <v>215</v>
      </c>
    </row>
    <row r="49737" spans="129:129" x14ac:dyDescent="0.2">
      <c r="DY49737" s="185" t="s">
        <v>215</v>
      </c>
    </row>
    <row r="49738" spans="129:129" x14ac:dyDescent="0.2">
      <c r="DY49738" s="185" t="s">
        <v>215</v>
      </c>
    </row>
    <row r="49739" spans="129:129" x14ac:dyDescent="0.2">
      <c r="DY49739" s="185" t="s">
        <v>215</v>
      </c>
    </row>
    <row r="49740" spans="129:129" x14ac:dyDescent="0.2">
      <c r="DY49740" s="185" t="s">
        <v>215</v>
      </c>
    </row>
    <row r="49741" spans="129:129" x14ac:dyDescent="0.2">
      <c r="DY49741" s="185" t="s">
        <v>215</v>
      </c>
    </row>
    <row r="49742" spans="129:129" x14ac:dyDescent="0.2">
      <c r="DY49742" s="185" t="s">
        <v>215</v>
      </c>
    </row>
    <row r="49743" spans="129:129" x14ac:dyDescent="0.2">
      <c r="DY49743" s="185" t="s">
        <v>215</v>
      </c>
    </row>
    <row r="49744" spans="129:129" x14ac:dyDescent="0.2">
      <c r="DY49744" s="185" t="s">
        <v>215</v>
      </c>
    </row>
    <row r="49745" spans="129:129" x14ac:dyDescent="0.2">
      <c r="DY49745" s="185" t="s">
        <v>215</v>
      </c>
    </row>
    <row r="49746" spans="129:129" x14ac:dyDescent="0.2">
      <c r="DY49746" s="185" t="s">
        <v>215</v>
      </c>
    </row>
    <row r="49747" spans="129:129" x14ac:dyDescent="0.2">
      <c r="DY49747" s="185" t="s">
        <v>215</v>
      </c>
    </row>
    <row r="49748" spans="129:129" x14ac:dyDescent="0.2">
      <c r="DY49748" s="185" t="s">
        <v>215</v>
      </c>
    </row>
    <row r="49749" spans="129:129" x14ac:dyDescent="0.2">
      <c r="DY49749" s="185" t="s">
        <v>215</v>
      </c>
    </row>
    <row r="49750" spans="129:129" x14ac:dyDescent="0.2">
      <c r="DY49750" s="185" t="s">
        <v>215</v>
      </c>
    </row>
    <row r="49751" spans="129:129" x14ac:dyDescent="0.2">
      <c r="DY49751" s="185" t="s">
        <v>215</v>
      </c>
    </row>
    <row r="49752" spans="129:129" x14ac:dyDescent="0.2">
      <c r="DY49752" s="185" t="s">
        <v>215</v>
      </c>
    </row>
    <row r="49753" spans="129:129" x14ac:dyDescent="0.2">
      <c r="DY49753" s="185" t="s">
        <v>215</v>
      </c>
    </row>
    <row r="49754" spans="129:129" x14ac:dyDescent="0.2">
      <c r="DY49754" s="185" t="s">
        <v>215</v>
      </c>
    </row>
    <row r="49755" spans="129:129" x14ac:dyDescent="0.2">
      <c r="DY49755" s="185" t="s">
        <v>215</v>
      </c>
    </row>
    <row r="49756" spans="129:129" x14ac:dyDescent="0.2">
      <c r="DY49756" s="185" t="s">
        <v>215</v>
      </c>
    </row>
    <row r="49757" spans="129:129" x14ac:dyDescent="0.2">
      <c r="DY49757" s="185" t="s">
        <v>215</v>
      </c>
    </row>
    <row r="49758" spans="129:129" x14ac:dyDescent="0.2">
      <c r="DY49758" s="185" t="s">
        <v>215</v>
      </c>
    </row>
    <row r="49759" spans="129:129" x14ac:dyDescent="0.2">
      <c r="DY49759" s="185" t="s">
        <v>215</v>
      </c>
    </row>
    <row r="49760" spans="129:129" x14ac:dyDescent="0.2">
      <c r="DY49760" s="185" t="s">
        <v>215</v>
      </c>
    </row>
    <row r="49761" spans="129:129" x14ac:dyDescent="0.2">
      <c r="DY49761" s="185" t="s">
        <v>215</v>
      </c>
    </row>
    <row r="49762" spans="129:129" x14ac:dyDescent="0.2">
      <c r="DY49762" s="185" t="s">
        <v>215</v>
      </c>
    </row>
    <row r="49763" spans="129:129" x14ac:dyDescent="0.2">
      <c r="DY49763" s="185" t="s">
        <v>215</v>
      </c>
    </row>
    <row r="49764" spans="129:129" x14ac:dyDescent="0.2">
      <c r="DY49764" s="185" t="s">
        <v>215</v>
      </c>
    </row>
    <row r="49765" spans="129:129" x14ac:dyDescent="0.2">
      <c r="DY49765" s="185" t="s">
        <v>215</v>
      </c>
    </row>
    <row r="49766" spans="129:129" x14ac:dyDescent="0.2">
      <c r="DY49766" s="185" t="s">
        <v>215</v>
      </c>
    </row>
    <row r="49767" spans="129:129" x14ac:dyDescent="0.2">
      <c r="DY49767" s="185" t="s">
        <v>215</v>
      </c>
    </row>
    <row r="49768" spans="129:129" x14ac:dyDescent="0.2">
      <c r="DY49768" s="185" t="s">
        <v>215</v>
      </c>
    </row>
    <row r="49769" spans="129:129" x14ac:dyDescent="0.2">
      <c r="DY49769" s="185" t="s">
        <v>215</v>
      </c>
    </row>
    <row r="49770" spans="129:129" x14ac:dyDescent="0.2">
      <c r="DY49770" s="185" t="s">
        <v>215</v>
      </c>
    </row>
    <row r="49771" spans="129:129" x14ac:dyDescent="0.2">
      <c r="DY49771" s="185" t="s">
        <v>215</v>
      </c>
    </row>
    <row r="49772" spans="129:129" x14ac:dyDescent="0.2">
      <c r="DY49772" s="185" t="s">
        <v>215</v>
      </c>
    </row>
    <row r="49773" spans="129:129" x14ac:dyDescent="0.2">
      <c r="DY49773" s="185" t="s">
        <v>215</v>
      </c>
    </row>
    <row r="49774" spans="129:129" x14ac:dyDescent="0.2">
      <c r="DY49774" s="185" t="s">
        <v>215</v>
      </c>
    </row>
    <row r="49775" spans="129:129" x14ac:dyDescent="0.2">
      <c r="DY49775" s="185" t="s">
        <v>215</v>
      </c>
    </row>
    <row r="49776" spans="129:129" x14ac:dyDescent="0.2">
      <c r="DY49776" s="185" t="s">
        <v>215</v>
      </c>
    </row>
    <row r="49777" spans="129:129" x14ac:dyDescent="0.2">
      <c r="DY49777" s="185" t="s">
        <v>215</v>
      </c>
    </row>
    <row r="49778" spans="129:129" x14ac:dyDescent="0.2">
      <c r="DY49778" s="185" t="s">
        <v>215</v>
      </c>
    </row>
    <row r="49779" spans="129:129" x14ac:dyDescent="0.2">
      <c r="DY49779" s="185" t="s">
        <v>215</v>
      </c>
    </row>
    <row r="49780" spans="129:129" x14ac:dyDescent="0.2">
      <c r="DY49780" s="185" t="s">
        <v>215</v>
      </c>
    </row>
    <row r="49781" spans="129:129" x14ac:dyDescent="0.2">
      <c r="DY49781" s="185" t="s">
        <v>215</v>
      </c>
    </row>
    <row r="49782" spans="129:129" x14ac:dyDescent="0.2">
      <c r="DY49782" s="185" t="s">
        <v>215</v>
      </c>
    </row>
    <row r="49783" spans="129:129" x14ac:dyDescent="0.2">
      <c r="DY49783" s="185" t="s">
        <v>215</v>
      </c>
    </row>
    <row r="49784" spans="129:129" x14ac:dyDescent="0.2">
      <c r="DY49784" s="185" t="s">
        <v>215</v>
      </c>
    </row>
    <row r="49785" spans="129:129" x14ac:dyDescent="0.2">
      <c r="DY49785" s="185" t="s">
        <v>215</v>
      </c>
    </row>
    <row r="49786" spans="129:129" x14ac:dyDescent="0.2">
      <c r="DY49786" s="185" t="s">
        <v>215</v>
      </c>
    </row>
    <row r="49787" spans="129:129" x14ac:dyDescent="0.2">
      <c r="DY49787" s="185" t="s">
        <v>215</v>
      </c>
    </row>
    <row r="49788" spans="129:129" x14ac:dyDescent="0.2">
      <c r="DY49788" s="185" t="s">
        <v>215</v>
      </c>
    </row>
    <row r="49789" spans="129:129" x14ac:dyDescent="0.2">
      <c r="DY49789" s="185" t="s">
        <v>215</v>
      </c>
    </row>
    <row r="49790" spans="129:129" x14ac:dyDescent="0.2">
      <c r="DY49790" s="185" t="s">
        <v>215</v>
      </c>
    </row>
    <row r="49791" spans="129:129" x14ac:dyDescent="0.2">
      <c r="DY49791" s="185" t="s">
        <v>215</v>
      </c>
    </row>
    <row r="49792" spans="129:129" x14ac:dyDescent="0.2">
      <c r="DY49792" s="185" t="s">
        <v>215</v>
      </c>
    </row>
    <row r="49793" spans="129:129" x14ac:dyDescent="0.2">
      <c r="DY49793" s="185" t="s">
        <v>215</v>
      </c>
    </row>
    <row r="49794" spans="129:129" x14ac:dyDescent="0.2">
      <c r="DY49794" s="185" t="s">
        <v>215</v>
      </c>
    </row>
    <row r="49795" spans="129:129" x14ac:dyDescent="0.2">
      <c r="DY49795" s="185" t="s">
        <v>215</v>
      </c>
    </row>
    <row r="49796" spans="129:129" x14ac:dyDescent="0.2">
      <c r="DY49796" s="185" t="s">
        <v>215</v>
      </c>
    </row>
    <row r="49797" spans="129:129" x14ac:dyDescent="0.2">
      <c r="DY49797" s="185" t="s">
        <v>215</v>
      </c>
    </row>
    <row r="49798" spans="129:129" x14ac:dyDescent="0.2">
      <c r="DY49798" s="185" t="s">
        <v>215</v>
      </c>
    </row>
    <row r="49799" spans="129:129" x14ac:dyDescent="0.2">
      <c r="DY49799" s="185" t="s">
        <v>215</v>
      </c>
    </row>
    <row r="49800" spans="129:129" x14ac:dyDescent="0.2">
      <c r="DY49800" s="185" t="s">
        <v>215</v>
      </c>
    </row>
    <row r="49801" spans="129:129" x14ac:dyDescent="0.2">
      <c r="DY49801" s="185" t="s">
        <v>215</v>
      </c>
    </row>
    <row r="49802" spans="129:129" x14ac:dyDescent="0.2">
      <c r="DY49802" s="185" t="s">
        <v>215</v>
      </c>
    </row>
    <row r="49803" spans="129:129" x14ac:dyDescent="0.2">
      <c r="DY49803" s="185" t="s">
        <v>215</v>
      </c>
    </row>
    <row r="49804" spans="129:129" x14ac:dyDescent="0.2">
      <c r="DY49804" s="185" t="s">
        <v>215</v>
      </c>
    </row>
    <row r="49805" spans="129:129" x14ac:dyDescent="0.2">
      <c r="DY49805" s="185" t="s">
        <v>215</v>
      </c>
    </row>
    <row r="49806" spans="129:129" x14ac:dyDescent="0.2">
      <c r="DY49806" s="185" t="s">
        <v>215</v>
      </c>
    </row>
    <row r="49807" spans="129:129" x14ac:dyDescent="0.2">
      <c r="DY49807" s="185" t="s">
        <v>215</v>
      </c>
    </row>
    <row r="49808" spans="129:129" x14ac:dyDescent="0.2">
      <c r="DY49808" s="185" t="s">
        <v>215</v>
      </c>
    </row>
    <row r="49809" spans="129:129" x14ac:dyDescent="0.2">
      <c r="DY49809" s="185" t="s">
        <v>215</v>
      </c>
    </row>
    <row r="49810" spans="129:129" x14ac:dyDescent="0.2">
      <c r="DY49810" s="185" t="s">
        <v>215</v>
      </c>
    </row>
    <row r="49811" spans="129:129" x14ac:dyDescent="0.2">
      <c r="DY49811" s="185" t="s">
        <v>215</v>
      </c>
    </row>
    <row r="49812" spans="129:129" x14ac:dyDescent="0.2">
      <c r="DY49812" s="185" t="s">
        <v>215</v>
      </c>
    </row>
    <row r="49813" spans="129:129" x14ac:dyDescent="0.2">
      <c r="DY49813" s="185" t="s">
        <v>215</v>
      </c>
    </row>
    <row r="49814" spans="129:129" x14ac:dyDescent="0.2">
      <c r="DY49814" s="185" t="s">
        <v>215</v>
      </c>
    </row>
    <row r="49815" spans="129:129" x14ac:dyDescent="0.2">
      <c r="DY49815" s="185" t="s">
        <v>215</v>
      </c>
    </row>
    <row r="49816" spans="129:129" x14ac:dyDescent="0.2">
      <c r="DY49816" s="185" t="s">
        <v>215</v>
      </c>
    </row>
    <row r="49817" spans="129:129" x14ac:dyDescent="0.2">
      <c r="DY49817" s="185" t="s">
        <v>215</v>
      </c>
    </row>
    <row r="49818" spans="129:129" x14ac:dyDescent="0.2">
      <c r="DY49818" s="185" t="s">
        <v>215</v>
      </c>
    </row>
    <row r="49819" spans="129:129" x14ac:dyDescent="0.2">
      <c r="DY49819" s="185" t="s">
        <v>215</v>
      </c>
    </row>
    <row r="49820" spans="129:129" x14ac:dyDescent="0.2">
      <c r="DY49820" s="185" t="s">
        <v>215</v>
      </c>
    </row>
    <row r="49821" spans="129:129" x14ac:dyDescent="0.2">
      <c r="DY49821" s="185" t="s">
        <v>215</v>
      </c>
    </row>
    <row r="49822" spans="129:129" x14ac:dyDescent="0.2">
      <c r="DY49822" s="185" t="s">
        <v>215</v>
      </c>
    </row>
    <row r="49823" spans="129:129" x14ac:dyDescent="0.2">
      <c r="DY49823" s="185" t="s">
        <v>215</v>
      </c>
    </row>
    <row r="49824" spans="129:129" x14ac:dyDescent="0.2">
      <c r="DY49824" s="185" t="s">
        <v>215</v>
      </c>
    </row>
    <row r="49825" spans="129:129" x14ac:dyDescent="0.2">
      <c r="DY49825" s="185" t="s">
        <v>215</v>
      </c>
    </row>
    <row r="49826" spans="129:129" x14ac:dyDescent="0.2">
      <c r="DY49826" s="185" t="s">
        <v>215</v>
      </c>
    </row>
    <row r="49827" spans="129:129" x14ac:dyDescent="0.2">
      <c r="DY49827" s="185" t="s">
        <v>215</v>
      </c>
    </row>
    <row r="49828" spans="129:129" x14ac:dyDescent="0.2">
      <c r="DY49828" s="185" t="s">
        <v>215</v>
      </c>
    </row>
    <row r="49829" spans="129:129" x14ac:dyDescent="0.2">
      <c r="DY49829" s="185" t="s">
        <v>215</v>
      </c>
    </row>
    <row r="49830" spans="129:129" x14ac:dyDescent="0.2">
      <c r="DY49830" s="185" t="s">
        <v>215</v>
      </c>
    </row>
    <row r="49831" spans="129:129" x14ac:dyDescent="0.2">
      <c r="DY49831" s="185" t="s">
        <v>215</v>
      </c>
    </row>
    <row r="49832" spans="129:129" x14ac:dyDescent="0.2">
      <c r="DY49832" s="185" t="s">
        <v>215</v>
      </c>
    </row>
    <row r="49833" spans="129:129" x14ac:dyDescent="0.2">
      <c r="DY49833" s="185" t="s">
        <v>215</v>
      </c>
    </row>
    <row r="49834" spans="129:129" x14ac:dyDescent="0.2">
      <c r="DY49834" s="185" t="s">
        <v>215</v>
      </c>
    </row>
    <row r="49835" spans="129:129" x14ac:dyDescent="0.2">
      <c r="DY49835" s="185" t="s">
        <v>215</v>
      </c>
    </row>
    <row r="49836" spans="129:129" x14ac:dyDescent="0.2">
      <c r="DY49836" s="185" t="s">
        <v>215</v>
      </c>
    </row>
    <row r="49837" spans="129:129" x14ac:dyDescent="0.2">
      <c r="DY49837" s="185" t="s">
        <v>215</v>
      </c>
    </row>
    <row r="49838" spans="129:129" x14ac:dyDescent="0.2">
      <c r="DY49838" s="185" t="s">
        <v>215</v>
      </c>
    </row>
    <row r="49839" spans="129:129" x14ac:dyDescent="0.2">
      <c r="DY49839" s="185" t="s">
        <v>215</v>
      </c>
    </row>
    <row r="49840" spans="129:129" x14ac:dyDescent="0.2">
      <c r="DY49840" s="185" t="s">
        <v>215</v>
      </c>
    </row>
    <row r="49841" spans="129:129" x14ac:dyDescent="0.2">
      <c r="DY49841" s="185" t="s">
        <v>215</v>
      </c>
    </row>
    <row r="49842" spans="129:129" x14ac:dyDescent="0.2">
      <c r="DY49842" s="185" t="s">
        <v>215</v>
      </c>
    </row>
    <row r="49843" spans="129:129" x14ac:dyDescent="0.2">
      <c r="DY49843" s="185" t="s">
        <v>215</v>
      </c>
    </row>
    <row r="49844" spans="129:129" x14ac:dyDescent="0.2">
      <c r="DY49844" s="185" t="s">
        <v>215</v>
      </c>
    </row>
    <row r="49845" spans="129:129" x14ac:dyDescent="0.2">
      <c r="DY49845" s="185" t="s">
        <v>215</v>
      </c>
    </row>
    <row r="49846" spans="129:129" x14ac:dyDescent="0.2">
      <c r="DY49846" s="185" t="s">
        <v>215</v>
      </c>
    </row>
    <row r="49847" spans="129:129" x14ac:dyDescent="0.2">
      <c r="DY49847" s="185" t="s">
        <v>215</v>
      </c>
    </row>
    <row r="49848" spans="129:129" x14ac:dyDescent="0.2">
      <c r="DY49848" s="185" t="s">
        <v>215</v>
      </c>
    </row>
    <row r="49849" spans="129:129" x14ac:dyDescent="0.2">
      <c r="DY49849" s="185" t="s">
        <v>215</v>
      </c>
    </row>
    <row r="49850" spans="129:129" x14ac:dyDescent="0.2">
      <c r="DY49850" s="185" t="s">
        <v>215</v>
      </c>
    </row>
    <row r="49851" spans="129:129" x14ac:dyDescent="0.2">
      <c r="DY49851" s="185" t="s">
        <v>215</v>
      </c>
    </row>
    <row r="49852" spans="129:129" x14ac:dyDescent="0.2">
      <c r="DY49852" s="185" t="s">
        <v>215</v>
      </c>
    </row>
    <row r="49853" spans="129:129" x14ac:dyDescent="0.2">
      <c r="DY49853" s="185" t="s">
        <v>215</v>
      </c>
    </row>
    <row r="49854" spans="129:129" x14ac:dyDescent="0.2">
      <c r="DY49854" s="185" t="s">
        <v>215</v>
      </c>
    </row>
    <row r="49855" spans="129:129" x14ac:dyDescent="0.2">
      <c r="DY49855" s="185" t="s">
        <v>215</v>
      </c>
    </row>
    <row r="49856" spans="129:129" x14ac:dyDescent="0.2">
      <c r="DY49856" s="185" t="s">
        <v>215</v>
      </c>
    </row>
    <row r="49857" spans="129:129" x14ac:dyDescent="0.2">
      <c r="DY49857" s="185" t="s">
        <v>215</v>
      </c>
    </row>
    <row r="49858" spans="129:129" x14ac:dyDescent="0.2">
      <c r="DY49858" s="185" t="s">
        <v>215</v>
      </c>
    </row>
    <row r="49859" spans="129:129" x14ac:dyDescent="0.2">
      <c r="DY49859" s="185" t="s">
        <v>215</v>
      </c>
    </row>
    <row r="49860" spans="129:129" x14ac:dyDescent="0.2">
      <c r="DY49860" s="185" t="s">
        <v>215</v>
      </c>
    </row>
    <row r="49861" spans="129:129" x14ac:dyDescent="0.2">
      <c r="DY49861" s="185" t="s">
        <v>215</v>
      </c>
    </row>
    <row r="49862" spans="129:129" x14ac:dyDescent="0.2">
      <c r="DY49862" s="185" t="s">
        <v>215</v>
      </c>
    </row>
    <row r="49863" spans="129:129" x14ac:dyDescent="0.2">
      <c r="DY49863" s="185" t="s">
        <v>215</v>
      </c>
    </row>
    <row r="49864" spans="129:129" x14ac:dyDescent="0.2">
      <c r="DY49864" s="185" t="s">
        <v>215</v>
      </c>
    </row>
    <row r="49865" spans="129:129" x14ac:dyDescent="0.2">
      <c r="DY49865" s="185" t="s">
        <v>215</v>
      </c>
    </row>
    <row r="49866" spans="129:129" x14ac:dyDescent="0.2">
      <c r="DY49866" s="185" t="s">
        <v>215</v>
      </c>
    </row>
    <row r="49867" spans="129:129" x14ac:dyDescent="0.2">
      <c r="DY49867" s="185" t="s">
        <v>215</v>
      </c>
    </row>
    <row r="49868" spans="129:129" x14ac:dyDescent="0.2">
      <c r="DY49868" s="185" t="s">
        <v>215</v>
      </c>
    </row>
    <row r="49869" spans="129:129" x14ac:dyDescent="0.2">
      <c r="DY49869" s="185" t="s">
        <v>215</v>
      </c>
    </row>
    <row r="49870" spans="129:129" x14ac:dyDescent="0.2">
      <c r="DY49870" s="185" t="s">
        <v>215</v>
      </c>
    </row>
    <row r="49871" spans="129:129" x14ac:dyDescent="0.2">
      <c r="DY49871" s="185" t="s">
        <v>215</v>
      </c>
    </row>
    <row r="49872" spans="129:129" x14ac:dyDescent="0.2">
      <c r="DY49872" s="185" t="s">
        <v>215</v>
      </c>
    </row>
    <row r="49873" spans="129:129" x14ac:dyDescent="0.2">
      <c r="DY49873" s="185" t="s">
        <v>215</v>
      </c>
    </row>
    <row r="49874" spans="129:129" x14ac:dyDescent="0.2">
      <c r="DY49874" s="185" t="s">
        <v>215</v>
      </c>
    </row>
    <row r="49875" spans="129:129" x14ac:dyDescent="0.2">
      <c r="DY49875" s="185" t="s">
        <v>215</v>
      </c>
    </row>
    <row r="49876" spans="129:129" x14ac:dyDescent="0.2">
      <c r="DY49876" s="185" t="s">
        <v>215</v>
      </c>
    </row>
    <row r="49877" spans="129:129" x14ac:dyDescent="0.2">
      <c r="DY49877" s="185" t="s">
        <v>215</v>
      </c>
    </row>
    <row r="49878" spans="129:129" x14ac:dyDescent="0.2">
      <c r="DY49878" s="185" t="s">
        <v>215</v>
      </c>
    </row>
    <row r="49879" spans="129:129" x14ac:dyDescent="0.2">
      <c r="DY49879" s="185" t="s">
        <v>215</v>
      </c>
    </row>
    <row r="49880" spans="129:129" x14ac:dyDescent="0.2">
      <c r="DY49880" s="185" t="s">
        <v>215</v>
      </c>
    </row>
    <row r="49881" spans="129:129" x14ac:dyDescent="0.2">
      <c r="DY49881" s="185" t="s">
        <v>215</v>
      </c>
    </row>
    <row r="49882" spans="129:129" x14ac:dyDescent="0.2">
      <c r="DY49882" s="185" t="s">
        <v>215</v>
      </c>
    </row>
    <row r="49883" spans="129:129" x14ac:dyDescent="0.2">
      <c r="DY49883" s="185" t="s">
        <v>215</v>
      </c>
    </row>
    <row r="49884" spans="129:129" x14ac:dyDescent="0.2">
      <c r="DY49884" s="185" t="s">
        <v>215</v>
      </c>
    </row>
    <row r="49885" spans="129:129" x14ac:dyDescent="0.2">
      <c r="DY49885" s="185" t="s">
        <v>215</v>
      </c>
    </row>
    <row r="49886" spans="129:129" x14ac:dyDescent="0.2">
      <c r="DY49886" s="185" t="s">
        <v>215</v>
      </c>
    </row>
    <row r="49887" spans="129:129" x14ac:dyDescent="0.2">
      <c r="DY49887" s="185" t="s">
        <v>215</v>
      </c>
    </row>
    <row r="49888" spans="129:129" x14ac:dyDescent="0.2">
      <c r="DY49888" s="185" t="s">
        <v>215</v>
      </c>
    </row>
    <row r="49889" spans="129:129" x14ac:dyDescent="0.2">
      <c r="DY49889" s="185" t="s">
        <v>215</v>
      </c>
    </row>
    <row r="49890" spans="129:129" x14ac:dyDescent="0.2">
      <c r="DY49890" s="185" t="s">
        <v>215</v>
      </c>
    </row>
    <row r="49891" spans="129:129" x14ac:dyDescent="0.2">
      <c r="DY49891" s="185" t="s">
        <v>215</v>
      </c>
    </row>
    <row r="49892" spans="129:129" x14ac:dyDescent="0.2">
      <c r="DY49892" s="185" t="s">
        <v>215</v>
      </c>
    </row>
    <row r="49893" spans="129:129" x14ac:dyDescent="0.2">
      <c r="DY49893" s="185" t="s">
        <v>215</v>
      </c>
    </row>
    <row r="49894" spans="129:129" x14ac:dyDescent="0.2">
      <c r="DY49894" s="185" t="s">
        <v>215</v>
      </c>
    </row>
    <row r="49895" spans="129:129" x14ac:dyDescent="0.2">
      <c r="DY49895" s="185" t="s">
        <v>215</v>
      </c>
    </row>
    <row r="49896" spans="129:129" x14ac:dyDescent="0.2">
      <c r="DY49896" s="185" t="s">
        <v>215</v>
      </c>
    </row>
    <row r="49897" spans="129:129" x14ac:dyDescent="0.2">
      <c r="DY49897" s="185" t="s">
        <v>215</v>
      </c>
    </row>
    <row r="49898" spans="129:129" x14ac:dyDescent="0.2">
      <c r="DY49898" s="185" t="s">
        <v>215</v>
      </c>
    </row>
    <row r="49899" spans="129:129" x14ac:dyDescent="0.2">
      <c r="DY49899" s="185" t="s">
        <v>215</v>
      </c>
    </row>
    <row r="49900" spans="129:129" x14ac:dyDescent="0.2">
      <c r="DY49900" s="185" t="s">
        <v>215</v>
      </c>
    </row>
    <row r="49901" spans="129:129" x14ac:dyDescent="0.2">
      <c r="DY49901" s="185" t="s">
        <v>215</v>
      </c>
    </row>
    <row r="49902" spans="129:129" x14ac:dyDescent="0.2">
      <c r="DY49902" s="185" t="s">
        <v>215</v>
      </c>
    </row>
    <row r="49903" spans="129:129" x14ac:dyDescent="0.2">
      <c r="DY49903" s="185" t="s">
        <v>215</v>
      </c>
    </row>
    <row r="49904" spans="129:129" x14ac:dyDescent="0.2">
      <c r="DY49904" s="185" t="s">
        <v>215</v>
      </c>
    </row>
    <row r="49905" spans="129:129" x14ac:dyDescent="0.2">
      <c r="DY49905" s="185" t="s">
        <v>215</v>
      </c>
    </row>
    <row r="49906" spans="129:129" x14ac:dyDescent="0.2">
      <c r="DY49906" s="185" t="s">
        <v>215</v>
      </c>
    </row>
    <row r="49907" spans="129:129" x14ac:dyDescent="0.2">
      <c r="DY49907" s="185" t="s">
        <v>215</v>
      </c>
    </row>
    <row r="49908" spans="129:129" x14ac:dyDescent="0.2">
      <c r="DY49908" s="185" t="s">
        <v>215</v>
      </c>
    </row>
    <row r="49909" spans="129:129" x14ac:dyDescent="0.2">
      <c r="DY49909" s="185" t="s">
        <v>215</v>
      </c>
    </row>
    <row r="49910" spans="129:129" x14ac:dyDescent="0.2">
      <c r="DY49910" s="185" t="s">
        <v>215</v>
      </c>
    </row>
    <row r="49911" spans="129:129" x14ac:dyDescent="0.2">
      <c r="DY49911" s="185" t="s">
        <v>215</v>
      </c>
    </row>
    <row r="49912" spans="129:129" x14ac:dyDescent="0.2">
      <c r="DY49912" s="185" t="s">
        <v>215</v>
      </c>
    </row>
    <row r="49913" spans="129:129" x14ac:dyDescent="0.2">
      <c r="DY49913" s="185" t="s">
        <v>215</v>
      </c>
    </row>
    <row r="49914" spans="129:129" x14ac:dyDescent="0.2">
      <c r="DY49914" s="185" t="s">
        <v>215</v>
      </c>
    </row>
    <row r="49915" spans="129:129" x14ac:dyDescent="0.2">
      <c r="DY49915" s="185" t="s">
        <v>215</v>
      </c>
    </row>
    <row r="49916" spans="129:129" x14ac:dyDescent="0.2">
      <c r="DY49916" s="185" t="s">
        <v>215</v>
      </c>
    </row>
    <row r="49917" spans="129:129" x14ac:dyDescent="0.2">
      <c r="DY49917" s="185" t="s">
        <v>215</v>
      </c>
    </row>
    <row r="49918" spans="129:129" x14ac:dyDescent="0.2">
      <c r="DY49918" s="185" t="s">
        <v>215</v>
      </c>
    </row>
    <row r="49919" spans="129:129" x14ac:dyDescent="0.2">
      <c r="DY49919" s="185" t="s">
        <v>215</v>
      </c>
    </row>
    <row r="49920" spans="129:129" x14ac:dyDescent="0.2">
      <c r="DY49920" s="185" t="s">
        <v>215</v>
      </c>
    </row>
    <row r="49921" spans="129:129" x14ac:dyDescent="0.2">
      <c r="DY49921" s="185" t="s">
        <v>215</v>
      </c>
    </row>
    <row r="49922" spans="129:129" x14ac:dyDescent="0.2">
      <c r="DY49922" s="185" t="s">
        <v>215</v>
      </c>
    </row>
    <row r="49923" spans="129:129" x14ac:dyDescent="0.2">
      <c r="DY49923" s="185" t="s">
        <v>215</v>
      </c>
    </row>
    <row r="49924" spans="129:129" x14ac:dyDescent="0.2">
      <c r="DY49924" s="185" t="s">
        <v>215</v>
      </c>
    </row>
    <row r="49925" spans="129:129" x14ac:dyDescent="0.2">
      <c r="DY49925" s="185" t="s">
        <v>215</v>
      </c>
    </row>
    <row r="49926" spans="129:129" x14ac:dyDescent="0.2">
      <c r="DY49926" s="185" t="s">
        <v>215</v>
      </c>
    </row>
    <row r="49927" spans="129:129" x14ac:dyDescent="0.2">
      <c r="DY49927" s="185" t="s">
        <v>215</v>
      </c>
    </row>
    <row r="49928" spans="129:129" x14ac:dyDescent="0.2">
      <c r="DY49928" s="185" t="s">
        <v>215</v>
      </c>
    </row>
    <row r="49929" spans="129:129" x14ac:dyDescent="0.2">
      <c r="DY49929" s="185" t="s">
        <v>215</v>
      </c>
    </row>
    <row r="49930" spans="129:129" x14ac:dyDescent="0.2">
      <c r="DY49930" s="185" t="s">
        <v>215</v>
      </c>
    </row>
    <row r="49931" spans="129:129" x14ac:dyDescent="0.2">
      <c r="DY49931" s="185" t="s">
        <v>215</v>
      </c>
    </row>
    <row r="49932" spans="129:129" x14ac:dyDescent="0.2">
      <c r="DY49932" s="185" t="s">
        <v>215</v>
      </c>
    </row>
    <row r="49933" spans="129:129" x14ac:dyDescent="0.2">
      <c r="DY49933" s="185" t="s">
        <v>215</v>
      </c>
    </row>
    <row r="49934" spans="129:129" x14ac:dyDescent="0.2">
      <c r="DY49934" s="185" t="s">
        <v>215</v>
      </c>
    </row>
    <row r="49935" spans="129:129" x14ac:dyDescent="0.2">
      <c r="DY49935" s="185" t="s">
        <v>215</v>
      </c>
    </row>
    <row r="49936" spans="129:129" x14ac:dyDescent="0.2">
      <c r="DY49936" s="185" t="s">
        <v>215</v>
      </c>
    </row>
    <row r="49937" spans="129:129" x14ac:dyDescent="0.2">
      <c r="DY49937" s="185" t="s">
        <v>215</v>
      </c>
    </row>
    <row r="49938" spans="129:129" x14ac:dyDescent="0.2">
      <c r="DY49938" s="185" t="s">
        <v>215</v>
      </c>
    </row>
    <row r="49939" spans="129:129" x14ac:dyDescent="0.2">
      <c r="DY49939" s="185" t="s">
        <v>215</v>
      </c>
    </row>
    <row r="49940" spans="129:129" x14ac:dyDescent="0.2">
      <c r="DY49940" s="185" t="s">
        <v>215</v>
      </c>
    </row>
    <row r="49941" spans="129:129" x14ac:dyDescent="0.2">
      <c r="DY49941" s="185" t="s">
        <v>215</v>
      </c>
    </row>
    <row r="49942" spans="129:129" x14ac:dyDescent="0.2">
      <c r="DY49942" s="185" t="s">
        <v>215</v>
      </c>
    </row>
    <row r="49943" spans="129:129" x14ac:dyDescent="0.2">
      <c r="DY49943" s="185" t="s">
        <v>215</v>
      </c>
    </row>
    <row r="49944" spans="129:129" x14ac:dyDescent="0.2">
      <c r="DY49944" s="185" t="s">
        <v>215</v>
      </c>
    </row>
    <row r="49945" spans="129:129" x14ac:dyDescent="0.2">
      <c r="DY49945" s="185" t="s">
        <v>215</v>
      </c>
    </row>
    <row r="49946" spans="129:129" x14ac:dyDescent="0.2">
      <c r="DY49946" s="185" t="s">
        <v>215</v>
      </c>
    </row>
    <row r="49947" spans="129:129" x14ac:dyDescent="0.2">
      <c r="DY49947" s="185" t="s">
        <v>215</v>
      </c>
    </row>
    <row r="49948" spans="129:129" x14ac:dyDescent="0.2">
      <c r="DY49948" s="185" t="s">
        <v>215</v>
      </c>
    </row>
    <row r="49949" spans="129:129" x14ac:dyDescent="0.2">
      <c r="DY49949" s="185" t="s">
        <v>215</v>
      </c>
    </row>
    <row r="49950" spans="129:129" x14ac:dyDescent="0.2">
      <c r="DY49950" s="185" t="s">
        <v>215</v>
      </c>
    </row>
    <row r="49951" spans="129:129" x14ac:dyDescent="0.2">
      <c r="DY49951" s="185" t="s">
        <v>215</v>
      </c>
    </row>
    <row r="49952" spans="129:129" x14ac:dyDescent="0.2">
      <c r="DY49952" s="185" t="s">
        <v>215</v>
      </c>
    </row>
    <row r="49953" spans="129:129" x14ac:dyDescent="0.2">
      <c r="DY49953" s="185" t="s">
        <v>215</v>
      </c>
    </row>
    <row r="49954" spans="129:129" x14ac:dyDescent="0.2">
      <c r="DY49954" s="185" t="s">
        <v>215</v>
      </c>
    </row>
    <row r="49955" spans="129:129" x14ac:dyDescent="0.2">
      <c r="DY49955" s="185" t="s">
        <v>215</v>
      </c>
    </row>
    <row r="49956" spans="129:129" x14ac:dyDescent="0.2">
      <c r="DY49956" s="185" t="s">
        <v>215</v>
      </c>
    </row>
    <row r="49957" spans="129:129" x14ac:dyDescent="0.2">
      <c r="DY49957" s="185" t="s">
        <v>215</v>
      </c>
    </row>
    <row r="49958" spans="129:129" x14ac:dyDescent="0.2">
      <c r="DY49958" s="185" t="s">
        <v>215</v>
      </c>
    </row>
    <row r="49959" spans="129:129" x14ac:dyDescent="0.2">
      <c r="DY49959" s="185" t="s">
        <v>215</v>
      </c>
    </row>
    <row r="49960" spans="129:129" x14ac:dyDescent="0.2">
      <c r="DY49960" s="185" t="s">
        <v>215</v>
      </c>
    </row>
    <row r="49961" spans="129:129" x14ac:dyDescent="0.2">
      <c r="DY49961" s="185" t="s">
        <v>215</v>
      </c>
    </row>
    <row r="49962" spans="129:129" x14ac:dyDescent="0.2">
      <c r="DY49962" s="185" t="s">
        <v>215</v>
      </c>
    </row>
    <row r="49963" spans="129:129" x14ac:dyDescent="0.2">
      <c r="DY49963" s="185" t="s">
        <v>215</v>
      </c>
    </row>
    <row r="49964" spans="129:129" x14ac:dyDescent="0.2">
      <c r="DY49964" s="185" t="s">
        <v>215</v>
      </c>
    </row>
    <row r="49965" spans="129:129" x14ac:dyDescent="0.2">
      <c r="DY49965" s="185" t="s">
        <v>215</v>
      </c>
    </row>
    <row r="49966" spans="129:129" x14ac:dyDescent="0.2">
      <c r="DY49966" s="185" t="s">
        <v>215</v>
      </c>
    </row>
    <row r="49967" spans="129:129" x14ac:dyDescent="0.2">
      <c r="DY49967" s="185" t="s">
        <v>215</v>
      </c>
    </row>
    <row r="49968" spans="129:129" x14ac:dyDescent="0.2">
      <c r="DY49968" s="185" t="s">
        <v>215</v>
      </c>
    </row>
    <row r="49969" spans="129:129" x14ac:dyDescent="0.2">
      <c r="DY49969" s="185" t="s">
        <v>215</v>
      </c>
    </row>
    <row r="49970" spans="129:129" x14ac:dyDescent="0.2">
      <c r="DY49970" s="185" t="s">
        <v>215</v>
      </c>
    </row>
    <row r="49971" spans="129:129" x14ac:dyDescent="0.2">
      <c r="DY49971" s="185" t="s">
        <v>215</v>
      </c>
    </row>
    <row r="49972" spans="129:129" x14ac:dyDescent="0.2">
      <c r="DY49972" s="185" t="s">
        <v>215</v>
      </c>
    </row>
    <row r="49973" spans="129:129" x14ac:dyDescent="0.2">
      <c r="DY49973" s="185" t="s">
        <v>215</v>
      </c>
    </row>
    <row r="49974" spans="129:129" x14ac:dyDescent="0.2">
      <c r="DY49974" s="185" t="s">
        <v>215</v>
      </c>
    </row>
    <row r="49975" spans="129:129" x14ac:dyDescent="0.2">
      <c r="DY49975" s="185" t="s">
        <v>215</v>
      </c>
    </row>
    <row r="49976" spans="129:129" x14ac:dyDescent="0.2">
      <c r="DY49976" s="185" t="s">
        <v>215</v>
      </c>
    </row>
    <row r="49977" spans="129:129" x14ac:dyDescent="0.2">
      <c r="DY49977" s="185" t="s">
        <v>215</v>
      </c>
    </row>
    <row r="49978" spans="129:129" x14ac:dyDescent="0.2">
      <c r="DY49978" s="185" t="s">
        <v>215</v>
      </c>
    </row>
    <row r="49979" spans="129:129" x14ac:dyDescent="0.2">
      <c r="DY49979" s="185" t="s">
        <v>215</v>
      </c>
    </row>
    <row r="49980" spans="129:129" x14ac:dyDescent="0.2">
      <c r="DY49980" s="185" t="s">
        <v>215</v>
      </c>
    </row>
    <row r="49981" spans="129:129" x14ac:dyDescent="0.2">
      <c r="DY49981" s="185" t="s">
        <v>215</v>
      </c>
    </row>
    <row r="49982" spans="129:129" x14ac:dyDescent="0.2">
      <c r="DY49982" s="185" t="s">
        <v>215</v>
      </c>
    </row>
    <row r="49983" spans="129:129" x14ac:dyDescent="0.2">
      <c r="DY49983" s="185" t="s">
        <v>215</v>
      </c>
    </row>
    <row r="49984" spans="129:129" x14ac:dyDescent="0.2">
      <c r="DY49984" s="185" t="s">
        <v>215</v>
      </c>
    </row>
    <row r="49985" spans="129:129" x14ac:dyDescent="0.2">
      <c r="DY49985" s="185" t="s">
        <v>215</v>
      </c>
    </row>
    <row r="49986" spans="129:129" x14ac:dyDescent="0.2">
      <c r="DY49986" s="185" t="s">
        <v>215</v>
      </c>
    </row>
    <row r="49987" spans="129:129" x14ac:dyDescent="0.2">
      <c r="DY49987" s="185" t="s">
        <v>215</v>
      </c>
    </row>
    <row r="49988" spans="129:129" x14ac:dyDescent="0.2">
      <c r="DY49988" s="185" t="s">
        <v>215</v>
      </c>
    </row>
    <row r="49989" spans="129:129" x14ac:dyDescent="0.2">
      <c r="DY49989" s="185" t="s">
        <v>215</v>
      </c>
    </row>
    <row r="49990" spans="129:129" x14ac:dyDescent="0.2">
      <c r="DY49990" s="185" t="s">
        <v>215</v>
      </c>
    </row>
    <row r="49991" spans="129:129" x14ac:dyDescent="0.2">
      <c r="DY49991" s="185" t="s">
        <v>215</v>
      </c>
    </row>
    <row r="49992" spans="129:129" x14ac:dyDescent="0.2">
      <c r="DY49992" s="185" t="s">
        <v>215</v>
      </c>
    </row>
    <row r="49993" spans="129:129" x14ac:dyDescent="0.2">
      <c r="DY49993" s="185" t="s">
        <v>215</v>
      </c>
    </row>
    <row r="49994" spans="129:129" x14ac:dyDescent="0.2">
      <c r="DY49994" s="185" t="s">
        <v>215</v>
      </c>
    </row>
    <row r="49995" spans="129:129" x14ac:dyDescent="0.2">
      <c r="DY49995" s="185" t="s">
        <v>215</v>
      </c>
    </row>
    <row r="49996" spans="129:129" x14ac:dyDescent="0.2">
      <c r="DY49996" s="185" t="s">
        <v>215</v>
      </c>
    </row>
    <row r="49997" spans="129:129" x14ac:dyDescent="0.2">
      <c r="DY49997" s="185" t="s">
        <v>215</v>
      </c>
    </row>
    <row r="49998" spans="129:129" x14ac:dyDescent="0.2">
      <c r="DY49998" s="185" t="s">
        <v>215</v>
      </c>
    </row>
    <row r="49999" spans="129:129" x14ac:dyDescent="0.2">
      <c r="DY49999" s="185" t="s">
        <v>215</v>
      </c>
    </row>
    <row r="50000" spans="129:129" x14ac:dyDescent="0.2">
      <c r="DY50000" s="185" t="s">
        <v>215</v>
      </c>
    </row>
    <row r="50001" spans="129:129" x14ac:dyDescent="0.2">
      <c r="DY50001" s="185" t="s">
        <v>215</v>
      </c>
    </row>
    <row r="50002" spans="129:129" x14ac:dyDescent="0.2">
      <c r="DY50002" s="185" t="s">
        <v>215</v>
      </c>
    </row>
    <row r="50003" spans="129:129" x14ac:dyDescent="0.2">
      <c r="DY50003" s="185" t="s">
        <v>215</v>
      </c>
    </row>
    <row r="50004" spans="129:129" x14ac:dyDescent="0.2">
      <c r="DY50004" s="185" t="s">
        <v>215</v>
      </c>
    </row>
    <row r="50005" spans="129:129" x14ac:dyDescent="0.2">
      <c r="DY50005" s="185" t="s">
        <v>215</v>
      </c>
    </row>
    <row r="50006" spans="129:129" x14ac:dyDescent="0.2">
      <c r="DY50006" s="185" t="s">
        <v>215</v>
      </c>
    </row>
    <row r="50007" spans="129:129" x14ac:dyDescent="0.2">
      <c r="DY50007" s="185" t="s">
        <v>215</v>
      </c>
    </row>
    <row r="50008" spans="129:129" x14ac:dyDescent="0.2">
      <c r="DY50008" s="185" t="s">
        <v>215</v>
      </c>
    </row>
    <row r="50009" spans="129:129" x14ac:dyDescent="0.2">
      <c r="DY50009" s="185" t="s">
        <v>215</v>
      </c>
    </row>
    <row r="50010" spans="129:129" x14ac:dyDescent="0.2">
      <c r="DY50010" s="185" t="s">
        <v>215</v>
      </c>
    </row>
    <row r="50011" spans="129:129" x14ac:dyDescent="0.2">
      <c r="DY50011" s="185" t="s">
        <v>215</v>
      </c>
    </row>
    <row r="50012" spans="129:129" x14ac:dyDescent="0.2">
      <c r="DY50012" s="185" t="s">
        <v>215</v>
      </c>
    </row>
    <row r="50013" spans="129:129" x14ac:dyDescent="0.2">
      <c r="DY50013" s="185" t="s">
        <v>215</v>
      </c>
    </row>
    <row r="50014" spans="129:129" x14ac:dyDescent="0.2">
      <c r="DY50014" s="185" t="s">
        <v>215</v>
      </c>
    </row>
    <row r="50015" spans="129:129" x14ac:dyDescent="0.2">
      <c r="DY50015" s="185" t="s">
        <v>215</v>
      </c>
    </row>
    <row r="50016" spans="129:129" x14ac:dyDescent="0.2">
      <c r="DY50016" s="185" t="s">
        <v>215</v>
      </c>
    </row>
    <row r="50017" spans="129:129" x14ac:dyDescent="0.2">
      <c r="DY50017" s="185" t="s">
        <v>215</v>
      </c>
    </row>
    <row r="50018" spans="129:129" x14ac:dyDescent="0.2">
      <c r="DY50018" s="185" t="s">
        <v>215</v>
      </c>
    </row>
    <row r="50019" spans="129:129" x14ac:dyDescent="0.2">
      <c r="DY50019" s="185" t="s">
        <v>215</v>
      </c>
    </row>
    <row r="50020" spans="129:129" x14ac:dyDescent="0.2">
      <c r="DY50020" s="185" t="s">
        <v>215</v>
      </c>
    </row>
    <row r="50021" spans="129:129" x14ac:dyDescent="0.2">
      <c r="DY50021" s="185" t="s">
        <v>215</v>
      </c>
    </row>
    <row r="50022" spans="129:129" x14ac:dyDescent="0.2">
      <c r="DY50022" s="185" t="s">
        <v>215</v>
      </c>
    </row>
    <row r="50023" spans="129:129" x14ac:dyDescent="0.2">
      <c r="DY50023" s="185" t="s">
        <v>215</v>
      </c>
    </row>
    <row r="50024" spans="129:129" x14ac:dyDescent="0.2">
      <c r="DY50024" s="185" t="s">
        <v>215</v>
      </c>
    </row>
    <row r="50025" spans="129:129" x14ac:dyDescent="0.2">
      <c r="DY50025" s="185" t="s">
        <v>215</v>
      </c>
    </row>
    <row r="50026" spans="129:129" x14ac:dyDescent="0.2">
      <c r="DY50026" s="185" t="s">
        <v>215</v>
      </c>
    </row>
    <row r="50027" spans="129:129" x14ac:dyDescent="0.2">
      <c r="DY50027" s="185" t="s">
        <v>215</v>
      </c>
    </row>
    <row r="50028" spans="129:129" x14ac:dyDescent="0.2">
      <c r="DY50028" s="185" t="s">
        <v>215</v>
      </c>
    </row>
    <row r="50029" spans="129:129" x14ac:dyDescent="0.2">
      <c r="DY50029" s="185" t="s">
        <v>215</v>
      </c>
    </row>
    <row r="50030" spans="129:129" x14ac:dyDescent="0.2">
      <c r="DY50030" s="185" t="s">
        <v>215</v>
      </c>
    </row>
    <row r="50031" spans="129:129" x14ac:dyDescent="0.2">
      <c r="DY50031" s="185" t="s">
        <v>215</v>
      </c>
    </row>
    <row r="50032" spans="129:129" x14ac:dyDescent="0.2">
      <c r="DY50032" s="185" t="s">
        <v>215</v>
      </c>
    </row>
    <row r="50033" spans="129:129" x14ac:dyDescent="0.2">
      <c r="DY50033" s="185" t="s">
        <v>215</v>
      </c>
    </row>
    <row r="50034" spans="129:129" x14ac:dyDescent="0.2">
      <c r="DY50034" s="185" t="s">
        <v>215</v>
      </c>
    </row>
    <row r="50035" spans="129:129" x14ac:dyDescent="0.2">
      <c r="DY50035" s="185" t="s">
        <v>215</v>
      </c>
    </row>
    <row r="50036" spans="129:129" x14ac:dyDescent="0.2">
      <c r="DY50036" s="185" t="s">
        <v>215</v>
      </c>
    </row>
    <row r="50037" spans="129:129" x14ac:dyDescent="0.2">
      <c r="DY50037" s="185" t="s">
        <v>215</v>
      </c>
    </row>
    <row r="50038" spans="129:129" x14ac:dyDescent="0.2">
      <c r="DY50038" s="185" t="s">
        <v>215</v>
      </c>
    </row>
    <row r="50039" spans="129:129" x14ac:dyDescent="0.2">
      <c r="DY50039" s="185" t="s">
        <v>215</v>
      </c>
    </row>
    <row r="50040" spans="129:129" x14ac:dyDescent="0.2">
      <c r="DY50040" s="185" t="s">
        <v>215</v>
      </c>
    </row>
    <row r="50041" spans="129:129" x14ac:dyDescent="0.2">
      <c r="DY50041" s="185" t="s">
        <v>215</v>
      </c>
    </row>
    <row r="50042" spans="129:129" x14ac:dyDescent="0.2">
      <c r="DY50042" s="185" t="s">
        <v>215</v>
      </c>
    </row>
    <row r="50043" spans="129:129" x14ac:dyDescent="0.2">
      <c r="DY50043" s="185" t="s">
        <v>215</v>
      </c>
    </row>
    <row r="50044" spans="129:129" x14ac:dyDescent="0.2">
      <c r="DY50044" s="185" t="s">
        <v>215</v>
      </c>
    </row>
    <row r="50045" spans="129:129" x14ac:dyDescent="0.2">
      <c r="DY50045" s="185" t="s">
        <v>215</v>
      </c>
    </row>
    <row r="50046" spans="129:129" x14ac:dyDescent="0.2">
      <c r="DY50046" s="185" t="s">
        <v>215</v>
      </c>
    </row>
    <row r="50047" spans="129:129" x14ac:dyDescent="0.2">
      <c r="DY50047" s="185" t="s">
        <v>215</v>
      </c>
    </row>
    <row r="50048" spans="129:129" x14ac:dyDescent="0.2">
      <c r="DY50048" s="185" t="s">
        <v>215</v>
      </c>
    </row>
    <row r="50049" spans="129:129" x14ac:dyDescent="0.2">
      <c r="DY50049" s="185" t="s">
        <v>215</v>
      </c>
    </row>
    <row r="50050" spans="129:129" x14ac:dyDescent="0.2">
      <c r="DY50050" s="185" t="s">
        <v>215</v>
      </c>
    </row>
    <row r="50051" spans="129:129" x14ac:dyDescent="0.2">
      <c r="DY50051" s="185" t="s">
        <v>215</v>
      </c>
    </row>
    <row r="50052" spans="129:129" x14ac:dyDescent="0.2">
      <c r="DY50052" s="185" t="s">
        <v>215</v>
      </c>
    </row>
    <row r="50053" spans="129:129" x14ac:dyDescent="0.2">
      <c r="DY50053" s="185" t="s">
        <v>215</v>
      </c>
    </row>
    <row r="50054" spans="129:129" x14ac:dyDescent="0.2">
      <c r="DY50054" s="185" t="s">
        <v>215</v>
      </c>
    </row>
    <row r="50055" spans="129:129" x14ac:dyDescent="0.2">
      <c r="DY50055" s="185" t="s">
        <v>215</v>
      </c>
    </row>
    <row r="50056" spans="129:129" x14ac:dyDescent="0.2">
      <c r="DY50056" s="185" t="s">
        <v>215</v>
      </c>
    </row>
    <row r="50057" spans="129:129" x14ac:dyDescent="0.2">
      <c r="DY50057" s="185" t="s">
        <v>215</v>
      </c>
    </row>
    <row r="50058" spans="129:129" x14ac:dyDescent="0.2">
      <c r="DY50058" s="185" t="s">
        <v>215</v>
      </c>
    </row>
    <row r="50059" spans="129:129" x14ac:dyDescent="0.2">
      <c r="DY50059" s="185" t="s">
        <v>215</v>
      </c>
    </row>
    <row r="50060" spans="129:129" x14ac:dyDescent="0.2">
      <c r="DY50060" s="185" t="s">
        <v>215</v>
      </c>
    </row>
    <row r="50061" spans="129:129" x14ac:dyDescent="0.2">
      <c r="DY50061" s="185" t="s">
        <v>215</v>
      </c>
    </row>
    <row r="50062" spans="129:129" x14ac:dyDescent="0.2">
      <c r="DY50062" s="185" t="s">
        <v>215</v>
      </c>
    </row>
    <row r="50063" spans="129:129" x14ac:dyDescent="0.2">
      <c r="DY50063" s="185" t="s">
        <v>215</v>
      </c>
    </row>
    <row r="50064" spans="129:129" x14ac:dyDescent="0.2">
      <c r="DY50064" s="185" t="s">
        <v>215</v>
      </c>
    </row>
    <row r="50065" spans="129:129" x14ac:dyDescent="0.2">
      <c r="DY50065" s="185" t="s">
        <v>215</v>
      </c>
    </row>
    <row r="50066" spans="129:129" x14ac:dyDescent="0.2">
      <c r="DY50066" s="185" t="s">
        <v>215</v>
      </c>
    </row>
    <row r="50067" spans="129:129" x14ac:dyDescent="0.2">
      <c r="DY50067" s="185" t="s">
        <v>215</v>
      </c>
    </row>
    <row r="50068" spans="129:129" x14ac:dyDescent="0.2">
      <c r="DY50068" s="185" t="s">
        <v>215</v>
      </c>
    </row>
    <row r="50069" spans="129:129" x14ac:dyDescent="0.2">
      <c r="DY50069" s="185" t="s">
        <v>215</v>
      </c>
    </row>
    <row r="50070" spans="129:129" x14ac:dyDescent="0.2">
      <c r="DY50070" s="185" t="s">
        <v>215</v>
      </c>
    </row>
    <row r="50071" spans="129:129" x14ac:dyDescent="0.2">
      <c r="DY50071" s="185" t="s">
        <v>215</v>
      </c>
    </row>
    <row r="50072" spans="129:129" x14ac:dyDescent="0.2">
      <c r="DY50072" s="185" t="s">
        <v>215</v>
      </c>
    </row>
    <row r="50073" spans="129:129" x14ac:dyDescent="0.2">
      <c r="DY50073" s="185" t="s">
        <v>215</v>
      </c>
    </row>
    <row r="50074" spans="129:129" x14ac:dyDescent="0.2">
      <c r="DY50074" s="185" t="s">
        <v>215</v>
      </c>
    </row>
    <row r="50075" spans="129:129" x14ac:dyDescent="0.2">
      <c r="DY50075" s="185" t="s">
        <v>215</v>
      </c>
    </row>
    <row r="50076" spans="129:129" x14ac:dyDescent="0.2">
      <c r="DY50076" s="185" t="s">
        <v>215</v>
      </c>
    </row>
    <row r="50077" spans="129:129" x14ac:dyDescent="0.2">
      <c r="DY50077" s="185" t="s">
        <v>215</v>
      </c>
    </row>
    <row r="50078" spans="129:129" x14ac:dyDescent="0.2">
      <c r="DY50078" s="185" t="s">
        <v>215</v>
      </c>
    </row>
    <row r="50079" spans="129:129" x14ac:dyDescent="0.2">
      <c r="DY50079" s="185" t="s">
        <v>215</v>
      </c>
    </row>
    <row r="50080" spans="129:129" x14ac:dyDescent="0.2">
      <c r="DY50080" s="185" t="s">
        <v>215</v>
      </c>
    </row>
    <row r="50081" spans="129:129" x14ac:dyDescent="0.2">
      <c r="DY50081" s="185" t="s">
        <v>215</v>
      </c>
    </row>
    <row r="50082" spans="129:129" x14ac:dyDescent="0.2">
      <c r="DY50082" s="185" t="s">
        <v>215</v>
      </c>
    </row>
    <row r="50083" spans="129:129" x14ac:dyDescent="0.2">
      <c r="DY50083" s="185" t="s">
        <v>215</v>
      </c>
    </row>
    <row r="50084" spans="129:129" x14ac:dyDescent="0.2">
      <c r="DY50084" s="185" t="s">
        <v>215</v>
      </c>
    </row>
    <row r="50085" spans="129:129" x14ac:dyDescent="0.2">
      <c r="DY50085" s="185" t="s">
        <v>215</v>
      </c>
    </row>
    <row r="50086" spans="129:129" x14ac:dyDescent="0.2">
      <c r="DY50086" s="185" t="s">
        <v>215</v>
      </c>
    </row>
    <row r="50087" spans="129:129" x14ac:dyDescent="0.2">
      <c r="DY50087" s="185" t="s">
        <v>215</v>
      </c>
    </row>
    <row r="50088" spans="129:129" x14ac:dyDescent="0.2">
      <c r="DY50088" s="185" t="s">
        <v>215</v>
      </c>
    </row>
    <row r="50089" spans="129:129" x14ac:dyDescent="0.2">
      <c r="DY50089" s="185" t="s">
        <v>215</v>
      </c>
    </row>
    <row r="50090" spans="129:129" x14ac:dyDescent="0.2">
      <c r="DY50090" s="185" t="s">
        <v>215</v>
      </c>
    </row>
    <row r="50091" spans="129:129" x14ac:dyDescent="0.2">
      <c r="DY50091" s="185" t="s">
        <v>215</v>
      </c>
    </row>
    <row r="50092" spans="129:129" x14ac:dyDescent="0.2">
      <c r="DY50092" s="185" t="s">
        <v>215</v>
      </c>
    </row>
    <row r="50093" spans="129:129" x14ac:dyDescent="0.2">
      <c r="DY50093" s="185" t="s">
        <v>215</v>
      </c>
    </row>
    <row r="50094" spans="129:129" x14ac:dyDescent="0.2">
      <c r="DY50094" s="185" t="s">
        <v>215</v>
      </c>
    </row>
    <row r="50095" spans="129:129" x14ac:dyDescent="0.2">
      <c r="DY50095" s="185" t="s">
        <v>215</v>
      </c>
    </row>
    <row r="50096" spans="129:129" x14ac:dyDescent="0.2">
      <c r="DY50096" s="185" t="s">
        <v>215</v>
      </c>
    </row>
    <row r="50097" spans="129:129" x14ac:dyDescent="0.2">
      <c r="DY50097" s="185" t="s">
        <v>215</v>
      </c>
    </row>
    <row r="50098" spans="129:129" x14ac:dyDescent="0.2">
      <c r="DY50098" s="185" t="s">
        <v>215</v>
      </c>
    </row>
    <row r="50099" spans="129:129" x14ac:dyDescent="0.2">
      <c r="DY50099" s="185" t="s">
        <v>215</v>
      </c>
    </row>
    <row r="50100" spans="129:129" x14ac:dyDescent="0.2">
      <c r="DY50100" s="185" t="s">
        <v>215</v>
      </c>
    </row>
    <row r="50101" spans="129:129" x14ac:dyDescent="0.2">
      <c r="DY50101" s="185" t="s">
        <v>215</v>
      </c>
    </row>
    <row r="50102" spans="129:129" x14ac:dyDescent="0.2">
      <c r="DY50102" s="185" t="s">
        <v>215</v>
      </c>
    </row>
    <row r="50103" spans="129:129" x14ac:dyDescent="0.2">
      <c r="DY50103" s="185" t="s">
        <v>215</v>
      </c>
    </row>
    <row r="50104" spans="129:129" x14ac:dyDescent="0.2">
      <c r="DY50104" s="185" t="s">
        <v>215</v>
      </c>
    </row>
    <row r="50105" spans="129:129" x14ac:dyDescent="0.2">
      <c r="DY50105" s="185" t="s">
        <v>215</v>
      </c>
    </row>
    <row r="50106" spans="129:129" x14ac:dyDescent="0.2">
      <c r="DY50106" s="185" t="s">
        <v>215</v>
      </c>
    </row>
    <row r="50107" spans="129:129" x14ac:dyDescent="0.2">
      <c r="DY50107" s="185" t="s">
        <v>215</v>
      </c>
    </row>
    <row r="50108" spans="129:129" x14ac:dyDescent="0.2">
      <c r="DY50108" s="185" t="s">
        <v>215</v>
      </c>
    </row>
    <row r="50109" spans="129:129" x14ac:dyDescent="0.2">
      <c r="DY50109" s="185" t="s">
        <v>215</v>
      </c>
    </row>
    <row r="50110" spans="129:129" x14ac:dyDescent="0.2">
      <c r="DY50110" s="185" t="s">
        <v>215</v>
      </c>
    </row>
    <row r="50111" spans="129:129" x14ac:dyDescent="0.2">
      <c r="DY50111" s="185" t="s">
        <v>215</v>
      </c>
    </row>
    <row r="50112" spans="129:129" x14ac:dyDescent="0.2">
      <c r="DY50112" s="185" t="s">
        <v>215</v>
      </c>
    </row>
    <row r="50113" spans="129:129" x14ac:dyDescent="0.2">
      <c r="DY50113" s="185" t="s">
        <v>215</v>
      </c>
    </row>
    <row r="50114" spans="129:129" x14ac:dyDescent="0.2">
      <c r="DY50114" s="185" t="s">
        <v>215</v>
      </c>
    </row>
    <row r="50115" spans="129:129" x14ac:dyDescent="0.2">
      <c r="DY50115" s="185" t="s">
        <v>215</v>
      </c>
    </row>
    <row r="50116" spans="129:129" x14ac:dyDescent="0.2">
      <c r="DY50116" s="185" t="s">
        <v>215</v>
      </c>
    </row>
    <row r="50117" spans="129:129" x14ac:dyDescent="0.2">
      <c r="DY50117" s="185" t="s">
        <v>215</v>
      </c>
    </row>
    <row r="50118" spans="129:129" x14ac:dyDescent="0.2">
      <c r="DY50118" s="185" t="s">
        <v>215</v>
      </c>
    </row>
    <row r="50119" spans="129:129" x14ac:dyDescent="0.2">
      <c r="DY50119" s="185" t="s">
        <v>215</v>
      </c>
    </row>
    <row r="50120" spans="129:129" x14ac:dyDescent="0.2">
      <c r="DY50120" s="185" t="s">
        <v>215</v>
      </c>
    </row>
    <row r="50121" spans="129:129" x14ac:dyDescent="0.2">
      <c r="DY50121" s="185" t="s">
        <v>215</v>
      </c>
    </row>
    <row r="50122" spans="129:129" x14ac:dyDescent="0.2">
      <c r="DY50122" s="185" t="s">
        <v>215</v>
      </c>
    </row>
    <row r="50123" spans="129:129" x14ac:dyDescent="0.2">
      <c r="DY50123" s="185" t="s">
        <v>215</v>
      </c>
    </row>
    <row r="50124" spans="129:129" x14ac:dyDescent="0.2">
      <c r="DY50124" s="185" t="s">
        <v>215</v>
      </c>
    </row>
    <row r="50125" spans="129:129" x14ac:dyDescent="0.2">
      <c r="DY50125" s="185" t="s">
        <v>215</v>
      </c>
    </row>
    <row r="50126" spans="129:129" x14ac:dyDescent="0.2">
      <c r="DY50126" s="185" t="s">
        <v>215</v>
      </c>
    </row>
    <row r="50127" spans="129:129" x14ac:dyDescent="0.2">
      <c r="DY50127" s="185" t="s">
        <v>215</v>
      </c>
    </row>
    <row r="50128" spans="129:129" x14ac:dyDescent="0.2">
      <c r="DY50128" s="185" t="s">
        <v>215</v>
      </c>
    </row>
    <row r="50129" spans="129:129" x14ac:dyDescent="0.2">
      <c r="DY50129" s="185" t="s">
        <v>215</v>
      </c>
    </row>
    <row r="50130" spans="129:129" x14ac:dyDescent="0.2">
      <c r="DY50130" s="185" t="s">
        <v>215</v>
      </c>
    </row>
    <row r="50131" spans="129:129" x14ac:dyDescent="0.2">
      <c r="DY50131" s="185" t="s">
        <v>215</v>
      </c>
    </row>
    <row r="50132" spans="129:129" x14ac:dyDescent="0.2">
      <c r="DY50132" s="185" t="s">
        <v>215</v>
      </c>
    </row>
    <row r="50133" spans="129:129" x14ac:dyDescent="0.2">
      <c r="DY50133" s="185" t="s">
        <v>215</v>
      </c>
    </row>
    <row r="50134" spans="129:129" x14ac:dyDescent="0.2">
      <c r="DY50134" s="185" t="s">
        <v>215</v>
      </c>
    </row>
    <row r="50135" spans="129:129" x14ac:dyDescent="0.2">
      <c r="DY50135" s="185" t="s">
        <v>215</v>
      </c>
    </row>
    <row r="50136" spans="129:129" x14ac:dyDescent="0.2">
      <c r="DY50136" s="185" t="s">
        <v>215</v>
      </c>
    </row>
    <row r="50137" spans="129:129" x14ac:dyDescent="0.2">
      <c r="DY50137" s="185" t="s">
        <v>215</v>
      </c>
    </row>
    <row r="50138" spans="129:129" x14ac:dyDescent="0.2">
      <c r="DY50138" s="185" t="s">
        <v>215</v>
      </c>
    </row>
    <row r="50139" spans="129:129" x14ac:dyDescent="0.2">
      <c r="DY50139" s="185" t="s">
        <v>215</v>
      </c>
    </row>
    <row r="50140" spans="129:129" x14ac:dyDescent="0.2">
      <c r="DY50140" s="185" t="s">
        <v>215</v>
      </c>
    </row>
    <row r="50141" spans="129:129" x14ac:dyDescent="0.2">
      <c r="DY50141" s="185" t="s">
        <v>215</v>
      </c>
    </row>
    <row r="50142" spans="129:129" x14ac:dyDescent="0.2">
      <c r="DY50142" s="185" t="s">
        <v>215</v>
      </c>
    </row>
    <row r="50143" spans="129:129" x14ac:dyDescent="0.2">
      <c r="DY50143" s="185" t="s">
        <v>215</v>
      </c>
    </row>
    <row r="50144" spans="129:129" x14ac:dyDescent="0.2">
      <c r="DY50144" s="185" t="s">
        <v>215</v>
      </c>
    </row>
    <row r="50145" spans="129:129" x14ac:dyDescent="0.2">
      <c r="DY50145" s="185" t="s">
        <v>215</v>
      </c>
    </row>
    <row r="50146" spans="129:129" x14ac:dyDescent="0.2">
      <c r="DY50146" s="185" t="s">
        <v>215</v>
      </c>
    </row>
    <row r="50147" spans="129:129" x14ac:dyDescent="0.2">
      <c r="DY50147" s="185" t="s">
        <v>215</v>
      </c>
    </row>
    <row r="50148" spans="129:129" x14ac:dyDescent="0.2">
      <c r="DY50148" s="185" t="s">
        <v>215</v>
      </c>
    </row>
    <row r="50149" spans="129:129" x14ac:dyDescent="0.2">
      <c r="DY50149" s="185" t="s">
        <v>215</v>
      </c>
    </row>
    <row r="50150" spans="129:129" x14ac:dyDescent="0.2">
      <c r="DY50150" s="185" t="s">
        <v>215</v>
      </c>
    </row>
    <row r="50151" spans="129:129" x14ac:dyDescent="0.2">
      <c r="DY50151" s="185" t="s">
        <v>215</v>
      </c>
    </row>
    <row r="50152" spans="129:129" x14ac:dyDescent="0.2">
      <c r="DY50152" s="185" t="s">
        <v>215</v>
      </c>
    </row>
    <row r="50153" spans="129:129" x14ac:dyDescent="0.2">
      <c r="DY50153" s="185" t="s">
        <v>215</v>
      </c>
    </row>
    <row r="50154" spans="129:129" x14ac:dyDescent="0.2">
      <c r="DY50154" s="185" t="s">
        <v>215</v>
      </c>
    </row>
    <row r="50155" spans="129:129" x14ac:dyDescent="0.2">
      <c r="DY50155" s="185" t="s">
        <v>215</v>
      </c>
    </row>
    <row r="50156" spans="129:129" x14ac:dyDescent="0.2">
      <c r="DY50156" s="185" t="s">
        <v>215</v>
      </c>
    </row>
    <row r="50157" spans="129:129" x14ac:dyDescent="0.2">
      <c r="DY50157" s="185" t="s">
        <v>215</v>
      </c>
    </row>
    <row r="50158" spans="129:129" x14ac:dyDescent="0.2">
      <c r="DY50158" s="185" t="s">
        <v>215</v>
      </c>
    </row>
    <row r="50159" spans="129:129" x14ac:dyDescent="0.2">
      <c r="DY50159" s="185" t="s">
        <v>215</v>
      </c>
    </row>
    <row r="50160" spans="129:129" x14ac:dyDescent="0.2">
      <c r="DY50160" s="185" t="s">
        <v>215</v>
      </c>
    </row>
    <row r="50161" spans="129:129" x14ac:dyDescent="0.2">
      <c r="DY50161" s="185" t="s">
        <v>215</v>
      </c>
    </row>
    <row r="50162" spans="129:129" x14ac:dyDescent="0.2">
      <c r="DY50162" s="185" t="s">
        <v>215</v>
      </c>
    </row>
    <row r="50163" spans="129:129" x14ac:dyDescent="0.2">
      <c r="DY50163" s="185" t="s">
        <v>215</v>
      </c>
    </row>
    <row r="50164" spans="129:129" x14ac:dyDescent="0.2">
      <c r="DY50164" s="185" t="s">
        <v>215</v>
      </c>
    </row>
    <row r="50165" spans="129:129" x14ac:dyDescent="0.2">
      <c r="DY50165" s="185" t="s">
        <v>215</v>
      </c>
    </row>
    <row r="50166" spans="129:129" x14ac:dyDescent="0.2">
      <c r="DY50166" s="185" t="s">
        <v>215</v>
      </c>
    </row>
    <row r="50167" spans="129:129" x14ac:dyDescent="0.2">
      <c r="DY50167" s="185" t="s">
        <v>215</v>
      </c>
    </row>
    <row r="50168" spans="129:129" x14ac:dyDescent="0.2">
      <c r="DY50168" s="185" t="s">
        <v>215</v>
      </c>
    </row>
    <row r="50169" spans="129:129" x14ac:dyDescent="0.2">
      <c r="DY50169" s="185" t="s">
        <v>215</v>
      </c>
    </row>
    <row r="50170" spans="129:129" x14ac:dyDescent="0.2">
      <c r="DY50170" s="185" t="s">
        <v>215</v>
      </c>
    </row>
    <row r="50171" spans="129:129" x14ac:dyDescent="0.2">
      <c r="DY50171" s="185" t="s">
        <v>215</v>
      </c>
    </row>
    <row r="50172" spans="129:129" x14ac:dyDescent="0.2">
      <c r="DY50172" s="185" t="s">
        <v>215</v>
      </c>
    </row>
    <row r="50173" spans="129:129" x14ac:dyDescent="0.2">
      <c r="DY50173" s="185" t="s">
        <v>215</v>
      </c>
    </row>
    <row r="50174" spans="129:129" x14ac:dyDescent="0.2">
      <c r="DY50174" s="185" t="s">
        <v>215</v>
      </c>
    </row>
    <row r="50175" spans="129:129" x14ac:dyDescent="0.2">
      <c r="DY50175" s="185" t="s">
        <v>215</v>
      </c>
    </row>
    <row r="50176" spans="129:129" x14ac:dyDescent="0.2">
      <c r="DY50176" s="185" t="s">
        <v>215</v>
      </c>
    </row>
    <row r="50177" spans="129:129" x14ac:dyDescent="0.2">
      <c r="DY50177" s="185" t="s">
        <v>215</v>
      </c>
    </row>
    <row r="50178" spans="129:129" x14ac:dyDescent="0.2">
      <c r="DY50178" s="185" t="s">
        <v>215</v>
      </c>
    </row>
    <row r="50179" spans="129:129" x14ac:dyDescent="0.2">
      <c r="DY50179" s="185" t="s">
        <v>215</v>
      </c>
    </row>
    <row r="50180" spans="129:129" x14ac:dyDescent="0.2">
      <c r="DY50180" s="185" t="s">
        <v>215</v>
      </c>
    </row>
    <row r="50181" spans="129:129" x14ac:dyDescent="0.2">
      <c r="DY50181" s="185" t="s">
        <v>215</v>
      </c>
    </row>
    <row r="50182" spans="129:129" x14ac:dyDescent="0.2">
      <c r="DY50182" s="185" t="s">
        <v>215</v>
      </c>
    </row>
    <row r="50183" spans="129:129" x14ac:dyDescent="0.2">
      <c r="DY50183" s="185" t="s">
        <v>215</v>
      </c>
    </row>
    <row r="50184" spans="129:129" x14ac:dyDescent="0.2">
      <c r="DY50184" s="185" t="s">
        <v>215</v>
      </c>
    </row>
    <row r="50185" spans="129:129" x14ac:dyDescent="0.2">
      <c r="DY50185" s="185" t="s">
        <v>215</v>
      </c>
    </row>
    <row r="50186" spans="129:129" x14ac:dyDescent="0.2">
      <c r="DY50186" s="185" t="s">
        <v>215</v>
      </c>
    </row>
    <row r="50187" spans="129:129" x14ac:dyDescent="0.2">
      <c r="DY50187" s="185" t="s">
        <v>215</v>
      </c>
    </row>
    <row r="50188" spans="129:129" x14ac:dyDescent="0.2">
      <c r="DY50188" s="185" t="s">
        <v>215</v>
      </c>
    </row>
    <row r="50189" spans="129:129" x14ac:dyDescent="0.2">
      <c r="DY50189" s="185" t="s">
        <v>215</v>
      </c>
    </row>
    <row r="50190" spans="129:129" x14ac:dyDescent="0.2">
      <c r="DY50190" s="185" t="s">
        <v>215</v>
      </c>
    </row>
    <row r="50191" spans="129:129" x14ac:dyDescent="0.2">
      <c r="DY50191" s="185" t="s">
        <v>215</v>
      </c>
    </row>
    <row r="50192" spans="129:129" x14ac:dyDescent="0.2">
      <c r="DY50192" s="185" t="s">
        <v>215</v>
      </c>
    </row>
    <row r="50193" spans="129:129" x14ac:dyDescent="0.2">
      <c r="DY50193" s="185" t="s">
        <v>215</v>
      </c>
    </row>
    <row r="50194" spans="129:129" x14ac:dyDescent="0.2">
      <c r="DY50194" s="185" t="s">
        <v>215</v>
      </c>
    </row>
    <row r="50195" spans="129:129" x14ac:dyDescent="0.2">
      <c r="DY50195" s="185" t="s">
        <v>215</v>
      </c>
    </row>
    <row r="50196" spans="129:129" x14ac:dyDescent="0.2">
      <c r="DY50196" s="185" t="s">
        <v>215</v>
      </c>
    </row>
    <row r="50197" spans="129:129" x14ac:dyDescent="0.2">
      <c r="DY50197" s="185" t="s">
        <v>215</v>
      </c>
    </row>
    <row r="50198" spans="129:129" x14ac:dyDescent="0.2">
      <c r="DY50198" s="185" t="s">
        <v>215</v>
      </c>
    </row>
    <row r="50199" spans="129:129" x14ac:dyDescent="0.2">
      <c r="DY50199" s="185" t="s">
        <v>215</v>
      </c>
    </row>
    <row r="50200" spans="129:129" x14ac:dyDescent="0.2">
      <c r="DY50200" s="185" t="s">
        <v>215</v>
      </c>
    </row>
    <row r="50201" spans="129:129" x14ac:dyDescent="0.2">
      <c r="DY50201" s="185" t="s">
        <v>215</v>
      </c>
    </row>
    <row r="50202" spans="129:129" x14ac:dyDescent="0.2">
      <c r="DY50202" s="185" t="s">
        <v>215</v>
      </c>
    </row>
    <row r="50203" spans="129:129" x14ac:dyDescent="0.2">
      <c r="DY50203" s="185" t="s">
        <v>215</v>
      </c>
    </row>
    <row r="50204" spans="129:129" x14ac:dyDescent="0.2">
      <c r="DY50204" s="185" t="s">
        <v>215</v>
      </c>
    </row>
    <row r="50205" spans="129:129" x14ac:dyDescent="0.2">
      <c r="DY50205" s="185" t="s">
        <v>215</v>
      </c>
    </row>
    <row r="50206" spans="129:129" x14ac:dyDescent="0.2">
      <c r="DY50206" s="185" t="s">
        <v>215</v>
      </c>
    </row>
    <row r="50207" spans="129:129" x14ac:dyDescent="0.2">
      <c r="DY50207" s="185" t="s">
        <v>215</v>
      </c>
    </row>
    <row r="50208" spans="129:129" x14ac:dyDescent="0.2">
      <c r="DY50208" s="185" t="s">
        <v>215</v>
      </c>
    </row>
    <row r="50209" spans="129:129" x14ac:dyDescent="0.2">
      <c r="DY50209" s="185" t="s">
        <v>215</v>
      </c>
    </row>
    <row r="50210" spans="129:129" x14ac:dyDescent="0.2">
      <c r="DY50210" s="185" t="s">
        <v>215</v>
      </c>
    </row>
    <row r="50211" spans="129:129" x14ac:dyDescent="0.2">
      <c r="DY50211" s="185" t="s">
        <v>215</v>
      </c>
    </row>
    <row r="50212" spans="129:129" x14ac:dyDescent="0.2">
      <c r="DY50212" s="185" t="s">
        <v>215</v>
      </c>
    </row>
    <row r="50213" spans="129:129" x14ac:dyDescent="0.2">
      <c r="DY50213" s="185" t="s">
        <v>215</v>
      </c>
    </row>
    <row r="50214" spans="129:129" x14ac:dyDescent="0.2">
      <c r="DY50214" s="185" t="s">
        <v>215</v>
      </c>
    </row>
    <row r="50215" spans="129:129" x14ac:dyDescent="0.2">
      <c r="DY50215" s="185" t="s">
        <v>215</v>
      </c>
    </row>
    <row r="50216" spans="129:129" x14ac:dyDescent="0.2">
      <c r="DY50216" s="185" t="s">
        <v>215</v>
      </c>
    </row>
    <row r="50217" spans="129:129" x14ac:dyDescent="0.2">
      <c r="DY50217" s="185" t="s">
        <v>215</v>
      </c>
    </row>
    <row r="50218" spans="129:129" x14ac:dyDescent="0.2">
      <c r="DY50218" s="185" t="s">
        <v>215</v>
      </c>
    </row>
    <row r="50219" spans="129:129" x14ac:dyDescent="0.2">
      <c r="DY50219" s="185" t="s">
        <v>215</v>
      </c>
    </row>
    <row r="50220" spans="129:129" x14ac:dyDescent="0.2">
      <c r="DY50220" s="185" t="s">
        <v>215</v>
      </c>
    </row>
    <row r="50221" spans="129:129" x14ac:dyDescent="0.2">
      <c r="DY50221" s="185" t="s">
        <v>215</v>
      </c>
    </row>
    <row r="50222" spans="129:129" x14ac:dyDescent="0.2">
      <c r="DY50222" s="185" t="s">
        <v>215</v>
      </c>
    </row>
    <row r="50223" spans="129:129" x14ac:dyDescent="0.2">
      <c r="DY50223" s="185" t="s">
        <v>215</v>
      </c>
    </row>
    <row r="50224" spans="129:129" x14ac:dyDescent="0.2">
      <c r="DY50224" s="185" t="s">
        <v>215</v>
      </c>
    </row>
    <row r="50225" spans="129:129" x14ac:dyDescent="0.2">
      <c r="DY50225" s="185" t="s">
        <v>215</v>
      </c>
    </row>
    <row r="50226" spans="129:129" x14ac:dyDescent="0.2">
      <c r="DY50226" s="185" t="s">
        <v>215</v>
      </c>
    </row>
    <row r="50227" spans="129:129" x14ac:dyDescent="0.2">
      <c r="DY50227" s="185" t="s">
        <v>215</v>
      </c>
    </row>
    <row r="50228" spans="129:129" x14ac:dyDescent="0.2">
      <c r="DY50228" s="185" t="s">
        <v>215</v>
      </c>
    </row>
    <row r="50229" spans="129:129" x14ac:dyDescent="0.2">
      <c r="DY50229" s="185" t="s">
        <v>215</v>
      </c>
    </row>
    <row r="50230" spans="129:129" x14ac:dyDescent="0.2">
      <c r="DY50230" s="185" t="s">
        <v>215</v>
      </c>
    </row>
    <row r="50231" spans="129:129" x14ac:dyDescent="0.2">
      <c r="DY50231" s="185" t="s">
        <v>215</v>
      </c>
    </row>
    <row r="50232" spans="129:129" x14ac:dyDescent="0.2">
      <c r="DY50232" s="185" t="s">
        <v>215</v>
      </c>
    </row>
    <row r="50233" spans="129:129" x14ac:dyDescent="0.2">
      <c r="DY50233" s="185" t="s">
        <v>215</v>
      </c>
    </row>
    <row r="50234" spans="129:129" x14ac:dyDescent="0.2">
      <c r="DY50234" s="185" t="s">
        <v>215</v>
      </c>
    </row>
    <row r="50235" spans="129:129" x14ac:dyDescent="0.2">
      <c r="DY50235" s="185" t="s">
        <v>215</v>
      </c>
    </row>
    <row r="50236" spans="129:129" x14ac:dyDescent="0.2">
      <c r="DY50236" s="185" t="s">
        <v>215</v>
      </c>
    </row>
    <row r="50237" spans="129:129" x14ac:dyDescent="0.2">
      <c r="DY50237" s="185" t="s">
        <v>215</v>
      </c>
    </row>
    <row r="50238" spans="129:129" x14ac:dyDescent="0.2">
      <c r="DY50238" s="185" t="s">
        <v>215</v>
      </c>
    </row>
    <row r="50239" spans="129:129" x14ac:dyDescent="0.2">
      <c r="DY50239" s="185" t="s">
        <v>215</v>
      </c>
    </row>
    <row r="50240" spans="129:129" x14ac:dyDescent="0.2">
      <c r="DY50240" s="185" t="s">
        <v>215</v>
      </c>
    </row>
    <row r="50241" spans="129:129" x14ac:dyDescent="0.2">
      <c r="DY50241" s="185" t="s">
        <v>215</v>
      </c>
    </row>
    <row r="50242" spans="129:129" x14ac:dyDescent="0.2">
      <c r="DY50242" s="185" t="s">
        <v>215</v>
      </c>
    </row>
    <row r="50243" spans="129:129" x14ac:dyDescent="0.2">
      <c r="DY50243" s="185" t="s">
        <v>215</v>
      </c>
    </row>
    <row r="50244" spans="129:129" x14ac:dyDescent="0.2">
      <c r="DY50244" s="185" t="s">
        <v>215</v>
      </c>
    </row>
    <row r="50245" spans="129:129" x14ac:dyDescent="0.2">
      <c r="DY50245" s="185" t="s">
        <v>215</v>
      </c>
    </row>
    <row r="50246" spans="129:129" x14ac:dyDescent="0.2">
      <c r="DY50246" s="185" t="s">
        <v>215</v>
      </c>
    </row>
    <row r="50247" spans="129:129" x14ac:dyDescent="0.2">
      <c r="DY50247" s="185" t="s">
        <v>215</v>
      </c>
    </row>
    <row r="50248" spans="129:129" x14ac:dyDescent="0.2">
      <c r="DY50248" s="185" t="s">
        <v>215</v>
      </c>
    </row>
    <row r="50249" spans="129:129" x14ac:dyDescent="0.2">
      <c r="DY50249" s="185" t="s">
        <v>215</v>
      </c>
    </row>
    <row r="50250" spans="129:129" x14ac:dyDescent="0.2">
      <c r="DY50250" s="185" t="s">
        <v>215</v>
      </c>
    </row>
    <row r="50251" spans="129:129" x14ac:dyDescent="0.2">
      <c r="DY50251" s="185" t="s">
        <v>215</v>
      </c>
    </row>
    <row r="50252" spans="129:129" x14ac:dyDescent="0.2">
      <c r="DY50252" s="185" t="s">
        <v>215</v>
      </c>
    </row>
    <row r="50253" spans="129:129" x14ac:dyDescent="0.2">
      <c r="DY50253" s="185" t="s">
        <v>215</v>
      </c>
    </row>
    <row r="50254" spans="129:129" x14ac:dyDescent="0.2">
      <c r="DY50254" s="185" t="s">
        <v>215</v>
      </c>
    </row>
    <row r="50255" spans="129:129" x14ac:dyDescent="0.2">
      <c r="DY50255" s="185" t="s">
        <v>215</v>
      </c>
    </row>
    <row r="50256" spans="129:129" x14ac:dyDescent="0.2">
      <c r="DY50256" s="185" t="s">
        <v>215</v>
      </c>
    </row>
    <row r="50257" spans="129:129" x14ac:dyDescent="0.2">
      <c r="DY50257" s="185" t="s">
        <v>215</v>
      </c>
    </row>
    <row r="50258" spans="129:129" x14ac:dyDescent="0.2">
      <c r="DY50258" s="185" t="s">
        <v>215</v>
      </c>
    </row>
    <row r="50259" spans="129:129" x14ac:dyDescent="0.2">
      <c r="DY50259" s="185" t="s">
        <v>215</v>
      </c>
    </row>
    <row r="50260" spans="129:129" x14ac:dyDescent="0.2">
      <c r="DY50260" s="185" t="s">
        <v>215</v>
      </c>
    </row>
    <row r="50261" spans="129:129" x14ac:dyDescent="0.2">
      <c r="DY50261" s="185" t="s">
        <v>215</v>
      </c>
    </row>
    <row r="50262" spans="129:129" x14ac:dyDescent="0.2">
      <c r="DY50262" s="185" t="s">
        <v>215</v>
      </c>
    </row>
    <row r="50263" spans="129:129" x14ac:dyDescent="0.2">
      <c r="DY50263" s="185" t="s">
        <v>215</v>
      </c>
    </row>
    <row r="50264" spans="129:129" x14ac:dyDescent="0.2">
      <c r="DY50264" s="185" t="s">
        <v>215</v>
      </c>
    </row>
    <row r="50265" spans="129:129" x14ac:dyDescent="0.2">
      <c r="DY50265" s="185" t="s">
        <v>215</v>
      </c>
    </row>
    <row r="50266" spans="129:129" x14ac:dyDescent="0.2">
      <c r="DY50266" s="185" t="s">
        <v>215</v>
      </c>
    </row>
    <row r="50267" spans="129:129" x14ac:dyDescent="0.2">
      <c r="DY50267" s="185" t="s">
        <v>215</v>
      </c>
    </row>
    <row r="50268" spans="129:129" x14ac:dyDescent="0.2">
      <c r="DY50268" s="185" t="s">
        <v>215</v>
      </c>
    </row>
    <row r="50269" spans="129:129" x14ac:dyDescent="0.2">
      <c r="DY50269" s="185" t="s">
        <v>215</v>
      </c>
    </row>
    <row r="50270" spans="129:129" x14ac:dyDescent="0.2">
      <c r="DY50270" s="185" t="s">
        <v>215</v>
      </c>
    </row>
    <row r="50271" spans="129:129" x14ac:dyDescent="0.2">
      <c r="DY50271" s="185" t="s">
        <v>215</v>
      </c>
    </row>
    <row r="50272" spans="129:129" x14ac:dyDescent="0.2">
      <c r="DY50272" s="185" t="s">
        <v>215</v>
      </c>
    </row>
    <row r="50273" spans="129:129" x14ac:dyDescent="0.2">
      <c r="DY50273" s="185" t="s">
        <v>215</v>
      </c>
    </row>
    <row r="50274" spans="129:129" x14ac:dyDescent="0.2">
      <c r="DY50274" s="185" t="s">
        <v>215</v>
      </c>
    </row>
    <row r="50275" spans="129:129" x14ac:dyDescent="0.2">
      <c r="DY50275" s="185" t="s">
        <v>215</v>
      </c>
    </row>
    <row r="50276" spans="129:129" x14ac:dyDescent="0.2">
      <c r="DY50276" s="185" t="s">
        <v>215</v>
      </c>
    </row>
    <row r="50277" spans="129:129" x14ac:dyDescent="0.2">
      <c r="DY50277" s="185" t="s">
        <v>215</v>
      </c>
    </row>
    <row r="50278" spans="129:129" x14ac:dyDescent="0.2">
      <c r="DY50278" s="185" t="s">
        <v>215</v>
      </c>
    </row>
    <row r="50279" spans="129:129" x14ac:dyDescent="0.2">
      <c r="DY50279" s="185" t="s">
        <v>215</v>
      </c>
    </row>
    <row r="50280" spans="129:129" x14ac:dyDescent="0.2">
      <c r="DY50280" s="185" t="s">
        <v>215</v>
      </c>
    </row>
    <row r="50281" spans="129:129" x14ac:dyDescent="0.2">
      <c r="DY50281" s="185" t="s">
        <v>215</v>
      </c>
    </row>
    <row r="50282" spans="129:129" x14ac:dyDescent="0.2">
      <c r="DY50282" s="185" t="s">
        <v>215</v>
      </c>
    </row>
    <row r="50283" spans="129:129" x14ac:dyDescent="0.2">
      <c r="DY50283" s="185" t="s">
        <v>215</v>
      </c>
    </row>
    <row r="50284" spans="129:129" x14ac:dyDescent="0.2">
      <c r="DY50284" s="185" t="s">
        <v>215</v>
      </c>
    </row>
    <row r="50285" spans="129:129" x14ac:dyDescent="0.2">
      <c r="DY50285" s="185" t="s">
        <v>215</v>
      </c>
    </row>
    <row r="50286" spans="129:129" x14ac:dyDescent="0.2">
      <c r="DY50286" s="185" t="s">
        <v>215</v>
      </c>
    </row>
    <row r="50287" spans="129:129" x14ac:dyDescent="0.2">
      <c r="DY50287" s="185" t="s">
        <v>215</v>
      </c>
    </row>
    <row r="50288" spans="129:129" x14ac:dyDescent="0.2">
      <c r="DY50288" s="185" t="s">
        <v>215</v>
      </c>
    </row>
    <row r="50289" spans="129:129" x14ac:dyDescent="0.2">
      <c r="DY50289" s="185" t="s">
        <v>215</v>
      </c>
    </row>
    <row r="50290" spans="129:129" x14ac:dyDescent="0.2">
      <c r="DY50290" s="185" t="s">
        <v>215</v>
      </c>
    </row>
    <row r="50291" spans="129:129" x14ac:dyDescent="0.2">
      <c r="DY50291" s="185" t="s">
        <v>215</v>
      </c>
    </row>
    <row r="50292" spans="129:129" x14ac:dyDescent="0.2">
      <c r="DY50292" s="185" t="s">
        <v>215</v>
      </c>
    </row>
    <row r="50293" spans="129:129" x14ac:dyDescent="0.2">
      <c r="DY50293" s="185" t="s">
        <v>215</v>
      </c>
    </row>
    <row r="50294" spans="129:129" x14ac:dyDescent="0.2">
      <c r="DY50294" s="185" t="s">
        <v>215</v>
      </c>
    </row>
    <row r="50295" spans="129:129" x14ac:dyDescent="0.2">
      <c r="DY50295" s="185" t="s">
        <v>215</v>
      </c>
    </row>
    <row r="50296" spans="129:129" x14ac:dyDescent="0.2">
      <c r="DY50296" s="185" t="s">
        <v>215</v>
      </c>
    </row>
    <row r="50297" spans="129:129" x14ac:dyDescent="0.2">
      <c r="DY50297" s="185" t="s">
        <v>215</v>
      </c>
    </row>
    <row r="50298" spans="129:129" x14ac:dyDescent="0.2">
      <c r="DY50298" s="185" t="s">
        <v>215</v>
      </c>
    </row>
    <row r="50299" spans="129:129" x14ac:dyDescent="0.2">
      <c r="DY50299" s="185" t="s">
        <v>215</v>
      </c>
    </row>
    <row r="50300" spans="129:129" x14ac:dyDescent="0.2">
      <c r="DY50300" s="185" t="s">
        <v>215</v>
      </c>
    </row>
    <row r="50301" spans="129:129" x14ac:dyDescent="0.2">
      <c r="DY50301" s="185" t="s">
        <v>215</v>
      </c>
    </row>
    <row r="50302" spans="129:129" x14ac:dyDescent="0.2">
      <c r="DY50302" s="185" t="s">
        <v>215</v>
      </c>
    </row>
    <row r="50303" spans="129:129" x14ac:dyDescent="0.2">
      <c r="DY50303" s="185" t="s">
        <v>215</v>
      </c>
    </row>
    <row r="50304" spans="129:129" x14ac:dyDescent="0.2">
      <c r="DY50304" s="185" t="s">
        <v>215</v>
      </c>
    </row>
    <row r="50305" spans="129:129" x14ac:dyDescent="0.2">
      <c r="DY50305" s="185" t="s">
        <v>215</v>
      </c>
    </row>
    <row r="50306" spans="129:129" x14ac:dyDescent="0.2">
      <c r="DY50306" s="185" t="s">
        <v>215</v>
      </c>
    </row>
    <row r="50307" spans="129:129" x14ac:dyDescent="0.2">
      <c r="DY50307" s="185" t="s">
        <v>215</v>
      </c>
    </row>
    <row r="50308" spans="129:129" x14ac:dyDescent="0.2">
      <c r="DY50308" s="185" t="s">
        <v>215</v>
      </c>
    </row>
    <row r="50309" spans="129:129" x14ac:dyDescent="0.2">
      <c r="DY50309" s="185" t="s">
        <v>215</v>
      </c>
    </row>
    <row r="50310" spans="129:129" x14ac:dyDescent="0.2">
      <c r="DY50310" s="185" t="s">
        <v>215</v>
      </c>
    </row>
    <row r="50311" spans="129:129" x14ac:dyDescent="0.2">
      <c r="DY50311" s="185" t="s">
        <v>215</v>
      </c>
    </row>
    <row r="50312" spans="129:129" x14ac:dyDescent="0.2">
      <c r="DY50312" s="185" t="s">
        <v>215</v>
      </c>
    </row>
    <row r="50313" spans="129:129" x14ac:dyDescent="0.2">
      <c r="DY50313" s="185" t="s">
        <v>215</v>
      </c>
    </row>
    <row r="50314" spans="129:129" x14ac:dyDescent="0.2">
      <c r="DY50314" s="185" t="s">
        <v>215</v>
      </c>
    </row>
    <row r="50315" spans="129:129" x14ac:dyDescent="0.2">
      <c r="DY50315" s="185" t="s">
        <v>215</v>
      </c>
    </row>
    <row r="50316" spans="129:129" x14ac:dyDescent="0.2">
      <c r="DY50316" s="185" t="s">
        <v>215</v>
      </c>
    </row>
    <row r="50317" spans="129:129" x14ac:dyDescent="0.2">
      <c r="DY50317" s="185" t="s">
        <v>215</v>
      </c>
    </row>
    <row r="50318" spans="129:129" x14ac:dyDescent="0.2">
      <c r="DY50318" s="185" t="s">
        <v>215</v>
      </c>
    </row>
    <row r="50319" spans="129:129" x14ac:dyDescent="0.2">
      <c r="DY50319" s="185" t="s">
        <v>215</v>
      </c>
    </row>
    <row r="50320" spans="129:129" x14ac:dyDescent="0.2">
      <c r="DY50320" s="185" t="s">
        <v>215</v>
      </c>
    </row>
    <row r="50321" spans="129:129" x14ac:dyDescent="0.2">
      <c r="DY50321" s="185" t="s">
        <v>215</v>
      </c>
    </row>
    <row r="50322" spans="129:129" x14ac:dyDescent="0.2">
      <c r="DY50322" s="185" t="s">
        <v>215</v>
      </c>
    </row>
    <row r="50323" spans="129:129" x14ac:dyDescent="0.2">
      <c r="DY50323" s="185" t="s">
        <v>215</v>
      </c>
    </row>
    <row r="50324" spans="129:129" x14ac:dyDescent="0.2">
      <c r="DY50324" s="185" t="s">
        <v>215</v>
      </c>
    </row>
    <row r="50325" spans="129:129" x14ac:dyDescent="0.2">
      <c r="DY50325" s="185" t="s">
        <v>215</v>
      </c>
    </row>
    <row r="50326" spans="129:129" x14ac:dyDescent="0.2">
      <c r="DY50326" s="185" t="s">
        <v>215</v>
      </c>
    </row>
    <row r="50327" spans="129:129" x14ac:dyDescent="0.2">
      <c r="DY50327" s="185" t="s">
        <v>215</v>
      </c>
    </row>
    <row r="50328" spans="129:129" x14ac:dyDescent="0.2">
      <c r="DY50328" s="185" t="s">
        <v>215</v>
      </c>
    </row>
    <row r="50329" spans="129:129" x14ac:dyDescent="0.2">
      <c r="DY50329" s="185" t="s">
        <v>215</v>
      </c>
    </row>
    <row r="50330" spans="129:129" x14ac:dyDescent="0.2">
      <c r="DY50330" s="185" t="s">
        <v>215</v>
      </c>
    </row>
    <row r="50331" spans="129:129" x14ac:dyDescent="0.2">
      <c r="DY50331" s="185" t="s">
        <v>215</v>
      </c>
    </row>
    <row r="50332" spans="129:129" x14ac:dyDescent="0.2">
      <c r="DY50332" s="185" t="s">
        <v>215</v>
      </c>
    </row>
    <row r="50333" spans="129:129" x14ac:dyDescent="0.2">
      <c r="DY50333" s="185" t="s">
        <v>215</v>
      </c>
    </row>
    <row r="50334" spans="129:129" x14ac:dyDescent="0.2">
      <c r="DY50334" s="185" t="s">
        <v>215</v>
      </c>
    </row>
    <row r="50335" spans="129:129" x14ac:dyDescent="0.2">
      <c r="DY50335" s="185" t="s">
        <v>215</v>
      </c>
    </row>
    <row r="50336" spans="129:129" x14ac:dyDescent="0.2">
      <c r="DY50336" s="185" t="s">
        <v>215</v>
      </c>
    </row>
    <row r="50337" spans="129:129" x14ac:dyDescent="0.2">
      <c r="DY50337" s="185" t="s">
        <v>215</v>
      </c>
    </row>
    <row r="50338" spans="129:129" x14ac:dyDescent="0.2">
      <c r="DY50338" s="185" t="s">
        <v>215</v>
      </c>
    </row>
    <row r="50339" spans="129:129" x14ac:dyDescent="0.2">
      <c r="DY50339" s="185" t="s">
        <v>215</v>
      </c>
    </row>
    <row r="50340" spans="129:129" x14ac:dyDescent="0.2">
      <c r="DY50340" s="185" t="s">
        <v>215</v>
      </c>
    </row>
    <row r="50341" spans="129:129" x14ac:dyDescent="0.2">
      <c r="DY50341" s="185" t="s">
        <v>215</v>
      </c>
    </row>
    <row r="50342" spans="129:129" x14ac:dyDescent="0.2">
      <c r="DY50342" s="185" t="s">
        <v>215</v>
      </c>
    </row>
    <row r="50343" spans="129:129" x14ac:dyDescent="0.2">
      <c r="DY50343" s="185" t="s">
        <v>215</v>
      </c>
    </row>
    <row r="50344" spans="129:129" x14ac:dyDescent="0.2">
      <c r="DY50344" s="185" t="s">
        <v>215</v>
      </c>
    </row>
    <row r="50345" spans="129:129" x14ac:dyDescent="0.2">
      <c r="DY50345" s="185" t="s">
        <v>215</v>
      </c>
    </row>
    <row r="50346" spans="129:129" x14ac:dyDescent="0.2">
      <c r="DY50346" s="185" t="s">
        <v>215</v>
      </c>
    </row>
    <row r="50347" spans="129:129" x14ac:dyDescent="0.2">
      <c r="DY50347" s="185" t="s">
        <v>215</v>
      </c>
    </row>
    <row r="50348" spans="129:129" x14ac:dyDescent="0.2">
      <c r="DY50348" s="185" t="s">
        <v>215</v>
      </c>
    </row>
    <row r="50349" spans="129:129" x14ac:dyDescent="0.2">
      <c r="DY50349" s="185" t="s">
        <v>215</v>
      </c>
    </row>
    <row r="50350" spans="129:129" x14ac:dyDescent="0.2">
      <c r="DY50350" s="185" t="s">
        <v>215</v>
      </c>
    </row>
    <row r="50351" spans="129:129" x14ac:dyDescent="0.2">
      <c r="DY50351" s="185" t="s">
        <v>215</v>
      </c>
    </row>
    <row r="50352" spans="129:129" x14ac:dyDescent="0.2">
      <c r="DY50352" s="185" t="s">
        <v>215</v>
      </c>
    </row>
    <row r="50353" spans="129:129" x14ac:dyDescent="0.2">
      <c r="DY50353" s="185" t="s">
        <v>215</v>
      </c>
    </row>
    <row r="50354" spans="129:129" x14ac:dyDescent="0.2">
      <c r="DY50354" s="185" t="s">
        <v>215</v>
      </c>
    </row>
    <row r="50355" spans="129:129" x14ac:dyDescent="0.2">
      <c r="DY50355" s="185" t="s">
        <v>215</v>
      </c>
    </row>
    <row r="50356" spans="129:129" x14ac:dyDescent="0.2">
      <c r="DY50356" s="185" t="s">
        <v>215</v>
      </c>
    </row>
    <row r="50357" spans="129:129" x14ac:dyDescent="0.2">
      <c r="DY50357" s="185" t="s">
        <v>215</v>
      </c>
    </row>
    <row r="50358" spans="129:129" x14ac:dyDescent="0.2">
      <c r="DY50358" s="185" t="s">
        <v>215</v>
      </c>
    </row>
    <row r="50359" spans="129:129" x14ac:dyDescent="0.2">
      <c r="DY50359" s="185" t="s">
        <v>215</v>
      </c>
    </row>
    <row r="50360" spans="129:129" x14ac:dyDescent="0.2">
      <c r="DY50360" s="185" t="s">
        <v>215</v>
      </c>
    </row>
    <row r="50361" spans="129:129" x14ac:dyDescent="0.2">
      <c r="DY50361" s="185" t="s">
        <v>215</v>
      </c>
    </row>
    <row r="50362" spans="129:129" x14ac:dyDescent="0.2">
      <c r="DY50362" s="185" t="s">
        <v>215</v>
      </c>
    </row>
    <row r="50363" spans="129:129" x14ac:dyDescent="0.2">
      <c r="DY50363" s="185" t="s">
        <v>215</v>
      </c>
    </row>
    <row r="50364" spans="129:129" x14ac:dyDescent="0.2">
      <c r="DY50364" s="185" t="s">
        <v>215</v>
      </c>
    </row>
    <row r="50365" spans="129:129" x14ac:dyDescent="0.2">
      <c r="DY50365" s="185" t="s">
        <v>215</v>
      </c>
    </row>
    <row r="50366" spans="129:129" x14ac:dyDescent="0.2">
      <c r="DY50366" s="185" t="s">
        <v>215</v>
      </c>
    </row>
    <row r="50367" spans="129:129" x14ac:dyDescent="0.2">
      <c r="DY50367" s="185" t="s">
        <v>215</v>
      </c>
    </row>
    <row r="50368" spans="129:129" x14ac:dyDescent="0.2">
      <c r="DY50368" s="185" t="s">
        <v>215</v>
      </c>
    </row>
    <row r="50369" spans="129:129" x14ac:dyDescent="0.2">
      <c r="DY50369" s="185" t="s">
        <v>215</v>
      </c>
    </row>
    <row r="50370" spans="129:129" x14ac:dyDescent="0.2">
      <c r="DY50370" s="185" t="s">
        <v>215</v>
      </c>
    </row>
    <row r="50371" spans="129:129" x14ac:dyDescent="0.2">
      <c r="DY50371" s="185" t="s">
        <v>215</v>
      </c>
    </row>
    <row r="50372" spans="129:129" x14ac:dyDescent="0.2">
      <c r="DY50372" s="185" t="s">
        <v>215</v>
      </c>
    </row>
    <row r="50373" spans="129:129" x14ac:dyDescent="0.2">
      <c r="DY50373" s="185" t="s">
        <v>215</v>
      </c>
    </row>
    <row r="50374" spans="129:129" x14ac:dyDescent="0.2">
      <c r="DY50374" s="185" t="s">
        <v>215</v>
      </c>
    </row>
    <row r="50375" spans="129:129" x14ac:dyDescent="0.2">
      <c r="DY50375" s="185" t="s">
        <v>215</v>
      </c>
    </row>
    <row r="50376" spans="129:129" x14ac:dyDescent="0.2">
      <c r="DY50376" s="185" t="s">
        <v>215</v>
      </c>
    </row>
    <row r="50377" spans="129:129" x14ac:dyDescent="0.2">
      <c r="DY50377" s="185" t="s">
        <v>215</v>
      </c>
    </row>
    <row r="50378" spans="129:129" x14ac:dyDescent="0.2">
      <c r="DY50378" s="185" t="s">
        <v>215</v>
      </c>
    </row>
    <row r="50379" spans="129:129" x14ac:dyDescent="0.2">
      <c r="DY50379" s="185" t="s">
        <v>215</v>
      </c>
    </row>
    <row r="50380" spans="129:129" x14ac:dyDescent="0.2">
      <c r="DY50380" s="185" t="s">
        <v>215</v>
      </c>
    </row>
    <row r="50381" spans="129:129" x14ac:dyDescent="0.2">
      <c r="DY50381" s="185" t="s">
        <v>215</v>
      </c>
    </row>
    <row r="50382" spans="129:129" x14ac:dyDescent="0.2">
      <c r="DY50382" s="185" t="s">
        <v>215</v>
      </c>
    </row>
    <row r="50383" spans="129:129" x14ac:dyDescent="0.2">
      <c r="DY50383" s="185" t="s">
        <v>215</v>
      </c>
    </row>
    <row r="50384" spans="129:129" x14ac:dyDescent="0.2">
      <c r="DY50384" s="185" t="s">
        <v>215</v>
      </c>
    </row>
    <row r="50385" spans="129:129" x14ac:dyDescent="0.2">
      <c r="DY50385" s="185" t="s">
        <v>215</v>
      </c>
    </row>
    <row r="50386" spans="129:129" x14ac:dyDescent="0.2">
      <c r="DY50386" s="185" t="s">
        <v>215</v>
      </c>
    </row>
    <row r="50387" spans="129:129" x14ac:dyDescent="0.2">
      <c r="DY50387" s="185" t="s">
        <v>215</v>
      </c>
    </row>
    <row r="50388" spans="129:129" x14ac:dyDescent="0.2">
      <c r="DY50388" s="185" t="s">
        <v>215</v>
      </c>
    </row>
    <row r="50389" spans="129:129" x14ac:dyDescent="0.2">
      <c r="DY50389" s="185" t="s">
        <v>215</v>
      </c>
    </row>
    <row r="50390" spans="129:129" x14ac:dyDescent="0.2">
      <c r="DY50390" s="185" t="s">
        <v>215</v>
      </c>
    </row>
    <row r="50391" spans="129:129" x14ac:dyDescent="0.2">
      <c r="DY50391" s="185" t="s">
        <v>215</v>
      </c>
    </row>
    <row r="50392" spans="129:129" x14ac:dyDescent="0.2">
      <c r="DY50392" s="185" t="s">
        <v>215</v>
      </c>
    </row>
    <row r="50393" spans="129:129" x14ac:dyDescent="0.2">
      <c r="DY50393" s="185" t="s">
        <v>215</v>
      </c>
    </row>
    <row r="50394" spans="129:129" x14ac:dyDescent="0.2">
      <c r="DY50394" s="185" t="s">
        <v>215</v>
      </c>
    </row>
    <row r="50395" spans="129:129" x14ac:dyDescent="0.2">
      <c r="DY50395" s="185" t="s">
        <v>215</v>
      </c>
    </row>
    <row r="50396" spans="129:129" x14ac:dyDescent="0.2">
      <c r="DY50396" s="185" t="s">
        <v>215</v>
      </c>
    </row>
    <row r="50397" spans="129:129" x14ac:dyDescent="0.2">
      <c r="DY50397" s="185" t="s">
        <v>215</v>
      </c>
    </row>
    <row r="50398" spans="129:129" x14ac:dyDescent="0.2">
      <c r="DY50398" s="185" t="s">
        <v>215</v>
      </c>
    </row>
    <row r="50399" spans="129:129" x14ac:dyDescent="0.2">
      <c r="DY50399" s="185" t="s">
        <v>215</v>
      </c>
    </row>
    <row r="50400" spans="129:129" x14ac:dyDescent="0.2">
      <c r="DY50400" s="185" t="s">
        <v>215</v>
      </c>
    </row>
    <row r="50401" spans="129:129" x14ac:dyDescent="0.2">
      <c r="DY50401" s="185" t="s">
        <v>215</v>
      </c>
    </row>
    <row r="50402" spans="129:129" x14ac:dyDescent="0.2">
      <c r="DY50402" s="185" t="s">
        <v>215</v>
      </c>
    </row>
    <row r="50403" spans="129:129" x14ac:dyDescent="0.2">
      <c r="DY50403" s="185" t="s">
        <v>215</v>
      </c>
    </row>
    <row r="50404" spans="129:129" x14ac:dyDescent="0.2">
      <c r="DY50404" s="185" t="s">
        <v>215</v>
      </c>
    </row>
    <row r="50405" spans="129:129" x14ac:dyDescent="0.2">
      <c r="DY50405" s="185" t="s">
        <v>215</v>
      </c>
    </row>
    <row r="50406" spans="129:129" x14ac:dyDescent="0.2">
      <c r="DY50406" s="185" t="s">
        <v>215</v>
      </c>
    </row>
    <row r="50407" spans="129:129" x14ac:dyDescent="0.2">
      <c r="DY50407" s="185" t="s">
        <v>215</v>
      </c>
    </row>
    <row r="50408" spans="129:129" x14ac:dyDescent="0.2">
      <c r="DY50408" s="185" t="s">
        <v>215</v>
      </c>
    </row>
    <row r="50409" spans="129:129" x14ac:dyDescent="0.2">
      <c r="DY50409" s="185" t="s">
        <v>215</v>
      </c>
    </row>
    <row r="50410" spans="129:129" x14ac:dyDescent="0.2">
      <c r="DY50410" s="185" t="s">
        <v>215</v>
      </c>
    </row>
    <row r="50411" spans="129:129" x14ac:dyDescent="0.2">
      <c r="DY50411" s="185" t="s">
        <v>215</v>
      </c>
    </row>
    <row r="50412" spans="129:129" x14ac:dyDescent="0.2">
      <c r="DY50412" s="185" t="s">
        <v>215</v>
      </c>
    </row>
    <row r="50413" spans="129:129" x14ac:dyDescent="0.2">
      <c r="DY50413" s="185" t="s">
        <v>215</v>
      </c>
    </row>
    <row r="50414" spans="129:129" x14ac:dyDescent="0.2">
      <c r="DY50414" s="185" t="s">
        <v>215</v>
      </c>
    </row>
    <row r="50415" spans="129:129" x14ac:dyDescent="0.2">
      <c r="DY50415" s="185" t="s">
        <v>215</v>
      </c>
    </row>
    <row r="50416" spans="129:129" x14ac:dyDescent="0.2">
      <c r="DY50416" s="185" t="s">
        <v>215</v>
      </c>
    </row>
    <row r="50417" spans="129:129" x14ac:dyDescent="0.2">
      <c r="DY50417" s="185" t="s">
        <v>215</v>
      </c>
    </row>
    <row r="50418" spans="129:129" x14ac:dyDescent="0.2">
      <c r="DY50418" s="185" t="s">
        <v>215</v>
      </c>
    </row>
    <row r="50419" spans="129:129" x14ac:dyDescent="0.2">
      <c r="DY50419" s="185" t="s">
        <v>215</v>
      </c>
    </row>
    <row r="50420" spans="129:129" x14ac:dyDescent="0.2">
      <c r="DY50420" s="185" t="s">
        <v>215</v>
      </c>
    </row>
    <row r="50421" spans="129:129" x14ac:dyDescent="0.2">
      <c r="DY50421" s="185" t="s">
        <v>215</v>
      </c>
    </row>
    <row r="50422" spans="129:129" x14ac:dyDescent="0.2">
      <c r="DY50422" s="185" t="s">
        <v>215</v>
      </c>
    </row>
    <row r="50423" spans="129:129" x14ac:dyDescent="0.2">
      <c r="DY50423" s="185" t="s">
        <v>215</v>
      </c>
    </row>
    <row r="50424" spans="129:129" x14ac:dyDescent="0.2">
      <c r="DY50424" s="185" t="s">
        <v>215</v>
      </c>
    </row>
    <row r="50425" spans="129:129" x14ac:dyDescent="0.2">
      <c r="DY50425" s="185" t="s">
        <v>215</v>
      </c>
    </row>
    <row r="50426" spans="129:129" x14ac:dyDescent="0.2">
      <c r="DY50426" s="185" t="s">
        <v>215</v>
      </c>
    </row>
    <row r="50427" spans="129:129" x14ac:dyDescent="0.2">
      <c r="DY50427" s="185" t="s">
        <v>215</v>
      </c>
    </row>
    <row r="50428" spans="129:129" x14ac:dyDescent="0.2">
      <c r="DY50428" s="185" t="s">
        <v>215</v>
      </c>
    </row>
    <row r="50429" spans="129:129" x14ac:dyDescent="0.2">
      <c r="DY50429" s="185" t="s">
        <v>215</v>
      </c>
    </row>
    <row r="50430" spans="129:129" x14ac:dyDescent="0.2">
      <c r="DY50430" s="185" t="s">
        <v>215</v>
      </c>
    </row>
    <row r="50431" spans="129:129" x14ac:dyDescent="0.2">
      <c r="DY50431" s="185" t="s">
        <v>215</v>
      </c>
    </row>
    <row r="50432" spans="129:129" x14ac:dyDescent="0.2">
      <c r="DY50432" s="185" t="s">
        <v>215</v>
      </c>
    </row>
    <row r="50433" spans="129:129" x14ac:dyDescent="0.2">
      <c r="DY50433" s="185" t="s">
        <v>215</v>
      </c>
    </row>
    <row r="50434" spans="129:129" x14ac:dyDescent="0.2">
      <c r="DY50434" s="185" t="s">
        <v>215</v>
      </c>
    </row>
    <row r="50435" spans="129:129" x14ac:dyDescent="0.2">
      <c r="DY50435" s="185" t="s">
        <v>215</v>
      </c>
    </row>
    <row r="50436" spans="129:129" x14ac:dyDescent="0.2">
      <c r="DY50436" s="185" t="s">
        <v>215</v>
      </c>
    </row>
    <row r="50437" spans="129:129" x14ac:dyDescent="0.2">
      <c r="DY50437" s="185" t="s">
        <v>215</v>
      </c>
    </row>
    <row r="50438" spans="129:129" x14ac:dyDescent="0.2">
      <c r="DY50438" s="185" t="s">
        <v>215</v>
      </c>
    </row>
    <row r="50439" spans="129:129" x14ac:dyDescent="0.2">
      <c r="DY50439" s="185" t="s">
        <v>215</v>
      </c>
    </row>
    <row r="50440" spans="129:129" x14ac:dyDescent="0.2">
      <c r="DY50440" s="185" t="s">
        <v>215</v>
      </c>
    </row>
    <row r="50441" spans="129:129" x14ac:dyDescent="0.2">
      <c r="DY50441" s="185" t="s">
        <v>215</v>
      </c>
    </row>
    <row r="50442" spans="129:129" x14ac:dyDescent="0.2">
      <c r="DY50442" s="185" t="s">
        <v>215</v>
      </c>
    </row>
    <row r="50443" spans="129:129" x14ac:dyDescent="0.2">
      <c r="DY50443" s="185" t="s">
        <v>215</v>
      </c>
    </row>
    <row r="50444" spans="129:129" x14ac:dyDescent="0.2">
      <c r="DY50444" s="185" t="s">
        <v>215</v>
      </c>
    </row>
    <row r="50445" spans="129:129" x14ac:dyDescent="0.2">
      <c r="DY50445" s="185" t="s">
        <v>215</v>
      </c>
    </row>
    <row r="50446" spans="129:129" x14ac:dyDescent="0.2">
      <c r="DY50446" s="185" t="s">
        <v>215</v>
      </c>
    </row>
    <row r="50447" spans="129:129" x14ac:dyDescent="0.2">
      <c r="DY50447" s="185" t="s">
        <v>215</v>
      </c>
    </row>
    <row r="50448" spans="129:129" x14ac:dyDescent="0.2">
      <c r="DY50448" s="185" t="s">
        <v>215</v>
      </c>
    </row>
    <row r="50449" spans="129:129" x14ac:dyDescent="0.2">
      <c r="DY50449" s="185" t="s">
        <v>215</v>
      </c>
    </row>
    <row r="50450" spans="129:129" x14ac:dyDescent="0.2">
      <c r="DY50450" s="185" t="s">
        <v>215</v>
      </c>
    </row>
    <row r="50451" spans="129:129" x14ac:dyDescent="0.2">
      <c r="DY50451" s="185" t="s">
        <v>215</v>
      </c>
    </row>
    <row r="50452" spans="129:129" x14ac:dyDescent="0.2">
      <c r="DY50452" s="185" t="s">
        <v>215</v>
      </c>
    </row>
    <row r="50453" spans="129:129" x14ac:dyDescent="0.2">
      <c r="DY50453" s="185" t="s">
        <v>215</v>
      </c>
    </row>
    <row r="50454" spans="129:129" x14ac:dyDescent="0.2">
      <c r="DY50454" s="185" t="s">
        <v>215</v>
      </c>
    </row>
    <row r="50455" spans="129:129" x14ac:dyDescent="0.2">
      <c r="DY50455" s="185" t="s">
        <v>215</v>
      </c>
    </row>
    <row r="50456" spans="129:129" x14ac:dyDescent="0.2">
      <c r="DY50456" s="185" t="s">
        <v>215</v>
      </c>
    </row>
    <row r="50457" spans="129:129" x14ac:dyDescent="0.2">
      <c r="DY50457" s="185" t="s">
        <v>215</v>
      </c>
    </row>
    <row r="50458" spans="129:129" x14ac:dyDescent="0.2">
      <c r="DY50458" s="185" t="s">
        <v>215</v>
      </c>
    </row>
    <row r="50459" spans="129:129" x14ac:dyDescent="0.2">
      <c r="DY50459" s="185" t="s">
        <v>215</v>
      </c>
    </row>
    <row r="50460" spans="129:129" x14ac:dyDescent="0.2">
      <c r="DY50460" s="185" t="s">
        <v>215</v>
      </c>
    </row>
    <row r="50461" spans="129:129" x14ac:dyDescent="0.2">
      <c r="DY50461" s="185" t="s">
        <v>215</v>
      </c>
    </row>
    <row r="50462" spans="129:129" x14ac:dyDescent="0.2">
      <c r="DY50462" s="185" t="s">
        <v>215</v>
      </c>
    </row>
    <row r="50463" spans="129:129" x14ac:dyDescent="0.2">
      <c r="DY50463" s="185" t="s">
        <v>215</v>
      </c>
    </row>
    <row r="50464" spans="129:129" x14ac:dyDescent="0.2">
      <c r="DY50464" s="185" t="s">
        <v>215</v>
      </c>
    </row>
    <row r="50465" spans="129:129" x14ac:dyDescent="0.2">
      <c r="DY50465" s="185" t="s">
        <v>215</v>
      </c>
    </row>
    <row r="50466" spans="129:129" x14ac:dyDescent="0.2">
      <c r="DY50466" s="185" t="s">
        <v>215</v>
      </c>
    </row>
    <row r="50467" spans="129:129" x14ac:dyDescent="0.2">
      <c r="DY50467" s="185" t="s">
        <v>215</v>
      </c>
    </row>
    <row r="50468" spans="129:129" x14ac:dyDescent="0.2">
      <c r="DY50468" s="185" t="s">
        <v>215</v>
      </c>
    </row>
    <row r="50469" spans="129:129" x14ac:dyDescent="0.2">
      <c r="DY50469" s="185" t="s">
        <v>215</v>
      </c>
    </row>
    <row r="50470" spans="129:129" x14ac:dyDescent="0.2">
      <c r="DY50470" s="185" t="s">
        <v>215</v>
      </c>
    </row>
    <row r="50471" spans="129:129" x14ac:dyDescent="0.2">
      <c r="DY50471" s="185" t="s">
        <v>215</v>
      </c>
    </row>
    <row r="50472" spans="129:129" x14ac:dyDescent="0.2">
      <c r="DY50472" s="185" t="s">
        <v>215</v>
      </c>
    </row>
    <row r="50473" spans="129:129" x14ac:dyDescent="0.2">
      <c r="DY50473" s="185" t="s">
        <v>215</v>
      </c>
    </row>
    <row r="50474" spans="129:129" x14ac:dyDescent="0.2">
      <c r="DY50474" s="185" t="s">
        <v>215</v>
      </c>
    </row>
    <row r="50475" spans="129:129" x14ac:dyDescent="0.2">
      <c r="DY50475" s="185" t="s">
        <v>215</v>
      </c>
    </row>
    <row r="50476" spans="129:129" x14ac:dyDescent="0.2">
      <c r="DY50476" s="185" t="s">
        <v>215</v>
      </c>
    </row>
    <row r="50477" spans="129:129" x14ac:dyDescent="0.2">
      <c r="DY50477" s="185" t="s">
        <v>215</v>
      </c>
    </row>
    <row r="50478" spans="129:129" x14ac:dyDescent="0.2">
      <c r="DY50478" s="185" t="s">
        <v>215</v>
      </c>
    </row>
    <row r="50479" spans="129:129" x14ac:dyDescent="0.2">
      <c r="DY50479" s="185" t="s">
        <v>215</v>
      </c>
    </row>
    <row r="50480" spans="129:129" x14ac:dyDescent="0.2">
      <c r="DY50480" s="185" t="s">
        <v>215</v>
      </c>
    </row>
    <row r="50481" spans="129:129" x14ac:dyDescent="0.2">
      <c r="DY50481" s="185" t="s">
        <v>215</v>
      </c>
    </row>
    <row r="50482" spans="129:129" x14ac:dyDescent="0.2">
      <c r="DY50482" s="185" t="s">
        <v>215</v>
      </c>
    </row>
    <row r="50483" spans="129:129" x14ac:dyDescent="0.2">
      <c r="DY50483" s="185" t="s">
        <v>215</v>
      </c>
    </row>
    <row r="50484" spans="129:129" x14ac:dyDescent="0.2">
      <c r="DY50484" s="185" t="s">
        <v>215</v>
      </c>
    </row>
    <row r="50485" spans="129:129" x14ac:dyDescent="0.2">
      <c r="DY50485" s="185" t="s">
        <v>215</v>
      </c>
    </row>
    <row r="50486" spans="129:129" x14ac:dyDescent="0.2">
      <c r="DY50486" s="185" t="s">
        <v>215</v>
      </c>
    </row>
    <row r="50487" spans="129:129" x14ac:dyDescent="0.2">
      <c r="DY50487" s="185" t="s">
        <v>215</v>
      </c>
    </row>
    <row r="50488" spans="129:129" x14ac:dyDescent="0.2">
      <c r="DY50488" s="185" t="s">
        <v>215</v>
      </c>
    </row>
    <row r="50489" spans="129:129" x14ac:dyDescent="0.2">
      <c r="DY50489" s="185" t="s">
        <v>215</v>
      </c>
    </row>
    <row r="50490" spans="129:129" x14ac:dyDescent="0.2">
      <c r="DY50490" s="185" t="s">
        <v>215</v>
      </c>
    </row>
    <row r="50491" spans="129:129" x14ac:dyDescent="0.2">
      <c r="DY50491" s="185" t="s">
        <v>215</v>
      </c>
    </row>
    <row r="50492" spans="129:129" x14ac:dyDescent="0.2">
      <c r="DY50492" s="185" t="s">
        <v>215</v>
      </c>
    </row>
    <row r="50493" spans="129:129" x14ac:dyDescent="0.2">
      <c r="DY50493" s="185" t="s">
        <v>215</v>
      </c>
    </row>
    <row r="50494" spans="129:129" x14ac:dyDescent="0.2">
      <c r="DY50494" s="185" t="s">
        <v>215</v>
      </c>
    </row>
    <row r="50495" spans="129:129" x14ac:dyDescent="0.2">
      <c r="DY50495" s="185" t="s">
        <v>215</v>
      </c>
    </row>
    <row r="50496" spans="129:129" x14ac:dyDescent="0.2">
      <c r="DY50496" s="185" t="s">
        <v>215</v>
      </c>
    </row>
    <row r="50497" spans="129:129" x14ac:dyDescent="0.2">
      <c r="DY50497" s="185" t="s">
        <v>215</v>
      </c>
    </row>
    <row r="50498" spans="129:129" x14ac:dyDescent="0.2">
      <c r="DY50498" s="185" t="s">
        <v>215</v>
      </c>
    </row>
    <row r="50499" spans="129:129" x14ac:dyDescent="0.2">
      <c r="DY50499" s="185" t="s">
        <v>215</v>
      </c>
    </row>
    <row r="50500" spans="129:129" x14ac:dyDescent="0.2">
      <c r="DY50500" s="185" t="s">
        <v>215</v>
      </c>
    </row>
    <row r="50501" spans="129:129" x14ac:dyDescent="0.2">
      <c r="DY50501" s="185" t="s">
        <v>215</v>
      </c>
    </row>
    <row r="50502" spans="129:129" x14ac:dyDescent="0.2">
      <c r="DY50502" s="185" t="s">
        <v>215</v>
      </c>
    </row>
    <row r="50503" spans="129:129" x14ac:dyDescent="0.2">
      <c r="DY50503" s="185" t="s">
        <v>215</v>
      </c>
    </row>
    <row r="50504" spans="129:129" x14ac:dyDescent="0.2">
      <c r="DY50504" s="185" t="s">
        <v>215</v>
      </c>
    </row>
    <row r="50505" spans="129:129" x14ac:dyDescent="0.2">
      <c r="DY50505" s="185" t="s">
        <v>215</v>
      </c>
    </row>
    <row r="50506" spans="129:129" x14ac:dyDescent="0.2">
      <c r="DY50506" s="185" t="s">
        <v>215</v>
      </c>
    </row>
    <row r="50507" spans="129:129" x14ac:dyDescent="0.2">
      <c r="DY50507" s="185" t="s">
        <v>215</v>
      </c>
    </row>
    <row r="50508" spans="129:129" x14ac:dyDescent="0.2">
      <c r="DY50508" s="185" t="s">
        <v>215</v>
      </c>
    </row>
    <row r="50509" spans="129:129" x14ac:dyDescent="0.2">
      <c r="DY50509" s="185" t="s">
        <v>215</v>
      </c>
    </row>
    <row r="50510" spans="129:129" x14ac:dyDescent="0.2">
      <c r="DY50510" s="185" t="s">
        <v>215</v>
      </c>
    </row>
    <row r="50511" spans="129:129" x14ac:dyDescent="0.2">
      <c r="DY50511" s="185" t="s">
        <v>215</v>
      </c>
    </row>
    <row r="50512" spans="129:129" x14ac:dyDescent="0.2">
      <c r="DY50512" s="185" t="s">
        <v>215</v>
      </c>
    </row>
    <row r="50513" spans="129:129" x14ac:dyDescent="0.2">
      <c r="DY50513" s="185" t="s">
        <v>215</v>
      </c>
    </row>
    <row r="50514" spans="129:129" x14ac:dyDescent="0.2">
      <c r="DY50514" s="185" t="s">
        <v>215</v>
      </c>
    </row>
    <row r="50515" spans="129:129" x14ac:dyDescent="0.2">
      <c r="DY50515" s="185" t="s">
        <v>215</v>
      </c>
    </row>
    <row r="50516" spans="129:129" x14ac:dyDescent="0.2">
      <c r="DY50516" s="185" t="s">
        <v>215</v>
      </c>
    </row>
    <row r="50517" spans="129:129" x14ac:dyDescent="0.2">
      <c r="DY50517" s="185" t="s">
        <v>215</v>
      </c>
    </row>
    <row r="50518" spans="129:129" x14ac:dyDescent="0.2">
      <c r="DY50518" s="185" t="s">
        <v>215</v>
      </c>
    </row>
    <row r="50519" spans="129:129" x14ac:dyDescent="0.2">
      <c r="DY50519" s="185" t="s">
        <v>215</v>
      </c>
    </row>
    <row r="50520" spans="129:129" x14ac:dyDescent="0.2">
      <c r="DY50520" s="185" t="s">
        <v>215</v>
      </c>
    </row>
    <row r="50521" spans="129:129" x14ac:dyDescent="0.2">
      <c r="DY50521" s="185" t="s">
        <v>215</v>
      </c>
    </row>
    <row r="50522" spans="129:129" x14ac:dyDescent="0.2">
      <c r="DY50522" s="185" t="s">
        <v>215</v>
      </c>
    </row>
    <row r="50523" spans="129:129" x14ac:dyDescent="0.2">
      <c r="DY50523" s="185" t="s">
        <v>215</v>
      </c>
    </row>
    <row r="50524" spans="129:129" x14ac:dyDescent="0.2">
      <c r="DY50524" s="185" t="s">
        <v>215</v>
      </c>
    </row>
    <row r="50525" spans="129:129" x14ac:dyDescent="0.2">
      <c r="DY50525" s="185" t="s">
        <v>215</v>
      </c>
    </row>
    <row r="50526" spans="129:129" x14ac:dyDescent="0.2">
      <c r="DY50526" s="185" t="s">
        <v>215</v>
      </c>
    </row>
    <row r="50527" spans="129:129" x14ac:dyDescent="0.2">
      <c r="DY50527" s="185" t="s">
        <v>215</v>
      </c>
    </row>
    <row r="50528" spans="129:129" x14ac:dyDescent="0.2">
      <c r="DY50528" s="185" t="s">
        <v>215</v>
      </c>
    </row>
    <row r="50529" spans="129:129" x14ac:dyDescent="0.2">
      <c r="DY50529" s="185" t="s">
        <v>215</v>
      </c>
    </row>
    <row r="50530" spans="129:129" x14ac:dyDescent="0.2">
      <c r="DY50530" s="185" t="s">
        <v>215</v>
      </c>
    </row>
    <row r="50531" spans="129:129" x14ac:dyDescent="0.2">
      <c r="DY50531" s="185" t="s">
        <v>215</v>
      </c>
    </row>
    <row r="50532" spans="129:129" x14ac:dyDescent="0.2">
      <c r="DY50532" s="185" t="s">
        <v>215</v>
      </c>
    </row>
    <row r="50533" spans="129:129" x14ac:dyDescent="0.2">
      <c r="DY50533" s="185" t="s">
        <v>215</v>
      </c>
    </row>
    <row r="50534" spans="129:129" x14ac:dyDescent="0.2">
      <c r="DY50534" s="185" t="s">
        <v>215</v>
      </c>
    </row>
    <row r="50535" spans="129:129" x14ac:dyDescent="0.2">
      <c r="DY50535" s="185" t="s">
        <v>215</v>
      </c>
    </row>
    <row r="50536" spans="129:129" x14ac:dyDescent="0.2">
      <c r="DY50536" s="185" t="s">
        <v>215</v>
      </c>
    </row>
    <row r="50537" spans="129:129" x14ac:dyDescent="0.2">
      <c r="DY50537" s="185" t="s">
        <v>215</v>
      </c>
    </row>
    <row r="50538" spans="129:129" x14ac:dyDescent="0.2">
      <c r="DY50538" s="185" t="s">
        <v>215</v>
      </c>
    </row>
    <row r="50539" spans="129:129" x14ac:dyDescent="0.2">
      <c r="DY50539" s="185" t="s">
        <v>215</v>
      </c>
    </row>
    <row r="50540" spans="129:129" x14ac:dyDescent="0.2">
      <c r="DY50540" s="185" t="s">
        <v>215</v>
      </c>
    </row>
    <row r="50541" spans="129:129" x14ac:dyDescent="0.2">
      <c r="DY50541" s="185" t="s">
        <v>215</v>
      </c>
    </row>
    <row r="50542" spans="129:129" x14ac:dyDescent="0.2">
      <c r="DY50542" s="185" t="s">
        <v>215</v>
      </c>
    </row>
    <row r="50543" spans="129:129" x14ac:dyDescent="0.2">
      <c r="DY50543" s="185" t="s">
        <v>215</v>
      </c>
    </row>
    <row r="50544" spans="129:129" x14ac:dyDescent="0.2">
      <c r="DY50544" s="185" t="s">
        <v>215</v>
      </c>
    </row>
    <row r="50545" spans="129:129" x14ac:dyDescent="0.2">
      <c r="DY50545" s="185" t="s">
        <v>215</v>
      </c>
    </row>
    <row r="50546" spans="129:129" x14ac:dyDescent="0.2">
      <c r="DY50546" s="185" t="s">
        <v>215</v>
      </c>
    </row>
    <row r="50547" spans="129:129" x14ac:dyDescent="0.2">
      <c r="DY50547" s="185" t="s">
        <v>215</v>
      </c>
    </row>
    <row r="50548" spans="129:129" x14ac:dyDescent="0.2">
      <c r="DY50548" s="185" t="s">
        <v>215</v>
      </c>
    </row>
    <row r="50549" spans="129:129" x14ac:dyDescent="0.2">
      <c r="DY50549" s="185" t="s">
        <v>215</v>
      </c>
    </row>
    <row r="50550" spans="129:129" x14ac:dyDescent="0.2">
      <c r="DY50550" s="185" t="s">
        <v>215</v>
      </c>
    </row>
    <row r="50551" spans="129:129" x14ac:dyDescent="0.2">
      <c r="DY50551" s="185" t="s">
        <v>215</v>
      </c>
    </row>
    <row r="50552" spans="129:129" x14ac:dyDescent="0.2">
      <c r="DY50552" s="185" t="s">
        <v>215</v>
      </c>
    </row>
    <row r="50553" spans="129:129" x14ac:dyDescent="0.2">
      <c r="DY50553" s="185" t="s">
        <v>215</v>
      </c>
    </row>
    <row r="50554" spans="129:129" x14ac:dyDescent="0.2">
      <c r="DY50554" s="185" t="s">
        <v>215</v>
      </c>
    </row>
    <row r="50555" spans="129:129" x14ac:dyDescent="0.2">
      <c r="DY50555" s="185" t="s">
        <v>215</v>
      </c>
    </row>
    <row r="50556" spans="129:129" x14ac:dyDescent="0.2">
      <c r="DY50556" s="185" t="s">
        <v>215</v>
      </c>
    </row>
    <row r="50557" spans="129:129" x14ac:dyDescent="0.2">
      <c r="DY50557" s="185" t="s">
        <v>215</v>
      </c>
    </row>
    <row r="50558" spans="129:129" x14ac:dyDescent="0.2">
      <c r="DY50558" s="185" t="s">
        <v>215</v>
      </c>
    </row>
    <row r="50559" spans="129:129" x14ac:dyDescent="0.2">
      <c r="DY50559" s="185" t="s">
        <v>215</v>
      </c>
    </row>
    <row r="50560" spans="129:129" x14ac:dyDescent="0.2">
      <c r="DY50560" s="185" t="s">
        <v>215</v>
      </c>
    </row>
    <row r="50561" spans="129:129" x14ac:dyDescent="0.2">
      <c r="DY50561" s="185" t="s">
        <v>215</v>
      </c>
    </row>
    <row r="50562" spans="129:129" x14ac:dyDescent="0.2">
      <c r="DY50562" s="185" t="s">
        <v>215</v>
      </c>
    </row>
    <row r="50563" spans="129:129" x14ac:dyDescent="0.2">
      <c r="DY50563" s="185" t="s">
        <v>215</v>
      </c>
    </row>
    <row r="50564" spans="129:129" x14ac:dyDescent="0.2">
      <c r="DY50564" s="185" t="s">
        <v>215</v>
      </c>
    </row>
    <row r="50565" spans="129:129" x14ac:dyDescent="0.2">
      <c r="DY50565" s="185" t="s">
        <v>215</v>
      </c>
    </row>
    <row r="50566" spans="129:129" x14ac:dyDescent="0.2">
      <c r="DY50566" s="185" t="s">
        <v>215</v>
      </c>
    </row>
    <row r="50567" spans="129:129" x14ac:dyDescent="0.2">
      <c r="DY50567" s="185" t="s">
        <v>215</v>
      </c>
    </row>
    <row r="50568" spans="129:129" x14ac:dyDescent="0.2">
      <c r="DY50568" s="185" t="s">
        <v>215</v>
      </c>
    </row>
    <row r="50569" spans="129:129" x14ac:dyDescent="0.2">
      <c r="DY50569" s="185" t="s">
        <v>215</v>
      </c>
    </row>
    <row r="50570" spans="129:129" x14ac:dyDescent="0.2">
      <c r="DY50570" s="185" t="s">
        <v>215</v>
      </c>
    </row>
    <row r="50571" spans="129:129" x14ac:dyDescent="0.2">
      <c r="DY50571" s="185" t="s">
        <v>215</v>
      </c>
    </row>
    <row r="50572" spans="129:129" x14ac:dyDescent="0.2">
      <c r="DY50572" s="185" t="s">
        <v>215</v>
      </c>
    </row>
    <row r="50573" spans="129:129" x14ac:dyDescent="0.2">
      <c r="DY50573" s="185" t="s">
        <v>215</v>
      </c>
    </row>
    <row r="50574" spans="129:129" x14ac:dyDescent="0.2">
      <c r="DY50574" s="185" t="s">
        <v>215</v>
      </c>
    </row>
    <row r="50575" spans="129:129" x14ac:dyDescent="0.2">
      <c r="DY50575" s="185" t="s">
        <v>215</v>
      </c>
    </row>
    <row r="50576" spans="129:129" x14ac:dyDescent="0.2">
      <c r="DY50576" s="185" t="s">
        <v>215</v>
      </c>
    </row>
    <row r="50577" spans="129:129" x14ac:dyDescent="0.2">
      <c r="DY50577" s="185" t="s">
        <v>215</v>
      </c>
    </row>
    <row r="50578" spans="129:129" x14ac:dyDescent="0.2">
      <c r="DY50578" s="185" t="s">
        <v>215</v>
      </c>
    </row>
    <row r="50579" spans="129:129" x14ac:dyDescent="0.2">
      <c r="DY50579" s="185" t="s">
        <v>215</v>
      </c>
    </row>
    <row r="50580" spans="129:129" x14ac:dyDescent="0.2">
      <c r="DY50580" s="185" t="s">
        <v>215</v>
      </c>
    </row>
    <row r="50581" spans="129:129" x14ac:dyDescent="0.2">
      <c r="DY50581" s="185" t="s">
        <v>215</v>
      </c>
    </row>
    <row r="50582" spans="129:129" x14ac:dyDescent="0.2">
      <c r="DY50582" s="185" t="s">
        <v>215</v>
      </c>
    </row>
    <row r="50583" spans="129:129" x14ac:dyDescent="0.2">
      <c r="DY50583" s="185" t="s">
        <v>215</v>
      </c>
    </row>
    <row r="50584" spans="129:129" x14ac:dyDescent="0.2">
      <c r="DY50584" s="185" t="s">
        <v>215</v>
      </c>
    </row>
    <row r="50585" spans="129:129" x14ac:dyDescent="0.2">
      <c r="DY50585" s="185" t="s">
        <v>215</v>
      </c>
    </row>
    <row r="50586" spans="129:129" x14ac:dyDescent="0.2">
      <c r="DY50586" s="185" t="s">
        <v>215</v>
      </c>
    </row>
    <row r="50587" spans="129:129" x14ac:dyDescent="0.2">
      <c r="DY50587" s="185" t="s">
        <v>215</v>
      </c>
    </row>
    <row r="50588" spans="129:129" x14ac:dyDescent="0.2">
      <c r="DY50588" s="185" t="s">
        <v>215</v>
      </c>
    </row>
    <row r="50589" spans="129:129" x14ac:dyDescent="0.2">
      <c r="DY50589" s="185" t="s">
        <v>215</v>
      </c>
    </row>
    <row r="50590" spans="129:129" x14ac:dyDescent="0.2">
      <c r="DY50590" s="185" t="s">
        <v>215</v>
      </c>
    </row>
    <row r="50591" spans="129:129" x14ac:dyDescent="0.2">
      <c r="DY50591" s="185" t="s">
        <v>215</v>
      </c>
    </row>
    <row r="50592" spans="129:129" x14ac:dyDescent="0.2">
      <c r="DY50592" s="185" t="s">
        <v>215</v>
      </c>
    </row>
    <row r="50593" spans="129:129" x14ac:dyDescent="0.2">
      <c r="DY50593" s="185" t="s">
        <v>215</v>
      </c>
    </row>
    <row r="50594" spans="129:129" x14ac:dyDescent="0.2">
      <c r="DY50594" s="185" t="s">
        <v>215</v>
      </c>
    </row>
    <row r="50595" spans="129:129" x14ac:dyDescent="0.2">
      <c r="DY50595" s="185" t="s">
        <v>215</v>
      </c>
    </row>
    <row r="50596" spans="129:129" x14ac:dyDescent="0.2">
      <c r="DY50596" s="185" t="s">
        <v>215</v>
      </c>
    </row>
    <row r="50597" spans="129:129" x14ac:dyDescent="0.2">
      <c r="DY50597" s="185" t="s">
        <v>215</v>
      </c>
    </row>
    <row r="50598" spans="129:129" x14ac:dyDescent="0.2">
      <c r="DY50598" s="185" t="s">
        <v>215</v>
      </c>
    </row>
    <row r="50599" spans="129:129" x14ac:dyDescent="0.2">
      <c r="DY50599" s="185" t="s">
        <v>215</v>
      </c>
    </row>
    <row r="50600" spans="129:129" x14ac:dyDescent="0.2">
      <c r="DY50600" s="185" t="s">
        <v>215</v>
      </c>
    </row>
    <row r="50601" spans="129:129" x14ac:dyDescent="0.2">
      <c r="DY50601" s="185" t="s">
        <v>215</v>
      </c>
    </row>
    <row r="50602" spans="129:129" x14ac:dyDescent="0.2">
      <c r="DY50602" s="185" t="s">
        <v>215</v>
      </c>
    </row>
    <row r="50603" spans="129:129" x14ac:dyDescent="0.2">
      <c r="DY50603" s="185" t="s">
        <v>215</v>
      </c>
    </row>
    <row r="50604" spans="129:129" x14ac:dyDescent="0.2">
      <c r="DY50604" s="185" t="s">
        <v>215</v>
      </c>
    </row>
    <row r="50605" spans="129:129" x14ac:dyDescent="0.2">
      <c r="DY50605" s="185" t="s">
        <v>215</v>
      </c>
    </row>
    <row r="50606" spans="129:129" x14ac:dyDescent="0.2">
      <c r="DY50606" s="185" t="s">
        <v>215</v>
      </c>
    </row>
    <row r="50607" spans="129:129" x14ac:dyDescent="0.2">
      <c r="DY50607" s="185" t="s">
        <v>215</v>
      </c>
    </row>
    <row r="50608" spans="129:129" x14ac:dyDescent="0.2">
      <c r="DY50608" s="185" t="s">
        <v>215</v>
      </c>
    </row>
    <row r="50609" spans="129:129" x14ac:dyDescent="0.2">
      <c r="DY50609" s="185" t="s">
        <v>215</v>
      </c>
    </row>
    <row r="50610" spans="129:129" x14ac:dyDescent="0.2">
      <c r="DY50610" s="185" t="s">
        <v>215</v>
      </c>
    </row>
    <row r="50611" spans="129:129" x14ac:dyDescent="0.2">
      <c r="DY50611" s="185" t="s">
        <v>215</v>
      </c>
    </row>
    <row r="50612" spans="129:129" x14ac:dyDescent="0.2">
      <c r="DY50612" s="185" t="s">
        <v>215</v>
      </c>
    </row>
    <row r="50613" spans="129:129" x14ac:dyDescent="0.2">
      <c r="DY50613" s="185" t="s">
        <v>215</v>
      </c>
    </row>
    <row r="50614" spans="129:129" x14ac:dyDescent="0.2">
      <c r="DY50614" s="185" t="s">
        <v>215</v>
      </c>
    </row>
    <row r="50615" spans="129:129" x14ac:dyDescent="0.2">
      <c r="DY50615" s="185" t="s">
        <v>215</v>
      </c>
    </row>
    <row r="50616" spans="129:129" x14ac:dyDescent="0.2">
      <c r="DY50616" s="185" t="s">
        <v>215</v>
      </c>
    </row>
    <row r="50617" spans="129:129" x14ac:dyDescent="0.2">
      <c r="DY50617" s="185" t="s">
        <v>215</v>
      </c>
    </row>
    <row r="50618" spans="129:129" x14ac:dyDescent="0.2">
      <c r="DY50618" s="185" t="s">
        <v>215</v>
      </c>
    </row>
    <row r="50619" spans="129:129" x14ac:dyDescent="0.2">
      <c r="DY50619" s="185" t="s">
        <v>215</v>
      </c>
    </row>
    <row r="50620" spans="129:129" x14ac:dyDescent="0.2">
      <c r="DY50620" s="185" t="s">
        <v>215</v>
      </c>
    </row>
    <row r="50621" spans="129:129" x14ac:dyDescent="0.2">
      <c r="DY50621" s="185" t="s">
        <v>215</v>
      </c>
    </row>
    <row r="50622" spans="129:129" x14ac:dyDescent="0.2">
      <c r="DY50622" s="185" t="s">
        <v>215</v>
      </c>
    </row>
    <row r="50623" spans="129:129" x14ac:dyDescent="0.2">
      <c r="DY50623" s="185" t="s">
        <v>215</v>
      </c>
    </row>
    <row r="50624" spans="129:129" x14ac:dyDescent="0.2">
      <c r="DY50624" s="185" t="s">
        <v>215</v>
      </c>
    </row>
    <row r="50625" spans="129:129" x14ac:dyDescent="0.2">
      <c r="DY50625" s="185" t="s">
        <v>215</v>
      </c>
    </row>
    <row r="50626" spans="129:129" x14ac:dyDescent="0.2">
      <c r="DY50626" s="185" t="s">
        <v>215</v>
      </c>
    </row>
    <row r="50627" spans="129:129" x14ac:dyDescent="0.2">
      <c r="DY50627" s="185" t="s">
        <v>215</v>
      </c>
    </row>
    <row r="50628" spans="129:129" x14ac:dyDescent="0.2">
      <c r="DY50628" s="185" t="s">
        <v>215</v>
      </c>
    </row>
    <row r="50629" spans="129:129" x14ac:dyDescent="0.2">
      <c r="DY50629" s="185" t="s">
        <v>215</v>
      </c>
    </row>
    <row r="50630" spans="129:129" x14ac:dyDescent="0.2">
      <c r="DY50630" s="185" t="s">
        <v>215</v>
      </c>
    </row>
    <row r="50631" spans="129:129" x14ac:dyDescent="0.2">
      <c r="DY50631" s="185" t="s">
        <v>215</v>
      </c>
    </row>
    <row r="50632" spans="129:129" x14ac:dyDescent="0.2">
      <c r="DY50632" s="185" t="s">
        <v>215</v>
      </c>
    </row>
    <row r="50633" spans="129:129" x14ac:dyDescent="0.2">
      <c r="DY50633" s="185" t="s">
        <v>215</v>
      </c>
    </row>
    <row r="50634" spans="129:129" x14ac:dyDescent="0.2">
      <c r="DY50634" s="185" t="s">
        <v>215</v>
      </c>
    </row>
    <row r="50635" spans="129:129" x14ac:dyDescent="0.2">
      <c r="DY50635" s="185" t="s">
        <v>215</v>
      </c>
    </row>
    <row r="50636" spans="129:129" x14ac:dyDescent="0.2">
      <c r="DY50636" s="185" t="s">
        <v>215</v>
      </c>
    </row>
    <row r="50637" spans="129:129" x14ac:dyDescent="0.2">
      <c r="DY50637" s="185" t="s">
        <v>215</v>
      </c>
    </row>
    <row r="50638" spans="129:129" x14ac:dyDescent="0.2">
      <c r="DY50638" s="185" t="s">
        <v>215</v>
      </c>
    </row>
    <row r="50639" spans="129:129" x14ac:dyDescent="0.2">
      <c r="DY50639" s="185" t="s">
        <v>215</v>
      </c>
    </row>
    <row r="50640" spans="129:129" x14ac:dyDescent="0.2">
      <c r="DY50640" s="185" t="s">
        <v>215</v>
      </c>
    </row>
    <row r="50641" spans="129:129" x14ac:dyDescent="0.2">
      <c r="DY50641" s="185" t="s">
        <v>215</v>
      </c>
    </row>
    <row r="50642" spans="129:129" x14ac:dyDescent="0.2">
      <c r="DY50642" s="185" t="s">
        <v>215</v>
      </c>
    </row>
    <row r="50643" spans="129:129" x14ac:dyDescent="0.2">
      <c r="DY50643" s="185" t="s">
        <v>215</v>
      </c>
    </row>
    <row r="50644" spans="129:129" x14ac:dyDescent="0.2">
      <c r="DY50644" s="185" t="s">
        <v>215</v>
      </c>
    </row>
    <row r="50645" spans="129:129" x14ac:dyDescent="0.2">
      <c r="DY50645" s="185" t="s">
        <v>215</v>
      </c>
    </row>
    <row r="50646" spans="129:129" x14ac:dyDescent="0.2">
      <c r="DY50646" s="185" t="s">
        <v>215</v>
      </c>
    </row>
    <row r="50647" spans="129:129" x14ac:dyDescent="0.2">
      <c r="DY50647" s="185" t="s">
        <v>215</v>
      </c>
    </row>
    <row r="50648" spans="129:129" x14ac:dyDescent="0.2">
      <c r="DY50648" s="185" t="s">
        <v>215</v>
      </c>
    </row>
    <row r="50649" spans="129:129" x14ac:dyDescent="0.2">
      <c r="DY50649" s="185" t="s">
        <v>215</v>
      </c>
    </row>
    <row r="50650" spans="129:129" x14ac:dyDescent="0.2">
      <c r="DY50650" s="185" t="s">
        <v>215</v>
      </c>
    </row>
    <row r="50651" spans="129:129" x14ac:dyDescent="0.2">
      <c r="DY50651" s="185" t="s">
        <v>215</v>
      </c>
    </row>
    <row r="50652" spans="129:129" x14ac:dyDescent="0.2">
      <c r="DY50652" s="185" t="s">
        <v>215</v>
      </c>
    </row>
    <row r="50653" spans="129:129" x14ac:dyDescent="0.2">
      <c r="DY50653" s="185" t="s">
        <v>215</v>
      </c>
    </row>
    <row r="50654" spans="129:129" x14ac:dyDescent="0.2">
      <c r="DY50654" s="185" t="s">
        <v>215</v>
      </c>
    </row>
    <row r="50655" spans="129:129" x14ac:dyDescent="0.2">
      <c r="DY50655" s="185" t="s">
        <v>215</v>
      </c>
    </row>
    <row r="50656" spans="129:129" x14ac:dyDescent="0.2">
      <c r="DY50656" s="185" t="s">
        <v>215</v>
      </c>
    </row>
    <row r="50657" spans="129:129" x14ac:dyDescent="0.2">
      <c r="DY50657" s="185" t="s">
        <v>215</v>
      </c>
    </row>
    <row r="50658" spans="129:129" x14ac:dyDescent="0.2">
      <c r="DY50658" s="185" t="s">
        <v>215</v>
      </c>
    </row>
    <row r="50659" spans="129:129" x14ac:dyDescent="0.2">
      <c r="DY50659" s="185" t="s">
        <v>215</v>
      </c>
    </row>
    <row r="50660" spans="129:129" x14ac:dyDescent="0.2">
      <c r="DY50660" s="185" t="s">
        <v>215</v>
      </c>
    </row>
    <row r="50661" spans="129:129" x14ac:dyDescent="0.2">
      <c r="DY50661" s="185" t="s">
        <v>215</v>
      </c>
    </row>
    <row r="50662" spans="129:129" x14ac:dyDescent="0.2">
      <c r="DY50662" s="185" t="s">
        <v>215</v>
      </c>
    </row>
    <row r="50663" spans="129:129" x14ac:dyDescent="0.2">
      <c r="DY50663" s="185" t="s">
        <v>215</v>
      </c>
    </row>
    <row r="50664" spans="129:129" x14ac:dyDescent="0.2">
      <c r="DY50664" s="185" t="s">
        <v>215</v>
      </c>
    </row>
    <row r="50665" spans="129:129" x14ac:dyDescent="0.2">
      <c r="DY50665" s="185" t="s">
        <v>215</v>
      </c>
    </row>
    <row r="50666" spans="129:129" x14ac:dyDescent="0.2">
      <c r="DY50666" s="185" t="s">
        <v>215</v>
      </c>
    </row>
    <row r="50667" spans="129:129" x14ac:dyDescent="0.2">
      <c r="DY50667" s="185" t="s">
        <v>215</v>
      </c>
    </row>
    <row r="50668" spans="129:129" x14ac:dyDescent="0.2">
      <c r="DY50668" s="185" t="s">
        <v>215</v>
      </c>
    </row>
    <row r="50669" spans="129:129" x14ac:dyDescent="0.2">
      <c r="DY50669" s="185" t="s">
        <v>215</v>
      </c>
    </row>
    <row r="50670" spans="129:129" x14ac:dyDescent="0.2">
      <c r="DY50670" s="185" t="s">
        <v>215</v>
      </c>
    </row>
    <row r="50671" spans="129:129" x14ac:dyDescent="0.2">
      <c r="DY50671" s="185" t="s">
        <v>215</v>
      </c>
    </row>
    <row r="50672" spans="129:129" x14ac:dyDescent="0.2">
      <c r="DY50672" s="185" t="s">
        <v>215</v>
      </c>
    </row>
    <row r="50673" spans="129:129" x14ac:dyDescent="0.2">
      <c r="DY50673" s="185" t="s">
        <v>215</v>
      </c>
    </row>
    <row r="50674" spans="129:129" x14ac:dyDescent="0.2">
      <c r="DY50674" s="185" t="s">
        <v>215</v>
      </c>
    </row>
    <row r="50675" spans="129:129" x14ac:dyDescent="0.2">
      <c r="DY50675" s="185" t="s">
        <v>215</v>
      </c>
    </row>
    <row r="50676" spans="129:129" x14ac:dyDescent="0.2">
      <c r="DY50676" s="185" t="s">
        <v>215</v>
      </c>
    </row>
    <row r="50677" spans="129:129" x14ac:dyDescent="0.2">
      <c r="DY50677" s="185" t="s">
        <v>215</v>
      </c>
    </row>
    <row r="50678" spans="129:129" x14ac:dyDescent="0.2">
      <c r="DY50678" s="185" t="s">
        <v>215</v>
      </c>
    </row>
    <row r="50679" spans="129:129" x14ac:dyDescent="0.2">
      <c r="DY50679" s="185" t="s">
        <v>215</v>
      </c>
    </row>
    <row r="50680" spans="129:129" x14ac:dyDescent="0.2">
      <c r="DY50680" s="185" t="s">
        <v>215</v>
      </c>
    </row>
    <row r="50681" spans="129:129" x14ac:dyDescent="0.2">
      <c r="DY50681" s="185" t="s">
        <v>215</v>
      </c>
    </row>
    <row r="50682" spans="129:129" x14ac:dyDescent="0.2">
      <c r="DY50682" s="185" t="s">
        <v>215</v>
      </c>
    </row>
    <row r="50683" spans="129:129" x14ac:dyDescent="0.2">
      <c r="DY50683" s="185" t="s">
        <v>215</v>
      </c>
    </row>
    <row r="50684" spans="129:129" x14ac:dyDescent="0.2">
      <c r="DY50684" s="185" t="s">
        <v>215</v>
      </c>
    </row>
    <row r="50685" spans="129:129" x14ac:dyDescent="0.2">
      <c r="DY50685" s="185" t="s">
        <v>215</v>
      </c>
    </row>
    <row r="50686" spans="129:129" x14ac:dyDescent="0.2">
      <c r="DY50686" s="185" t="s">
        <v>215</v>
      </c>
    </row>
    <row r="50687" spans="129:129" x14ac:dyDescent="0.2">
      <c r="DY50687" s="185" t="s">
        <v>215</v>
      </c>
    </row>
    <row r="50688" spans="129:129" x14ac:dyDescent="0.2">
      <c r="DY50688" s="185" t="s">
        <v>215</v>
      </c>
    </row>
    <row r="50689" spans="129:129" x14ac:dyDescent="0.2">
      <c r="DY50689" s="185" t="s">
        <v>215</v>
      </c>
    </row>
    <row r="50690" spans="129:129" x14ac:dyDescent="0.2">
      <c r="DY50690" s="185" t="s">
        <v>215</v>
      </c>
    </row>
    <row r="50691" spans="129:129" x14ac:dyDescent="0.2">
      <c r="DY50691" s="185" t="s">
        <v>215</v>
      </c>
    </row>
    <row r="50692" spans="129:129" x14ac:dyDescent="0.2">
      <c r="DY50692" s="185" t="s">
        <v>215</v>
      </c>
    </row>
    <row r="50693" spans="129:129" x14ac:dyDescent="0.2">
      <c r="DY50693" s="185" t="s">
        <v>215</v>
      </c>
    </row>
    <row r="50694" spans="129:129" x14ac:dyDescent="0.2">
      <c r="DY50694" s="185" t="s">
        <v>215</v>
      </c>
    </row>
    <row r="50695" spans="129:129" x14ac:dyDescent="0.2">
      <c r="DY50695" s="185" t="s">
        <v>215</v>
      </c>
    </row>
    <row r="50696" spans="129:129" x14ac:dyDescent="0.2">
      <c r="DY50696" s="185" t="s">
        <v>215</v>
      </c>
    </row>
    <row r="50697" spans="129:129" x14ac:dyDescent="0.2">
      <c r="DY50697" s="185" t="s">
        <v>215</v>
      </c>
    </row>
    <row r="50698" spans="129:129" x14ac:dyDescent="0.2">
      <c r="DY50698" s="185" t="s">
        <v>215</v>
      </c>
    </row>
    <row r="50699" spans="129:129" x14ac:dyDescent="0.2">
      <c r="DY50699" s="185" t="s">
        <v>215</v>
      </c>
    </row>
    <row r="50700" spans="129:129" x14ac:dyDescent="0.2">
      <c r="DY50700" s="185" t="s">
        <v>215</v>
      </c>
    </row>
    <row r="50701" spans="129:129" x14ac:dyDescent="0.2">
      <c r="DY50701" s="185" t="s">
        <v>215</v>
      </c>
    </row>
    <row r="50702" spans="129:129" x14ac:dyDescent="0.2">
      <c r="DY50702" s="185" t="s">
        <v>215</v>
      </c>
    </row>
    <row r="50703" spans="129:129" x14ac:dyDescent="0.2">
      <c r="DY50703" s="185" t="s">
        <v>215</v>
      </c>
    </row>
    <row r="50704" spans="129:129" x14ac:dyDescent="0.2">
      <c r="DY50704" s="185" t="s">
        <v>215</v>
      </c>
    </row>
    <row r="50705" spans="129:129" x14ac:dyDescent="0.2">
      <c r="DY50705" s="185" t="s">
        <v>215</v>
      </c>
    </row>
    <row r="50706" spans="129:129" x14ac:dyDescent="0.2">
      <c r="DY50706" s="185" t="s">
        <v>215</v>
      </c>
    </row>
    <row r="50707" spans="129:129" x14ac:dyDescent="0.2">
      <c r="DY50707" s="185" t="s">
        <v>215</v>
      </c>
    </row>
    <row r="50708" spans="129:129" x14ac:dyDescent="0.2">
      <c r="DY50708" s="185" t="s">
        <v>215</v>
      </c>
    </row>
    <row r="50709" spans="129:129" x14ac:dyDescent="0.2">
      <c r="DY50709" s="185" t="s">
        <v>215</v>
      </c>
    </row>
    <row r="50710" spans="129:129" x14ac:dyDescent="0.2">
      <c r="DY50710" s="185" t="s">
        <v>215</v>
      </c>
    </row>
    <row r="50711" spans="129:129" x14ac:dyDescent="0.2">
      <c r="DY50711" s="185" t="s">
        <v>215</v>
      </c>
    </row>
    <row r="50712" spans="129:129" x14ac:dyDescent="0.2">
      <c r="DY50712" s="185" t="s">
        <v>215</v>
      </c>
    </row>
    <row r="50713" spans="129:129" x14ac:dyDescent="0.2">
      <c r="DY50713" s="185" t="s">
        <v>215</v>
      </c>
    </row>
    <row r="50714" spans="129:129" x14ac:dyDescent="0.2">
      <c r="DY50714" s="185" t="s">
        <v>215</v>
      </c>
    </row>
    <row r="50715" spans="129:129" x14ac:dyDescent="0.2">
      <c r="DY50715" s="185" t="s">
        <v>215</v>
      </c>
    </row>
    <row r="50716" spans="129:129" x14ac:dyDescent="0.2">
      <c r="DY50716" s="185" t="s">
        <v>215</v>
      </c>
    </row>
    <row r="50717" spans="129:129" x14ac:dyDescent="0.2">
      <c r="DY50717" s="185" t="s">
        <v>215</v>
      </c>
    </row>
    <row r="50718" spans="129:129" x14ac:dyDescent="0.2">
      <c r="DY50718" s="185" t="s">
        <v>215</v>
      </c>
    </row>
    <row r="50719" spans="129:129" x14ac:dyDescent="0.2">
      <c r="DY50719" s="185" t="s">
        <v>215</v>
      </c>
    </row>
    <row r="50720" spans="129:129" x14ac:dyDescent="0.2">
      <c r="DY50720" s="185" t="s">
        <v>215</v>
      </c>
    </row>
    <row r="50721" spans="129:129" x14ac:dyDescent="0.2">
      <c r="DY50721" s="185" t="s">
        <v>215</v>
      </c>
    </row>
    <row r="50722" spans="129:129" x14ac:dyDescent="0.2">
      <c r="DY50722" s="185" t="s">
        <v>215</v>
      </c>
    </row>
    <row r="50723" spans="129:129" x14ac:dyDescent="0.2">
      <c r="DY50723" s="185" t="s">
        <v>215</v>
      </c>
    </row>
    <row r="50724" spans="129:129" x14ac:dyDescent="0.2">
      <c r="DY50724" s="185" t="s">
        <v>215</v>
      </c>
    </row>
    <row r="50725" spans="129:129" x14ac:dyDescent="0.2">
      <c r="DY50725" s="185" t="s">
        <v>215</v>
      </c>
    </row>
    <row r="50726" spans="129:129" x14ac:dyDescent="0.2">
      <c r="DY50726" s="185" t="s">
        <v>215</v>
      </c>
    </row>
    <row r="50727" spans="129:129" x14ac:dyDescent="0.2">
      <c r="DY50727" s="185" t="s">
        <v>215</v>
      </c>
    </row>
    <row r="50728" spans="129:129" x14ac:dyDescent="0.2">
      <c r="DY50728" s="185" t="s">
        <v>215</v>
      </c>
    </row>
    <row r="50729" spans="129:129" x14ac:dyDescent="0.2">
      <c r="DY50729" s="185" t="s">
        <v>215</v>
      </c>
    </row>
    <row r="50730" spans="129:129" x14ac:dyDescent="0.2">
      <c r="DY50730" s="185" t="s">
        <v>215</v>
      </c>
    </row>
    <row r="50731" spans="129:129" x14ac:dyDescent="0.2">
      <c r="DY50731" s="185" t="s">
        <v>215</v>
      </c>
    </row>
    <row r="50732" spans="129:129" x14ac:dyDescent="0.2">
      <c r="DY50732" s="185" t="s">
        <v>215</v>
      </c>
    </row>
    <row r="50733" spans="129:129" x14ac:dyDescent="0.2">
      <c r="DY50733" s="185" t="s">
        <v>215</v>
      </c>
    </row>
    <row r="50734" spans="129:129" x14ac:dyDescent="0.2">
      <c r="DY50734" s="185" t="s">
        <v>215</v>
      </c>
    </row>
    <row r="50735" spans="129:129" x14ac:dyDescent="0.2">
      <c r="DY50735" s="185" t="s">
        <v>215</v>
      </c>
    </row>
    <row r="50736" spans="129:129" x14ac:dyDescent="0.2">
      <c r="DY50736" s="185" t="s">
        <v>215</v>
      </c>
    </row>
    <row r="50737" spans="129:129" x14ac:dyDescent="0.2">
      <c r="DY50737" s="185" t="s">
        <v>215</v>
      </c>
    </row>
    <row r="50738" spans="129:129" x14ac:dyDescent="0.2">
      <c r="DY50738" s="185" t="s">
        <v>215</v>
      </c>
    </row>
    <row r="50739" spans="129:129" x14ac:dyDescent="0.2">
      <c r="DY50739" s="185" t="s">
        <v>215</v>
      </c>
    </row>
    <row r="50740" spans="129:129" x14ac:dyDescent="0.2">
      <c r="DY50740" s="185" t="s">
        <v>215</v>
      </c>
    </row>
    <row r="50741" spans="129:129" x14ac:dyDescent="0.2">
      <c r="DY50741" s="185" t="s">
        <v>215</v>
      </c>
    </row>
    <row r="50742" spans="129:129" x14ac:dyDescent="0.2">
      <c r="DY50742" s="185" t="s">
        <v>215</v>
      </c>
    </row>
    <row r="50743" spans="129:129" x14ac:dyDescent="0.2">
      <c r="DY50743" s="185" t="s">
        <v>215</v>
      </c>
    </row>
    <row r="50744" spans="129:129" x14ac:dyDescent="0.2">
      <c r="DY50744" s="185" t="s">
        <v>215</v>
      </c>
    </row>
    <row r="50745" spans="129:129" x14ac:dyDescent="0.2">
      <c r="DY50745" s="185" t="s">
        <v>215</v>
      </c>
    </row>
    <row r="50746" spans="129:129" x14ac:dyDescent="0.2">
      <c r="DY50746" s="185" t="s">
        <v>215</v>
      </c>
    </row>
    <row r="50747" spans="129:129" x14ac:dyDescent="0.2">
      <c r="DY50747" s="185" t="s">
        <v>215</v>
      </c>
    </row>
    <row r="50748" spans="129:129" x14ac:dyDescent="0.2">
      <c r="DY50748" s="185" t="s">
        <v>215</v>
      </c>
    </row>
    <row r="50749" spans="129:129" x14ac:dyDescent="0.2">
      <c r="DY50749" s="185" t="s">
        <v>215</v>
      </c>
    </row>
    <row r="50750" spans="129:129" x14ac:dyDescent="0.2">
      <c r="DY50750" s="185" t="s">
        <v>215</v>
      </c>
    </row>
    <row r="50751" spans="129:129" x14ac:dyDescent="0.2">
      <c r="DY50751" s="185" t="s">
        <v>215</v>
      </c>
    </row>
    <row r="50752" spans="129:129" x14ac:dyDescent="0.2">
      <c r="DY50752" s="185" t="s">
        <v>215</v>
      </c>
    </row>
    <row r="50753" spans="129:129" x14ac:dyDescent="0.2">
      <c r="DY50753" s="185" t="s">
        <v>215</v>
      </c>
    </row>
    <row r="50754" spans="129:129" x14ac:dyDescent="0.2">
      <c r="DY50754" s="185" t="s">
        <v>215</v>
      </c>
    </row>
    <row r="50755" spans="129:129" x14ac:dyDescent="0.2">
      <c r="DY50755" s="185" t="s">
        <v>215</v>
      </c>
    </row>
    <row r="50756" spans="129:129" x14ac:dyDescent="0.2">
      <c r="DY50756" s="185" t="s">
        <v>215</v>
      </c>
    </row>
    <row r="50757" spans="129:129" x14ac:dyDescent="0.2">
      <c r="DY50757" s="185" t="s">
        <v>215</v>
      </c>
    </row>
    <row r="50758" spans="129:129" x14ac:dyDescent="0.2">
      <c r="DY50758" s="185" t="s">
        <v>215</v>
      </c>
    </row>
    <row r="50759" spans="129:129" x14ac:dyDescent="0.2">
      <c r="DY50759" s="185" t="s">
        <v>215</v>
      </c>
    </row>
    <row r="50760" spans="129:129" x14ac:dyDescent="0.2">
      <c r="DY50760" s="185" t="s">
        <v>215</v>
      </c>
    </row>
    <row r="50761" spans="129:129" x14ac:dyDescent="0.2">
      <c r="DY50761" s="185" t="s">
        <v>215</v>
      </c>
    </row>
    <row r="50762" spans="129:129" x14ac:dyDescent="0.2">
      <c r="DY50762" s="185" t="s">
        <v>215</v>
      </c>
    </row>
    <row r="50763" spans="129:129" x14ac:dyDescent="0.2">
      <c r="DY50763" s="185" t="s">
        <v>215</v>
      </c>
    </row>
    <row r="50764" spans="129:129" x14ac:dyDescent="0.2">
      <c r="DY50764" s="185" t="s">
        <v>215</v>
      </c>
    </row>
    <row r="50765" spans="129:129" x14ac:dyDescent="0.2">
      <c r="DY50765" s="185" t="s">
        <v>215</v>
      </c>
    </row>
    <row r="50766" spans="129:129" x14ac:dyDescent="0.2">
      <c r="DY50766" s="185" t="s">
        <v>215</v>
      </c>
    </row>
    <row r="50767" spans="129:129" x14ac:dyDescent="0.2">
      <c r="DY50767" s="185" t="s">
        <v>215</v>
      </c>
    </row>
    <row r="50768" spans="129:129" x14ac:dyDescent="0.2">
      <c r="DY50768" s="185" t="s">
        <v>215</v>
      </c>
    </row>
    <row r="50769" spans="129:129" x14ac:dyDescent="0.2">
      <c r="DY50769" s="185" t="s">
        <v>215</v>
      </c>
    </row>
    <row r="50770" spans="129:129" x14ac:dyDescent="0.2">
      <c r="DY50770" s="185" t="s">
        <v>215</v>
      </c>
    </row>
    <row r="50771" spans="129:129" x14ac:dyDescent="0.2">
      <c r="DY50771" s="185" t="s">
        <v>215</v>
      </c>
    </row>
    <row r="50772" spans="129:129" x14ac:dyDescent="0.2">
      <c r="DY50772" s="185" t="s">
        <v>215</v>
      </c>
    </row>
    <row r="50773" spans="129:129" x14ac:dyDescent="0.2">
      <c r="DY50773" s="185" t="s">
        <v>215</v>
      </c>
    </row>
    <row r="50774" spans="129:129" x14ac:dyDescent="0.2">
      <c r="DY50774" s="185" t="s">
        <v>215</v>
      </c>
    </row>
    <row r="50775" spans="129:129" x14ac:dyDescent="0.2">
      <c r="DY50775" s="185" t="s">
        <v>215</v>
      </c>
    </row>
    <row r="50776" spans="129:129" x14ac:dyDescent="0.2">
      <c r="DY50776" s="185" t="s">
        <v>215</v>
      </c>
    </row>
    <row r="50777" spans="129:129" x14ac:dyDescent="0.2">
      <c r="DY50777" s="185" t="s">
        <v>215</v>
      </c>
    </row>
    <row r="50778" spans="129:129" x14ac:dyDescent="0.2">
      <c r="DY50778" s="185" t="s">
        <v>215</v>
      </c>
    </row>
    <row r="50779" spans="129:129" x14ac:dyDescent="0.2">
      <c r="DY50779" s="185" t="s">
        <v>215</v>
      </c>
    </row>
    <row r="50780" spans="129:129" x14ac:dyDescent="0.2">
      <c r="DY50780" s="185" t="s">
        <v>215</v>
      </c>
    </row>
    <row r="50781" spans="129:129" x14ac:dyDescent="0.2">
      <c r="DY50781" s="185" t="s">
        <v>215</v>
      </c>
    </row>
    <row r="50782" spans="129:129" x14ac:dyDescent="0.2">
      <c r="DY50782" s="185" t="s">
        <v>215</v>
      </c>
    </row>
    <row r="50783" spans="129:129" x14ac:dyDescent="0.2">
      <c r="DY50783" s="185" t="s">
        <v>215</v>
      </c>
    </row>
    <row r="50784" spans="129:129" x14ac:dyDescent="0.2">
      <c r="DY50784" s="185" t="s">
        <v>215</v>
      </c>
    </row>
    <row r="50785" spans="129:129" x14ac:dyDescent="0.2">
      <c r="DY50785" s="185" t="s">
        <v>215</v>
      </c>
    </row>
    <row r="50786" spans="129:129" x14ac:dyDescent="0.2">
      <c r="DY50786" s="185" t="s">
        <v>215</v>
      </c>
    </row>
    <row r="50787" spans="129:129" x14ac:dyDescent="0.2">
      <c r="DY50787" s="185" t="s">
        <v>215</v>
      </c>
    </row>
    <row r="50788" spans="129:129" x14ac:dyDescent="0.2">
      <c r="DY50788" s="185" t="s">
        <v>215</v>
      </c>
    </row>
    <row r="50789" spans="129:129" x14ac:dyDescent="0.2">
      <c r="DY50789" s="185" t="s">
        <v>215</v>
      </c>
    </row>
    <row r="50790" spans="129:129" x14ac:dyDescent="0.2">
      <c r="DY50790" s="185" t="s">
        <v>215</v>
      </c>
    </row>
    <row r="50791" spans="129:129" x14ac:dyDescent="0.2">
      <c r="DY50791" s="185" t="s">
        <v>215</v>
      </c>
    </row>
    <row r="50792" spans="129:129" x14ac:dyDescent="0.2">
      <c r="DY50792" s="185" t="s">
        <v>215</v>
      </c>
    </row>
    <row r="50793" spans="129:129" x14ac:dyDescent="0.2">
      <c r="DY50793" s="185" t="s">
        <v>215</v>
      </c>
    </row>
    <row r="50794" spans="129:129" x14ac:dyDescent="0.2">
      <c r="DY50794" s="185" t="s">
        <v>215</v>
      </c>
    </row>
    <row r="50795" spans="129:129" x14ac:dyDescent="0.2">
      <c r="DY50795" s="185" t="s">
        <v>215</v>
      </c>
    </row>
    <row r="50796" spans="129:129" x14ac:dyDescent="0.2">
      <c r="DY50796" s="185" t="s">
        <v>215</v>
      </c>
    </row>
    <row r="50797" spans="129:129" x14ac:dyDescent="0.2">
      <c r="DY50797" s="185" t="s">
        <v>215</v>
      </c>
    </row>
    <row r="50798" spans="129:129" x14ac:dyDescent="0.2">
      <c r="DY50798" s="185" t="s">
        <v>215</v>
      </c>
    </row>
    <row r="50799" spans="129:129" x14ac:dyDescent="0.2">
      <c r="DY50799" s="185" t="s">
        <v>215</v>
      </c>
    </row>
    <row r="50800" spans="129:129" x14ac:dyDescent="0.2">
      <c r="DY50800" s="185" t="s">
        <v>215</v>
      </c>
    </row>
    <row r="50801" spans="129:129" x14ac:dyDescent="0.2">
      <c r="DY50801" s="185" t="s">
        <v>215</v>
      </c>
    </row>
    <row r="50802" spans="129:129" x14ac:dyDescent="0.2">
      <c r="DY50802" s="185" t="s">
        <v>215</v>
      </c>
    </row>
    <row r="50803" spans="129:129" x14ac:dyDescent="0.2">
      <c r="DY50803" s="185" t="s">
        <v>215</v>
      </c>
    </row>
    <row r="50804" spans="129:129" x14ac:dyDescent="0.2">
      <c r="DY50804" s="185" t="s">
        <v>215</v>
      </c>
    </row>
    <row r="50805" spans="129:129" x14ac:dyDescent="0.2">
      <c r="DY50805" s="185" t="s">
        <v>215</v>
      </c>
    </row>
    <row r="50806" spans="129:129" x14ac:dyDescent="0.2">
      <c r="DY50806" s="185" t="s">
        <v>215</v>
      </c>
    </row>
    <row r="50807" spans="129:129" x14ac:dyDescent="0.2">
      <c r="DY50807" s="185" t="s">
        <v>215</v>
      </c>
    </row>
    <row r="50808" spans="129:129" x14ac:dyDescent="0.2">
      <c r="DY50808" s="185" t="s">
        <v>215</v>
      </c>
    </row>
    <row r="50809" spans="129:129" x14ac:dyDescent="0.2">
      <c r="DY50809" s="185" t="s">
        <v>215</v>
      </c>
    </row>
    <row r="50810" spans="129:129" x14ac:dyDescent="0.2">
      <c r="DY50810" s="185" t="s">
        <v>215</v>
      </c>
    </row>
    <row r="50811" spans="129:129" x14ac:dyDescent="0.2">
      <c r="DY50811" s="185" t="s">
        <v>215</v>
      </c>
    </row>
    <row r="50812" spans="129:129" x14ac:dyDescent="0.2">
      <c r="DY50812" s="185" t="s">
        <v>215</v>
      </c>
    </row>
    <row r="50813" spans="129:129" x14ac:dyDescent="0.2">
      <c r="DY50813" s="185" t="s">
        <v>215</v>
      </c>
    </row>
    <row r="50814" spans="129:129" x14ac:dyDescent="0.2">
      <c r="DY50814" s="185" t="s">
        <v>215</v>
      </c>
    </row>
    <row r="50815" spans="129:129" x14ac:dyDescent="0.2">
      <c r="DY50815" s="185" t="s">
        <v>215</v>
      </c>
    </row>
    <row r="50816" spans="129:129" x14ac:dyDescent="0.2">
      <c r="DY50816" s="185" t="s">
        <v>215</v>
      </c>
    </row>
    <row r="50817" spans="129:129" x14ac:dyDescent="0.2">
      <c r="DY50817" s="185" t="s">
        <v>215</v>
      </c>
    </row>
    <row r="50818" spans="129:129" x14ac:dyDescent="0.2">
      <c r="DY50818" s="185" t="s">
        <v>215</v>
      </c>
    </row>
    <row r="50819" spans="129:129" x14ac:dyDescent="0.2">
      <c r="DY50819" s="185" t="s">
        <v>215</v>
      </c>
    </row>
    <row r="50820" spans="129:129" x14ac:dyDescent="0.2">
      <c r="DY50820" s="185" t="s">
        <v>215</v>
      </c>
    </row>
    <row r="50821" spans="129:129" x14ac:dyDescent="0.2">
      <c r="DY50821" s="185" t="s">
        <v>215</v>
      </c>
    </row>
    <row r="50822" spans="129:129" x14ac:dyDescent="0.2">
      <c r="DY50822" s="185" t="s">
        <v>215</v>
      </c>
    </row>
    <row r="50823" spans="129:129" x14ac:dyDescent="0.2">
      <c r="DY50823" s="185" t="s">
        <v>215</v>
      </c>
    </row>
    <row r="50824" spans="129:129" x14ac:dyDescent="0.2">
      <c r="DY50824" s="185" t="s">
        <v>215</v>
      </c>
    </row>
    <row r="50825" spans="129:129" x14ac:dyDescent="0.2">
      <c r="DY50825" s="185" t="s">
        <v>215</v>
      </c>
    </row>
    <row r="50826" spans="129:129" x14ac:dyDescent="0.2">
      <c r="DY50826" s="185" t="s">
        <v>215</v>
      </c>
    </row>
    <row r="50827" spans="129:129" x14ac:dyDescent="0.2">
      <c r="DY50827" s="185" t="s">
        <v>215</v>
      </c>
    </row>
    <row r="50828" spans="129:129" x14ac:dyDescent="0.2">
      <c r="DY50828" s="185" t="s">
        <v>215</v>
      </c>
    </row>
    <row r="50829" spans="129:129" x14ac:dyDescent="0.2">
      <c r="DY50829" s="185" t="s">
        <v>215</v>
      </c>
    </row>
    <row r="50830" spans="129:129" x14ac:dyDescent="0.2">
      <c r="DY50830" s="185" t="s">
        <v>215</v>
      </c>
    </row>
    <row r="50831" spans="129:129" x14ac:dyDescent="0.2">
      <c r="DY50831" s="185" t="s">
        <v>215</v>
      </c>
    </row>
    <row r="50832" spans="129:129" x14ac:dyDescent="0.2">
      <c r="DY50832" s="185" t="s">
        <v>215</v>
      </c>
    </row>
    <row r="50833" spans="129:129" x14ac:dyDescent="0.2">
      <c r="DY50833" s="185" t="s">
        <v>215</v>
      </c>
    </row>
    <row r="50834" spans="129:129" x14ac:dyDescent="0.2">
      <c r="DY50834" s="185" t="s">
        <v>215</v>
      </c>
    </row>
    <row r="50835" spans="129:129" x14ac:dyDescent="0.2">
      <c r="DY50835" s="185" t="s">
        <v>215</v>
      </c>
    </row>
    <row r="50836" spans="129:129" x14ac:dyDescent="0.2">
      <c r="DY50836" s="185" t="s">
        <v>215</v>
      </c>
    </row>
    <row r="50837" spans="129:129" x14ac:dyDescent="0.2">
      <c r="DY50837" s="185" t="s">
        <v>215</v>
      </c>
    </row>
    <row r="50838" spans="129:129" x14ac:dyDescent="0.2">
      <c r="DY50838" s="185" t="s">
        <v>215</v>
      </c>
    </row>
    <row r="50839" spans="129:129" x14ac:dyDescent="0.2">
      <c r="DY50839" s="185" t="s">
        <v>215</v>
      </c>
    </row>
    <row r="50840" spans="129:129" x14ac:dyDescent="0.2">
      <c r="DY50840" s="185" t="s">
        <v>215</v>
      </c>
    </row>
    <row r="50841" spans="129:129" x14ac:dyDescent="0.2">
      <c r="DY50841" s="185" t="s">
        <v>215</v>
      </c>
    </row>
    <row r="50842" spans="129:129" x14ac:dyDescent="0.2">
      <c r="DY50842" s="185" t="s">
        <v>215</v>
      </c>
    </row>
    <row r="50843" spans="129:129" x14ac:dyDescent="0.2">
      <c r="DY50843" s="185" t="s">
        <v>215</v>
      </c>
    </row>
    <row r="50844" spans="129:129" x14ac:dyDescent="0.2">
      <c r="DY50844" s="185" t="s">
        <v>215</v>
      </c>
    </row>
    <row r="50845" spans="129:129" x14ac:dyDescent="0.2">
      <c r="DY50845" s="185" t="s">
        <v>215</v>
      </c>
    </row>
    <row r="50846" spans="129:129" x14ac:dyDescent="0.2">
      <c r="DY50846" s="185" t="s">
        <v>215</v>
      </c>
    </row>
    <row r="50847" spans="129:129" x14ac:dyDescent="0.2">
      <c r="DY50847" s="185" t="s">
        <v>215</v>
      </c>
    </row>
    <row r="50848" spans="129:129" x14ac:dyDescent="0.2">
      <c r="DY50848" s="185" t="s">
        <v>215</v>
      </c>
    </row>
    <row r="50849" spans="129:129" x14ac:dyDescent="0.2">
      <c r="DY50849" s="185" t="s">
        <v>215</v>
      </c>
    </row>
    <row r="50850" spans="129:129" x14ac:dyDescent="0.2">
      <c r="DY50850" s="185" t="s">
        <v>215</v>
      </c>
    </row>
    <row r="50851" spans="129:129" x14ac:dyDescent="0.2">
      <c r="DY50851" s="185" t="s">
        <v>215</v>
      </c>
    </row>
    <row r="50852" spans="129:129" x14ac:dyDescent="0.2">
      <c r="DY50852" s="185" t="s">
        <v>215</v>
      </c>
    </row>
    <row r="50853" spans="129:129" x14ac:dyDescent="0.2">
      <c r="DY50853" s="185" t="s">
        <v>215</v>
      </c>
    </row>
    <row r="50854" spans="129:129" x14ac:dyDescent="0.2">
      <c r="DY50854" s="185" t="s">
        <v>215</v>
      </c>
    </row>
    <row r="50855" spans="129:129" x14ac:dyDescent="0.2">
      <c r="DY50855" s="185" t="s">
        <v>215</v>
      </c>
    </row>
    <row r="50856" spans="129:129" x14ac:dyDescent="0.2">
      <c r="DY50856" s="185" t="s">
        <v>215</v>
      </c>
    </row>
    <row r="50857" spans="129:129" x14ac:dyDescent="0.2">
      <c r="DY50857" s="185" t="s">
        <v>215</v>
      </c>
    </row>
    <row r="50858" spans="129:129" x14ac:dyDescent="0.2">
      <c r="DY50858" s="185" t="s">
        <v>215</v>
      </c>
    </row>
    <row r="50859" spans="129:129" x14ac:dyDescent="0.2">
      <c r="DY50859" s="185" t="s">
        <v>215</v>
      </c>
    </row>
    <row r="50860" spans="129:129" x14ac:dyDescent="0.2">
      <c r="DY50860" s="185" t="s">
        <v>215</v>
      </c>
    </row>
    <row r="50861" spans="129:129" x14ac:dyDescent="0.2">
      <c r="DY50861" s="185" t="s">
        <v>215</v>
      </c>
    </row>
    <row r="50862" spans="129:129" x14ac:dyDescent="0.2">
      <c r="DY50862" s="185" t="s">
        <v>215</v>
      </c>
    </row>
    <row r="50863" spans="129:129" x14ac:dyDescent="0.2">
      <c r="DY50863" s="185" t="s">
        <v>215</v>
      </c>
    </row>
    <row r="50864" spans="129:129" x14ac:dyDescent="0.2">
      <c r="DY50864" s="185" t="s">
        <v>215</v>
      </c>
    </row>
    <row r="50865" spans="129:129" x14ac:dyDescent="0.2">
      <c r="DY50865" s="185" t="s">
        <v>215</v>
      </c>
    </row>
    <row r="50866" spans="129:129" x14ac:dyDescent="0.2">
      <c r="DY50866" s="185" t="s">
        <v>215</v>
      </c>
    </row>
    <row r="50867" spans="129:129" x14ac:dyDescent="0.2">
      <c r="DY50867" s="185" t="s">
        <v>215</v>
      </c>
    </row>
    <row r="50868" spans="129:129" x14ac:dyDescent="0.2">
      <c r="DY50868" s="185" t="s">
        <v>215</v>
      </c>
    </row>
    <row r="50869" spans="129:129" x14ac:dyDescent="0.2">
      <c r="DY50869" s="185" t="s">
        <v>215</v>
      </c>
    </row>
    <row r="50870" spans="129:129" x14ac:dyDescent="0.2">
      <c r="DY50870" s="185" t="s">
        <v>215</v>
      </c>
    </row>
    <row r="50871" spans="129:129" x14ac:dyDescent="0.2">
      <c r="DY50871" s="185" t="s">
        <v>215</v>
      </c>
    </row>
    <row r="50872" spans="129:129" x14ac:dyDescent="0.2">
      <c r="DY50872" s="185" t="s">
        <v>215</v>
      </c>
    </row>
    <row r="50873" spans="129:129" x14ac:dyDescent="0.2">
      <c r="DY50873" s="185" t="s">
        <v>215</v>
      </c>
    </row>
    <row r="50874" spans="129:129" x14ac:dyDescent="0.2">
      <c r="DY50874" s="185" t="s">
        <v>215</v>
      </c>
    </row>
    <row r="50875" spans="129:129" x14ac:dyDescent="0.2">
      <c r="DY50875" s="185" t="s">
        <v>215</v>
      </c>
    </row>
    <row r="50876" spans="129:129" x14ac:dyDescent="0.2">
      <c r="DY50876" s="185" t="s">
        <v>215</v>
      </c>
    </row>
    <row r="50877" spans="129:129" x14ac:dyDescent="0.2">
      <c r="DY50877" s="185" t="s">
        <v>215</v>
      </c>
    </row>
    <row r="50878" spans="129:129" x14ac:dyDescent="0.2">
      <c r="DY50878" s="185" t="s">
        <v>215</v>
      </c>
    </row>
    <row r="50879" spans="129:129" x14ac:dyDescent="0.2">
      <c r="DY50879" s="185" t="s">
        <v>215</v>
      </c>
    </row>
    <row r="50880" spans="129:129" x14ac:dyDescent="0.2">
      <c r="DY50880" s="185" t="s">
        <v>215</v>
      </c>
    </row>
    <row r="50881" spans="129:129" x14ac:dyDescent="0.2">
      <c r="DY50881" s="185" t="s">
        <v>215</v>
      </c>
    </row>
    <row r="50882" spans="129:129" x14ac:dyDescent="0.2">
      <c r="DY50882" s="185" t="s">
        <v>215</v>
      </c>
    </row>
    <row r="50883" spans="129:129" x14ac:dyDescent="0.2">
      <c r="DY50883" s="185" t="s">
        <v>215</v>
      </c>
    </row>
    <row r="50884" spans="129:129" x14ac:dyDescent="0.2">
      <c r="DY50884" s="185" t="s">
        <v>215</v>
      </c>
    </row>
    <row r="50885" spans="129:129" x14ac:dyDescent="0.2">
      <c r="DY50885" s="185" t="s">
        <v>215</v>
      </c>
    </row>
    <row r="50886" spans="129:129" x14ac:dyDescent="0.2">
      <c r="DY50886" s="185" t="s">
        <v>215</v>
      </c>
    </row>
    <row r="50887" spans="129:129" x14ac:dyDescent="0.2">
      <c r="DY50887" s="185" t="s">
        <v>215</v>
      </c>
    </row>
    <row r="50888" spans="129:129" x14ac:dyDescent="0.2">
      <c r="DY50888" s="185" t="s">
        <v>215</v>
      </c>
    </row>
    <row r="50889" spans="129:129" x14ac:dyDescent="0.2">
      <c r="DY50889" s="185" t="s">
        <v>215</v>
      </c>
    </row>
    <row r="50890" spans="129:129" x14ac:dyDescent="0.2">
      <c r="DY50890" s="185" t="s">
        <v>215</v>
      </c>
    </row>
    <row r="50891" spans="129:129" x14ac:dyDescent="0.2">
      <c r="DY50891" s="185" t="s">
        <v>215</v>
      </c>
    </row>
    <row r="50892" spans="129:129" x14ac:dyDescent="0.2">
      <c r="DY50892" s="185" t="s">
        <v>215</v>
      </c>
    </row>
    <row r="50893" spans="129:129" x14ac:dyDescent="0.2">
      <c r="DY50893" s="185" t="s">
        <v>215</v>
      </c>
    </row>
    <row r="50894" spans="129:129" x14ac:dyDescent="0.2">
      <c r="DY50894" s="185" t="s">
        <v>215</v>
      </c>
    </row>
    <row r="50895" spans="129:129" x14ac:dyDescent="0.2">
      <c r="DY50895" s="185" t="s">
        <v>215</v>
      </c>
    </row>
    <row r="50896" spans="129:129" x14ac:dyDescent="0.2">
      <c r="DY50896" s="185" t="s">
        <v>215</v>
      </c>
    </row>
    <row r="50897" spans="129:129" x14ac:dyDescent="0.2">
      <c r="DY50897" s="185" t="s">
        <v>215</v>
      </c>
    </row>
    <row r="50898" spans="129:129" x14ac:dyDescent="0.2">
      <c r="DY50898" s="185" t="s">
        <v>215</v>
      </c>
    </row>
    <row r="50899" spans="129:129" x14ac:dyDescent="0.2">
      <c r="DY50899" s="185" t="s">
        <v>215</v>
      </c>
    </row>
    <row r="50900" spans="129:129" x14ac:dyDescent="0.2">
      <c r="DY50900" s="185" t="s">
        <v>215</v>
      </c>
    </row>
    <row r="50901" spans="129:129" x14ac:dyDescent="0.2">
      <c r="DY50901" s="185" t="s">
        <v>215</v>
      </c>
    </row>
    <row r="50902" spans="129:129" x14ac:dyDescent="0.2">
      <c r="DY50902" s="185" t="s">
        <v>215</v>
      </c>
    </row>
    <row r="50903" spans="129:129" x14ac:dyDescent="0.2">
      <c r="DY50903" s="185" t="s">
        <v>215</v>
      </c>
    </row>
    <row r="50904" spans="129:129" x14ac:dyDescent="0.2">
      <c r="DY50904" s="185" t="s">
        <v>215</v>
      </c>
    </row>
    <row r="50905" spans="129:129" x14ac:dyDescent="0.2">
      <c r="DY50905" s="185" t="s">
        <v>215</v>
      </c>
    </row>
    <row r="50906" spans="129:129" x14ac:dyDescent="0.2">
      <c r="DY50906" s="185" t="s">
        <v>215</v>
      </c>
    </row>
    <row r="50907" spans="129:129" x14ac:dyDescent="0.2">
      <c r="DY50907" s="185" t="s">
        <v>215</v>
      </c>
    </row>
    <row r="50908" spans="129:129" x14ac:dyDescent="0.2">
      <c r="DY50908" s="185" t="s">
        <v>215</v>
      </c>
    </row>
    <row r="50909" spans="129:129" x14ac:dyDescent="0.2">
      <c r="DY50909" s="185" t="s">
        <v>215</v>
      </c>
    </row>
    <row r="50910" spans="129:129" x14ac:dyDescent="0.2">
      <c r="DY50910" s="185" t="s">
        <v>215</v>
      </c>
    </row>
    <row r="50911" spans="129:129" x14ac:dyDescent="0.2">
      <c r="DY50911" s="185" t="s">
        <v>215</v>
      </c>
    </row>
    <row r="50912" spans="129:129" x14ac:dyDescent="0.2">
      <c r="DY50912" s="185" t="s">
        <v>215</v>
      </c>
    </row>
    <row r="50913" spans="129:129" x14ac:dyDescent="0.2">
      <c r="DY50913" s="185" t="s">
        <v>215</v>
      </c>
    </row>
    <row r="50914" spans="129:129" x14ac:dyDescent="0.2">
      <c r="DY50914" s="185" t="s">
        <v>215</v>
      </c>
    </row>
    <row r="50915" spans="129:129" x14ac:dyDescent="0.2">
      <c r="DY50915" s="185" t="s">
        <v>215</v>
      </c>
    </row>
    <row r="50916" spans="129:129" x14ac:dyDescent="0.2">
      <c r="DY50916" s="185" t="s">
        <v>215</v>
      </c>
    </row>
    <row r="50917" spans="129:129" x14ac:dyDescent="0.2">
      <c r="DY50917" s="185" t="s">
        <v>215</v>
      </c>
    </row>
    <row r="50918" spans="129:129" x14ac:dyDescent="0.2">
      <c r="DY50918" s="185" t="s">
        <v>215</v>
      </c>
    </row>
    <row r="50919" spans="129:129" x14ac:dyDescent="0.2">
      <c r="DY50919" s="185" t="s">
        <v>215</v>
      </c>
    </row>
    <row r="50920" spans="129:129" x14ac:dyDescent="0.2">
      <c r="DY50920" s="185" t="s">
        <v>215</v>
      </c>
    </row>
    <row r="50921" spans="129:129" x14ac:dyDescent="0.2">
      <c r="DY50921" s="185" t="s">
        <v>215</v>
      </c>
    </row>
    <row r="50922" spans="129:129" x14ac:dyDescent="0.2">
      <c r="DY50922" s="185" t="s">
        <v>215</v>
      </c>
    </row>
    <row r="50923" spans="129:129" x14ac:dyDescent="0.2">
      <c r="DY50923" s="185" t="s">
        <v>215</v>
      </c>
    </row>
    <row r="50924" spans="129:129" x14ac:dyDescent="0.2">
      <c r="DY50924" s="185" t="s">
        <v>215</v>
      </c>
    </row>
    <row r="50925" spans="129:129" x14ac:dyDescent="0.2">
      <c r="DY50925" s="185" t="s">
        <v>215</v>
      </c>
    </row>
    <row r="50926" spans="129:129" x14ac:dyDescent="0.2">
      <c r="DY50926" s="185" t="s">
        <v>215</v>
      </c>
    </row>
    <row r="50927" spans="129:129" x14ac:dyDescent="0.2">
      <c r="DY50927" s="185" t="s">
        <v>215</v>
      </c>
    </row>
    <row r="50928" spans="129:129" x14ac:dyDescent="0.2">
      <c r="DY50928" s="185" t="s">
        <v>215</v>
      </c>
    </row>
    <row r="50929" spans="129:129" x14ac:dyDescent="0.2">
      <c r="DY50929" s="185" t="s">
        <v>215</v>
      </c>
    </row>
    <row r="50930" spans="129:129" x14ac:dyDescent="0.2">
      <c r="DY50930" s="185" t="s">
        <v>215</v>
      </c>
    </row>
    <row r="50931" spans="129:129" x14ac:dyDescent="0.2">
      <c r="DY50931" s="185" t="s">
        <v>215</v>
      </c>
    </row>
    <row r="50932" spans="129:129" x14ac:dyDescent="0.2">
      <c r="DY50932" s="185" t="s">
        <v>215</v>
      </c>
    </row>
    <row r="50933" spans="129:129" x14ac:dyDescent="0.2">
      <c r="DY50933" s="185" t="s">
        <v>215</v>
      </c>
    </row>
    <row r="50934" spans="129:129" x14ac:dyDescent="0.2">
      <c r="DY50934" s="185" t="s">
        <v>215</v>
      </c>
    </row>
    <row r="50935" spans="129:129" x14ac:dyDescent="0.2">
      <c r="DY50935" s="185" t="s">
        <v>215</v>
      </c>
    </row>
    <row r="50936" spans="129:129" x14ac:dyDescent="0.2">
      <c r="DY50936" s="185" t="s">
        <v>215</v>
      </c>
    </row>
    <row r="50937" spans="129:129" x14ac:dyDescent="0.2">
      <c r="DY50937" s="185" t="s">
        <v>215</v>
      </c>
    </row>
    <row r="50938" spans="129:129" x14ac:dyDescent="0.2">
      <c r="DY50938" s="185" t="s">
        <v>215</v>
      </c>
    </row>
    <row r="50939" spans="129:129" x14ac:dyDescent="0.2">
      <c r="DY50939" s="185" t="s">
        <v>215</v>
      </c>
    </row>
    <row r="50940" spans="129:129" x14ac:dyDescent="0.2">
      <c r="DY50940" s="185" t="s">
        <v>215</v>
      </c>
    </row>
    <row r="50941" spans="129:129" x14ac:dyDescent="0.2">
      <c r="DY50941" s="185" t="s">
        <v>215</v>
      </c>
    </row>
    <row r="50942" spans="129:129" x14ac:dyDescent="0.2">
      <c r="DY50942" s="185" t="s">
        <v>215</v>
      </c>
    </row>
    <row r="50943" spans="129:129" x14ac:dyDescent="0.2">
      <c r="DY50943" s="185" t="s">
        <v>215</v>
      </c>
    </row>
    <row r="50944" spans="129:129" x14ac:dyDescent="0.2">
      <c r="DY50944" s="185" t="s">
        <v>215</v>
      </c>
    </row>
    <row r="50945" spans="129:129" x14ac:dyDescent="0.2">
      <c r="DY50945" s="185" t="s">
        <v>215</v>
      </c>
    </row>
    <row r="50946" spans="129:129" x14ac:dyDescent="0.2">
      <c r="DY50946" s="185" t="s">
        <v>215</v>
      </c>
    </row>
    <row r="50947" spans="129:129" x14ac:dyDescent="0.2">
      <c r="DY50947" s="185" t="s">
        <v>215</v>
      </c>
    </row>
    <row r="50948" spans="129:129" x14ac:dyDescent="0.2">
      <c r="DY50948" s="185" t="s">
        <v>215</v>
      </c>
    </row>
    <row r="50949" spans="129:129" x14ac:dyDescent="0.2">
      <c r="DY50949" s="185" t="s">
        <v>215</v>
      </c>
    </row>
    <row r="50950" spans="129:129" x14ac:dyDescent="0.2">
      <c r="DY50950" s="185" t="s">
        <v>215</v>
      </c>
    </row>
    <row r="50951" spans="129:129" x14ac:dyDescent="0.2">
      <c r="DY50951" s="185" t="s">
        <v>215</v>
      </c>
    </row>
    <row r="50952" spans="129:129" x14ac:dyDescent="0.2">
      <c r="DY50952" s="185" t="s">
        <v>215</v>
      </c>
    </row>
    <row r="50953" spans="129:129" x14ac:dyDescent="0.2">
      <c r="DY50953" s="185" t="s">
        <v>215</v>
      </c>
    </row>
    <row r="50954" spans="129:129" x14ac:dyDescent="0.2">
      <c r="DY50954" s="185" t="s">
        <v>215</v>
      </c>
    </row>
    <row r="50955" spans="129:129" x14ac:dyDescent="0.2">
      <c r="DY50955" s="185" t="s">
        <v>215</v>
      </c>
    </row>
    <row r="50956" spans="129:129" x14ac:dyDescent="0.2">
      <c r="DY50956" s="185" t="s">
        <v>215</v>
      </c>
    </row>
    <row r="50957" spans="129:129" x14ac:dyDescent="0.2">
      <c r="DY50957" s="185" t="s">
        <v>215</v>
      </c>
    </row>
    <row r="50958" spans="129:129" x14ac:dyDescent="0.2">
      <c r="DY50958" s="185" t="s">
        <v>215</v>
      </c>
    </row>
    <row r="50959" spans="129:129" x14ac:dyDescent="0.2">
      <c r="DY50959" s="185" t="s">
        <v>215</v>
      </c>
    </row>
    <row r="50960" spans="129:129" x14ac:dyDescent="0.2">
      <c r="DY50960" s="185" t="s">
        <v>215</v>
      </c>
    </row>
    <row r="50961" spans="129:129" x14ac:dyDescent="0.2">
      <c r="DY50961" s="185" t="s">
        <v>215</v>
      </c>
    </row>
    <row r="50962" spans="129:129" x14ac:dyDescent="0.2">
      <c r="DY50962" s="185" t="s">
        <v>215</v>
      </c>
    </row>
    <row r="50963" spans="129:129" x14ac:dyDescent="0.2">
      <c r="DY50963" s="185" t="s">
        <v>215</v>
      </c>
    </row>
    <row r="50964" spans="129:129" x14ac:dyDescent="0.2">
      <c r="DY50964" s="185" t="s">
        <v>215</v>
      </c>
    </row>
    <row r="50965" spans="129:129" x14ac:dyDescent="0.2">
      <c r="DY50965" s="185" t="s">
        <v>215</v>
      </c>
    </row>
    <row r="50966" spans="129:129" x14ac:dyDescent="0.2">
      <c r="DY50966" s="185" t="s">
        <v>215</v>
      </c>
    </row>
    <row r="50967" spans="129:129" x14ac:dyDescent="0.2">
      <c r="DY50967" s="185" t="s">
        <v>215</v>
      </c>
    </row>
    <row r="50968" spans="129:129" x14ac:dyDescent="0.2">
      <c r="DY50968" s="185" t="s">
        <v>215</v>
      </c>
    </row>
    <row r="50969" spans="129:129" x14ac:dyDescent="0.2">
      <c r="DY50969" s="185" t="s">
        <v>215</v>
      </c>
    </row>
    <row r="50970" spans="129:129" x14ac:dyDescent="0.2">
      <c r="DY50970" s="185" t="s">
        <v>215</v>
      </c>
    </row>
    <row r="50971" spans="129:129" x14ac:dyDescent="0.2">
      <c r="DY50971" s="185" t="s">
        <v>215</v>
      </c>
    </row>
    <row r="50972" spans="129:129" x14ac:dyDescent="0.2">
      <c r="DY50972" s="185" t="s">
        <v>215</v>
      </c>
    </row>
    <row r="50973" spans="129:129" x14ac:dyDescent="0.2">
      <c r="DY50973" s="185" t="s">
        <v>215</v>
      </c>
    </row>
    <row r="50974" spans="129:129" x14ac:dyDescent="0.2">
      <c r="DY50974" s="185" t="s">
        <v>215</v>
      </c>
    </row>
    <row r="50975" spans="129:129" x14ac:dyDescent="0.2">
      <c r="DY50975" s="185" t="s">
        <v>215</v>
      </c>
    </row>
    <row r="50976" spans="129:129" x14ac:dyDescent="0.2">
      <c r="DY50976" s="185" t="s">
        <v>215</v>
      </c>
    </row>
    <row r="50977" spans="129:129" x14ac:dyDescent="0.2">
      <c r="DY50977" s="185" t="s">
        <v>215</v>
      </c>
    </row>
    <row r="50978" spans="129:129" x14ac:dyDescent="0.2">
      <c r="DY50978" s="185" t="s">
        <v>215</v>
      </c>
    </row>
    <row r="50979" spans="129:129" x14ac:dyDescent="0.2">
      <c r="DY50979" s="185" t="s">
        <v>215</v>
      </c>
    </row>
    <row r="50980" spans="129:129" x14ac:dyDescent="0.2">
      <c r="DY50980" s="185" t="s">
        <v>215</v>
      </c>
    </row>
    <row r="50981" spans="129:129" x14ac:dyDescent="0.2">
      <c r="DY50981" s="185" t="s">
        <v>215</v>
      </c>
    </row>
    <row r="50982" spans="129:129" x14ac:dyDescent="0.2">
      <c r="DY50982" s="185" t="s">
        <v>215</v>
      </c>
    </row>
    <row r="50983" spans="129:129" x14ac:dyDescent="0.2">
      <c r="DY50983" s="185" t="s">
        <v>215</v>
      </c>
    </row>
    <row r="50984" spans="129:129" x14ac:dyDescent="0.2">
      <c r="DY50984" s="185" t="s">
        <v>215</v>
      </c>
    </row>
    <row r="50985" spans="129:129" x14ac:dyDescent="0.2">
      <c r="DY50985" s="185" t="s">
        <v>215</v>
      </c>
    </row>
    <row r="50986" spans="129:129" x14ac:dyDescent="0.2">
      <c r="DY50986" s="185" t="s">
        <v>215</v>
      </c>
    </row>
    <row r="50987" spans="129:129" x14ac:dyDescent="0.2">
      <c r="DY50987" s="185" t="s">
        <v>215</v>
      </c>
    </row>
    <row r="50988" spans="129:129" x14ac:dyDescent="0.2">
      <c r="DY50988" s="185" t="s">
        <v>215</v>
      </c>
    </row>
    <row r="50989" spans="129:129" x14ac:dyDescent="0.2">
      <c r="DY50989" s="185" t="s">
        <v>215</v>
      </c>
    </row>
    <row r="50990" spans="129:129" x14ac:dyDescent="0.2">
      <c r="DY50990" s="185" t="s">
        <v>215</v>
      </c>
    </row>
    <row r="50991" spans="129:129" x14ac:dyDescent="0.2">
      <c r="DY50991" s="185" t="s">
        <v>215</v>
      </c>
    </row>
    <row r="50992" spans="129:129" x14ac:dyDescent="0.2">
      <c r="DY50992" s="185" t="s">
        <v>215</v>
      </c>
    </row>
    <row r="50993" spans="129:129" x14ac:dyDescent="0.2">
      <c r="DY50993" s="185" t="s">
        <v>215</v>
      </c>
    </row>
    <row r="50994" spans="129:129" x14ac:dyDescent="0.2">
      <c r="DY50994" s="185" t="s">
        <v>215</v>
      </c>
    </row>
    <row r="50995" spans="129:129" x14ac:dyDescent="0.2">
      <c r="DY50995" s="185" t="s">
        <v>215</v>
      </c>
    </row>
    <row r="50996" spans="129:129" x14ac:dyDescent="0.2">
      <c r="DY50996" s="185" t="s">
        <v>215</v>
      </c>
    </row>
    <row r="50997" spans="129:129" x14ac:dyDescent="0.2">
      <c r="DY50997" s="185" t="s">
        <v>215</v>
      </c>
    </row>
    <row r="50998" spans="129:129" x14ac:dyDescent="0.2">
      <c r="DY50998" s="185" t="s">
        <v>215</v>
      </c>
    </row>
    <row r="50999" spans="129:129" x14ac:dyDescent="0.2">
      <c r="DY50999" s="185" t="s">
        <v>215</v>
      </c>
    </row>
    <row r="51000" spans="129:129" x14ac:dyDescent="0.2">
      <c r="DY51000" s="185" t="s">
        <v>215</v>
      </c>
    </row>
    <row r="51001" spans="129:129" x14ac:dyDescent="0.2">
      <c r="DY51001" s="185" t="s">
        <v>215</v>
      </c>
    </row>
    <row r="51002" spans="129:129" x14ac:dyDescent="0.2">
      <c r="DY51002" s="185" t="s">
        <v>215</v>
      </c>
    </row>
    <row r="51003" spans="129:129" x14ac:dyDescent="0.2">
      <c r="DY51003" s="185" t="s">
        <v>215</v>
      </c>
    </row>
    <row r="51004" spans="129:129" x14ac:dyDescent="0.2">
      <c r="DY51004" s="185" t="s">
        <v>215</v>
      </c>
    </row>
    <row r="51005" spans="129:129" x14ac:dyDescent="0.2">
      <c r="DY51005" s="185" t="s">
        <v>215</v>
      </c>
    </row>
    <row r="51006" spans="129:129" x14ac:dyDescent="0.2">
      <c r="DY51006" s="185" t="s">
        <v>215</v>
      </c>
    </row>
    <row r="51007" spans="129:129" x14ac:dyDescent="0.2">
      <c r="DY51007" s="185" t="s">
        <v>215</v>
      </c>
    </row>
    <row r="51008" spans="129:129" x14ac:dyDescent="0.2">
      <c r="DY51008" s="185" t="s">
        <v>215</v>
      </c>
    </row>
    <row r="51009" spans="129:129" x14ac:dyDescent="0.2">
      <c r="DY51009" s="185" t="s">
        <v>215</v>
      </c>
    </row>
    <row r="51010" spans="129:129" x14ac:dyDescent="0.2">
      <c r="DY51010" s="185" t="s">
        <v>215</v>
      </c>
    </row>
    <row r="51011" spans="129:129" x14ac:dyDescent="0.2">
      <c r="DY51011" s="185" t="s">
        <v>215</v>
      </c>
    </row>
    <row r="51012" spans="129:129" x14ac:dyDescent="0.2">
      <c r="DY51012" s="185" t="s">
        <v>215</v>
      </c>
    </row>
    <row r="51013" spans="129:129" x14ac:dyDescent="0.2">
      <c r="DY51013" s="185" t="s">
        <v>215</v>
      </c>
    </row>
    <row r="51014" spans="129:129" x14ac:dyDescent="0.2">
      <c r="DY51014" s="185" t="s">
        <v>215</v>
      </c>
    </row>
    <row r="51015" spans="129:129" x14ac:dyDescent="0.2">
      <c r="DY51015" s="185" t="s">
        <v>215</v>
      </c>
    </row>
    <row r="51016" spans="129:129" x14ac:dyDescent="0.2">
      <c r="DY51016" s="185" t="s">
        <v>215</v>
      </c>
    </row>
    <row r="51017" spans="129:129" x14ac:dyDescent="0.2">
      <c r="DY51017" s="185" t="s">
        <v>215</v>
      </c>
    </row>
    <row r="51018" spans="129:129" x14ac:dyDescent="0.2">
      <c r="DY51018" s="185" t="s">
        <v>215</v>
      </c>
    </row>
    <row r="51019" spans="129:129" x14ac:dyDescent="0.2">
      <c r="DY51019" s="185" t="s">
        <v>215</v>
      </c>
    </row>
    <row r="51020" spans="129:129" x14ac:dyDescent="0.2">
      <c r="DY51020" s="185" t="s">
        <v>215</v>
      </c>
    </row>
    <row r="51021" spans="129:129" x14ac:dyDescent="0.2">
      <c r="DY51021" s="185" t="s">
        <v>215</v>
      </c>
    </row>
    <row r="51022" spans="129:129" x14ac:dyDescent="0.2">
      <c r="DY51022" s="185" t="s">
        <v>215</v>
      </c>
    </row>
    <row r="51023" spans="129:129" x14ac:dyDescent="0.2">
      <c r="DY51023" s="185" t="s">
        <v>215</v>
      </c>
    </row>
    <row r="51024" spans="129:129" x14ac:dyDescent="0.2">
      <c r="DY51024" s="185" t="s">
        <v>215</v>
      </c>
    </row>
    <row r="51025" spans="129:129" x14ac:dyDescent="0.2">
      <c r="DY51025" s="185" t="s">
        <v>215</v>
      </c>
    </row>
    <row r="51026" spans="129:129" x14ac:dyDescent="0.2">
      <c r="DY51026" s="185" t="s">
        <v>215</v>
      </c>
    </row>
    <row r="51027" spans="129:129" x14ac:dyDescent="0.2">
      <c r="DY51027" s="185" t="s">
        <v>215</v>
      </c>
    </row>
    <row r="51028" spans="129:129" x14ac:dyDescent="0.2">
      <c r="DY51028" s="185" t="s">
        <v>215</v>
      </c>
    </row>
    <row r="51029" spans="129:129" x14ac:dyDescent="0.2">
      <c r="DY51029" s="185" t="s">
        <v>215</v>
      </c>
    </row>
    <row r="51030" spans="129:129" x14ac:dyDescent="0.2">
      <c r="DY51030" s="185" t="s">
        <v>215</v>
      </c>
    </row>
    <row r="51031" spans="129:129" x14ac:dyDescent="0.2">
      <c r="DY51031" s="185" t="s">
        <v>215</v>
      </c>
    </row>
    <row r="51032" spans="129:129" x14ac:dyDescent="0.2">
      <c r="DY51032" s="185" t="s">
        <v>215</v>
      </c>
    </row>
    <row r="51033" spans="129:129" x14ac:dyDescent="0.2">
      <c r="DY51033" s="185" t="s">
        <v>215</v>
      </c>
    </row>
    <row r="51034" spans="129:129" x14ac:dyDescent="0.2">
      <c r="DY51034" s="185" t="s">
        <v>215</v>
      </c>
    </row>
    <row r="51035" spans="129:129" x14ac:dyDescent="0.2">
      <c r="DY51035" s="185" t="s">
        <v>215</v>
      </c>
    </row>
    <row r="51036" spans="129:129" x14ac:dyDescent="0.2">
      <c r="DY51036" s="185" t="s">
        <v>215</v>
      </c>
    </row>
    <row r="51037" spans="129:129" x14ac:dyDescent="0.2">
      <c r="DY51037" s="185" t="s">
        <v>215</v>
      </c>
    </row>
    <row r="51038" spans="129:129" x14ac:dyDescent="0.2">
      <c r="DY51038" s="185" t="s">
        <v>215</v>
      </c>
    </row>
    <row r="51039" spans="129:129" x14ac:dyDescent="0.2">
      <c r="DY51039" s="185" t="s">
        <v>215</v>
      </c>
    </row>
    <row r="51040" spans="129:129" x14ac:dyDescent="0.2">
      <c r="DY51040" s="185" t="s">
        <v>215</v>
      </c>
    </row>
    <row r="51041" spans="129:129" x14ac:dyDescent="0.2">
      <c r="DY51041" s="185" t="s">
        <v>215</v>
      </c>
    </row>
    <row r="51042" spans="129:129" x14ac:dyDescent="0.2">
      <c r="DY51042" s="185" t="s">
        <v>215</v>
      </c>
    </row>
    <row r="51043" spans="129:129" x14ac:dyDescent="0.2">
      <c r="DY51043" s="185" t="s">
        <v>215</v>
      </c>
    </row>
    <row r="51044" spans="129:129" x14ac:dyDescent="0.2">
      <c r="DY51044" s="185" t="s">
        <v>215</v>
      </c>
    </row>
    <row r="51045" spans="129:129" x14ac:dyDescent="0.2">
      <c r="DY51045" s="185" t="s">
        <v>215</v>
      </c>
    </row>
    <row r="51046" spans="129:129" x14ac:dyDescent="0.2">
      <c r="DY51046" s="185" t="s">
        <v>215</v>
      </c>
    </row>
    <row r="51047" spans="129:129" x14ac:dyDescent="0.2">
      <c r="DY51047" s="185" t="s">
        <v>215</v>
      </c>
    </row>
    <row r="51048" spans="129:129" x14ac:dyDescent="0.2">
      <c r="DY51048" s="185" t="s">
        <v>215</v>
      </c>
    </row>
    <row r="51049" spans="129:129" x14ac:dyDescent="0.2">
      <c r="DY51049" s="185" t="s">
        <v>215</v>
      </c>
    </row>
    <row r="51050" spans="129:129" x14ac:dyDescent="0.2">
      <c r="DY51050" s="185" t="s">
        <v>215</v>
      </c>
    </row>
    <row r="51051" spans="129:129" x14ac:dyDescent="0.2">
      <c r="DY51051" s="185" t="s">
        <v>215</v>
      </c>
    </row>
    <row r="51052" spans="129:129" x14ac:dyDescent="0.2">
      <c r="DY51052" s="185" t="s">
        <v>215</v>
      </c>
    </row>
    <row r="51053" spans="129:129" x14ac:dyDescent="0.2">
      <c r="DY51053" s="185" t="s">
        <v>215</v>
      </c>
    </row>
    <row r="51054" spans="129:129" x14ac:dyDescent="0.2">
      <c r="DY51054" s="185" t="s">
        <v>215</v>
      </c>
    </row>
    <row r="51055" spans="129:129" x14ac:dyDescent="0.2">
      <c r="DY51055" s="185" t="s">
        <v>215</v>
      </c>
    </row>
    <row r="51056" spans="129:129" x14ac:dyDescent="0.2">
      <c r="DY51056" s="185" t="s">
        <v>215</v>
      </c>
    </row>
    <row r="51057" spans="129:129" x14ac:dyDescent="0.2">
      <c r="DY51057" s="185" t="s">
        <v>215</v>
      </c>
    </row>
    <row r="51058" spans="129:129" x14ac:dyDescent="0.2">
      <c r="DY51058" s="185" t="s">
        <v>215</v>
      </c>
    </row>
    <row r="51059" spans="129:129" x14ac:dyDescent="0.2">
      <c r="DY51059" s="185" t="s">
        <v>215</v>
      </c>
    </row>
    <row r="51060" spans="129:129" x14ac:dyDescent="0.2">
      <c r="DY51060" s="185" t="s">
        <v>215</v>
      </c>
    </row>
    <row r="51061" spans="129:129" x14ac:dyDescent="0.2">
      <c r="DY51061" s="185" t="s">
        <v>215</v>
      </c>
    </row>
    <row r="51062" spans="129:129" x14ac:dyDescent="0.2">
      <c r="DY51062" s="185" t="s">
        <v>215</v>
      </c>
    </row>
    <row r="51063" spans="129:129" x14ac:dyDescent="0.2">
      <c r="DY51063" s="185" t="s">
        <v>215</v>
      </c>
    </row>
    <row r="51064" spans="129:129" x14ac:dyDescent="0.2">
      <c r="DY51064" s="185" t="s">
        <v>215</v>
      </c>
    </row>
    <row r="51065" spans="129:129" x14ac:dyDescent="0.2">
      <c r="DY51065" s="185" t="s">
        <v>215</v>
      </c>
    </row>
    <row r="51066" spans="129:129" x14ac:dyDescent="0.2">
      <c r="DY51066" s="185" t="s">
        <v>215</v>
      </c>
    </row>
    <row r="51067" spans="129:129" x14ac:dyDescent="0.2">
      <c r="DY51067" s="185" t="s">
        <v>215</v>
      </c>
    </row>
    <row r="51068" spans="129:129" x14ac:dyDescent="0.2">
      <c r="DY51068" s="185" t="s">
        <v>215</v>
      </c>
    </row>
    <row r="51069" spans="129:129" x14ac:dyDescent="0.2">
      <c r="DY51069" s="185" t="s">
        <v>215</v>
      </c>
    </row>
    <row r="51070" spans="129:129" x14ac:dyDescent="0.2">
      <c r="DY51070" s="185" t="s">
        <v>215</v>
      </c>
    </row>
    <row r="51071" spans="129:129" x14ac:dyDescent="0.2">
      <c r="DY51071" s="185" t="s">
        <v>215</v>
      </c>
    </row>
    <row r="51072" spans="129:129" x14ac:dyDescent="0.2">
      <c r="DY51072" s="185" t="s">
        <v>215</v>
      </c>
    </row>
    <row r="51073" spans="129:129" x14ac:dyDescent="0.2">
      <c r="DY51073" s="185" t="s">
        <v>215</v>
      </c>
    </row>
    <row r="51074" spans="129:129" x14ac:dyDescent="0.2">
      <c r="DY51074" s="185" t="s">
        <v>215</v>
      </c>
    </row>
    <row r="51075" spans="129:129" x14ac:dyDescent="0.2">
      <c r="DY51075" s="185" t="s">
        <v>215</v>
      </c>
    </row>
    <row r="51076" spans="129:129" x14ac:dyDescent="0.2">
      <c r="DY51076" s="185" t="s">
        <v>215</v>
      </c>
    </row>
    <row r="51077" spans="129:129" x14ac:dyDescent="0.2">
      <c r="DY51077" s="185" t="s">
        <v>215</v>
      </c>
    </row>
    <row r="51078" spans="129:129" x14ac:dyDescent="0.2">
      <c r="DY51078" s="185" t="s">
        <v>215</v>
      </c>
    </row>
    <row r="51079" spans="129:129" x14ac:dyDescent="0.2">
      <c r="DY51079" s="185" t="s">
        <v>215</v>
      </c>
    </row>
    <row r="51080" spans="129:129" x14ac:dyDescent="0.2">
      <c r="DY51080" s="185" t="s">
        <v>215</v>
      </c>
    </row>
    <row r="51081" spans="129:129" x14ac:dyDescent="0.2">
      <c r="DY51081" s="185" t="s">
        <v>215</v>
      </c>
    </row>
    <row r="51082" spans="129:129" x14ac:dyDescent="0.2">
      <c r="DY51082" s="185" t="s">
        <v>215</v>
      </c>
    </row>
    <row r="51083" spans="129:129" x14ac:dyDescent="0.2">
      <c r="DY51083" s="185" t="s">
        <v>215</v>
      </c>
    </row>
    <row r="51084" spans="129:129" x14ac:dyDescent="0.2">
      <c r="DY51084" s="185" t="s">
        <v>215</v>
      </c>
    </row>
    <row r="51085" spans="129:129" x14ac:dyDescent="0.2">
      <c r="DY51085" s="185" t="s">
        <v>215</v>
      </c>
    </row>
    <row r="51086" spans="129:129" x14ac:dyDescent="0.2">
      <c r="DY51086" s="185" t="s">
        <v>215</v>
      </c>
    </row>
    <row r="51087" spans="129:129" x14ac:dyDescent="0.2">
      <c r="DY51087" s="185" t="s">
        <v>215</v>
      </c>
    </row>
    <row r="51088" spans="129:129" x14ac:dyDescent="0.2">
      <c r="DY51088" s="185" t="s">
        <v>215</v>
      </c>
    </row>
    <row r="51089" spans="129:129" x14ac:dyDescent="0.2">
      <c r="DY51089" s="185" t="s">
        <v>215</v>
      </c>
    </row>
    <row r="51090" spans="129:129" x14ac:dyDescent="0.2">
      <c r="DY51090" s="185" t="s">
        <v>215</v>
      </c>
    </row>
    <row r="51091" spans="129:129" x14ac:dyDescent="0.2">
      <c r="DY51091" s="185" t="s">
        <v>215</v>
      </c>
    </row>
    <row r="51092" spans="129:129" x14ac:dyDescent="0.2">
      <c r="DY51092" s="185" t="s">
        <v>215</v>
      </c>
    </row>
    <row r="51093" spans="129:129" x14ac:dyDescent="0.2">
      <c r="DY51093" s="185" t="s">
        <v>215</v>
      </c>
    </row>
    <row r="51094" spans="129:129" x14ac:dyDescent="0.2">
      <c r="DY51094" s="185" t="s">
        <v>215</v>
      </c>
    </row>
    <row r="51095" spans="129:129" x14ac:dyDescent="0.2">
      <c r="DY51095" s="185" t="s">
        <v>215</v>
      </c>
    </row>
    <row r="51096" spans="129:129" x14ac:dyDescent="0.2">
      <c r="DY51096" s="185" t="s">
        <v>215</v>
      </c>
    </row>
    <row r="51097" spans="129:129" x14ac:dyDescent="0.2">
      <c r="DY51097" s="185" t="s">
        <v>215</v>
      </c>
    </row>
    <row r="51098" spans="129:129" x14ac:dyDescent="0.2">
      <c r="DY51098" s="185" t="s">
        <v>215</v>
      </c>
    </row>
    <row r="51099" spans="129:129" x14ac:dyDescent="0.2">
      <c r="DY51099" s="185" t="s">
        <v>215</v>
      </c>
    </row>
    <row r="51100" spans="129:129" x14ac:dyDescent="0.2">
      <c r="DY51100" s="185" t="s">
        <v>215</v>
      </c>
    </row>
    <row r="51101" spans="129:129" x14ac:dyDescent="0.2">
      <c r="DY51101" s="185" t="s">
        <v>215</v>
      </c>
    </row>
    <row r="51102" spans="129:129" x14ac:dyDescent="0.2">
      <c r="DY51102" s="185" t="s">
        <v>215</v>
      </c>
    </row>
    <row r="51103" spans="129:129" x14ac:dyDescent="0.2">
      <c r="DY51103" s="185" t="s">
        <v>215</v>
      </c>
    </row>
    <row r="51104" spans="129:129" x14ac:dyDescent="0.2">
      <c r="DY51104" s="185" t="s">
        <v>215</v>
      </c>
    </row>
    <row r="51105" spans="129:129" x14ac:dyDescent="0.2">
      <c r="DY51105" s="185" t="s">
        <v>215</v>
      </c>
    </row>
    <row r="51106" spans="129:129" x14ac:dyDescent="0.2">
      <c r="DY51106" s="185" t="s">
        <v>215</v>
      </c>
    </row>
    <row r="51107" spans="129:129" x14ac:dyDescent="0.2">
      <c r="DY51107" s="185" t="s">
        <v>215</v>
      </c>
    </row>
    <row r="51108" spans="129:129" x14ac:dyDescent="0.2">
      <c r="DY51108" s="185" t="s">
        <v>215</v>
      </c>
    </row>
    <row r="51109" spans="129:129" x14ac:dyDescent="0.2">
      <c r="DY51109" s="185" t="s">
        <v>215</v>
      </c>
    </row>
    <row r="51110" spans="129:129" x14ac:dyDescent="0.2">
      <c r="DY51110" s="185" t="s">
        <v>215</v>
      </c>
    </row>
    <row r="51111" spans="129:129" x14ac:dyDescent="0.2">
      <c r="DY51111" s="185" t="s">
        <v>215</v>
      </c>
    </row>
    <row r="51112" spans="129:129" x14ac:dyDescent="0.2">
      <c r="DY51112" s="185" t="s">
        <v>215</v>
      </c>
    </row>
    <row r="51113" spans="129:129" x14ac:dyDescent="0.2">
      <c r="DY51113" s="185" t="s">
        <v>215</v>
      </c>
    </row>
    <row r="51114" spans="129:129" x14ac:dyDescent="0.2">
      <c r="DY51114" s="185" t="s">
        <v>215</v>
      </c>
    </row>
    <row r="51115" spans="129:129" x14ac:dyDescent="0.2">
      <c r="DY51115" s="185" t="s">
        <v>215</v>
      </c>
    </row>
    <row r="51116" spans="129:129" x14ac:dyDescent="0.2">
      <c r="DY51116" s="185" t="s">
        <v>215</v>
      </c>
    </row>
    <row r="51117" spans="129:129" x14ac:dyDescent="0.2">
      <c r="DY51117" s="185" t="s">
        <v>215</v>
      </c>
    </row>
    <row r="51118" spans="129:129" x14ac:dyDescent="0.2">
      <c r="DY51118" s="185" t="s">
        <v>215</v>
      </c>
    </row>
    <row r="51119" spans="129:129" x14ac:dyDescent="0.2">
      <c r="DY51119" s="185" t="s">
        <v>215</v>
      </c>
    </row>
    <row r="51120" spans="129:129" x14ac:dyDescent="0.2">
      <c r="DY51120" s="185" t="s">
        <v>215</v>
      </c>
    </row>
    <row r="51121" spans="129:129" x14ac:dyDescent="0.2">
      <c r="DY51121" s="185" t="s">
        <v>215</v>
      </c>
    </row>
    <row r="51122" spans="129:129" x14ac:dyDescent="0.2">
      <c r="DY51122" s="185" t="s">
        <v>215</v>
      </c>
    </row>
    <row r="51123" spans="129:129" x14ac:dyDescent="0.2">
      <c r="DY51123" s="185" t="s">
        <v>215</v>
      </c>
    </row>
    <row r="51124" spans="129:129" x14ac:dyDescent="0.2">
      <c r="DY51124" s="185" t="s">
        <v>215</v>
      </c>
    </row>
    <row r="51125" spans="129:129" x14ac:dyDescent="0.2">
      <c r="DY51125" s="185" t="s">
        <v>215</v>
      </c>
    </row>
    <row r="51126" spans="129:129" x14ac:dyDescent="0.2">
      <c r="DY51126" s="185" t="s">
        <v>215</v>
      </c>
    </row>
    <row r="51127" spans="129:129" x14ac:dyDescent="0.2">
      <c r="DY51127" s="185" t="s">
        <v>215</v>
      </c>
    </row>
    <row r="51128" spans="129:129" x14ac:dyDescent="0.2">
      <c r="DY51128" s="185" t="s">
        <v>215</v>
      </c>
    </row>
    <row r="51129" spans="129:129" x14ac:dyDescent="0.2">
      <c r="DY51129" s="185" t="s">
        <v>215</v>
      </c>
    </row>
    <row r="51130" spans="129:129" x14ac:dyDescent="0.2">
      <c r="DY51130" s="185" t="s">
        <v>215</v>
      </c>
    </row>
    <row r="51131" spans="129:129" x14ac:dyDescent="0.2">
      <c r="DY51131" s="185" t="s">
        <v>215</v>
      </c>
    </row>
    <row r="51132" spans="129:129" x14ac:dyDescent="0.2">
      <c r="DY51132" s="185" t="s">
        <v>215</v>
      </c>
    </row>
    <row r="51133" spans="129:129" x14ac:dyDescent="0.2">
      <c r="DY51133" s="185" t="s">
        <v>215</v>
      </c>
    </row>
    <row r="51134" spans="129:129" x14ac:dyDescent="0.2">
      <c r="DY51134" s="185" t="s">
        <v>215</v>
      </c>
    </row>
    <row r="51135" spans="129:129" x14ac:dyDescent="0.2">
      <c r="DY51135" s="185" t="s">
        <v>215</v>
      </c>
    </row>
    <row r="51136" spans="129:129" x14ac:dyDescent="0.2">
      <c r="DY51136" s="185" t="s">
        <v>215</v>
      </c>
    </row>
    <row r="51137" spans="129:129" x14ac:dyDescent="0.2">
      <c r="DY51137" s="185" t="s">
        <v>215</v>
      </c>
    </row>
    <row r="51138" spans="129:129" x14ac:dyDescent="0.2">
      <c r="DY51138" s="185" t="s">
        <v>215</v>
      </c>
    </row>
    <row r="51139" spans="129:129" x14ac:dyDescent="0.2">
      <c r="DY51139" s="185" t="s">
        <v>215</v>
      </c>
    </row>
    <row r="51140" spans="129:129" x14ac:dyDescent="0.2">
      <c r="DY51140" s="185" t="s">
        <v>215</v>
      </c>
    </row>
    <row r="51141" spans="129:129" x14ac:dyDescent="0.2">
      <c r="DY51141" s="185" t="s">
        <v>215</v>
      </c>
    </row>
    <row r="51142" spans="129:129" x14ac:dyDescent="0.2">
      <c r="DY51142" s="185" t="s">
        <v>215</v>
      </c>
    </row>
    <row r="51143" spans="129:129" x14ac:dyDescent="0.2">
      <c r="DY51143" s="185" t="s">
        <v>215</v>
      </c>
    </row>
    <row r="51144" spans="129:129" x14ac:dyDescent="0.2">
      <c r="DY51144" s="185" t="s">
        <v>215</v>
      </c>
    </row>
    <row r="51145" spans="129:129" x14ac:dyDescent="0.2">
      <c r="DY51145" s="185" t="s">
        <v>215</v>
      </c>
    </row>
    <row r="51146" spans="129:129" x14ac:dyDescent="0.2">
      <c r="DY51146" s="185" t="s">
        <v>215</v>
      </c>
    </row>
    <row r="51147" spans="129:129" x14ac:dyDescent="0.2">
      <c r="DY51147" s="185" t="s">
        <v>215</v>
      </c>
    </row>
    <row r="51148" spans="129:129" x14ac:dyDescent="0.2">
      <c r="DY51148" s="185" t="s">
        <v>215</v>
      </c>
    </row>
    <row r="51149" spans="129:129" x14ac:dyDescent="0.2">
      <c r="DY51149" s="185" t="s">
        <v>215</v>
      </c>
    </row>
    <row r="51150" spans="129:129" x14ac:dyDescent="0.2">
      <c r="DY51150" s="185" t="s">
        <v>215</v>
      </c>
    </row>
    <row r="51151" spans="129:129" x14ac:dyDescent="0.2">
      <c r="DY51151" s="185" t="s">
        <v>215</v>
      </c>
    </row>
    <row r="51152" spans="129:129" x14ac:dyDescent="0.2">
      <c r="DY51152" s="185" t="s">
        <v>215</v>
      </c>
    </row>
    <row r="51153" spans="129:129" x14ac:dyDescent="0.2">
      <c r="DY51153" s="185" t="s">
        <v>215</v>
      </c>
    </row>
    <row r="51154" spans="129:129" x14ac:dyDescent="0.2">
      <c r="DY51154" s="185" t="s">
        <v>215</v>
      </c>
    </row>
    <row r="51155" spans="129:129" x14ac:dyDescent="0.2">
      <c r="DY51155" s="185" t="s">
        <v>215</v>
      </c>
    </row>
    <row r="51156" spans="129:129" x14ac:dyDescent="0.2">
      <c r="DY51156" s="185" t="s">
        <v>215</v>
      </c>
    </row>
    <row r="51157" spans="129:129" x14ac:dyDescent="0.2">
      <c r="DY51157" s="185" t="s">
        <v>215</v>
      </c>
    </row>
    <row r="51158" spans="129:129" x14ac:dyDescent="0.2">
      <c r="DY51158" s="185" t="s">
        <v>215</v>
      </c>
    </row>
    <row r="51159" spans="129:129" x14ac:dyDescent="0.2">
      <c r="DY51159" s="185" t="s">
        <v>215</v>
      </c>
    </row>
    <row r="51160" spans="129:129" x14ac:dyDescent="0.2">
      <c r="DY51160" s="185" t="s">
        <v>215</v>
      </c>
    </row>
    <row r="51161" spans="129:129" x14ac:dyDescent="0.2">
      <c r="DY51161" s="185" t="s">
        <v>215</v>
      </c>
    </row>
    <row r="51162" spans="129:129" x14ac:dyDescent="0.2">
      <c r="DY51162" s="185" t="s">
        <v>215</v>
      </c>
    </row>
    <row r="51163" spans="129:129" x14ac:dyDescent="0.2">
      <c r="DY51163" s="185" t="s">
        <v>215</v>
      </c>
    </row>
    <row r="51164" spans="129:129" x14ac:dyDescent="0.2">
      <c r="DY51164" s="185" t="s">
        <v>215</v>
      </c>
    </row>
    <row r="51165" spans="129:129" x14ac:dyDescent="0.2">
      <c r="DY51165" s="185" t="s">
        <v>215</v>
      </c>
    </row>
    <row r="51166" spans="129:129" x14ac:dyDescent="0.2">
      <c r="DY51166" s="185" t="s">
        <v>215</v>
      </c>
    </row>
    <row r="51167" spans="129:129" x14ac:dyDescent="0.2">
      <c r="DY51167" s="185" t="s">
        <v>215</v>
      </c>
    </row>
    <row r="51168" spans="129:129" x14ac:dyDescent="0.2">
      <c r="DY51168" s="185" t="s">
        <v>215</v>
      </c>
    </row>
    <row r="51169" spans="129:129" x14ac:dyDescent="0.2">
      <c r="DY51169" s="185" t="s">
        <v>215</v>
      </c>
    </row>
    <row r="51170" spans="129:129" x14ac:dyDescent="0.2">
      <c r="DY51170" s="185" t="s">
        <v>215</v>
      </c>
    </row>
    <row r="51171" spans="129:129" x14ac:dyDescent="0.2">
      <c r="DY51171" s="185" t="s">
        <v>215</v>
      </c>
    </row>
    <row r="51172" spans="129:129" x14ac:dyDescent="0.2">
      <c r="DY51172" s="185" t="s">
        <v>215</v>
      </c>
    </row>
    <row r="51173" spans="129:129" x14ac:dyDescent="0.2">
      <c r="DY51173" s="185" t="s">
        <v>215</v>
      </c>
    </row>
    <row r="51174" spans="129:129" x14ac:dyDescent="0.2">
      <c r="DY51174" s="185" t="s">
        <v>215</v>
      </c>
    </row>
    <row r="51175" spans="129:129" x14ac:dyDescent="0.2">
      <c r="DY51175" s="185" t="s">
        <v>215</v>
      </c>
    </row>
    <row r="51176" spans="129:129" x14ac:dyDescent="0.2">
      <c r="DY51176" s="185" t="s">
        <v>215</v>
      </c>
    </row>
    <row r="51177" spans="129:129" x14ac:dyDescent="0.2">
      <c r="DY51177" s="185" t="s">
        <v>215</v>
      </c>
    </row>
    <row r="51178" spans="129:129" x14ac:dyDescent="0.2">
      <c r="DY51178" s="185" t="s">
        <v>215</v>
      </c>
    </row>
    <row r="51179" spans="129:129" x14ac:dyDescent="0.2">
      <c r="DY51179" s="185" t="s">
        <v>215</v>
      </c>
    </row>
    <row r="51180" spans="129:129" x14ac:dyDescent="0.2">
      <c r="DY51180" s="185" t="s">
        <v>215</v>
      </c>
    </row>
    <row r="51181" spans="129:129" x14ac:dyDescent="0.2">
      <c r="DY51181" s="185" t="s">
        <v>215</v>
      </c>
    </row>
    <row r="51182" spans="129:129" x14ac:dyDescent="0.2">
      <c r="DY51182" s="185" t="s">
        <v>215</v>
      </c>
    </row>
    <row r="51183" spans="129:129" x14ac:dyDescent="0.2">
      <c r="DY51183" s="185" t="s">
        <v>215</v>
      </c>
    </row>
    <row r="51184" spans="129:129" x14ac:dyDescent="0.2">
      <c r="DY51184" s="185" t="s">
        <v>215</v>
      </c>
    </row>
    <row r="51185" spans="129:129" x14ac:dyDescent="0.2">
      <c r="DY51185" s="185" t="s">
        <v>215</v>
      </c>
    </row>
    <row r="51186" spans="129:129" x14ac:dyDescent="0.2">
      <c r="DY51186" s="185" t="s">
        <v>215</v>
      </c>
    </row>
    <row r="51187" spans="129:129" x14ac:dyDescent="0.2">
      <c r="DY51187" s="185" t="s">
        <v>215</v>
      </c>
    </row>
    <row r="51188" spans="129:129" x14ac:dyDescent="0.2">
      <c r="DY51188" s="185" t="s">
        <v>215</v>
      </c>
    </row>
    <row r="51189" spans="129:129" x14ac:dyDescent="0.2">
      <c r="DY51189" s="185" t="s">
        <v>215</v>
      </c>
    </row>
    <row r="51190" spans="129:129" x14ac:dyDescent="0.2">
      <c r="DY51190" s="185" t="s">
        <v>215</v>
      </c>
    </row>
    <row r="51191" spans="129:129" x14ac:dyDescent="0.2">
      <c r="DY51191" s="185" t="s">
        <v>215</v>
      </c>
    </row>
    <row r="51192" spans="129:129" x14ac:dyDescent="0.2">
      <c r="DY51192" s="185" t="s">
        <v>215</v>
      </c>
    </row>
    <row r="51193" spans="129:129" x14ac:dyDescent="0.2">
      <c r="DY51193" s="185" t="s">
        <v>215</v>
      </c>
    </row>
    <row r="51194" spans="129:129" x14ac:dyDescent="0.2">
      <c r="DY51194" s="185" t="s">
        <v>215</v>
      </c>
    </row>
    <row r="51195" spans="129:129" x14ac:dyDescent="0.2">
      <c r="DY51195" s="185" t="s">
        <v>215</v>
      </c>
    </row>
    <row r="51196" spans="129:129" x14ac:dyDescent="0.2">
      <c r="DY51196" s="185" t="s">
        <v>215</v>
      </c>
    </row>
    <row r="51197" spans="129:129" x14ac:dyDescent="0.2">
      <c r="DY51197" s="185" t="s">
        <v>215</v>
      </c>
    </row>
    <row r="51198" spans="129:129" x14ac:dyDescent="0.2">
      <c r="DY51198" s="185" t="s">
        <v>215</v>
      </c>
    </row>
    <row r="51199" spans="129:129" x14ac:dyDescent="0.2">
      <c r="DY51199" s="185" t="s">
        <v>215</v>
      </c>
    </row>
    <row r="51200" spans="129:129" x14ac:dyDescent="0.2">
      <c r="DY51200" s="185" t="s">
        <v>215</v>
      </c>
    </row>
    <row r="51201" spans="129:129" x14ac:dyDescent="0.2">
      <c r="DY51201" s="185" t="s">
        <v>215</v>
      </c>
    </row>
    <row r="51202" spans="129:129" x14ac:dyDescent="0.2">
      <c r="DY51202" s="185" t="s">
        <v>215</v>
      </c>
    </row>
    <row r="51203" spans="129:129" x14ac:dyDescent="0.2">
      <c r="DY51203" s="185" t="s">
        <v>215</v>
      </c>
    </row>
    <row r="51204" spans="129:129" x14ac:dyDescent="0.2">
      <c r="DY51204" s="185" t="s">
        <v>215</v>
      </c>
    </row>
    <row r="51205" spans="129:129" x14ac:dyDescent="0.2">
      <c r="DY51205" s="185" t="s">
        <v>215</v>
      </c>
    </row>
    <row r="51206" spans="129:129" x14ac:dyDescent="0.2">
      <c r="DY51206" s="185" t="s">
        <v>215</v>
      </c>
    </row>
    <row r="51207" spans="129:129" x14ac:dyDescent="0.2">
      <c r="DY51207" s="185" t="s">
        <v>215</v>
      </c>
    </row>
    <row r="51208" spans="129:129" x14ac:dyDescent="0.2">
      <c r="DY51208" s="185" t="s">
        <v>215</v>
      </c>
    </row>
    <row r="51209" spans="129:129" x14ac:dyDescent="0.2">
      <c r="DY51209" s="185" t="s">
        <v>215</v>
      </c>
    </row>
    <row r="51210" spans="129:129" x14ac:dyDescent="0.2">
      <c r="DY51210" s="185" t="s">
        <v>215</v>
      </c>
    </row>
    <row r="51211" spans="129:129" x14ac:dyDescent="0.2">
      <c r="DY51211" s="185" t="s">
        <v>215</v>
      </c>
    </row>
    <row r="51212" spans="129:129" x14ac:dyDescent="0.2">
      <c r="DY51212" s="185" t="s">
        <v>215</v>
      </c>
    </row>
    <row r="51213" spans="129:129" x14ac:dyDescent="0.2">
      <c r="DY51213" s="185" t="s">
        <v>215</v>
      </c>
    </row>
    <row r="51214" spans="129:129" x14ac:dyDescent="0.2">
      <c r="DY51214" s="185" t="s">
        <v>215</v>
      </c>
    </row>
    <row r="51215" spans="129:129" x14ac:dyDescent="0.2">
      <c r="DY51215" s="185" t="s">
        <v>215</v>
      </c>
    </row>
    <row r="51216" spans="129:129" x14ac:dyDescent="0.2">
      <c r="DY51216" s="185" t="s">
        <v>215</v>
      </c>
    </row>
    <row r="51217" spans="129:129" x14ac:dyDescent="0.2">
      <c r="DY51217" s="185" t="s">
        <v>215</v>
      </c>
    </row>
    <row r="51218" spans="129:129" x14ac:dyDescent="0.2">
      <c r="DY51218" s="185" t="s">
        <v>215</v>
      </c>
    </row>
    <row r="51219" spans="129:129" x14ac:dyDescent="0.2">
      <c r="DY51219" s="185" t="s">
        <v>215</v>
      </c>
    </row>
    <row r="51220" spans="129:129" x14ac:dyDescent="0.2">
      <c r="DY51220" s="185" t="s">
        <v>215</v>
      </c>
    </row>
    <row r="51221" spans="129:129" x14ac:dyDescent="0.2">
      <c r="DY51221" s="185" t="s">
        <v>215</v>
      </c>
    </row>
    <row r="51222" spans="129:129" x14ac:dyDescent="0.2">
      <c r="DY51222" s="185" t="s">
        <v>215</v>
      </c>
    </row>
    <row r="51223" spans="129:129" x14ac:dyDescent="0.2">
      <c r="DY51223" s="185" t="s">
        <v>215</v>
      </c>
    </row>
    <row r="51224" spans="129:129" x14ac:dyDescent="0.2">
      <c r="DY51224" s="185" t="s">
        <v>215</v>
      </c>
    </row>
    <row r="51225" spans="129:129" x14ac:dyDescent="0.2">
      <c r="DY51225" s="185" t="s">
        <v>215</v>
      </c>
    </row>
    <row r="51226" spans="129:129" x14ac:dyDescent="0.2">
      <c r="DY51226" s="185" t="s">
        <v>215</v>
      </c>
    </row>
    <row r="51227" spans="129:129" x14ac:dyDescent="0.2">
      <c r="DY51227" s="185" t="s">
        <v>215</v>
      </c>
    </row>
    <row r="51228" spans="129:129" x14ac:dyDescent="0.2">
      <c r="DY51228" s="185" t="s">
        <v>215</v>
      </c>
    </row>
    <row r="51229" spans="129:129" x14ac:dyDescent="0.2">
      <c r="DY51229" s="185" t="s">
        <v>215</v>
      </c>
    </row>
    <row r="51230" spans="129:129" x14ac:dyDescent="0.2">
      <c r="DY51230" s="185" t="s">
        <v>215</v>
      </c>
    </row>
    <row r="51231" spans="129:129" x14ac:dyDescent="0.2">
      <c r="DY51231" s="185" t="s">
        <v>215</v>
      </c>
    </row>
    <row r="51232" spans="129:129" x14ac:dyDescent="0.2">
      <c r="DY51232" s="185" t="s">
        <v>215</v>
      </c>
    </row>
    <row r="51233" spans="129:129" x14ac:dyDescent="0.2">
      <c r="DY51233" s="185" t="s">
        <v>215</v>
      </c>
    </row>
    <row r="51234" spans="129:129" x14ac:dyDescent="0.2">
      <c r="DY51234" s="185" t="s">
        <v>215</v>
      </c>
    </row>
    <row r="51235" spans="129:129" x14ac:dyDescent="0.2">
      <c r="DY51235" s="185" t="s">
        <v>215</v>
      </c>
    </row>
    <row r="51236" spans="129:129" x14ac:dyDescent="0.2">
      <c r="DY51236" s="185" t="s">
        <v>215</v>
      </c>
    </row>
    <row r="51237" spans="129:129" x14ac:dyDescent="0.2">
      <c r="DY51237" s="185" t="s">
        <v>215</v>
      </c>
    </row>
    <row r="51238" spans="129:129" x14ac:dyDescent="0.2">
      <c r="DY51238" s="185" t="s">
        <v>215</v>
      </c>
    </row>
    <row r="51239" spans="129:129" x14ac:dyDescent="0.2">
      <c r="DY51239" s="185" t="s">
        <v>215</v>
      </c>
    </row>
    <row r="51240" spans="129:129" x14ac:dyDescent="0.2">
      <c r="DY51240" s="185" t="s">
        <v>215</v>
      </c>
    </row>
    <row r="51241" spans="129:129" x14ac:dyDescent="0.2">
      <c r="DY51241" s="185" t="s">
        <v>215</v>
      </c>
    </row>
    <row r="51242" spans="129:129" x14ac:dyDescent="0.2">
      <c r="DY51242" s="185" t="s">
        <v>215</v>
      </c>
    </row>
    <row r="51243" spans="129:129" x14ac:dyDescent="0.2">
      <c r="DY51243" s="185" t="s">
        <v>215</v>
      </c>
    </row>
    <row r="51244" spans="129:129" x14ac:dyDescent="0.2">
      <c r="DY51244" s="185" t="s">
        <v>215</v>
      </c>
    </row>
    <row r="51245" spans="129:129" x14ac:dyDescent="0.2">
      <c r="DY51245" s="185" t="s">
        <v>215</v>
      </c>
    </row>
    <row r="51246" spans="129:129" x14ac:dyDescent="0.2">
      <c r="DY51246" s="185" t="s">
        <v>215</v>
      </c>
    </row>
    <row r="51247" spans="129:129" x14ac:dyDescent="0.2">
      <c r="DY51247" s="185" t="s">
        <v>215</v>
      </c>
    </row>
    <row r="51248" spans="129:129" x14ac:dyDescent="0.2">
      <c r="DY51248" s="185" t="s">
        <v>215</v>
      </c>
    </row>
    <row r="51249" spans="129:129" x14ac:dyDescent="0.2">
      <c r="DY51249" s="185" t="s">
        <v>215</v>
      </c>
    </row>
    <row r="51250" spans="129:129" x14ac:dyDescent="0.2">
      <c r="DY51250" s="185" t="s">
        <v>215</v>
      </c>
    </row>
    <row r="51251" spans="129:129" x14ac:dyDescent="0.2">
      <c r="DY51251" s="185" t="s">
        <v>215</v>
      </c>
    </row>
    <row r="51252" spans="129:129" x14ac:dyDescent="0.2">
      <c r="DY51252" s="185" t="s">
        <v>215</v>
      </c>
    </row>
    <row r="51253" spans="129:129" x14ac:dyDescent="0.2">
      <c r="DY51253" s="185" t="s">
        <v>215</v>
      </c>
    </row>
    <row r="51254" spans="129:129" x14ac:dyDescent="0.2">
      <c r="DY51254" s="185" t="s">
        <v>215</v>
      </c>
    </row>
    <row r="51255" spans="129:129" x14ac:dyDescent="0.2">
      <c r="DY51255" s="185" t="s">
        <v>215</v>
      </c>
    </row>
    <row r="51256" spans="129:129" x14ac:dyDescent="0.2">
      <c r="DY51256" s="185" t="s">
        <v>215</v>
      </c>
    </row>
    <row r="51257" spans="129:129" x14ac:dyDescent="0.2">
      <c r="DY51257" s="185" t="s">
        <v>215</v>
      </c>
    </row>
    <row r="51258" spans="129:129" x14ac:dyDescent="0.2">
      <c r="DY51258" s="185" t="s">
        <v>215</v>
      </c>
    </row>
    <row r="51259" spans="129:129" x14ac:dyDescent="0.2">
      <c r="DY51259" s="185" t="s">
        <v>215</v>
      </c>
    </row>
    <row r="51260" spans="129:129" x14ac:dyDescent="0.2">
      <c r="DY51260" s="185" t="s">
        <v>215</v>
      </c>
    </row>
    <row r="51261" spans="129:129" x14ac:dyDescent="0.2">
      <c r="DY51261" s="185" t="s">
        <v>215</v>
      </c>
    </row>
    <row r="51262" spans="129:129" x14ac:dyDescent="0.2">
      <c r="DY51262" s="185" t="s">
        <v>215</v>
      </c>
    </row>
    <row r="51263" spans="129:129" x14ac:dyDescent="0.2">
      <c r="DY51263" s="185" t="s">
        <v>215</v>
      </c>
    </row>
    <row r="51264" spans="129:129" x14ac:dyDescent="0.2">
      <c r="DY51264" s="185" t="s">
        <v>215</v>
      </c>
    </row>
    <row r="51265" spans="129:129" x14ac:dyDescent="0.2">
      <c r="DY51265" s="185" t="s">
        <v>215</v>
      </c>
    </row>
    <row r="51266" spans="129:129" x14ac:dyDescent="0.2">
      <c r="DY51266" s="185" t="s">
        <v>215</v>
      </c>
    </row>
    <row r="51267" spans="129:129" x14ac:dyDescent="0.2">
      <c r="DY51267" s="185" t="s">
        <v>215</v>
      </c>
    </row>
    <row r="51268" spans="129:129" x14ac:dyDescent="0.2">
      <c r="DY51268" s="185" t="s">
        <v>215</v>
      </c>
    </row>
    <row r="51269" spans="129:129" x14ac:dyDescent="0.2">
      <c r="DY51269" s="185" t="s">
        <v>215</v>
      </c>
    </row>
    <row r="51270" spans="129:129" x14ac:dyDescent="0.2">
      <c r="DY51270" s="185" t="s">
        <v>215</v>
      </c>
    </row>
    <row r="51271" spans="129:129" x14ac:dyDescent="0.2">
      <c r="DY51271" s="185" t="s">
        <v>215</v>
      </c>
    </row>
    <row r="51272" spans="129:129" x14ac:dyDescent="0.2">
      <c r="DY51272" s="185" t="s">
        <v>215</v>
      </c>
    </row>
    <row r="51273" spans="129:129" x14ac:dyDescent="0.2">
      <c r="DY51273" s="185" t="s">
        <v>215</v>
      </c>
    </row>
    <row r="51274" spans="129:129" x14ac:dyDescent="0.2">
      <c r="DY51274" s="185" t="s">
        <v>215</v>
      </c>
    </row>
    <row r="51275" spans="129:129" x14ac:dyDescent="0.2">
      <c r="DY51275" s="185" t="s">
        <v>215</v>
      </c>
    </row>
    <row r="51276" spans="129:129" x14ac:dyDescent="0.2">
      <c r="DY51276" s="185" t="s">
        <v>215</v>
      </c>
    </row>
    <row r="51277" spans="129:129" x14ac:dyDescent="0.2">
      <c r="DY51277" s="185" t="s">
        <v>215</v>
      </c>
    </row>
    <row r="51278" spans="129:129" x14ac:dyDescent="0.2">
      <c r="DY51278" s="185" t="s">
        <v>215</v>
      </c>
    </row>
    <row r="51279" spans="129:129" x14ac:dyDescent="0.2">
      <c r="DY51279" s="185" t="s">
        <v>215</v>
      </c>
    </row>
    <row r="51280" spans="129:129" x14ac:dyDescent="0.2">
      <c r="DY51280" s="185" t="s">
        <v>215</v>
      </c>
    </row>
    <row r="51281" spans="129:129" x14ac:dyDescent="0.2">
      <c r="DY51281" s="185" t="s">
        <v>215</v>
      </c>
    </row>
    <row r="51282" spans="129:129" x14ac:dyDescent="0.2">
      <c r="DY51282" s="185" t="s">
        <v>215</v>
      </c>
    </row>
    <row r="51283" spans="129:129" x14ac:dyDescent="0.2">
      <c r="DY51283" s="185" t="s">
        <v>215</v>
      </c>
    </row>
    <row r="51284" spans="129:129" x14ac:dyDescent="0.2">
      <c r="DY51284" s="185" t="s">
        <v>215</v>
      </c>
    </row>
    <row r="51285" spans="129:129" x14ac:dyDescent="0.2">
      <c r="DY51285" s="185" t="s">
        <v>215</v>
      </c>
    </row>
    <row r="51286" spans="129:129" x14ac:dyDescent="0.2">
      <c r="DY51286" s="185" t="s">
        <v>215</v>
      </c>
    </row>
    <row r="51287" spans="129:129" x14ac:dyDescent="0.2">
      <c r="DY51287" s="185" t="s">
        <v>215</v>
      </c>
    </row>
    <row r="51288" spans="129:129" x14ac:dyDescent="0.2">
      <c r="DY51288" s="185" t="s">
        <v>215</v>
      </c>
    </row>
    <row r="51289" spans="129:129" x14ac:dyDescent="0.2">
      <c r="DY51289" s="185" t="s">
        <v>215</v>
      </c>
    </row>
    <row r="51290" spans="129:129" x14ac:dyDescent="0.2">
      <c r="DY51290" s="185" t="s">
        <v>215</v>
      </c>
    </row>
    <row r="51291" spans="129:129" x14ac:dyDescent="0.2">
      <c r="DY51291" s="185" t="s">
        <v>215</v>
      </c>
    </row>
    <row r="51292" spans="129:129" x14ac:dyDescent="0.2">
      <c r="DY51292" s="185" t="s">
        <v>215</v>
      </c>
    </row>
    <row r="51293" spans="129:129" x14ac:dyDescent="0.2">
      <c r="DY51293" s="185" t="s">
        <v>215</v>
      </c>
    </row>
    <row r="51294" spans="129:129" x14ac:dyDescent="0.2">
      <c r="DY51294" s="185" t="s">
        <v>215</v>
      </c>
    </row>
    <row r="51295" spans="129:129" x14ac:dyDescent="0.2">
      <c r="DY51295" s="185" t="s">
        <v>215</v>
      </c>
    </row>
    <row r="51296" spans="129:129" x14ac:dyDescent="0.2">
      <c r="DY51296" s="185" t="s">
        <v>215</v>
      </c>
    </row>
    <row r="51297" spans="129:129" x14ac:dyDescent="0.2">
      <c r="DY51297" s="185" t="s">
        <v>215</v>
      </c>
    </row>
    <row r="51298" spans="129:129" x14ac:dyDescent="0.2">
      <c r="DY51298" s="185" t="s">
        <v>215</v>
      </c>
    </row>
    <row r="51299" spans="129:129" x14ac:dyDescent="0.2">
      <c r="DY51299" s="185" t="s">
        <v>215</v>
      </c>
    </row>
    <row r="51300" spans="129:129" x14ac:dyDescent="0.2">
      <c r="DY51300" s="185" t="s">
        <v>215</v>
      </c>
    </row>
    <row r="51301" spans="129:129" x14ac:dyDescent="0.2">
      <c r="DY51301" s="185" t="s">
        <v>215</v>
      </c>
    </row>
    <row r="51302" spans="129:129" x14ac:dyDescent="0.2">
      <c r="DY51302" s="185" t="s">
        <v>215</v>
      </c>
    </row>
    <row r="51303" spans="129:129" x14ac:dyDescent="0.2">
      <c r="DY51303" s="185" t="s">
        <v>215</v>
      </c>
    </row>
    <row r="51304" spans="129:129" x14ac:dyDescent="0.2">
      <c r="DY51304" s="185" t="s">
        <v>215</v>
      </c>
    </row>
    <row r="51305" spans="129:129" x14ac:dyDescent="0.2">
      <c r="DY51305" s="185" t="s">
        <v>215</v>
      </c>
    </row>
    <row r="51306" spans="129:129" x14ac:dyDescent="0.2">
      <c r="DY51306" s="185" t="s">
        <v>215</v>
      </c>
    </row>
    <row r="51307" spans="129:129" x14ac:dyDescent="0.2">
      <c r="DY51307" s="185" t="s">
        <v>215</v>
      </c>
    </row>
    <row r="51308" spans="129:129" x14ac:dyDescent="0.2">
      <c r="DY51308" s="185" t="s">
        <v>215</v>
      </c>
    </row>
    <row r="51309" spans="129:129" x14ac:dyDescent="0.2">
      <c r="DY51309" s="185" t="s">
        <v>215</v>
      </c>
    </row>
    <row r="51310" spans="129:129" x14ac:dyDescent="0.2">
      <c r="DY51310" s="185" t="s">
        <v>215</v>
      </c>
    </row>
    <row r="51311" spans="129:129" x14ac:dyDescent="0.2">
      <c r="DY51311" s="185" t="s">
        <v>215</v>
      </c>
    </row>
    <row r="51312" spans="129:129" x14ac:dyDescent="0.2">
      <c r="DY51312" s="185" t="s">
        <v>215</v>
      </c>
    </row>
    <row r="51313" spans="129:129" x14ac:dyDescent="0.2">
      <c r="DY51313" s="185" t="s">
        <v>215</v>
      </c>
    </row>
    <row r="51314" spans="129:129" x14ac:dyDescent="0.2">
      <c r="DY51314" s="185" t="s">
        <v>215</v>
      </c>
    </row>
    <row r="51315" spans="129:129" x14ac:dyDescent="0.2">
      <c r="DY51315" s="185" t="s">
        <v>215</v>
      </c>
    </row>
    <row r="51316" spans="129:129" x14ac:dyDescent="0.2">
      <c r="DY51316" s="185" t="s">
        <v>215</v>
      </c>
    </row>
    <row r="51317" spans="129:129" x14ac:dyDescent="0.2">
      <c r="DY51317" s="185" t="s">
        <v>215</v>
      </c>
    </row>
    <row r="51318" spans="129:129" x14ac:dyDescent="0.2">
      <c r="DY51318" s="185" t="s">
        <v>215</v>
      </c>
    </row>
    <row r="51319" spans="129:129" x14ac:dyDescent="0.2">
      <c r="DY51319" s="185" t="s">
        <v>215</v>
      </c>
    </row>
    <row r="51320" spans="129:129" x14ac:dyDescent="0.2">
      <c r="DY51320" s="185" t="s">
        <v>215</v>
      </c>
    </row>
    <row r="51321" spans="129:129" x14ac:dyDescent="0.2">
      <c r="DY51321" s="185" t="s">
        <v>215</v>
      </c>
    </row>
    <row r="51322" spans="129:129" x14ac:dyDescent="0.2">
      <c r="DY51322" s="185" t="s">
        <v>215</v>
      </c>
    </row>
    <row r="51323" spans="129:129" x14ac:dyDescent="0.2">
      <c r="DY51323" s="185" t="s">
        <v>215</v>
      </c>
    </row>
    <row r="51324" spans="129:129" x14ac:dyDescent="0.2">
      <c r="DY51324" s="185" t="s">
        <v>215</v>
      </c>
    </row>
    <row r="51325" spans="129:129" x14ac:dyDescent="0.2">
      <c r="DY51325" s="185" t="s">
        <v>215</v>
      </c>
    </row>
    <row r="51326" spans="129:129" x14ac:dyDescent="0.2">
      <c r="DY51326" s="185" t="s">
        <v>215</v>
      </c>
    </row>
    <row r="51327" spans="129:129" x14ac:dyDescent="0.2">
      <c r="DY51327" s="185" t="s">
        <v>215</v>
      </c>
    </row>
    <row r="51328" spans="129:129" x14ac:dyDescent="0.2">
      <c r="DY51328" s="185" t="s">
        <v>215</v>
      </c>
    </row>
    <row r="51329" spans="129:129" x14ac:dyDescent="0.2">
      <c r="DY51329" s="185" t="s">
        <v>215</v>
      </c>
    </row>
    <row r="51330" spans="129:129" x14ac:dyDescent="0.2">
      <c r="DY51330" s="185" t="s">
        <v>215</v>
      </c>
    </row>
    <row r="51331" spans="129:129" x14ac:dyDescent="0.2">
      <c r="DY51331" s="185" t="s">
        <v>215</v>
      </c>
    </row>
    <row r="51332" spans="129:129" x14ac:dyDescent="0.2">
      <c r="DY51332" s="185" t="s">
        <v>215</v>
      </c>
    </row>
    <row r="51333" spans="129:129" x14ac:dyDescent="0.2">
      <c r="DY51333" s="185" t="s">
        <v>215</v>
      </c>
    </row>
    <row r="51334" spans="129:129" x14ac:dyDescent="0.2">
      <c r="DY51334" s="185" t="s">
        <v>215</v>
      </c>
    </row>
    <row r="51335" spans="129:129" x14ac:dyDescent="0.2">
      <c r="DY51335" s="185" t="s">
        <v>215</v>
      </c>
    </row>
    <row r="51336" spans="129:129" x14ac:dyDescent="0.2">
      <c r="DY51336" s="185" t="s">
        <v>215</v>
      </c>
    </row>
    <row r="51337" spans="129:129" x14ac:dyDescent="0.2">
      <c r="DY51337" s="185" t="s">
        <v>215</v>
      </c>
    </row>
    <row r="51338" spans="129:129" x14ac:dyDescent="0.2">
      <c r="DY51338" s="185" t="s">
        <v>215</v>
      </c>
    </row>
    <row r="51339" spans="129:129" x14ac:dyDescent="0.2">
      <c r="DY51339" s="185" t="s">
        <v>215</v>
      </c>
    </row>
    <row r="51340" spans="129:129" x14ac:dyDescent="0.2">
      <c r="DY51340" s="185" t="s">
        <v>215</v>
      </c>
    </row>
    <row r="51341" spans="129:129" x14ac:dyDescent="0.2">
      <c r="DY51341" s="185" t="s">
        <v>215</v>
      </c>
    </row>
    <row r="51342" spans="129:129" x14ac:dyDescent="0.2">
      <c r="DY51342" s="185" t="s">
        <v>215</v>
      </c>
    </row>
    <row r="51343" spans="129:129" x14ac:dyDescent="0.2">
      <c r="DY51343" s="185" t="s">
        <v>215</v>
      </c>
    </row>
    <row r="51344" spans="129:129" x14ac:dyDescent="0.2">
      <c r="DY51344" s="185" t="s">
        <v>215</v>
      </c>
    </row>
    <row r="51345" spans="129:129" x14ac:dyDescent="0.2">
      <c r="DY51345" s="185" t="s">
        <v>215</v>
      </c>
    </row>
    <row r="51346" spans="129:129" x14ac:dyDescent="0.2">
      <c r="DY51346" s="185" t="s">
        <v>215</v>
      </c>
    </row>
    <row r="51347" spans="129:129" x14ac:dyDescent="0.2">
      <c r="DY51347" s="185" t="s">
        <v>215</v>
      </c>
    </row>
    <row r="51348" spans="129:129" x14ac:dyDescent="0.2">
      <c r="DY51348" s="185" t="s">
        <v>215</v>
      </c>
    </row>
    <row r="51349" spans="129:129" x14ac:dyDescent="0.2">
      <c r="DY51349" s="185" t="s">
        <v>215</v>
      </c>
    </row>
    <row r="51350" spans="129:129" x14ac:dyDescent="0.2">
      <c r="DY51350" s="185" t="s">
        <v>215</v>
      </c>
    </row>
    <row r="51351" spans="129:129" x14ac:dyDescent="0.2">
      <c r="DY51351" s="185" t="s">
        <v>215</v>
      </c>
    </row>
    <row r="51352" spans="129:129" x14ac:dyDescent="0.2">
      <c r="DY51352" s="185" t="s">
        <v>215</v>
      </c>
    </row>
    <row r="51353" spans="129:129" x14ac:dyDescent="0.2">
      <c r="DY51353" s="185" t="s">
        <v>215</v>
      </c>
    </row>
    <row r="51354" spans="129:129" x14ac:dyDescent="0.2">
      <c r="DY51354" s="185" t="s">
        <v>215</v>
      </c>
    </row>
    <row r="51355" spans="129:129" x14ac:dyDescent="0.2">
      <c r="DY51355" s="185" t="s">
        <v>215</v>
      </c>
    </row>
    <row r="51356" spans="129:129" x14ac:dyDescent="0.2">
      <c r="DY51356" s="185" t="s">
        <v>215</v>
      </c>
    </row>
    <row r="51357" spans="129:129" x14ac:dyDescent="0.2">
      <c r="DY51357" s="185" t="s">
        <v>215</v>
      </c>
    </row>
    <row r="51358" spans="129:129" x14ac:dyDescent="0.2">
      <c r="DY51358" s="185" t="s">
        <v>215</v>
      </c>
    </row>
    <row r="51359" spans="129:129" x14ac:dyDescent="0.2">
      <c r="DY51359" s="185" t="s">
        <v>215</v>
      </c>
    </row>
    <row r="51360" spans="129:129" x14ac:dyDescent="0.2">
      <c r="DY51360" s="185" t="s">
        <v>215</v>
      </c>
    </row>
    <row r="51361" spans="129:129" x14ac:dyDescent="0.2">
      <c r="DY51361" s="185" t="s">
        <v>215</v>
      </c>
    </row>
    <row r="51362" spans="129:129" x14ac:dyDescent="0.2">
      <c r="DY51362" s="185" t="s">
        <v>215</v>
      </c>
    </row>
    <row r="51363" spans="129:129" x14ac:dyDescent="0.2">
      <c r="DY51363" s="185" t="s">
        <v>215</v>
      </c>
    </row>
    <row r="51364" spans="129:129" x14ac:dyDescent="0.2">
      <c r="DY51364" s="185" t="s">
        <v>215</v>
      </c>
    </row>
    <row r="51365" spans="129:129" x14ac:dyDescent="0.2">
      <c r="DY51365" s="185" t="s">
        <v>215</v>
      </c>
    </row>
    <row r="51366" spans="129:129" x14ac:dyDescent="0.2">
      <c r="DY51366" s="185" t="s">
        <v>215</v>
      </c>
    </row>
    <row r="51367" spans="129:129" x14ac:dyDescent="0.2">
      <c r="DY51367" s="185" t="s">
        <v>215</v>
      </c>
    </row>
    <row r="51368" spans="129:129" x14ac:dyDescent="0.2">
      <c r="DY51368" s="185" t="s">
        <v>215</v>
      </c>
    </row>
    <row r="51369" spans="129:129" x14ac:dyDescent="0.2">
      <c r="DY51369" s="185" t="s">
        <v>215</v>
      </c>
    </row>
    <row r="51370" spans="129:129" x14ac:dyDescent="0.2">
      <c r="DY51370" s="185" t="s">
        <v>215</v>
      </c>
    </row>
    <row r="51371" spans="129:129" x14ac:dyDescent="0.2">
      <c r="DY51371" s="185" t="s">
        <v>215</v>
      </c>
    </row>
    <row r="51372" spans="129:129" x14ac:dyDescent="0.2">
      <c r="DY51372" s="185" t="s">
        <v>215</v>
      </c>
    </row>
    <row r="51373" spans="129:129" x14ac:dyDescent="0.2">
      <c r="DY51373" s="185" t="s">
        <v>215</v>
      </c>
    </row>
    <row r="51374" spans="129:129" x14ac:dyDescent="0.2">
      <c r="DY51374" s="185" t="s">
        <v>215</v>
      </c>
    </row>
    <row r="51375" spans="129:129" x14ac:dyDescent="0.2">
      <c r="DY51375" s="185" t="s">
        <v>215</v>
      </c>
    </row>
    <row r="51376" spans="129:129" x14ac:dyDescent="0.2">
      <c r="DY51376" s="185" t="s">
        <v>215</v>
      </c>
    </row>
    <row r="51377" spans="129:129" x14ac:dyDescent="0.2">
      <c r="DY51377" s="185" t="s">
        <v>215</v>
      </c>
    </row>
    <row r="51378" spans="129:129" x14ac:dyDescent="0.2">
      <c r="DY51378" s="185" t="s">
        <v>215</v>
      </c>
    </row>
    <row r="51379" spans="129:129" x14ac:dyDescent="0.2">
      <c r="DY51379" s="185" t="s">
        <v>215</v>
      </c>
    </row>
    <row r="51380" spans="129:129" x14ac:dyDescent="0.2">
      <c r="DY51380" s="185" t="s">
        <v>215</v>
      </c>
    </row>
    <row r="51381" spans="129:129" x14ac:dyDescent="0.2">
      <c r="DY51381" s="185" t="s">
        <v>215</v>
      </c>
    </row>
    <row r="51382" spans="129:129" x14ac:dyDescent="0.2">
      <c r="DY51382" s="185" t="s">
        <v>215</v>
      </c>
    </row>
    <row r="51383" spans="129:129" x14ac:dyDescent="0.2">
      <c r="DY51383" s="185" t="s">
        <v>215</v>
      </c>
    </row>
    <row r="51384" spans="129:129" x14ac:dyDescent="0.2">
      <c r="DY51384" s="185" t="s">
        <v>215</v>
      </c>
    </row>
    <row r="51385" spans="129:129" x14ac:dyDescent="0.2">
      <c r="DY51385" s="185" t="s">
        <v>215</v>
      </c>
    </row>
    <row r="51386" spans="129:129" x14ac:dyDescent="0.2">
      <c r="DY51386" s="185" t="s">
        <v>215</v>
      </c>
    </row>
    <row r="51387" spans="129:129" x14ac:dyDescent="0.2">
      <c r="DY51387" s="185" t="s">
        <v>215</v>
      </c>
    </row>
    <row r="51388" spans="129:129" x14ac:dyDescent="0.2">
      <c r="DY51388" s="185" t="s">
        <v>215</v>
      </c>
    </row>
    <row r="51389" spans="129:129" x14ac:dyDescent="0.2">
      <c r="DY51389" s="185" t="s">
        <v>215</v>
      </c>
    </row>
    <row r="51390" spans="129:129" x14ac:dyDescent="0.2">
      <c r="DY51390" s="185" t="s">
        <v>215</v>
      </c>
    </row>
    <row r="51391" spans="129:129" x14ac:dyDescent="0.2">
      <c r="DY51391" s="185" t="s">
        <v>215</v>
      </c>
    </row>
    <row r="51392" spans="129:129" x14ac:dyDescent="0.2">
      <c r="DY51392" s="185" t="s">
        <v>215</v>
      </c>
    </row>
    <row r="51393" spans="129:129" x14ac:dyDescent="0.2">
      <c r="DY51393" s="185" t="s">
        <v>215</v>
      </c>
    </row>
    <row r="51394" spans="129:129" x14ac:dyDescent="0.2">
      <c r="DY51394" s="185" t="s">
        <v>215</v>
      </c>
    </row>
    <row r="51395" spans="129:129" x14ac:dyDescent="0.2">
      <c r="DY51395" s="185" t="s">
        <v>215</v>
      </c>
    </row>
    <row r="51396" spans="129:129" x14ac:dyDescent="0.2">
      <c r="DY51396" s="185" t="s">
        <v>215</v>
      </c>
    </row>
    <row r="51397" spans="129:129" x14ac:dyDescent="0.2">
      <c r="DY51397" s="185" t="s">
        <v>215</v>
      </c>
    </row>
    <row r="51398" spans="129:129" x14ac:dyDescent="0.2">
      <c r="DY51398" s="185" t="s">
        <v>215</v>
      </c>
    </row>
    <row r="51399" spans="129:129" x14ac:dyDescent="0.2">
      <c r="DY51399" s="185" t="s">
        <v>215</v>
      </c>
    </row>
    <row r="51400" spans="129:129" x14ac:dyDescent="0.2">
      <c r="DY51400" s="185" t="s">
        <v>215</v>
      </c>
    </row>
    <row r="51401" spans="129:129" x14ac:dyDescent="0.2">
      <c r="DY51401" s="185" t="s">
        <v>215</v>
      </c>
    </row>
    <row r="51402" spans="129:129" x14ac:dyDescent="0.2">
      <c r="DY51402" s="185" t="s">
        <v>215</v>
      </c>
    </row>
    <row r="51403" spans="129:129" x14ac:dyDescent="0.2">
      <c r="DY51403" s="185" t="s">
        <v>215</v>
      </c>
    </row>
    <row r="51404" spans="129:129" x14ac:dyDescent="0.2">
      <c r="DY51404" s="185" t="s">
        <v>215</v>
      </c>
    </row>
    <row r="51405" spans="129:129" x14ac:dyDescent="0.2">
      <c r="DY51405" s="185" t="s">
        <v>215</v>
      </c>
    </row>
    <row r="51406" spans="129:129" x14ac:dyDescent="0.2">
      <c r="DY51406" s="185" t="s">
        <v>215</v>
      </c>
    </row>
    <row r="51407" spans="129:129" x14ac:dyDescent="0.2">
      <c r="DY51407" s="185" t="s">
        <v>215</v>
      </c>
    </row>
    <row r="51408" spans="129:129" x14ac:dyDescent="0.2">
      <c r="DY51408" s="185" t="s">
        <v>215</v>
      </c>
    </row>
    <row r="51409" spans="129:129" x14ac:dyDescent="0.2">
      <c r="DY51409" s="185" t="s">
        <v>215</v>
      </c>
    </row>
    <row r="51410" spans="129:129" x14ac:dyDescent="0.2">
      <c r="DY51410" s="185" t="s">
        <v>215</v>
      </c>
    </row>
    <row r="51411" spans="129:129" x14ac:dyDescent="0.2">
      <c r="DY51411" s="185" t="s">
        <v>215</v>
      </c>
    </row>
    <row r="51412" spans="129:129" x14ac:dyDescent="0.2">
      <c r="DY51412" s="185" t="s">
        <v>215</v>
      </c>
    </row>
    <row r="51413" spans="129:129" x14ac:dyDescent="0.2">
      <c r="DY51413" s="185" t="s">
        <v>215</v>
      </c>
    </row>
    <row r="51414" spans="129:129" x14ac:dyDescent="0.2">
      <c r="DY51414" s="185" t="s">
        <v>215</v>
      </c>
    </row>
    <row r="51415" spans="129:129" x14ac:dyDescent="0.2">
      <c r="DY51415" s="185" t="s">
        <v>215</v>
      </c>
    </row>
    <row r="51416" spans="129:129" x14ac:dyDescent="0.2">
      <c r="DY51416" s="185" t="s">
        <v>215</v>
      </c>
    </row>
    <row r="51417" spans="129:129" x14ac:dyDescent="0.2">
      <c r="DY51417" s="185" t="s">
        <v>215</v>
      </c>
    </row>
    <row r="51418" spans="129:129" x14ac:dyDescent="0.2">
      <c r="DY51418" s="185" t="s">
        <v>215</v>
      </c>
    </row>
    <row r="51419" spans="129:129" x14ac:dyDescent="0.2">
      <c r="DY51419" s="185" t="s">
        <v>215</v>
      </c>
    </row>
    <row r="51420" spans="129:129" x14ac:dyDescent="0.2">
      <c r="DY51420" s="185" t="s">
        <v>215</v>
      </c>
    </row>
    <row r="51421" spans="129:129" x14ac:dyDescent="0.2">
      <c r="DY51421" s="185" t="s">
        <v>215</v>
      </c>
    </row>
    <row r="51422" spans="129:129" x14ac:dyDescent="0.2">
      <c r="DY51422" s="185" t="s">
        <v>215</v>
      </c>
    </row>
    <row r="51423" spans="129:129" x14ac:dyDescent="0.2">
      <c r="DY51423" s="185" t="s">
        <v>215</v>
      </c>
    </row>
    <row r="51424" spans="129:129" x14ac:dyDescent="0.2">
      <c r="DY51424" s="185" t="s">
        <v>215</v>
      </c>
    </row>
    <row r="51425" spans="129:129" x14ac:dyDescent="0.2">
      <c r="DY51425" s="185" t="s">
        <v>215</v>
      </c>
    </row>
    <row r="51426" spans="129:129" x14ac:dyDescent="0.2">
      <c r="DY51426" s="185" t="s">
        <v>215</v>
      </c>
    </row>
    <row r="51427" spans="129:129" x14ac:dyDescent="0.2">
      <c r="DY51427" s="185" t="s">
        <v>215</v>
      </c>
    </row>
    <row r="51428" spans="129:129" x14ac:dyDescent="0.2">
      <c r="DY51428" s="185" t="s">
        <v>215</v>
      </c>
    </row>
    <row r="51429" spans="129:129" x14ac:dyDescent="0.2">
      <c r="DY51429" s="185" t="s">
        <v>215</v>
      </c>
    </row>
    <row r="51430" spans="129:129" x14ac:dyDescent="0.2">
      <c r="DY51430" s="185" t="s">
        <v>215</v>
      </c>
    </row>
    <row r="51431" spans="129:129" x14ac:dyDescent="0.2">
      <c r="DY51431" s="185" t="s">
        <v>215</v>
      </c>
    </row>
    <row r="51432" spans="129:129" x14ac:dyDescent="0.2">
      <c r="DY51432" s="185" t="s">
        <v>215</v>
      </c>
    </row>
    <row r="51433" spans="129:129" x14ac:dyDescent="0.2">
      <c r="DY51433" s="185" t="s">
        <v>215</v>
      </c>
    </row>
    <row r="51434" spans="129:129" x14ac:dyDescent="0.2">
      <c r="DY51434" s="185" t="s">
        <v>215</v>
      </c>
    </row>
    <row r="51435" spans="129:129" x14ac:dyDescent="0.2">
      <c r="DY51435" s="185" t="s">
        <v>215</v>
      </c>
    </row>
    <row r="51436" spans="129:129" x14ac:dyDescent="0.2">
      <c r="DY51436" s="185" t="s">
        <v>215</v>
      </c>
    </row>
    <row r="51437" spans="129:129" x14ac:dyDescent="0.2">
      <c r="DY51437" s="185" t="s">
        <v>215</v>
      </c>
    </row>
    <row r="51438" spans="129:129" x14ac:dyDescent="0.2">
      <c r="DY51438" s="185" t="s">
        <v>215</v>
      </c>
    </row>
    <row r="51439" spans="129:129" x14ac:dyDescent="0.2">
      <c r="DY51439" s="185" t="s">
        <v>215</v>
      </c>
    </row>
    <row r="51440" spans="129:129" x14ac:dyDescent="0.2">
      <c r="DY51440" s="185" t="s">
        <v>215</v>
      </c>
    </row>
    <row r="51441" spans="129:129" x14ac:dyDescent="0.2">
      <c r="DY51441" s="185" t="s">
        <v>215</v>
      </c>
    </row>
    <row r="51442" spans="129:129" x14ac:dyDescent="0.2">
      <c r="DY51442" s="185" t="s">
        <v>215</v>
      </c>
    </row>
    <row r="51443" spans="129:129" x14ac:dyDescent="0.2">
      <c r="DY51443" s="185" t="s">
        <v>215</v>
      </c>
    </row>
    <row r="51444" spans="129:129" x14ac:dyDescent="0.2">
      <c r="DY51444" s="185" t="s">
        <v>215</v>
      </c>
    </row>
    <row r="51445" spans="129:129" x14ac:dyDescent="0.2">
      <c r="DY51445" s="185" t="s">
        <v>215</v>
      </c>
    </row>
    <row r="51446" spans="129:129" x14ac:dyDescent="0.2">
      <c r="DY51446" s="185" t="s">
        <v>215</v>
      </c>
    </row>
    <row r="51447" spans="129:129" x14ac:dyDescent="0.2">
      <c r="DY51447" s="185" t="s">
        <v>215</v>
      </c>
    </row>
    <row r="51448" spans="129:129" x14ac:dyDescent="0.2">
      <c r="DY51448" s="185" t="s">
        <v>215</v>
      </c>
    </row>
    <row r="51449" spans="129:129" x14ac:dyDescent="0.2">
      <c r="DY51449" s="185" t="s">
        <v>215</v>
      </c>
    </row>
    <row r="51450" spans="129:129" x14ac:dyDescent="0.2">
      <c r="DY51450" s="185" t="s">
        <v>215</v>
      </c>
    </row>
    <row r="51451" spans="129:129" x14ac:dyDescent="0.2">
      <c r="DY51451" s="185" t="s">
        <v>215</v>
      </c>
    </row>
    <row r="51452" spans="129:129" x14ac:dyDescent="0.2">
      <c r="DY51452" s="185" t="s">
        <v>215</v>
      </c>
    </row>
    <row r="51453" spans="129:129" x14ac:dyDescent="0.2">
      <c r="DY51453" s="185" t="s">
        <v>215</v>
      </c>
    </row>
    <row r="51454" spans="129:129" x14ac:dyDescent="0.2">
      <c r="DY51454" s="185" t="s">
        <v>215</v>
      </c>
    </row>
    <row r="51455" spans="129:129" x14ac:dyDescent="0.2">
      <c r="DY51455" s="185" t="s">
        <v>215</v>
      </c>
    </row>
    <row r="51456" spans="129:129" x14ac:dyDescent="0.2">
      <c r="DY51456" s="185" t="s">
        <v>215</v>
      </c>
    </row>
    <row r="51457" spans="129:129" x14ac:dyDescent="0.2">
      <c r="DY51457" s="185" t="s">
        <v>215</v>
      </c>
    </row>
    <row r="51458" spans="129:129" x14ac:dyDescent="0.2">
      <c r="DY51458" s="185" t="s">
        <v>215</v>
      </c>
    </row>
    <row r="51459" spans="129:129" x14ac:dyDescent="0.2">
      <c r="DY51459" s="185" t="s">
        <v>215</v>
      </c>
    </row>
    <row r="51460" spans="129:129" x14ac:dyDescent="0.2">
      <c r="DY51460" s="185" t="s">
        <v>215</v>
      </c>
    </row>
    <row r="51461" spans="129:129" x14ac:dyDescent="0.2">
      <c r="DY51461" s="185" t="s">
        <v>215</v>
      </c>
    </row>
    <row r="51462" spans="129:129" x14ac:dyDescent="0.2">
      <c r="DY51462" s="185" t="s">
        <v>215</v>
      </c>
    </row>
    <row r="51463" spans="129:129" x14ac:dyDescent="0.2">
      <c r="DY51463" s="185" t="s">
        <v>215</v>
      </c>
    </row>
    <row r="51464" spans="129:129" x14ac:dyDescent="0.2">
      <c r="DY51464" s="185" t="s">
        <v>215</v>
      </c>
    </row>
    <row r="51465" spans="129:129" x14ac:dyDescent="0.2">
      <c r="DY51465" s="185" t="s">
        <v>215</v>
      </c>
    </row>
    <row r="51466" spans="129:129" x14ac:dyDescent="0.2">
      <c r="DY51466" s="185" t="s">
        <v>215</v>
      </c>
    </row>
    <row r="51467" spans="129:129" x14ac:dyDescent="0.2">
      <c r="DY51467" s="185" t="s">
        <v>215</v>
      </c>
    </row>
    <row r="51468" spans="129:129" x14ac:dyDescent="0.2">
      <c r="DY51468" s="185" t="s">
        <v>215</v>
      </c>
    </row>
    <row r="51469" spans="129:129" x14ac:dyDescent="0.2">
      <c r="DY51469" s="185" t="s">
        <v>215</v>
      </c>
    </row>
    <row r="51470" spans="129:129" x14ac:dyDescent="0.2">
      <c r="DY51470" s="185" t="s">
        <v>215</v>
      </c>
    </row>
    <row r="51471" spans="129:129" x14ac:dyDescent="0.2">
      <c r="DY51471" s="185" t="s">
        <v>215</v>
      </c>
    </row>
    <row r="51472" spans="129:129" x14ac:dyDescent="0.2">
      <c r="DY51472" s="185" t="s">
        <v>215</v>
      </c>
    </row>
    <row r="51473" spans="129:129" x14ac:dyDescent="0.2">
      <c r="DY51473" s="185" t="s">
        <v>215</v>
      </c>
    </row>
    <row r="51474" spans="129:129" x14ac:dyDescent="0.2">
      <c r="DY51474" s="185" t="s">
        <v>215</v>
      </c>
    </row>
    <row r="51475" spans="129:129" x14ac:dyDescent="0.2">
      <c r="DY51475" s="185" t="s">
        <v>215</v>
      </c>
    </row>
    <row r="51476" spans="129:129" x14ac:dyDescent="0.2">
      <c r="DY51476" s="185" t="s">
        <v>215</v>
      </c>
    </row>
    <row r="51477" spans="129:129" x14ac:dyDescent="0.2">
      <c r="DY51477" s="185" t="s">
        <v>215</v>
      </c>
    </row>
    <row r="51478" spans="129:129" x14ac:dyDescent="0.2">
      <c r="DY51478" s="185" t="s">
        <v>215</v>
      </c>
    </row>
    <row r="51479" spans="129:129" x14ac:dyDescent="0.2">
      <c r="DY51479" s="185" t="s">
        <v>215</v>
      </c>
    </row>
    <row r="51480" spans="129:129" x14ac:dyDescent="0.2">
      <c r="DY51480" s="185" t="s">
        <v>215</v>
      </c>
    </row>
    <row r="51481" spans="129:129" x14ac:dyDescent="0.2">
      <c r="DY51481" s="185" t="s">
        <v>215</v>
      </c>
    </row>
    <row r="51482" spans="129:129" x14ac:dyDescent="0.2">
      <c r="DY51482" s="185" t="s">
        <v>215</v>
      </c>
    </row>
    <row r="51483" spans="129:129" x14ac:dyDescent="0.2">
      <c r="DY51483" s="185" t="s">
        <v>215</v>
      </c>
    </row>
    <row r="51484" spans="129:129" x14ac:dyDescent="0.2">
      <c r="DY51484" s="185" t="s">
        <v>215</v>
      </c>
    </row>
    <row r="51485" spans="129:129" x14ac:dyDescent="0.2">
      <c r="DY51485" s="185" t="s">
        <v>215</v>
      </c>
    </row>
    <row r="51486" spans="129:129" x14ac:dyDescent="0.2">
      <c r="DY51486" s="185" t="s">
        <v>215</v>
      </c>
    </row>
    <row r="51487" spans="129:129" x14ac:dyDescent="0.2">
      <c r="DY51487" s="185" t="s">
        <v>215</v>
      </c>
    </row>
    <row r="51488" spans="129:129" x14ac:dyDescent="0.2">
      <c r="DY51488" s="185" t="s">
        <v>215</v>
      </c>
    </row>
    <row r="51489" spans="129:129" x14ac:dyDescent="0.2">
      <c r="DY51489" s="185" t="s">
        <v>215</v>
      </c>
    </row>
    <row r="51490" spans="129:129" x14ac:dyDescent="0.2">
      <c r="DY51490" s="185" t="s">
        <v>215</v>
      </c>
    </row>
    <row r="51491" spans="129:129" x14ac:dyDescent="0.2">
      <c r="DY51491" s="185" t="s">
        <v>215</v>
      </c>
    </row>
    <row r="51492" spans="129:129" x14ac:dyDescent="0.2">
      <c r="DY51492" s="185" t="s">
        <v>215</v>
      </c>
    </row>
    <row r="51493" spans="129:129" x14ac:dyDescent="0.2">
      <c r="DY51493" s="185" t="s">
        <v>215</v>
      </c>
    </row>
    <row r="51494" spans="129:129" x14ac:dyDescent="0.2">
      <c r="DY51494" s="185" t="s">
        <v>215</v>
      </c>
    </row>
    <row r="51495" spans="129:129" x14ac:dyDescent="0.2">
      <c r="DY51495" s="185" t="s">
        <v>215</v>
      </c>
    </row>
    <row r="51496" spans="129:129" x14ac:dyDescent="0.2">
      <c r="DY51496" s="185" t="s">
        <v>215</v>
      </c>
    </row>
    <row r="51497" spans="129:129" x14ac:dyDescent="0.2">
      <c r="DY51497" s="185" t="s">
        <v>215</v>
      </c>
    </row>
    <row r="51498" spans="129:129" x14ac:dyDescent="0.2">
      <c r="DY51498" s="185" t="s">
        <v>215</v>
      </c>
    </row>
    <row r="51499" spans="129:129" x14ac:dyDescent="0.2">
      <c r="DY51499" s="185" t="s">
        <v>215</v>
      </c>
    </row>
    <row r="51500" spans="129:129" x14ac:dyDescent="0.2">
      <c r="DY51500" s="185" t="s">
        <v>215</v>
      </c>
    </row>
    <row r="51501" spans="129:129" x14ac:dyDescent="0.2">
      <c r="DY51501" s="185" t="s">
        <v>215</v>
      </c>
    </row>
    <row r="51502" spans="129:129" x14ac:dyDescent="0.2">
      <c r="DY51502" s="185" t="s">
        <v>215</v>
      </c>
    </row>
    <row r="51503" spans="129:129" x14ac:dyDescent="0.2">
      <c r="DY51503" s="185" t="s">
        <v>215</v>
      </c>
    </row>
    <row r="51504" spans="129:129" x14ac:dyDescent="0.2">
      <c r="DY51504" s="185" t="s">
        <v>215</v>
      </c>
    </row>
    <row r="51505" spans="129:129" x14ac:dyDescent="0.2">
      <c r="DY51505" s="185" t="s">
        <v>215</v>
      </c>
    </row>
    <row r="51506" spans="129:129" x14ac:dyDescent="0.2">
      <c r="DY51506" s="185" t="s">
        <v>215</v>
      </c>
    </row>
    <row r="51507" spans="129:129" x14ac:dyDescent="0.2">
      <c r="DY51507" s="185" t="s">
        <v>215</v>
      </c>
    </row>
    <row r="51508" spans="129:129" x14ac:dyDescent="0.2">
      <c r="DY51508" s="185" t="s">
        <v>215</v>
      </c>
    </row>
    <row r="51509" spans="129:129" x14ac:dyDescent="0.2">
      <c r="DY51509" s="185" t="s">
        <v>215</v>
      </c>
    </row>
    <row r="51510" spans="129:129" x14ac:dyDescent="0.2">
      <c r="DY51510" s="185" t="s">
        <v>215</v>
      </c>
    </row>
    <row r="51511" spans="129:129" x14ac:dyDescent="0.2">
      <c r="DY51511" s="185" t="s">
        <v>215</v>
      </c>
    </row>
    <row r="51512" spans="129:129" x14ac:dyDescent="0.2">
      <c r="DY51512" s="185" t="s">
        <v>215</v>
      </c>
    </row>
    <row r="51513" spans="129:129" x14ac:dyDescent="0.2">
      <c r="DY51513" s="185" t="s">
        <v>215</v>
      </c>
    </row>
    <row r="51514" spans="129:129" x14ac:dyDescent="0.2">
      <c r="DY51514" s="185" t="s">
        <v>215</v>
      </c>
    </row>
    <row r="51515" spans="129:129" x14ac:dyDescent="0.2">
      <c r="DY51515" s="185" t="s">
        <v>215</v>
      </c>
    </row>
    <row r="51516" spans="129:129" x14ac:dyDescent="0.2">
      <c r="DY51516" s="185" t="s">
        <v>215</v>
      </c>
    </row>
    <row r="51517" spans="129:129" x14ac:dyDescent="0.2">
      <c r="DY51517" s="185" t="s">
        <v>215</v>
      </c>
    </row>
    <row r="51518" spans="129:129" x14ac:dyDescent="0.2">
      <c r="DY51518" s="185" t="s">
        <v>215</v>
      </c>
    </row>
    <row r="51519" spans="129:129" x14ac:dyDescent="0.2">
      <c r="DY51519" s="185" t="s">
        <v>215</v>
      </c>
    </row>
    <row r="51520" spans="129:129" x14ac:dyDescent="0.2">
      <c r="DY51520" s="185" t="s">
        <v>215</v>
      </c>
    </row>
    <row r="51521" spans="129:129" x14ac:dyDescent="0.2">
      <c r="DY51521" s="185" t="s">
        <v>215</v>
      </c>
    </row>
    <row r="51522" spans="129:129" x14ac:dyDescent="0.2">
      <c r="DY51522" s="185" t="s">
        <v>215</v>
      </c>
    </row>
    <row r="51523" spans="129:129" x14ac:dyDescent="0.2">
      <c r="DY51523" s="185" t="s">
        <v>215</v>
      </c>
    </row>
    <row r="51524" spans="129:129" x14ac:dyDescent="0.2">
      <c r="DY51524" s="185" t="s">
        <v>215</v>
      </c>
    </row>
    <row r="51525" spans="129:129" x14ac:dyDescent="0.2">
      <c r="DY51525" s="185" t="s">
        <v>215</v>
      </c>
    </row>
    <row r="51526" spans="129:129" x14ac:dyDescent="0.2">
      <c r="DY51526" s="185" t="s">
        <v>215</v>
      </c>
    </row>
    <row r="51527" spans="129:129" x14ac:dyDescent="0.2">
      <c r="DY51527" s="185" t="s">
        <v>215</v>
      </c>
    </row>
    <row r="51528" spans="129:129" x14ac:dyDescent="0.2">
      <c r="DY51528" s="185" t="s">
        <v>215</v>
      </c>
    </row>
    <row r="51529" spans="129:129" x14ac:dyDescent="0.2">
      <c r="DY51529" s="185" t="s">
        <v>215</v>
      </c>
    </row>
    <row r="51530" spans="129:129" x14ac:dyDescent="0.2">
      <c r="DY51530" s="185" t="s">
        <v>215</v>
      </c>
    </row>
    <row r="51531" spans="129:129" x14ac:dyDescent="0.2">
      <c r="DY51531" s="185" t="s">
        <v>215</v>
      </c>
    </row>
    <row r="51532" spans="129:129" x14ac:dyDescent="0.2">
      <c r="DY51532" s="185" t="s">
        <v>215</v>
      </c>
    </row>
    <row r="51533" spans="129:129" x14ac:dyDescent="0.2">
      <c r="DY51533" s="185" t="s">
        <v>215</v>
      </c>
    </row>
    <row r="51534" spans="129:129" x14ac:dyDescent="0.2">
      <c r="DY51534" s="185" t="s">
        <v>215</v>
      </c>
    </row>
    <row r="51535" spans="129:129" x14ac:dyDescent="0.2">
      <c r="DY51535" s="185" t="s">
        <v>215</v>
      </c>
    </row>
    <row r="51536" spans="129:129" x14ac:dyDescent="0.2">
      <c r="DY51536" s="185" t="s">
        <v>215</v>
      </c>
    </row>
    <row r="51537" spans="129:129" x14ac:dyDescent="0.2">
      <c r="DY51537" s="185" t="s">
        <v>215</v>
      </c>
    </row>
    <row r="51538" spans="129:129" x14ac:dyDescent="0.2">
      <c r="DY51538" s="185" t="s">
        <v>215</v>
      </c>
    </row>
    <row r="51539" spans="129:129" x14ac:dyDescent="0.2">
      <c r="DY51539" s="185" t="s">
        <v>215</v>
      </c>
    </row>
    <row r="51540" spans="129:129" x14ac:dyDescent="0.2">
      <c r="DY51540" s="185" t="s">
        <v>215</v>
      </c>
    </row>
    <row r="51541" spans="129:129" x14ac:dyDescent="0.2">
      <c r="DY51541" s="185" t="s">
        <v>215</v>
      </c>
    </row>
    <row r="51542" spans="129:129" x14ac:dyDescent="0.2">
      <c r="DY51542" s="185" t="s">
        <v>215</v>
      </c>
    </row>
    <row r="51543" spans="129:129" x14ac:dyDescent="0.2">
      <c r="DY51543" s="185" t="s">
        <v>215</v>
      </c>
    </row>
    <row r="51544" spans="129:129" x14ac:dyDescent="0.2">
      <c r="DY51544" s="185" t="s">
        <v>215</v>
      </c>
    </row>
    <row r="51545" spans="129:129" x14ac:dyDescent="0.2">
      <c r="DY51545" s="185" t="s">
        <v>215</v>
      </c>
    </row>
    <row r="51546" spans="129:129" x14ac:dyDescent="0.2">
      <c r="DY51546" s="185" t="s">
        <v>215</v>
      </c>
    </row>
    <row r="51547" spans="129:129" x14ac:dyDescent="0.2">
      <c r="DY51547" s="185" t="s">
        <v>215</v>
      </c>
    </row>
    <row r="51548" spans="129:129" x14ac:dyDescent="0.2">
      <c r="DY51548" s="185" t="s">
        <v>215</v>
      </c>
    </row>
    <row r="51549" spans="129:129" x14ac:dyDescent="0.2">
      <c r="DY51549" s="185" t="s">
        <v>215</v>
      </c>
    </row>
    <row r="51550" spans="129:129" x14ac:dyDescent="0.2">
      <c r="DY51550" s="185" t="s">
        <v>215</v>
      </c>
    </row>
    <row r="51551" spans="129:129" x14ac:dyDescent="0.2">
      <c r="DY51551" s="185" t="s">
        <v>215</v>
      </c>
    </row>
    <row r="51552" spans="129:129" x14ac:dyDescent="0.2">
      <c r="DY51552" s="185" t="s">
        <v>215</v>
      </c>
    </row>
    <row r="51553" spans="129:129" x14ac:dyDescent="0.2">
      <c r="DY51553" s="185" t="s">
        <v>215</v>
      </c>
    </row>
    <row r="51554" spans="129:129" x14ac:dyDescent="0.2">
      <c r="DY51554" s="185" t="s">
        <v>215</v>
      </c>
    </row>
    <row r="51555" spans="129:129" x14ac:dyDescent="0.2">
      <c r="DY51555" s="185" t="s">
        <v>215</v>
      </c>
    </row>
    <row r="51556" spans="129:129" x14ac:dyDescent="0.2">
      <c r="DY51556" s="185" t="s">
        <v>215</v>
      </c>
    </row>
    <row r="51557" spans="129:129" x14ac:dyDescent="0.2">
      <c r="DY51557" s="185" t="s">
        <v>215</v>
      </c>
    </row>
    <row r="51558" spans="129:129" x14ac:dyDescent="0.2">
      <c r="DY51558" s="185" t="s">
        <v>215</v>
      </c>
    </row>
    <row r="51559" spans="129:129" x14ac:dyDescent="0.2">
      <c r="DY51559" s="185" t="s">
        <v>215</v>
      </c>
    </row>
    <row r="51560" spans="129:129" x14ac:dyDescent="0.2">
      <c r="DY51560" s="185" t="s">
        <v>215</v>
      </c>
    </row>
    <row r="51561" spans="129:129" x14ac:dyDescent="0.2">
      <c r="DY51561" s="185" t="s">
        <v>215</v>
      </c>
    </row>
    <row r="51562" spans="129:129" x14ac:dyDescent="0.2">
      <c r="DY51562" s="185" t="s">
        <v>215</v>
      </c>
    </row>
    <row r="51563" spans="129:129" x14ac:dyDescent="0.2">
      <c r="DY51563" s="185" t="s">
        <v>215</v>
      </c>
    </row>
    <row r="51564" spans="129:129" x14ac:dyDescent="0.2">
      <c r="DY51564" s="185" t="s">
        <v>215</v>
      </c>
    </row>
    <row r="51565" spans="129:129" x14ac:dyDescent="0.2">
      <c r="DY51565" s="185" t="s">
        <v>215</v>
      </c>
    </row>
    <row r="51566" spans="129:129" x14ac:dyDescent="0.2">
      <c r="DY51566" s="185" t="s">
        <v>215</v>
      </c>
    </row>
    <row r="51567" spans="129:129" x14ac:dyDescent="0.2">
      <c r="DY51567" s="185" t="s">
        <v>215</v>
      </c>
    </row>
    <row r="51568" spans="129:129" x14ac:dyDescent="0.2">
      <c r="DY51568" s="185" t="s">
        <v>215</v>
      </c>
    </row>
    <row r="51569" spans="129:129" x14ac:dyDescent="0.2">
      <c r="DY51569" s="185" t="s">
        <v>215</v>
      </c>
    </row>
    <row r="51570" spans="129:129" x14ac:dyDescent="0.2">
      <c r="DY51570" s="185" t="s">
        <v>215</v>
      </c>
    </row>
    <row r="51571" spans="129:129" x14ac:dyDescent="0.2">
      <c r="DY51571" s="185" t="s">
        <v>215</v>
      </c>
    </row>
    <row r="51572" spans="129:129" x14ac:dyDescent="0.2">
      <c r="DY51572" s="185" t="s">
        <v>215</v>
      </c>
    </row>
    <row r="51573" spans="129:129" x14ac:dyDescent="0.2">
      <c r="DY51573" s="185" t="s">
        <v>215</v>
      </c>
    </row>
    <row r="51574" spans="129:129" x14ac:dyDescent="0.2">
      <c r="DY51574" s="185" t="s">
        <v>215</v>
      </c>
    </row>
    <row r="51575" spans="129:129" x14ac:dyDescent="0.2">
      <c r="DY51575" s="185" t="s">
        <v>215</v>
      </c>
    </row>
    <row r="51576" spans="129:129" x14ac:dyDescent="0.2">
      <c r="DY51576" s="185" t="s">
        <v>215</v>
      </c>
    </row>
    <row r="51577" spans="129:129" x14ac:dyDescent="0.2">
      <c r="DY51577" s="185" t="s">
        <v>215</v>
      </c>
    </row>
    <row r="51578" spans="129:129" x14ac:dyDescent="0.2">
      <c r="DY51578" s="185" t="s">
        <v>215</v>
      </c>
    </row>
    <row r="51579" spans="129:129" x14ac:dyDescent="0.2">
      <c r="DY51579" s="185" t="s">
        <v>215</v>
      </c>
    </row>
    <row r="51580" spans="129:129" x14ac:dyDescent="0.2">
      <c r="DY51580" s="185" t="s">
        <v>215</v>
      </c>
    </row>
    <row r="51581" spans="129:129" x14ac:dyDescent="0.2">
      <c r="DY51581" s="185" t="s">
        <v>215</v>
      </c>
    </row>
    <row r="51582" spans="129:129" x14ac:dyDescent="0.2">
      <c r="DY51582" s="185" t="s">
        <v>215</v>
      </c>
    </row>
    <row r="51583" spans="129:129" x14ac:dyDescent="0.2">
      <c r="DY51583" s="185" t="s">
        <v>215</v>
      </c>
    </row>
    <row r="51584" spans="129:129" x14ac:dyDescent="0.2">
      <c r="DY51584" s="185" t="s">
        <v>215</v>
      </c>
    </row>
    <row r="51585" spans="129:129" x14ac:dyDescent="0.2">
      <c r="DY51585" s="185" t="s">
        <v>215</v>
      </c>
    </row>
    <row r="51586" spans="129:129" x14ac:dyDescent="0.2">
      <c r="DY51586" s="185" t="s">
        <v>215</v>
      </c>
    </row>
    <row r="51587" spans="129:129" x14ac:dyDescent="0.2">
      <c r="DY51587" s="185" t="s">
        <v>215</v>
      </c>
    </row>
    <row r="51588" spans="129:129" x14ac:dyDescent="0.2">
      <c r="DY51588" s="185" t="s">
        <v>215</v>
      </c>
    </row>
    <row r="51589" spans="129:129" x14ac:dyDescent="0.2">
      <c r="DY51589" s="185" t="s">
        <v>215</v>
      </c>
    </row>
    <row r="51590" spans="129:129" x14ac:dyDescent="0.2">
      <c r="DY51590" s="185" t="s">
        <v>215</v>
      </c>
    </row>
    <row r="51591" spans="129:129" x14ac:dyDescent="0.2">
      <c r="DY51591" s="185" t="s">
        <v>215</v>
      </c>
    </row>
    <row r="51592" spans="129:129" x14ac:dyDescent="0.2">
      <c r="DY51592" s="185" t="s">
        <v>215</v>
      </c>
    </row>
    <row r="51593" spans="129:129" x14ac:dyDescent="0.2">
      <c r="DY51593" s="185" t="s">
        <v>215</v>
      </c>
    </row>
    <row r="51594" spans="129:129" x14ac:dyDescent="0.2">
      <c r="DY51594" s="185" t="s">
        <v>215</v>
      </c>
    </row>
    <row r="51595" spans="129:129" x14ac:dyDescent="0.2">
      <c r="DY51595" s="185" t="s">
        <v>215</v>
      </c>
    </row>
    <row r="51596" spans="129:129" x14ac:dyDescent="0.2">
      <c r="DY51596" s="185" t="s">
        <v>215</v>
      </c>
    </row>
    <row r="51597" spans="129:129" x14ac:dyDescent="0.2">
      <c r="DY51597" s="185" t="s">
        <v>215</v>
      </c>
    </row>
    <row r="51598" spans="129:129" x14ac:dyDescent="0.2">
      <c r="DY51598" s="185" t="s">
        <v>215</v>
      </c>
    </row>
    <row r="51599" spans="129:129" x14ac:dyDescent="0.2">
      <c r="DY51599" s="185" t="s">
        <v>215</v>
      </c>
    </row>
    <row r="51600" spans="129:129" x14ac:dyDescent="0.2">
      <c r="DY51600" s="185" t="s">
        <v>215</v>
      </c>
    </row>
    <row r="51601" spans="129:129" x14ac:dyDescent="0.2">
      <c r="DY51601" s="185" t="s">
        <v>215</v>
      </c>
    </row>
    <row r="51602" spans="129:129" x14ac:dyDescent="0.2">
      <c r="DY51602" s="185" t="s">
        <v>215</v>
      </c>
    </row>
    <row r="51603" spans="129:129" x14ac:dyDescent="0.2">
      <c r="DY51603" s="185" t="s">
        <v>215</v>
      </c>
    </row>
    <row r="51604" spans="129:129" x14ac:dyDescent="0.2">
      <c r="DY51604" s="185" t="s">
        <v>215</v>
      </c>
    </row>
    <row r="51605" spans="129:129" x14ac:dyDescent="0.2">
      <c r="DY51605" s="185" t="s">
        <v>215</v>
      </c>
    </row>
    <row r="51606" spans="129:129" x14ac:dyDescent="0.2">
      <c r="DY51606" s="185" t="s">
        <v>215</v>
      </c>
    </row>
    <row r="51607" spans="129:129" x14ac:dyDescent="0.2">
      <c r="DY51607" s="185" t="s">
        <v>215</v>
      </c>
    </row>
    <row r="51608" spans="129:129" x14ac:dyDescent="0.2">
      <c r="DY51608" s="185" t="s">
        <v>215</v>
      </c>
    </row>
    <row r="51609" spans="129:129" x14ac:dyDescent="0.2">
      <c r="DY51609" s="185" t="s">
        <v>215</v>
      </c>
    </row>
    <row r="51610" spans="129:129" x14ac:dyDescent="0.2">
      <c r="DY51610" s="185" t="s">
        <v>215</v>
      </c>
    </row>
    <row r="51611" spans="129:129" x14ac:dyDescent="0.2">
      <c r="DY51611" s="185" t="s">
        <v>215</v>
      </c>
    </row>
    <row r="51612" spans="129:129" x14ac:dyDescent="0.2">
      <c r="DY51612" s="185" t="s">
        <v>215</v>
      </c>
    </row>
    <row r="51613" spans="129:129" x14ac:dyDescent="0.2">
      <c r="DY51613" s="185" t="s">
        <v>215</v>
      </c>
    </row>
    <row r="51614" spans="129:129" x14ac:dyDescent="0.2">
      <c r="DY51614" s="185" t="s">
        <v>215</v>
      </c>
    </row>
    <row r="51615" spans="129:129" x14ac:dyDescent="0.2">
      <c r="DY51615" s="185" t="s">
        <v>215</v>
      </c>
    </row>
    <row r="51616" spans="129:129" x14ac:dyDescent="0.2">
      <c r="DY51616" s="185" t="s">
        <v>215</v>
      </c>
    </row>
    <row r="51617" spans="129:129" x14ac:dyDescent="0.2">
      <c r="DY51617" s="185" t="s">
        <v>215</v>
      </c>
    </row>
    <row r="51618" spans="129:129" x14ac:dyDescent="0.2">
      <c r="DY51618" s="185" t="s">
        <v>215</v>
      </c>
    </row>
    <row r="51619" spans="129:129" x14ac:dyDescent="0.2">
      <c r="DY51619" s="185" t="s">
        <v>215</v>
      </c>
    </row>
    <row r="51620" spans="129:129" x14ac:dyDescent="0.2">
      <c r="DY51620" s="185" t="s">
        <v>215</v>
      </c>
    </row>
    <row r="51621" spans="129:129" x14ac:dyDescent="0.2">
      <c r="DY51621" s="185" t="s">
        <v>215</v>
      </c>
    </row>
    <row r="51622" spans="129:129" x14ac:dyDescent="0.2">
      <c r="DY51622" s="185" t="s">
        <v>215</v>
      </c>
    </row>
    <row r="51623" spans="129:129" x14ac:dyDescent="0.2">
      <c r="DY51623" s="185" t="s">
        <v>215</v>
      </c>
    </row>
    <row r="51624" spans="129:129" x14ac:dyDescent="0.2">
      <c r="DY51624" s="185" t="s">
        <v>215</v>
      </c>
    </row>
    <row r="51625" spans="129:129" x14ac:dyDescent="0.2">
      <c r="DY51625" s="185" t="s">
        <v>215</v>
      </c>
    </row>
    <row r="51626" spans="129:129" x14ac:dyDescent="0.2">
      <c r="DY51626" s="185" t="s">
        <v>215</v>
      </c>
    </row>
    <row r="51627" spans="129:129" x14ac:dyDescent="0.2">
      <c r="DY51627" s="185" t="s">
        <v>215</v>
      </c>
    </row>
    <row r="51628" spans="129:129" x14ac:dyDescent="0.2">
      <c r="DY51628" s="185" t="s">
        <v>215</v>
      </c>
    </row>
    <row r="51629" spans="129:129" x14ac:dyDescent="0.2">
      <c r="DY51629" s="185" t="s">
        <v>215</v>
      </c>
    </row>
    <row r="51630" spans="129:129" x14ac:dyDescent="0.2">
      <c r="DY51630" s="185" t="s">
        <v>215</v>
      </c>
    </row>
    <row r="51631" spans="129:129" x14ac:dyDescent="0.2">
      <c r="DY51631" s="185" t="s">
        <v>215</v>
      </c>
    </row>
    <row r="51632" spans="129:129" x14ac:dyDescent="0.2">
      <c r="DY51632" s="185" t="s">
        <v>215</v>
      </c>
    </row>
    <row r="51633" spans="129:129" x14ac:dyDescent="0.2">
      <c r="DY51633" s="185" t="s">
        <v>215</v>
      </c>
    </row>
    <row r="51634" spans="129:129" x14ac:dyDescent="0.2">
      <c r="DY51634" s="185" t="s">
        <v>215</v>
      </c>
    </row>
    <row r="51635" spans="129:129" x14ac:dyDescent="0.2">
      <c r="DY51635" s="185" t="s">
        <v>215</v>
      </c>
    </row>
    <row r="51636" spans="129:129" x14ac:dyDescent="0.2">
      <c r="DY51636" s="185" t="s">
        <v>215</v>
      </c>
    </row>
    <row r="51637" spans="129:129" x14ac:dyDescent="0.2">
      <c r="DY51637" s="185" t="s">
        <v>215</v>
      </c>
    </row>
    <row r="51638" spans="129:129" x14ac:dyDescent="0.2">
      <c r="DY51638" s="185" t="s">
        <v>215</v>
      </c>
    </row>
    <row r="51639" spans="129:129" x14ac:dyDescent="0.2">
      <c r="DY51639" s="185" t="s">
        <v>215</v>
      </c>
    </row>
    <row r="51640" spans="129:129" x14ac:dyDescent="0.2">
      <c r="DY51640" s="185" t="s">
        <v>215</v>
      </c>
    </row>
    <row r="51641" spans="129:129" x14ac:dyDescent="0.2">
      <c r="DY51641" s="185" t="s">
        <v>215</v>
      </c>
    </row>
    <row r="51642" spans="129:129" x14ac:dyDescent="0.2">
      <c r="DY51642" s="185" t="s">
        <v>215</v>
      </c>
    </row>
    <row r="51643" spans="129:129" x14ac:dyDescent="0.2">
      <c r="DY51643" s="185" t="s">
        <v>215</v>
      </c>
    </row>
    <row r="51644" spans="129:129" x14ac:dyDescent="0.2">
      <c r="DY51644" s="185" t="s">
        <v>215</v>
      </c>
    </row>
    <row r="51645" spans="129:129" x14ac:dyDescent="0.2">
      <c r="DY51645" s="185" t="s">
        <v>215</v>
      </c>
    </row>
    <row r="51646" spans="129:129" x14ac:dyDescent="0.2">
      <c r="DY51646" s="185" t="s">
        <v>215</v>
      </c>
    </row>
    <row r="51647" spans="129:129" x14ac:dyDescent="0.2">
      <c r="DY51647" s="185" t="s">
        <v>215</v>
      </c>
    </row>
    <row r="51648" spans="129:129" x14ac:dyDescent="0.2">
      <c r="DY51648" s="185" t="s">
        <v>215</v>
      </c>
    </row>
    <row r="51649" spans="129:129" x14ac:dyDescent="0.2">
      <c r="DY51649" s="185" t="s">
        <v>215</v>
      </c>
    </row>
    <row r="51650" spans="129:129" x14ac:dyDescent="0.2">
      <c r="DY51650" s="185" t="s">
        <v>215</v>
      </c>
    </row>
    <row r="51651" spans="129:129" x14ac:dyDescent="0.2">
      <c r="DY51651" s="185" t="s">
        <v>215</v>
      </c>
    </row>
    <row r="51652" spans="129:129" x14ac:dyDescent="0.2">
      <c r="DY51652" s="185" t="s">
        <v>215</v>
      </c>
    </row>
    <row r="51653" spans="129:129" x14ac:dyDescent="0.2">
      <c r="DY51653" s="185" t="s">
        <v>215</v>
      </c>
    </row>
    <row r="51654" spans="129:129" x14ac:dyDescent="0.2">
      <c r="DY51654" s="185" t="s">
        <v>215</v>
      </c>
    </row>
    <row r="51655" spans="129:129" x14ac:dyDescent="0.2">
      <c r="DY51655" s="185" t="s">
        <v>215</v>
      </c>
    </row>
    <row r="51656" spans="129:129" x14ac:dyDescent="0.2">
      <c r="DY51656" s="185" t="s">
        <v>215</v>
      </c>
    </row>
    <row r="51657" spans="129:129" x14ac:dyDescent="0.2">
      <c r="DY51657" s="185" t="s">
        <v>215</v>
      </c>
    </row>
    <row r="51658" spans="129:129" x14ac:dyDescent="0.2">
      <c r="DY51658" s="185" t="s">
        <v>215</v>
      </c>
    </row>
    <row r="51659" spans="129:129" x14ac:dyDescent="0.2">
      <c r="DY51659" s="185" t="s">
        <v>215</v>
      </c>
    </row>
    <row r="51660" spans="129:129" x14ac:dyDescent="0.2">
      <c r="DY51660" s="185" t="s">
        <v>215</v>
      </c>
    </row>
    <row r="51661" spans="129:129" x14ac:dyDescent="0.2">
      <c r="DY51661" s="185" t="s">
        <v>215</v>
      </c>
    </row>
    <row r="51662" spans="129:129" x14ac:dyDescent="0.2">
      <c r="DY51662" s="185" t="s">
        <v>215</v>
      </c>
    </row>
    <row r="51663" spans="129:129" x14ac:dyDescent="0.2">
      <c r="DY51663" s="185" t="s">
        <v>215</v>
      </c>
    </row>
    <row r="51664" spans="129:129" x14ac:dyDescent="0.2">
      <c r="DY51664" s="185" t="s">
        <v>215</v>
      </c>
    </row>
    <row r="51665" spans="129:129" x14ac:dyDescent="0.2">
      <c r="DY51665" s="185" t="s">
        <v>215</v>
      </c>
    </row>
    <row r="51666" spans="129:129" x14ac:dyDescent="0.2">
      <c r="DY51666" s="185" t="s">
        <v>215</v>
      </c>
    </row>
    <row r="51667" spans="129:129" x14ac:dyDescent="0.2">
      <c r="DY51667" s="185" t="s">
        <v>215</v>
      </c>
    </row>
    <row r="51668" spans="129:129" x14ac:dyDescent="0.2">
      <c r="DY51668" s="185" t="s">
        <v>215</v>
      </c>
    </row>
    <row r="51669" spans="129:129" x14ac:dyDescent="0.2">
      <c r="DY51669" s="185" t="s">
        <v>215</v>
      </c>
    </row>
    <row r="51670" spans="129:129" x14ac:dyDescent="0.2">
      <c r="DY51670" s="185" t="s">
        <v>215</v>
      </c>
    </row>
    <row r="51671" spans="129:129" x14ac:dyDescent="0.2">
      <c r="DY51671" s="185" t="s">
        <v>215</v>
      </c>
    </row>
    <row r="51672" spans="129:129" x14ac:dyDescent="0.2">
      <c r="DY51672" s="185" t="s">
        <v>215</v>
      </c>
    </row>
    <row r="51673" spans="129:129" x14ac:dyDescent="0.2">
      <c r="DY51673" s="185" t="s">
        <v>215</v>
      </c>
    </row>
    <row r="51674" spans="129:129" x14ac:dyDescent="0.2">
      <c r="DY51674" s="185" t="s">
        <v>215</v>
      </c>
    </row>
    <row r="51675" spans="129:129" x14ac:dyDescent="0.2">
      <c r="DY51675" s="185" t="s">
        <v>215</v>
      </c>
    </row>
    <row r="51676" spans="129:129" x14ac:dyDescent="0.2">
      <c r="DY51676" s="185" t="s">
        <v>215</v>
      </c>
    </row>
    <row r="51677" spans="129:129" x14ac:dyDescent="0.2">
      <c r="DY51677" s="185" t="s">
        <v>215</v>
      </c>
    </row>
    <row r="51678" spans="129:129" x14ac:dyDescent="0.2">
      <c r="DY51678" s="185" t="s">
        <v>215</v>
      </c>
    </row>
    <row r="51679" spans="129:129" x14ac:dyDescent="0.2">
      <c r="DY51679" s="185" t="s">
        <v>215</v>
      </c>
    </row>
    <row r="51680" spans="129:129" x14ac:dyDescent="0.2">
      <c r="DY51680" s="185" t="s">
        <v>215</v>
      </c>
    </row>
    <row r="51681" spans="129:129" x14ac:dyDescent="0.2">
      <c r="DY51681" s="185" t="s">
        <v>215</v>
      </c>
    </row>
    <row r="51682" spans="129:129" x14ac:dyDescent="0.2">
      <c r="DY51682" s="185" t="s">
        <v>215</v>
      </c>
    </row>
    <row r="51683" spans="129:129" x14ac:dyDescent="0.2">
      <c r="DY51683" s="185" t="s">
        <v>215</v>
      </c>
    </row>
    <row r="51684" spans="129:129" x14ac:dyDescent="0.2">
      <c r="DY51684" s="185" t="s">
        <v>215</v>
      </c>
    </row>
    <row r="51685" spans="129:129" x14ac:dyDescent="0.2">
      <c r="DY51685" s="185" t="s">
        <v>215</v>
      </c>
    </row>
    <row r="51686" spans="129:129" x14ac:dyDescent="0.2">
      <c r="DY51686" s="185" t="s">
        <v>215</v>
      </c>
    </row>
    <row r="51687" spans="129:129" x14ac:dyDescent="0.2">
      <c r="DY51687" s="185" t="s">
        <v>215</v>
      </c>
    </row>
    <row r="51688" spans="129:129" x14ac:dyDescent="0.2">
      <c r="DY51688" s="185" t="s">
        <v>215</v>
      </c>
    </row>
    <row r="51689" spans="129:129" x14ac:dyDescent="0.2">
      <c r="DY51689" s="185" t="s">
        <v>215</v>
      </c>
    </row>
    <row r="51690" spans="129:129" x14ac:dyDescent="0.2">
      <c r="DY51690" s="185" t="s">
        <v>215</v>
      </c>
    </row>
    <row r="51691" spans="129:129" x14ac:dyDescent="0.2">
      <c r="DY51691" s="185" t="s">
        <v>215</v>
      </c>
    </row>
    <row r="51692" spans="129:129" x14ac:dyDescent="0.2">
      <c r="DY51692" s="185" t="s">
        <v>215</v>
      </c>
    </row>
    <row r="51693" spans="129:129" x14ac:dyDescent="0.2">
      <c r="DY51693" s="185" t="s">
        <v>215</v>
      </c>
    </row>
    <row r="51694" spans="129:129" x14ac:dyDescent="0.2">
      <c r="DY51694" s="185" t="s">
        <v>215</v>
      </c>
    </row>
    <row r="51695" spans="129:129" x14ac:dyDescent="0.2">
      <c r="DY51695" s="185" t="s">
        <v>215</v>
      </c>
    </row>
    <row r="51696" spans="129:129" x14ac:dyDescent="0.2">
      <c r="DY51696" s="185" t="s">
        <v>215</v>
      </c>
    </row>
    <row r="51697" spans="129:129" x14ac:dyDescent="0.2">
      <c r="DY51697" s="185" t="s">
        <v>215</v>
      </c>
    </row>
    <row r="51698" spans="129:129" x14ac:dyDescent="0.2">
      <c r="DY51698" s="185" t="s">
        <v>215</v>
      </c>
    </row>
    <row r="51699" spans="129:129" x14ac:dyDescent="0.2">
      <c r="DY51699" s="185" t="s">
        <v>215</v>
      </c>
    </row>
    <row r="51700" spans="129:129" x14ac:dyDescent="0.2">
      <c r="DY51700" s="185" t="s">
        <v>215</v>
      </c>
    </row>
    <row r="51701" spans="129:129" x14ac:dyDescent="0.2">
      <c r="DY51701" s="185" t="s">
        <v>215</v>
      </c>
    </row>
    <row r="51702" spans="129:129" x14ac:dyDescent="0.2">
      <c r="DY51702" s="185" t="s">
        <v>215</v>
      </c>
    </row>
    <row r="51703" spans="129:129" x14ac:dyDescent="0.2">
      <c r="DY51703" s="185" t="s">
        <v>215</v>
      </c>
    </row>
    <row r="51704" spans="129:129" x14ac:dyDescent="0.2">
      <c r="DY51704" s="185" t="s">
        <v>215</v>
      </c>
    </row>
    <row r="51705" spans="129:129" x14ac:dyDescent="0.2">
      <c r="DY51705" s="185" t="s">
        <v>215</v>
      </c>
    </row>
    <row r="51706" spans="129:129" x14ac:dyDescent="0.2">
      <c r="DY51706" s="185" t="s">
        <v>215</v>
      </c>
    </row>
    <row r="51707" spans="129:129" x14ac:dyDescent="0.2">
      <c r="DY51707" s="185" t="s">
        <v>215</v>
      </c>
    </row>
    <row r="51708" spans="129:129" x14ac:dyDescent="0.2">
      <c r="DY51708" s="185" t="s">
        <v>215</v>
      </c>
    </row>
    <row r="51709" spans="129:129" x14ac:dyDescent="0.2">
      <c r="DY51709" s="185" t="s">
        <v>215</v>
      </c>
    </row>
    <row r="51710" spans="129:129" x14ac:dyDescent="0.2">
      <c r="DY51710" s="185" t="s">
        <v>215</v>
      </c>
    </row>
    <row r="51711" spans="129:129" x14ac:dyDescent="0.2">
      <c r="DY51711" s="185" t="s">
        <v>215</v>
      </c>
    </row>
    <row r="51712" spans="129:129" x14ac:dyDescent="0.2">
      <c r="DY51712" s="185" t="s">
        <v>215</v>
      </c>
    </row>
    <row r="51713" spans="129:129" x14ac:dyDescent="0.2">
      <c r="DY51713" s="185" t="s">
        <v>215</v>
      </c>
    </row>
    <row r="51714" spans="129:129" x14ac:dyDescent="0.2">
      <c r="DY51714" s="185" t="s">
        <v>215</v>
      </c>
    </row>
    <row r="51715" spans="129:129" x14ac:dyDescent="0.2">
      <c r="DY51715" s="185" t="s">
        <v>215</v>
      </c>
    </row>
    <row r="51716" spans="129:129" x14ac:dyDescent="0.2">
      <c r="DY51716" s="185" t="s">
        <v>215</v>
      </c>
    </row>
    <row r="51717" spans="129:129" x14ac:dyDescent="0.2">
      <c r="DY51717" s="185" t="s">
        <v>215</v>
      </c>
    </row>
    <row r="51718" spans="129:129" x14ac:dyDescent="0.2">
      <c r="DY51718" s="185" t="s">
        <v>215</v>
      </c>
    </row>
    <row r="51719" spans="129:129" x14ac:dyDescent="0.2">
      <c r="DY51719" s="185" t="s">
        <v>215</v>
      </c>
    </row>
    <row r="51720" spans="129:129" x14ac:dyDescent="0.2">
      <c r="DY51720" s="185" t="s">
        <v>215</v>
      </c>
    </row>
    <row r="51721" spans="129:129" x14ac:dyDescent="0.2">
      <c r="DY51721" s="185" t="s">
        <v>215</v>
      </c>
    </row>
    <row r="51722" spans="129:129" x14ac:dyDescent="0.2">
      <c r="DY51722" s="185" t="s">
        <v>215</v>
      </c>
    </row>
    <row r="51723" spans="129:129" x14ac:dyDescent="0.2">
      <c r="DY51723" s="185" t="s">
        <v>215</v>
      </c>
    </row>
    <row r="51724" spans="129:129" x14ac:dyDescent="0.2">
      <c r="DY51724" s="185" t="s">
        <v>215</v>
      </c>
    </row>
    <row r="51725" spans="129:129" x14ac:dyDescent="0.2">
      <c r="DY51725" s="185" t="s">
        <v>215</v>
      </c>
    </row>
    <row r="51726" spans="129:129" x14ac:dyDescent="0.2">
      <c r="DY51726" s="185" t="s">
        <v>215</v>
      </c>
    </row>
    <row r="51727" spans="129:129" x14ac:dyDescent="0.2">
      <c r="DY51727" s="185" t="s">
        <v>215</v>
      </c>
    </row>
    <row r="51728" spans="129:129" x14ac:dyDescent="0.2">
      <c r="DY51728" s="185" t="s">
        <v>215</v>
      </c>
    </row>
    <row r="51729" spans="129:129" x14ac:dyDescent="0.2">
      <c r="DY51729" s="185" t="s">
        <v>215</v>
      </c>
    </row>
    <row r="51730" spans="129:129" x14ac:dyDescent="0.2">
      <c r="DY51730" s="185" t="s">
        <v>215</v>
      </c>
    </row>
    <row r="51731" spans="129:129" x14ac:dyDescent="0.2">
      <c r="DY51731" s="185" t="s">
        <v>215</v>
      </c>
    </row>
    <row r="51732" spans="129:129" x14ac:dyDescent="0.2">
      <c r="DY51732" s="185" t="s">
        <v>215</v>
      </c>
    </row>
    <row r="51733" spans="129:129" x14ac:dyDescent="0.2">
      <c r="DY51733" s="185" t="s">
        <v>215</v>
      </c>
    </row>
    <row r="51734" spans="129:129" x14ac:dyDescent="0.2">
      <c r="DY51734" s="185" t="s">
        <v>215</v>
      </c>
    </row>
    <row r="51735" spans="129:129" x14ac:dyDescent="0.2">
      <c r="DY51735" s="185" t="s">
        <v>215</v>
      </c>
    </row>
    <row r="51736" spans="129:129" x14ac:dyDescent="0.2">
      <c r="DY51736" s="185" t="s">
        <v>215</v>
      </c>
    </row>
    <row r="51737" spans="129:129" x14ac:dyDescent="0.2">
      <c r="DY51737" s="185" t="s">
        <v>215</v>
      </c>
    </row>
    <row r="51738" spans="129:129" x14ac:dyDescent="0.2">
      <c r="DY51738" s="185" t="s">
        <v>215</v>
      </c>
    </row>
    <row r="51739" spans="129:129" x14ac:dyDescent="0.2">
      <c r="DY51739" s="185" t="s">
        <v>215</v>
      </c>
    </row>
    <row r="51740" spans="129:129" x14ac:dyDescent="0.2">
      <c r="DY51740" s="185" t="s">
        <v>215</v>
      </c>
    </row>
    <row r="51741" spans="129:129" x14ac:dyDescent="0.2">
      <c r="DY51741" s="185" t="s">
        <v>215</v>
      </c>
    </row>
    <row r="51742" spans="129:129" x14ac:dyDescent="0.2">
      <c r="DY51742" s="185" t="s">
        <v>215</v>
      </c>
    </row>
    <row r="51743" spans="129:129" x14ac:dyDescent="0.2">
      <c r="DY51743" s="185" t="s">
        <v>215</v>
      </c>
    </row>
    <row r="51744" spans="129:129" x14ac:dyDescent="0.2">
      <c r="DY51744" s="185" t="s">
        <v>215</v>
      </c>
    </row>
    <row r="51745" spans="129:129" x14ac:dyDescent="0.2">
      <c r="DY51745" s="185" t="s">
        <v>215</v>
      </c>
    </row>
    <row r="51746" spans="129:129" x14ac:dyDescent="0.2">
      <c r="DY51746" s="185" t="s">
        <v>215</v>
      </c>
    </row>
    <row r="51747" spans="129:129" x14ac:dyDescent="0.2">
      <c r="DY51747" s="185" t="s">
        <v>215</v>
      </c>
    </row>
    <row r="51748" spans="129:129" x14ac:dyDescent="0.2">
      <c r="DY51748" s="185" t="s">
        <v>215</v>
      </c>
    </row>
    <row r="51749" spans="129:129" x14ac:dyDescent="0.2">
      <c r="DY51749" s="185" t="s">
        <v>215</v>
      </c>
    </row>
    <row r="51750" spans="129:129" x14ac:dyDescent="0.2">
      <c r="DY51750" s="185" t="s">
        <v>215</v>
      </c>
    </row>
    <row r="51751" spans="129:129" x14ac:dyDescent="0.2">
      <c r="DY51751" s="185" t="s">
        <v>215</v>
      </c>
    </row>
    <row r="51752" spans="129:129" x14ac:dyDescent="0.2">
      <c r="DY51752" s="185" t="s">
        <v>215</v>
      </c>
    </row>
    <row r="51753" spans="129:129" x14ac:dyDescent="0.2">
      <c r="DY51753" s="185" t="s">
        <v>215</v>
      </c>
    </row>
    <row r="51754" spans="129:129" x14ac:dyDescent="0.2">
      <c r="DY51754" s="185" t="s">
        <v>215</v>
      </c>
    </row>
    <row r="51755" spans="129:129" x14ac:dyDescent="0.2">
      <c r="DY51755" s="185" t="s">
        <v>215</v>
      </c>
    </row>
    <row r="51756" spans="129:129" x14ac:dyDescent="0.2">
      <c r="DY51756" s="185" t="s">
        <v>215</v>
      </c>
    </row>
    <row r="51757" spans="129:129" x14ac:dyDescent="0.2">
      <c r="DY51757" s="185" t="s">
        <v>215</v>
      </c>
    </row>
    <row r="51758" spans="129:129" x14ac:dyDescent="0.2">
      <c r="DY51758" s="185" t="s">
        <v>215</v>
      </c>
    </row>
    <row r="51759" spans="129:129" x14ac:dyDescent="0.2">
      <c r="DY51759" s="185" t="s">
        <v>215</v>
      </c>
    </row>
    <row r="51760" spans="129:129" x14ac:dyDescent="0.2">
      <c r="DY51760" s="185" t="s">
        <v>215</v>
      </c>
    </row>
    <row r="51761" spans="129:129" x14ac:dyDescent="0.2">
      <c r="DY51761" s="185" t="s">
        <v>215</v>
      </c>
    </row>
    <row r="51762" spans="129:129" x14ac:dyDescent="0.2">
      <c r="DY51762" s="185" t="s">
        <v>215</v>
      </c>
    </row>
    <row r="51763" spans="129:129" x14ac:dyDescent="0.2">
      <c r="DY51763" s="185" t="s">
        <v>215</v>
      </c>
    </row>
    <row r="51764" spans="129:129" x14ac:dyDescent="0.2">
      <c r="DY51764" s="185" t="s">
        <v>215</v>
      </c>
    </row>
    <row r="51765" spans="129:129" x14ac:dyDescent="0.2">
      <c r="DY51765" s="185" t="s">
        <v>215</v>
      </c>
    </row>
    <row r="51766" spans="129:129" x14ac:dyDescent="0.2">
      <c r="DY51766" s="185" t="s">
        <v>215</v>
      </c>
    </row>
    <row r="51767" spans="129:129" x14ac:dyDescent="0.2">
      <c r="DY51767" s="185" t="s">
        <v>215</v>
      </c>
    </row>
    <row r="51768" spans="129:129" x14ac:dyDescent="0.2">
      <c r="DY51768" s="185" t="s">
        <v>215</v>
      </c>
    </row>
    <row r="51769" spans="129:129" x14ac:dyDescent="0.2">
      <c r="DY51769" s="185" t="s">
        <v>215</v>
      </c>
    </row>
    <row r="51770" spans="129:129" x14ac:dyDescent="0.2">
      <c r="DY51770" s="185" t="s">
        <v>215</v>
      </c>
    </row>
    <row r="51771" spans="129:129" x14ac:dyDescent="0.2">
      <c r="DY51771" s="185" t="s">
        <v>215</v>
      </c>
    </row>
    <row r="51772" spans="129:129" x14ac:dyDescent="0.2">
      <c r="DY51772" s="185" t="s">
        <v>215</v>
      </c>
    </row>
    <row r="51773" spans="129:129" x14ac:dyDescent="0.2">
      <c r="DY51773" s="185" t="s">
        <v>215</v>
      </c>
    </row>
    <row r="51774" spans="129:129" x14ac:dyDescent="0.2">
      <c r="DY51774" s="185" t="s">
        <v>215</v>
      </c>
    </row>
    <row r="51775" spans="129:129" x14ac:dyDescent="0.2">
      <c r="DY51775" s="185" t="s">
        <v>215</v>
      </c>
    </row>
    <row r="51776" spans="129:129" x14ac:dyDescent="0.2">
      <c r="DY51776" s="185" t="s">
        <v>215</v>
      </c>
    </row>
    <row r="51777" spans="129:129" x14ac:dyDescent="0.2">
      <c r="DY51777" s="185" t="s">
        <v>215</v>
      </c>
    </row>
    <row r="51778" spans="129:129" x14ac:dyDescent="0.2">
      <c r="DY51778" s="185" t="s">
        <v>215</v>
      </c>
    </row>
    <row r="51779" spans="129:129" x14ac:dyDescent="0.2">
      <c r="DY51779" s="185" t="s">
        <v>215</v>
      </c>
    </row>
    <row r="51780" spans="129:129" x14ac:dyDescent="0.2">
      <c r="DY51780" s="185" t="s">
        <v>215</v>
      </c>
    </row>
    <row r="51781" spans="129:129" x14ac:dyDescent="0.2">
      <c r="DY51781" s="185" t="s">
        <v>215</v>
      </c>
    </row>
    <row r="51782" spans="129:129" x14ac:dyDescent="0.2">
      <c r="DY51782" s="185" t="s">
        <v>215</v>
      </c>
    </row>
    <row r="51783" spans="129:129" x14ac:dyDescent="0.2">
      <c r="DY51783" s="185" t="s">
        <v>215</v>
      </c>
    </row>
    <row r="51784" spans="129:129" x14ac:dyDescent="0.2">
      <c r="DY51784" s="185" t="s">
        <v>215</v>
      </c>
    </row>
    <row r="51785" spans="129:129" x14ac:dyDescent="0.2">
      <c r="DY51785" s="185" t="s">
        <v>215</v>
      </c>
    </row>
    <row r="51786" spans="129:129" x14ac:dyDescent="0.2">
      <c r="DY51786" s="185" t="s">
        <v>215</v>
      </c>
    </row>
    <row r="51787" spans="129:129" x14ac:dyDescent="0.2">
      <c r="DY51787" s="185" t="s">
        <v>215</v>
      </c>
    </row>
    <row r="51788" spans="129:129" x14ac:dyDescent="0.2">
      <c r="DY51788" s="185" t="s">
        <v>215</v>
      </c>
    </row>
    <row r="51789" spans="129:129" x14ac:dyDescent="0.2">
      <c r="DY51789" s="185" t="s">
        <v>215</v>
      </c>
    </row>
    <row r="51790" spans="129:129" x14ac:dyDescent="0.2">
      <c r="DY51790" s="185" t="s">
        <v>215</v>
      </c>
    </row>
    <row r="51791" spans="129:129" x14ac:dyDescent="0.2">
      <c r="DY51791" s="185" t="s">
        <v>215</v>
      </c>
    </row>
    <row r="51792" spans="129:129" x14ac:dyDescent="0.2">
      <c r="DY51792" s="185" t="s">
        <v>215</v>
      </c>
    </row>
    <row r="51793" spans="129:129" x14ac:dyDescent="0.2">
      <c r="DY51793" s="185" t="s">
        <v>215</v>
      </c>
    </row>
    <row r="51794" spans="129:129" x14ac:dyDescent="0.2">
      <c r="DY51794" s="185" t="s">
        <v>215</v>
      </c>
    </row>
    <row r="51795" spans="129:129" x14ac:dyDescent="0.2">
      <c r="DY51795" s="185" t="s">
        <v>215</v>
      </c>
    </row>
    <row r="51796" spans="129:129" x14ac:dyDescent="0.2">
      <c r="DY51796" s="185" t="s">
        <v>215</v>
      </c>
    </row>
    <row r="51797" spans="129:129" x14ac:dyDescent="0.2">
      <c r="DY51797" s="185" t="s">
        <v>215</v>
      </c>
    </row>
    <row r="51798" spans="129:129" x14ac:dyDescent="0.2">
      <c r="DY51798" s="185" t="s">
        <v>215</v>
      </c>
    </row>
    <row r="51799" spans="129:129" x14ac:dyDescent="0.2">
      <c r="DY51799" s="185" t="s">
        <v>215</v>
      </c>
    </row>
    <row r="51800" spans="129:129" x14ac:dyDescent="0.2">
      <c r="DY51800" s="185" t="s">
        <v>215</v>
      </c>
    </row>
    <row r="51801" spans="129:129" x14ac:dyDescent="0.2">
      <c r="DY51801" s="185" t="s">
        <v>215</v>
      </c>
    </row>
    <row r="51802" spans="129:129" x14ac:dyDescent="0.2">
      <c r="DY51802" s="185" t="s">
        <v>215</v>
      </c>
    </row>
    <row r="51803" spans="129:129" x14ac:dyDescent="0.2">
      <c r="DY51803" s="185" t="s">
        <v>215</v>
      </c>
    </row>
    <row r="51804" spans="129:129" x14ac:dyDescent="0.2">
      <c r="DY51804" s="185" t="s">
        <v>215</v>
      </c>
    </row>
    <row r="51805" spans="129:129" x14ac:dyDescent="0.2">
      <c r="DY51805" s="185" t="s">
        <v>215</v>
      </c>
    </row>
    <row r="51806" spans="129:129" x14ac:dyDescent="0.2">
      <c r="DY51806" s="185" t="s">
        <v>215</v>
      </c>
    </row>
    <row r="51807" spans="129:129" x14ac:dyDescent="0.2">
      <c r="DY51807" s="185" t="s">
        <v>215</v>
      </c>
    </row>
    <row r="51808" spans="129:129" x14ac:dyDescent="0.2">
      <c r="DY51808" s="185" t="s">
        <v>215</v>
      </c>
    </row>
    <row r="51809" spans="129:129" x14ac:dyDescent="0.2">
      <c r="DY51809" s="185" t="s">
        <v>215</v>
      </c>
    </row>
    <row r="51810" spans="129:129" x14ac:dyDescent="0.2">
      <c r="DY51810" s="185" t="s">
        <v>215</v>
      </c>
    </row>
    <row r="51811" spans="129:129" x14ac:dyDescent="0.2">
      <c r="DY51811" s="185" t="s">
        <v>215</v>
      </c>
    </row>
    <row r="51812" spans="129:129" x14ac:dyDescent="0.2">
      <c r="DY51812" s="185" t="s">
        <v>215</v>
      </c>
    </row>
    <row r="51813" spans="129:129" x14ac:dyDescent="0.2">
      <c r="DY51813" s="185" t="s">
        <v>215</v>
      </c>
    </row>
    <row r="51814" spans="129:129" x14ac:dyDescent="0.2">
      <c r="DY51814" s="185" t="s">
        <v>215</v>
      </c>
    </row>
    <row r="51815" spans="129:129" x14ac:dyDescent="0.2">
      <c r="DY51815" s="185" t="s">
        <v>215</v>
      </c>
    </row>
    <row r="51816" spans="129:129" x14ac:dyDescent="0.2">
      <c r="DY51816" s="185" t="s">
        <v>215</v>
      </c>
    </row>
    <row r="51817" spans="129:129" x14ac:dyDescent="0.2">
      <c r="DY51817" s="185" t="s">
        <v>215</v>
      </c>
    </row>
    <row r="51818" spans="129:129" x14ac:dyDescent="0.2">
      <c r="DY51818" s="185" t="s">
        <v>215</v>
      </c>
    </row>
    <row r="51819" spans="129:129" x14ac:dyDescent="0.2">
      <c r="DY51819" s="185" t="s">
        <v>215</v>
      </c>
    </row>
    <row r="51820" spans="129:129" x14ac:dyDescent="0.2">
      <c r="DY51820" s="185" t="s">
        <v>215</v>
      </c>
    </row>
    <row r="51821" spans="129:129" x14ac:dyDescent="0.2">
      <c r="DY51821" s="185" t="s">
        <v>215</v>
      </c>
    </row>
    <row r="51822" spans="129:129" x14ac:dyDescent="0.2">
      <c r="DY51822" s="185" t="s">
        <v>215</v>
      </c>
    </row>
    <row r="51823" spans="129:129" x14ac:dyDescent="0.2">
      <c r="DY51823" s="185" t="s">
        <v>215</v>
      </c>
    </row>
    <row r="51824" spans="129:129" x14ac:dyDescent="0.2">
      <c r="DY51824" s="185" t="s">
        <v>215</v>
      </c>
    </row>
    <row r="51825" spans="129:129" x14ac:dyDescent="0.2">
      <c r="DY51825" s="185" t="s">
        <v>215</v>
      </c>
    </row>
    <row r="51826" spans="129:129" x14ac:dyDescent="0.2">
      <c r="DY51826" s="185" t="s">
        <v>215</v>
      </c>
    </row>
    <row r="51827" spans="129:129" x14ac:dyDescent="0.2">
      <c r="DY51827" s="185" t="s">
        <v>215</v>
      </c>
    </row>
    <row r="51828" spans="129:129" x14ac:dyDescent="0.2">
      <c r="DY51828" s="185" t="s">
        <v>215</v>
      </c>
    </row>
    <row r="51829" spans="129:129" x14ac:dyDescent="0.2">
      <c r="DY51829" s="185" t="s">
        <v>215</v>
      </c>
    </row>
    <row r="51830" spans="129:129" x14ac:dyDescent="0.2">
      <c r="DY51830" s="185" t="s">
        <v>215</v>
      </c>
    </row>
    <row r="51831" spans="129:129" x14ac:dyDescent="0.2">
      <c r="DY51831" s="185" t="s">
        <v>215</v>
      </c>
    </row>
    <row r="51832" spans="129:129" x14ac:dyDescent="0.2">
      <c r="DY51832" s="185" t="s">
        <v>215</v>
      </c>
    </row>
    <row r="51833" spans="129:129" x14ac:dyDescent="0.2">
      <c r="DY51833" s="185" t="s">
        <v>215</v>
      </c>
    </row>
    <row r="51834" spans="129:129" x14ac:dyDescent="0.2">
      <c r="DY51834" s="185" t="s">
        <v>215</v>
      </c>
    </row>
    <row r="51835" spans="129:129" x14ac:dyDescent="0.2">
      <c r="DY51835" s="185" t="s">
        <v>215</v>
      </c>
    </row>
    <row r="51836" spans="129:129" x14ac:dyDescent="0.2">
      <c r="DY51836" s="185" t="s">
        <v>215</v>
      </c>
    </row>
    <row r="51837" spans="129:129" x14ac:dyDescent="0.2">
      <c r="DY51837" s="185" t="s">
        <v>215</v>
      </c>
    </row>
    <row r="51838" spans="129:129" x14ac:dyDescent="0.2">
      <c r="DY51838" s="185" t="s">
        <v>215</v>
      </c>
    </row>
    <row r="51839" spans="129:129" x14ac:dyDescent="0.2">
      <c r="DY51839" s="185" t="s">
        <v>215</v>
      </c>
    </row>
    <row r="51840" spans="129:129" x14ac:dyDescent="0.2">
      <c r="DY51840" s="185" t="s">
        <v>215</v>
      </c>
    </row>
    <row r="51841" spans="129:129" x14ac:dyDescent="0.2">
      <c r="DY51841" s="185" t="s">
        <v>215</v>
      </c>
    </row>
    <row r="51842" spans="129:129" x14ac:dyDescent="0.2">
      <c r="DY51842" s="185" t="s">
        <v>215</v>
      </c>
    </row>
    <row r="51843" spans="129:129" x14ac:dyDescent="0.2">
      <c r="DY51843" s="185" t="s">
        <v>215</v>
      </c>
    </row>
    <row r="51844" spans="129:129" x14ac:dyDescent="0.2">
      <c r="DY51844" s="185" t="s">
        <v>215</v>
      </c>
    </row>
    <row r="51845" spans="129:129" x14ac:dyDescent="0.2">
      <c r="DY51845" s="185" t="s">
        <v>215</v>
      </c>
    </row>
    <row r="51846" spans="129:129" x14ac:dyDescent="0.2">
      <c r="DY51846" s="185" t="s">
        <v>215</v>
      </c>
    </row>
    <row r="51847" spans="129:129" x14ac:dyDescent="0.2">
      <c r="DY51847" s="185" t="s">
        <v>215</v>
      </c>
    </row>
    <row r="51848" spans="129:129" x14ac:dyDescent="0.2">
      <c r="DY51848" s="185" t="s">
        <v>215</v>
      </c>
    </row>
    <row r="51849" spans="129:129" x14ac:dyDescent="0.2">
      <c r="DY51849" s="185" t="s">
        <v>215</v>
      </c>
    </row>
    <row r="51850" spans="129:129" x14ac:dyDescent="0.2">
      <c r="DY51850" s="185" t="s">
        <v>215</v>
      </c>
    </row>
    <row r="51851" spans="129:129" x14ac:dyDescent="0.2">
      <c r="DY51851" s="185" t="s">
        <v>215</v>
      </c>
    </row>
    <row r="51852" spans="129:129" x14ac:dyDescent="0.2">
      <c r="DY51852" s="185" t="s">
        <v>215</v>
      </c>
    </row>
    <row r="51853" spans="129:129" x14ac:dyDescent="0.2">
      <c r="DY51853" s="185" t="s">
        <v>215</v>
      </c>
    </row>
    <row r="51854" spans="129:129" x14ac:dyDescent="0.2">
      <c r="DY51854" s="185" t="s">
        <v>215</v>
      </c>
    </row>
    <row r="51855" spans="129:129" x14ac:dyDescent="0.2">
      <c r="DY51855" s="185" t="s">
        <v>215</v>
      </c>
    </row>
    <row r="51856" spans="129:129" x14ac:dyDescent="0.2">
      <c r="DY51856" s="185" t="s">
        <v>215</v>
      </c>
    </row>
    <row r="51857" spans="129:129" x14ac:dyDescent="0.2">
      <c r="DY51857" s="185" t="s">
        <v>215</v>
      </c>
    </row>
    <row r="51858" spans="129:129" x14ac:dyDescent="0.2">
      <c r="DY51858" s="185" t="s">
        <v>215</v>
      </c>
    </row>
    <row r="51859" spans="129:129" x14ac:dyDescent="0.2">
      <c r="DY51859" s="185" t="s">
        <v>215</v>
      </c>
    </row>
    <row r="51860" spans="129:129" x14ac:dyDescent="0.2">
      <c r="DY51860" s="185" t="s">
        <v>215</v>
      </c>
    </row>
    <row r="51861" spans="129:129" x14ac:dyDescent="0.2">
      <c r="DY51861" s="185" t="s">
        <v>215</v>
      </c>
    </row>
    <row r="51862" spans="129:129" x14ac:dyDescent="0.2">
      <c r="DY51862" s="185" t="s">
        <v>215</v>
      </c>
    </row>
    <row r="51863" spans="129:129" x14ac:dyDescent="0.2">
      <c r="DY51863" s="185" t="s">
        <v>215</v>
      </c>
    </row>
    <row r="51864" spans="129:129" x14ac:dyDescent="0.2">
      <c r="DY51864" s="185" t="s">
        <v>215</v>
      </c>
    </row>
    <row r="51865" spans="129:129" x14ac:dyDescent="0.2">
      <c r="DY51865" s="185" t="s">
        <v>215</v>
      </c>
    </row>
    <row r="51866" spans="129:129" x14ac:dyDescent="0.2">
      <c r="DY51866" s="185" t="s">
        <v>215</v>
      </c>
    </row>
    <row r="51867" spans="129:129" x14ac:dyDescent="0.2">
      <c r="DY51867" s="185" t="s">
        <v>215</v>
      </c>
    </row>
    <row r="51868" spans="129:129" x14ac:dyDescent="0.2">
      <c r="DY51868" s="185" t="s">
        <v>215</v>
      </c>
    </row>
    <row r="51869" spans="129:129" x14ac:dyDescent="0.2">
      <c r="DY51869" s="185" t="s">
        <v>215</v>
      </c>
    </row>
    <row r="51870" spans="129:129" x14ac:dyDescent="0.2">
      <c r="DY51870" s="185" t="s">
        <v>215</v>
      </c>
    </row>
    <row r="51871" spans="129:129" x14ac:dyDescent="0.2">
      <c r="DY51871" s="185" t="s">
        <v>215</v>
      </c>
    </row>
    <row r="51872" spans="129:129" x14ac:dyDescent="0.2">
      <c r="DY51872" s="185" t="s">
        <v>215</v>
      </c>
    </row>
    <row r="51873" spans="129:129" x14ac:dyDescent="0.2">
      <c r="DY51873" s="185" t="s">
        <v>215</v>
      </c>
    </row>
    <row r="51874" spans="129:129" x14ac:dyDescent="0.2">
      <c r="DY51874" s="185" t="s">
        <v>215</v>
      </c>
    </row>
    <row r="51875" spans="129:129" x14ac:dyDescent="0.2">
      <c r="DY51875" s="185" t="s">
        <v>215</v>
      </c>
    </row>
    <row r="51876" spans="129:129" x14ac:dyDescent="0.2">
      <c r="DY51876" s="185" t="s">
        <v>215</v>
      </c>
    </row>
    <row r="51877" spans="129:129" x14ac:dyDescent="0.2">
      <c r="DY51877" s="185" t="s">
        <v>215</v>
      </c>
    </row>
    <row r="51878" spans="129:129" x14ac:dyDescent="0.2">
      <c r="DY51878" s="185" t="s">
        <v>215</v>
      </c>
    </row>
    <row r="51879" spans="129:129" x14ac:dyDescent="0.2">
      <c r="DY51879" s="185" t="s">
        <v>215</v>
      </c>
    </row>
    <row r="51880" spans="129:129" x14ac:dyDescent="0.2">
      <c r="DY51880" s="185" t="s">
        <v>215</v>
      </c>
    </row>
    <row r="51881" spans="129:129" x14ac:dyDescent="0.2">
      <c r="DY51881" s="185" t="s">
        <v>215</v>
      </c>
    </row>
    <row r="51882" spans="129:129" x14ac:dyDescent="0.2">
      <c r="DY51882" s="185" t="s">
        <v>215</v>
      </c>
    </row>
    <row r="51883" spans="129:129" x14ac:dyDescent="0.2">
      <c r="DY51883" s="185" t="s">
        <v>215</v>
      </c>
    </row>
    <row r="51884" spans="129:129" x14ac:dyDescent="0.2">
      <c r="DY51884" s="185" t="s">
        <v>215</v>
      </c>
    </row>
    <row r="51885" spans="129:129" x14ac:dyDescent="0.2">
      <c r="DY51885" s="185" t="s">
        <v>215</v>
      </c>
    </row>
    <row r="51886" spans="129:129" x14ac:dyDescent="0.2">
      <c r="DY51886" s="185" t="s">
        <v>215</v>
      </c>
    </row>
    <row r="51887" spans="129:129" x14ac:dyDescent="0.2">
      <c r="DY51887" s="185" t="s">
        <v>215</v>
      </c>
    </row>
    <row r="51888" spans="129:129" x14ac:dyDescent="0.2">
      <c r="DY51888" s="185" t="s">
        <v>215</v>
      </c>
    </row>
    <row r="51889" spans="129:129" x14ac:dyDescent="0.2">
      <c r="DY51889" s="185" t="s">
        <v>215</v>
      </c>
    </row>
    <row r="51890" spans="129:129" x14ac:dyDescent="0.2">
      <c r="DY51890" s="185" t="s">
        <v>215</v>
      </c>
    </row>
    <row r="51891" spans="129:129" x14ac:dyDescent="0.2">
      <c r="DY51891" s="185" t="s">
        <v>215</v>
      </c>
    </row>
    <row r="51892" spans="129:129" x14ac:dyDescent="0.2">
      <c r="DY51892" s="185" t="s">
        <v>215</v>
      </c>
    </row>
    <row r="51893" spans="129:129" x14ac:dyDescent="0.2">
      <c r="DY51893" s="185" t="s">
        <v>215</v>
      </c>
    </row>
    <row r="51894" spans="129:129" x14ac:dyDescent="0.2">
      <c r="DY51894" s="185" t="s">
        <v>215</v>
      </c>
    </row>
    <row r="51895" spans="129:129" x14ac:dyDescent="0.2">
      <c r="DY51895" s="185" t="s">
        <v>215</v>
      </c>
    </row>
    <row r="51896" spans="129:129" x14ac:dyDescent="0.2">
      <c r="DY51896" s="185" t="s">
        <v>215</v>
      </c>
    </row>
    <row r="51897" spans="129:129" x14ac:dyDescent="0.2">
      <c r="DY51897" s="185" t="s">
        <v>215</v>
      </c>
    </row>
    <row r="51898" spans="129:129" x14ac:dyDescent="0.2">
      <c r="DY51898" s="185" t="s">
        <v>215</v>
      </c>
    </row>
    <row r="51899" spans="129:129" x14ac:dyDescent="0.2">
      <c r="DY51899" s="185" t="s">
        <v>215</v>
      </c>
    </row>
    <row r="51900" spans="129:129" x14ac:dyDescent="0.2">
      <c r="DY51900" s="185" t="s">
        <v>215</v>
      </c>
    </row>
    <row r="51901" spans="129:129" x14ac:dyDescent="0.2">
      <c r="DY51901" s="185" t="s">
        <v>215</v>
      </c>
    </row>
    <row r="51902" spans="129:129" x14ac:dyDescent="0.2">
      <c r="DY51902" s="185" t="s">
        <v>215</v>
      </c>
    </row>
    <row r="51903" spans="129:129" x14ac:dyDescent="0.2">
      <c r="DY51903" s="185" t="s">
        <v>215</v>
      </c>
    </row>
    <row r="51904" spans="129:129" x14ac:dyDescent="0.2">
      <c r="DY51904" s="185" t="s">
        <v>215</v>
      </c>
    </row>
    <row r="51905" spans="129:129" x14ac:dyDescent="0.2">
      <c r="DY51905" s="185" t="s">
        <v>215</v>
      </c>
    </row>
    <row r="51906" spans="129:129" x14ac:dyDescent="0.2">
      <c r="DY51906" s="185" t="s">
        <v>215</v>
      </c>
    </row>
    <row r="51907" spans="129:129" x14ac:dyDescent="0.2">
      <c r="DY51907" s="185" t="s">
        <v>215</v>
      </c>
    </row>
    <row r="51908" spans="129:129" x14ac:dyDescent="0.2">
      <c r="DY51908" s="185" t="s">
        <v>215</v>
      </c>
    </row>
    <row r="51909" spans="129:129" x14ac:dyDescent="0.2">
      <c r="DY51909" s="185" t="s">
        <v>215</v>
      </c>
    </row>
    <row r="51910" spans="129:129" x14ac:dyDescent="0.2">
      <c r="DY51910" s="185" t="s">
        <v>215</v>
      </c>
    </row>
    <row r="51911" spans="129:129" x14ac:dyDescent="0.2">
      <c r="DY51911" s="185" t="s">
        <v>215</v>
      </c>
    </row>
    <row r="51912" spans="129:129" x14ac:dyDescent="0.2">
      <c r="DY51912" s="185" t="s">
        <v>215</v>
      </c>
    </row>
    <row r="51913" spans="129:129" x14ac:dyDescent="0.2">
      <c r="DY51913" s="185" t="s">
        <v>215</v>
      </c>
    </row>
    <row r="51914" spans="129:129" x14ac:dyDescent="0.2">
      <c r="DY51914" s="185" t="s">
        <v>215</v>
      </c>
    </row>
    <row r="51915" spans="129:129" x14ac:dyDescent="0.2">
      <c r="DY51915" s="185" t="s">
        <v>215</v>
      </c>
    </row>
    <row r="51916" spans="129:129" x14ac:dyDescent="0.2">
      <c r="DY51916" s="185" t="s">
        <v>215</v>
      </c>
    </row>
    <row r="51917" spans="129:129" x14ac:dyDescent="0.2">
      <c r="DY51917" s="185" t="s">
        <v>215</v>
      </c>
    </row>
    <row r="51918" spans="129:129" x14ac:dyDescent="0.2">
      <c r="DY51918" s="185" t="s">
        <v>215</v>
      </c>
    </row>
    <row r="51919" spans="129:129" x14ac:dyDescent="0.2">
      <c r="DY51919" s="185" t="s">
        <v>215</v>
      </c>
    </row>
    <row r="51920" spans="129:129" x14ac:dyDescent="0.2">
      <c r="DY51920" s="185" t="s">
        <v>215</v>
      </c>
    </row>
    <row r="51921" spans="129:129" x14ac:dyDescent="0.2">
      <c r="DY51921" s="185" t="s">
        <v>215</v>
      </c>
    </row>
    <row r="51922" spans="129:129" x14ac:dyDescent="0.2">
      <c r="DY51922" s="185" t="s">
        <v>215</v>
      </c>
    </row>
    <row r="51923" spans="129:129" x14ac:dyDescent="0.2">
      <c r="DY51923" s="185" t="s">
        <v>215</v>
      </c>
    </row>
    <row r="51924" spans="129:129" x14ac:dyDescent="0.2">
      <c r="DY51924" s="185" t="s">
        <v>215</v>
      </c>
    </row>
    <row r="51925" spans="129:129" x14ac:dyDescent="0.2">
      <c r="DY51925" s="185" t="s">
        <v>215</v>
      </c>
    </row>
    <row r="51926" spans="129:129" x14ac:dyDescent="0.2">
      <c r="DY51926" s="185" t="s">
        <v>215</v>
      </c>
    </row>
    <row r="51927" spans="129:129" x14ac:dyDescent="0.2">
      <c r="DY51927" s="185" t="s">
        <v>215</v>
      </c>
    </row>
    <row r="51928" spans="129:129" x14ac:dyDescent="0.2">
      <c r="DY51928" s="185" t="s">
        <v>215</v>
      </c>
    </row>
    <row r="51929" spans="129:129" x14ac:dyDescent="0.2">
      <c r="DY51929" s="185" t="s">
        <v>215</v>
      </c>
    </row>
    <row r="51930" spans="129:129" x14ac:dyDescent="0.2">
      <c r="DY51930" s="185" t="s">
        <v>215</v>
      </c>
    </row>
    <row r="51931" spans="129:129" x14ac:dyDescent="0.2">
      <c r="DY51931" s="185" t="s">
        <v>215</v>
      </c>
    </row>
    <row r="51932" spans="129:129" x14ac:dyDescent="0.2">
      <c r="DY51932" s="185" t="s">
        <v>215</v>
      </c>
    </row>
    <row r="51933" spans="129:129" x14ac:dyDescent="0.2">
      <c r="DY51933" s="185" t="s">
        <v>215</v>
      </c>
    </row>
    <row r="51934" spans="129:129" x14ac:dyDescent="0.2">
      <c r="DY51934" s="185" t="s">
        <v>215</v>
      </c>
    </row>
    <row r="51935" spans="129:129" x14ac:dyDescent="0.2">
      <c r="DY51935" s="185" t="s">
        <v>215</v>
      </c>
    </row>
    <row r="51936" spans="129:129" x14ac:dyDescent="0.2">
      <c r="DY51936" s="185" t="s">
        <v>215</v>
      </c>
    </row>
    <row r="51937" spans="129:129" x14ac:dyDescent="0.2">
      <c r="DY51937" s="185" t="s">
        <v>215</v>
      </c>
    </row>
    <row r="51938" spans="129:129" x14ac:dyDescent="0.2">
      <c r="DY51938" s="185" t="s">
        <v>215</v>
      </c>
    </row>
    <row r="51939" spans="129:129" x14ac:dyDescent="0.2">
      <c r="DY51939" s="185" t="s">
        <v>215</v>
      </c>
    </row>
    <row r="51940" spans="129:129" x14ac:dyDescent="0.2">
      <c r="DY51940" s="185" t="s">
        <v>215</v>
      </c>
    </row>
    <row r="51941" spans="129:129" x14ac:dyDescent="0.2">
      <c r="DY51941" s="185" t="s">
        <v>215</v>
      </c>
    </row>
    <row r="51942" spans="129:129" x14ac:dyDescent="0.2">
      <c r="DY51942" s="185" t="s">
        <v>215</v>
      </c>
    </row>
    <row r="51943" spans="129:129" x14ac:dyDescent="0.2">
      <c r="DY51943" s="185" t="s">
        <v>215</v>
      </c>
    </row>
    <row r="51944" spans="129:129" x14ac:dyDescent="0.2">
      <c r="DY51944" s="185" t="s">
        <v>215</v>
      </c>
    </row>
    <row r="51945" spans="129:129" x14ac:dyDescent="0.2">
      <c r="DY51945" s="185" t="s">
        <v>215</v>
      </c>
    </row>
    <row r="51946" spans="129:129" x14ac:dyDescent="0.2">
      <c r="DY51946" s="185" t="s">
        <v>215</v>
      </c>
    </row>
    <row r="51947" spans="129:129" x14ac:dyDescent="0.2">
      <c r="DY51947" s="185" t="s">
        <v>215</v>
      </c>
    </row>
    <row r="51948" spans="129:129" x14ac:dyDescent="0.2">
      <c r="DY51948" s="185" t="s">
        <v>215</v>
      </c>
    </row>
    <row r="51949" spans="129:129" x14ac:dyDescent="0.2">
      <c r="DY51949" s="185" t="s">
        <v>215</v>
      </c>
    </row>
    <row r="51950" spans="129:129" x14ac:dyDescent="0.2">
      <c r="DY51950" s="185" t="s">
        <v>215</v>
      </c>
    </row>
    <row r="51951" spans="129:129" x14ac:dyDescent="0.2">
      <c r="DY51951" s="185" t="s">
        <v>215</v>
      </c>
    </row>
    <row r="51952" spans="129:129" x14ac:dyDescent="0.2">
      <c r="DY51952" s="185" t="s">
        <v>215</v>
      </c>
    </row>
    <row r="51953" spans="129:129" x14ac:dyDescent="0.2">
      <c r="DY51953" s="185" t="s">
        <v>215</v>
      </c>
    </row>
    <row r="51954" spans="129:129" x14ac:dyDescent="0.2">
      <c r="DY51954" s="185" t="s">
        <v>215</v>
      </c>
    </row>
    <row r="51955" spans="129:129" x14ac:dyDescent="0.2">
      <c r="DY51955" s="185" t="s">
        <v>215</v>
      </c>
    </row>
    <row r="51956" spans="129:129" x14ac:dyDescent="0.2">
      <c r="DY51956" s="185" t="s">
        <v>215</v>
      </c>
    </row>
    <row r="51957" spans="129:129" x14ac:dyDescent="0.2">
      <c r="DY51957" s="185" t="s">
        <v>215</v>
      </c>
    </row>
    <row r="51958" spans="129:129" x14ac:dyDescent="0.2">
      <c r="DY51958" s="185" t="s">
        <v>215</v>
      </c>
    </row>
    <row r="51959" spans="129:129" x14ac:dyDescent="0.2">
      <c r="DY51959" s="185" t="s">
        <v>215</v>
      </c>
    </row>
    <row r="51960" spans="129:129" x14ac:dyDescent="0.2">
      <c r="DY51960" s="185" t="s">
        <v>215</v>
      </c>
    </row>
    <row r="51961" spans="129:129" x14ac:dyDescent="0.2">
      <c r="DY51961" s="185" t="s">
        <v>215</v>
      </c>
    </row>
    <row r="51962" spans="129:129" x14ac:dyDescent="0.2">
      <c r="DY51962" s="185" t="s">
        <v>215</v>
      </c>
    </row>
    <row r="51963" spans="129:129" x14ac:dyDescent="0.2">
      <c r="DY51963" s="185" t="s">
        <v>215</v>
      </c>
    </row>
    <row r="51964" spans="129:129" x14ac:dyDescent="0.2">
      <c r="DY51964" s="185" t="s">
        <v>215</v>
      </c>
    </row>
    <row r="51965" spans="129:129" x14ac:dyDescent="0.2">
      <c r="DY51965" s="185" t="s">
        <v>215</v>
      </c>
    </row>
    <row r="51966" spans="129:129" x14ac:dyDescent="0.2">
      <c r="DY51966" s="185" t="s">
        <v>215</v>
      </c>
    </row>
    <row r="51967" spans="129:129" x14ac:dyDescent="0.2">
      <c r="DY51967" s="185" t="s">
        <v>215</v>
      </c>
    </row>
    <row r="51968" spans="129:129" x14ac:dyDescent="0.2">
      <c r="DY51968" s="185" t="s">
        <v>215</v>
      </c>
    </row>
    <row r="51969" spans="129:129" x14ac:dyDescent="0.2">
      <c r="DY51969" s="185" t="s">
        <v>215</v>
      </c>
    </row>
    <row r="51970" spans="129:129" x14ac:dyDescent="0.2">
      <c r="DY51970" s="185" t="s">
        <v>215</v>
      </c>
    </row>
    <row r="51971" spans="129:129" x14ac:dyDescent="0.2">
      <c r="DY51971" s="185" t="s">
        <v>215</v>
      </c>
    </row>
    <row r="51972" spans="129:129" x14ac:dyDescent="0.2">
      <c r="DY51972" s="185" t="s">
        <v>215</v>
      </c>
    </row>
    <row r="51973" spans="129:129" x14ac:dyDescent="0.2">
      <c r="DY51973" s="185" t="s">
        <v>215</v>
      </c>
    </row>
    <row r="51974" spans="129:129" x14ac:dyDescent="0.2">
      <c r="DY51974" s="185" t="s">
        <v>215</v>
      </c>
    </row>
    <row r="51975" spans="129:129" x14ac:dyDescent="0.2">
      <c r="DY51975" s="185" t="s">
        <v>215</v>
      </c>
    </row>
    <row r="51976" spans="129:129" x14ac:dyDescent="0.2">
      <c r="DY51976" s="185" t="s">
        <v>215</v>
      </c>
    </row>
    <row r="51977" spans="129:129" x14ac:dyDescent="0.2">
      <c r="DY51977" s="185" t="s">
        <v>215</v>
      </c>
    </row>
    <row r="51978" spans="129:129" x14ac:dyDescent="0.2">
      <c r="DY51978" s="185" t="s">
        <v>215</v>
      </c>
    </row>
    <row r="51979" spans="129:129" x14ac:dyDescent="0.2">
      <c r="DY51979" s="185" t="s">
        <v>215</v>
      </c>
    </row>
    <row r="51980" spans="129:129" x14ac:dyDescent="0.2">
      <c r="DY51980" s="185" t="s">
        <v>215</v>
      </c>
    </row>
    <row r="51981" spans="129:129" x14ac:dyDescent="0.2">
      <c r="DY51981" s="185" t="s">
        <v>215</v>
      </c>
    </row>
    <row r="51982" spans="129:129" x14ac:dyDescent="0.2">
      <c r="DY51982" s="185" t="s">
        <v>215</v>
      </c>
    </row>
    <row r="51983" spans="129:129" x14ac:dyDescent="0.2">
      <c r="DY51983" s="185" t="s">
        <v>215</v>
      </c>
    </row>
    <row r="51984" spans="129:129" x14ac:dyDescent="0.2">
      <c r="DY51984" s="185" t="s">
        <v>215</v>
      </c>
    </row>
    <row r="51985" spans="129:129" x14ac:dyDescent="0.2">
      <c r="DY51985" s="185" t="s">
        <v>215</v>
      </c>
    </row>
    <row r="51986" spans="129:129" x14ac:dyDescent="0.2">
      <c r="DY51986" s="185" t="s">
        <v>215</v>
      </c>
    </row>
    <row r="51987" spans="129:129" x14ac:dyDescent="0.2">
      <c r="DY51987" s="185" t="s">
        <v>215</v>
      </c>
    </row>
    <row r="51988" spans="129:129" x14ac:dyDescent="0.2">
      <c r="DY51988" s="185" t="s">
        <v>215</v>
      </c>
    </row>
    <row r="51989" spans="129:129" x14ac:dyDescent="0.2">
      <c r="DY51989" s="185" t="s">
        <v>215</v>
      </c>
    </row>
    <row r="51990" spans="129:129" x14ac:dyDescent="0.2">
      <c r="DY51990" s="185" t="s">
        <v>215</v>
      </c>
    </row>
    <row r="51991" spans="129:129" x14ac:dyDescent="0.2">
      <c r="DY51991" s="185" t="s">
        <v>215</v>
      </c>
    </row>
    <row r="51992" spans="129:129" x14ac:dyDescent="0.2">
      <c r="DY51992" s="185" t="s">
        <v>215</v>
      </c>
    </row>
    <row r="51993" spans="129:129" x14ac:dyDescent="0.2">
      <c r="DY51993" s="185" t="s">
        <v>215</v>
      </c>
    </row>
    <row r="51994" spans="129:129" x14ac:dyDescent="0.2">
      <c r="DY51994" s="185" t="s">
        <v>215</v>
      </c>
    </row>
    <row r="51995" spans="129:129" x14ac:dyDescent="0.2">
      <c r="DY51995" s="185" t="s">
        <v>215</v>
      </c>
    </row>
    <row r="51996" spans="129:129" x14ac:dyDescent="0.2">
      <c r="DY51996" s="185" t="s">
        <v>215</v>
      </c>
    </row>
    <row r="51997" spans="129:129" x14ac:dyDescent="0.2">
      <c r="DY51997" s="185" t="s">
        <v>215</v>
      </c>
    </row>
    <row r="51998" spans="129:129" x14ac:dyDescent="0.2">
      <c r="DY51998" s="185" t="s">
        <v>215</v>
      </c>
    </row>
    <row r="51999" spans="129:129" x14ac:dyDescent="0.2">
      <c r="DY51999" s="185" t="s">
        <v>215</v>
      </c>
    </row>
    <row r="52000" spans="129:129" x14ac:dyDescent="0.2">
      <c r="DY52000" s="185" t="s">
        <v>215</v>
      </c>
    </row>
    <row r="52001" spans="129:129" x14ac:dyDescent="0.2">
      <c r="DY52001" s="185" t="s">
        <v>215</v>
      </c>
    </row>
    <row r="52002" spans="129:129" x14ac:dyDescent="0.2">
      <c r="DY52002" s="185" t="s">
        <v>215</v>
      </c>
    </row>
    <row r="52003" spans="129:129" x14ac:dyDescent="0.2">
      <c r="DY52003" s="185" t="s">
        <v>215</v>
      </c>
    </row>
    <row r="52004" spans="129:129" x14ac:dyDescent="0.2">
      <c r="DY52004" s="185" t="s">
        <v>215</v>
      </c>
    </row>
    <row r="52005" spans="129:129" x14ac:dyDescent="0.2">
      <c r="DY52005" s="185" t="s">
        <v>215</v>
      </c>
    </row>
    <row r="52006" spans="129:129" x14ac:dyDescent="0.2">
      <c r="DY52006" s="185" t="s">
        <v>215</v>
      </c>
    </row>
    <row r="52007" spans="129:129" x14ac:dyDescent="0.2">
      <c r="DY52007" s="185" t="s">
        <v>215</v>
      </c>
    </row>
    <row r="52008" spans="129:129" x14ac:dyDescent="0.2">
      <c r="DY52008" s="185" t="s">
        <v>215</v>
      </c>
    </row>
    <row r="52009" spans="129:129" x14ac:dyDescent="0.2">
      <c r="DY52009" s="185" t="s">
        <v>215</v>
      </c>
    </row>
    <row r="52010" spans="129:129" x14ac:dyDescent="0.2">
      <c r="DY52010" s="185" t="s">
        <v>215</v>
      </c>
    </row>
    <row r="52011" spans="129:129" x14ac:dyDescent="0.2">
      <c r="DY52011" s="185" t="s">
        <v>215</v>
      </c>
    </row>
    <row r="52012" spans="129:129" x14ac:dyDescent="0.2">
      <c r="DY52012" s="185" t="s">
        <v>215</v>
      </c>
    </row>
    <row r="52013" spans="129:129" x14ac:dyDescent="0.2">
      <c r="DY52013" s="185" t="s">
        <v>215</v>
      </c>
    </row>
    <row r="52014" spans="129:129" x14ac:dyDescent="0.2">
      <c r="DY52014" s="185" t="s">
        <v>215</v>
      </c>
    </row>
    <row r="52015" spans="129:129" x14ac:dyDescent="0.2">
      <c r="DY52015" s="185" t="s">
        <v>215</v>
      </c>
    </row>
    <row r="52016" spans="129:129" x14ac:dyDescent="0.2">
      <c r="DY52016" s="185" t="s">
        <v>215</v>
      </c>
    </row>
    <row r="52017" spans="129:129" x14ac:dyDescent="0.2">
      <c r="DY52017" s="185" t="s">
        <v>215</v>
      </c>
    </row>
    <row r="52018" spans="129:129" x14ac:dyDescent="0.2">
      <c r="DY52018" s="185" t="s">
        <v>215</v>
      </c>
    </row>
    <row r="52019" spans="129:129" x14ac:dyDescent="0.2">
      <c r="DY52019" s="185" t="s">
        <v>215</v>
      </c>
    </row>
    <row r="52020" spans="129:129" x14ac:dyDescent="0.2">
      <c r="DY52020" s="185" t="s">
        <v>215</v>
      </c>
    </row>
    <row r="52021" spans="129:129" x14ac:dyDescent="0.2">
      <c r="DY52021" s="185" t="s">
        <v>215</v>
      </c>
    </row>
    <row r="52022" spans="129:129" x14ac:dyDescent="0.2">
      <c r="DY52022" s="185" t="s">
        <v>215</v>
      </c>
    </row>
    <row r="52023" spans="129:129" x14ac:dyDescent="0.2">
      <c r="DY52023" s="185" t="s">
        <v>215</v>
      </c>
    </row>
    <row r="52024" spans="129:129" x14ac:dyDescent="0.2">
      <c r="DY52024" s="185" t="s">
        <v>215</v>
      </c>
    </row>
    <row r="52025" spans="129:129" x14ac:dyDescent="0.2">
      <c r="DY52025" s="185" t="s">
        <v>215</v>
      </c>
    </row>
    <row r="52026" spans="129:129" x14ac:dyDescent="0.2">
      <c r="DY52026" s="185" t="s">
        <v>215</v>
      </c>
    </row>
    <row r="52027" spans="129:129" x14ac:dyDescent="0.2">
      <c r="DY52027" s="185" t="s">
        <v>215</v>
      </c>
    </row>
    <row r="52028" spans="129:129" x14ac:dyDescent="0.2">
      <c r="DY52028" s="185" t="s">
        <v>215</v>
      </c>
    </row>
    <row r="52029" spans="129:129" x14ac:dyDescent="0.2">
      <c r="DY52029" s="185" t="s">
        <v>215</v>
      </c>
    </row>
    <row r="52030" spans="129:129" x14ac:dyDescent="0.2">
      <c r="DY52030" s="185" t="s">
        <v>215</v>
      </c>
    </row>
    <row r="52031" spans="129:129" x14ac:dyDescent="0.2">
      <c r="DY52031" s="185" t="s">
        <v>215</v>
      </c>
    </row>
    <row r="52032" spans="129:129" x14ac:dyDescent="0.2">
      <c r="DY52032" s="185" t="s">
        <v>215</v>
      </c>
    </row>
    <row r="52033" spans="129:129" x14ac:dyDescent="0.2">
      <c r="DY52033" s="185" t="s">
        <v>215</v>
      </c>
    </row>
    <row r="52034" spans="129:129" x14ac:dyDescent="0.2">
      <c r="DY52034" s="185" t="s">
        <v>215</v>
      </c>
    </row>
    <row r="52035" spans="129:129" x14ac:dyDescent="0.2">
      <c r="DY52035" s="185" t="s">
        <v>215</v>
      </c>
    </row>
    <row r="52036" spans="129:129" x14ac:dyDescent="0.2">
      <c r="DY52036" s="185" t="s">
        <v>215</v>
      </c>
    </row>
    <row r="52037" spans="129:129" x14ac:dyDescent="0.2">
      <c r="DY52037" s="185" t="s">
        <v>215</v>
      </c>
    </row>
    <row r="52038" spans="129:129" x14ac:dyDescent="0.2">
      <c r="DY52038" s="185" t="s">
        <v>215</v>
      </c>
    </row>
    <row r="52039" spans="129:129" x14ac:dyDescent="0.2">
      <c r="DY52039" s="185" t="s">
        <v>215</v>
      </c>
    </row>
    <row r="52040" spans="129:129" x14ac:dyDescent="0.2">
      <c r="DY52040" s="185" t="s">
        <v>215</v>
      </c>
    </row>
    <row r="52041" spans="129:129" x14ac:dyDescent="0.2">
      <c r="DY52041" s="185" t="s">
        <v>215</v>
      </c>
    </row>
    <row r="52042" spans="129:129" x14ac:dyDescent="0.2">
      <c r="DY52042" s="185" t="s">
        <v>215</v>
      </c>
    </row>
    <row r="52043" spans="129:129" x14ac:dyDescent="0.2">
      <c r="DY52043" s="185" t="s">
        <v>215</v>
      </c>
    </row>
    <row r="52044" spans="129:129" x14ac:dyDescent="0.2">
      <c r="DY52044" s="185" t="s">
        <v>215</v>
      </c>
    </row>
    <row r="52045" spans="129:129" x14ac:dyDescent="0.2">
      <c r="DY52045" s="185" t="s">
        <v>215</v>
      </c>
    </row>
    <row r="52046" spans="129:129" x14ac:dyDescent="0.2">
      <c r="DY52046" s="185" t="s">
        <v>215</v>
      </c>
    </row>
    <row r="52047" spans="129:129" x14ac:dyDescent="0.2">
      <c r="DY52047" s="185" t="s">
        <v>215</v>
      </c>
    </row>
    <row r="52048" spans="129:129" x14ac:dyDescent="0.2">
      <c r="DY52048" s="185" t="s">
        <v>215</v>
      </c>
    </row>
    <row r="52049" spans="129:129" x14ac:dyDescent="0.2">
      <c r="DY52049" s="185" t="s">
        <v>215</v>
      </c>
    </row>
    <row r="52050" spans="129:129" x14ac:dyDescent="0.2">
      <c r="DY52050" s="185" t="s">
        <v>215</v>
      </c>
    </row>
    <row r="52051" spans="129:129" x14ac:dyDescent="0.2">
      <c r="DY52051" s="185" t="s">
        <v>215</v>
      </c>
    </row>
    <row r="52052" spans="129:129" x14ac:dyDescent="0.2">
      <c r="DY52052" s="185" t="s">
        <v>215</v>
      </c>
    </row>
    <row r="52053" spans="129:129" x14ac:dyDescent="0.2">
      <c r="DY52053" s="185" t="s">
        <v>215</v>
      </c>
    </row>
    <row r="52054" spans="129:129" x14ac:dyDescent="0.2">
      <c r="DY52054" s="185" t="s">
        <v>215</v>
      </c>
    </row>
    <row r="52055" spans="129:129" x14ac:dyDescent="0.2">
      <c r="DY52055" s="185" t="s">
        <v>215</v>
      </c>
    </row>
    <row r="52056" spans="129:129" x14ac:dyDescent="0.2">
      <c r="DY52056" s="185" t="s">
        <v>215</v>
      </c>
    </row>
    <row r="52057" spans="129:129" x14ac:dyDescent="0.2">
      <c r="DY52057" s="185" t="s">
        <v>215</v>
      </c>
    </row>
    <row r="52058" spans="129:129" x14ac:dyDescent="0.2">
      <c r="DY52058" s="185" t="s">
        <v>215</v>
      </c>
    </row>
    <row r="52059" spans="129:129" x14ac:dyDescent="0.2">
      <c r="DY52059" s="185" t="s">
        <v>215</v>
      </c>
    </row>
    <row r="52060" spans="129:129" x14ac:dyDescent="0.2">
      <c r="DY52060" s="185" t="s">
        <v>215</v>
      </c>
    </row>
    <row r="52061" spans="129:129" x14ac:dyDescent="0.2">
      <c r="DY52061" s="185" t="s">
        <v>215</v>
      </c>
    </row>
    <row r="52062" spans="129:129" x14ac:dyDescent="0.2">
      <c r="DY52062" s="185" t="s">
        <v>215</v>
      </c>
    </row>
    <row r="52063" spans="129:129" x14ac:dyDescent="0.2">
      <c r="DY52063" s="185" t="s">
        <v>215</v>
      </c>
    </row>
    <row r="52064" spans="129:129" x14ac:dyDescent="0.2">
      <c r="DY52064" s="185" t="s">
        <v>215</v>
      </c>
    </row>
    <row r="52065" spans="129:129" x14ac:dyDescent="0.2">
      <c r="DY52065" s="185" t="s">
        <v>215</v>
      </c>
    </row>
    <row r="52066" spans="129:129" x14ac:dyDescent="0.2">
      <c r="DY52066" s="185" t="s">
        <v>215</v>
      </c>
    </row>
    <row r="52067" spans="129:129" x14ac:dyDescent="0.2">
      <c r="DY52067" s="185" t="s">
        <v>215</v>
      </c>
    </row>
    <row r="52068" spans="129:129" x14ac:dyDescent="0.2">
      <c r="DY52068" s="185" t="s">
        <v>215</v>
      </c>
    </row>
    <row r="52069" spans="129:129" x14ac:dyDescent="0.2">
      <c r="DY52069" s="185" t="s">
        <v>215</v>
      </c>
    </row>
    <row r="52070" spans="129:129" x14ac:dyDescent="0.2">
      <c r="DY52070" s="185" t="s">
        <v>215</v>
      </c>
    </row>
    <row r="52071" spans="129:129" x14ac:dyDescent="0.2">
      <c r="DY52071" s="185" t="s">
        <v>215</v>
      </c>
    </row>
    <row r="52072" spans="129:129" x14ac:dyDescent="0.2">
      <c r="DY52072" s="185" t="s">
        <v>215</v>
      </c>
    </row>
    <row r="52073" spans="129:129" x14ac:dyDescent="0.2">
      <c r="DY52073" s="185" t="s">
        <v>215</v>
      </c>
    </row>
    <row r="52074" spans="129:129" x14ac:dyDescent="0.2">
      <c r="DY52074" s="185" t="s">
        <v>215</v>
      </c>
    </row>
    <row r="52075" spans="129:129" x14ac:dyDescent="0.2">
      <c r="DY52075" s="185" t="s">
        <v>215</v>
      </c>
    </row>
    <row r="52076" spans="129:129" x14ac:dyDescent="0.2">
      <c r="DY52076" s="185" t="s">
        <v>215</v>
      </c>
    </row>
    <row r="52077" spans="129:129" x14ac:dyDescent="0.2">
      <c r="DY52077" s="185" t="s">
        <v>215</v>
      </c>
    </row>
    <row r="52078" spans="129:129" x14ac:dyDescent="0.2">
      <c r="DY52078" s="185" t="s">
        <v>215</v>
      </c>
    </row>
    <row r="52079" spans="129:129" x14ac:dyDescent="0.2">
      <c r="DY52079" s="185" t="s">
        <v>215</v>
      </c>
    </row>
    <row r="52080" spans="129:129" x14ac:dyDescent="0.2">
      <c r="DY52080" s="185" t="s">
        <v>215</v>
      </c>
    </row>
    <row r="52081" spans="129:129" x14ac:dyDescent="0.2">
      <c r="DY52081" s="185" t="s">
        <v>215</v>
      </c>
    </row>
    <row r="52082" spans="129:129" x14ac:dyDescent="0.2">
      <c r="DY52082" s="185" t="s">
        <v>215</v>
      </c>
    </row>
    <row r="52083" spans="129:129" x14ac:dyDescent="0.2">
      <c r="DY52083" s="185" t="s">
        <v>215</v>
      </c>
    </row>
    <row r="52084" spans="129:129" x14ac:dyDescent="0.2">
      <c r="DY52084" s="185" t="s">
        <v>215</v>
      </c>
    </row>
    <row r="52085" spans="129:129" x14ac:dyDescent="0.2">
      <c r="DY52085" s="185" t="s">
        <v>215</v>
      </c>
    </row>
    <row r="52086" spans="129:129" x14ac:dyDescent="0.2">
      <c r="DY52086" s="185" t="s">
        <v>215</v>
      </c>
    </row>
    <row r="52087" spans="129:129" x14ac:dyDescent="0.2">
      <c r="DY52087" s="185" t="s">
        <v>215</v>
      </c>
    </row>
    <row r="52088" spans="129:129" x14ac:dyDescent="0.2">
      <c r="DY52088" s="185" t="s">
        <v>215</v>
      </c>
    </row>
    <row r="52089" spans="129:129" x14ac:dyDescent="0.2">
      <c r="DY52089" s="185" t="s">
        <v>215</v>
      </c>
    </row>
    <row r="52090" spans="129:129" x14ac:dyDescent="0.2">
      <c r="DY52090" s="185" t="s">
        <v>215</v>
      </c>
    </row>
    <row r="52091" spans="129:129" x14ac:dyDescent="0.2">
      <c r="DY52091" s="185" t="s">
        <v>215</v>
      </c>
    </row>
    <row r="52092" spans="129:129" x14ac:dyDescent="0.2">
      <c r="DY52092" s="185" t="s">
        <v>215</v>
      </c>
    </row>
    <row r="52093" spans="129:129" x14ac:dyDescent="0.2">
      <c r="DY52093" s="185" t="s">
        <v>215</v>
      </c>
    </row>
    <row r="52094" spans="129:129" x14ac:dyDescent="0.2">
      <c r="DY52094" s="185" t="s">
        <v>215</v>
      </c>
    </row>
    <row r="52095" spans="129:129" x14ac:dyDescent="0.2">
      <c r="DY52095" s="185" t="s">
        <v>215</v>
      </c>
    </row>
    <row r="52096" spans="129:129" x14ac:dyDescent="0.2">
      <c r="DY52096" s="185" t="s">
        <v>215</v>
      </c>
    </row>
    <row r="52097" spans="129:129" x14ac:dyDescent="0.2">
      <c r="DY52097" s="185" t="s">
        <v>215</v>
      </c>
    </row>
    <row r="52098" spans="129:129" x14ac:dyDescent="0.2">
      <c r="DY52098" s="185" t="s">
        <v>215</v>
      </c>
    </row>
    <row r="52099" spans="129:129" x14ac:dyDescent="0.2">
      <c r="DY52099" s="185" t="s">
        <v>215</v>
      </c>
    </row>
    <row r="52100" spans="129:129" x14ac:dyDescent="0.2">
      <c r="DY52100" s="185" t="s">
        <v>215</v>
      </c>
    </row>
    <row r="52101" spans="129:129" x14ac:dyDescent="0.2">
      <c r="DY52101" s="185" t="s">
        <v>215</v>
      </c>
    </row>
    <row r="52102" spans="129:129" x14ac:dyDescent="0.2">
      <c r="DY52102" s="185" t="s">
        <v>215</v>
      </c>
    </row>
    <row r="52103" spans="129:129" x14ac:dyDescent="0.2">
      <c r="DY52103" s="185" t="s">
        <v>215</v>
      </c>
    </row>
    <row r="52104" spans="129:129" x14ac:dyDescent="0.2">
      <c r="DY52104" s="185" t="s">
        <v>215</v>
      </c>
    </row>
    <row r="52105" spans="129:129" x14ac:dyDescent="0.2">
      <c r="DY52105" s="185" t="s">
        <v>215</v>
      </c>
    </row>
    <row r="52106" spans="129:129" x14ac:dyDescent="0.2">
      <c r="DY52106" s="185" t="s">
        <v>215</v>
      </c>
    </row>
    <row r="52107" spans="129:129" x14ac:dyDescent="0.2">
      <c r="DY52107" s="185" t="s">
        <v>215</v>
      </c>
    </row>
    <row r="52108" spans="129:129" x14ac:dyDescent="0.2">
      <c r="DY52108" s="185" t="s">
        <v>215</v>
      </c>
    </row>
    <row r="52109" spans="129:129" x14ac:dyDescent="0.2">
      <c r="DY52109" s="185" t="s">
        <v>215</v>
      </c>
    </row>
    <row r="52110" spans="129:129" x14ac:dyDescent="0.2">
      <c r="DY52110" s="185" t="s">
        <v>215</v>
      </c>
    </row>
    <row r="52111" spans="129:129" x14ac:dyDescent="0.2">
      <c r="DY52111" s="185" t="s">
        <v>215</v>
      </c>
    </row>
    <row r="52112" spans="129:129" x14ac:dyDescent="0.2">
      <c r="DY52112" s="185" t="s">
        <v>215</v>
      </c>
    </row>
    <row r="52113" spans="129:129" x14ac:dyDescent="0.2">
      <c r="DY52113" s="185" t="s">
        <v>215</v>
      </c>
    </row>
    <row r="52114" spans="129:129" x14ac:dyDescent="0.2">
      <c r="DY52114" s="185" t="s">
        <v>215</v>
      </c>
    </row>
    <row r="52115" spans="129:129" x14ac:dyDescent="0.2">
      <c r="DY52115" s="185" t="s">
        <v>215</v>
      </c>
    </row>
    <row r="52116" spans="129:129" x14ac:dyDescent="0.2">
      <c r="DY52116" s="185" t="s">
        <v>215</v>
      </c>
    </row>
    <row r="52117" spans="129:129" x14ac:dyDescent="0.2">
      <c r="DY52117" s="185" t="s">
        <v>215</v>
      </c>
    </row>
    <row r="52118" spans="129:129" x14ac:dyDescent="0.2">
      <c r="DY52118" s="185" t="s">
        <v>215</v>
      </c>
    </row>
    <row r="52119" spans="129:129" x14ac:dyDescent="0.2">
      <c r="DY52119" s="185" t="s">
        <v>215</v>
      </c>
    </row>
    <row r="52120" spans="129:129" x14ac:dyDescent="0.2">
      <c r="DY52120" s="185" t="s">
        <v>215</v>
      </c>
    </row>
    <row r="52121" spans="129:129" x14ac:dyDescent="0.2">
      <c r="DY52121" s="185" t="s">
        <v>215</v>
      </c>
    </row>
    <row r="52122" spans="129:129" x14ac:dyDescent="0.2">
      <c r="DY52122" s="185" t="s">
        <v>215</v>
      </c>
    </row>
    <row r="52123" spans="129:129" x14ac:dyDescent="0.2">
      <c r="DY52123" s="185" t="s">
        <v>215</v>
      </c>
    </row>
    <row r="52124" spans="129:129" x14ac:dyDescent="0.2">
      <c r="DY52124" s="185" t="s">
        <v>215</v>
      </c>
    </row>
    <row r="52125" spans="129:129" x14ac:dyDescent="0.2">
      <c r="DY52125" s="185" t="s">
        <v>215</v>
      </c>
    </row>
    <row r="52126" spans="129:129" x14ac:dyDescent="0.2">
      <c r="DY52126" s="185" t="s">
        <v>215</v>
      </c>
    </row>
    <row r="52127" spans="129:129" x14ac:dyDescent="0.2">
      <c r="DY52127" s="185" t="s">
        <v>215</v>
      </c>
    </row>
    <row r="52128" spans="129:129" x14ac:dyDescent="0.2">
      <c r="DY52128" s="185" t="s">
        <v>215</v>
      </c>
    </row>
    <row r="52129" spans="129:129" x14ac:dyDescent="0.2">
      <c r="DY52129" s="185" t="s">
        <v>215</v>
      </c>
    </row>
    <row r="52130" spans="129:129" x14ac:dyDescent="0.2">
      <c r="DY52130" s="185" t="s">
        <v>215</v>
      </c>
    </row>
    <row r="52131" spans="129:129" x14ac:dyDescent="0.2">
      <c r="DY52131" s="185" t="s">
        <v>215</v>
      </c>
    </row>
    <row r="52132" spans="129:129" x14ac:dyDescent="0.2">
      <c r="DY52132" s="185" t="s">
        <v>215</v>
      </c>
    </row>
    <row r="52133" spans="129:129" x14ac:dyDescent="0.2">
      <c r="DY52133" s="185" t="s">
        <v>215</v>
      </c>
    </row>
    <row r="52134" spans="129:129" x14ac:dyDescent="0.2">
      <c r="DY52134" s="185" t="s">
        <v>215</v>
      </c>
    </row>
    <row r="52135" spans="129:129" x14ac:dyDescent="0.2">
      <c r="DY52135" s="185" t="s">
        <v>215</v>
      </c>
    </row>
    <row r="52136" spans="129:129" x14ac:dyDescent="0.2">
      <c r="DY52136" s="185" t="s">
        <v>215</v>
      </c>
    </row>
    <row r="52137" spans="129:129" x14ac:dyDescent="0.2">
      <c r="DY52137" s="185" t="s">
        <v>215</v>
      </c>
    </row>
    <row r="52138" spans="129:129" x14ac:dyDescent="0.2">
      <c r="DY52138" s="185" t="s">
        <v>215</v>
      </c>
    </row>
    <row r="52139" spans="129:129" x14ac:dyDescent="0.2">
      <c r="DY52139" s="185" t="s">
        <v>215</v>
      </c>
    </row>
    <row r="52140" spans="129:129" x14ac:dyDescent="0.2">
      <c r="DY52140" s="185" t="s">
        <v>215</v>
      </c>
    </row>
    <row r="52141" spans="129:129" x14ac:dyDescent="0.2">
      <c r="DY52141" s="185" t="s">
        <v>215</v>
      </c>
    </row>
    <row r="52142" spans="129:129" x14ac:dyDescent="0.2">
      <c r="DY52142" s="185" t="s">
        <v>215</v>
      </c>
    </row>
    <row r="52143" spans="129:129" x14ac:dyDescent="0.2">
      <c r="DY52143" s="185" t="s">
        <v>215</v>
      </c>
    </row>
    <row r="52144" spans="129:129" x14ac:dyDescent="0.2">
      <c r="DY52144" s="185" t="s">
        <v>215</v>
      </c>
    </row>
    <row r="52145" spans="129:129" x14ac:dyDescent="0.2">
      <c r="DY52145" s="185" t="s">
        <v>215</v>
      </c>
    </row>
    <row r="52146" spans="129:129" x14ac:dyDescent="0.2">
      <c r="DY52146" s="185" t="s">
        <v>215</v>
      </c>
    </row>
    <row r="52147" spans="129:129" x14ac:dyDescent="0.2">
      <c r="DY52147" s="185" t="s">
        <v>215</v>
      </c>
    </row>
    <row r="52148" spans="129:129" x14ac:dyDescent="0.2">
      <c r="DY52148" s="185" t="s">
        <v>215</v>
      </c>
    </row>
    <row r="52149" spans="129:129" x14ac:dyDescent="0.2">
      <c r="DY52149" s="185" t="s">
        <v>215</v>
      </c>
    </row>
    <row r="52150" spans="129:129" x14ac:dyDescent="0.2">
      <c r="DY52150" s="185" t="s">
        <v>215</v>
      </c>
    </row>
    <row r="52151" spans="129:129" x14ac:dyDescent="0.2">
      <c r="DY52151" s="185" t="s">
        <v>215</v>
      </c>
    </row>
    <row r="52152" spans="129:129" x14ac:dyDescent="0.2">
      <c r="DY52152" s="185" t="s">
        <v>215</v>
      </c>
    </row>
    <row r="52153" spans="129:129" x14ac:dyDescent="0.2">
      <c r="DY52153" s="185" t="s">
        <v>215</v>
      </c>
    </row>
    <row r="52154" spans="129:129" x14ac:dyDescent="0.2">
      <c r="DY52154" s="185" t="s">
        <v>215</v>
      </c>
    </row>
    <row r="52155" spans="129:129" x14ac:dyDescent="0.2">
      <c r="DY52155" s="185" t="s">
        <v>215</v>
      </c>
    </row>
    <row r="52156" spans="129:129" x14ac:dyDescent="0.2">
      <c r="DY52156" s="185" t="s">
        <v>215</v>
      </c>
    </row>
    <row r="52157" spans="129:129" x14ac:dyDescent="0.2">
      <c r="DY52157" s="185" t="s">
        <v>215</v>
      </c>
    </row>
    <row r="52158" spans="129:129" x14ac:dyDescent="0.2">
      <c r="DY52158" s="185" t="s">
        <v>215</v>
      </c>
    </row>
    <row r="52159" spans="129:129" x14ac:dyDescent="0.2">
      <c r="DY52159" s="185" t="s">
        <v>215</v>
      </c>
    </row>
    <row r="52160" spans="129:129" x14ac:dyDescent="0.2">
      <c r="DY52160" s="185" t="s">
        <v>215</v>
      </c>
    </row>
    <row r="52161" spans="129:129" x14ac:dyDescent="0.2">
      <c r="DY52161" s="185" t="s">
        <v>215</v>
      </c>
    </row>
    <row r="52162" spans="129:129" x14ac:dyDescent="0.2">
      <c r="DY52162" s="185" t="s">
        <v>215</v>
      </c>
    </row>
    <row r="52163" spans="129:129" x14ac:dyDescent="0.2">
      <c r="DY52163" s="185" t="s">
        <v>215</v>
      </c>
    </row>
    <row r="52164" spans="129:129" x14ac:dyDescent="0.2">
      <c r="DY52164" s="185" t="s">
        <v>215</v>
      </c>
    </row>
    <row r="52165" spans="129:129" x14ac:dyDescent="0.2">
      <c r="DY52165" s="185" t="s">
        <v>215</v>
      </c>
    </row>
    <row r="52166" spans="129:129" x14ac:dyDescent="0.2">
      <c r="DY52166" s="185" t="s">
        <v>215</v>
      </c>
    </row>
    <row r="52167" spans="129:129" x14ac:dyDescent="0.2">
      <c r="DY52167" s="185" t="s">
        <v>215</v>
      </c>
    </row>
    <row r="52168" spans="129:129" x14ac:dyDescent="0.2">
      <c r="DY52168" s="185" t="s">
        <v>215</v>
      </c>
    </row>
    <row r="52169" spans="129:129" x14ac:dyDescent="0.2">
      <c r="DY52169" s="185" t="s">
        <v>215</v>
      </c>
    </row>
    <row r="52170" spans="129:129" x14ac:dyDescent="0.2">
      <c r="DY52170" s="185" t="s">
        <v>215</v>
      </c>
    </row>
    <row r="52171" spans="129:129" x14ac:dyDescent="0.2">
      <c r="DY52171" s="185" t="s">
        <v>215</v>
      </c>
    </row>
    <row r="52172" spans="129:129" x14ac:dyDescent="0.2">
      <c r="DY52172" s="185" t="s">
        <v>215</v>
      </c>
    </row>
    <row r="52173" spans="129:129" x14ac:dyDescent="0.2">
      <c r="DY52173" s="185" t="s">
        <v>215</v>
      </c>
    </row>
    <row r="52174" spans="129:129" x14ac:dyDescent="0.2">
      <c r="DY52174" s="185" t="s">
        <v>215</v>
      </c>
    </row>
    <row r="52175" spans="129:129" x14ac:dyDescent="0.2">
      <c r="DY52175" s="185" t="s">
        <v>215</v>
      </c>
    </row>
    <row r="52176" spans="129:129" x14ac:dyDescent="0.2">
      <c r="DY52176" s="185" t="s">
        <v>215</v>
      </c>
    </row>
    <row r="52177" spans="129:129" x14ac:dyDescent="0.2">
      <c r="DY52177" s="185" t="s">
        <v>215</v>
      </c>
    </row>
    <row r="52178" spans="129:129" x14ac:dyDescent="0.2">
      <c r="DY52178" s="185" t="s">
        <v>215</v>
      </c>
    </row>
    <row r="52179" spans="129:129" x14ac:dyDescent="0.2">
      <c r="DY52179" s="185" t="s">
        <v>215</v>
      </c>
    </row>
    <row r="52180" spans="129:129" x14ac:dyDescent="0.2">
      <c r="DY52180" s="185" t="s">
        <v>215</v>
      </c>
    </row>
    <row r="52181" spans="129:129" x14ac:dyDescent="0.2">
      <c r="DY52181" s="185" t="s">
        <v>215</v>
      </c>
    </row>
    <row r="52182" spans="129:129" x14ac:dyDescent="0.2">
      <c r="DY52182" s="185" t="s">
        <v>215</v>
      </c>
    </row>
    <row r="52183" spans="129:129" x14ac:dyDescent="0.2">
      <c r="DY52183" s="185" t="s">
        <v>215</v>
      </c>
    </row>
    <row r="52184" spans="129:129" x14ac:dyDescent="0.2">
      <c r="DY52184" s="185" t="s">
        <v>215</v>
      </c>
    </row>
    <row r="52185" spans="129:129" x14ac:dyDescent="0.2">
      <c r="DY52185" s="185" t="s">
        <v>215</v>
      </c>
    </row>
    <row r="52186" spans="129:129" x14ac:dyDescent="0.2">
      <c r="DY52186" s="185" t="s">
        <v>215</v>
      </c>
    </row>
    <row r="52187" spans="129:129" x14ac:dyDescent="0.2">
      <c r="DY52187" s="185" t="s">
        <v>215</v>
      </c>
    </row>
    <row r="52188" spans="129:129" x14ac:dyDescent="0.2">
      <c r="DY52188" s="185" t="s">
        <v>215</v>
      </c>
    </row>
    <row r="52189" spans="129:129" x14ac:dyDescent="0.2">
      <c r="DY52189" s="185" t="s">
        <v>215</v>
      </c>
    </row>
    <row r="52190" spans="129:129" x14ac:dyDescent="0.2">
      <c r="DY52190" s="185" t="s">
        <v>215</v>
      </c>
    </row>
    <row r="52191" spans="129:129" x14ac:dyDescent="0.2">
      <c r="DY52191" s="185" t="s">
        <v>215</v>
      </c>
    </row>
    <row r="52192" spans="129:129" x14ac:dyDescent="0.2">
      <c r="DY52192" s="185" t="s">
        <v>215</v>
      </c>
    </row>
    <row r="52193" spans="129:129" x14ac:dyDescent="0.2">
      <c r="DY52193" s="185" t="s">
        <v>215</v>
      </c>
    </row>
    <row r="52194" spans="129:129" x14ac:dyDescent="0.2">
      <c r="DY52194" s="185" t="s">
        <v>215</v>
      </c>
    </row>
    <row r="52195" spans="129:129" x14ac:dyDescent="0.2">
      <c r="DY52195" s="185" t="s">
        <v>215</v>
      </c>
    </row>
    <row r="52196" spans="129:129" x14ac:dyDescent="0.2">
      <c r="DY52196" s="185" t="s">
        <v>215</v>
      </c>
    </row>
    <row r="52197" spans="129:129" x14ac:dyDescent="0.2">
      <c r="DY52197" s="185" t="s">
        <v>215</v>
      </c>
    </row>
    <row r="52198" spans="129:129" x14ac:dyDescent="0.2">
      <c r="DY52198" s="185" t="s">
        <v>215</v>
      </c>
    </row>
    <row r="52199" spans="129:129" x14ac:dyDescent="0.2">
      <c r="DY52199" s="185" t="s">
        <v>215</v>
      </c>
    </row>
    <row r="52200" spans="129:129" x14ac:dyDescent="0.2">
      <c r="DY52200" s="185" t="s">
        <v>215</v>
      </c>
    </row>
    <row r="52201" spans="129:129" x14ac:dyDescent="0.2">
      <c r="DY52201" s="185" t="s">
        <v>215</v>
      </c>
    </row>
    <row r="52202" spans="129:129" x14ac:dyDescent="0.2">
      <c r="DY52202" s="185" t="s">
        <v>215</v>
      </c>
    </row>
    <row r="52203" spans="129:129" x14ac:dyDescent="0.2">
      <c r="DY52203" s="185" t="s">
        <v>215</v>
      </c>
    </row>
    <row r="52204" spans="129:129" x14ac:dyDescent="0.2">
      <c r="DY52204" s="185" t="s">
        <v>215</v>
      </c>
    </row>
    <row r="52205" spans="129:129" x14ac:dyDescent="0.2">
      <c r="DY52205" s="185" t="s">
        <v>215</v>
      </c>
    </row>
    <row r="52206" spans="129:129" x14ac:dyDescent="0.2">
      <c r="DY52206" s="185" t="s">
        <v>215</v>
      </c>
    </row>
    <row r="52207" spans="129:129" x14ac:dyDescent="0.2">
      <c r="DY52207" s="185" t="s">
        <v>215</v>
      </c>
    </row>
    <row r="52208" spans="129:129" x14ac:dyDescent="0.2">
      <c r="DY52208" s="185" t="s">
        <v>215</v>
      </c>
    </row>
    <row r="52209" spans="129:129" x14ac:dyDescent="0.2">
      <c r="DY52209" s="185" t="s">
        <v>215</v>
      </c>
    </row>
    <row r="52210" spans="129:129" x14ac:dyDescent="0.2">
      <c r="DY52210" s="185" t="s">
        <v>215</v>
      </c>
    </row>
    <row r="52211" spans="129:129" x14ac:dyDescent="0.2">
      <c r="DY52211" s="185" t="s">
        <v>215</v>
      </c>
    </row>
    <row r="52212" spans="129:129" x14ac:dyDescent="0.2">
      <c r="DY52212" s="185" t="s">
        <v>215</v>
      </c>
    </row>
    <row r="52213" spans="129:129" x14ac:dyDescent="0.2">
      <c r="DY52213" s="185" t="s">
        <v>215</v>
      </c>
    </row>
    <row r="52214" spans="129:129" x14ac:dyDescent="0.2">
      <c r="DY52214" s="185" t="s">
        <v>215</v>
      </c>
    </row>
    <row r="52215" spans="129:129" x14ac:dyDescent="0.2">
      <c r="DY52215" s="185" t="s">
        <v>215</v>
      </c>
    </row>
    <row r="52216" spans="129:129" x14ac:dyDescent="0.2">
      <c r="DY52216" s="185" t="s">
        <v>215</v>
      </c>
    </row>
    <row r="52217" spans="129:129" x14ac:dyDescent="0.2">
      <c r="DY52217" s="185" t="s">
        <v>215</v>
      </c>
    </row>
    <row r="52218" spans="129:129" x14ac:dyDescent="0.2">
      <c r="DY52218" s="185" t="s">
        <v>215</v>
      </c>
    </row>
    <row r="52219" spans="129:129" x14ac:dyDescent="0.2">
      <c r="DY52219" s="185" t="s">
        <v>215</v>
      </c>
    </row>
    <row r="52220" spans="129:129" x14ac:dyDescent="0.2">
      <c r="DY52220" s="185" t="s">
        <v>215</v>
      </c>
    </row>
    <row r="52221" spans="129:129" x14ac:dyDescent="0.2">
      <c r="DY52221" s="185" t="s">
        <v>215</v>
      </c>
    </row>
    <row r="52222" spans="129:129" x14ac:dyDescent="0.2">
      <c r="DY52222" s="185" t="s">
        <v>215</v>
      </c>
    </row>
    <row r="52223" spans="129:129" x14ac:dyDescent="0.2">
      <c r="DY52223" s="185" t="s">
        <v>215</v>
      </c>
    </row>
    <row r="52224" spans="129:129" x14ac:dyDescent="0.2">
      <c r="DY52224" s="185" t="s">
        <v>215</v>
      </c>
    </row>
    <row r="52225" spans="129:129" x14ac:dyDescent="0.2">
      <c r="DY52225" s="185" t="s">
        <v>215</v>
      </c>
    </row>
    <row r="52226" spans="129:129" x14ac:dyDescent="0.2">
      <c r="DY52226" s="185" t="s">
        <v>215</v>
      </c>
    </row>
    <row r="52227" spans="129:129" x14ac:dyDescent="0.2">
      <c r="DY52227" s="185" t="s">
        <v>215</v>
      </c>
    </row>
    <row r="52228" spans="129:129" x14ac:dyDescent="0.2">
      <c r="DY52228" s="185" t="s">
        <v>215</v>
      </c>
    </row>
    <row r="52229" spans="129:129" x14ac:dyDescent="0.2">
      <c r="DY52229" s="185" t="s">
        <v>215</v>
      </c>
    </row>
    <row r="52230" spans="129:129" x14ac:dyDescent="0.2">
      <c r="DY52230" s="185" t="s">
        <v>215</v>
      </c>
    </row>
    <row r="52231" spans="129:129" x14ac:dyDescent="0.2">
      <c r="DY52231" s="185" t="s">
        <v>215</v>
      </c>
    </row>
    <row r="52232" spans="129:129" x14ac:dyDescent="0.2">
      <c r="DY52232" s="185" t="s">
        <v>215</v>
      </c>
    </row>
    <row r="52233" spans="129:129" x14ac:dyDescent="0.2">
      <c r="DY52233" s="185" t="s">
        <v>215</v>
      </c>
    </row>
    <row r="52234" spans="129:129" x14ac:dyDescent="0.2">
      <c r="DY52234" s="185" t="s">
        <v>215</v>
      </c>
    </row>
    <row r="52235" spans="129:129" x14ac:dyDescent="0.2">
      <c r="DY52235" s="185" t="s">
        <v>215</v>
      </c>
    </row>
    <row r="52236" spans="129:129" x14ac:dyDescent="0.2">
      <c r="DY52236" s="185" t="s">
        <v>215</v>
      </c>
    </row>
    <row r="52237" spans="129:129" x14ac:dyDescent="0.2">
      <c r="DY52237" s="185" t="s">
        <v>215</v>
      </c>
    </row>
    <row r="52238" spans="129:129" x14ac:dyDescent="0.2">
      <c r="DY52238" s="185" t="s">
        <v>215</v>
      </c>
    </row>
    <row r="52239" spans="129:129" x14ac:dyDescent="0.2">
      <c r="DY52239" s="185" t="s">
        <v>215</v>
      </c>
    </row>
    <row r="52240" spans="129:129" x14ac:dyDescent="0.2">
      <c r="DY52240" s="185" t="s">
        <v>215</v>
      </c>
    </row>
    <row r="52241" spans="129:129" x14ac:dyDescent="0.2">
      <c r="DY52241" s="185" t="s">
        <v>215</v>
      </c>
    </row>
    <row r="52242" spans="129:129" x14ac:dyDescent="0.2">
      <c r="DY52242" s="185" t="s">
        <v>215</v>
      </c>
    </row>
    <row r="52243" spans="129:129" x14ac:dyDescent="0.2">
      <c r="DY52243" s="185" t="s">
        <v>215</v>
      </c>
    </row>
    <row r="52244" spans="129:129" x14ac:dyDescent="0.2">
      <c r="DY52244" s="185" t="s">
        <v>215</v>
      </c>
    </row>
    <row r="52245" spans="129:129" x14ac:dyDescent="0.2">
      <c r="DY52245" s="185" t="s">
        <v>215</v>
      </c>
    </row>
    <row r="52246" spans="129:129" x14ac:dyDescent="0.2">
      <c r="DY52246" s="185" t="s">
        <v>215</v>
      </c>
    </row>
    <row r="52247" spans="129:129" x14ac:dyDescent="0.2">
      <c r="DY52247" s="185" t="s">
        <v>215</v>
      </c>
    </row>
    <row r="52248" spans="129:129" x14ac:dyDescent="0.2">
      <c r="DY52248" s="185" t="s">
        <v>215</v>
      </c>
    </row>
    <row r="52249" spans="129:129" x14ac:dyDescent="0.2">
      <c r="DY52249" s="185" t="s">
        <v>215</v>
      </c>
    </row>
    <row r="52250" spans="129:129" x14ac:dyDescent="0.2">
      <c r="DY52250" s="185" t="s">
        <v>215</v>
      </c>
    </row>
    <row r="52251" spans="129:129" x14ac:dyDescent="0.2">
      <c r="DY52251" s="185" t="s">
        <v>215</v>
      </c>
    </row>
    <row r="52252" spans="129:129" x14ac:dyDescent="0.2">
      <c r="DY52252" s="185" t="s">
        <v>215</v>
      </c>
    </row>
    <row r="52253" spans="129:129" x14ac:dyDescent="0.2">
      <c r="DY52253" s="185" t="s">
        <v>215</v>
      </c>
    </row>
    <row r="52254" spans="129:129" x14ac:dyDescent="0.2">
      <c r="DY52254" s="185" t="s">
        <v>215</v>
      </c>
    </row>
    <row r="52255" spans="129:129" x14ac:dyDescent="0.2">
      <c r="DY52255" s="185" t="s">
        <v>215</v>
      </c>
    </row>
    <row r="52256" spans="129:129" x14ac:dyDescent="0.2">
      <c r="DY52256" s="185" t="s">
        <v>215</v>
      </c>
    </row>
    <row r="52257" spans="129:129" x14ac:dyDescent="0.2">
      <c r="DY52257" s="185" t="s">
        <v>215</v>
      </c>
    </row>
    <row r="52258" spans="129:129" x14ac:dyDescent="0.2">
      <c r="DY52258" s="185" t="s">
        <v>215</v>
      </c>
    </row>
    <row r="52259" spans="129:129" x14ac:dyDescent="0.2">
      <c r="DY52259" s="185" t="s">
        <v>215</v>
      </c>
    </row>
    <row r="52260" spans="129:129" x14ac:dyDescent="0.2">
      <c r="DY52260" s="185" t="s">
        <v>215</v>
      </c>
    </row>
    <row r="52261" spans="129:129" x14ac:dyDescent="0.2">
      <c r="DY52261" s="185" t="s">
        <v>215</v>
      </c>
    </row>
    <row r="52262" spans="129:129" x14ac:dyDescent="0.2">
      <c r="DY52262" s="185" t="s">
        <v>215</v>
      </c>
    </row>
    <row r="52263" spans="129:129" x14ac:dyDescent="0.2">
      <c r="DY52263" s="185" t="s">
        <v>215</v>
      </c>
    </row>
    <row r="52264" spans="129:129" x14ac:dyDescent="0.2">
      <c r="DY52264" s="185" t="s">
        <v>215</v>
      </c>
    </row>
    <row r="52265" spans="129:129" x14ac:dyDescent="0.2">
      <c r="DY52265" s="185" t="s">
        <v>215</v>
      </c>
    </row>
    <row r="52266" spans="129:129" x14ac:dyDescent="0.2">
      <c r="DY52266" s="185" t="s">
        <v>215</v>
      </c>
    </row>
    <row r="52267" spans="129:129" x14ac:dyDescent="0.2">
      <c r="DY52267" s="185" t="s">
        <v>215</v>
      </c>
    </row>
    <row r="52268" spans="129:129" x14ac:dyDescent="0.2">
      <c r="DY52268" s="185" t="s">
        <v>215</v>
      </c>
    </row>
    <row r="52269" spans="129:129" x14ac:dyDescent="0.2">
      <c r="DY52269" s="185" t="s">
        <v>215</v>
      </c>
    </row>
    <row r="52270" spans="129:129" x14ac:dyDescent="0.2">
      <c r="DY52270" s="185" t="s">
        <v>215</v>
      </c>
    </row>
    <row r="52271" spans="129:129" x14ac:dyDescent="0.2">
      <c r="DY52271" s="185" t="s">
        <v>215</v>
      </c>
    </row>
    <row r="52272" spans="129:129" x14ac:dyDescent="0.2">
      <c r="DY52272" s="185" t="s">
        <v>215</v>
      </c>
    </row>
    <row r="52273" spans="129:129" x14ac:dyDescent="0.2">
      <c r="DY52273" s="185" t="s">
        <v>215</v>
      </c>
    </row>
    <row r="52274" spans="129:129" x14ac:dyDescent="0.2">
      <c r="DY52274" s="185" t="s">
        <v>215</v>
      </c>
    </row>
    <row r="52275" spans="129:129" x14ac:dyDescent="0.2">
      <c r="DY52275" s="185" t="s">
        <v>215</v>
      </c>
    </row>
    <row r="52276" spans="129:129" x14ac:dyDescent="0.2">
      <c r="DY52276" s="185" t="s">
        <v>215</v>
      </c>
    </row>
    <row r="52277" spans="129:129" x14ac:dyDescent="0.2">
      <c r="DY52277" s="185" t="s">
        <v>215</v>
      </c>
    </row>
    <row r="52278" spans="129:129" x14ac:dyDescent="0.2">
      <c r="DY52278" s="185" t="s">
        <v>215</v>
      </c>
    </row>
    <row r="52279" spans="129:129" x14ac:dyDescent="0.2">
      <c r="DY52279" s="185" t="s">
        <v>215</v>
      </c>
    </row>
    <row r="52280" spans="129:129" x14ac:dyDescent="0.2">
      <c r="DY52280" s="185" t="s">
        <v>215</v>
      </c>
    </row>
    <row r="52281" spans="129:129" x14ac:dyDescent="0.2">
      <c r="DY52281" s="185" t="s">
        <v>215</v>
      </c>
    </row>
    <row r="52282" spans="129:129" x14ac:dyDescent="0.2">
      <c r="DY52282" s="185" t="s">
        <v>215</v>
      </c>
    </row>
    <row r="52283" spans="129:129" x14ac:dyDescent="0.2">
      <c r="DY52283" s="185" t="s">
        <v>215</v>
      </c>
    </row>
    <row r="52284" spans="129:129" x14ac:dyDescent="0.2">
      <c r="DY52284" s="185" t="s">
        <v>215</v>
      </c>
    </row>
    <row r="52285" spans="129:129" x14ac:dyDescent="0.2">
      <c r="DY52285" s="185" t="s">
        <v>215</v>
      </c>
    </row>
    <row r="52286" spans="129:129" x14ac:dyDescent="0.2">
      <c r="DY52286" s="185" t="s">
        <v>215</v>
      </c>
    </row>
    <row r="52287" spans="129:129" x14ac:dyDescent="0.2">
      <c r="DY52287" s="185" t="s">
        <v>215</v>
      </c>
    </row>
    <row r="52288" spans="129:129" x14ac:dyDescent="0.2">
      <c r="DY52288" s="185" t="s">
        <v>215</v>
      </c>
    </row>
    <row r="52289" spans="129:129" x14ac:dyDescent="0.2">
      <c r="DY52289" s="185" t="s">
        <v>215</v>
      </c>
    </row>
    <row r="52290" spans="129:129" x14ac:dyDescent="0.2">
      <c r="DY52290" s="185" t="s">
        <v>215</v>
      </c>
    </row>
    <row r="52291" spans="129:129" x14ac:dyDescent="0.2">
      <c r="DY52291" s="185" t="s">
        <v>215</v>
      </c>
    </row>
    <row r="52292" spans="129:129" x14ac:dyDescent="0.2">
      <c r="DY52292" s="185" t="s">
        <v>215</v>
      </c>
    </row>
    <row r="52293" spans="129:129" x14ac:dyDescent="0.2">
      <c r="DY52293" s="185" t="s">
        <v>215</v>
      </c>
    </row>
    <row r="52294" spans="129:129" x14ac:dyDescent="0.2">
      <c r="DY52294" s="185" t="s">
        <v>215</v>
      </c>
    </row>
    <row r="52295" spans="129:129" x14ac:dyDescent="0.2">
      <c r="DY52295" s="185" t="s">
        <v>215</v>
      </c>
    </row>
    <row r="52296" spans="129:129" x14ac:dyDescent="0.2">
      <c r="DY52296" s="185" t="s">
        <v>215</v>
      </c>
    </row>
    <row r="52297" spans="129:129" x14ac:dyDescent="0.2">
      <c r="DY52297" s="185" t="s">
        <v>215</v>
      </c>
    </row>
    <row r="52298" spans="129:129" x14ac:dyDescent="0.2">
      <c r="DY52298" s="185" t="s">
        <v>215</v>
      </c>
    </row>
    <row r="52299" spans="129:129" x14ac:dyDescent="0.2">
      <c r="DY52299" s="185" t="s">
        <v>215</v>
      </c>
    </row>
    <row r="52300" spans="129:129" x14ac:dyDescent="0.2">
      <c r="DY52300" s="185" t="s">
        <v>215</v>
      </c>
    </row>
    <row r="52301" spans="129:129" x14ac:dyDescent="0.2">
      <c r="DY52301" s="185" t="s">
        <v>215</v>
      </c>
    </row>
    <row r="52302" spans="129:129" x14ac:dyDescent="0.2">
      <c r="DY52302" s="185" t="s">
        <v>215</v>
      </c>
    </row>
    <row r="52303" spans="129:129" x14ac:dyDescent="0.2">
      <c r="DY52303" s="185" t="s">
        <v>215</v>
      </c>
    </row>
    <row r="52304" spans="129:129" x14ac:dyDescent="0.2">
      <c r="DY52304" s="185" t="s">
        <v>215</v>
      </c>
    </row>
    <row r="52305" spans="129:129" x14ac:dyDescent="0.2">
      <c r="DY52305" s="185" t="s">
        <v>215</v>
      </c>
    </row>
    <row r="52306" spans="129:129" x14ac:dyDescent="0.2">
      <c r="DY52306" s="185" t="s">
        <v>215</v>
      </c>
    </row>
    <row r="52307" spans="129:129" x14ac:dyDescent="0.2">
      <c r="DY52307" s="185" t="s">
        <v>215</v>
      </c>
    </row>
    <row r="52308" spans="129:129" x14ac:dyDescent="0.2">
      <c r="DY52308" s="185" t="s">
        <v>215</v>
      </c>
    </row>
    <row r="52309" spans="129:129" x14ac:dyDescent="0.2">
      <c r="DY52309" s="185" t="s">
        <v>215</v>
      </c>
    </row>
    <row r="52310" spans="129:129" x14ac:dyDescent="0.2">
      <c r="DY52310" s="185" t="s">
        <v>215</v>
      </c>
    </row>
    <row r="52311" spans="129:129" x14ac:dyDescent="0.2">
      <c r="DY52311" s="185" t="s">
        <v>215</v>
      </c>
    </row>
    <row r="52312" spans="129:129" x14ac:dyDescent="0.2">
      <c r="DY52312" s="185" t="s">
        <v>215</v>
      </c>
    </row>
    <row r="52313" spans="129:129" x14ac:dyDescent="0.2">
      <c r="DY52313" s="185" t="s">
        <v>215</v>
      </c>
    </row>
    <row r="52314" spans="129:129" x14ac:dyDescent="0.2">
      <c r="DY52314" s="185" t="s">
        <v>215</v>
      </c>
    </row>
    <row r="52315" spans="129:129" x14ac:dyDescent="0.2">
      <c r="DY52315" s="185" t="s">
        <v>215</v>
      </c>
    </row>
    <row r="52316" spans="129:129" x14ac:dyDescent="0.2">
      <c r="DY52316" s="185" t="s">
        <v>215</v>
      </c>
    </row>
    <row r="52317" spans="129:129" x14ac:dyDescent="0.2">
      <c r="DY52317" s="185" t="s">
        <v>215</v>
      </c>
    </row>
    <row r="52318" spans="129:129" x14ac:dyDescent="0.2">
      <c r="DY52318" s="185" t="s">
        <v>215</v>
      </c>
    </row>
    <row r="52319" spans="129:129" x14ac:dyDescent="0.2">
      <c r="DY52319" s="185" t="s">
        <v>215</v>
      </c>
    </row>
    <row r="52320" spans="129:129" x14ac:dyDescent="0.2">
      <c r="DY52320" s="185" t="s">
        <v>215</v>
      </c>
    </row>
    <row r="52321" spans="129:129" x14ac:dyDescent="0.2">
      <c r="DY52321" s="185" t="s">
        <v>215</v>
      </c>
    </row>
    <row r="52322" spans="129:129" x14ac:dyDescent="0.2">
      <c r="DY52322" s="185" t="s">
        <v>215</v>
      </c>
    </row>
    <row r="52323" spans="129:129" x14ac:dyDescent="0.2">
      <c r="DY52323" s="185" t="s">
        <v>215</v>
      </c>
    </row>
    <row r="52324" spans="129:129" x14ac:dyDescent="0.2">
      <c r="DY52324" s="185" t="s">
        <v>215</v>
      </c>
    </row>
    <row r="52325" spans="129:129" x14ac:dyDescent="0.2">
      <c r="DY52325" s="185" t="s">
        <v>215</v>
      </c>
    </row>
    <row r="52326" spans="129:129" x14ac:dyDescent="0.2">
      <c r="DY52326" s="185" t="s">
        <v>215</v>
      </c>
    </row>
    <row r="52327" spans="129:129" x14ac:dyDescent="0.2">
      <c r="DY52327" s="185" t="s">
        <v>215</v>
      </c>
    </row>
    <row r="52328" spans="129:129" x14ac:dyDescent="0.2">
      <c r="DY52328" s="185" t="s">
        <v>215</v>
      </c>
    </row>
    <row r="52329" spans="129:129" x14ac:dyDescent="0.2">
      <c r="DY52329" s="185" t="s">
        <v>215</v>
      </c>
    </row>
    <row r="52330" spans="129:129" x14ac:dyDescent="0.2">
      <c r="DY52330" s="185" t="s">
        <v>215</v>
      </c>
    </row>
    <row r="52331" spans="129:129" x14ac:dyDescent="0.2">
      <c r="DY52331" s="185" t="s">
        <v>215</v>
      </c>
    </row>
    <row r="52332" spans="129:129" x14ac:dyDescent="0.2">
      <c r="DY52332" s="185" t="s">
        <v>215</v>
      </c>
    </row>
    <row r="52333" spans="129:129" x14ac:dyDescent="0.2">
      <c r="DY52333" s="185" t="s">
        <v>215</v>
      </c>
    </row>
    <row r="52334" spans="129:129" x14ac:dyDescent="0.2">
      <c r="DY52334" s="185" t="s">
        <v>215</v>
      </c>
    </row>
    <row r="52335" spans="129:129" x14ac:dyDescent="0.2">
      <c r="DY52335" s="185" t="s">
        <v>215</v>
      </c>
    </row>
    <row r="52336" spans="129:129" x14ac:dyDescent="0.2">
      <c r="DY52336" s="185" t="s">
        <v>215</v>
      </c>
    </row>
    <row r="52337" spans="129:129" x14ac:dyDescent="0.2">
      <c r="DY52337" s="185" t="s">
        <v>215</v>
      </c>
    </row>
    <row r="52338" spans="129:129" x14ac:dyDescent="0.2">
      <c r="DY52338" s="185" t="s">
        <v>215</v>
      </c>
    </row>
    <row r="52339" spans="129:129" x14ac:dyDescent="0.2">
      <c r="DY52339" s="185" t="s">
        <v>215</v>
      </c>
    </row>
    <row r="52340" spans="129:129" x14ac:dyDescent="0.2">
      <c r="DY52340" s="185" t="s">
        <v>215</v>
      </c>
    </row>
    <row r="52341" spans="129:129" x14ac:dyDescent="0.2">
      <c r="DY52341" s="185" t="s">
        <v>215</v>
      </c>
    </row>
    <row r="52342" spans="129:129" x14ac:dyDescent="0.2">
      <c r="DY52342" s="185" t="s">
        <v>215</v>
      </c>
    </row>
    <row r="52343" spans="129:129" x14ac:dyDescent="0.2">
      <c r="DY52343" s="185" t="s">
        <v>215</v>
      </c>
    </row>
    <row r="52344" spans="129:129" x14ac:dyDescent="0.2">
      <c r="DY52344" s="185" t="s">
        <v>215</v>
      </c>
    </row>
    <row r="52345" spans="129:129" x14ac:dyDescent="0.2">
      <c r="DY52345" s="185" t="s">
        <v>215</v>
      </c>
    </row>
    <row r="52346" spans="129:129" x14ac:dyDescent="0.2">
      <c r="DY52346" s="185" t="s">
        <v>215</v>
      </c>
    </row>
    <row r="52347" spans="129:129" x14ac:dyDescent="0.2">
      <c r="DY52347" s="185" t="s">
        <v>215</v>
      </c>
    </row>
    <row r="52348" spans="129:129" x14ac:dyDescent="0.2">
      <c r="DY52348" s="185" t="s">
        <v>215</v>
      </c>
    </row>
    <row r="52349" spans="129:129" x14ac:dyDescent="0.2">
      <c r="DY52349" s="185" t="s">
        <v>215</v>
      </c>
    </row>
    <row r="52350" spans="129:129" x14ac:dyDescent="0.2">
      <c r="DY52350" s="185" t="s">
        <v>215</v>
      </c>
    </row>
    <row r="52351" spans="129:129" x14ac:dyDescent="0.2">
      <c r="DY52351" s="185" t="s">
        <v>215</v>
      </c>
    </row>
    <row r="52352" spans="129:129" x14ac:dyDescent="0.2">
      <c r="DY52352" s="185" t="s">
        <v>215</v>
      </c>
    </row>
    <row r="52353" spans="129:129" x14ac:dyDescent="0.2">
      <c r="DY52353" s="185" t="s">
        <v>215</v>
      </c>
    </row>
    <row r="52354" spans="129:129" x14ac:dyDescent="0.2">
      <c r="DY52354" s="185" t="s">
        <v>215</v>
      </c>
    </row>
    <row r="52355" spans="129:129" x14ac:dyDescent="0.2">
      <c r="DY52355" s="185" t="s">
        <v>215</v>
      </c>
    </row>
    <row r="52356" spans="129:129" x14ac:dyDescent="0.2">
      <c r="DY52356" s="185" t="s">
        <v>215</v>
      </c>
    </row>
    <row r="52357" spans="129:129" x14ac:dyDescent="0.2">
      <c r="DY52357" s="185" t="s">
        <v>215</v>
      </c>
    </row>
    <row r="52358" spans="129:129" x14ac:dyDescent="0.2">
      <c r="DY52358" s="185" t="s">
        <v>215</v>
      </c>
    </row>
    <row r="52359" spans="129:129" x14ac:dyDescent="0.2">
      <c r="DY52359" s="185" t="s">
        <v>215</v>
      </c>
    </row>
    <row r="52360" spans="129:129" x14ac:dyDescent="0.2">
      <c r="DY52360" s="185" t="s">
        <v>215</v>
      </c>
    </row>
    <row r="52361" spans="129:129" x14ac:dyDescent="0.2">
      <c r="DY52361" s="185" t="s">
        <v>215</v>
      </c>
    </row>
    <row r="52362" spans="129:129" x14ac:dyDescent="0.2">
      <c r="DY52362" s="185" t="s">
        <v>215</v>
      </c>
    </row>
    <row r="52363" spans="129:129" x14ac:dyDescent="0.2">
      <c r="DY52363" s="185" t="s">
        <v>215</v>
      </c>
    </row>
    <row r="52364" spans="129:129" x14ac:dyDescent="0.2">
      <c r="DY52364" s="185" t="s">
        <v>215</v>
      </c>
    </row>
    <row r="52365" spans="129:129" x14ac:dyDescent="0.2">
      <c r="DY52365" s="185" t="s">
        <v>215</v>
      </c>
    </row>
    <row r="52366" spans="129:129" x14ac:dyDescent="0.2">
      <c r="DY52366" s="185" t="s">
        <v>215</v>
      </c>
    </row>
    <row r="52367" spans="129:129" x14ac:dyDescent="0.2">
      <c r="DY52367" s="185" t="s">
        <v>215</v>
      </c>
    </row>
    <row r="52368" spans="129:129" x14ac:dyDescent="0.2">
      <c r="DY52368" s="185" t="s">
        <v>215</v>
      </c>
    </row>
    <row r="52369" spans="129:129" x14ac:dyDescent="0.2">
      <c r="DY52369" s="185" t="s">
        <v>215</v>
      </c>
    </row>
    <row r="52370" spans="129:129" x14ac:dyDescent="0.2">
      <c r="DY52370" s="185" t="s">
        <v>215</v>
      </c>
    </row>
    <row r="52371" spans="129:129" x14ac:dyDescent="0.2">
      <c r="DY52371" s="185" t="s">
        <v>215</v>
      </c>
    </row>
    <row r="52372" spans="129:129" x14ac:dyDescent="0.2">
      <c r="DY52372" s="185" t="s">
        <v>215</v>
      </c>
    </row>
    <row r="52373" spans="129:129" x14ac:dyDescent="0.2">
      <c r="DY52373" s="185" t="s">
        <v>215</v>
      </c>
    </row>
    <row r="52374" spans="129:129" x14ac:dyDescent="0.2">
      <c r="DY52374" s="185" t="s">
        <v>215</v>
      </c>
    </row>
    <row r="52375" spans="129:129" x14ac:dyDescent="0.2">
      <c r="DY52375" s="185" t="s">
        <v>215</v>
      </c>
    </row>
    <row r="52376" spans="129:129" x14ac:dyDescent="0.2">
      <c r="DY52376" s="185" t="s">
        <v>215</v>
      </c>
    </row>
    <row r="52377" spans="129:129" x14ac:dyDescent="0.2">
      <c r="DY52377" s="185" t="s">
        <v>215</v>
      </c>
    </row>
    <row r="52378" spans="129:129" x14ac:dyDescent="0.2">
      <c r="DY52378" s="185" t="s">
        <v>215</v>
      </c>
    </row>
    <row r="52379" spans="129:129" x14ac:dyDescent="0.2">
      <c r="DY52379" s="185" t="s">
        <v>215</v>
      </c>
    </row>
    <row r="52380" spans="129:129" x14ac:dyDescent="0.2">
      <c r="DY52380" s="185" t="s">
        <v>215</v>
      </c>
    </row>
    <row r="52381" spans="129:129" x14ac:dyDescent="0.2">
      <c r="DY52381" s="185" t="s">
        <v>215</v>
      </c>
    </row>
    <row r="52382" spans="129:129" x14ac:dyDescent="0.2">
      <c r="DY52382" s="185" t="s">
        <v>215</v>
      </c>
    </row>
    <row r="52383" spans="129:129" x14ac:dyDescent="0.2">
      <c r="DY52383" s="185" t="s">
        <v>215</v>
      </c>
    </row>
    <row r="52384" spans="129:129" x14ac:dyDescent="0.2">
      <c r="DY52384" s="185" t="s">
        <v>215</v>
      </c>
    </row>
    <row r="52385" spans="129:129" x14ac:dyDescent="0.2">
      <c r="DY52385" s="185" t="s">
        <v>215</v>
      </c>
    </row>
    <row r="52386" spans="129:129" x14ac:dyDescent="0.2">
      <c r="DY52386" s="185" t="s">
        <v>215</v>
      </c>
    </row>
    <row r="52387" spans="129:129" x14ac:dyDescent="0.2">
      <c r="DY52387" s="185" t="s">
        <v>215</v>
      </c>
    </row>
    <row r="52388" spans="129:129" x14ac:dyDescent="0.2">
      <c r="DY52388" s="185" t="s">
        <v>215</v>
      </c>
    </row>
    <row r="52389" spans="129:129" x14ac:dyDescent="0.2">
      <c r="DY52389" s="185" t="s">
        <v>215</v>
      </c>
    </row>
    <row r="52390" spans="129:129" x14ac:dyDescent="0.2">
      <c r="DY52390" s="185" t="s">
        <v>215</v>
      </c>
    </row>
    <row r="52391" spans="129:129" x14ac:dyDescent="0.2">
      <c r="DY52391" s="185" t="s">
        <v>215</v>
      </c>
    </row>
    <row r="52392" spans="129:129" x14ac:dyDescent="0.2">
      <c r="DY52392" s="185" t="s">
        <v>215</v>
      </c>
    </row>
    <row r="52393" spans="129:129" x14ac:dyDescent="0.2">
      <c r="DY52393" s="185" t="s">
        <v>215</v>
      </c>
    </row>
    <row r="52394" spans="129:129" x14ac:dyDescent="0.2">
      <c r="DY52394" s="185" t="s">
        <v>215</v>
      </c>
    </row>
    <row r="52395" spans="129:129" x14ac:dyDescent="0.2">
      <c r="DY52395" s="185" t="s">
        <v>215</v>
      </c>
    </row>
    <row r="52396" spans="129:129" x14ac:dyDescent="0.2">
      <c r="DY52396" s="185" t="s">
        <v>215</v>
      </c>
    </row>
    <row r="52397" spans="129:129" x14ac:dyDescent="0.2">
      <c r="DY52397" s="185" t="s">
        <v>215</v>
      </c>
    </row>
    <row r="52398" spans="129:129" x14ac:dyDescent="0.2">
      <c r="DY52398" s="185" t="s">
        <v>215</v>
      </c>
    </row>
    <row r="52399" spans="129:129" x14ac:dyDescent="0.2">
      <c r="DY52399" s="185" t="s">
        <v>215</v>
      </c>
    </row>
    <row r="52400" spans="129:129" x14ac:dyDescent="0.2">
      <c r="DY52400" s="185" t="s">
        <v>215</v>
      </c>
    </row>
    <row r="52401" spans="129:129" x14ac:dyDescent="0.2">
      <c r="DY52401" s="185" t="s">
        <v>215</v>
      </c>
    </row>
    <row r="52402" spans="129:129" x14ac:dyDescent="0.2">
      <c r="DY52402" s="185" t="s">
        <v>215</v>
      </c>
    </row>
    <row r="52403" spans="129:129" x14ac:dyDescent="0.2">
      <c r="DY52403" s="185" t="s">
        <v>215</v>
      </c>
    </row>
    <row r="52404" spans="129:129" x14ac:dyDescent="0.2">
      <c r="DY52404" s="185" t="s">
        <v>215</v>
      </c>
    </row>
    <row r="52405" spans="129:129" x14ac:dyDescent="0.2">
      <c r="DY52405" s="185" t="s">
        <v>215</v>
      </c>
    </row>
    <row r="52406" spans="129:129" x14ac:dyDescent="0.2">
      <c r="DY52406" s="185" t="s">
        <v>215</v>
      </c>
    </row>
    <row r="52407" spans="129:129" x14ac:dyDescent="0.2">
      <c r="DY52407" s="185" t="s">
        <v>215</v>
      </c>
    </row>
    <row r="52408" spans="129:129" x14ac:dyDescent="0.2">
      <c r="DY52408" s="185" t="s">
        <v>215</v>
      </c>
    </row>
    <row r="52409" spans="129:129" x14ac:dyDescent="0.2">
      <c r="DY52409" s="185" t="s">
        <v>215</v>
      </c>
    </row>
    <row r="52410" spans="129:129" x14ac:dyDescent="0.2">
      <c r="DY52410" s="185" t="s">
        <v>215</v>
      </c>
    </row>
    <row r="52411" spans="129:129" x14ac:dyDescent="0.2">
      <c r="DY52411" s="185" t="s">
        <v>215</v>
      </c>
    </row>
    <row r="52412" spans="129:129" x14ac:dyDescent="0.2">
      <c r="DY52412" s="185" t="s">
        <v>215</v>
      </c>
    </row>
    <row r="52413" spans="129:129" x14ac:dyDescent="0.2">
      <c r="DY52413" s="185" t="s">
        <v>215</v>
      </c>
    </row>
    <row r="52414" spans="129:129" x14ac:dyDescent="0.2">
      <c r="DY52414" s="185" t="s">
        <v>215</v>
      </c>
    </row>
    <row r="52415" spans="129:129" x14ac:dyDescent="0.2">
      <c r="DY52415" s="185" t="s">
        <v>215</v>
      </c>
    </row>
    <row r="52416" spans="129:129" x14ac:dyDescent="0.2">
      <c r="DY52416" s="185" t="s">
        <v>215</v>
      </c>
    </row>
    <row r="52417" spans="129:129" x14ac:dyDescent="0.2">
      <c r="DY52417" s="185" t="s">
        <v>215</v>
      </c>
    </row>
    <row r="52418" spans="129:129" x14ac:dyDescent="0.2">
      <c r="DY52418" s="185" t="s">
        <v>215</v>
      </c>
    </row>
    <row r="52419" spans="129:129" x14ac:dyDescent="0.2">
      <c r="DY52419" s="185" t="s">
        <v>215</v>
      </c>
    </row>
    <row r="52420" spans="129:129" x14ac:dyDescent="0.2">
      <c r="DY52420" s="185" t="s">
        <v>215</v>
      </c>
    </row>
    <row r="52421" spans="129:129" x14ac:dyDescent="0.2">
      <c r="DY52421" s="185" t="s">
        <v>215</v>
      </c>
    </row>
    <row r="52422" spans="129:129" x14ac:dyDescent="0.2">
      <c r="DY52422" s="185" t="s">
        <v>215</v>
      </c>
    </row>
    <row r="52423" spans="129:129" x14ac:dyDescent="0.2">
      <c r="DY52423" s="185" t="s">
        <v>215</v>
      </c>
    </row>
    <row r="52424" spans="129:129" x14ac:dyDescent="0.2">
      <c r="DY52424" s="185" t="s">
        <v>215</v>
      </c>
    </row>
    <row r="52425" spans="129:129" x14ac:dyDescent="0.2">
      <c r="DY52425" s="185" t="s">
        <v>215</v>
      </c>
    </row>
    <row r="52426" spans="129:129" x14ac:dyDescent="0.2">
      <c r="DY52426" s="185" t="s">
        <v>215</v>
      </c>
    </row>
    <row r="52427" spans="129:129" x14ac:dyDescent="0.2">
      <c r="DY52427" s="185" t="s">
        <v>215</v>
      </c>
    </row>
    <row r="52428" spans="129:129" x14ac:dyDescent="0.2">
      <c r="DY52428" s="185" t="s">
        <v>215</v>
      </c>
    </row>
    <row r="52429" spans="129:129" x14ac:dyDescent="0.2">
      <c r="DY52429" s="185" t="s">
        <v>215</v>
      </c>
    </row>
    <row r="52430" spans="129:129" x14ac:dyDescent="0.2">
      <c r="DY52430" s="185" t="s">
        <v>215</v>
      </c>
    </row>
    <row r="52431" spans="129:129" x14ac:dyDescent="0.2">
      <c r="DY52431" s="185" t="s">
        <v>215</v>
      </c>
    </row>
    <row r="52432" spans="129:129" x14ac:dyDescent="0.2">
      <c r="DY52432" s="185" t="s">
        <v>215</v>
      </c>
    </row>
    <row r="52433" spans="129:129" x14ac:dyDescent="0.2">
      <c r="DY52433" s="185" t="s">
        <v>215</v>
      </c>
    </row>
    <row r="52434" spans="129:129" x14ac:dyDescent="0.2">
      <c r="DY52434" s="185" t="s">
        <v>215</v>
      </c>
    </row>
    <row r="52435" spans="129:129" x14ac:dyDescent="0.2">
      <c r="DY52435" s="185" t="s">
        <v>215</v>
      </c>
    </row>
    <row r="52436" spans="129:129" x14ac:dyDescent="0.2">
      <c r="DY52436" s="185" t="s">
        <v>215</v>
      </c>
    </row>
    <row r="52437" spans="129:129" x14ac:dyDescent="0.2">
      <c r="DY52437" s="185" t="s">
        <v>215</v>
      </c>
    </row>
    <row r="52438" spans="129:129" x14ac:dyDescent="0.2">
      <c r="DY52438" s="185" t="s">
        <v>215</v>
      </c>
    </row>
    <row r="52439" spans="129:129" x14ac:dyDescent="0.2">
      <c r="DY52439" s="185" t="s">
        <v>215</v>
      </c>
    </row>
    <row r="52440" spans="129:129" x14ac:dyDescent="0.2">
      <c r="DY52440" s="185" t="s">
        <v>215</v>
      </c>
    </row>
    <row r="52441" spans="129:129" x14ac:dyDescent="0.2">
      <c r="DY52441" s="185" t="s">
        <v>215</v>
      </c>
    </row>
    <row r="52442" spans="129:129" x14ac:dyDescent="0.2">
      <c r="DY52442" s="185" t="s">
        <v>215</v>
      </c>
    </row>
    <row r="52443" spans="129:129" x14ac:dyDescent="0.2">
      <c r="DY52443" s="185" t="s">
        <v>215</v>
      </c>
    </row>
    <row r="52444" spans="129:129" x14ac:dyDescent="0.2">
      <c r="DY52444" s="185" t="s">
        <v>215</v>
      </c>
    </row>
    <row r="52445" spans="129:129" x14ac:dyDescent="0.2">
      <c r="DY52445" s="185" t="s">
        <v>215</v>
      </c>
    </row>
    <row r="52446" spans="129:129" x14ac:dyDescent="0.2">
      <c r="DY52446" s="185" t="s">
        <v>215</v>
      </c>
    </row>
    <row r="52447" spans="129:129" x14ac:dyDescent="0.2">
      <c r="DY52447" s="185" t="s">
        <v>215</v>
      </c>
    </row>
    <row r="52448" spans="129:129" x14ac:dyDescent="0.2">
      <c r="DY52448" s="185" t="s">
        <v>215</v>
      </c>
    </row>
    <row r="52449" spans="129:129" x14ac:dyDescent="0.2">
      <c r="DY52449" s="185" t="s">
        <v>215</v>
      </c>
    </row>
    <row r="52450" spans="129:129" x14ac:dyDescent="0.2">
      <c r="DY52450" s="185" t="s">
        <v>215</v>
      </c>
    </row>
    <row r="52451" spans="129:129" x14ac:dyDescent="0.2">
      <c r="DY52451" s="185" t="s">
        <v>215</v>
      </c>
    </row>
    <row r="52452" spans="129:129" x14ac:dyDescent="0.2">
      <c r="DY52452" s="185" t="s">
        <v>215</v>
      </c>
    </row>
    <row r="52453" spans="129:129" x14ac:dyDescent="0.2">
      <c r="DY52453" s="185" t="s">
        <v>215</v>
      </c>
    </row>
    <row r="52454" spans="129:129" x14ac:dyDescent="0.2">
      <c r="DY52454" s="185" t="s">
        <v>215</v>
      </c>
    </row>
    <row r="52455" spans="129:129" x14ac:dyDescent="0.2">
      <c r="DY52455" s="185" t="s">
        <v>215</v>
      </c>
    </row>
    <row r="52456" spans="129:129" x14ac:dyDescent="0.2">
      <c r="DY52456" s="185" t="s">
        <v>215</v>
      </c>
    </row>
    <row r="52457" spans="129:129" x14ac:dyDescent="0.2">
      <c r="DY52457" s="185" t="s">
        <v>215</v>
      </c>
    </row>
    <row r="52458" spans="129:129" x14ac:dyDescent="0.2">
      <c r="DY52458" s="185" t="s">
        <v>215</v>
      </c>
    </row>
    <row r="52459" spans="129:129" x14ac:dyDescent="0.2">
      <c r="DY52459" s="185" t="s">
        <v>215</v>
      </c>
    </row>
    <row r="52460" spans="129:129" x14ac:dyDescent="0.2">
      <c r="DY52460" s="185" t="s">
        <v>215</v>
      </c>
    </row>
    <row r="52461" spans="129:129" x14ac:dyDescent="0.2">
      <c r="DY52461" s="185" t="s">
        <v>215</v>
      </c>
    </row>
    <row r="52462" spans="129:129" x14ac:dyDescent="0.2">
      <c r="DY52462" s="185" t="s">
        <v>215</v>
      </c>
    </row>
    <row r="52463" spans="129:129" x14ac:dyDescent="0.2">
      <c r="DY52463" s="185" t="s">
        <v>215</v>
      </c>
    </row>
    <row r="52464" spans="129:129" x14ac:dyDescent="0.2">
      <c r="DY52464" s="185" t="s">
        <v>215</v>
      </c>
    </row>
    <row r="52465" spans="129:129" x14ac:dyDescent="0.2">
      <c r="DY52465" s="185" t="s">
        <v>215</v>
      </c>
    </row>
    <row r="52466" spans="129:129" x14ac:dyDescent="0.2">
      <c r="DY52466" s="185" t="s">
        <v>215</v>
      </c>
    </row>
    <row r="52467" spans="129:129" x14ac:dyDescent="0.2">
      <c r="DY52467" s="185" t="s">
        <v>215</v>
      </c>
    </row>
    <row r="52468" spans="129:129" x14ac:dyDescent="0.2">
      <c r="DY52468" s="185" t="s">
        <v>215</v>
      </c>
    </row>
    <row r="52469" spans="129:129" x14ac:dyDescent="0.2">
      <c r="DY52469" s="185" t="s">
        <v>215</v>
      </c>
    </row>
    <row r="52470" spans="129:129" x14ac:dyDescent="0.2">
      <c r="DY52470" s="185" t="s">
        <v>215</v>
      </c>
    </row>
    <row r="52471" spans="129:129" x14ac:dyDescent="0.2">
      <c r="DY52471" s="185" t="s">
        <v>215</v>
      </c>
    </row>
    <row r="52472" spans="129:129" x14ac:dyDescent="0.2">
      <c r="DY52472" s="185" t="s">
        <v>215</v>
      </c>
    </row>
    <row r="52473" spans="129:129" x14ac:dyDescent="0.2">
      <c r="DY52473" s="185" t="s">
        <v>215</v>
      </c>
    </row>
    <row r="52474" spans="129:129" x14ac:dyDescent="0.2">
      <c r="DY52474" s="185" t="s">
        <v>215</v>
      </c>
    </row>
    <row r="52475" spans="129:129" x14ac:dyDescent="0.2">
      <c r="DY52475" s="185" t="s">
        <v>215</v>
      </c>
    </row>
    <row r="52476" spans="129:129" x14ac:dyDescent="0.2">
      <c r="DY52476" s="185" t="s">
        <v>215</v>
      </c>
    </row>
    <row r="52477" spans="129:129" x14ac:dyDescent="0.2">
      <c r="DY52477" s="185" t="s">
        <v>215</v>
      </c>
    </row>
    <row r="52478" spans="129:129" x14ac:dyDescent="0.2">
      <c r="DY52478" s="185" t="s">
        <v>215</v>
      </c>
    </row>
    <row r="52479" spans="129:129" x14ac:dyDescent="0.2">
      <c r="DY52479" s="185" t="s">
        <v>215</v>
      </c>
    </row>
    <row r="52480" spans="129:129" x14ac:dyDescent="0.2">
      <c r="DY52480" s="185" t="s">
        <v>215</v>
      </c>
    </row>
    <row r="52481" spans="129:129" x14ac:dyDescent="0.2">
      <c r="DY52481" s="185" t="s">
        <v>215</v>
      </c>
    </row>
    <row r="52482" spans="129:129" x14ac:dyDescent="0.2">
      <c r="DY52482" s="185" t="s">
        <v>215</v>
      </c>
    </row>
    <row r="52483" spans="129:129" x14ac:dyDescent="0.2">
      <c r="DY52483" s="185" t="s">
        <v>215</v>
      </c>
    </row>
    <row r="52484" spans="129:129" x14ac:dyDescent="0.2">
      <c r="DY52484" s="185" t="s">
        <v>215</v>
      </c>
    </row>
    <row r="52485" spans="129:129" x14ac:dyDescent="0.2">
      <c r="DY52485" s="185" t="s">
        <v>215</v>
      </c>
    </row>
    <row r="52486" spans="129:129" x14ac:dyDescent="0.2">
      <c r="DY52486" s="185" t="s">
        <v>215</v>
      </c>
    </row>
    <row r="52487" spans="129:129" x14ac:dyDescent="0.2">
      <c r="DY52487" s="185" t="s">
        <v>215</v>
      </c>
    </row>
    <row r="52488" spans="129:129" x14ac:dyDescent="0.2">
      <c r="DY52488" s="185" t="s">
        <v>215</v>
      </c>
    </row>
    <row r="52489" spans="129:129" x14ac:dyDescent="0.2">
      <c r="DY52489" s="185" t="s">
        <v>215</v>
      </c>
    </row>
    <row r="52490" spans="129:129" x14ac:dyDescent="0.2">
      <c r="DY52490" s="185" t="s">
        <v>215</v>
      </c>
    </row>
    <row r="52491" spans="129:129" x14ac:dyDescent="0.2">
      <c r="DY52491" s="185" t="s">
        <v>215</v>
      </c>
    </row>
    <row r="52492" spans="129:129" x14ac:dyDescent="0.2">
      <c r="DY52492" s="185" t="s">
        <v>215</v>
      </c>
    </row>
    <row r="52493" spans="129:129" x14ac:dyDescent="0.2">
      <c r="DY52493" s="185" t="s">
        <v>215</v>
      </c>
    </row>
    <row r="52494" spans="129:129" x14ac:dyDescent="0.2">
      <c r="DY52494" s="185" t="s">
        <v>215</v>
      </c>
    </row>
    <row r="52495" spans="129:129" x14ac:dyDescent="0.2">
      <c r="DY52495" s="185" t="s">
        <v>215</v>
      </c>
    </row>
    <row r="52496" spans="129:129" x14ac:dyDescent="0.2">
      <c r="DY52496" s="185" t="s">
        <v>215</v>
      </c>
    </row>
    <row r="52497" spans="129:129" x14ac:dyDescent="0.2">
      <c r="DY52497" s="185" t="s">
        <v>215</v>
      </c>
    </row>
    <row r="52498" spans="129:129" x14ac:dyDescent="0.2">
      <c r="DY52498" s="185" t="s">
        <v>215</v>
      </c>
    </row>
    <row r="52499" spans="129:129" x14ac:dyDescent="0.2">
      <c r="DY52499" s="185" t="s">
        <v>215</v>
      </c>
    </row>
    <row r="52500" spans="129:129" x14ac:dyDescent="0.2">
      <c r="DY52500" s="185" t="s">
        <v>215</v>
      </c>
    </row>
    <row r="52501" spans="129:129" x14ac:dyDescent="0.2">
      <c r="DY52501" s="185" t="s">
        <v>215</v>
      </c>
    </row>
    <row r="52502" spans="129:129" x14ac:dyDescent="0.2">
      <c r="DY52502" s="185" t="s">
        <v>215</v>
      </c>
    </row>
    <row r="52503" spans="129:129" x14ac:dyDescent="0.2">
      <c r="DY52503" s="185" t="s">
        <v>215</v>
      </c>
    </row>
    <row r="52504" spans="129:129" x14ac:dyDescent="0.2">
      <c r="DY52504" s="185" t="s">
        <v>215</v>
      </c>
    </row>
    <row r="52505" spans="129:129" x14ac:dyDescent="0.2">
      <c r="DY52505" s="185" t="s">
        <v>215</v>
      </c>
    </row>
    <row r="52506" spans="129:129" x14ac:dyDescent="0.2">
      <c r="DY52506" s="185" t="s">
        <v>215</v>
      </c>
    </row>
    <row r="52507" spans="129:129" x14ac:dyDescent="0.2">
      <c r="DY52507" s="185" t="s">
        <v>215</v>
      </c>
    </row>
    <row r="52508" spans="129:129" x14ac:dyDescent="0.2">
      <c r="DY52508" s="185" t="s">
        <v>215</v>
      </c>
    </row>
    <row r="52509" spans="129:129" x14ac:dyDescent="0.2">
      <c r="DY52509" s="185" t="s">
        <v>215</v>
      </c>
    </row>
    <row r="52510" spans="129:129" x14ac:dyDescent="0.2">
      <c r="DY52510" s="185" t="s">
        <v>215</v>
      </c>
    </row>
    <row r="52511" spans="129:129" x14ac:dyDescent="0.2">
      <c r="DY52511" s="185" t="s">
        <v>215</v>
      </c>
    </row>
    <row r="52512" spans="129:129" x14ac:dyDescent="0.2">
      <c r="DY52512" s="185" t="s">
        <v>215</v>
      </c>
    </row>
    <row r="52513" spans="129:129" x14ac:dyDescent="0.2">
      <c r="DY52513" s="185" t="s">
        <v>215</v>
      </c>
    </row>
    <row r="52514" spans="129:129" x14ac:dyDescent="0.2">
      <c r="DY52514" s="185" t="s">
        <v>215</v>
      </c>
    </row>
    <row r="52515" spans="129:129" x14ac:dyDescent="0.2">
      <c r="DY52515" s="185" t="s">
        <v>215</v>
      </c>
    </row>
    <row r="52516" spans="129:129" x14ac:dyDescent="0.2">
      <c r="DY52516" s="185" t="s">
        <v>215</v>
      </c>
    </row>
    <row r="52517" spans="129:129" x14ac:dyDescent="0.2">
      <c r="DY52517" s="185" t="s">
        <v>215</v>
      </c>
    </row>
    <row r="52518" spans="129:129" x14ac:dyDescent="0.2">
      <c r="DY52518" s="185" t="s">
        <v>215</v>
      </c>
    </row>
    <row r="52519" spans="129:129" x14ac:dyDescent="0.2">
      <c r="DY52519" s="185" t="s">
        <v>215</v>
      </c>
    </row>
    <row r="52520" spans="129:129" x14ac:dyDescent="0.2">
      <c r="DY52520" s="185" t="s">
        <v>215</v>
      </c>
    </row>
    <row r="52521" spans="129:129" x14ac:dyDescent="0.2">
      <c r="DY52521" s="185" t="s">
        <v>215</v>
      </c>
    </row>
    <row r="52522" spans="129:129" x14ac:dyDescent="0.2">
      <c r="DY52522" s="185" t="s">
        <v>215</v>
      </c>
    </row>
    <row r="52523" spans="129:129" x14ac:dyDescent="0.2">
      <c r="DY52523" s="185" t="s">
        <v>215</v>
      </c>
    </row>
    <row r="52524" spans="129:129" x14ac:dyDescent="0.2">
      <c r="DY52524" s="185" t="s">
        <v>215</v>
      </c>
    </row>
    <row r="52525" spans="129:129" x14ac:dyDescent="0.2">
      <c r="DY52525" s="185" t="s">
        <v>215</v>
      </c>
    </row>
    <row r="52526" spans="129:129" x14ac:dyDescent="0.2">
      <c r="DY52526" s="185" t="s">
        <v>215</v>
      </c>
    </row>
    <row r="52527" spans="129:129" x14ac:dyDescent="0.2">
      <c r="DY52527" s="185" t="s">
        <v>215</v>
      </c>
    </row>
    <row r="52528" spans="129:129" x14ac:dyDescent="0.2">
      <c r="DY52528" s="185" t="s">
        <v>215</v>
      </c>
    </row>
    <row r="52529" spans="129:129" x14ac:dyDescent="0.2">
      <c r="DY52529" s="185" t="s">
        <v>215</v>
      </c>
    </row>
    <row r="52530" spans="129:129" x14ac:dyDescent="0.2">
      <c r="DY52530" s="185" t="s">
        <v>215</v>
      </c>
    </row>
    <row r="52531" spans="129:129" x14ac:dyDescent="0.2">
      <c r="DY52531" s="185" t="s">
        <v>215</v>
      </c>
    </row>
    <row r="52532" spans="129:129" x14ac:dyDescent="0.2">
      <c r="DY52532" s="185" t="s">
        <v>215</v>
      </c>
    </row>
    <row r="52533" spans="129:129" x14ac:dyDescent="0.2">
      <c r="DY52533" s="185" t="s">
        <v>215</v>
      </c>
    </row>
    <row r="52534" spans="129:129" x14ac:dyDescent="0.2">
      <c r="DY52534" s="185" t="s">
        <v>215</v>
      </c>
    </row>
    <row r="52535" spans="129:129" x14ac:dyDescent="0.2">
      <c r="DY52535" s="185" t="s">
        <v>215</v>
      </c>
    </row>
    <row r="52536" spans="129:129" x14ac:dyDescent="0.2">
      <c r="DY52536" s="185" t="s">
        <v>215</v>
      </c>
    </row>
    <row r="52537" spans="129:129" x14ac:dyDescent="0.2">
      <c r="DY52537" s="185" t="s">
        <v>215</v>
      </c>
    </row>
    <row r="52538" spans="129:129" x14ac:dyDescent="0.2">
      <c r="DY52538" s="185" t="s">
        <v>215</v>
      </c>
    </row>
    <row r="52539" spans="129:129" x14ac:dyDescent="0.2">
      <c r="DY52539" s="185" t="s">
        <v>215</v>
      </c>
    </row>
    <row r="52540" spans="129:129" x14ac:dyDescent="0.2">
      <c r="DY52540" s="185" t="s">
        <v>215</v>
      </c>
    </row>
    <row r="52541" spans="129:129" x14ac:dyDescent="0.2">
      <c r="DY52541" s="185" t="s">
        <v>215</v>
      </c>
    </row>
    <row r="52542" spans="129:129" x14ac:dyDescent="0.2">
      <c r="DY52542" s="185" t="s">
        <v>215</v>
      </c>
    </row>
    <row r="52543" spans="129:129" x14ac:dyDescent="0.2">
      <c r="DY52543" s="185" t="s">
        <v>215</v>
      </c>
    </row>
    <row r="52544" spans="129:129" x14ac:dyDescent="0.2">
      <c r="DY52544" s="185" t="s">
        <v>215</v>
      </c>
    </row>
    <row r="52545" spans="129:129" x14ac:dyDescent="0.2">
      <c r="DY52545" s="185" t="s">
        <v>215</v>
      </c>
    </row>
    <row r="52546" spans="129:129" x14ac:dyDescent="0.2">
      <c r="DY52546" s="185" t="s">
        <v>215</v>
      </c>
    </row>
    <row r="52547" spans="129:129" x14ac:dyDescent="0.2">
      <c r="DY52547" s="185" t="s">
        <v>215</v>
      </c>
    </row>
    <row r="52548" spans="129:129" x14ac:dyDescent="0.2">
      <c r="DY52548" s="185" t="s">
        <v>215</v>
      </c>
    </row>
    <row r="52549" spans="129:129" x14ac:dyDescent="0.2">
      <c r="DY52549" s="185" t="s">
        <v>215</v>
      </c>
    </row>
    <row r="52550" spans="129:129" x14ac:dyDescent="0.2">
      <c r="DY52550" s="185" t="s">
        <v>215</v>
      </c>
    </row>
    <row r="52551" spans="129:129" x14ac:dyDescent="0.2">
      <c r="DY52551" s="185" t="s">
        <v>215</v>
      </c>
    </row>
    <row r="52552" spans="129:129" x14ac:dyDescent="0.2">
      <c r="DY52552" s="185" t="s">
        <v>215</v>
      </c>
    </row>
    <row r="52553" spans="129:129" x14ac:dyDescent="0.2">
      <c r="DY52553" s="185" t="s">
        <v>215</v>
      </c>
    </row>
    <row r="52554" spans="129:129" x14ac:dyDescent="0.2">
      <c r="DY52554" s="185" t="s">
        <v>215</v>
      </c>
    </row>
    <row r="52555" spans="129:129" x14ac:dyDescent="0.2">
      <c r="DY52555" s="185" t="s">
        <v>215</v>
      </c>
    </row>
    <row r="52556" spans="129:129" x14ac:dyDescent="0.2">
      <c r="DY52556" s="185" t="s">
        <v>215</v>
      </c>
    </row>
    <row r="52557" spans="129:129" x14ac:dyDescent="0.2">
      <c r="DY52557" s="185" t="s">
        <v>215</v>
      </c>
    </row>
    <row r="52558" spans="129:129" x14ac:dyDescent="0.2">
      <c r="DY52558" s="185" t="s">
        <v>215</v>
      </c>
    </row>
    <row r="52559" spans="129:129" x14ac:dyDescent="0.2">
      <c r="DY52559" s="185" t="s">
        <v>215</v>
      </c>
    </row>
    <row r="52560" spans="129:129" x14ac:dyDescent="0.2">
      <c r="DY52560" s="185" t="s">
        <v>215</v>
      </c>
    </row>
    <row r="52561" spans="129:129" x14ac:dyDescent="0.2">
      <c r="DY52561" s="185" t="s">
        <v>215</v>
      </c>
    </row>
    <row r="52562" spans="129:129" x14ac:dyDescent="0.2">
      <c r="DY52562" s="185" t="s">
        <v>215</v>
      </c>
    </row>
    <row r="52563" spans="129:129" x14ac:dyDescent="0.2">
      <c r="DY52563" s="185" t="s">
        <v>215</v>
      </c>
    </row>
    <row r="52564" spans="129:129" x14ac:dyDescent="0.2">
      <c r="DY52564" s="185" t="s">
        <v>215</v>
      </c>
    </row>
    <row r="52565" spans="129:129" x14ac:dyDescent="0.2">
      <c r="DY52565" s="185" t="s">
        <v>215</v>
      </c>
    </row>
    <row r="52566" spans="129:129" x14ac:dyDescent="0.2">
      <c r="DY52566" s="185" t="s">
        <v>215</v>
      </c>
    </row>
    <row r="52567" spans="129:129" x14ac:dyDescent="0.2">
      <c r="DY52567" s="185" t="s">
        <v>215</v>
      </c>
    </row>
    <row r="52568" spans="129:129" x14ac:dyDescent="0.2">
      <c r="DY52568" s="185" t="s">
        <v>215</v>
      </c>
    </row>
    <row r="52569" spans="129:129" x14ac:dyDescent="0.2">
      <c r="DY52569" s="185" t="s">
        <v>215</v>
      </c>
    </row>
    <row r="52570" spans="129:129" x14ac:dyDescent="0.2">
      <c r="DY52570" s="185" t="s">
        <v>215</v>
      </c>
    </row>
    <row r="52571" spans="129:129" x14ac:dyDescent="0.2">
      <c r="DY52571" s="185" t="s">
        <v>215</v>
      </c>
    </row>
    <row r="52572" spans="129:129" x14ac:dyDescent="0.2">
      <c r="DY52572" s="185" t="s">
        <v>215</v>
      </c>
    </row>
    <row r="52573" spans="129:129" x14ac:dyDescent="0.2">
      <c r="DY52573" s="185" t="s">
        <v>215</v>
      </c>
    </row>
    <row r="52574" spans="129:129" x14ac:dyDescent="0.2">
      <c r="DY52574" s="185" t="s">
        <v>215</v>
      </c>
    </row>
    <row r="52575" spans="129:129" x14ac:dyDescent="0.2">
      <c r="DY52575" s="185" t="s">
        <v>215</v>
      </c>
    </row>
    <row r="52576" spans="129:129" x14ac:dyDescent="0.2">
      <c r="DY52576" s="185" t="s">
        <v>215</v>
      </c>
    </row>
    <row r="52577" spans="129:129" x14ac:dyDescent="0.2">
      <c r="DY52577" s="185" t="s">
        <v>215</v>
      </c>
    </row>
    <row r="52578" spans="129:129" x14ac:dyDescent="0.2">
      <c r="DY52578" s="185" t="s">
        <v>215</v>
      </c>
    </row>
    <row r="52579" spans="129:129" x14ac:dyDescent="0.2">
      <c r="DY52579" s="185" t="s">
        <v>215</v>
      </c>
    </row>
    <row r="52580" spans="129:129" x14ac:dyDescent="0.2">
      <c r="DY52580" s="185" t="s">
        <v>215</v>
      </c>
    </row>
    <row r="52581" spans="129:129" x14ac:dyDescent="0.2">
      <c r="DY52581" s="185" t="s">
        <v>215</v>
      </c>
    </row>
    <row r="52582" spans="129:129" x14ac:dyDescent="0.2">
      <c r="DY52582" s="185" t="s">
        <v>215</v>
      </c>
    </row>
    <row r="52583" spans="129:129" x14ac:dyDescent="0.2">
      <c r="DY52583" s="185" t="s">
        <v>215</v>
      </c>
    </row>
    <row r="52584" spans="129:129" x14ac:dyDescent="0.2">
      <c r="DY52584" s="185" t="s">
        <v>215</v>
      </c>
    </row>
    <row r="52585" spans="129:129" x14ac:dyDescent="0.2">
      <c r="DY52585" s="185" t="s">
        <v>215</v>
      </c>
    </row>
    <row r="52586" spans="129:129" x14ac:dyDescent="0.2">
      <c r="DY52586" s="185" t="s">
        <v>215</v>
      </c>
    </row>
    <row r="52587" spans="129:129" x14ac:dyDescent="0.2">
      <c r="DY52587" s="185" t="s">
        <v>215</v>
      </c>
    </row>
    <row r="52588" spans="129:129" x14ac:dyDescent="0.2">
      <c r="DY52588" s="185" t="s">
        <v>215</v>
      </c>
    </row>
    <row r="52589" spans="129:129" x14ac:dyDescent="0.2">
      <c r="DY52589" s="185" t="s">
        <v>215</v>
      </c>
    </row>
    <row r="52590" spans="129:129" x14ac:dyDescent="0.2">
      <c r="DY52590" s="185" t="s">
        <v>215</v>
      </c>
    </row>
    <row r="52591" spans="129:129" x14ac:dyDescent="0.2">
      <c r="DY52591" s="185" t="s">
        <v>215</v>
      </c>
    </row>
    <row r="52592" spans="129:129" x14ac:dyDescent="0.2">
      <c r="DY52592" s="185" t="s">
        <v>215</v>
      </c>
    </row>
    <row r="52593" spans="129:129" x14ac:dyDescent="0.2">
      <c r="DY52593" s="185" t="s">
        <v>215</v>
      </c>
    </row>
    <row r="52594" spans="129:129" x14ac:dyDescent="0.2">
      <c r="DY52594" s="185" t="s">
        <v>215</v>
      </c>
    </row>
    <row r="52595" spans="129:129" x14ac:dyDescent="0.2">
      <c r="DY52595" s="185" t="s">
        <v>215</v>
      </c>
    </row>
    <row r="52596" spans="129:129" x14ac:dyDescent="0.2">
      <c r="DY52596" s="185" t="s">
        <v>215</v>
      </c>
    </row>
    <row r="52597" spans="129:129" x14ac:dyDescent="0.2">
      <c r="DY52597" s="185" t="s">
        <v>215</v>
      </c>
    </row>
    <row r="52598" spans="129:129" x14ac:dyDescent="0.2">
      <c r="DY52598" s="185" t="s">
        <v>215</v>
      </c>
    </row>
    <row r="52599" spans="129:129" x14ac:dyDescent="0.2">
      <c r="DY52599" s="185" t="s">
        <v>215</v>
      </c>
    </row>
    <row r="52600" spans="129:129" x14ac:dyDescent="0.2">
      <c r="DY52600" s="185" t="s">
        <v>215</v>
      </c>
    </row>
    <row r="52601" spans="129:129" x14ac:dyDescent="0.2">
      <c r="DY52601" s="185" t="s">
        <v>215</v>
      </c>
    </row>
    <row r="52602" spans="129:129" x14ac:dyDescent="0.2">
      <c r="DY52602" s="185" t="s">
        <v>215</v>
      </c>
    </row>
    <row r="52603" spans="129:129" x14ac:dyDescent="0.2">
      <c r="DY52603" s="185" t="s">
        <v>215</v>
      </c>
    </row>
    <row r="52604" spans="129:129" x14ac:dyDescent="0.2">
      <c r="DY52604" s="185" t="s">
        <v>215</v>
      </c>
    </row>
    <row r="52605" spans="129:129" x14ac:dyDescent="0.2">
      <c r="DY52605" s="185" t="s">
        <v>215</v>
      </c>
    </row>
    <row r="52606" spans="129:129" x14ac:dyDescent="0.2">
      <c r="DY52606" s="185" t="s">
        <v>215</v>
      </c>
    </row>
    <row r="52607" spans="129:129" x14ac:dyDescent="0.2">
      <c r="DY52607" s="185" t="s">
        <v>215</v>
      </c>
    </row>
    <row r="52608" spans="129:129" x14ac:dyDescent="0.2">
      <c r="DY52608" s="185" t="s">
        <v>215</v>
      </c>
    </row>
    <row r="52609" spans="129:129" x14ac:dyDescent="0.2">
      <c r="DY52609" s="185" t="s">
        <v>215</v>
      </c>
    </row>
    <row r="52610" spans="129:129" x14ac:dyDescent="0.2">
      <c r="DY52610" s="185" t="s">
        <v>215</v>
      </c>
    </row>
    <row r="52611" spans="129:129" x14ac:dyDescent="0.2">
      <c r="DY52611" s="185" t="s">
        <v>215</v>
      </c>
    </row>
    <row r="52612" spans="129:129" x14ac:dyDescent="0.2">
      <c r="DY52612" s="185" t="s">
        <v>215</v>
      </c>
    </row>
    <row r="52613" spans="129:129" x14ac:dyDescent="0.2">
      <c r="DY52613" s="185" t="s">
        <v>215</v>
      </c>
    </row>
    <row r="52614" spans="129:129" x14ac:dyDescent="0.2">
      <c r="DY52614" s="185" t="s">
        <v>215</v>
      </c>
    </row>
    <row r="52615" spans="129:129" x14ac:dyDescent="0.2">
      <c r="DY52615" s="185" t="s">
        <v>215</v>
      </c>
    </row>
    <row r="52616" spans="129:129" x14ac:dyDescent="0.2">
      <c r="DY52616" s="185" t="s">
        <v>215</v>
      </c>
    </row>
    <row r="52617" spans="129:129" x14ac:dyDescent="0.2">
      <c r="DY52617" s="185" t="s">
        <v>215</v>
      </c>
    </row>
    <row r="52618" spans="129:129" x14ac:dyDescent="0.2">
      <c r="DY52618" s="185" t="s">
        <v>215</v>
      </c>
    </row>
    <row r="52619" spans="129:129" x14ac:dyDescent="0.2">
      <c r="DY52619" s="185" t="s">
        <v>215</v>
      </c>
    </row>
    <row r="52620" spans="129:129" x14ac:dyDescent="0.2">
      <c r="DY52620" s="185" t="s">
        <v>215</v>
      </c>
    </row>
    <row r="52621" spans="129:129" x14ac:dyDescent="0.2">
      <c r="DY52621" s="185" t="s">
        <v>215</v>
      </c>
    </row>
    <row r="52622" spans="129:129" x14ac:dyDescent="0.2">
      <c r="DY52622" s="185" t="s">
        <v>215</v>
      </c>
    </row>
    <row r="52623" spans="129:129" x14ac:dyDescent="0.2">
      <c r="DY52623" s="185" t="s">
        <v>215</v>
      </c>
    </row>
    <row r="52624" spans="129:129" x14ac:dyDescent="0.2">
      <c r="DY52624" s="185" t="s">
        <v>215</v>
      </c>
    </row>
    <row r="52625" spans="129:129" x14ac:dyDescent="0.2">
      <c r="DY52625" s="185" t="s">
        <v>215</v>
      </c>
    </row>
    <row r="52626" spans="129:129" x14ac:dyDescent="0.2">
      <c r="DY52626" s="185" t="s">
        <v>215</v>
      </c>
    </row>
    <row r="52627" spans="129:129" x14ac:dyDescent="0.2">
      <c r="DY52627" s="185" t="s">
        <v>215</v>
      </c>
    </row>
    <row r="52628" spans="129:129" x14ac:dyDescent="0.2">
      <c r="DY52628" s="185" t="s">
        <v>215</v>
      </c>
    </row>
    <row r="52629" spans="129:129" x14ac:dyDescent="0.2">
      <c r="DY52629" s="185" t="s">
        <v>215</v>
      </c>
    </row>
    <row r="52630" spans="129:129" x14ac:dyDescent="0.2">
      <c r="DY52630" s="185" t="s">
        <v>215</v>
      </c>
    </row>
    <row r="52631" spans="129:129" x14ac:dyDescent="0.2">
      <c r="DY52631" s="185" t="s">
        <v>215</v>
      </c>
    </row>
    <row r="52632" spans="129:129" x14ac:dyDescent="0.2">
      <c r="DY52632" s="185" t="s">
        <v>215</v>
      </c>
    </row>
    <row r="52633" spans="129:129" x14ac:dyDescent="0.2">
      <c r="DY52633" s="185" t="s">
        <v>215</v>
      </c>
    </row>
    <row r="52634" spans="129:129" x14ac:dyDescent="0.2">
      <c r="DY52634" s="185" t="s">
        <v>215</v>
      </c>
    </row>
    <row r="52635" spans="129:129" x14ac:dyDescent="0.2">
      <c r="DY52635" s="185" t="s">
        <v>215</v>
      </c>
    </row>
    <row r="52636" spans="129:129" x14ac:dyDescent="0.2">
      <c r="DY52636" s="185" t="s">
        <v>215</v>
      </c>
    </row>
    <row r="52637" spans="129:129" x14ac:dyDescent="0.2">
      <c r="DY52637" s="185" t="s">
        <v>215</v>
      </c>
    </row>
    <row r="52638" spans="129:129" x14ac:dyDescent="0.2">
      <c r="DY52638" s="185" t="s">
        <v>215</v>
      </c>
    </row>
    <row r="52639" spans="129:129" x14ac:dyDescent="0.2">
      <c r="DY52639" s="185" t="s">
        <v>215</v>
      </c>
    </row>
    <row r="52640" spans="129:129" x14ac:dyDescent="0.2">
      <c r="DY52640" s="185" t="s">
        <v>215</v>
      </c>
    </row>
    <row r="52641" spans="129:129" x14ac:dyDescent="0.2">
      <c r="DY52641" s="185" t="s">
        <v>215</v>
      </c>
    </row>
    <row r="52642" spans="129:129" x14ac:dyDescent="0.2">
      <c r="DY52642" s="185" t="s">
        <v>215</v>
      </c>
    </row>
    <row r="52643" spans="129:129" x14ac:dyDescent="0.2">
      <c r="DY52643" s="185" t="s">
        <v>215</v>
      </c>
    </row>
    <row r="52644" spans="129:129" x14ac:dyDescent="0.2">
      <c r="DY52644" s="185" t="s">
        <v>215</v>
      </c>
    </row>
    <row r="52645" spans="129:129" x14ac:dyDescent="0.2">
      <c r="DY52645" s="185" t="s">
        <v>215</v>
      </c>
    </row>
    <row r="52646" spans="129:129" x14ac:dyDescent="0.2">
      <c r="DY52646" s="185" t="s">
        <v>215</v>
      </c>
    </row>
    <row r="52647" spans="129:129" x14ac:dyDescent="0.2">
      <c r="DY52647" s="185" t="s">
        <v>215</v>
      </c>
    </row>
    <row r="52648" spans="129:129" x14ac:dyDescent="0.2">
      <c r="DY52648" s="185" t="s">
        <v>215</v>
      </c>
    </row>
    <row r="52649" spans="129:129" x14ac:dyDescent="0.2">
      <c r="DY52649" s="185" t="s">
        <v>215</v>
      </c>
    </row>
    <row r="52650" spans="129:129" x14ac:dyDescent="0.2">
      <c r="DY52650" s="185" t="s">
        <v>215</v>
      </c>
    </row>
    <row r="52651" spans="129:129" x14ac:dyDescent="0.2">
      <c r="DY52651" s="185" t="s">
        <v>215</v>
      </c>
    </row>
    <row r="52652" spans="129:129" x14ac:dyDescent="0.2">
      <c r="DY52652" s="185" t="s">
        <v>215</v>
      </c>
    </row>
    <row r="52653" spans="129:129" x14ac:dyDescent="0.2">
      <c r="DY52653" s="185" t="s">
        <v>215</v>
      </c>
    </row>
    <row r="52654" spans="129:129" x14ac:dyDescent="0.2">
      <c r="DY52654" s="185" t="s">
        <v>215</v>
      </c>
    </row>
    <row r="52655" spans="129:129" x14ac:dyDescent="0.2">
      <c r="DY52655" s="185" t="s">
        <v>215</v>
      </c>
    </row>
    <row r="52656" spans="129:129" x14ac:dyDescent="0.2">
      <c r="DY52656" s="185" t="s">
        <v>215</v>
      </c>
    </row>
    <row r="52657" spans="129:129" x14ac:dyDescent="0.2">
      <c r="DY52657" s="185" t="s">
        <v>215</v>
      </c>
    </row>
    <row r="52658" spans="129:129" x14ac:dyDescent="0.2">
      <c r="DY52658" s="185" t="s">
        <v>215</v>
      </c>
    </row>
    <row r="52659" spans="129:129" x14ac:dyDescent="0.2">
      <c r="DY52659" s="185" t="s">
        <v>215</v>
      </c>
    </row>
    <row r="52660" spans="129:129" x14ac:dyDescent="0.2">
      <c r="DY52660" s="185" t="s">
        <v>215</v>
      </c>
    </row>
    <row r="52661" spans="129:129" x14ac:dyDescent="0.2">
      <c r="DY52661" s="185" t="s">
        <v>215</v>
      </c>
    </row>
    <row r="52662" spans="129:129" x14ac:dyDescent="0.2">
      <c r="DY52662" s="185" t="s">
        <v>215</v>
      </c>
    </row>
    <row r="52663" spans="129:129" x14ac:dyDescent="0.2">
      <c r="DY52663" s="185" t="s">
        <v>215</v>
      </c>
    </row>
    <row r="52664" spans="129:129" x14ac:dyDescent="0.2">
      <c r="DY52664" s="185" t="s">
        <v>215</v>
      </c>
    </row>
    <row r="52665" spans="129:129" x14ac:dyDescent="0.2">
      <c r="DY52665" s="185" t="s">
        <v>215</v>
      </c>
    </row>
    <row r="52666" spans="129:129" x14ac:dyDescent="0.2">
      <c r="DY52666" s="185" t="s">
        <v>215</v>
      </c>
    </row>
    <row r="52667" spans="129:129" x14ac:dyDescent="0.2">
      <c r="DY52667" s="185" t="s">
        <v>215</v>
      </c>
    </row>
    <row r="52668" spans="129:129" x14ac:dyDescent="0.2">
      <c r="DY52668" s="185" t="s">
        <v>215</v>
      </c>
    </row>
    <row r="52669" spans="129:129" x14ac:dyDescent="0.2">
      <c r="DY52669" s="185" t="s">
        <v>215</v>
      </c>
    </row>
    <row r="52670" spans="129:129" x14ac:dyDescent="0.2">
      <c r="DY52670" s="185" t="s">
        <v>215</v>
      </c>
    </row>
    <row r="52671" spans="129:129" x14ac:dyDescent="0.2">
      <c r="DY52671" s="185" t="s">
        <v>215</v>
      </c>
    </row>
    <row r="52672" spans="129:129" x14ac:dyDescent="0.2">
      <c r="DY52672" s="185" t="s">
        <v>215</v>
      </c>
    </row>
    <row r="52673" spans="129:129" x14ac:dyDescent="0.2">
      <c r="DY52673" s="185" t="s">
        <v>215</v>
      </c>
    </row>
    <row r="52674" spans="129:129" x14ac:dyDescent="0.2">
      <c r="DY52674" s="185" t="s">
        <v>215</v>
      </c>
    </row>
    <row r="52675" spans="129:129" x14ac:dyDescent="0.2">
      <c r="DY52675" s="185" t="s">
        <v>215</v>
      </c>
    </row>
    <row r="52676" spans="129:129" x14ac:dyDescent="0.2">
      <c r="DY52676" s="185" t="s">
        <v>215</v>
      </c>
    </row>
    <row r="52677" spans="129:129" x14ac:dyDescent="0.2">
      <c r="DY52677" s="185" t="s">
        <v>215</v>
      </c>
    </row>
    <row r="52678" spans="129:129" x14ac:dyDescent="0.2">
      <c r="DY52678" s="185" t="s">
        <v>215</v>
      </c>
    </row>
    <row r="52679" spans="129:129" x14ac:dyDescent="0.2">
      <c r="DY52679" s="185" t="s">
        <v>215</v>
      </c>
    </row>
    <row r="52680" spans="129:129" x14ac:dyDescent="0.2">
      <c r="DY52680" s="185" t="s">
        <v>215</v>
      </c>
    </row>
    <row r="52681" spans="129:129" x14ac:dyDescent="0.2">
      <c r="DY52681" s="185" t="s">
        <v>215</v>
      </c>
    </row>
    <row r="52682" spans="129:129" x14ac:dyDescent="0.2">
      <c r="DY52682" s="185" t="s">
        <v>215</v>
      </c>
    </row>
    <row r="52683" spans="129:129" x14ac:dyDescent="0.2">
      <c r="DY52683" s="185" t="s">
        <v>215</v>
      </c>
    </row>
    <row r="52684" spans="129:129" x14ac:dyDescent="0.2">
      <c r="DY52684" s="185" t="s">
        <v>215</v>
      </c>
    </row>
    <row r="52685" spans="129:129" x14ac:dyDescent="0.2">
      <c r="DY52685" s="185" t="s">
        <v>215</v>
      </c>
    </row>
    <row r="52686" spans="129:129" x14ac:dyDescent="0.2">
      <c r="DY52686" s="185" t="s">
        <v>215</v>
      </c>
    </row>
    <row r="52687" spans="129:129" x14ac:dyDescent="0.2">
      <c r="DY52687" s="185" t="s">
        <v>215</v>
      </c>
    </row>
    <row r="52688" spans="129:129" x14ac:dyDescent="0.2">
      <c r="DY52688" s="185" t="s">
        <v>215</v>
      </c>
    </row>
    <row r="52689" spans="129:129" x14ac:dyDescent="0.2">
      <c r="DY52689" s="185" t="s">
        <v>215</v>
      </c>
    </row>
    <row r="52690" spans="129:129" x14ac:dyDescent="0.2">
      <c r="DY52690" s="185" t="s">
        <v>215</v>
      </c>
    </row>
    <row r="52691" spans="129:129" x14ac:dyDescent="0.2">
      <c r="DY52691" s="185" t="s">
        <v>215</v>
      </c>
    </row>
    <row r="52692" spans="129:129" x14ac:dyDescent="0.2">
      <c r="DY52692" s="185" t="s">
        <v>215</v>
      </c>
    </row>
    <row r="52693" spans="129:129" x14ac:dyDescent="0.2">
      <c r="DY52693" s="185" t="s">
        <v>215</v>
      </c>
    </row>
    <row r="52694" spans="129:129" x14ac:dyDescent="0.2">
      <c r="DY52694" s="185" t="s">
        <v>215</v>
      </c>
    </row>
    <row r="52695" spans="129:129" x14ac:dyDescent="0.2">
      <c r="DY52695" s="185" t="s">
        <v>215</v>
      </c>
    </row>
    <row r="52696" spans="129:129" x14ac:dyDescent="0.2">
      <c r="DY52696" s="185" t="s">
        <v>215</v>
      </c>
    </row>
    <row r="52697" spans="129:129" x14ac:dyDescent="0.2">
      <c r="DY52697" s="185" t="s">
        <v>215</v>
      </c>
    </row>
    <row r="52698" spans="129:129" x14ac:dyDescent="0.2">
      <c r="DY52698" s="185" t="s">
        <v>215</v>
      </c>
    </row>
    <row r="52699" spans="129:129" x14ac:dyDescent="0.2">
      <c r="DY52699" s="185" t="s">
        <v>215</v>
      </c>
    </row>
    <row r="52700" spans="129:129" x14ac:dyDescent="0.2">
      <c r="DY52700" s="185" t="s">
        <v>215</v>
      </c>
    </row>
    <row r="52701" spans="129:129" x14ac:dyDescent="0.2">
      <c r="DY52701" s="185" t="s">
        <v>215</v>
      </c>
    </row>
    <row r="52702" spans="129:129" x14ac:dyDescent="0.2">
      <c r="DY52702" s="185" t="s">
        <v>215</v>
      </c>
    </row>
    <row r="52703" spans="129:129" x14ac:dyDescent="0.2">
      <c r="DY52703" s="185" t="s">
        <v>215</v>
      </c>
    </row>
    <row r="52704" spans="129:129" x14ac:dyDescent="0.2">
      <c r="DY52704" s="185" t="s">
        <v>215</v>
      </c>
    </row>
    <row r="52705" spans="129:129" x14ac:dyDescent="0.2">
      <c r="DY52705" s="185" t="s">
        <v>215</v>
      </c>
    </row>
    <row r="52706" spans="129:129" x14ac:dyDescent="0.2">
      <c r="DY52706" s="185" t="s">
        <v>215</v>
      </c>
    </row>
    <row r="52707" spans="129:129" x14ac:dyDescent="0.2">
      <c r="DY52707" s="185" t="s">
        <v>215</v>
      </c>
    </row>
    <row r="52708" spans="129:129" x14ac:dyDescent="0.2">
      <c r="DY52708" s="185" t="s">
        <v>215</v>
      </c>
    </row>
    <row r="52709" spans="129:129" x14ac:dyDescent="0.2">
      <c r="DY52709" s="185" t="s">
        <v>215</v>
      </c>
    </row>
    <row r="52710" spans="129:129" x14ac:dyDescent="0.2">
      <c r="DY52710" s="185" t="s">
        <v>215</v>
      </c>
    </row>
    <row r="52711" spans="129:129" x14ac:dyDescent="0.2">
      <c r="DY52711" s="185" t="s">
        <v>215</v>
      </c>
    </row>
    <row r="52712" spans="129:129" x14ac:dyDescent="0.2">
      <c r="DY52712" s="185" t="s">
        <v>215</v>
      </c>
    </row>
    <row r="52713" spans="129:129" x14ac:dyDescent="0.2">
      <c r="DY52713" s="185" t="s">
        <v>215</v>
      </c>
    </row>
    <row r="52714" spans="129:129" x14ac:dyDescent="0.2">
      <c r="DY52714" s="185" t="s">
        <v>215</v>
      </c>
    </row>
    <row r="52715" spans="129:129" x14ac:dyDescent="0.2">
      <c r="DY52715" s="185" t="s">
        <v>215</v>
      </c>
    </row>
    <row r="52716" spans="129:129" x14ac:dyDescent="0.2">
      <c r="DY52716" s="185" t="s">
        <v>215</v>
      </c>
    </row>
    <row r="52717" spans="129:129" x14ac:dyDescent="0.2">
      <c r="DY52717" s="185" t="s">
        <v>215</v>
      </c>
    </row>
    <row r="52718" spans="129:129" x14ac:dyDescent="0.2">
      <c r="DY52718" s="185" t="s">
        <v>215</v>
      </c>
    </row>
    <row r="52719" spans="129:129" x14ac:dyDescent="0.2">
      <c r="DY52719" s="185" t="s">
        <v>215</v>
      </c>
    </row>
    <row r="52720" spans="129:129" x14ac:dyDescent="0.2">
      <c r="DY52720" s="185" t="s">
        <v>215</v>
      </c>
    </row>
    <row r="52721" spans="129:129" x14ac:dyDescent="0.2">
      <c r="DY52721" s="185" t="s">
        <v>215</v>
      </c>
    </row>
    <row r="52722" spans="129:129" x14ac:dyDescent="0.2">
      <c r="DY52722" s="185" t="s">
        <v>215</v>
      </c>
    </row>
    <row r="52723" spans="129:129" x14ac:dyDescent="0.2">
      <c r="DY52723" s="185" t="s">
        <v>215</v>
      </c>
    </row>
    <row r="52724" spans="129:129" x14ac:dyDescent="0.2">
      <c r="DY52724" s="185" t="s">
        <v>215</v>
      </c>
    </row>
    <row r="52725" spans="129:129" x14ac:dyDescent="0.2">
      <c r="DY52725" s="185" t="s">
        <v>215</v>
      </c>
    </row>
    <row r="52726" spans="129:129" x14ac:dyDescent="0.2">
      <c r="DY52726" s="185" t="s">
        <v>215</v>
      </c>
    </row>
    <row r="52727" spans="129:129" x14ac:dyDescent="0.2">
      <c r="DY52727" s="185" t="s">
        <v>215</v>
      </c>
    </row>
    <row r="52728" spans="129:129" x14ac:dyDescent="0.2">
      <c r="DY52728" s="185" t="s">
        <v>215</v>
      </c>
    </row>
    <row r="52729" spans="129:129" x14ac:dyDescent="0.2">
      <c r="DY52729" s="185" t="s">
        <v>215</v>
      </c>
    </row>
    <row r="52730" spans="129:129" x14ac:dyDescent="0.2">
      <c r="DY52730" s="185" t="s">
        <v>215</v>
      </c>
    </row>
    <row r="52731" spans="129:129" x14ac:dyDescent="0.2">
      <c r="DY52731" s="185" t="s">
        <v>215</v>
      </c>
    </row>
    <row r="52732" spans="129:129" x14ac:dyDescent="0.2">
      <c r="DY52732" s="185" t="s">
        <v>215</v>
      </c>
    </row>
    <row r="52733" spans="129:129" x14ac:dyDescent="0.2">
      <c r="DY52733" s="185" t="s">
        <v>215</v>
      </c>
    </row>
    <row r="52734" spans="129:129" x14ac:dyDescent="0.2">
      <c r="DY52734" s="185" t="s">
        <v>215</v>
      </c>
    </row>
    <row r="52735" spans="129:129" x14ac:dyDescent="0.2">
      <c r="DY52735" s="185" t="s">
        <v>215</v>
      </c>
    </row>
    <row r="52736" spans="129:129" x14ac:dyDescent="0.2">
      <c r="DY52736" s="185" t="s">
        <v>215</v>
      </c>
    </row>
    <row r="52737" spans="129:129" x14ac:dyDescent="0.2">
      <c r="DY52737" s="185" t="s">
        <v>215</v>
      </c>
    </row>
    <row r="52738" spans="129:129" x14ac:dyDescent="0.2">
      <c r="DY52738" s="185" t="s">
        <v>215</v>
      </c>
    </row>
    <row r="52739" spans="129:129" x14ac:dyDescent="0.2">
      <c r="DY52739" s="185" t="s">
        <v>215</v>
      </c>
    </row>
    <row r="52740" spans="129:129" x14ac:dyDescent="0.2">
      <c r="DY52740" s="185" t="s">
        <v>215</v>
      </c>
    </row>
    <row r="52741" spans="129:129" x14ac:dyDescent="0.2">
      <c r="DY52741" s="185" t="s">
        <v>215</v>
      </c>
    </row>
    <row r="52742" spans="129:129" x14ac:dyDescent="0.2">
      <c r="DY52742" s="185" t="s">
        <v>215</v>
      </c>
    </row>
    <row r="52743" spans="129:129" x14ac:dyDescent="0.2">
      <c r="DY52743" s="185" t="s">
        <v>215</v>
      </c>
    </row>
    <row r="52744" spans="129:129" x14ac:dyDescent="0.2">
      <c r="DY52744" s="185" t="s">
        <v>215</v>
      </c>
    </row>
    <row r="52745" spans="129:129" x14ac:dyDescent="0.2">
      <c r="DY52745" s="185" t="s">
        <v>215</v>
      </c>
    </row>
    <row r="52746" spans="129:129" x14ac:dyDescent="0.2">
      <c r="DY52746" s="185" t="s">
        <v>215</v>
      </c>
    </row>
    <row r="52747" spans="129:129" x14ac:dyDescent="0.2">
      <c r="DY52747" s="185" t="s">
        <v>215</v>
      </c>
    </row>
    <row r="52748" spans="129:129" x14ac:dyDescent="0.2">
      <c r="DY52748" s="185" t="s">
        <v>215</v>
      </c>
    </row>
    <row r="52749" spans="129:129" x14ac:dyDescent="0.2">
      <c r="DY52749" s="185" t="s">
        <v>215</v>
      </c>
    </row>
    <row r="52750" spans="129:129" x14ac:dyDescent="0.2">
      <c r="DY52750" s="185" t="s">
        <v>215</v>
      </c>
    </row>
    <row r="52751" spans="129:129" x14ac:dyDescent="0.2">
      <c r="DY52751" s="185" t="s">
        <v>215</v>
      </c>
    </row>
    <row r="52752" spans="129:129" x14ac:dyDescent="0.2">
      <c r="DY52752" s="185" t="s">
        <v>215</v>
      </c>
    </row>
    <row r="52753" spans="129:129" x14ac:dyDescent="0.2">
      <c r="DY52753" s="185" t="s">
        <v>215</v>
      </c>
    </row>
    <row r="52754" spans="129:129" x14ac:dyDescent="0.2">
      <c r="DY52754" s="185" t="s">
        <v>215</v>
      </c>
    </row>
    <row r="52755" spans="129:129" x14ac:dyDescent="0.2">
      <c r="DY52755" s="185" t="s">
        <v>215</v>
      </c>
    </row>
    <row r="52756" spans="129:129" x14ac:dyDescent="0.2">
      <c r="DY52756" s="185" t="s">
        <v>215</v>
      </c>
    </row>
    <row r="52757" spans="129:129" x14ac:dyDescent="0.2">
      <c r="DY52757" s="185" t="s">
        <v>215</v>
      </c>
    </row>
    <row r="52758" spans="129:129" x14ac:dyDescent="0.2">
      <c r="DY52758" s="185" t="s">
        <v>215</v>
      </c>
    </row>
    <row r="52759" spans="129:129" x14ac:dyDescent="0.2">
      <c r="DY52759" s="185" t="s">
        <v>215</v>
      </c>
    </row>
    <row r="52760" spans="129:129" x14ac:dyDescent="0.2">
      <c r="DY52760" s="185" t="s">
        <v>215</v>
      </c>
    </row>
    <row r="52761" spans="129:129" x14ac:dyDescent="0.2">
      <c r="DY52761" s="185" t="s">
        <v>215</v>
      </c>
    </row>
    <row r="52762" spans="129:129" x14ac:dyDescent="0.2">
      <c r="DY52762" s="185" t="s">
        <v>215</v>
      </c>
    </row>
    <row r="52763" spans="129:129" x14ac:dyDescent="0.2">
      <c r="DY52763" s="185" t="s">
        <v>215</v>
      </c>
    </row>
    <row r="52764" spans="129:129" x14ac:dyDescent="0.2">
      <c r="DY52764" s="185" t="s">
        <v>215</v>
      </c>
    </row>
    <row r="52765" spans="129:129" x14ac:dyDescent="0.2">
      <c r="DY52765" s="185" t="s">
        <v>215</v>
      </c>
    </row>
    <row r="52766" spans="129:129" x14ac:dyDescent="0.2">
      <c r="DY52766" s="185" t="s">
        <v>215</v>
      </c>
    </row>
    <row r="52767" spans="129:129" x14ac:dyDescent="0.2">
      <c r="DY52767" s="185" t="s">
        <v>215</v>
      </c>
    </row>
    <row r="52768" spans="129:129" x14ac:dyDescent="0.2">
      <c r="DY52768" s="185" t="s">
        <v>215</v>
      </c>
    </row>
    <row r="52769" spans="129:129" x14ac:dyDescent="0.2">
      <c r="DY52769" s="185" t="s">
        <v>215</v>
      </c>
    </row>
    <row r="52770" spans="129:129" x14ac:dyDescent="0.2">
      <c r="DY52770" s="185" t="s">
        <v>215</v>
      </c>
    </row>
    <row r="52771" spans="129:129" x14ac:dyDescent="0.2">
      <c r="DY52771" s="185" t="s">
        <v>215</v>
      </c>
    </row>
    <row r="52772" spans="129:129" x14ac:dyDescent="0.2">
      <c r="DY52772" s="185" t="s">
        <v>215</v>
      </c>
    </row>
    <row r="52773" spans="129:129" x14ac:dyDescent="0.2">
      <c r="DY52773" s="185" t="s">
        <v>215</v>
      </c>
    </row>
    <row r="52774" spans="129:129" x14ac:dyDescent="0.2">
      <c r="DY52774" s="185" t="s">
        <v>215</v>
      </c>
    </row>
    <row r="52775" spans="129:129" x14ac:dyDescent="0.2">
      <c r="DY52775" s="185" t="s">
        <v>215</v>
      </c>
    </row>
    <row r="52776" spans="129:129" x14ac:dyDescent="0.2">
      <c r="DY52776" s="185" t="s">
        <v>215</v>
      </c>
    </row>
    <row r="52777" spans="129:129" x14ac:dyDescent="0.2">
      <c r="DY52777" s="185" t="s">
        <v>215</v>
      </c>
    </row>
    <row r="52778" spans="129:129" x14ac:dyDescent="0.2">
      <c r="DY52778" s="185" t="s">
        <v>215</v>
      </c>
    </row>
    <row r="52779" spans="129:129" x14ac:dyDescent="0.2">
      <c r="DY52779" s="185" t="s">
        <v>215</v>
      </c>
    </row>
    <row r="52780" spans="129:129" x14ac:dyDescent="0.2">
      <c r="DY52780" s="185" t="s">
        <v>215</v>
      </c>
    </row>
    <row r="52781" spans="129:129" x14ac:dyDescent="0.2">
      <c r="DY52781" s="185" t="s">
        <v>215</v>
      </c>
    </row>
    <row r="52782" spans="129:129" x14ac:dyDescent="0.2">
      <c r="DY52782" s="185" t="s">
        <v>215</v>
      </c>
    </row>
    <row r="52783" spans="129:129" x14ac:dyDescent="0.2">
      <c r="DY52783" s="185" t="s">
        <v>215</v>
      </c>
    </row>
    <row r="52784" spans="129:129" x14ac:dyDescent="0.2">
      <c r="DY52784" s="185" t="s">
        <v>215</v>
      </c>
    </row>
    <row r="52785" spans="129:129" x14ac:dyDescent="0.2">
      <c r="DY52785" s="185" t="s">
        <v>215</v>
      </c>
    </row>
    <row r="52786" spans="129:129" x14ac:dyDescent="0.2">
      <c r="DY52786" s="185" t="s">
        <v>215</v>
      </c>
    </row>
    <row r="52787" spans="129:129" x14ac:dyDescent="0.2">
      <c r="DY52787" s="185" t="s">
        <v>215</v>
      </c>
    </row>
    <row r="52788" spans="129:129" x14ac:dyDescent="0.2">
      <c r="DY52788" s="185" t="s">
        <v>215</v>
      </c>
    </row>
    <row r="52789" spans="129:129" x14ac:dyDescent="0.2">
      <c r="DY52789" s="185" t="s">
        <v>215</v>
      </c>
    </row>
    <row r="52790" spans="129:129" x14ac:dyDescent="0.2">
      <c r="DY52790" s="185" t="s">
        <v>215</v>
      </c>
    </row>
    <row r="52791" spans="129:129" x14ac:dyDescent="0.2">
      <c r="DY52791" s="185" t="s">
        <v>215</v>
      </c>
    </row>
    <row r="52792" spans="129:129" x14ac:dyDescent="0.2">
      <c r="DY52792" s="185" t="s">
        <v>215</v>
      </c>
    </row>
    <row r="52793" spans="129:129" x14ac:dyDescent="0.2">
      <c r="DY52793" s="185" t="s">
        <v>215</v>
      </c>
    </row>
    <row r="52794" spans="129:129" x14ac:dyDescent="0.2">
      <c r="DY52794" s="185" t="s">
        <v>215</v>
      </c>
    </row>
    <row r="52795" spans="129:129" x14ac:dyDescent="0.2">
      <c r="DY52795" s="185" t="s">
        <v>215</v>
      </c>
    </row>
    <row r="52796" spans="129:129" x14ac:dyDescent="0.2">
      <c r="DY52796" s="185" t="s">
        <v>215</v>
      </c>
    </row>
    <row r="52797" spans="129:129" x14ac:dyDescent="0.2">
      <c r="DY52797" s="185" t="s">
        <v>215</v>
      </c>
    </row>
    <row r="52798" spans="129:129" x14ac:dyDescent="0.2">
      <c r="DY52798" s="185" t="s">
        <v>215</v>
      </c>
    </row>
    <row r="52799" spans="129:129" x14ac:dyDescent="0.2">
      <c r="DY52799" s="185" t="s">
        <v>215</v>
      </c>
    </row>
    <row r="52800" spans="129:129" x14ac:dyDescent="0.2">
      <c r="DY52800" s="185" t="s">
        <v>215</v>
      </c>
    </row>
    <row r="52801" spans="129:129" x14ac:dyDescent="0.2">
      <c r="DY52801" s="185" t="s">
        <v>215</v>
      </c>
    </row>
    <row r="52802" spans="129:129" x14ac:dyDescent="0.2">
      <c r="DY52802" s="185" t="s">
        <v>215</v>
      </c>
    </row>
    <row r="52803" spans="129:129" x14ac:dyDescent="0.2">
      <c r="DY52803" s="185" t="s">
        <v>215</v>
      </c>
    </row>
    <row r="52804" spans="129:129" x14ac:dyDescent="0.2">
      <c r="DY52804" s="185" t="s">
        <v>215</v>
      </c>
    </row>
    <row r="52805" spans="129:129" x14ac:dyDescent="0.2">
      <c r="DY52805" s="185" t="s">
        <v>215</v>
      </c>
    </row>
    <row r="52806" spans="129:129" x14ac:dyDescent="0.2">
      <c r="DY52806" s="185" t="s">
        <v>215</v>
      </c>
    </row>
    <row r="52807" spans="129:129" x14ac:dyDescent="0.2">
      <c r="DY52807" s="185" t="s">
        <v>215</v>
      </c>
    </row>
    <row r="52808" spans="129:129" x14ac:dyDescent="0.2">
      <c r="DY52808" s="185" t="s">
        <v>215</v>
      </c>
    </row>
    <row r="52809" spans="129:129" x14ac:dyDescent="0.2">
      <c r="DY52809" s="185" t="s">
        <v>215</v>
      </c>
    </row>
    <row r="52810" spans="129:129" x14ac:dyDescent="0.2">
      <c r="DY52810" s="185" t="s">
        <v>215</v>
      </c>
    </row>
    <row r="52811" spans="129:129" x14ac:dyDescent="0.2">
      <c r="DY52811" s="185" t="s">
        <v>215</v>
      </c>
    </row>
    <row r="52812" spans="129:129" x14ac:dyDescent="0.2">
      <c r="DY52812" s="185" t="s">
        <v>215</v>
      </c>
    </row>
    <row r="52813" spans="129:129" x14ac:dyDescent="0.2">
      <c r="DY52813" s="185" t="s">
        <v>215</v>
      </c>
    </row>
    <row r="52814" spans="129:129" x14ac:dyDescent="0.2">
      <c r="DY52814" s="185" t="s">
        <v>215</v>
      </c>
    </row>
    <row r="52815" spans="129:129" x14ac:dyDescent="0.2">
      <c r="DY52815" s="185" t="s">
        <v>215</v>
      </c>
    </row>
    <row r="52816" spans="129:129" x14ac:dyDescent="0.2">
      <c r="DY52816" s="185" t="s">
        <v>215</v>
      </c>
    </row>
    <row r="52817" spans="129:129" x14ac:dyDescent="0.2">
      <c r="DY52817" s="185" t="s">
        <v>215</v>
      </c>
    </row>
    <row r="52818" spans="129:129" x14ac:dyDescent="0.2">
      <c r="DY52818" s="185" t="s">
        <v>215</v>
      </c>
    </row>
    <row r="52819" spans="129:129" x14ac:dyDescent="0.2">
      <c r="DY52819" s="185" t="s">
        <v>215</v>
      </c>
    </row>
    <row r="52820" spans="129:129" x14ac:dyDescent="0.2">
      <c r="DY52820" s="185" t="s">
        <v>215</v>
      </c>
    </row>
    <row r="52821" spans="129:129" x14ac:dyDescent="0.2">
      <c r="DY52821" s="185" t="s">
        <v>215</v>
      </c>
    </row>
    <row r="52822" spans="129:129" x14ac:dyDescent="0.2">
      <c r="DY52822" s="185" t="s">
        <v>215</v>
      </c>
    </row>
    <row r="52823" spans="129:129" x14ac:dyDescent="0.2">
      <c r="DY52823" s="185" t="s">
        <v>215</v>
      </c>
    </row>
    <row r="52824" spans="129:129" x14ac:dyDescent="0.2">
      <c r="DY52824" s="185" t="s">
        <v>215</v>
      </c>
    </row>
    <row r="52825" spans="129:129" x14ac:dyDescent="0.2">
      <c r="DY52825" s="185" t="s">
        <v>215</v>
      </c>
    </row>
    <row r="52826" spans="129:129" x14ac:dyDescent="0.2">
      <c r="DY52826" s="185" t="s">
        <v>215</v>
      </c>
    </row>
    <row r="52827" spans="129:129" x14ac:dyDescent="0.2">
      <c r="DY52827" s="185" t="s">
        <v>215</v>
      </c>
    </row>
    <row r="52828" spans="129:129" x14ac:dyDescent="0.2">
      <c r="DY52828" s="185" t="s">
        <v>215</v>
      </c>
    </row>
    <row r="52829" spans="129:129" x14ac:dyDescent="0.2">
      <c r="DY52829" s="185" t="s">
        <v>215</v>
      </c>
    </row>
    <row r="52830" spans="129:129" x14ac:dyDescent="0.2">
      <c r="DY52830" s="185" t="s">
        <v>215</v>
      </c>
    </row>
    <row r="52831" spans="129:129" x14ac:dyDescent="0.2">
      <c r="DY52831" s="185" t="s">
        <v>215</v>
      </c>
    </row>
    <row r="52832" spans="129:129" x14ac:dyDescent="0.2">
      <c r="DY52832" s="185" t="s">
        <v>215</v>
      </c>
    </row>
    <row r="52833" spans="129:129" x14ac:dyDescent="0.2">
      <c r="DY52833" s="185" t="s">
        <v>215</v>
      </c>
    </row>
    <row r="52834" spans="129:129" x14ac:dyDescent="0.2">
      <c r="DY52834" s="185" t="s">
        <v>215</v>
      </c>
    </row>
    <row r="52835" spans="129:129" x14ac:dyDescent="0.2">
      <c r="DY52835" s="185" t="s">
        <v>215</v>
      </c>
    </row>
    <row r="52836" spans="129:129" x14ac:dyDescent="0.2">
      <c r="DY52836" s="185" t="s">
        <v>215</v>
      </c>
    </row>
    <row r="52837" spans="129:129" x14ac:dyDescent="0.2">
      <c r="DY52837" s="185" t="s">
        <v>215</v>
      </c>
    </row>
    <row r="52838" spans="129:129" x14ac:dyDescent="0.2">
      <c r="DY52838" s="185" t="s">
        <v>215</v>
      </c>
    </row>
    <row r="52839" spans="129:129" x14ac:dyDescent="0.2">
      <c r="DY52839" s="185" t="s">
        <v>215</v>
      </c>
    </row>
    <row r="52840" spans="129:129" x14ac:dyDescent="0.2">
      <c r="DY52840" s="185" t="s">
        <v>215</v>
      </c>
    </row>
    <row r="52841" spans="129:129" x14ac:dyDescent="0.2">
      <c r="DY52841" s="185" t="s">
        <v>215</v>
      </c>
    </row>
    <row r="52842" spans="129:129" x14ac:dyDescent="0.2">
      <c r="DY52842" s="185" t="s">
        <v>215</v>
      </c>
    </row>
    <row r="52843" spans="129:129" x14ac:dyDescent="0.2">
      <c r="DY52843" s="185" t="s">
        <v>215</v>
      </c>
    </row>
    <row r="52844" spans="129:129" x14ac:dyDescent="0.2">
      <c r="DY52844" s="185" t="s">
        <v>215</v>
      </c>
    </row>
    <row r="52845" spans="129:129" x14ac:dyDescent="0.2">
      <c r="DY52845" s="185" t="s">
        <v>215</v>
      </c>
    </row>
    <row r="52846" spans="129:129" x14ac:dyDescent="0.2">
      <c r="DY52846" s="185" t="s">
        <v>215</v>
      </c>
    </row>
    <row r="52847" spans="129:129" x14ac:dyDescent="0.2">
      <c r="DY52847" s="185" t="s">
        <v>215</v>
      </c>
    </row>
    <row r="52848" spans="129:129" x14ac:dyDescent="0.2">
      <c r="DY52848" s="185" t="s">
        <v>215</v>
      </c>
    </row>
    <row r="52849" spans="129:129" x14ac:dyDescent="0.2">
      <c r="DY52849" s="185" t="s">
        <v>215</v>
      </c>
    </row>
    <row r="52850" spans="129:129" x14ac:dyDescent="0.2">
      <c r="DY52850" s="185" t="s">
        <v>215</v>
      </c>
    </row>
    <row r="52851" spans="129:129" x14ac:dyDescent="0.2">
      <c r="DY52851" s="185" t="s">
        <v>215</v>
      </c>
    </row>
    <row r="52852" spans="129:129" x14ac:dyDescent="0.2">
      <c r="DY52852" s="185" t="s">
        <v>215</v>
      </c>
    </row>
    <row r="52853" spans="129:129" x14ac:dyDescent="0.2">
      <c r="DY52853" s="185" t="s">
        <v>215</v>
      </c>
    </row>
    <row r="52854" spans="129:129" x14ac:dyDescent="0.2">
      <c r="DY52854" s="185" t="s">
        <v>215</v>
      </c>
    </row>
    <row r="52855" spans="129:129" x14ac:dyDescent="0.2">
      <c r="DY52855" s="185" t="s">
        <v>215</v>
      </c>
    </row>
    <row r="52856" spans="129:129" x14ac:dyDescent="0.2">
      <c r="DY52856" s="185" t="s">
        <v>215</v>
      </c>
    </row>
    <row r="52857" spans="129:129" x14ac:dyDescent="0.2">
      <c r="DY52857" s="185" t="s">
        <v>215</v>
      </c>
    </row>
    <row r="52858" spans="129:129" x14ac:dyDescent="0.2">
      <c r="DY52858" s="185" t="s">
        <v>215</v>
      </c>
    </row>
    <row r="52859" spans="129:129" x14ac:dyDescent="0.2">
      <c r="DY52859" s="185" t="s">
        <v>215</v>
      </c>
    </row>
    <row r="52860" spans="129:129" x14ac:dyDescent="0.2">
      <c r="DY52860" s="185" t="s">
        <v>215</v>
      </c>
    </row>
    <row r="52861" spans="129:129" x14ac:dyDescent="0.2">
      <c r="DY52861" s="185" t="s">
        <v>215</v>
      </c>
    </row>
    <row r="52862" spans="129:129" x14ac:dyDescent="0.2">
      <c r="DY52862" s="185" t="s">
        <v>215</v>
      </c>
    </row>
    <row r="52863" spans="129:129" x14ac:dyDescent="0.2">
      <c r="DY52863" s="185" t="s">
        <v>215</v>
      </c>
    </row>
    <row r="52864" spans="129:129" x14ac:dyDescent="0.2">
      <c r="DY52864" s="185" t="s">
        <v>215</v>
      </c>
    </row>
    <row r="52865" spans="129:129" x14ac:dyDescent="0.2">
      <c r="DY52865" s="185" t="s">
        <v>215</v>
      </c>
    </row>
    <row r="52866" spans="129:129" x14ac:dyDescent="0.2">
      <c r="DY52866" s="185" t="s">
        <v>215</v>
      </c>
    </row>
    <row r="52867" spans="129:129" x14ac:dyDescent="0.2">
      <c r="DY52867" s="185" t="s">
        <v>215</v>
      </c>
    </row>
    <row r="52868" spans="129:129" x14ac:dyDescent="0.2">
      <c r="DY52868" s="185" t="s">
        <v>215</v>
      </c>
    </row>
    <row r="52869" spans="129:129" x14ac:dyDescent="0.2">
      <c r="DY52869" s="185" t="s">
        <v>215</v>
      </c>
    </row>
    <row r="52870" spans="129:129" x14ac:dyDescent="0.2">
      <c r="DY52870" s="185" t="s">
        <v>215</v>
      </c>
    </row>
    <row r="52871" spans="129:129" x14ac:dyDescent="0.2">
      <c r="DY52871" s="185" t="s">
        <v>215</v>
      </c>
    </row>
    <row r="52872" spans="129:129" x14ac:dyDescent="0.2">
      <c r="DY52872" s="185" t="s">
        <v>215</v>
      </c>
    </row>
    <row r="52873" spans="129:129" x14ac:dyDescent="0.2">
      <c r="DY52873" s="185" t="s">
        <v>215</v>
      </c>
    </row>
    <row r="52874" spans="129:129" x14ac:dyDescent="0.2">
      <c r="DY52874" s="185" t="s">
        <v>215</v>
      </c>
    </row>
    <row r="52875" spans="129:129" x14ac:dyDescent="0.2">
      <c r="DY52875" s="185" t="s">
        <v>215</v>
      </c>
    </row>
    <row r="52876" spans="129:129" x14ac:dyDescent="0.2">
      <c r="DY52876" s="185" t="s">
        <v>215</v>
      </c>
    </row>
    <row r="52877" spans="129:129" x14ac:dyDescent="0.2">
      <c r="DY52877" s="185" t="s">
        <v>215</v>
      </c>
    </row>
    <row r="52878" spans="129:129" x14ac:dyDescent="0.2">
      <c r="DY52878" s="185" t="s">
        <v>215</v>
      </c>
    </row>
    <row r="52879" spans="129:129" x14ac:dyDescent="0.2">
      <c r="DY52879" s="185" t="s">
        <v>215</v>
      </c>
    </row>
    <row r="52880" spans="129:129" x14ac:dyDescent="0.2">
      <c r="DY52880" s="185" t="s">
        <v>215</v>
      </c>
    </row>
    <row r="52881" spans="129:129" x14ac:dyDescent="0.2">
      <c r="DY52881" s="185" t="s">
        <v>215</v>
      </c>
    </row>
    <row r="52882" spans="129:129" x14ac:dyDescent="0.2">
      <c r="DY52882" s="185" t="s">
        <v>215</v>
      </c>
    </row>
    <row r="52883" spans="129:129" x14ac:dyDescent="0.2">
      <c r="DY52883" s="185" t="s">
        <v>215</v>
      </c>
    </row>
    <row r="52884" spans="129:129" x14ac:dyDescent="0.2">
      <c r="DY52884" s="185" t="s">
        <v>215</v>
      </c>
    </row>
    <row r="52885" spans="129:129" x14ac:dyDescent="0.2">
      <c r="DY52885" s="185" t="s">
        <v>215</v>
      </c>
    </row>
    <row r="52886" spans="129:129" x14ac:dyDescent="0.2">
      <c r="DY52886" s="185" t="s">
        <v>215</v>
      </c>
    </row>
    <row r="52887" spans="129:129" x14ac:dyDescent="0.2">
      <c r="DY52887" s="185" t="s">
        <v>215</v>
      </c>
    </row>
    <row r="52888" spans="129:129" x14ac:dyDescent="0.2">
      <c r="DY52888" s="185" t="s">
        <v>215</v>
      </c>
    </row>
    <row r="52889" spans="129:129" x14ac:dyDescent="0.2">
      <c r="DY52889" s="185" t="s">
        <v>215</v>
      </c>
    </row>
    <row r="52890" spans="129:129" x14ac:dyDescent="0.2">
      <c r="DY52890" s="185" t="s">
        <v>215</v>
      </c>
    </row>
    <row r="52891" spans="129:129" x14ac:dyDescent="0.2">
      <c r="DY52891" s="185" t="s">
        <v>215</v>
      </c>
    </row>
    <row r="52892" spans="129:129" x14ac:dyDescent="0.2">
      <c r="DY52892" s="185" t="s">
        <v>215</v>
      </c>
    </row>
    <row r="52893" spans="129:129" x14ac:dyDescent="0.2">
      <c r="DY52893" s="185" t="s">
        <v>215</v>
      </c>
    </row>
    <row r="52894" spans="129:129" x14ac:dyDescent="0.2">
      <c r="DY52894" s="185" t="s">
        <v>215</v>
      </c>
    </row>
    <row r="52895" spans="129:129" x14ac:dyDescent="0.2">
      <c r="DY52895" s="185" t="s">
        <v>215</v>
      </c>
    </row>
    <row r="52896" spans="129:129" x14ac:dyDescent="0.2">
      <c r="DY52896" s="185" t="s">
        <v>215</v>
      </c>
    </row>
    <row r="52897" spans="129:129" x14ac:dyDescent="0.2">
      <c r="DY52897" s="185" t="s">
        <v>215</v>
      </c>
    </row>
    <row r="52898" spans="129:129" x14ac:dyDescent="0.2">
      <c r="DY52898" s="185" t="s">
        <v>215</v>
      </c>
    </row>
    <row r="52899" spans="129:129" x14ac:dyDescent="0.2">
      <c r="DY52899" s="185" t="s">
        <v>215</v>
      </c>
    </row>
    <row r="52900" spans="129:129" x14ac:dyDescent="0.2">
      <c r="DY52900" s="185" t="s">
        <v>215</v>
      </c>
    </row>
    <row r="52901" spans="129:129" x14ac:dyDescent="0.2">
      <c r="DY52901" s="185" t="s">
        <v>215</v>
      </c>
    </row>
    <row r="52902" spans="129:129" x14ac:dyDescent="0.2">
      <c r="DY52902" s="185" t="s">
        <v>215</v>
      </c>
    </row>
    <row r="52903" spans="129:129" x14ac:dyDescent="0.2">
      <c r="DY52903" s="185" t="s">
        <v>215</v>
      </c>
    </row>
    <row r="52904" spans="129:129" x14ac:dyDescent="0.2">
      <c r="DY52904" s="185" t="s">
        <v>215</v>
      </c>
    </row>
    <row r="52905" spans="129:129" x14ac:dyDescent="0.2">
      <c r="DY52905" s="185" t="s">
        <v>215</v>
      </c>
    </row>
    <row r="52906" spans="129:129" x14ac:dyDescent="0.2">
      <c r="DY52906" s="185" t="s">
        <v>215</v>
      </c>
    </row>
    <row r="52907" spans="129:129" x14ac:dyDescent="0.2">
      <c r="DY52907" s="185" t="s">
        <v>215</v>
      </c>
    </row>
    <row r="52908" spans="129:129" x14ac:dyDescent="0.2">
      <c r="DY52908" s="185" t="s">
        <v>215</v>
      </c>
    </row>
    <row r="52909" spans="129:129" x14ac:dyDescent="0.2">
      <c r="DY52909" s="185" t="s">
        <v>215</v>
      </c>
    </row>
    <row r="52910" spans="129:129" x14ac:dyDescent="0.2">
      <c r="DY52910" s="185" t="s">
        <v>215</v>
      </c>
    </row>
    <row r="52911" spans="129:129" x14ac:dyDescent="0.2">
      <c r="DY52911" s="185" t="s">
        <v>215</v>
      </c>
    </row>
    <row r="52912" spans="129:129" x14ac:dyDescent="0.2">
      <c r="DY52912" s="185" t="s">
        <v>215</v>
      </c>
    </row>
    <row r="52913" spans="129:129" x14ac:dyDescent="0.2">
      <c r="DY52913" s="185" t="s">
        <v>215</v>
      </c>
    </row>
    <row r="52914" spans="129:129" x14ac:dyDescent="0.2">
      <c r="DY52914" s="185" t="s">
        <v>215</v>
      </c>
    </row>
    <row r="52915" spans="129:129" x14ac:dyDescent="0.2">
      <c r="DY52915" s="185" t="s">
        <v>215</v>
      </c>
    </row>
    <row r="52916" spans="129:129" x14ac:dyDescent="0.2">
      <c r="DY52916" s="185" t="s">
        <v>215</v>
      </c>
    </row>
    <row r="52917" spans="129:129" x14ac:dyDescent="0.2">
      <c r="DY52917" s="185" t="s">
        <v>215</v>
      </c>
    </row>
    <row r="52918" spans="129:129" x14ac:dyDescent="0.2">
      <c r="DY52918" s="185" t="s">
        <v>215</v>
      </c>
    </row>
    <row r="52919" spans="129:129" x14ac:dyDescent="0.2">
      <c r="DY52919" s="185" t="s">
        <v>215</v>
      </c>
    </row>
    <row r="52920" spans="129:129" x14ac:dyDescent="0.2">
      <c r="DY52920" s="185" t="s">
        <v>215</v>
      </c>
    </row>
    <row r="52921" spans="129:129" x14ac:dyDescent="0.2">
      <c r="DY52921" s="185" t="s">
        <v>215</v>
      </c>
    </row>
    <row r="52922" spans="129:129" x14ac:dyDescent="0.2">
      <c r="DY52922" s="185" t="s">
        <v>215</v>
      </c>
    </row>
    <row r="52923" spans="129:129" x14ac:dyDescent="0.2">
      <c r="DY52923" s="185" t="s">
        <v>215</v>
      </c>
    </row>
    <row r="52924" spans="129:129" x14ac:dyDescent="0.2">
      <c r="DY52924" s="185" t="s">
        <v>215</v>
      </c>
    </row>
    <row r="52925" spans="129:129" x14ac:dyDescent="0.2">
      <c r="DY52925" s="185" t="s">
        <v>215</v>
      </c>
    </row>
    <row r="52926" spans="129:129" x14ac:dyDescent="0.2">
      <c r="DY52926" s="185" t="s">
        <v>215</v>
      </c>
    </row>
    <row r="52927" spans="129:129" x14ac:dyDescent="0.2">
      <c r="DY52927" s="185" t="s">
        <v>215</v>
      </c>
    </row>
    <row r="52928" spans="129:129" x14ac:dyDescent="0.2">
      <c r="DY52928" s="185" t="s">
        <v>215</v>
      </c>
    </row>
    <row r="52929" spans="129:129" x14ac:dyDescent="0.2">
      <c r="DY52929" s="185" t="s">
        <v>215</v>
      </c>
    </row>
    <row r="52930" spans="129:129" x14ac:dyDescent="0.2">
      <c r="DY52930" s="185" t="s">
        <v>215</v>
      </c>
    </row>
    <row r="52931" spans="129:129" x14ac:dyDescent="0.2">
      <c r="DY52931" s="185" t="s">
        <v>215</v>
      </c>
    </row>
    <row r="52932" spans="129:129" x14ac:dyDescent="0.2">
      <c r="DY52932" s="185" t="s">
        <v>215</v>
      </c>
    </row>
    <row r="52933" spans="129:129" x14ac:dyDescent="0.2">
      <c r="DY52933" s="185" t="s">
        <v>215</v>
      </c>
    </row>
    <row r="52934" spans="129:129" x14ac:dyDescent="0.2">
      <c r="DY52934" s="185" t="s">
        <v>215</v>
      </c>
    </row>
    <row r="52935" spans="129:129" x14ac:dyDescent="0.2">
      <c r="DY52935" s="185" t="s">
        <v>215</v>
      </c>
    </row>
    <row r="52936" spans="129:129" x14ac:dyDescent="0.2">
      <c r="DY52936" s="185" t="s">
        <v>215</v>
      </c>
    </row>
    <row r="52937" spans="129:129" x14ac:dyDescent="0.2">
      <c r="DY52937" s="185" t="s">
        <v>215</v>
      </c>
    </row>
    <row r="52938" spans="129:129" x14ac:dyDescent="0.2">
      <c r="DY52938" s="185" t="s">
        <v>215</v>
      </c>
    </row>
    <row r="52939" spans="129:129" x14ac:dyDescent="0.2">
      <c r="DY52939" s="185" t="s">
        <v>215</v>
      </c>
    </row>
    <row r="52940" spans="129:129" x14ac:dyDescent="0.2">
      <c r="DY52940" s="185" t="s">
        <v>215</v>
      </c>
    </row>
    <row r="52941" spans="129:129" x14ac:dyDescent="0.2">
      <c r="DY52941" s="185" t="s">
        <v>215</v>
      </c>
    </row>
    <row r="52942" spans="129:129" x14ac:dyDescent="0.2">
      <c r="DY52942" s="185" t="s">
        <v>215</v>
      </c>
    </row>
    <row r="52943" spans="129:129" x14ac:dyDescent="0.2">
      <c r="DY52943" s="185" t="s">
        <v>215</v>
      </c>
    </row>
    <row r="52944" spans="129:129" x14ac:dyDescent="0.2">
      <c r="DY52944" s="185" t="s">
        <v>215</v>
      </c>
    </row>
    <row r="52945" spans="129:129" x14ac:dyDescent="0.2">
      <c r="DY52945" s="185" t="s">
        <v>215</v>
      </c>
    </row>
    <row r="52946" spans="129:129" x14ac:dyDescent="0.2">
      <c r="DY52946" s="185" t="s">
        <v>215</v>
      </c>
    </row>
    <row r="52947" spans="129:129" x14ac:dyDescent="0.2">
      <c r="DY52947" s="185" t="s">
        <v>215</v>
      </c>
    </row>
    <row r="52948" spans="129:129" x14ac:dyDescent="0.2">
      <c r="DY52948" s="185" t="s">
        <v>215</v>
      </c>
    </row>
    <row r="52949" spans="129:129" x14ac:dyDescent="0.2">
      <c r="DY52949" s="185" t="s">
        <v>215</v>
      </c>
    </row>
    <row r="52950" spans="129:129" x14ac:dyDescent="0.2">
      <c r="DY52950" s="185" t="s">
        <v>215</v>
      </c>
    </row>
    <row r="52951" spans="129:129" x14ac:dyDescent="0.2">
      <c r="DY52951" s="185" t="s">
        <v>215</v>
      </c>
    </row>
    <row r="52952" spans="129:129" x14ac:dyDescent="0.2">
      <c r="DY52952" s="185" t="s">
        <v>215</v>
      </c>
    </row>
    <row r="52953" spans="129:129" x14ac:dyDescent="0.2">
      <c r="DY52953" s="185" t="s">
        <v>215</v>
      </c>
    </row>
    <row r="52954" spans="129:129" x14ac:dyDescent="0.2">
      <c r="DY52954" s="185" t="s">
        <v>215</v>
      </c>
    </row>
    <row r="52955" spans="129:129" x14ac:dyDescent="0.2">
      <c r="DY52955" s="185" t="s">
        <v>215</v>
      </c>
    </row>
    <row r="52956" spans="129:129" x14ac:dyDescent="0.2">
      <c r="DY52956" s="185" t="s">
        <v>215</v>
      </c>
    </row>
    <row r="52957" spans="129:129" x14ac:dyDescent="0.2">
      <c r="DY52957" s="185" t="s">
        <v>215</v>
      </c>
    </row>
    <row r="52958" spans="129:129" x14ac:dyDescent="0.2">
      <c r="DY52958" s="185" t="s">
        <v>215</v>
      </c>
    </row>
    <row r="52959" spans="129:129" x14ac:dyDescent="0.2">
      <c r="DY52959" s="185" t="s">
        <v>215</v>
      </c>
    </row>
    <row r="52960" spans="129:129" x14ac:dyDescent="0.2">
      <c r="DY52960" s="185" t="s">
        <v>215</v>
      </c>
    </row>
    <row r="52961" spans="129:129" x14ac:dyDescent="0.2">
      <c r="DY52961" s="185" t="s">
        <v>215</v>
      </c>
    </row>
    <row r="52962" spans="129:129" x14ac:dyDescent="0.2">
      <c r="DY52962" s="185" t="s">
        <v>215</v>
      </c>
    </row>
    <row r="52963" spans="129:129" x14ac:dyDescent="0.2">
      <c r="DY52963" s="185" t="s">
        <v>215</v>
      </c>
    </row>
    <row r="52964" spans="129:129" x14ac:dyDescent="0.2">
      <c r="DY52964" s="185" t="s">
        <v>215</v>
      </c>
    </row>
    <row r="52965" spans="129:129" x14ac:dyDescent="0.2">
      <c r="DY52965" s="185" t="s">
        <v>215</v>
      </c>
    </row>
    <row r="52966" spans="129:129" x14ac:dyDescent="0.2">
      <c r="DY52966" s="185" t="s">
        <v>215</v>
      </c>
    </row>
    <row r="52967" spans="129:129" x14ac:dyDescent="0.2">
      <c r="DY52967" s="185" t="s">
        <v>215</v>
      </c>
    </row>
    <row r="52968" spans="129:129" x14ac:dyDescent="0.2">
      <c r="DY52968" s="185" t="s">
        <v>215</v>
      </c>
    </row>
    <row r="52969" spans="129:129" x14ac:dyDescent="0.2">
      <c r="DY52969" s="185" t="s">
        <v>215</v>
      </c>
    </row>
    <row r="52970" spans="129:129" x14ac:dyDescent="0.2">
      <c r="DY52970" s="185" t="s">
        <v>215</v>
      </c>
    </row>
    <row r="52971" spans="129:129" x14ac:dyDescent="0.2">
      <c r="DY52971" s="185" t="s">
        <v>215</v>
      </c>
    </row>
    <row r="52972" spans="129:129" x14ac:dyDescent="0.2">
      <c r="DY52972" s="185" t="s">
        <v>215</v>
      </c>
    </row>
    <row r="52973" spans="129:129" x14ac:dyDescent="0.2">
      <c r="DY52973" s="185" t="s">
        <v>215</v>
      </c>
    </row>
    <row r="52974" spans="129:129" x14ac:dyDescent="0.2">
      <c r="DY52974" s="185" t="s">
        <v>215</v>
      </c>
    </row>
    <row r="52975" spans="129:129" x14ac:dyDescent="0.2">
      <c r="DY52975" s="185" t="s">
        <v>215</v>
      </c>
    </row>
    <row r="52976" spans="129:129" x14ac:dyDescent="0.2">
      <c r="DY52976" s="185" t="s">
        <v>215</v>
      </c>
    </row>
    <row r="52977" spans="129:129" x14ac:dyDescent="0.2">
      <c r="DY52977" s="185" t="s">
        <v>215</v>
      </c>
    </row>
    <row r="52978" spans="129:129" x14ac:dyDescent="0.2">
      <c r="DY52978" s="185" t="s">
        <v>215</v>
      </c>
    </row>
    <row r="52979" spans="129:129" x14ac:dyDescent="0.2">
      <c r="DY52979" s="185" t="s">
        <v>215</v>
      </c>
    </row>
    <row r="52980" spans="129:129" x14ac:dyDescent="0.2">
      <c r="DY52980" s="185" t="s">
        <v>215</v>
      </c>
    </row>
    <row r="52981" spans="129:129" x14ac:dyDescent="0.2">
      <c r="DY52981" s="185" t="s">
        <v>215</v>
      </c>
    </row>
    <row r="52982" spans="129:129" x14ac:dyDescent="0.2">
      <c r="DY52982" s="185" t="s">
        <v>215</v>
      </c>
    </row>
    <row r="52983" spans="129:129" x14ac:dyDescent="0.2">
      <c r="DY52983" s="185" t="s">
        <v>215</v>
      </c>
    </row>
    <row r="52984" spans="129:129" x14ac:dyDescent="0.2">
      <c r="DY52984" s="185" t="s">
        <v>215</v>
      </c>
    </row>
    <row r="52985" spans="129:129" x14ac:dyDescent="0.2">
      <c r="DY52985" s="185" t="s">
        <v>215</v>
      </c>
    </row>
    <row r="52986" spans="129:129" x14ac:dyDescent="0.2">
      <c r="DY52986" s="185" t="s">
        <v>215</v>
      </c>
    </row>
    <row r="52987" spans="129:129" x14ac:dyDescent="0.2">
      <c r="DY52987" s="185" t="s">
        <v>215</v>
      </c>
    </row>
    <row r="52988" spans="129:129" x14ac:dyDescent="0.2">
      <c r="DY52988" s="185" t="s">
        <v>215</v>
      </c>
    </row>
    <row r="52989" spans="129:129" x14ac:dyDescent="0.2">
      <c r="DY52989" s="185" t="s">
        <v>215</v>
      </c>
    </row>
    <row r="52990" spans="129:129" x14ac:dyDescent="0.2">
      <c r="DY52990" s="185" t="s">
        <v>215</v>
      </c>
    </row>
    <row r="52991" spans="129:129" x14ac:dyDescent="0.2">
      <c r="DY52991" s="185" t="s">
        <v>215</v>
      </c>
    </row>
    <row r="52992" spans="129:129" x14ac:dyDescent="0.2">
      <c r="DY52992" s="185" t="s">
        <v>215</v>
      </c>
    </row>
    <row r="52993" spans="129:129" x14ac:dyDescent="0.2">
      <c r="DY52993" s="185" t="s">
        <v>215</v>
      </c>
    </row>
    <row r="52994" spans="129:129" x14ac:dyDescent="0.2">
      <c r="DY52994" s="185" t="s">
        <v>215</v>
      </c>
    </row>
    <row r="52995" spans="129:129" x14ac:dyDescent="0.2">
      <c r="DY52995" s="185" t="s">
        <v>215</v>
      </c>
    </row>
    <row r="52996" spans="129:129" x14ac:dyDescent="0.2">
      <c r="DY52996" s="185" t="s">
        <v>215</v>
      </c>
    </row>
    <row r="52997" spans="129:129" x14ac:dyDescent="0.2">
      <c r="DY52997" s="185" t="s">
        <v>215</v>
      </c>
    </row>
    <row r="52998" spans="129:129" x14ac:dyDescent="0.2">
      <c r="DY52998" s="185" t="s">
        <v>215</v>
      </c>
    </row>
    <row r="52999" spans="129:129" x14ac:dyDescent="0.2">
      <c r="DY52999" s="185" t="s">
        <v>215</v>
      </c>
    </row>
    <row r="53000" spans="129:129" x14ac:dyDescent="0.2">
      <c r="DY53000" s="185" t="s">
        <v>215</v>
      </c>
    </row>
    <row r="53001" spans="129:129" x14ac:dyDescent="0.2">
      <c r="DY53001" s="185" t="s">
        <v>215</v>
      </c>
    </row>
    <row r="53002" spans="129:129" x14ac:dyDescent="0.2">
      <c r="DY53002" s="185" t="s">
        <v>215</v>
      </c>
    </row>
    <row r="53003" spans="129:129" x14ac:dyDescent="0.2">
      <c r="DY53003" s="185" t="s">
        <v>215</v>
      </c>
    </row>
    <row r="53004" spans="129:129" x14ac:dyDescent="0.2">
      <c r="DY53004" s="185" t="s">
        <v>215</v>
      </c>
    </row>
    <row r="53005" spans="129:129" x14ac:dyDescent="0.2">
      <c r="DY53005" s="185" t="s">
        <v>215</v>
      </c>
    </row>
    <row r="53006" spans="129:129" x14ac:dyDescent="0.2">
      <c r="DY53006" s="185" t="s">
        <v>215</v>
      </c>
    </row>
    <row r="53007" spans="129:129" x14ac:dyDescent="0.2">
      <c r="DY53007" s="185" t="s">
        <v>215</v>
      </c>
    </row>
    <row r="53008" spans="129:129" x14ac:dyDescent="0.2">
      <c r="DY53008" s="185" t="s">
        <v>215</v>
      </c>
    </row>
    <row r="53009" spans="129:129" x14ac:dyDescent="0.2">
      <c r="DY53009" s="185" t="s">
        <v>215</v>
      </c>
    </row>
    <row r="53010" spans="129:129" x14ac:dyDescent="0.2">
      <c r="DY53010" s="185" t="s">
        <v>215</v>
      </c>
    </row>
    <row r="53011" spans="129:129" x14ac:dyDescent="0.2">
      <c r="DY53011" s="185" t="s">
        <v>215</v>
      </c>
    </row>
    <row r="53012" spans="129:129" x14ac:dyDescent="0.2">
      <c r="DY53012" s="185" t="s">
        <v>215</v>
      </c>
    </row>
    <row r="53013" spans="129:129" x14ac:dyDescent="0.2">
      <c r="DY53013" s="185" t="s">
        <v>215</v>
      </c>
    </row>
    <row r="53014" spans="129:129" x14ac:dyDescent="0.2">
      <c r="DY53014" s="185" t="s">
        <v>215</v>
      </c>
    </row>
    <row r="53015" spans="129:129" x14ac:dyDescent="0.2">
      <c r="DY53015" s="185" t="s">
        <v>215</v>
      </c>
    </row>
    <row r="53016" spans="129:129" x14ac:dyDescent="0.2">
      <c r="DY53016" s="185" t="s">
        <v>215</v>
      </c>
    </row>
    <row r="53017" spans="129:129" x14ac:dyDescent="0.2">
      <c r="DY53017" s="185" t="s">
        <v>215</v>
      </c>
    </row>
    <row r="53018" spans="129:129" x14ac:dyDescent="0.2">
      <c r="DY53018" s="185" t="s">
        <v>215</v>
      </c>
    </row>
    <row r="53019" spans="129:129" x14ac:dyDescent="0.2">
      <c r="DY53019" s="185" t="s">
        <v>215</v>
      </c>
    </row>
    <row r="53020" spans="129:129" x14ac:dyDescent="0.2">
      <c r="DY53020" s="185" t="s">
        <v>215</v>
      </c>
    </row>
    <row r="53021" spans="129:129" x14ac:dyDescent="0.2">
      <c r="DY53021" s="185" t="s">
        <v>215</v>
      </c>
    </row>
    <row r="53022" spans="129:129" x14ac:dyDescent="0.2">
      <c r="DY53022" s="185" t="s">
        <v>215</v>
      </c>
    </row>
    <row r="53023" spans="129:129" x14ac:dyDescent="0.2">
      <c r="DY53023" s="185" t="s">
        <v>215</v>
      </c>
    </row>
    <row r="53024" spans="129:129" x14ac:dyDescent="0.2">
      <c r="DY53024" s="185" t="s">
        <v>215</v>
      </c>
    </row>
    <row r="53025" spans="129:129" x14ac:dyDescent="0.2">
      <c r="DY53025" s="185" t="s">
        <v>215</v>
      </c>
    </row>
    <row r="53026" spans="129:129" x14ac:dyDescent="0.2">
      <c r="DY53026" s="185" t="s">
        <v>215</v>
      </c>
    </row>
    <row r="53027" spans="129:129" x14ac:dyDescent="0.2">
      <c r="DY53027" s="185" t="s">
        <v>215</v>
      </c>
    </row>
    <row r="53028" spans="129:129" x14ac:dyDescent="0.2">
      <c r="DY53028" s="185" t="s">
        <v>215</v>
      </c>
    </row>
    <row r="53029" spans="129:129" x14ac:dyDescent="0.2">
      <c r="DY53029" s="185" t="s">
        <v>215</v>
      </c>
    </row>
    <row r="53030" spans="129:129" x14ac:dyDescent="0.2">
      <c r="DY53030" s="185" t="s">
        <v>215</v>
      </c>
    </row>
    <row r="53031" spans="129:129" x14ac:dyDescent="0.2">
      <c r="DY53031" s="185" t="s">
        <v>215</v>
      </c>
    </row>
    <row r="53032" spans="129:129" x14ac:dyDescent="0.2">
      <c r="DY53032" s="185" t="s">
        <v>215</v>
      </c>
    </row>
    <row r="53033" spans="129:129" x14ac:dyDescent="0.2">
      <c r="DY53033" s="185" t="s">
        <v>215</v>
      </c>
    </row>
    <row r="53034" spans="129:129" x14ac:dyDescent="0.2">
      <c r="DY53034" s="185" t="s">
        <v>215</v>
      </c>
    </row>
    <row r="53035" spans="129:129" x14ac:dyDescent="0.2">
      <c r="DY53035" s="185" t="s">
        <v>215</v>
      </c>
    </row>
    <row r="53036" spans="129:129" x14ac:dyDescent="0.2">
      <c r="DY53036" s="185" t="s">
        <v>215</v>
      </c>
    </row>
    <row r="53037" spans="129:129" x14ac:dyDescent="0.2">
      <c r="DY53037" s="185" t="s">
        <v>215</v>
      </c>
    </row>
    <row r="53038" spans="129:129" x14ac:dyDescent="0.2">
      <c r="DY53038" s="185" t="s">
        <v>215</v>
      </c>
    </row>
    <row r="53039" spans="129:129" x14ac:dyDescent="0.2">
      <c r="DY53039" s="185" t="s">
        <v>215</v>
      </c>
    </row>
    <row r="53040" spans="129:129" x14ac:dyDescent="0.2">
      <c r="DY53040" s="185" t="s">
        <v>215</v>
      </c>
    </row>
    <row r="53041" spans="129:129" x14ac:dyDescent="0.2">
      <c r="DY53041" s="185" t="s">
        <v>215</v>
      </c>
    </row>
    <row r="53042" spans="129:129" x14ac:dyDescent="0.2">
      <c r="DY53042" s="185" t="s">
        <v>215</v>
      </c>
    </row>
    <row r="53043" spans="129:129" x14ac:dyDescent="0.2">
      <c r="DY53043" s="185" t="s">
        <v>215</v>
      </c>
    </row>
    <row r="53044" spans="129:129" x14ac:dyDescent="0.2">
      <c r="DY53044" s="185" t="s">
        <v>215</v>
      </c>
    </row>
    <row r="53045" spans="129:129" x14ac:dyDescent="0.2">
      <c r="DY53045" s="185" t="s">
        <v>215</v>
      </c>
    </row>
    <row r="53046" spans="129:129" x14ac:dyDescent="0.2">
      <c r="DY53046" s="185" t="s">
        <v>215</v>
      </c>
    </row>
    <row r="53047" spans="129:129" x14ac:dyDescent="0.2">
      <c r="DY53047" s="185" t="s">
        <v>215</v>
      </c>
    </row>
    <row r="53048" spans="129:129" x14ac:dyDescent="0.2">
      <c r="DY53048" s="185" t="s">
        <v>215</v>
      </c>
    </row>
    <row r="53049" spans="129:129" x14ac:dyDescent="0.2">
      <c r="DY53049" s="185" t="s">
        <v>215</v>
      </c>
    </row>
    <row r="53050" spans="129:129" x14ac:dyDescent="0.2">
      <c r="DY53050" s="185" t="s">
        <v>215</v>
      </c>
    </row>
    <row r="53051" spans="129:129" x14ac:dyDescent="0.2">
      <c r="DY53051" s="185" t="s">
        <v>215</v>
      </c>
    </row>
    <row r="53052" spans="129:129" x14ac:dyDescent="0.2">
      <c r="DY53052" s="185" t="s">
        <v>215</v>
      </c>
    </row>
    <row r="53053" spans="129:129" x14ac:dyDescent="0.2">
      <c r="DY53053" s="185" t="s">
        <v>215</v>
      </c>
    </row>
    <row r="53054" spans="129:129" x14ac:dyDescent="0.2">
      <c r="DY53054" s="185" t="s">
        <v>215</v>
      </c>
    </row>
    <row r="53055" spans="129:129" x14ac:dyDescent="0.2">
      <c r="DY53055" s="185" t="s">
        <v>215</v>
      </c>
    </row>
    <row r="53056" spans="129:129" x14ac:dyDescent="0.2">
      <c r="DY53056" s="185" t="s">
        <v>215</v>
      </c>
    </row>
    <row r="53057" spans="129:129" x14ac:dyDescent="0.2">
      <c r="DY53057" s="185" t="s">
        <v>215</v>
      </c>
    </row>
    <row r="53058" spans="129:129" x14ac:dyDescent="0.2">
      <c r="DY53058" s="185" t="s">
        <v>215</v>
      </c>
    </row>
    <row r="53059" spans="129:129" x14ac:dyDescent="0.2">
      <c r="DY53059" s="185" t="s">
        <v>215</v>
      </c>
    </row>
    <row r="53060" spans="129:129" x14ac:dyDescent="0.2">
      <c r="DY53060" s="185" t="s">
        <v>215</v>
      </c>
    </row>
    <row r="53061" spans="129:129" x14ac:dyDescent="0.2">
      <c r="DY53061" s="185" t="s">
        <v>215</v>
      </c>
    </row>
    <row r="53062" spans="129:129" x14ac:dyDescent="0.2">
      <c r="DY53062" s="185" t="s">
        <v>215</v>
      </c>
    </row>
    <row r="53063" spans="129:129" x14ac:dyDescent="0.2">
      <c r="DY53063" s="185" t="s">
        <v>215</v>
      </c>
    </row>
    <row r="53064" spans="129:129" x14ac:dyDescent="0.2">
      <c r="DY53064" s="185" t="s">
        <v>215</v>
      </c>
    </row>
    <row r="53065" spans="129:129" x14ac:dyDescent="0.2">
      <c r="DY53065" s="185" t="s">
        <v>215</v>
      </c>
    </row>
    <row r="53066" spans="129:129" x14ac:dyDescent="0.2">
      <c r="DY53066" s="185" t="s">
        <v>215</v>
      </c>
    </row>
    <row r="53067" spans="129:129" x14ac:dyDescent="0.2">
      <c r="DY53067" s="185" t="s">
        <v>215</v>
      </c>
    </row>
    <row r="53068" spans="129:129" x14ac:dyDescent="0.2">
      <c r="DY53068" s="185" t="s">
        <v>215</v>
      </c>
    </row>
    <row r="53069" spans="129:129" x14ac:dyDescent="0.2">
      <c r="DY53069" s="185" t="s">
        <v>215</v>
      </c>
    </row>
    <row r="53070" spans="129:129" x14ac:dyDescent="0.2">
      <c r="DY53070" s="185" t="s">
        <v>215</v>
      </c>
    </row>
    <row r="53071" spans="129:129" x14ac:dyDescent="0.2">
      <c r="DY53071" s="185" t="s">
        <v>215</v>
      </c>
    </row>
    <row r="53072" spans="129:129" x14ac:dyDescent="0.2">
      <c r="DY53072" s="185" t="s">
        <v>215</v>
      </c>
    </row>
    <row r="53073" spans="129:129" x14ac:dyDescent="0.2">
      <c r="DY53073" s="185" t="s">
        <v>215</v>
      </c>
    </row>
    <row r="53074" spans="129:129" x14ac:dyDescent="0.2">
      <c r="DY53074" s="185" t="s">
        <v>215</v>
      </c>
    </row>
    <row r="53075" spans="129:129" x14ac:dyDescent="0.2">
      <c r="DY53075" s="185" t="s">
        <v>215</v>
      </c>
    </row>
    <row r="53076" spans="129:129" x14ac:dyDescent="0.2">
      <c r="DY53076" s="185" t="s">
        <v>215</v>
      </c>
    </row>
    <row r="53077" spans="129:129" x14ac:dyDescent="0.2">
      <c r="DY53077" s="185" t="s">
        <v>215</v>
      </c>
    </row>
    <row r="53078" spans="129:129" x14ac:dyDescent="0.2">
      <c r="DY53078" s="185" t="s">
        <v>215</v>
      </c>
    </row>
    <row r="53079" spans="129:129" x14ac:dyDescent="0.2">
      <c r="DY53079" s="185" t="s">
        <v>215</v>
      </c>
    </row>
    <row r="53080" spans="129:129" x14ac:dyDescent="0.2">
      <c r="DY53080" s="185" t="s">
        <v>215</v>
      </c>
    </row>
    <row r="53081" spans="129:129" x14ac:dyDescent="0.2">
      <c r="DY53081" s="185" t="s">
        <v>215</v>
      </c>
    </row>
    <row r="53082" spans="129:129" x14ac:dyDescent="0.2">
      <c r="DY53082" s="185" t="s">
        <v>215</v>
      </c>
    </row>
    <row r="53083" spans="129:129" x14ac:dyDescent="0.2">
      <c r="DY53083" s="185" t="s">
        <v>215</v>
      </c>
    </row>
    <row r="53084" spans="129:129" x14ac:dyDescent="0.2">
      <c r="DY53084" s="185" t="s">
        <v>215</v>
      </c>
    </row>
    <row r="53085" spans="129:129" x14ac:dyDescent="0.2">
      <c r="DY53085" s="185" t="s">
        <v>215</v>
      </c>
    </row>
    <row r="53086" spans="129:129" x14ac:dyDescent="0.2">
      <c r="DY53086" s="185" t="s">
        <v>215</v>
      </c>
    </row>
    <row r="53087" spans="129:129" x14ac:dyDescent="0.2">
      <c r="DY53087" s="185" t="s">
        <v>215</v>
      </c>
    </row>
    <row r="53088" spans="129:129" x14ac:dyDescent="0.2">
      <c r="DY53088" s="185" t="s">
        <v>215</v>
      </c>
    </row>
    <row r="53089" spans="129:129" x14ac:dyDescent="0.2">
      <c r="DY53089" s="185" t="s">
        <v>215</v>
      </c>
    </row>
    <row r="53090" spans="129:129" x14ac:dyDescent="0.2">
      <c r="DY53090" s="185" t="s">
        <v>215</v>
      </c>
    </row>
    <row r="53091" spans="129:129" x14ac:dyDescent="0.2">
      <c r="DY53091" s="185" t="s">
        <v>215</v>
      </c>
    </row>
    <row r="53092" spans="129:129" x14ac:dyDescent="0.2">
      <c r="DY53092" s="185" t="s">
        <v>215</v>
      </c>
    </row>
    <row r="53093" spans="129:129" x14ac:dyDescent="0.2">
      <c r="DY53093" s="185" t="s">
        <v>215</v>
      </c>
    </row>
    <row r="53094" spans="129:129" x14ac:dyDescent="0.2">
      <c r="DY53094" s="185" t="s">
        <v>215</v>
      </c>
    </row>
    <row r="53095" spans="129:129" x14ac:dyDescent="0.2">
      <c r="DY53095" s="185" t="s">
        <v>215</v>
      </c>
    </row>
    <row r="53096" spans="129:129" x14ac:dyDescent="0.2">
      <c r="DY53096" s="185" t="s">
        <v>215</v>
      </c>
    </row>
    <row r="53097" spans="129:129" x14ac:dyDescent="0.2">
      <c r="DY53097" s="185" t="s">
        <v>215</v>
      </c>
    </row>
    <row r="53098" spans="129:129" x14ac:dyDescent="0.2">
      <c r="DY53098" s="185" t="s">
        <v>215</v>
      </c>
    </row>
    <row r="53099" spans="129:129" x14ac:dyDescent="0.2">
      <c r="DY53099" s="185" t="s">
        <v>215</v>
      </c>
    </row>
    <row r="53100" spans="129:129" x14ac:dyDescent="0.2">
      <c r="DY53100" s="185" t="s">
        <v>215</v>
      </c>
    </row>
    <row r="53101" spans="129:129" x14ac:dyDescent="0.2">
      <c r="DY53101" s="185" t="s">
        <v>215</v>
      </c>
    </row>
    <row r="53102" spans="129:129" x14ac:dyDescent="0.2">
      <c r="DY53102" s="185" t="s">
        <v>215</v>
      </c>
    </row>
    <row r="53103" spans="129:129" x14ac:dyDescent="0.2">
      <c r="DY53103" s="185" t="s">
        <v>215</v>
      </c>
    </row>
    <row r="53104" spans="129:129" x14ac:dyDescent="0.2">
      <c r="DY53104" s="185" t="s">
        <v>215</v>
      </c>
    </row>
    <row r="53105" spans="129:129" x14ac:dyDescent="0.2">
      <c r="DY53105" s="185" t="s">
        <v>215</v>
      </c>
    </row>
    <row r="53106" spans="129:129" x14ac:dyDescent="0.2">
      <c r="DY53106" s="185" t="s">
        <v>215</v>
      </c>
    </row>
    <row r="53107" spans="129:129" x14ac:dyDescent="0.2">
      <c r="DY53107" s="185" t="s">
        <v>215</v>
      </c>
    </row>
    <row r="53108" spans="129:129" x14ac:dyDescent="0.2">
      <c r="DY53108" s="185" t="s">
        <v>215</v>
      </c>
    </row>
    <row r="53109" spans="129:129" x14ac:dyDescent="0.2">
      <c r="DY53109" s="185" t="s">
        <v>215</v>
      </c>
    </row>
    <row r="53110" spans="129:129" x14ac:dyDescent="0.2">
      <c r="DY53110" s="185" t="s">
        <v>215</v>
      </c>
    </row>
    <row r="53111" spans="129:129" x14ac:dyDescent="0.2">
      <c r="DY53111" s="185" t="s">
        <v>215</v>
      </c>
    </row>
    <row r="53112" spans="129:129" x14ac:dyDescent="0.2">
      <c r="DY53112" s="185" t="s">
        <v>215</v>
      </c>
    </row>
    <row r="53113" spans="129:129" x14ac:dyDescent="0.2">
      <c r="DY53113" s="185" t="s">
        <v>215</v>
      </c>
    </row>
    <row r="53114" spans="129:129" x14ac:dyDescent="0.2">
      <c r="DY53114" s="185" t="s">
        <v>215</v>
      </c>
    </row>
    <row r="53115" spans="129:129" x14ac:dyDescent="0.2">
      <c r="DY53115" s="185" t="s">
        <v>215</v>
      </c>
    </row>
    <row r="53116" spans="129:129" x14ac:dyDescent="0.2">
      <c r="DY53116" s="185" t="s">
        <v>215</v>
      </c>
    </row>
    <row r="53117" spans="129:129" x14ac:dyDescent="0.2">
      <c r="DY53117" s="185" t="s">
        <v>215</v>
      </c>
    </row>
    <row r="53118" spans="129:129" x14ac:dyDescent="0.2">
      <c r="DY53118" s="185" t="s">
        <v>215</v>
      </c>
    </row>
    <row r="53119" spans="129:129" x14ac:dyDescent="0.2">
      <c r="DY53119" s="185" t="s">
        <v>215</v>
      </c>
    </row>
    <row r="53120" spans="129:129" x14ac:dyDescent="0.2">
      <c r="DY53120" s="185" t="s">
        <v>215</v>
      </c>
    </row>
    <row r="53121" spans="129:129" x14ac:dyDescent="0.2">
      <c r="DY53121" s="185" t="s">
        <v>215</v>
      </c>
    </row>
    <row r="53122" spans="129:129" x14ac:dyDescent="0.2">
      <c r="DY53122" s="185" t="s">
        <v>215</v>
      </c>
    </row>
    <row r="53123" spans="129:129" x14ac:dyDescent="0.2">
      <c r="DY53123" s="185" t="s">
        <v>215</v>
      </c>
    </row>
    <row r="53124" spans="129:129" x14ac:dyDescent="0.2">
      <c r="DY53124" s="185" t="s">
        <v>215</v>
      </c>
    </row>
    <row r="53125" spans="129:129" x14ac:dyDescent="0.2">
      <c r="DY53125" s="185" t="s">
        <v>215</v>
      </c>
    </row>
    <row r="53126" spans="129:129" x14ac:dyDescent="0.2">
      <c r="DY53126" s="185" t="s">
        <v>215</v>
      </c>
    </row>
    <row r="53127" spans="129:129" x14ac:dyDescent="0.2">
      <c r="DY53127" s="185" t="s">
        <v>215</v>
      </c>
    </row>
    <row r="53128" spans="129:129" x14ac:dyDescent="0.2">
      <c r="DY53128" s="185" t="s">
        <v>215</v>
      </c>
    </row>
    <row r="53129" spans="129:129" x14ac:dyDescent="0.2">
      <c r="DY53129" s="185" t="s">
        <v>215</v>
      </c>
    </row>
    <row r="53130" spans="129:129" x14ac:dyDescent="0.2">
      <c r="DY53130" s="185" t="s">
        <v>215</v>
      </c>
    </row>
    <row r="53131" spans="129:129" x14ac:dyDescent="0.2">
      <c r="DY53131" s="185" t="s">
        <v>215</v>
      </c>
    </row>
    <row r="53132" spans="129:129" x14ac:dyDescent="0.2">
      <c r="DY53132" s="185" t="s">
        <v>215</v>
      </c>
    </row>
    <row r="53133" spans="129:129" x14ac:dyDescent="0.2">
      <c r="DY53133" s="185" t="s">
        <v>215</v>
      </c>
    </row>
    <row r="53134" spans="129:129" x14ac:dyDescent="0.2">
      <c r="DY53134" s="185" t="s">
        <v>215</v>
      </c>
    </row>
    <row r="53135" spans="129:129" x14ac:dyDescent="0.2">
      <c r="DY53135" s="185" t="s">
        <v>215</v>
      </c>
    </row>
    <row r="53136" spans="129:129" x14ac:dyDescent="0.2">
      <c r="DY53136" s="185" t="s">
        <v>215</v>
      </c>
    </row>
    <row r="53137" spans="129:129" x14ac:dyDescent="0.2">
      <c r="DY53137" s="185" t="s">
        <v>215</v>
      </c>
    </row>
    <row r="53138" spans="129:129" x14ac:dyDescent="0.2">
      <c r="DY53138" s="185" t="s">
        <v>215</v>
      </c>
    </row>
    <row r="53139" spans="129:129" x14ac:dyDescent="0.2">
      <c r="DY53139" s="185" t="s">
        <v>215</v>
      </c>
    </row>
    <row r="53140" spans="129:129" x14ac:dyDescent="0.2">
      <c r="DY53140" s="185" t="s">
        <v>215</v>
      </c>
    </row>
    <row r="53141" spans="129:129" x14ac:dyDescent="0.2">
      <c r="DY53141" s="185" t="s">
        <v>215</v>
      </c>
    </row>
    <row r="53142" spans="129:129" x14ac:dyDescent="0.2">
      <c r="DY53142" s="185" t="s">
        <v>215</v>
      </c>
    </row>
    <row r="53143" spans="129:129" x14ac:dyDescent="0.2">
      <c r="DY53143" s="185" t="s">
        <v>215</v>
      </c>
    </row>
    <row r="53144" spans="129:129" x14ac:dyDescent="0.2">
      <c r="DY53144" s="185" t="s">
        <v>215</v>
      </c>
    </row>
    <row r="53145" spans="129:129" x14ac:dyDescent="0.2">
      <c r="DY53145" s="185" t="s">
        <v>215</v>
      </c>
    </row>
    <row r="53146" spans="129:129" x14ac:dyDescent="0.2">
      <c r="DY53146" s="185" t="s">
        <v>215</v>
      </c>
    </row>
    <row r="53147" spans="129:129" x14ac:dyDescent="0.2">
      <c r="DY53147" s="185" t="s">
        <v>215</v>
      </c>
    </row>
    <row r="53148" spans="129:129" x14ac:dyDescent="0.2">
      <c r="DY53148" s="185" t="s">
        <v>215</v>
      </c>
    </row>
    <row r="53149" spans="129:129" x14ac:dyDescent="0.2">
      <c r="DY53149" s="185" t="s">
        <v>215</v>
      </c>
    </row>
    <row r="53150" spans="129:129" x14ac:dyDescent="0.2">
      <c r="DY53150" s="185" t="s">
        <v>215</v>
      </c>
    </row>
    <row r="53151" spans="129:129" x14ac:dyDescent="0.2">
      <c r="DY53151" s="185" t="s">
        <v>215</v>
      </c>
    </row>
    <row r="53152" spans="129:129" x14ac:dyDescent="0.2">
      <c r="DY53152" s="185" t="s">
        <v>215</v>
      </c>
    </row>
    <row r="53153" spans="129:129" x14ac:dyDescent="0.2">
      <c r="DY53153" s="185" t="s">
        <v>215</v>
      </c>
    </row>
    <row r="53154" spans="129:129" x14ac:dyDescent="0.2">
      <c r="DY53154" s="185" t="s">
        <v>215</v>
      </c>
    </row>
    <row r="53155" spans="129:129" x14ac:dyDescent="0.2">
      <c r="DY53155" s="185" t="s">
        <v>215</v>
      </c>
    </row>
    <row r="53156" spans="129:129" x14ac:dyDescent="0.2">
      <c r="DY53156" s="185" t="s">
        <v>215</v>
      </c>
    </row>
    <row r="53157" spans="129:129" x14ac:dyDescent="0.2">
      <c r="DY53157" s="185" t="s">
        <v>215</v>
      </c>
    </row>
    <row r="53158" spans="129:129" x14ac:dyDescent="0.2">
      <c r="DY53158" s="185" t="s">
        <v>215</v>
      </c>
    </row>
    <row r="53159" spans="129:129" x14ac:dyDescent="0.2">
      <c r="DY53159" s="185" t="s">
        <v>215</v>
      </c>
    </row>
    <row r="53160" spans="129:129" x14ac:dyDescent="0.2">
      <c r="DY53160" s="185" t="s">
        <v>215</v>
      </c>
    </row>
    <row r="53161" spans="129:129" x14ac:dyDescent="0.2">
      <c r="DY53161" s="185" t="s">
        <v>215</v>
      </c>
    </row>
    <row r="53162" spans="129:129" x14ac:dyDescent="0.2">
      <c r="DY53162" s="185" t="s">
        <v>215</v>
      </c>
    </row>
    <row r="53163" spans="129:129" x14ac:dyDescent="0.2">
      <c r="DY53163" s="185" t="s">
        <v>215</v>
      </c>
    </row>
    <row r="53164" spans="129:129" x14ac:dyDescent="0.2">
      <c r="DY53164" s="185" t="s">
        <v>215</v>
      </c>
    </row>
    <row r="53165" spans="129:129" x14ac:dyDescent="0.2">
      <c r="DY53165" s="185" t="s">
        <v>215</v>
      </c>
    </row>
    <row r="53166" spans="129:129" x14ac:dyDescent="0.2">
      <c r="DY53166" s="185" t="s">
        <v>215</v>
      </c>
    </row>
    <row r="53167" spans="129:129" x14ac:dyDescent="0.2">
      <c r="DY53167" s="185" t="s">
        <v>215</v>
      </c>
    </row>
    <row r="53168" spans="129:129" x14ac:dyDescent="0.2">
      <c r="DY53168" s="185" t="s">
        <v>215</v>
      </c>
    </row>
    <row r="53169" spans="129:129" x14ac:dyDescent="0.2">
      <c r="DY53169" s="185" t="s">
        <v>215</v>
      </c>
    </row>
    <row r="53170" spans="129:129" x14ac:dyDescent="0.2">
      <c r="DY53170" s="185" t="s">
        <v>215</v>
      </c>
    </row>
    <row r="53171" spans="129:129" x14ac:dyDescent="0.2">
      <c r="DY53171" s="185" t="s">
        <v>215</v>
      </c>
    </row>
    <row r="53172" spans="129:129" x14ac:dyDescent="0.2">
      <c r="DY53172" s="185" t="s">
        <v>215</v>
      </c>
    </row>
    <row r="53173" spans="129:129" x14ac:dyDescent="0.2">
      <c r="DY53173" s="185" t="s">
        <v>215</v>
      </c>
    </row>
    <row r="53174" spans="129:129" x14ac:dyDescent="0.2">
      <c r="DY53174" s="185" t="s">
        <v>215</v>
      </c>
    </row>
    <row r="53175" spans="129:129" x14ac:dyDescent="0.2">
      <c r="DY53175" s="185" t="s">
        <v>215</v>
      </c>
    </row>
    <row r="53176" spans="129:129" x14ac:dyDescent="0.2">
      <c r="DY53176" s="185" t="s">
        <v>215</v>
      </c>
    </row>
    <row r="53177" spans="129:129" x14ac:dyDescent="0.2">
      <c r="DY53177" s="185" t="s">
        <v>215</v>
      </c>
    </row>
    <row r="53178" spans="129:129" x14ac:dyDescent="0.2">
      <c r="DY53178" s="185" t="s">
        <v>215</v>
      </c>
    </row>
    <row r="53179" spans="129:129" x14ac:dyDescent="0.2">
      <c r="DY53179" s="185" t="s">
        <v>215</v>
      </c>
    </row>
    <row r="53180" spans="129:129" x14ac:dyDescent="0.2">
      <c r="DY53180" s="185" t="s">
        <v>215</v>
      </c>
    </row>
    <row r="53181" spans="129:129" x14ac:dyDescent="0.2">
      <c r="DY53181" s="185" t="s">
        <v>215</v>
      </c>
    </row>
    <row r="53182" spans="129:129" x14ac:dyDescent="0.2">
      <c r="DY53182" s="185" t="s">
        <v>215</v>
      </c>
    </row>
    <row r="53183" spans="129:129" x14ac:dyDescent="0.2">
      <c r="DY53183" s="185" t="s">
        <v>215</v>
      </c>
    </row>
    <row r="53184" spans="129:129" x14ac:dyDescent="0.2">
      <c r="DY53184" s="185" t="s">
        <v>215</v>
      </c>
    </row>
    <row r="53185" spans="129:129" x14ac:dyDescent="0.2">
      <c r="DY53185" s="185" t="s">
        <v>215</v>
      </c>
    </row>
    <row r="53186" spans="129:129" x14ac:dyDescent="0.2">
      <c r="DY53186" s="185" t="s">
        <v>215</v>
      </c>
    </row>
    <row r="53187" spans="129:129" x14ac:dyDescent="0.2">
      <c r="DY53187" s="185" t="s">
        <v>215</v>
      </c>
    </row>
    <row r="53188" spans="129:129" x14ac:dyDescent="0.2">
      <c r="DY53188" s="185" t="s">
        <v>215</v>
      </c>
    </row>
    <row r="53189" spans="129:129" x14ac:dyDescent="0.2">
      <c r="DY53189" s="185" t="s">
        <v>215</v>
      </c>
    </row>
    <row r="53190" spans="129:129" x14ac:dyDescent="0.2">
      <c r="DY53190" s="185" t="s">
        <v>215</v>
      </c>
    </row>
    <row r="53191" spans="129:129" x14ac:dyDescent="0.2">
      <c r="DY53191" s="185" t="s">
        <v>215</v>
      </c>
    </row>
    <row r="53192" spans="129:129" x14ac:dyDescent="0.2">
      <c r="DY53192" s="185" t="s">
        <v>215</v>
      </c>
    </row>
    <row r="53193" spans="129:129" x14ac:dyDescent="0.2">
      <c r="DY53193" s="185" t="s">
        <v>215</v>
      </c>
    </row>
    <row r="53194" spans="129:129" x14ac:dyDescent="0.2">
      <c r="DY53194" s="185" t="s">
        <v>215</v>
      </c>
    </row>
    <row r="53195" spans="129:129" x14ac:dyDescent="0.2">
      <c r="DY53195" s="185" t="s">
        <v>215</v>
      </c>
    </row>
    <row r="53196" spans="129:129" x14ac:dyDescent="0.2">
      <c r="DY53196" s="185" t="s">
        <v>215</v>
      </c>
    </row>
    <row r="53197" spans="129:129" x14ac:dyDescent="0.2">
      <c r="DY53197" s="185" t="s">
        <v>215</v>
      </c>
    </row>
    <row r="53198" spans="129:129" x14ac:dyDescent="0.2">
      <c r="DY53198" s="185" t="s">
        <v>215</v>
      </c>
    </row>
    <row r="53199" spans="129:129" x14ac:dyDescent="0.2">
      <c r="DY53199" s="185" t="s">
        <v>215</v>
      </c>
    </row>
    <row r="53200" spans="129:129" x14ac:dyDescent="0.2">
      <c r="DY53200" s="185" t="s">
        <v>215</v>
      </c>
    </row>
    <row r="53201" spans="129:129" x14ac:dyDescent="0.2">
      <c r="DY53201" s="185" t="s">
        <v>215</v>
      </c>
    </row>
    <row r="53202" spans="129:129" x14ac:dyDescent="0.2">
      <c r="DY53202" s="185" t="s">
        <v>215</v>
      </c>
    </row>
    <row r="53203" spans="129:129" x14ac:dyDescent="0.2">
      <c r="DY53203" s="185" t="s">
        <v>215</v>
      </c>
    </row>
    <row r="53204" spans="129:129" x14ac:dyDescent="0.2">
      <c r="DY53204" s="185" t="s">
        <v>215</v>
      </c>
    </row>
    <row r="53205" spans="129:129" x14ac:dyDescent="0.2">
      <c r="DY53205" s="185" t="s">
        <v>215</v>
      </c>
    </row>
    <row r="53206" spans="129:129" x14ac:dyDescent="0.2">
      <c r="DY53206" s="185" t="s">
        <v>215</v>
      </c>
    </row>
    <row r="53207" spans="129:129" x14ac:dyDescent="0.2">
      <c r="DY53207" s="185" t="s">
        <v>215</v>
      </c>
    </row>
    <row r="53208" spans="129:129" x14ac:dyDescent="0.2">
      <c r="DY53208" s="185" t="s">
        <v>215</v>
      </c>
    </row>
    <row r="53209" spans="129:129" x14ac:dyDescent="0.2">
      <c r="DY53209" s="185" t="s">
        <v>215</v>
      </c>
    </row>
    <row r="53210" spans="129:129" x14ac:dyDescent="0.2">
      <c r="DY53210" s="185" t="s">
        <v>215</v>
      </c>
    </row>
    <row r="53211" spans="129:129" x14ac:dyDescent="0.2">
      <c r="DY53211" s="185" t="s">
        <v>215</v>
      </c>
    </row>
    <row r="53212" spans="129:129" x14ac:dyDescent="0.2">
      <c r="DY53212" s="185" t="s">
        <v>215</v>
      </c>
    </row>
    <row r="53213" spans="129:129" x14ac:dyDescent="0.2">
      <c r="DY53213" s="185" t="s">
        <v>215</v>
      </c>
    </row>
    <row r="53214" spans="129:129" x14ac:dyDescent="0.2">
      <c r="DY53214" s="185" t="s">
        <v>215</v>
      </c>
    </row>
    <row r="53215" spans="129:129" x14ac:dyDescent="0.2">
      <c r="DY53215" s="185" t="s">
        <v>215</v>
      </c>
    </row>
    <row r="53216" spans="129:129" x14ac:dyDescent="0.2">
      <c r="DY53216" s="185" t="s">
        <v>215</v>
      </c>
    </row>
    <row r="53217" spans="129:129" x14ac:dyDescent="0.2">
      <c r="DY53217" s="185" t="s">
        <v>215</v>
      </c>
    </row>
    <row r="53218" spans="129:129" x14ac:dyDescent="0.2">
      <c r="DY53218" s="185" t="s">
        <v>215</v>
      </c>
    </row>
    <row r="53219" spans="129:129" x14ac:dyDescent="0.2">
      <c r="DY53219" s="185" t="s">
        <v>215</v>
      </c>
    </row>
    <row r="53220" spans="129:129" x14ac:dyDescent="0.2">
      <c r="DY53220" s="185" t="s">
        <v>215</v>
      </c>
    </row>
    <row r="53221" spans="129:129" x14ac:dyDescent="0.2">
      <c r="DY53221" s="185" t="s">
        <v>215</v>
      </c>
    </row>
    <row r="53222" spans="129:129" x14ac:dyDescent="0.2">
      <c r="DY53222" s="185" t="s">
        <v>215</v>
      </c>
    </row>
    <row r="53223" spans="129:129" x14ac:dyDescent="0.2">
      <c r="DY53223" s="185" t="s">
        <v>215</v>
      </c>
    </row>
    <row r="53224" spans="129:129" x14ac:dyDescent="0.2">
      <c r="DY53224" s="185" t="s">
        <v>215</v>
      </c>
    </row>
    <row r="53225" spans="129:129" x14ac:dyDescent="0.2">
      <c r="DY53225" s="185" t="s">
        <v>215</v>
      </c>
    </row>
    <row r="53226" spans="129:129" x14ac:dyDescent="0.2">
      <c r="DY53226" s="185" t="s">
        <v>215</v>
      </c>
    </row>
    <row r="53227" spans="129:129" x14ac:dyDescent="0.2">
      <c r="DY53227" s="185" t="s">
        <v>215</v>
      </c>
    </row>
    <row r="53228" spans="129:129" x14ac:dyDescent="0.2">
      <c r="DY53228" s="185" t="s">
        <v>215</v>
      </c>
    </row>
    <row r="53229" spans="129:129" x14ac:dyDescent="0.2">
      <c r="DY53229" s="185" t="s">
        <v>215</v>
      </c>
    </row>
    <row r="53230" spans="129:129" x14ac:dyDescent="0.2">
      <c r="DY53230" s="185" t="s">
        <v>215</v>
      </c>
    </row>
    <row r="53231" spans="129:129" x14ac:dyDescent="0.2">
      <c r="DY53231" s="185" t="s">
        <v>215</v>
      </c>
    </row>
    <row r="53232" spans="129:129" x14ac:dyDescent="0.2">
      <c r="DY53232" s="185" t="s">
        <v>215</v>
      </c>
    </row>
    <row r="53233" spans="129:129" x14ac:dyDescent="0.2">
      <c r="DY53233" s="185" t="s">
        <v>215</v>
      </c>
    </row>
    <row r="53234" spans="129:129" x14ac:dyDescent="0.2">
      <c r="DY53234" s="185" t="s">
        <v>215</v>
      </c>
    </row>
    <row r="53235" spans="129:129" x14ac:dyDescent="0.2">
      <c r="DY53235" s="185" t="s">
        <v>215</v>
      </c>
    </row>
    <row r="53236" spans="129:129" x14ac:dyDescent="0.2">
      <c r="DY53236" s="185" t="s">
        <v>215</v>
      </c>
    </row>
    <row r="53237" spans="129:129" x14ac:dyDescent="0.2">
      <c r="DY53237" s="185" t="s">
        <v>215</v>
      </c>
    </row>
    <row r="53238" spans="129:129" x14ac:dyDescent="0.2">
      <c r="DY53238" s="185" t="s">
        <v>215</v>
      </c>
    </row>
    <row r="53239" spans="129:129" x14ac:dyDescent="0.2">
      <c r="DY53239" s="185" t="s">
        <v>215</v>
      </c>
    </row>
    <row r="53240" spans="129:129" x14ac:dyDescent="0.2">
      <c r="DY53240" s="185" t="s">
        <v>215</v>
      </c>
    </row>
    <row r="53241" spans="129:129" x14ac:dyDescent="0.2">
      <c r="DY53241" s="185" t="s">
        <v>215</v>
      </c>
    </row>
    <row r="53242" spans="129:129" x14ac:dyDescent="0.2">
      <c r="DY53242" s="185" t="s">
        <v>215</v>
      </c>
    </row>
    <row r="53243" spans="129:129" x14ac:dyDescent="0.2">
      <c r="DY53243" s="185" t="s">
        <v>215</v>
      </c>
    </row>
    <row r="53244" spans="129:129" x14ac:dyDescent="0.2">
      <c r="DY53244" s="185" t="s">
        <v>215</v>
      </c>
    </row>
    <row r="53245" spans="129:129" x14ac:dyDescent="0.2">
      <c r="DY53245" s="185" t="s">
        <v>215</v>
      </c>
    </row>
    <row r="53246" spans="129:129" x14ac:dyDescent="0.2">
      <c r="DY53246" s="185" t="s">
        <v>215</v>
      </c>
    </row>
    <row r="53247" spans="129:129" x14ac:dyDescent="0.2">
      <c r="DY53247" s="185" t="s">
        <v>215</v>
      </c>
    </row>
    <row r="53248" spans="129:129" x14ac:dyDescent="0.2">
      <c r="DY53248" s="185" t="s">
        <v>215</v>
      </c>
    </row>
    <row r="53249" spans="129:129" x14ac:dyDescent="0.2">
      <c r="DY53249" s="185" t="s">
        <v>215</v>
      </c>
    </row>
    <row r="53250" spans="129:129" x14ac:dyDescent="0.2">
      <c r="DY53250" s="185" t="s">
        <v>215</v>
      </c>
    </row>
    <row r="53251" spans="129:129" x14ac:dyDescent="0.2">
      <c r="DY53251" s="185" t="s">
        <v>215</v>
      </c>
    </row>
    <row r="53252" spans="129:129" x14ac:dyDescent="0.2">
      <c r="DY53252" s="185" t="s">
        <v>215</v>
      </c>
    </row>
    <row r="53253" spans="129:129" x14ac:dyDescent="0.2">
      <c r="DY53253" s="185" t="s">
        <v>215</v>
      </c>
    </row>
    <row r="53254" spans="129:129" x14ac:dyDescent="0.2">
      <c r="DY53254" s="185" t="s">
        <v>215</v>
      </c>
    </row>
    <row r="53255" spans="129:129" x14ac:dyDescent="0.2">
      <c r="DY53255" s="185" t="s">
        <v>215</v>
      </c>
    </row>
    <row r="53256" spans="129:129" x14ac:dyDescent="0.2">
      <c r="DY53256" s="185" t="s">
        <v>215</v>
      </c>
    </row>
    <row r="53257" spans="129:129" x14ac:dyDescent="0.2">
      <c r="DY53257" s="185" t="s">
        <v>215</v>
      </c>
    </row>
    <row r="53258" spans="129:129" x14ac:dyDescent="0.2">
      <c r="DY53258" s="185" t="s">
        <v>215</v>
      </c>
    </row>
    <row r="53259" spans="129:129" x14ac:dyDescent="0.2">
      <c r="DY53259" s="185" t="s">
        <v>215</v>
      </c>
    </row>
    <row r="53260" spans="129:129" x14ac:dyDescent="0.2">
      <c r="DY53260" s="185" t="s">
        <v>215</v>
      </c>
    </row>
    <row r="53261" spans="129:129" x14ac:dyDescent="0.2">
      <c r="DY53261" s="185" t="s">
        <v>215</v>
      </c>
    </row>
    <row r="53262" spans="129:129" x14ac:dyDescent="0.2">
      <c r="DY53262" s="185" t="s">
        <v>215</v>
      </c>
    </row>
    <row r="53263" spans="129:129" x14ac:dyDescent="0.2">
      <c r="DY53263" s="185" t="s">
        <v>215</v>
      </c>
    </row>
    <row r="53264" spans="129:129" x14ac:dyDescent="0.2">
      <c r="DY53264" s="185" t="s">
        <v>215</v>
      </c>
    </row>
    <row r="53265" spans="129:129" x14ac:dyDescent="0.2">
      <c r="DY53265" s="185" t="s">
        <v>215</v>
      </c>
    </row>
    <row r="53266" spans="129:129" x14ac:dyDescent="0.2">
      <c r="DY53266" s="185" t="s">
        <v>215</v>
      </c>
    </row>
    <row r="53267" spans="129:129" x14ac:dyDescent="0.2">
      <c r="DY53267" s="185" t="s">
        <v>215</v>
      </c>
    </row>
    <row r="53268" spans="129:129" x14ac:dyDescent="0.2">
      <c r="DY53268" s="185" t="s">
        <v>215</v>
      </c>
    </row>
    <row r="53269" spans="129:129" x14ac:dyDescent="0.2">
      <c r="DY53269" s="185" t="s">
        <v>215</v>
      </c>
    </row>
    <row r="53270" spans="129:129" x14ac:dyDescent="0.2">
      <c r="DY53270" s="185" t="s">
        <v>215</v>
      </c>
    </row>
    <row r="53271" spans="129:129" x14ac:dyDescent="0.2">
      <c r="DY53271" s="185" t="s">
        <v>215</v>
      </c>
    </row>
    <row r="53272" spans="129:129" x14ac:dyDescent="0.2">
      <c r="DY53272" s="185" t="s">
        <v>215</v>
      </c>
    </row>
    <row r="53273" spans="129:129" x14ac:dyDescent="0.2">
      <c r="DY53273" s="185" t="s">
        <v>215</v>
      </c>
    </row>
    <row r="53274" spans="129:129" x14ac:dyDescent="0.2">
      <c r="DY53274" s="185" t="s">
        <v>215</v>
      </c>
    </row>
    <row r="53275" spans="129:129" x14ac:dyDescent="0.2">
      <c r="DY53275" s="185" t="s">
        <v>215</v>
      </c>
    </row>
    <row r="53276" spans="129:129" x14ac:dyDescent="0.2">
      <c r="DY53276" s="185" t="s">
        <v>215</v>
      </c>
    </row>
    <row r="53277" spans="129:129" x14ac:dyDescent="0.2">
      <c r="DY53277" s="185" t="s">
        <v>215</v>
      </c>
    </row>
    <row r="53278" spans="129:129" x14ac:dyDescent="0.2">
      <c r="DY53278" s="185" t="s">
        <v>215</v>
      </c>
    </row>
    <row r="53279" spans="129:129" x14ac:dyDescent="0.2">
      <c r="DY53279" s="185" t="s">
        <v>215</v>
      </c>
    </row>
    <row r="53280" spans="129:129" x14ac:dyDescent="0.2">
      <c r="DY53280" s="185" t="s">
        <v>215</v>
      </c>
    </row>
    <row r="53281" spans="129:129" x14ac:dyDescent="0.2">
      <c r="DY53281" s="185" t="s">
        <v>215</v>
      </c>
    </row>
    <row r="53282" spans="129:129" x14ac:dyDescent="0.2">
      <c r="DY53282" s="185" t="s">
        <v>215</v>
      </c>
    </row>
    <row r="53283" spans="129:129" x14ac:dyDescent="0.2">
      <c r="DY53283" s="185" t="s">
        <v>215</v>
      </c>
    </row>
    <row r="53284" spans="129:129" x14ac:dyDescent="0.2">
      <c r="DY53284" s="185" t="s">
        <v>215</v>
      </c>
    </row>
    <row r="53285" spans="129:129" x14ac:dyDescent="0.2">
      <c r="DY53285" s="185" t="s">
        <v>215</v>
      </c>
    </row>
    <row r="53286" spans="129:129" x14ac:dyDescent="0.2">
      <c r="DY53286" s="185" t="s">
        <v>215</v>
      </c>
    </row>
    <row r="53287" spans="129:129" x14ac:dyDescent="0.2">
      <c r="DY53287" s="185" t="s">
        <v>215</v>
      </c>
    </row>
    <row r="53288" spans="129:129" x14ac:dyDescent="0.2">
      <c r="DY53288" s="185" t="s">
        <v>215</v>
      </c>
    </row>
    <row r="53289" spans="129:129" x14ac:dyDescent="0.2">
      <c r="DY53289" s="185" t="s">
        <v>215</v>
      </c>
    </row>
    <row r="53290" spans="129:129" x14ac:dyDescent="0.2">
      <c r="DY53290" s="185" t="s">
        <v>215</v>
      </c>
    </row>
    <row r="53291" spans="129:129" x14ac:dyDescent="0.2">
      <c r="DY53291" s="185" t="s">
        <v>215</v>
      </c>
    </row>
    <row r="53292" spans="129:129" x14ac:dyDescent="0.2">
      <c r="DY53292" s="185" t="s">
        <v>215</v>
      </c>
    </row>
    <row r="53293" spans="129:129" x14ac:dyDescent="0.2">
      <c r="DY53293" s="185" t="s">
        <v>215</v>
      </c>
    </row>
    <row r="53294" spans="129:129" x14ac:dyDescent="0.2">
      <c r="DY53294" s="185" t="s">
        <v>215</v>
      </c>
    </row>
    <row r="53295" spans="129:129" x14ac:dyDescent="0.2">
      <c r="DY53295" s="185" t="s">
        <v>215</v>
      </c>
    </row>
    <row r="53296" spans="129:129" x14ac:dyDescent="0.2">
      <c r="DY53296" s="185" t="s">
        <v>215</v>
      </c>
    </row>
    <row r="53297" spans="129:129" x14ac:dyDescent="0.2">
      <c r="DY53297" s="185" t="s">
        <v>215</v>
      </c>
    </row>
    <row r="53298" spans="129:129" x14ac:dyDescent="0.2">
      <c r="DY53298" s="185" t="s">
        <v>215</v>
      </c>
    </row>
    <row r="53299" spans="129:129" x14ac:dyDescent="0.2">
      <c r="DY53299" s="185" t="s">
        <v>215</v>
      </c>
    </row>
    <row r="53300" spans="129:129" x14ac:dyDescent="0.2">
      <c r="DY53300" s="185" t="s">
        <v>215</v>
      </c>
    </row>
    <row r="53301" spans="129:129" x14ac:dyDescent="0.2">
      <c r="DY53301" s="185" t="s">
        <v>215</v>
      </c>
    </row>
    <row r="53302" spans="129:129" x14ac:dyDescent="0.2">
      <c r="DY53302" s="185" t="s">
        <v>215</v>
      </c>
    </row>
    <row r="53303" spans="129:129" x14ac:dyDescent="0.2">
      <c r="DY53303" s="185" t="s">
        <v>215</v>
      </c>
    </row>
    <row r="53304" spans="129:129" x14ac:dyDescent="0.2">
      <c r="DY53304" s="185" t="s">
        <v>215</v>
      </c>
    </row>
    <row r="53305" spans="129:129" x14ac:dyDescent="0.2">
      <c r="DY53305" s="185" t="s">
        <v>215</v>
      </c>
    </row>
    <row r="53306" spans="129:129" x14ac:dyDescent="0.2">
      <c r="DY53306" s="185" t="s">
        <v>215</v>
      </c>
    </row>
    <row r="53307" spans="129:129" x14ac:dyDescent="0.2">
      <c r="DY53307" s="185" t="s">
        <v>215</v>
      </c>
    </row>
    <row r="53308" spans="129:129" x14ac:dyDescent="0.2">
      <c r="DY53308" s="185" t="s">
        <v>215</v>
      </c>
    </row>
    <row r="53309" spans="129:129" x14ac:dyDescent="0.2">
      <c r="DY53309" s="185" t="s">
        <v>215</v>
      </c>
    </row>
    <row r="53310" spans="129:129" x14ac:dyDescent="0.2">
      <c r="DY53310" s="185" t="s">
        <v>215</v>
      </c>
    </row>
    <row r="53311" spans="129:129" x14ac:dyDescent="0.2">
      <c r="DY53311" s="185" t="s">
        <v>215</v>
      </c>
    </row>
    <row r="53312" spans="129:129" x14ac:dyDescent="0.2">
      <c r="DY53312" s="185" t="s">
        <v>215</v>
      </c>
    </row>
    <row r="53313" spans="129:129" x14ac:dyDescent="0.2">
      <c r="DY53313" s="185" t="s">
        <v>215</v>
      </c>
    </row>
    <row r="53314" spans="129:129" x14ac:dyDescent="0.2">
      <c r="DY53314" s="185" t="s">
        <v>215</v>
      </c>
    </row>
    <row r="53315" spans="129:129" x14ac:dyDescent="0.2">
      <c r="DY53315" s="185" t="s">
        <v>215</v>
      </c>
    </row>
    <row r="53316" spans="129:129" x14ac:dyDescent="0.2">
      <c r="DY53316" s="185" t="s">
        <v>215</v>
      </c>
    </row>
    <row r="53317" spans="129:129" x14ac:dyDescent="0.2">
      <c r="DY53317" s="185" t="s">
        <v>215</v>
      </c>
    </row>
    <row r="53318" spans="129:129" x14ac:dyDescent="0.2">
      <c r="DY53318" s="185" t="s">
        <v>215</v>
      </c>
    </row>
    <row r="53319" spans="129:129" x14ac:dyDescent="0.2">
      <c r="DY53319" s="185" t="s">
        <v>215</v>
      </c>
    </row>
    <row r="53320" spans="129:129" x14ac:dyDescent="0.2">
      <c r="DY53320" s="185" t="s">
        <v>215</v>
      </c>
    </row>
    <row r="53321" spans="129:129" x14ac:dyDescent="0.2">
      <c r="DY53321" s="185" t="s">
        <v>215</v>
      </c>
    </row>
    <row r="53322" spans="129:129" x14ac:dyDescent="0.2">
      <c r="DY53322" s="185" t="s">
        <v>215</v>
      </c>
    </row>
    <row r="53323" spans="129:129" x14ac:dyDescent="0.2">
      <c r="DY53323" s="185" t="s">
        <v>215</v>
      </c>
    </row>
    <row r="53324" spans="129:129" x14ac:dyDescent="0.2">
      <c r="DY53324" s="185" t="s">
        <v>215</v>
      </c>
    </row>
    <row r="53325" spans="129:129" x14ac:dyDescent="0.2">
      <c r="DY53325" s="185" t="s">
        <v>215</v>
      </c>
    </row>
    <row r="53326" spans="129:129" x14ac:dyDescent="0.2">
      <c r="DY53326" s="185" t="s">
        <v>215</v>
      </c>
    </row>
    <row r="53327" spans="129:129" x14ac:dyDescent="0.2">
      <c r="DY53327" s="185" t="s">
        <v>215</v>
      </c>
    </row>
    <row r="53328" spans="129:129" x14ac:dyDescent="0.2">
      <c r="DY53328" s="185" t="s">
        <v>215</v>
      </c>
    </row>
    <row r="53329" spans="129:129" x14ac:dyDescent="0.2">
      <c r="DY53329" s="185" t="s">
        <v>215</v>
      </c>
    </row>
    <row r="53330" spans="129:129" x14ac:dyDescent="0.2">
      <c r="DY53330" s="185" t="s">
        <v>215</v>
      </c>
    </row>
    <row r="53331" spans="129:129" x14ac:dyDescent="0.2">
      <c r="DY53331" s="185" t="s">
        <v>215</v>
      </c>
    </row>
    <row r="53332" spans="129:129" x14ac:dyDescent="0.2">
      <c r="DY53332" s="185" t="s">
        <v>215</v>
      </c>
    </row>
    <row r="53333" spans="129:129" x14ac:dyDescent="0.2">
      <c r="DY53333" s="185" t="s">
        <v>215</v>
      </c>
    </row>
    <row r="53334" spans="129:129" x14ac:dyDescent="0.2">
      <c r="DY53334" s="185" t="s">
        <v>215</v>
      </c>
    </row>
    <row r="53335" spans="129:129" x14ac:dyDescent="0.2">
      <c r="DY53335" s="185" t="s">
        <v>215</v>
      </c>
    </row>
    <row r="53336" spans="129:129" x14ac:dyDescent="0.2">
      <c r="DY53336" s="185" t="s">
        <v>215</v>
      </c>
    </row>
    <row r="53337" spans="129:129" x14ac:dyDescent="0.2">
      <c r="DY53337" s="185" t="s">
        <v>215</v>
      </c>
    </row>
    <row r="53338" spans="129:129" x14ac:dyDescent="0.2">
      <c r="DY53338" s="185" t="s">
        <v>215</v>
      </c>
    </row>
    <row r="53339" spans="129:129" x14ac:dyDescent="0.2">
      <c r="DY53339" s="185" t="s">
        <v>215</v>
      </c>
    </row>
    <row r="53340" spans="129:129" x14ac:dyDescent="0.2">
      <c r="DY53340" s="185" t="s">
        <v>215</v>
      </c>
    </row>
    <row r="53341" spans="129:129" x14ac:dyDescent="0.2">
      <c r="DY53341" s="185" t="s">
        <v>215</v>
      </c>
    </row>
    <row r="53342" spans="129:129" x14ac:dyDescent="0.2">
      <c r="DY53342" s="185" t="s">
        <v>215</v>
      </c>
    </row>
    <row r="53343" spans="129:129" x14ac:dyDescent="0.2">
      <c r="DY53343" s="185" t="s">
        <v>215</v>
      </c>
    </row>
    <row r="53344" spans="129:129" x14ac:dyDescent="0.2">
      <c r="DY53344" s="185" t="s">
        <v>215</v>
      </c>
    </row>
    <row r="53345" spans="129:129" x14ac:dyDescent="0.2">
      <c r="DY53345" s="185" t="s">
        <v>215</v>
      </c>
    </row>
    <row r="53346" spans="129:129" x14ac:dyDescent="0.2">
      <c r="DY53346" s="185" t="s">
        <v>215</v>
      </c>
    </row>
    <row r="53347" spans="129:129" x14ac:dyDescent="0.2">
      <c r="DY53347" s="185" t="s">
        <v>215</v>
      </c>
    </row>
    <row r="53348" spans="129:129" x14ac:dyDescent="0.2">
      <c r="DY53348" s="185" t="s">
        <v>215</v>
      </c>
    </row>
    <row r="53349" spans="129:129" x14ac:dyDescent="0.2">
      <c r="DY53349" s="185" t="s">
        <v>215</v>
      </c>
    </row>
    <row r="53350" spans="129:129" x14ac:dyDescent="0.2">
      <c r="DY53350" s="185" t="s">
        <v>215</v>
      </c>
    </row>
    <row r="53351" spans="129:129" x14ac:dyDescent="0.2">
      <c r="DY53351" s="185" t="s">
        <v>215</v>
      </c>
    </row>
    <row r="53352" spans="129:129" x14ac:dyDescent="0.2">
      <c r="DY53352" s="185" t="s">
        <v>215</v>
      </c>
    </row>
    <row r="53353" spans="129:129" x14ac:dyDescent="0.2">
      <c r="DY53353" s="185" t="s">
        <v>215</v>
      </c>
    </row>
    <row r="53354" spans="129:129" x14ac:dyDescent="0.2">
      <c r="DY53354" s="185" t="s">
        <v>215</v>
      </c>
    </row>
    <row r="53355" spans="129:129" x14ac:dyDescent="0.2">
      <c r="DY53355" s="185" t="s">
        <v>215</v>
      </c>
    </row>
    <row r="53356" spans="129:129" x14ac:dyDescent="0.2">
      <c r="DY53356" s="185" t="s">
        <v>215</v>
      </c>
    </row>
    <row r="53357" spans="129:129" x14ac:dyDescent="0.2">
      <c r="DY53357" s="185" t="s">
        <v>215</v>
      </c>
    </row>
    <row r="53358" spans="129:129" x14ac:dyDescent="0.2">
      <c r="DY53358" s="185" t="s">
        <v>215</v>
      </c>
    </row>
    <row r="53359" spans="129:129" x14ac:dyDescent="0.2">
      <c r="DY53359" s="185" t="s">
        <v>215</v>
      </c>
    </row>
    <row r="53360" spans="129:129" x14ac:dyDescent="0.2">
      <c r="DY53360" s="185" t="s">
        <v>215</v>
      </c>
    </row>
    <row r="53361" spans="129:129" x14ac:dyDescent="0.2">
      <c r="DY53361" s="185" t="s">
        <v>215</v>
      </c>
    </row>
    <row r="53362" spans="129:129" x14ac:dyDescent="0.2">
      <c r="DY53362" s="185" t="s">
        <v>215</v>
      </c>
    </row>
    <row r="53363" spans="129:129" x14ac:dyDescent="0.2">
      <c r="DY53363" s="185" t="s">
        <v>215</v>
      </c>
    </row>
    <row r="53364" spans="129:129" x14ac:dyDescent="0.2">
      <c r="DY53364" s="185" t="s">
        <v>215</v>
      </c>
    </row>
    <row r="53365" spans="129:129" x14ac:dyDescent="0.2">
      <c r="DY53365" s="185" t="s">
        <v>215</v>
      </c>
    </row>
    <row r="53366" spans="129:129" x14ac:dyDescent="0.2">
      <c r="DY53366" s="185" t="s">
        <v>215</v>
      </c>
    </row>
    <row r="53367" spans="129:129" x14ac:dyDescent="0.2">
      <c r="DY53367" s="185" t="s">
        <v>215</v>
      </c>
    </row>
    <row r="53368" spans="129:129" x14ac:dyDescent="0.2">
      <c r="DY53368" s="185" t="s">
        <v>215</v>
      </c>
    </row>
    <row r="53369" spans="129:129" x14ac:dyDescent="0.2">
      <c r="DY53369" s="185" t="s">
        <v>215</v>
      </c>
    </row>
    <row r="53370" spans="129:129" x14ac:dyDescent="0.2">
      <c r="DY53370" s="185" t="s">
        <v>215</v>
      </c>
    </row>
    <row r="53371" spans="129:129" x14ac:dyDescent="0.2">
      <c r="DY53371" s="185" t="s">
        <v>215</v>
      </c>
    </row>
    <row r="53372" spans="129:129" x14ac:dyDescent="0.2">
      <c r="DY53372" s="185" t="s">
        <v>215</v>
      </c>
    </row>
    <row r="53373" spans="129:129" x14ac:dyDescent="0.2">
      <c r="DY53373" s="185" t="s">
        <v>215</v>
      </c>
    </row>
    <row r="53374" spans="129:129" x14ac:dyDescent="0.2">
      <c r="DY53374" s="185" t="s">
        <v>215</v>
      </c>
    </row>
    <row r="53375" spans="129:129" x14ac:dyDescent="0.2">
      <c r="DY53375" s="185" t="s">
        <v>215</v>
      </c>
    </row>
    <row r="53376" spans="129:129" x14ac:dyDescent="0.2">
      <c r="DY53376" s="185" t="s">
        <v>215</v>
      </c>
    </row>
    <row r="53377" spans="129:129" x14ac:dyDescent="0.2">
      <c r="DY53377" s="185" t="s">
        <v>215</v>
      </c>
    </row>
    <row r="53378" spans="129:129" x14ac:dyDescent="0.2">
      <c r="DY53378" s="185" t="s">
        <v>215</v>
      </c>
    </row>
    <row r="53379" spans="129:129" x14ac:dyDescent="0.2">
      <c r="DY53379" s="185" t="s">
        <v>215</v>
      </c>
    </row>
    <row r="53380" spans="129:129" x14ac:dyDescent="0.2">
      <c r="DY53380" s="185" t="s">
        <v>215</v>
      </c>
    </row>
    <row r="53381" spans="129:129" x14ac:dyDescent="0.2">
      <c r="DY53381" s="185" t="s">
        <v>215</v>
      </c>
    </row>
    <row r="53382" spans="129:129" x14ac:dyDescent="0.2">
      <c r="DY53382" s="185" t="s">
        <v>215</v>
      </c>
    </row>
    <row r="53383" spans="129:129" x14ac:dyDescent="0.2">
      <c r="DY53383" s="185" t="s">
        <v>215</v>
      </c>
    </row>
    <row r="53384" spans="129:129" x14ac:dyDescent="0.2">
      <c r="DY53384" s="185" t="s">
        <v>215</v>
      </c>
    </row>
    <row r="53385" spans="129:129" x14ac:dyDescent="0.2">
      <c r="DY53385" s="185" t="s">
        <v>215</v>
      </c>
    </row>
    <row r="53386" spans="129:129" x14ac:dyDescent="0.2">
      <c r="DY53386" s="185" t="s">
        <v>215</v>
      </c>
    </row>
    <row r="53387" spans="129:129" x14ac:dyDescent="0.2">
      <c r="DY53387" s="185" t="s">
        <v>215</v>
      </c>
    </row>
    <row r="53388" spans="129:129" x14ac:dyDescent="0.2">
      <c r="DY53388" s="185" t="s">
        <v>215</v>
      </c>
    </row>
    <row r="53389" spans="129:129" x14ac:dyDescent="0.2">
      <c r="DY53389" s="185" t="s">
        <v>215</v>
      </c>
    </row>
    <row r="53390" spans="129:129" x14ac:dyDescent="0.2">
      <c r="DY53390" s="185" t="s">
        <v>215</v>
      </c>
    </row>
    <row r="53391" spans="129:129" x14ac:dyDescent="0.2">
      <c r="DY53391" s="185" t="s">
        <v>215</v>
      </c>
    </row>
    <row r="53392" spans="129:129" x14ac:dyDescent="0.2">
      <c r="DY53392" s="185" t="s">
        <v>215</v>
      </c>
    </row>
    <row r="53393" spans="129:129" x14ac:dyDescent="0.2">
      <c r="DY53393" s="185" t="s">
        <v>215</v>
      </c>
    </row>
    <row r="53394" spans="129:129" x14ac:dyDescent="0.2">
      <c r="DY53394" s="185" t="s">
        <v>215</v>
      </c>
    </row>
    <row r="53395" spans="129:129" x14ac:dyDescent="0.2">
      <c r="DY53395" s="185" t="s">
        <v>215</v>
      </c>
    </row>
    <row r="53396" spans="129:129" x14ac:dyDescent="0.2">
      <c r="DY53396" s="185" t="s">
        <v>215</v>
      </c>
    </row>
    <row r="53397" spans="129:129" x14ac:dyDescent="0.2">
      <c r="DY53397" s="185" t="s">
        <v>215</v>
      </c>
    </row>
    <row r="53398" spans="129:129" x14ac:dyDescent="0.2">
      <c r="DY53398" s="185" t="s">
        <v>215</v>
      </c>
    </row>
    <row r="53399" spans="129:129" x14ac:dyDescent="0.2">
      <c r="DY53399" s="185" t="s">
        <v>215</v>
      </c>
    </row>
    <row r="53400" spans="129:129" x14ac:dyDescent="0.2">
      <c r="DY53400" s="185" t="s">
        <v>215</v>
      </c>
    </row>
    <row r="53401" spans="129:129" x14ac:dyDescent="0.2">
      <c r="DY53401" s="185" t="s">
        <v>215</v>
      </c>
    </row>
    <row r="53402" spans="129:129" x14ac:dyDescent="0.2">
      <c r="DY53402" s="185" t="s">
        <v>215</v>
      </c>
    </row>
    <row r="53403" spans="129:129" x14ac:dyDescent="0.2">
      <c r="DY53403" s="185" t="s">
        <v>215</v>
      </c>
    </row>
    <row r="53404" spans="129:129" x14ac:dyDescent="0.2">
      <c r="DY53404" s="185" t="s">
        <v>215</v>
      </c>
    </row>
    <row r="53405" spans="129:129" x14ac:dyDescent="0.2">
      <c r="DY53405" s="185" t="s">
        <v>215</v>
      </c>
    </row>
    <row r="53406" spans="129:129" x14ac:dyDescent="0.2">
      <c r="DY53406" s="185" t="s">
        <v>215</v>
      </c>
    </row>
    <row r="53407" spans="129:129" x14ac:dyDescent="0.2">
      <c r="DY53407" s="185" t="s">
        <v>215</v>
      </c>
    </row>
    <row r="53408" spans="129:129" x14ac:dyDescent="0.2">
      <c r="DY53408" s="185" t="s">
        <v>215</v>
      </c>
    </row>
    <row r="53409" spans="129:129" x14ac:dyDescent="0.2">
      <c r="DY53409" s="185" t="s">
        <v>215</v>
      </c>
    </row>
    <row r="53410" spans="129:129" x14ac:dyDescent="0.2">
      <c r="DY53410" s="185" t="s">
        <v>215</v>
      </c>
    </row>
    <row r="53411" spans="129:129" x14ac:dyDescent="0.2">
      <c r="DY53411" s="185" t="s">
        <v>215</v>
      </c>
    </row>
    <row r="53412" spans="129:129" x14ac:dyDescent="0.2">
      <c r="DY53412" s="185" t="s">
        <v>215</v>
      </c>
    </row>
    <row r="53413" spans="129:129" x14ac:dyDescent="0.2">
      <c r="DY53413" s="185" t="s">
        <v>215</v>
      </c>
    </row>
    <row r="53414" spans="129:129" x14ac:dyDescent="0.2">
      <c r="DY53414" s="185" t="s">
        <v>215</v>
      </c>
    </row>
    <row r="53415" spans="129:129" x14ac:dyDescent="0.2">
      <c r="DY53415" s="185" t="s">
        <v>215</v>
      </c>
    </row>
    <row r="53416" spans="129:129" x14ac:dyDescent="0.2">
      <c r="DY53416" s="185" t="s">
        <v>215</v>
      </c>
    </row>
    <row r="53417" spans="129:129" x14ac:dyDescent="0.2">
      <c r="DY53417" s="185" t="s">
        <v>215</v>
      </c>
    </row>
    <row r="53418" spans="129:129" x14ac:dyDescent="0.2">
      <c r="DY53418" s="185" t="s">
        <v>215</v>
      </c>
    </row>
    <row r="53419" spans="129:129" x14ac:dyDescent="0.2">
      <c r="DY53419" s="185" t="s">
        <v>215</v>
      </c>
    </row>
    <row r="53420" spans="129:129" x14ac:dyDescent="0.2">
      <c r="DY53420" s="185" t="s">
        <v>215</v>
      </c>
    </row>
    <row r="53421" spans="129:129" x14ac:dyDescent="0.2">
      <c r="DY53421" s="185" t="s">
        <v>215</v>
      </c>
    </row>
    <row r="53422" spans="129:129" x14ac:dyDescent="0.2">
      <c r="DY53422" s="185" t="s">
        <v>215</v>
      </c>
    </row>
    <row r="53423" spans="129:129" x14ac:dyDescent="0.2">
      <c r="DY53423" s="185" t="s">
        <v>215</v>
      </c>
    </row>
    <row r="53424" spans="129:129" x14ac:dyDescent="0.2">
      <c r="DY53424" s="185" t="s">
        <v>215</v>
      </c>
    </row>
    <row r="53425" spans="129:129" x14ac:dyDescent="0.2">
      <c r="DY53425" s="185" t="s">
        <v>215</v>
      </c>
    </row>
    <row r="53426" spans="129:129" x14ac:dyDescent="0.2">
      <c r="DY53426" s="185" t="s">
        <v>215</v>
      </c>
    </row>
    <row r="53427" spans="129:129" x14ac:dyDescent="0.2">
      <c r="DY53427" s="185" t="s">
        <v>215</v>
      </c>
    </row>
    <row r="53428" spans="129:129" x14ac:dyDescent="0.2">
      <c r="DY53428" s="185" t="s">
        <v>215</v>
      </c>
    </row>
    <row r="53429" spans="129:129" x14ac:dyDescent="0.2">
      <c r="DY53429" s="185" t="s">
        <v>215</v>
      </c>
    </row>
    <row r="53430" spans="129:129" x14ac:dyDescent="0.2">
      <c r="DY53430" s="185" t="s">
        <v>215</v>
      </c>
    </row>
    <row r="53431" spans="129:129" x14ac:dyDescent="0.2">
      <c r="DY53431" s="185" t="s">
        <v>215</v>
      </c>
    </row>
    <row r="53432" spans="129:129" x14ac:dyDescent="0.2">
      <c r="DY53432" s="185" t="s">
        <v>215</v>
      </c>
    </row>
    <row r="53433" spans="129:129" x14ac:dyDescent="0.2">
      <c r="DY53433" s="185" t="s">
        <v>215</v>
      </c>
    </row>
    <row r="53434" spans="129:129" x14ac:dyDescent="0.2">
      <c r="DY53434" s="185" t="s">
        <v>215</v>
      </c>
    </row>
    <row r="53435" spans="129:129" x14ac:dyDescent="0.2">
      <c r="DY53435" s="185" t="s">
        <v>215</v>
      </c>
    </row>
    <row r="53436" spans="129:129" x14ac:dyDescent="0.2">
      <c r="DY53436" s="185" t="s">
        <v>215</v>
      </c>
    </row>
    <row r="53437" spans="129:129" x14ac:dyDescent="0.2">
      <c r="DY53437" s="185" t="s">
        <v>215</v>
      </c>
    </row>
    <row r="53438" spans="129:129" x14ac:dyDescent="0.2">
      <c r="DY53438" s="185" t="s">
        <v>215</v>
      </c>
    </row>
    <row r="53439" spans="129:129" x14ac:dyDescent="0.2">
      <c r="DY53439" s="185" t="s">
        <v>215</v>
      </c>
    </row>
    <row r="53440" spans="129:129" x14ac:dyDescent="0.2">
      <c r="DY53440" s="185" t="s">
        <v>215</v>
      </c>
    </row>
    <row r="53441" spans="129:129" x14ac:dyDescent="0.2">
      <c r="DY53441" s="185" t="s">
        <v>215</v>
      </c>
    </row>
    <row r="53442" spans="129:129" x14ac:dyDescent="0.2">
      <c r="DY53442" s="185" t="s">
        <v>215</v>
      </c>
    </row>
    <row r="53443" spans="129:129" x14ac:dyDescent="0.2">
      <c r="DY53443" s="185" t="s">
        <v>215</v>
      </c>
    </row>
    <row r="53444" spans="129:129" x14ac:dyDescent="0.2">
      <c r="DY53444" s="185" t="s">
        <v>215</v>
      </c>
    </row>
    <row r="53445" spans="129:129" x14ac:dyDescent="0.2">
      <c r="DY53445" s="185" t="s">
        <v>215</v>
      </c>
    </row>
    <row r="53446" spans="129:129" x14ac:dyDescent="0.2">
      <c r="DY53446" s="185" t="s">
        <v>215</v>
      </c>
    </row>
    <row r="53447" spans="129:129" x14ac:dyDescent="0.2">
      <c r="DY53447" s="185" t="s">
        <v>215</v>
      </c>
    </row>
    <row r="53448" spans="129:129" x14ac:dyDescent="0.2">
      <c r="DY53448" s="185" t="s">
        <v>215</v>
      </c>
    </row>
    <row r="53449" spans="129:129" x14ac:dyDescent="0.2">
      <c r="DY53449" s="185" t="s">
        <v>215</v>
      </c>
    </row>
    <row r="53450" spans="129:129" x14ac:dyDescent="0.2">
      <c r="DY53450" s="185" t="s">
        <v>215</v>
      </c>
    </row>
    <row r="53451" spans="129:129" x14ac:dyDescent="0.2">
      <c r="DY53451" s="185" t="s">
        <v>215</v>
      </c>
    </row>
    <row r="53452" spans="129:129" x14ac:dyDescent="0.2">
      <c r="DY53452" s="185" t="s">
        <v>215</v>
      </c>
    </row>
    <row r="53453" spans="129:129" x14ac:dyDescent="0.2">
      <c r="DY53453" s="185" t="s">
        <v>215</v>
      </c>
    </row>
    <row r="53454" spans="129:129" x14ac:dyDescent="0.2">
      <c r="DY53454" s="185" t="s">
        <v>215</v>
      </c>
    </row>
    <row r="53455" spans="129:129" x14ac:dyDescent="0.2">
      <c r="DY53455" s="185" t="s">
        <v>215</v>
      </c>
    </row>
    <row r="53456" spans="129:129" x14ac:dyDescent="0.2">
      <c r="DY53456" s="185" t="s">
        <v>215</v>
      </c>
    </row>
    <row r="53457" spans="129:129" x14ac:dyDescent="0.2">
      <c r="DY53457" s="185" t="s">
        <v>215</v>
      </c>
    </row>
    <row r="53458" spans="129:129" x14ac:dyDescent="0.2">
      <c r="DY53458" s="185" t="s">
        <v>215</v>
      </c>
    </row>
    <row r="53459" spans="129:129" x14ac:dyDescent="0.2">
      <c r="DY53459" s="185" t="s">
        <v>215</v>
      </c>
    </row>
    <row r="53460" spans="129:129" x14ac:dyDescent="0.2">
      <c r="DY53460" s="185" t="s">
        <v>215</v>
      </c>
    </row>
    <row r="53461" spans="129:129" x14ac:dyDescent="0.2">
      <c r="DY53461" s="185" t="s">
        <v>215</v>
      </c>
    </row>
    <row r="53462" spans="129:129" x14ac:dyDescent="0.2">
      <c r="DY53462" s="185" t="s">
        <v>215</v>
      </c>
    </row>
    <row r="53463" spans="129:129" x14ac:dyDescent="0.2">
      <c r="DY53463" s="185" t="s">
        <v>215</v>
      </c>
    </row>
    <row r="53464" spans="129:129" x14ac:dyDescent="0.2">
      <c r="DY53464" s="185" t="s">
        <v>215</v>
      </c>
    </row>
    <row r="53465" spans="129:129" x14ac:dyDescent="0.2">
      <c r="DY53465" s="185" t="s">
        <v>215</v>
      </c>
    </row>
    <row r="53466" spans="129:129" x14ac:dyDescent="0.2">
      <c r="DY53466" s="185" t="s">
        <v>215</v>
      </c>
    </row>
    <row r="53467" spans="129:129" x14ac:dyDescent="0.2">
      <c r="DY53467" s="185" t="s">
        <v>215</v>
      </c>
    </row>
    <row r="53468" spans="129:129" x14ac:dyDescent="0.2">
      <c r="DY53468" s="185" t="s">
        <v>215</v>
      </c>
    </row>
    <row r="53469" spans="129:129" x14ac:dyDescent="0.2">
      <c r="DY53469" s="185" t="s">
        <v>215</v>
      </c>
    </row>
    <row r="53470" spans="129:129" x14ac:dyDescent="0.2">
      <c r="DY53470" s="185" t="s">
        <v>215</v>
      </c>
    </row>
    <row r="53471" spans="129:129" x14ac:dyDescent="0.2">
      <c r="DY53471" s="185" t="s">
        <v>215</v>
      </c>
    </row>
    <row r="53472" spans="129:129" x14ac:dyDescent="0.2">
      <c r="DY53472" s="185" t="s">
        <v>215</v>
      </c>
    </row>
    <row r="53473" spans="129:129" x14ac:dyDescent="0.2">
      <c r="DY53473" s="185" t="s">
        <v>215</v>
      </c>
    </row>
    <row r="53474" spans="129:129" x14ac:dyDescent="0.2">
      <c r="DY53474" s="185" t="s">
        <v>215</v>
      </c>
    </row>
    <row r="53475" spans="129:129" x14ac:dyDescent="0.2">
      <c r="DY53475" s="185" t="s">
        <v>215</v>
      </c>
    </row>
    <row r="53476" spans="129:129" x14ac:dyDescent="0.2">
      <c r="DY53476" s="185" t="s">
        <v>215</v>
      </c>
    </row>
    <row r="53477" spans="129:129" x14ac:dyDescent="0.2">
      <c r="DY53477" s="185" t="s">
        <v>215</v>
      </c>
    </row>
    <row r="53478" spans="129:129" x14ac:dyDescent="0.2">
      <c r="DY53478" s="185" t="s">
        <v>215</v>
      </c>
    </row>
    <row r="53479" spans="129:129" x14ac:dyDescent="0.2">
      <c r="DY53479" s="185" t="s">
        <v>215</v>
      </c>
    </row>
    <row r="53480" spans="129:129" x14ac:dyDescent="0.2">
      <c r="DY53480" s="185" t="s">
        <v>215</v>
      </c>
    </row>
    <row r="53481" spans="129:129" x14ac:dyDescent="0.2">
      <c r="DY53481" s="185" t="s">
        <v>215</v>
      </c>
    </row>
    <row r="53482" spans="129:129" x14ac:dyDescent="0.2">
      <c r="DY53482" s="185" t="s">
        <v>215</v>
      </c>
    </row>
    <row r="53483" spans="129:129" x14ac:dyDescent="0.2">
      <c r="DY53483" s="185" t="s">
        <v>215</v>
      </c>
    </row>
    <row r="53484" spans="129:129" x14ac:dyDescent="0.2">
      <c r="DY53484" s="185" t="s">
        <v>215</v>
      </c>
    </row>
    <row r="53485" spans="129:129" x14ac:dyDescent="0.2">
      <c r="DY53485" s="185" t="s">
        <v>215</v>
      </c>
    </row>
    <row r="53486" spans="129:129" x14ac:dyDescent="0.2">
      <c r="DY53486" s="185" t="s">
        <v>215</v>
      </c>
    </row>
    <row r="53487" spans="129:129" x14ac:dyDescent="0.2">
      <c r="DY53487" s="185" t="s">
        <v>215</v>
      </c>
    </row>
    <row r="53488" spans="129:129" x14ac:dyDescent="0.2">
      <c r="DY53488" s="185" t="s">
        <v>215</v>
      </c>
    </row>
    <row r="53489" spans="129:129" x14ac:dyDescent="0.2">
      <c r="DY53489" s="185" t="s">
        <v>215</v>
      </c>
    </row>
    <row r="53490" spans="129:129" x14ac:dyDescent="0.2">
      <c r="DY53490" s="185" t="s">
        <v>215</v>
      </c>
    </row>
    <row r="53491" spans="129:129" x14ac:dyDescent="0.2">
      <c r="DY53491" s="185" t="s">
        <v>215</v>
      </c>
    </row>
    <row r="53492" spans="129:129" x14ac:dyDescent="0.2">
      <c r="DY53492" s="185" t="s">
        <v>215</v>
      </c>
    </row>
    <row r="53493" spans="129:129" x14ac:dyDescent="0.2">
      <c r="DY53493" s="185" t="s">
        <v>215</v>
      </c>
    </row>
    <row r="53494" spans="129:129" x14ac:dyDescent="0.2">
      <c r="DY53494" s="185" t="s">
        <v>215</v>
      </c>
    </row>
    <row r="53495" spans="129:129" x14ac:dyDescent="0.2">
      <c r="DY53495" s="185" t="s">
        <v>215</v>
      </c>
    </row>
    <row r="53496" spans="129:129" x14ac:dyDescent="0.2">
      <c r="DY53496" s="185" t="s">
        <v>215</v>
      </c>
    </row>
    <row r="53497" spans="129:129" x14ac:dyDescent="0.2">
      <c r="DY53497" s="185" t="s">
        <v>215</v>
      </c>
    </row>
    <row r="53498" spans="129:129" x14ac:dyDescent="0.2">
      <c r="DY53498" s="185" t="s">
        <v>215</v>
      </c>
    </row>
    <row r="53499" spans="129:129" x14ac:dyDescent="0.2">
      <c r="DY53499" s="185" t="s">
        <v>215</v>
      </c>
    </row>
    <row r="53500" spans="129:129" x14ac:dyDescent="0.2">
      <c r="DY53500" s="185" t="s">
        <v>215</v>
      </c>
    </row>
    <row r="53501" spans="129:129" x14ac:dyDescent="0.2">
      <c r="DY53501" s="185" t="s">
        <v>215</v>
      </c>
    </row>
    <row r="53502" spans="129:129" x14ac:dyDescent="0.2">
      <c r="DY53502" s="185" t="s">
        <v>215</v>
      </c>
    </row>
    <row r="53503" spans="129:129" x14ac:dyDescent="0.2">
      <c r="DY53503" s="185" t="s">
        <v>215</v>
      </c>
    </row>
    <row r="53504" spans="129:129" x14ac:dyDescent="0.2">
      <c r="DY53504" s="185" t="s">
        <v>215</v>
      </c>
    </row>
    <row r="53505" spans="129:129" x14ac:dyDescent="0.2">
      <c r="DY53505" s="185" t="s">
        <v>215</v>
      </c>
    </row>
    <row r="53506" spans="129:129" x14ac:dyDescent="0.2">
      <c r="DY53506" s="185" t="s">
        <v>215</v>
      </c>
    </row>
    <row r="53507" spans="129:129" x14ac:dyDescent="0.2">
      <c r="DY53507" s="185" t="s">
        <v>215</v>
      </c>
    </row>
    <row r="53508" spans="129:129" x14ac:dyDescent="0.2">
      <c r="DY53508" s="185" t="s">
        <v>215</v>
      </c>
    </row>
    <row r="53509" spans="129:129" x14ac:dyDescent="0.2">
      <c r="DY53509" s="185" t="s">
        <v>215</v>
      </c>
    </row>
    <row r="53510" spans="129:129" x14ac:dyDescent="0.2">
      <c r="DY53510" s="185" t="s">
        <v>215</v>
      </c>
    </row>
    <row r="53511" spans="129:129" x14ac:dyDescent="0.2">
      <c r="DY53511" s="185" t="s">
        <v>215</v>
      </c>
    </row>
    <row r="53512" spans="129:129" x14ac:dyDescent="0.2">
      <c r="DY53512" s="185" t="s">
        <v>215</v>
      </c>
    </row>
    <row r="53513" spans="129:129" x14ac:dyDescent="0.2">
      <c r="DY53513" s="185" t="s">
        <v>215</v>
      </c>
    </row>
    <row r="53514" spans="129:129" x14ac:dyDescent="0.2">
      <c r="DY53514" s="185" t="s">
        <v>215</v>
      </c>
    </row>
    <row r="53515" spans="129:129" x14ac:dyDescent="0.2">
      <c r="DY53515" s="185" t="s">
        <v>215</v>
      </c>
    </row>
    <row r="53516" spans="129:129" x14ac:dyDescent="0.2">
      <c r="DY53516" s="185" t="s">
        <v>215</v>
      </c>
    </row>
    <row r="53517" spans="129:129" x14ac:dyDescent="0.2">
      <c r="DY53517" s="185" t="s">
        <v>215</v>
      </c>
    </row>
    <row r="53518" spans="129:129" x14ac:dyDescent="0.2">
      <c r="DY53518" s="185" t="s">
        <v>215</v>
      </c>
    </row>
    <row r="53519" spans="129:129" x14ac:dyDescent="0.2">
      <c r="DY53519" s="185" t="s">
        <v>215</v>
      </c>
    </row>
    <row r="53520" spans="129:129" x14ac:dyDescent="0.2">
      <c r="DY53520" s="185" t="s">
        <v>215</v>
      </c>
    </row>
    <row r="53521" spans="129:129" x14ac:dyDescent="0.2">
      <c r="DY53521" s="185" t="s">
        <v>215</v>
      </c>
    </row>
    <row r="53522" spans="129:129" x14ac:dyDescent="0.2">
      <c r="DY53522" s="185" t="s">
        <v>215</v>
      </c>
    </row>
    <row r="53523" spans="129:129" x14ac:dyDescent="0.2">
      <c r="DY53523" s="185" t="s">
        <v>215</v>
      </c>
    </row>
    <row r="53524" spans="129:129" x14ac:dyDescent="0.2">
      <c r="DY53524" s="185" t="s">
        <v>215</v>
      </c>
    </row>
    <row r="53525" spans="129:129" x14ac:dyDescent="0.2">
      <c r="DY53525" s="185" t="s">
        <v>215</v>
      </c>
    </row>
    <row r="53526" spans="129:129" x14ac:dyDescent="0.2">
      <c r="DY53526" s="185" t="s">
        <v>215</v>
      </c>
    </row>
    <row r="53527" spans="129:129" x14ac:dyDescent="0.2">
      <c r="DY53527" s="185" t="s">
        <v>215</v>
      </c>
    </row>
    <row r="53528" spans="129:129" x14ac:dyDescent="0.2">
      <c r="DY53528" s="185" t="s">
        <v>215</v>
      </c>
    </row>
    <row r="53529" spans="129:129" x14ac:dyDescent="0.2">
      <c r="DY53529" s="185" t="s">
        <v>215</v>
      </c>
    </row>
    <row r="53530" spans="129:129" x14ac:dyDescent="0.2">
      <c r="DY53530" s="185" t="s">
        <v>215</v>
      </c>
    </row>
    <row r="53531" spans="129:129" x14ac:dyDescent="0.2">
      <c r="DY53531" s="185" t="s">
        <v>215</v>
      </c>
    </row>
    <row r="53532" spans="129:129" x14ac:dyDescent="0.2">
      <c r="DY53532" s="185" t="s">
        <v>215</v>
      </c>
    </row>
    <row r="53533" spans="129:129" x14ac:dyDescent="0.2">
      <c r="DY53533" s="185" t="s">
        <v>215</v>
      </c>
    </row>
    <row r="53534" spans="129:129" x14ac:dyDescent="0.2">
      <c r="DY53534" s="185" t="s">
        <v>215</v>
      </c>
    </row>
    <row r="53535" spans="129:129" x14ac:dyDescent="0.2">
      <c r="DY53535" s="185" t="s">
        <v>215</v>
      </c>
    </row>
    <row r="53536" spans="129:129" x14ac:dyDescent="0.2">
      <c r="DY53536" s="185" t="s">
        <v>215</v>
      </c>
    </row>
    <row r="53537" spans="129:129" x14ac:dyDescent="0.2">
      <c r="DY53537" s="185" t="s">
        <v>215</v>
      </c>
    </row>
    <row r="53538" spans="129:129" x14ac:dyDescent="0.2">
      <c r="DY53538" s="185" t="s">
        <v>215</v>
      </c>
    </row>
    <row r="53539" spans="129:129" x14ac:dyDescent="0.2">
      <c r="DY53539" s="185" t="s">
        <v>215</v>
      </c>
    </row>
    <row r="53540" spans="129:129" x14ac:dyDescent="0.2">
      <c r="DY53540" s="185" t="s">
        <v>215</v>
      </c>
    </row>
    <row r="53541" spans="129:129" x14ac:dyDescent="0.2">
      <c r="DY53541" s="185" t="s">
        <v>215</v>
      </c>
    </row>
    <row r="53542" spans="129:129" x14ac:dyDescent="0.2">
      <c r="DY53542" s="185" t="s">
        <v>215</v>
      </c>
    </row>
    <row r="53543" spans="129:129" x14ac:dyDescent="0.2">
      <c r="DY53543" s="185" t="s">
        <v>215</v>
      </c>
    </row>
    <row r="53544" spans="129:129" x14ac:dyDescent="0.2">
      <c r="DY53544" s="185" t="s">
        <v>215</v>
      </c>
    </row>
    <row r="53545" spans="129:129" x14ac:dyDescent="0.2">
      <c r="DY53545" s="185" t="s">
        <v>215</v>
      </c>
    </row>
    <row r="53546" spans="129:129" x14ac:dyDescent="0.2">
      <c r="DY53546" s="185" t="s">
        <v>215</v>
      </c>
    </row>
    <row r="53547" spans="129:129" x14ac:dyDescent="0.2">
      <c r="DY53547" s="185" t="s">
        <v>215</v>
      </c>
    </row>
    <row r="53548" spans="129:129" x14ac:dyDescent="0.2">
      <c r="DY53548" s="185" t="s">
        <v>215</v>
      </c>
    </row>
    <row r="53549" spans="129:129" x14ac:dyDescent="0.2">
      <c r="DY53549" s="185" t="s">
        <v>215</v>
      </c>
    </row>
    <row r="53550" spans="129:129" x14ac:dyDescent="0.2">
      <c r="DY53550" s="185" t="s">
        <v>215</v>
      </c>
    </row>
    <row r="53551" spans="129:129" x14ac:dyDescent="0.2">
      <c r="DY53551" s="185" t="s">
        <v>215</v>
      </c>
    </row>
    <row r="53552" spans="129:129" x14ac:dyDescent="0.2">
      <c r="DY53552" s="185" t="s">
        <v>215</v>
      </c>
    </row>
    <row r="53553" spans="129:129" x14ac:dyDescent="0.2">
      <c r="DY53553" s="185" t="s">
        <v>215</v>
      </c>
    </row>
    <row r="53554" spans="129:129" x14ac:dyDescent="0.2">
      <c r="DY53554" s="185" t="s">
        <v>215</v>
      </c>
    </row>
    <row r="53555" spans="129:129" x14ac:dyDescent="0.2">
      <c r="DY53555" s="185" t="s">
        <v>215</v>
      </c>
    </row>
    <row r="53556" spans="129:129" x14ac:dyDescent="0.2">
      <c r="DY53556" s="185" t="s">
        <v>215</v>
      </c>
    </row>
    <row r="53557" spans="129:129" x14ac:dyDescent="0.2">
      <c r="DY53557" s="185" t="s">
        <v>215</v>
      </c>
    </row>
    <row r="53558" spans="129:129" x14ac:dyDescent="0.2">
      <c r="DY53558" s="185" t="s">
        <v>215</v>
      </c>
    </row>
    <row r="53559" spans="129:129" x14ac:dyDescent="0.2">
      <c r="DY53559" s="185" t="s">
        <v>215</v>
      </c>
    </row>
    <row r="53560" spans="129:129" x14ac:dyDescent="0.2">
      <c r="DY53560" s="185" t="s">
        <v>215</v>
      </c>
    </row>
    <row r="53561" spans="129:129" x14ac:dyDescent="0.2">
      <c r="DY53561" s="185" t="s">
        <v>215</v>
      </c>
    </row>
    <row r="53562" spans="129:129" x14ac:dyDescent="0.2">
      <c r="DY53562" s="185" t="s">
        <v>215</v>
      </c>
    </row>
    <row r="53563" spans="129:129" x14ac:dyDescent="0.2">
      <c r="DY53563" s="185" t="s">
        <v>215</v>
      </c>
    </row>
    <row r="53564" spans="129:129" x14ac:dyDescent="0.2">
      <c r="DY53564" s="185" t="s">
        <v>215</v>
      </c>
    </row>
    <row r="53565" spans="129:129" x14ac:dyDescent="0.2">
      <c r="DY53565" s="185" t="s">
        <v>215</v>
      </c>
    </row>
    <row r="53566" spans="129:129" x14ac:dyDescent="0.2">
      <c r="DY53566" s="185" t="s">
        <v>215</v>
      </c>
    </row>
    <row r="53567" spans="129:129" x14ac:dyDescent="0.2">
      <c r="DY53567" s="185" t="s">
        <v>215</v>
      </c>
    </row>
    <row r="53568" spans="129:129" x14ac:dyDescent="0.2">
      <c r="DY53568" s="185" t="s">
        <v>215</v>
      </c>
    </row>
    <row r="53569" spans="129:129" x14ac:dyDescent="0.2">
      <c r="DY53569" s="185" t="s">
        <v>215</v>
      </c>
    </row>
    <row r="53570" spans="129:129" x14ac:dyDescent="0.2">
      <c r="DY53570" s="185" t="s">
        <v>215</v>
      </c>
    </row>
    <row r="53571" spans="129:129" x14ac:dyDescent="0.2">
      <c r="DY53571" s="185" t="s">
        <v>215</v>
      </c>
    </row>
    <row r="53572" spans="129:129" x14ac:dyDescent="0.2">
      <c r="DY53572" s="185" t="s">
        <v>215</v>
      </c>
    </row>
    <row r="53573" spans="129:129" x14ac:dyDescent="0.2">
      <c r="DY53573" s="185" t="s">
        <v>215</v>
      </c>
    </row>
    <row r="53574" spans="129:129" x14ac:dyDescent="0.2">
      <c r="DY53574" s="185" t="s">
        <v>215</v>
      </c>
    </row>
    <row r="53575" spans="129:129" x14ac:dyDescent="0.2">
      <c r="DY53575" s="185" t="s">
        <v>215</v>
      </c>
    </row>
    <row r="53576" spans="129:129" x14ac:dyDescent="0.2">
      <c r="DY53576" s="185" t="s">
        <v>215</v>
      </c>
    </row>
    <row r="53577" spans="129:129" x14ac:dyDescent="0.2">
      <c r="DY53577" s="185" t="s">
        <v>215</v>
      </c>
    </row>
    <row r="53578" spans="129:129" x14ac:dyDescent="0.2">
      <c r="DY53578" s="185" t="s">
        <v>215</v>
      </c>
    </row>
    <row r="53579" spans="129:129" x14ac:dyDescent="0.2">
      <c r="DY53579" s="185" t="s">
        <v>215</v>
      </c>
    </row>
    <row r="53580" spans="129:129" x14ac:dyDescent="0.2">
      <c r="DY53580" s="185" t="s">
        <v>215</v>
      </c>
    </row>
    <row r="53581" spans="129:129" x14ac:dyDescent="0.2">
      <c r="DY53581" s="185" t="s">
        <v>215</v>
      </c>
    </row>
    <row r="53582" spans="129:129" x14ac:dyDescent="0.2">
      <c r="DY53582" s="185" t="s">
        <v>215</v>
      </c>
    </row>
    <row r="53583" spans="129:129" x14ac:dyDescent="0.2">
      <c r="DY53583" s="185" t="s">
        <v>215</v>
      </c>
    </row>
    <row r="53584" spans="129:129" x14ac:dyDescent="0.2">
      <c r="DY53584" s="185" t="s">
        <v>215</v>
      </c>
    </row>
    <row r="53585" spans="129:129" x14ac:dyDescent="0.2">
      <c r="DY53585" s="185" t="s">
        <v>215</v>
      </c>
    </row>
    <row r="53586" spans="129:129" x14ac:dyDescent="0.2">
      <c r="DY53586" s="185" t="s">
        <v>215</v>
      </c>
    </row>
    <row r="53587" spans="129:129" x14ac:dyDescent="0.2">
      <c r="DY53587" s="185" t="s">
        <v>215</v>
      </c>
    </row>
    <row r="53588" spans="129:129" x14ac:dyDescent="0.2">
      <c r="DY53588" s="185" t="s">
        <v>215</v>
      </c>
    </row>
    <row r="53589" spans="129:129" x14ac:dyDescent="0.2">
      <c r="DY53589" s="185" t="s">
        <v>215</v>
      </c>
    </row>
    <row r="53590" spans="129:129" x14ac:dyDescent="0.2">
      <c r="DY53590" s="185" t="s">
        <v>215</v>
      </c>
    </row>
    <row r="53591" spans="129:129" x14ac:dyDescent="0.2">
      <c r="DY53591" s="185" t="s">
        <v>215</v>
      </c>
    </row>
    <row r="53592" spans="129:129" x14ac:dyDescent="0.2">
      <c r="DY53592" s="185" t="s">
        <v>215</v>
      </c>
    </row>
    <row r="53593" spans="129:129" x14ac:dyDescent="0.2">
      <c r="DY53593" s="185" t="s">
        <v>215</v>
      </c>
    </row>
    <row r="53594" spans="129:129" x14ac:dyDescent="0.2">
      <c r="DY53594" s="185" t="s">
        <v>215</v>
      </c>
    </row>
    <row r="53595" spans="129:129" x14ac:dyDescent="0.2">
      <c r="DY53595" s="185" t="s">
        <v>215</v>
      </c>
    </row>
    <row r="53596" spans="129:129" x14ac:dyDescent="0.2">
      <c r="DY53596" s="185" t="s">
        <v>215</v>
      </c>
    </row>
    <row r="53597" spans="129:129" x14ac:dyDescent="0.2">
      <c r="DY53597" s="185" t="s">
        <v>215</v>
      </c>
    </row>
    <row r="53598" spans="129:129" x14ac:dyDescent="0.2">
      <c r="DY53598" s="185" t="s">
        <v>215</v>
      </c>
    </row>
    <row r="53599" spans="129:129" x14ac:dyDescent="0.2">
      <c r="DY53599" s="185" t="s">
        <v>215</v>
      </c>
    </row>
    <row r="53600" spans="129:129" x14ac:dyDescent="0.2">
      <c r="DY53600" s="185" t="s">
        <v>215</v>
      </c>
    </row>
    <row r="53601" spans="129:129" x14ac:dyDescent="0.2">
      <c r="DY53601" s="185" t="s">
        <v>215</v>
      </c>
    </row>
    <row r="53602" spans="129:129" x14ac:dyDescent="0.2">
      <c r="DY53602" s="185" t="s">
        <v>215</v>
      </c>
    </row>
    <row r="53603" spans="129:129" x14ac:dyDescent="0.2">
      <c r="DY53603" s="185" t="s">
        <v>215</v>
      </c>
    </row>
    <row r="53604" spans="129:129" x14ac:dyDescent="0.2">
      <c r="DY53604" s="185" t="s">
        <v>215</v>
      </c>
    </row>
    <row r="53605" spans="129:129" x14ac:dyDescent="0.2">
      <c r="DY53605" s="185" t="s">
        <v>215</v>
      </c>
    </row>
    <row r="53606" spans="129:129" x14ac:dyDescent="0.2">
      <c r="DY53606" s="185" t="s">
        <v>215</v>
      </c>
    </row>
    <row r="53607" spans="129:129" x14ac:dyDescent="0.2">
      <c r="DY53607" s="185" t="s">
        <v>215</v>
      </c>
    </row>
    <row r="53608" spans="129:129" x14ac:dyDescent="0.2">
      <c r="DY53608" s="185" t="s">
        <v>215</v>
      </c>
    </row>
    <row r="53609" spans="129:129" x14ac:dyDescent="0.2">
      <c r="DY53609" s="185" t="s">
        <v>215</v>
      </c>
    </row>
    <row r="53610" spans="129:129" x14ac:dyDescent="0.2">
      <c r="DY53610" s="185" t="s">
        <v>215</v>
      </c>
    </row>
    <row r="53611" spans="129:129" x14ac:dyDescent="0.2">
      <c r="DY53611" s="185" t="s">
        <v>215</v>
      </c>
    </row>
    <row r="53612" spans="129:129" x14ac:dyDescent="0.2">
      <c r="DY53612" s="185" t="s">
        <v>215</v>
      </c>
    </row>
    <row r="53613" spans="129:129" x14ac:dyDescent="0.2">
      <c r="DY53613" s="185" t="s">
        <v>215</v>
      </c>
    </row>
    <row r="53614" spans="129:129" x14ac:dyDescent="0.2">
      <c r="DY53614" s="185" t="s">
        <v>215</v>
      </c>
    </row>
    <row r="53615" spans="129:129" x14ac:dyDescent="0.2">
      <c r="DY53615" s="185" t="s">
        <v>215</v>
      </c>
    </row>
    <row r="53616" spans="129:129" x14ac:dyDescent="0.2">
      <c r="DY53616" s="185" t="s">
        <v>215</v>
      </c>
    </row>
    <row r="53617" spans="129:129" x14ac:dyDescent="0.2">
      <c r="DY53617" s="185" t="s">
        <v>215</v>
      </c>
    </row>
    <row r="53618" spans="129:129" x14ac:dyDescent="0.2">
      <c r="DY53618" s="185" t="s">
        <v>215</v>
      </c>
    </row>
    <row r="53619" spans="129:129" x14ac:dyDescent="0.2">
      <c r="DY53619" s="185" t="s">
        <v>215</v>
      </c>
    </row>
    <row r="53620" spans="129:129" x14ac:dyDescent="0.2">
      <c r="DY53620" s="185" t="s">
        <v>215</v>
      </c>
    </row>
    <row r="53621" spans="129:129" x14ac:dyDescent="0.2">
      <c r="DY53621" s="185" t="s">
        <v>215</v>
      </c>
    </row>
    <row r="53622" spans="129:129" x14ac:dyDescent="0.2">
      <c r="DY53622" s="185" t="s">
        <v>215</v>
      </c>
    </row>
    <row r="53623" spans="129:129" x14ac:dyDescent="0.2">
      <c r="DY53623" s="185" t="s">
        <v>215</v>
      </c>
    </row>
    <row r="53624" spans="129:129" x14ac:dyDescent="0.2">
      <c r="DY53624" s="185" t="s">
        <v>215</v>
      </c>
    </row>
    <row r="53625" spans="129:129" x14ac:dyDescent="0.2">
      <c r="DY53625" s="185" t="s">
        <v>215</v>
      </c>
    </row>
    <row r="53626" spans="129:129" x14ac:dyDescent="0.2">
      <c r="DY53626" s="185" t="s">
        <v>215</v>
      </c>
    </row>
    <row r="53627" spans="129:129" x14ac:dyDescent="0.2">
      <c r="DY53627" s="185" t="s">
        <v>215</v>
      </c>
    </row>
    <row r="53628" spans="129:129" x14ac:dyDescent="0.2">
      <c r="DY53628" s="185" t="s">
        <v>215</v>
      </c>
    </row>
    <row r="53629" spans="129:129" x14ac:dyDescent="0.2">
      <c r="DY53629" s="185" t="s">
        <v>215</v>
      </c>
    </row>
    <row r="53630" spans="129:129" x14ac:dyDescent="0.2">
      <c r="DY53630" s="185" t="s">
        <v>215</v>
      </c>
    </row>
    <row r="53631" spans="129:129" x14ac:dyDescent="0.2">
      <c r="DY53631" s="185" t="s">
        <v>215</v>
      </c>
    </row>
    <row r="53632" spans="129:129" x14ac:dyDescent="0.2">
      <c r="DY53632" s="185" t="s">
        <v>215</v>
      </c>
    </row>
    <row r="53633" spans="129:129" x14ac:dyDescent="0.2">
      <c r="DY53633" s="185" t="s">
        <v>215</v>
      </c>
    </row>
    <row r="53634" spans="129:129" x14ac:dyDescent="0.2">
      <c r="DY53634" s="185" t="s">
        <v>215</v>
      </c>
    </row>
    <row r="53635" spans="129:129" x14ac:dyDescent="0.2">
      <c r="DY53635" s="185" t="s">
        <v>215</v>
      </c>
    </row>
    <row r="53636" spans="129:129" x14ac:dyDescent="0.2">
      <c r="DY53636" s="185" t="s">
        <v>215</v>
      </c>
    </row>
    <row r="53637" spans="129:129" x14ac:dyDescent="0.2">
      <c r="DY53637" s="185" t="s">
        <v>215</v>
      </c>
    </row>
    <row r="53638" spans="129:129" x14ac:dyDescent="0.2">
      <c r="DY53638" s="185" t="s">
        <v>215</v>
      </c>
    </row>
    <row r="53639" spans="129:129" x14ac:dyDescent="0.2">
      <c r="DY53639" s="185" t="s">
        <v>215</v>
      </c>
    </row>
    <row r="53640" spans="129:129" x14ac:dyDescent="0.2">
      <c r="DY53640" s="185" t="s">
        <v>215</v>
      </c>
    </row>
    <row r="53641" spans="129:129" x14ac:dyDescent="0.2">
      <c r="DY53641" s="185" t="s">
        <v>215</v>
      </c>
    </row>
    <row r="53642" spans="129:129" x14ac:dyDescent="0.2">
      <c r="DY53642" s="185" t="s">
        <v>215</v>
      </c>
    </row>
    <row r="53643" spans="129:129" x14ac:dyDescent="0.2">
      <c r="DY53643" s="185" t="s">
        <v>215</v>
      </c>
    </row>
    <row r="53644" spans="129:129" x14ac:dyDescent="0.2">
      <c r="DY53644" s="185" t="s">
        <v>215</v>
      </c>
    </row>
    <row r="53645" spans="129:129" x14ac:dyDescent="0.2">
      <c r="DY53645" s="185" t="s">
        <v>215</v>
      </c>
    </row>
    <row r="53646" spans="129:129" x14ac:dyDescent="0.2">
      <c r="DY53646" s="185" t="s">
        <v>215</v>
      </c>
    </row>
    <row r="53647" spans="129:129" x14ac:dyDescent="0.2">
      <c r="DY53647" s="185" t="s">
        <v>215</v>
      </c>
    </row>
    <row r="53648" spans="129:129" x14ac:dyDescent="0.2">
      <c r="DY53648" s="185" t="s">
        <v>215</v>
      </c>
    </row>
    <row r="53649" spans="129:129" x14ac:dyDescent="0.2">
      <c r="DY53649" s="185" t="s">
        <v>215</v>
      </c>
    </row>
    <row r="53650" spans="129:129" x14ac:dyDescent="0.2">
      <c r="DY53650" s="185" t="s">
        <v>215</v>
      </c>
    </row>
    <row r="53651" spans="129:129" x14ac:dyDescent="0.2">
      <c r="DY53651" s="185" t="s">
        <v>215</v>
      </c>
    </row>
    <row r="53652" spans="129:129" x14ac:dyDescent="0.2">
      <c r="DY53652" s="185" t="s">
        <v>215</v>
      </c>
    </row>
    <row r="53653" spans="129:129" x14ac:dyDescent="0.2">
      <c r="DY53653" s="185" t="s">
        <v>215</v>
      </c>
    </row>
    <row r="53654" spans="129:129" x14ac:dyDescent="0.2">
      <c r="DY53654" s="185" t="s">
        <v>215</v>
      </c>
    </row>
    <row r="53655" spans="129:129" x14ac:dyDescent="0.2">
      <c r="DY53655" s="185" t="s">
        <v>215</v>
      </c>
    </row>
    <row r="53656" spans="129:129" x14ac:dyDescent="0.2">
      <c r="DY53656" s="185" t="s">
        <v>215</v>
      </c>
    </row>
    <row r="53657" spans="129:129" x14ac:dyDescent="0.2">
      <c r="DY53657" s="185" t="s">
        <v>215</v>
      </c>
    </row>
    <row r="53658" spans="129:129" x14ac:dyDescent="0.2">
      <c r="DY53658" s="185" t="s">
        <v>215</v>
      </c>
    </row>
    <row r="53659" spans="129:129" x14ac:dyDescent="0.2">
      <c r="DY53659" s="185" t="s">
        <v>215</v>
      </c>
    </row>
    <row r="53660" spans="129:129" x14ac:dyDescent="0.2">
      <c r="DY53660" s="185" t="s">
        <v>215</v>
      </c>
    </row>
    <row r="53661" spans="129:129" x14ac:dyDescent="0.2">
      <c r="DY53661" s="185" t="s">
        <v>215</v>
      </c>
    </row>
    <row r="53662" spans="129:129" x14ac:dyDescent="0.2">
      <c r="DY53662" s="185" t="s">
        <v>215</v>
      </c>
    </row>
    <row r="53663" spans="129:129" x14ac:dyDescent="0.2">
      <c r="DY53663" s="185" t="s">
        <v>215</v>
      </c>
    </row>
    <row r="53664" spans="129:129" x14ac:dyDescent="0.2">
      <c r="DY53664" s="185" t="s">
        <v>215</v>
      </c>
    </row>
    <row r="53665" spans="129:129" x14ac:dyDescent="0.2">
      <c r="DY53665" s="185" t="s">
        <v>215</v>
      </c>
    </row>
    <row r="53666" spans="129:129" x14ac:dyDescent="0.2">
      <c r="DY53666" s="185" t="s">
        <v>215</v>
      </c>
    </row>
    <row r="53667" spans="129:129" x14ac:dyDescent="0.2">
      <c r="DY53667" s="185" t="s">
        <v>215</v>
      </c>
    </row>
    <row r="53668" spans="129:129" x14ac:dyDescent="0.2">
      <c r="DY53668" s="185" t="s">
        <v>215</v>
      </c>
    </row>
    <row r="53669" spans="129:129" x14ac:dyDescent="0.2">
      <c r="DY53669" s="185" t="s">
        <v>215</v>
      </c>
    </row>
    <row r="53670" spans="129:129" x14ac:dyDescent="0.2">
      <c r="DY53670" s="185" t="s">
        <v>215</v>
      </c>
    </row>
    <row r="53671" spans="129:129" x14ac:dyDescent="0.2">
      <c r="DY53671" s="185" t="s">
        <v>215</v>
      </c>
    </row>
    <row r="53672" spans="129:129" x14ac:dyDescent="0.2">
      <c r="DY53672" s="185" t="s">
        <v>215</v>
      </c>
    </row>
    <row r="53673" spans="129:129" x14ac:dyDescent="0.2">
      <c r="DY53673" s="185" t="s">
        <v>215</v>
      </c>
    </row>
    <row r="53674" spans="129:129" x14ac:dyDescent="0.2">
      <c r="DY53674" s="185" t="s">
        <v>215</v>
      </c>
    </row>
    <row r="53675" spans="129:129" x14ac:dyDescent="0.2">
      <c r="DY53675" s="185" t="s">
        <v>215</v>
      </c>
    </row>
    <row r="53676" spans="129:129" x14ac:dyDescent="0.2">
      <c r="DY53676" s="185" t="s">
        <v>215</v>
      </c>
    </row>
    <row r="53677" spans="129:129" x14ac:dyDescent="0.2">
      <c r="DY53677" s="185" t="s">
        <v>215</v>
      </c>
    </row>
    <row r="53678" spans="129:129" x14ac:dyDescent="0.2">
      <c r="DY53678" s="185" t="s">
        <v>215</v>
      </c>
    </row>
    <row r="53679" spans="129:129" x14ac:dyDescent="0.2">
      <c r="DY53679" s="185" t="s">
        <v>215</v>
      </c>
    </row>
    <row r="53680" spans="129:129" x14ac:dyDescent="0.2">
      <c r="DY53680" s="185" t="s">
        <v>215</v>
      </c>
    </row>
    <row r="53681" spans="129:129" x14ac:dyDescent="0.2">
      <c r="DY53681" s="185" t="s">
        <v>215</v>
      </c>
    </row>
    <row r="53682" spans="129:129" x14ac:dyDescent="0.2">
      <c r="DY53682" s="185" t="s">
        <v>215</v>
      </c>
    </row>
    <row r="53683" spans="129:129" x14ac:dyDescent="0.2">
      <c r="DY53683" s="185" t="s">
        <v>215</v>
      </c>
    </row>
    <row r="53684" spans="129:129" x14ac:dyDescent="0.2">
      <c r="DY53684" s="185" t="s">
        <v>215</v>
      </c>
    </row>
    <row r="53685" spans="129:129" x14ac:dyDescent="0.2">
      <c r="DY53685" s="185" t="s">
        <v>215</v>
      </c>
    </row>
    <row r="53686" spans="129:129" x14ac:dyDescent="0.2">
      <c r="DY53686" s="185" t="s">
        <v>215</v>
      </c>
    </row>
    <row r="53687" spans="129:129" x14ac:dyDescent="0.2">
      <c r="DY53687" s="185" t="s">
        <v>215</v>
      </c>
    </row>
    <row r="53688" spans="129:129" x14ac:dyDescent="0.2">
      <c r="DY53688" s="185" t="s">
        <v>215</v>
      </c>
    </row>
    <row r="53689" spans="129:129" x14ac:dyDescent="0.2">
      <c r="DY53689" s="185" t="s">
        <v>215</v>
      </c>
    </row>
    <row r="53690" spans="129:129" x14ac:dyDescent="0.2">
      <c r="DY53690" s="185" t="s">
        <v>215</v>
      </c>
    </row>
    <row r="53691" spans="129:129" x14ac:dyDescent="0.2">
      <c r="DY53691" s="185" t="s">
        <v>215</v>
      </c>
    </row>
    <row r="53692" spans="129:129" x14ac:dyDescent="0.2">
      <c r="DY53692" s="185" t="s">
        <v>215</v>
      </c>
    </row>
    <row r="53693" spans="129:129" x14ac:dyDescent="0.2">
      <c r="DY53693" s="185" t="s">
        <v>215</v>
      </c>
    </row>
    <row r="53694" spans="129:129" x14ac:dyDescent="0.2">
      <c r="DY53694" s="185" t="s">
        <v>215</v>
      </c>
    </row>
    <row r="53695" spans="129:129" x14ac:dyDescent="0.2">
      <c r="DY53695" s="185" t="s">
        <v>215</v>
      </c>
    </row>
    <row r="53696" spans="129:129" x14ac:dyDescent="0.2">
      <c r="DY53696" s="185" t="s">
        <v>215</v>
      </c>
    </row>
    <row r="53697" spans="129:129" x14ac:dyDescent="0.2">
      <c r="DY53697" s="185" t="s">
        <v>215</v>
      </c>
    </row>
    <row r="53698" spans="129:129" x14ac:dyDescent="0.2">
      <c r="DY53698" s="185" t="s">
        <v>215</v>
      </c>
    </row>
    <row r="53699" spans="129:129" x14ac:dyDescent="0.2">
      <c r="DY53699" s="185" t="s">
        <v>215</v>
      </c>
    </row>
    <row r="53700" spans="129:129" x14ac:dyDescent="0.2">
      <c r="DY53700" s="185" t="s">
        <v>215</v>
      </c>
    </row>
    <row r="53701" spans="129:129" x14ac:dyDescent="0.2">
      <c r="DY53701" s="185" t="s">
        <v>215</v>
      </c>
    </row>
    <row r="53702" spans="129:129" x14ac:dyDescent="0.2">
      <c r="DY53702" s="185" t="s">
        <v>215</v>
      </c>
    </row>
    <row r="53703" spans="129:129" x14ac:dyDescent="0.2">
      <c r="DY53703" s="185" t="s">
        <v>215</v>
      </c>
    </row>
    <row r="53704" spans="129:129" x14ac:dyDescent="0.2">
      <c r="DY53704" s="185" t="s">
        <v>215</v>
      </c>
    </row>
    <row r="53705" spans="129:129" x14ac:dyDescent="0.2">
      <c r="DY53705" s="185" t="s">
        <v>215</v>
      </c>
    </row>
    <row r="53706" spans="129:129" x14ac:dyDescent="0.2">
      <c r="DY53706" s="185" t="s">
        <v>215</v>
      </c>
    </row>
    <row r="53707" spans="129:129" x14ac:dyDescent="0.2">
      <c r="DY53707" s="185" t="s">
        <v>215</v>
      </c>
    </row>
    <row r="53708" spans="129:129" x14ac:dyDescent="0.2">
      <c r="DY53708" s="185" t="s">
        <v>215</v>
      </c>
    </row>
    <row r="53709" spans="129:129" x14ac:dyDescent="0.2">
      <c r="DY53709" s="185" t="s">
        <v>215</v>
      </c>
    </row>
    <row r="53710" spans="129:129" x14ac:dyDescent="0.2">
      <c r="DY53710" s="185" t="s">
        <v>215</v>
      </c>
    </row>
    <row r="53711" spans="129:129" x14ac:dyDescent="0.2">
      <c r="DY53711" s="185" t="s">
        <v>215</v>
      </c>
    </row>
    <row r="53712" spans="129:129" x14ac:dyDescent="0.2">
      <c r="DY53712" s="185" t="s">
        <v>215</v>
      </c>
    </row>
    <row r="53713" spans="129:129" x14ac:dyDescent="0.2">
      <c r="DY53713" s="185" t="s">
        <v>215</v>
      </c>
    </row>
    <row r="53714" spans="129:129" x14ac:dyDescent="0.2">
      <c r="DY53714" s="185" t="s">
        <v>215</v>
      </c>
    </row>
    <row r="53715" spans="129:129" x14ac:dyDescent="0.2">
      <c r="DY53715" s="185" t="s">
        <v>215</v>
      </c>
    </row>
    <row r="53716" spans="129:129" x14ac:dyDescent="0.2">
      <c r="DY53716" s="185" t="s">
        <v>215</v>
      </c>
    </row>
    <row r="53717" spans="129:129" x14ac:dyDescent="0.2">
      <c r="DY53717" s="185" t="s">
        <v>215</v>
      </c>
    </row>
    <row r="53718" spans="129:129" x14ac:dyDescent="0.2">
      <c r="DY53718" s="185" t="s">
        <v>215</v>
      </c>
    </row>
    <row r="53719" spans="129:129" x14ac:dyDescent="0.2">
      <c r="DY53719" s="185" t="s">
        <v>215</v>
      </c>
    </row>
    <row r="53720" spans="129:129" x14ac:dyDescent="0.2">
      <c r="DY53720" s="185" t="s">
        <v>215</v>
      </c>
    </row>
    <row r="53721" spans="129:129" x14ac:dyDescent="0.2">
      <c r="DY53721" s="185" t="s">
        <v>215</v>
      </c>
    </row>
    <row r="53722" spans="129:129" x14ac:dyDescent="0.2">
      <c r="DY53722" s="185" t="s">
        <v>215</v>
      </c>
    </row>
    <row r="53723" spans="129:129" x14ac:dyDescent="0.2">
      <c r="DY53723" s="185" t="s">
        <v>215</v>
      </c>
    </row>
    <row r="53724" spans="129:129" x14ac:dyDescent="0.2">
      <c r="DY53724" s="185" t="s">
        <v>215</v>
      </c>
    </row>
    <row r="53725" spans="129:129" x14ac:dyDescent="0.2">
      <c r="DY53725" s="185" t="s">
        <v>215</v>
      </c>
    </row>
    <row r="53726" spans="129:129" x14ac:dyDescent="0.2">
      <c r="DY53726" s="185" t="s">
        <v>215</v>
      </c>
    </row>
    <row r="53727" spans="129:129" x14ac:dyDescent="0.2">
      <c r="DY53727" s="185" t="s">
        <v>215</v>
      </c>
    </row>
    <row r="53728" spans="129:129" x14ac:dyDescent="0.2">
      <c r="DY53728" s="185" t="s">
        <v>215</v>
      </c>
    </row>
    <row r="53729" spans="129:129" x14ac:dyDescent="0.2">
      <c r="DY53729" s="185" t="s">
        <v>215</v>
      </c>
    </row>
    <row r="53730" spans="129:129" x14ac:dyDescent="0.2">
      <c r="DY53730" s="185" t="s">
        <v>215</v>
      </c>
    </row>
    <row r="53731" spans="129:129" x14ac:dyDescent="0.2">
      <c r="DY53731" s="185" t="s">
        <v>215</v>
      </c>
    </row>
    <row r="53732" spans="129:129" x14ac:dyDescent="0.2">
      <c r="DY53732" s="185" t="s">
        <v>215</v>
      </c>
    </row>
    <row r="53733" spans="129:129" x14ac:dyDescent="0.2">
      <c r="DY53733" s="185" t="s">
        <v>215</v>
      </c>
    </row>
    <row r="53734" spans="129:129" x14ac:dyDescent="0.2">
      <c r="DY53734" s="185" t="s">
        <v>215</v>
      </c>
    </row>
    <row r="53735" spans="129:129" x14ac:dyDescent="0.2">
      <c r="DY53735" s="185" t="s">
        <v>215</v>
      </c>
    </row>
    <row r="53736" spans="129:129" x14ac:dyDescent="0.2">
      <c r="DY53736" s="185" t="s">
        <v>215</v>
      </c>
    </row>
    <row r="53737" spans="129:129" x14ac:dyDescent="0.2">
      <c r="DY53737" s="185" t="s">
        <v>215</v>
      </c>
    </row>
    <row r="53738" spans="129:129" x14ac:dyDescent="0.2">
      <c r="DY53738" s="185" t="s">
        <v>215</v>
      </c>
    </row>
    <row r="53739" spans="129:129" x14ac:dyDescent="0.2">
      <c r="DY53739" s="185" t="s">
        <v>215</v>
      </c>
    </row>
    <row r="53740" spans="129:129" x14ac:dyDescent="0.2">
      <c r="DY53740" s="185" t="s">
        <v>215</v>
      </c>
    </row>
    <row r="53741" spans="129:129" x14ac:dyDescent="0.2">
      <c r="DY53741" s="185" t="s">
        <v>215</v>
      </c>
    </row>
    <row r="53742" spans="129:129" x14ac:dyDescent="0.2">
      <c r="DY53742" s="185" t="s">
        <v>215</v>
      </c>
    </row>
    <row r="53743" spans="129:129" x14ac:dyDescent="0.2">
      <c r="DY53743" s="185" t="s">
        <v>215</v>
      </c>
    </row>
    <row r="53744" spans="129:129" x14ac:dyDescent="0.2">
      <c r="DY53744" s="185" t="s">
        <v>215</v>
      </c>
    </row>
    <row r="53745" spans="129:129" x14ac:dyDescent="0.2">
      <c r="DY53745" s="185" t="s">
        <v>215</v>
      </c>
    </row>
    <row r="53746" spans="129:129" x14ac:dyDescent="0.2">
      <c r="DY53746" s="185" t="s">
        <v>215</v>
      </c>
    </row>
    <row r="53747" spans="129:129" x14ac:dyDescent="0.2">
      <c r="DY53747" s="185" t="s">
        <v>215</v>
      </c>
    </row>
    <row r="53748" spans="129:129" x14ac:dyDescent="0.2">
      <c r="DY53748" s="185" t="s">
        <v>215</v>
      </c>
    </row>
    <row r="53749" spans="129:129" x14ac:dyDescent="0.2">
      <c r="DY53749" s="185" t="s">
        <v>215</v>
      </c>
    </row>
    <row r="53750" spans="129:129" x14ac:dyDescent="0.2">
      <c r="DY53750" s="185" t="s">
        <v>215</v>
      </c>
    </row>
    <row r="53751" spans="129:129" x14ac:dyDescent="0.2">
      <c r="DY53751" s="185" t="s">
        <v>215</v>
      </c>
    </row>
    <row r="53752" spans="129:129" x14ac:dyDescent="0.2">
      <c r="DY53752" s="185" t="s">
        <v>215</v>
      </c>
    </row>
    <row r="53753" spans="129:129" x14ac:dyDescent="0.2">
      <c r="DY53753" s="185" t="s">
        <v>215</v>
      </c>
    </row>
    <row r="53754" spans="129:129" x14ac:dyDescent="0.2">
      <c r="DY53754" s="185" t="s">
        <v>215</v>
      </c>
    </row>
    <row r="53755" spans="129:129" x14ac:dyDescent="0.2">
      <c r="DY53755" s="185" t="s">
        <v>215</v>
      </c>
    </row>
    <row r="53756" spans="129:129" x14ac:dyDescent="0.2">
      <c r="DY53756" s="185" t="s">
        <v>215</v>
      </c>
    </row>
    <row r="53757" spans="129:129" x14ac:dyDescent="0.2">
      <c r="DY53757" s="185" t="s">
        <v>215</v>
      </c>
    </row>
    <row r="53758" spans="129:129" x14ac:dyDescent="0.2">
      <c r="DY53758" s="185" t="s">
        <v>215</v>
      </c>
    </row>
    <row r="53759" spans="129:129" x14ac:dyDescent="0.2">
      <c r="DY53759" s="185" t="s">
        <v>215</v>
      </c>
    </row>
    <row r="53760" spans="129:129" x14ac:dyDescent="0.2">
      <c r="DY53760" s="185" t="s">
        <v>215</v>
      </c>
    </row>
    <row r="53761" spans="129:129" x14ac:dyDescent="0.2">
      <c r="DY53761" s="185" t="s">
        <v>215</v>
      </c>
    </row>
    <row r="53762" spans="129:129" x14ac:dyDescent="0.2">
      <c r="DY53762" s="185" t="s">
        <v>215</v>
      </c>
    </row>
    <row r="53763" spans="129:129" x14ac:dyDescent="0.2">
      <c r="DY53763" s="185" t="s">
        <v>215</v>
      </c>
    </row>
    <row r="53764" spans="129:129" x14ac:dyDescent="0.2">
      <c r="DY53764" s="185" t="s">
        <v>215</v>
      </c>
    </row>
    <row r="53765" spans="129:129" x14ac:dyDescent="0.2">
      <c r="DY53765" s="185" t="s">
        <v>215</v>
      </c>
    </row>
    <row r="53766" spans="129:129" x14ac:dyDescent="0.2">
      <c r="DY53766" s="185" t="s">
        <v>215</v>
      </c>
    </row>
    <row r="53767" spans="129:129" x14ac:dyDescent="0.2">
      <c r="DY53767" s="185" t="s">
        <v>215</v>
      </c>
    </row>
    <row r="53768" spans="129:129" x14ac:dyDescent="0.2">
      <c r="DY53768" s="185" t="s">
        <v>215</v>
      </c>
    </row>
    <row r="53769" spans="129:129" x14ac:dyDescent="0.2">
      <c r="DY53769" s="185" t="s">
        <v>215</v>
      </c>
    </row>
    <row r="53770" spans="129:129" x14ac:dyDescent="0.2">
      <c r="DY53770" s="185" t="s">
        <v>215</v>
      </c>
    </row>
    <row r="53771" spans="129:129" x14ac:dyDescent="0.2">
      <c r="DY53771" s="185" t="s">
        <v>215</v>
      </c>
    </row>
    <row r="53772" spans="129:129" x14ac:dyDescent="0.2">
      <c r="DY53772" s="185" t="s">
        <v>215</v>
      </c>
    </row>
    <row r="53773" spans="129:129" x14ac:dyDescent="0.2">
      <c r="DY53773" s="185" t="s">
        <v>215</v>
      </c>
    </row>
    <row r="53774" spans="129:129" x14ac:dyDescent="0.2">
      <c r="DY53774" s="185" t="s">
        <v>215</v>
      </c>
    </row>
    <row r="53775" spans="129:129" x14ac:dyDescent="0.2">
      <c r="DY53775" s="185" t="s">
        <v>215</v>
      </c>
    </row>
    <row r="53776" spans="129:129" x14ac:dyDescent="0.2">
      <c r="DY53776" s="185" t="s">
        <v>215</v>
      </c>
    </row>
    <row r="53777" spans="129:129" x14ac:dyDescent="0.2">
      <c r="DY53777" s="185" t="s">
        <v>215</v>
      </c>
    </row>
    <row r="53778" spans="129:129" x14ac:dyDescent="0.2">
      <c r="DY53778" s="185" t="s">
        <v>215</v>
      </c>
    </row>
    <row r="53779" spans="129:129" x14ac:dyDescent="0.2">
      <c r="DY53779" s="185" t="s">
        <v>215</v>
      </c>
    </row>
    <row r="53780" spans="129:129" x14ac:dyDescent="0.2">
      <c r="DY53780" s="185" t="s">
        <v>215</v>
      </c>
    </row>
    <row r="53781" spans="129:129" x14ac:dyDescent="0.2">
      <c r="DY53781" s="185" t="s">
        <v>215</v>
      </c>
    </row>
    <row r="53782" spans="129:129" x14ac:dyDescent="0.2">
      <c r="DY53782" s="185" t="s">
        <v>215</v>
      </c>
    </row>
    <row r="53783" spans="129:129" x14ac:dyDescent="0.2">
      <c r="DY53783" s="185" t="s">
        <v>215</v>
      </c>
    </row>
    <row r="53784" spans="129:129" x14ac:dyDescent="0.2">
      <c r="DY53784" s="185" t="s">
        <v>215</v>
      </c>
    </row>
    <row r="53785" spans="129:129" x14ac:dyDescent="0.2">
      <c r="DY53785" s="185" t="s">
        <v>215</v>
      </c>
    </row>
    <row r="53786" spans="129:129" x14ac:dyDescent="0.2">
      <c r="DY53786" s="185" t="s">
        <v>215</v>
      </c>
    </row>
    <row r="53787" spans="129:129" x14ac:dyDescent="0.2">
      <c r="DY53787" s="185" t="s">
        <v>215</v>
      </c>
    </row>
    <row r="53788" spans="129:129" x14ac:dyDescent="0.2">
      <c r="DY53788" s="185" t="s">
        <v>215</v>
      </c>
    </row>
    <row r="53789" spans="129:129" x14ac:dyDescent="0.2">
      <c r="DY53789" s="185" t="s">
        <v>215</v>
      </c>
    </row>
    <row r="53790" spans="129:129" x14ac:dyDescent="0.2">
      <c r="DY53790" s="185" t="s">
        <v>215</v>
      </c>
    </row>
    <row r="53791" spans="129:129" x14ac:dyDescent="0.2">
      <c r="DY53791" s="185" t="s">
        <v>215</v>
      </c>
    </row>
    <row r="53792" spans="129:129" x14ac:dyDescent="0.2">
      <c r="DY53792" s="185" t="s">
        <v>215</v>
      </c>
    </row>
    <row r="53793" spans="129:129" x14ac:dyDescent="0.2">
      <c r="DY53793" s="185" t="s">
        <v>215</v>
      </c>
    </row>
    <row r="53794" spans="129:129" x14ac:dyDescent="0.2">
      <c r="DY53794" s="185" t="s">
        <v>215</v>
      </c>
    </row>
    <row r="53795" spans="129:129" x14ac:dyDescent="0.2">
      <c r="DY53795" s="185" t="s">
        <v>215</v>
      </c>
    </row>
    <row r="53796" spans="129:129" x14ac:dyDescent="0.2">
      <c r="DY53796" s="185" t="s">
        <v>215</v>
      </c>
    </row>
    <row r="53797" spans="129:129" x14ac:dyDescent="0.2">
      <c r="DY53797" s="185" t="s">
        <v>215</v>
      </c>
    </row>
    <row r="53798" spans="129:129" x14ac:dyDescent="0.2">
      <c r="DY53798" s="185" t="s">
        <v>215</v>
      </c>
    </row>
    <row r="53799" spans="129:129" x14ac:dyDescent="0.2">
      <c r="DY53799" s="185" t="s">
        <v>215</v>
      </c>
    </row>
    <row r="53800" spans="129:129" x14ac:dyDescent="0.2">
      <c r="DY53800" s="185" t="s">
        <v>215</v>
      </c>
    </row>
    <row r="53801" spans="129:129" x14ac:dyDescent="0.2">
      <c r="DY53801" s="185" t="s">
        <v>215</v>
      </c>
    </row>
    <row r="53802" spans="129:129" x14ac:dyDescent="0.2">
      <c r="DY53802" s="185" t="s">
        <v>215</v>
      </c>
    </row>
    <row r="53803" spans="129:129" x14ac:dyDescent="0.2">
      <c r="DY53803" s="185" t="s">
        <v>215</v>
      </c>
    </row>
    <row r="53804" spans="129:129" x14ac:dyDescent="0.2">
      <c r="DY53804" s="185" t="s">
        <v>215</v>
      </c>
    </row>
    <row r="53805" spans="129:129" x14ac:dyDescent="0.2">
      <c r="DY53805" s="185" t="s">
        <v>215</v>
      </c>
    </row>
    <row r="53806" spans="129:129" x14ac:dyDescent="0.2">
      <c r="DY53806" s="185" t="s">
        <v>215</v>
      </c>
    </row>
    <row r="53807" spans="129:129" x14ac:dyDescent="0.2">
      <c r="DY53807" s="185" t="s">
        <v>215</v>
      </c>
    </row>
    <row r="53808" spans="129:129" x14ac:dyDescent="0.2">
      <c r="DY53808" s="185" t="s">
        <v>215</v>
      </c>
    </row>
    <row r="53809" spans="129:129" x14ac:dyDescent="0.2">
      <c r="DY53809" s="185" t="s">
        <v>215</v>
      </c>
    </row>
    <row r="53810" spans="129:129" x14ac:dyDescent="0.2">
      <c r="DY53810" s="185" t="s">
        <v>215</v>
      </c>
    </row>
    <row r="53811" spans="129:129" x14ac:dyDescent="0.2">
      <c r="DY53811" s="185" t="s">
        <v>215</v>
      </c>
    </row>
    <row r="53812" spans="129:129" x14ac:dyDescent="0.2">
      <c r="DY53812" s="185" t="s">
        <v>215</v>
      </c>
    </row>
    <row r="53813" spans="129:129" x14ac:dyDescent="0.2">
      <c r="DY53813" s="185" t="s">
        <v>215</v>
      </c>
    </row>
    <row r="53814" spans="129:129" x14ac:dyDescent="0.2">
      <c r="DY53814" s="185" t="s">
        <v>215</v>
      </c>
    </row>
    <row r="53815" spans="129:129" x14ac:dyDescent="0.2">
      <c r="DY53815" s="185" t="s">
        <v>215</v>
      </c>
    </row>
    <row r="53816" spans="129:129" x14ac:dyDescent="0.2">
      <c r="DY53816" s="185" t="s">
        <v>215</v>
      </c>
    </row>
    <row r="53817" spans="129:129" x14ac:dyDescent="0.2">
      <c r="DY53817" s="185" t="s">
        <v>215</v>
      </c>
    </row>
    <row r="53818" spans="129:129" x14ac:dyDescent="0.2">
      <c r="DY53818" s="185" t="s">
        <v>215</v>
      </c>
    </row>
    <row r="53819" spans="129:129" x14ac:dyDescent="0.2">
      <c r="DY53819" s="185" t="s">
        <v>215</v>
      </c>
    </row>
    <row r="53820" spans="129:129" x14ac:dyDescent="0.2">
      <c r="DY53820" s="185" t="s">
        <v>215</v>
      </c>
    </row>
    <row r="53821" spans="129:129" x14ac:dyDescent="0.2">
      <c r="DY53821" s="185" t="s">
        <v>215</v>
      </c>
    </row>
    <row r="53822" spans="129:129" x14ac:dyDescent="0.2">
      <c r="DY53822" s="185" t="s">
        <v>215</v>
      </c>
    </row>
    <row r="53823" spans="129:129" x14ac:dyDescent="0.2">
      <c r="DY53823" s="185" t="s">
        <v>215</v>
      </c>
    </row>
    <row r="53824" spans="129:129" x14ac:dyDescent="0.2">
      <c r="DY53824" s="185" t="s">
        <v>215</v>
      </c>
    </row>
    <row r="53825" spans="129:129" x14ac:dyDescent="0.2">
      <c r="DY53825" s="185" t="s">
        <v>215</v>
      </c>
    </row>
    <row r="53826" spans="129:129" x14ac:dyDescent="0.2">
      <c r="DY53826" s="185" t="s">
        <v>215</v>
      </c>
    </row>
    <row r="53827" spans="129:129" x14ac:dyDescent="0.2">
      <c r="DY53827" s="185" t="s">
        <v>215</v>
      </c>
    </row>
    <row r="53828" spans="129:129" x14ac:dyDescent="0.2">
      <c r="DY53828" s="185" t="s">
        <v>215</v>
      </c>
    </row>
    <row r="53829" spans="129:129" x14ac:dyDescent="0.2">
      <c r="DY53829" s="185" t="s">
        <v>215</v>
      </c>
    </row>
    <row r="53830" spans="129:129" x14ac:dyDescent="0.2">
      <c r="DY53830" s="185" t="s">
        <v>215</v>
      </c>
    </row>
    <row r="53831" spans="129:129" x14ac:dyDescent="0.2">
      <c r="DY53831" s="185" t="s">
        <v>215</v>
      </c>
    </row>
    <row r="53832" spans="129:129" x14ac:dyDescent="0.2">
      <c r="DY53832" s="185" t="s">
        <v>215</v>
      </c>
    </row>
    <row r="53833" spans="129:129" x14ac:dyDescent="0.2">
      <c r="DY53833" s="185" t="s">
        <v>215</v>
      </c>
    </row>
    <row r="53834" spans="129:129" x14ac:dyDescent="0.2">
      <c r="DY53834" s="185" t="s">
        <v>215</v>
      </c>
    </row>
    <row r="53835" spans="129:129" x14ac:dyDescent="0.2">
      <c r="DY53835" s="185" t="s">
        <v>215</v>
      </c>
    </row>
    <row r="53836" spans="129:129" x14ac:dyDescent="0.2">
      <c r="DY53836" s="185" t="s">
        <v>215</v>
      </c>
    </row>
    <row r="53837" spans="129:129" x14ac:dyDescent="0.2">
      <c r="DY53837" s="185" t="s">
        <v>215</v>
      </c>
    </row>
    <row r="53838" spans="129:129" x14ac:dyDescent="0.2">
      <c r="DY53838" s="185" t="s">
        <v>215</v>
      </c>
    </row>
    <row r="53839" spans="129:129" x14ac:dyDescent="0.2">
      <c r="DY53839" s="185" t="s">
        <v>215</v>
      </c>
    </row>
    <row r="53840" spans="129:129" x14ac:dyDescent="0.2">
      <c r="DY53840" s="185" t="s">
        <v>215</v>
      </c>
    </row>
    <row r="53841" spans="129:129" x14ac:dyDescent="0.2">
      <c r="DY53841" s="185" t="s">
        <v>215</v>
      </c>
    </row>
    <row r="53842" spans="129:129" x14ac:dyDescent="0.2">
      <c r="DY53842" s="185" t="s">
        <v>215</v>
      </c>
    </row>
    <row r="53843" spans="129:129" x14ac:dyDescent="0.2">
      <c r="DY53843" s="185" t="s">
        <v>215</v>
      </c>
    </row>
    <row r="53844" spans="129:129" x14ac:dyDescent="0.2">
      <c r="DY53844" s="185" t="s">
        <v>215</v>
      </c>
    </row>
    <row r="53845" spans="129:129" x14ac:dyDescent="0.2">
      <c r="DY53845" s="185" t="s">
        <v>215</v>
      </c>
    </row>
    <row r="53846" spans="129:129" x14ac:dyDescent="0.2">
      <c r="DY53846" s="185" t="s">
        <v>215</v>
      </c>
    </row>
    <row r="53847" spans="129:129" x14ac:dyDescent="0.2">
      <c r="DY53847" s="185" t="s">
        <v>215</v>
      </c>
    </row>
    <row r="53848" spans="129:129" x14ac:dyDescent="0.2">
      <c r="DY53848" s="185" t="s">
        <v>215</v>
      </c>
    </row>
    <row r="53849" spans="129:129" x14ac:dyDescent="0.2">
      <c r="DY53849" s="185" t="s">
        <v>215</v>
      </c>
    </row>
    <row r="53850" spans="129:129" x14ac:dyDescent="0.2">
      <c r="DY53850" s="185" t="s">
        <v>215</v>
      </c>
    </row>
    <row r="53851" spans="129:129" x14ac:dyDescent="0.2">
      <c r="DY53851" s="185" t="s">
        <v>215</v>
      </c>
    </row>
    <row r="53852" spans="129:129" x14ac:dyDescent="0.2">
      <c r="DY53852" s="185" t="s">
        <v>215</v>
      </c>
    </row>
    <row r="53853" spans="129:129" x14ac:dyDescent="0.2">
      <c r="DY53853" s="185" t="s">
        <v>215</v>
      </c>
    </row>
    <row r="53854" spans="129:129" x14ac:dyDescent="0.2">
      <c r="DY53854" s="185" t="s">
        <v>215</v>
      </c>
    </row>
    <row r="53855" spans="129:129" x14ac:dyDescent="0.2">
      <c r="DY53855" s="185" t="s">
        <v>215</v>
      </c>
    </row>
    <row r="53856" spans="129:129" x14ac:dyDescent="0.2">
      <c r="DY53856" s="185" t="s">
        <v>215</v>
      </c>
    </row>
    <row r="53857" spans="129:129" x14ac:dyDescent="0.2">
      <c r="DY53857" s="185" t="s">
        <v>215</v>
      </c>
    </row>
    <row r="53858" spans="129:129" x14ac:dyDescent="0.2">
      <c r="DY53858" s="185" t="s">
        <v>215</v>
      </c>
    </row>
    <row r="53859" spans="129:129" x14ac:dyDescent="0.2">
      <c r="DY53859" s="185" t="s">
        <v>215</v>
      </c>
    </row>
    <row r="53860" spans="129:129" x14ac:dyDescent="0.2">
      <c r="DY53860" s="185" t="s">
        <v>215</v>
      </c>
    </row>
    <row r="53861" spans="129:129" x14ac:dyDescent="0.2">
      <c r="DY53861" s="185" t="s">
        <v>215</v>
      </c>
    </row>
    <row r="53862" spans="129:129" x14ac:dyDescent="0.2">
      <c r="DY53862" s="185" t="s">
        <v>215</v>
      </c>
    </row>
    <row r="53863" spans="129:129" x14ac:dyDescent="0.2">
      <c r="DY53863" s="185" t="s">
        <v>215</v>
      </c>
    </row>
    <row r="53864" spans="129:129" x14ac:dyDescent="0.2">
      <c r="DY53864" s="185" t="s">
        <v>215</v>
      </c>
    </row>
    <row r="53865" spans="129:129" x14ac:dyDescent="0.2">
      <c r="DY53865" s="185" t="s">
        <v>215</v>
      </c>
    </row>
    <row r="53866" spans="129:129" x14ac:dyDescent="0.2">
      <c r="DY53866" s="185" t="s">
        <v>215</v>
      </c>
    </row>
    <row r="53867" spans="129:129" x14ac:dyDescent="0.2">
      <c r="DY53867" s="185" t="s">
        <v>215</v>
      </c>
    </row>
    <row r="53868" spans="129:129" x14ac:dyDescent="0.2">
      <c r="DY53868" s="185" t="s">
        <v>215</v>
      </c>
    </row>
    <row r="53869" spans="129:129" x14ac:dyDescent="0.2">
      <c r="DY53869" s="185" t="s">
        <v>215</v>
      </c>
    </row>
    <row r="53870" spans="129:129" x14ac:dyDescent="0.2">
      <c r="DY53870" s="185" t="s">
        <v>215</v>
      </c>
    </row>
    <row r="53871" spans="129:129" x14ac:dyDescent="0.2">
      <c r="DY53871" s="185" t="s">
        <v>215</v>
      </c>
    </row>
    <row r="53872" spans="129:129" x14ac:dyDescent="0.2">
      <c r="DY53872" s="185" t="s">
        <v>215</v>
      </c>
    </row>
    <row r="53873" spans="129:129" x14ac:dyDescent="0.2">
      <c r="DY53873" s="185" t="s">
        <v>215</v>
      </c>
    </row>
    <row r="53874" spans="129:129" x14ac:dyDescent="0.2">
      <c r="DY53874" s="185" t="s">
        <v>215</v>
      </c>
    </row>
    <row r="53875" spans="129:129" x14ac:dyDescent="0.2">
      <c r="DY53875" s="185" t="s">
        <v>215</v>
      </c>
    </row>
    <row r="53876" spans="129:129" x14ac:dyDescent="0.2">
      <c r="DY53876" s="185" t="s">
        <v>215</v>
      </c>
    </row>
    <row r="53877" spans="129:129" x14ac:dyDescent="0.2">
      <c r="DY53877" s="185" t="s">
        <v>215</v>
      </c>
    </row>
    <row r="53878" spans="129:129" x14ac:dyDescent="0.2">
      <c r="DY53878" s="185" t="s">
        <v>215</v>
      </c>
    </row>
    <row r="53879" spans="129:129" x14ac:dyDescent="0.2">
      <c r="DY53879" s="185" t="s">
        <v>215</v>
      </c>
    </row>
    <row r="53880" spans="129:129" x14ac:dyDescent="0.2">
      <c r="DY53880" s="185" t="s">
        <v>215</v>
      </c>
    </row>
    <row r="53881" spans="129:129" x14ac:dyDescent="0.2">
      <c r="DY53881" s="185" t="s">
        <v>215</v>
      </c>
    </row>
    <row r="53882" spans="129:129" x14ac:dyDescent="0.2">
      <c r="DY53882" s="185" t="s">
        <v>215</v>
      </c>
    </row>
    <row r="53883" spans="129:129" x14ac:dyDescent="0.2">
      <c r="DY53883" s="185" t="s">
        <v>215</v>
      </c>
    </row>
    <row r="53884" spans="129:129" x14ac:dyDescent="0.2">
      <c r="DY53884" s="185" t="s">
        <v>215</v>
      </c>
    </row>
    <row r="53885" spans="129:129" x14ac:dyDescent="0.2">
      <c r="DY53885" s="185" t="s">
        <v>215</v>
      </c>
    </row>
    <row r="53886" spans="129:129" x14ac:dyDescent="0.2">
      <c r="DY53886" s="185" t="s">
        <v>215</v>
      </c>
    </row>
    <row r="53887" spans="129:129" x14ac:dyDescent="0.2">
      <c r="DY53887" s="185" t="s">
        <v>215</v>
      </c>
    </row>
    <row r="53888" spans="129:129" x14ac:dyDescent="0.2">
      <c r="DY53888" s="185" t="s">
        <v>215</v>
      </c>
    </row>
    <row r="53889" spans="129:129" x14ac:dyDescent="0.2">
      <c r="DY53889" s="185" t="s">
        <v>215</v>
      </c>
    </row>
    <row r="53890" spans="129:129" x14ac:dyDescent="0.2">
      <c r="DY53890" s="185" t="s">
        <v>215</v>
      </c>
    </row>
    <row r="53891" spans="129:129" x14ac:dyDescent="0.2">
      <c r="DY53891" s="185" t="s">
        <v>215</v>
      </c>
    </row>
    <row r="53892" spans="129:129" x14ac:dyDescent="0.2">
      <c r="DY53892" s="185" t="s">
        <v>215</v>
      </c>
    </row>
    <row r="53893" spans="129:129" x14ac:dyDescent="0.2">
      <c r="DY53893" s="185" t="s">
        <v>215</v>
      </c>
    </row>
    <row r="53894" spans="129:129" x14ac:dyDescent="0.2">
      <c r="DY53894" s="185" t="s">
        <v>215</v>
      </c>
    </row>
    <row r="53895" spans="129:129" x14ac:dyDescent="0.2">
      <c r="DY53895" s="185" t="s">
        <v>215</v>
      </c>
    </row>
    <row r="53896" spans="129:129" x14ac:dyDescent="0.2">
      <c r="DY53896" s="185" t="s">
        <v>215</v>
      </c>
    </row>
    <row r="53897" spans="129:129" x14ac:dyDescent="0.2">
      <c r="DY53897" s="185" t="s">
        <v>215</v>
      </c>
    </row>
    <row r="53898" spans="129:129" x14ac:dyDescent="0.2">
      <c r="DY53898" s="185" t="s">
        <v>215</v>
      </c>
    </row>
    <row r="53899" spans="129:129" x14ac:dyDescent="0.2">
      <c r="DY53899" s="185" t="s">
        <v>215</v>
      </c>
    </row>
    <row r="53900" spans="129:129" x14ac:dyDescent="0.2">
      <c r="DY53900" s="185" t="s">
        <v>215</v>
      </c>
    </row>
    <row r="53901" spans="129:129" x14ac:dyDescent="0.2">
      <c r="DY53901" s="185" t="s">
        <v>215</v>
      </c>
    </row>
    <row r="53902" spans="129:129" x14ac:dyDescent="0.2">
      <c r="DY53902" s="185" t="s">
        <v>215</v>
      </c>
    </row>
    <row r="53903" spans="129:129" x14ac:dyDescent="0.2">
      <c r="DY53903" s="185" t="s">
        <v>215</v>
      </c>
    </row>
    <row r="53904" spans="129:129" x14ac:dyDescent="0.2">
      <c r="DY53904" s="185" t="s">
        <v>215</v>
      </c>
    </row>
    <row r="53905" spans="129:129" x14ac:dyDescent="0.2">
      <c r="DY53905" s="185" t="s">
        <v>215</v>
      </c>
    </row>
    <row r="53906" spans="129:129" x14ac:dyDescent="0.2">
      <c r="DY53906" s="185" t="s">
        <v>215</v>
      </c>
    </row>
    <row r="53907" spans="129:129" x14ac:dyDescent="0.2">
      <c r="DY53907" s="185" t="s">
        <v>215</v>
      </c>
    </row>
    <row r="53908" spans="129:129" x14ac:dyDescent="0.2">
      <c r="DY53908" s="185" t="s">
        <v>215</v>
      </c>
    </row>
    <row r="53909" spans="129:129" x14ac:dyDescent="0.2">
      <c r="DY53909" s="185" t="s">
        <v>215</v>
      </c>
    </row>
    <row r="53910" spans="129:129" x14ac:dyDescent="0.2">
      <c r="DY53910" s="185" t="s">
        <v>215</v>
      </c>
    </row>
    <row r="53911" spans="129:129" x14ac:dyDescent="0.2">
      <c r="DY53911" s="185" t="s">
        <v>215</v>
      </c>
    </row>
    <row r="53912" spans="129:129" x14ac:dyDescent="0.2">
      <c r="DY53912" s="185" t="s">
        <v>215</v>
      </c>
    </row>
    <row r="53913" spans="129:129" x14ac:dyDescent="0.2">
      <c r="DY53913" s="185" t="s">
        <v>215</v>
      </c>
    </row>
    <row r="53914" spans="129:129" x14ac:dyDescent="0.2">
      <c r="DY53914" s="185" t="s">
        <v>215</v>
      </c>
    </row>
    <row r="53915" spans="129:129" x14ac:dyDescent="0.2">
      <c r="DY53915" s="185" t="s">
        <v>215</v>
      </c>
    </row>
    <row r="53916" spans="129:129" x14ac:dyDescent="0.2">
      <c r="DY53916" s="185" t="s">
        <v>215</v>
      </c>
    </row>
    <row r="53917" spans="129:129" x14ac:dyDescent="0.2">
      <c r="DY53917" s="185" t="s">
        <v>215</v>
      </c>
    </row>
    <row r="53918" spans="129:129" x14ac:dyDescent="0.2">
      <c r="DY53918" s="185" t="s">
        <v>215</v>
      </c>
    </row>
    <row r="53919" spans="129:129" x14ac:dyDescent="0.2">
      <c r="DY53919" s="185" t="s">
        <v>215</v>
      </c>
    </row>
    <row r="53920" spans="129:129" x14ac:dyDescent="0.2">
      <c r="DY53920" s="185" t="s">
        <v>215</v>
      </c>
    </row>
    <row r="53921" spans="129:129" x14ac:dyDescent="0.2">
      <c r="DY53921" s="185" t="s">
        <v>215</v>
      </c>
    </row>
    <row r="53922" spans="129:129" x14ac:dyDescent="0.2">
      <c r="DY53922" s="185" t="s">
        <v>215</v>
      </c>
    </row>
    <row r="53923" spans="129:129" x14ac:dyDescent="0.2">
      <c r="DY53923" s="185" t="s">
        <v>215</v>
      </c>
    </row>
    <row r="53924" spans="129:129" x14ac:dyDescent="0.2">
      <c r="DY53924" s="185" t="s">
        <v>215</v>
      </c>
    </row>
    <row r="53925" spans="129:129" x14ac:dyDescent="0.2">
      <c r="DY53925" s="185" t="s">
        <v>215</v>
      </c>
    </row>
    <row r="53926" spans="129:129" x14ac:dyDescent="0.2">
      <c r="DY53926" s="185" t="s">
        <v>215</v>
      </c>
    </row>
    <row r="53927" spans="129:129" x14ac:dyDescent="0.2">
      <c r="DY53927" s="185" t="s">
        <v>215</v>
      </c>
    </row>
    <row r="53928" spans="129:129" x14ac:dyDescent="0.2">
      <c r="DY53928" s="185" t="s">
        <v>215</v>
      </c>
    </row>
    <row r="53929" spans="129:129" x14ac:dyDescent="0.2">
      <c r="DY53929" s="185" t="s">
        <v>215</v>
      </c>
    </row>
    <row r="53930" spans="129:129" x14ac:dyDescent="0.2">
      <c r="DY53930" s="185" t="s">
        <v>215</v>
      </c>
    </row>
    <row r="53931" spans="129:129" x14ac:dyDescent="0.2">
      <c r="DY53931" s="185" t="s">
        <v>215</v>
      </c>
    </row>
    <row r="53932" spans="129:129" x14ac:dyDescent="0.2">
      <c r="DY53932" s="185" t="s">
        <v>215</v>
      </c>
    </row>
    <row r="53933" spans="129:129" x14ac:dyDescent="0.2">
      <c r="DY53933" s="185" t="s">
        <v>215</v>
      </c>
    </row>
    <row r="53934" spans="129:129" x14ac:dyDescent="0.2">
      <c r="DY53934" s="185" t="s">
        <v>215</v>
      </c>
    </row>
    <row r="53935" spans="129:129" x14ac:dyDescent="0.2">
      <c r="DY53935" s="185" t="s">
        <v>215</v>
      </c>
    </row>
    <row r="53936" spans="129:129" x14ac:dyDescent="0.2">
      <c r="DY53936" s="185" t="s">
        <v>215</v>
      </c>
    </row>
    <row r="53937" spans="129:129" x14ac:dyDescent="0.2">
      <c r="DY53937" s="185" t="s">
        <v>215</v>
      </c>
    </row>
    <row r="53938" spans="129:129" x14ac:dyDescent="0.2">
      <c r="DY53938" s="185" t="s">
        <v>215</v>
      </c>
    </row>
    <row r="53939" spans="129:129" x14ac:dyDescent="0.2">
      <c r="DY53939" s="185" t="s">
        <v>215</v>
      </c>
    </row>
    <row r="53940" spans="129:129" x14ac:dyDescent="0.2">
      <c r="DY53940" s="185" t="s">
        <v>215</v>
      </c>
    </row>
    <row r="53941" spans="129:129" x14ac:dyDescent="0.2">
      <c r="DY53941" s="185" t="s">
        <v>215</v>
      </c>
    </row>
    <row r="53942" spans="129:129" x14ac:dyDescent="0.2">
      <c r="DY53942" s="185" t="s">
        <v>215</v>
      </c>
    </row>
    <row r="53943" spans="129:129" x14ac:dyDescent="0.2">
      <c r="DY53943" s="185" t="s">
        <v>215</v>
      </c>
    </row>
    <row r="53944" spans="129:129" x14ac:dyDescent="0.2">
      <c r="DY53944" s="185" t="s">
        <v>215</v>
      </c>
    </row>
    <row r="53945" spans="129:129" x14ac:dyDescent="0.2">
      <c r="DY53945" s="185" t="s">
        <v>215</v>
      </c>
    </row>
    <row r="53946" spans="129:129" x14ac:dyDescent="0.2">
      <c r="DY53946" s="185" t="s">
        <v>215</v>
      </c>
    </row>
    <row r="53947" spans="129:129" x14ac:dyDescent="0.2">
      <c r="DY53947" s="185" t="s">
        <v>215</v>
      </c>
    </row>
    <row r="53948" spans="129:129" x14ac:dyDescent="0.2">
      <c r="DY53948" s="185" t="s">
        <v>215</v>
      </c>
    </row>
    <row r="53949" spans="129:129" x14ac:dyDescent="0.2">
      <c r="DY53949" s="185" t="s">
        <v>215</v>
      </c>
    </row>
    <row r="53950" spans="129:129" x14ac:dyDescent="0.2">
      <c r="DY53950" s="185" t="s">
        <v>215</v>
      </c>
    </row>
    <row r="53951" spans="129:129" x14ac:dyDescent="0.2">
      <c r="DY53951" s="185" t="s">
        <v>215</v>
      </c>
    </row>
    <row r="53952" spans="129:129" x14ac:dyDescent="0.2">
      <c r="DY53952" s="185" t="s">
        <v>215</v>
      </c>
    </row>
    <row r="53953" spans="129:129" x14ac:dyDescent="0.2">
      <c r="DY53953" s="185" t="s">
        <v>215</v>
      </c>
    </row>
    <row r="53954" spans="129:129" x14ac:dyDescent="0.2">
      <c r="DY53954" s="185" t="s">
        <v>215</v>
      </c>
    </row>
    <row r="53955" spans="129:129" x14ac:dyDescent="0.2">
      <c r="DY53955" s="185" t="s">
        <v>215</v>
      </c>
    </row>
    <row r="53956" spans="129:129" x14ac:dyDescent="0.2">
      <c r="DY53956" s="185" t="s">
        <v>215</v>
      </c>
    </row>
    <row r="53957" spans="129:129" x14ac:dyDescent="0.2">
      <c r="DY53957" s="185" t="s">
        <v>215</v>
      </c>
    </row>
    <row r="53958" spans="129:129" x14ac:dyDescent="0.2">
      <c r="DY53958" s="185" t="s">
        <v>215</v>
      </c>
    </row>
    <row r="53959" spans="129:129" x14ac:dyDescent="0.2">
      <c r="DY53959" s="185" t="s">
        <v>215</v>
      </c>
    </row>
    <row r="53960" spans="129:129" x14ac:dyDescent="0.2">
      <c r="DY53960" s="185" t="s">
        <v>215</v>
      </c>
    </row>
    <row r="53961" spans="129:129" x14ac:dyDescent="0.2">
      <c r="DY53961" s="185" t="s">
        <v>215</v>
      </c>
    </row>
    <row r="53962" spans="129:129" x14ac:dyDescent="0.2">
      <c r="DY53962" s="185" t="s">
        <v>215</v>
      </c>
    </row>
    <row r="53963" spans="129:129" x14ac:dyDescent="0.2">
      <c r="DY53963" s="185" t="s">
        <v>215</v>
      </c>
    </row>
    <row r="53964" spans="129:129" x14ac:dyDescent="0.2">
      <c r="DY53964" s="185" t="s">
        <v>215</v>
      </c>
    </row>
    <row r="53965" spans="129:129" x14ac:dyDescent="0.2">
      <c r="DY53965" s="185" t="s">
        <v>215</v>
      </c>
    </row>
    <row r="53966" spans="129:129" x14ac:dyDescent="0.2">
      <c r="DY53966" s="185" t="s">
        <v>215</v>
      </c>
    </row>
    <row r="53967" spans="129:129" x14ac:dyDescent="0.2">
      <c r="DY53967" s="185" t="s">
        <v>215</v>
      </c>
    </row>
    <row r="53968" spans="129:129" x14ac:dyDescent="0.2">
      <c r="DY53968" s="185" t="s">
        <v>215</v>
      </c>
    </row>
    <row r="53969" spans="129:129" x14ac:dyDescent="0.2">
      <c r="DY53969" s="185" t="s">
        <v>215</v>
      </c>
    </row>
    <row r="53970" spans="129:129" x14ac:dyDescent="0.2">
      <c r="DY53970" s="185" t="s">
        <v>215</v>
      </c>
    </row>
    <row r="53971" spans="129:129" x14ac:dyDescent="0.2">
      <c r="DY53971" s="185" t="s">
        <v>215</v>
      </c>
    </row>
    <row r="53972" spans="129:129" x14ac:dyDescent="0.2">
      <c r="DY53972" s="185" t="s">
        <v>215</v>
      </c>
    </row>
    <row r="53973" spans="129:129" x14ac:dyDescent="0.2">
      <c r="DY53973" s="185" t="s">
        <v>215</v>
      </c>
    </row>
    <row r="53974" spans="129:129" x14ac:dyDescent="0.2">
      <c r="DY53974" s="185" t="s">
        <v>215</v>
      </c>
    </row>
    <row r="53975" spans="129:129" x14ac:dyDescent="0.2">
      <c r="DY53975" s="185" t="s">
        <v>215</v>
      </c>
    </row>
    <row r="53976" spans="129:129" x14ac:dyDescent="0.2">
      <c r="DY53976" s="185" t="s">
        <v>215</v>
      </c>
    </row>
    <row r="53977" spans="129:129" x14ac:dyDescent="0.2">
      <c r="DY53977" s="185" t="s">
        <v>215</v>
      </c>
    </row>
    <row r="53978" spans="129:129" x14ac:dyDescent="0.2">
      <c r="DY53978" s="185" t="s">
        <v>215</v>
      </c>
    </row>
    <row r="53979" spans="129:129" x14ac:dyDescent="0.2">
      <c r="DY53979" s="185" t="s">
        <v>215</v>
      </c>
    </row>
    <row r="53980" spans="129:129" x14ac:dyDescent="0.2">
      <c r="DY53980" s="185" t="s">
        <v>215</v>
      </c>
    </row>
    <row r="53981" spans="129:129" x14ac:dyDescent="0.2">
      <c r="DY53981" s="185" t="s">
        <v>215</v>
      </c>
    </row>
    <row r="53982" spans="129:129" x14ac:dyDescent="0.2">
      <c r="DY53982" s="185" t="s">
        <v>215</v>
      </c>
    </row>
    <row r="53983" spans="129:129" x14ac:dyDescent="0.2">
      <c r="DY53983" s="185" t="s">
        <v>215</v>
      </c>
    </row>
    <row r="53984" spans="129:129" x14ac:dyDescent="0.2">
      <c r="DY53984" s="185" t="s">
        <v>215</v>
      </c>
    </row>
    <row r="53985" spans="129:129" x14ac:dyDescent="0.2">
      <c r="DY53985" s="185" t="s">
        <v>215</v>
      </c>
    </row>
    <row r="53986" spans="129:129" x14ac:dyDescent="0.2">
      <c r="DY53986" s="185" t="s">
        <v>215</v>
      </c>
    </row>
    <row r="53987" spans="129:129" x14ac:dyDescent="0.2">
      <c r="DY53987" s="185" t="s">
        <v>215</v>
      </c>
    </row>
    <row r="53988" spans="129:129" x14ac:dyDescent="0.2">
      <c r="DY53988" s="185" t="s">
        <v>215</v>
      </c>
    </row>
    <row r="53989" spans="129:129" x14ac:dyDescent="0.2">
      <c r="DY53989" s="185" t="s">
        <v>215</v>
      </c>
    </row>
    <row r="53990" spans="129:129" x14ac:dyDescent="0.2">
      <c r="DY53990" s="185" t="s">
        <v>215</v>
      </c>
    </row>
    <row r="53991" spans="129:129" x14ac:dyDescent="0.2">
      <c r="DY53991" s="185" t="s">
        <v>215</v>
      </c>
    </row>
    <row r="53992" spans="129:129" x14ac:dyDescent="0.2">
      <c r="DY53992" s="185" t="s">
        <v>215</v>
      </c>
    </row>
    <row r="53993" spans="129:129" x14ac:dyDescent="0.2">
      <c r="DY53993" s="185" t="s">
        <v>215</v>
      </c>
    </row>
    <row r="53994" spans="129:129" x14ac:dyDescent="0.2">
      <c r="DY53994" s="185" t="s">
        <v>215</v>
      </c>
    </row>
    <row r="53995" spans="129:129" x14ac:dyDescent="0.2">
      <c r="DY53995" s="185" t="s">
        <v>215</v>
      </c>
    </row>
    <row r="53996" spans="129:129" x14ac:dyDescent="0.2">
      <c r="DY53996" s="185" t="s">
        <v>215</v>
      </c>
    </row>
    <row r="53997" spans="129:129" x14ac:dyDescent="0.2">
      <c r="DY53997" s="185" t="s">
        <v>215</v>
      </c>
    </row>
    <row r="53998" spans="129:129" x14ac:dyDescent="0.2">
      <c r="DY53998" s="185" t="s">
        <v>215</v>
      </c>
    </row>
    <row r="53999" spans="129:129" x14ac:dyDescent="0.2">
      <c r="DY53999" s="185" t="s">
        <v>215</v>
      </c>
    </row>
    <row r="54000" spans="129:129" x14ac:dyDescent="0.2">
      <c r="DY54000" s="185" t="s">
        <v>215</v>
      </c>
    </row>
    <row r="54001" spans="129:129" x14ac:dyDescent="0.2">
      <c r="DY54001" s="185" t="s">
        <v>215</v>
      </c>
    </row>
    <row r="54002" spans="129:129" x14ac:dyDescent="0.2">
      <c r="DY54002" s="185" t="s">
        <v>215</v>
      </c>
    </row>
    <row r="54003" spans="129:129" x14ac:dyDescent="0.2">
      <c r="DY54003" s="185" t="s">
        <v>215</v>
      </c>
    </row>
    <row r="54004" spans="129:129" x14ac:dyDescent="0.2">
      <c r="DY54004" s="185" t="s">
        <v>215</v>
      </c>
    </row>
    <row r="54005" spans="129:129" x14ac:dyDescent="0.2">
      <c r="DY54005" s="185" t="s">
        <v>215</v>
      </c>
    </row>
    <row r="54006" spans="129:129" x14ac:dyDescent="0.2">
      <c r="DY54006" s="185" t="s">
        <v>215</v>
      </c>
    </row>
    <row r="54007" spans="129:129" x14ac:dyDescent="0.2">
      <c r="DY54007" s="185" t="s">
        <v>215</v>
      </c>
    </row>
    <row r="54008" spans="129:129" x14ac:dyDescent="0.2">
      <c r="DY54008" s="185" t="s">
        <v>215</v>
      </c>
    </row>
    <row r="54009" spans="129:129" x14ac:dyDescent="0.2">
      <c r="DY54009" s="185" t="s">
        <v>215</v>
      </c>
    </row>
    <row r="54010" spans="129:129" x14ac:dyDescent="0.2">
      <c r="DY54010" s="185" t="s">
        <v>215</v>
      </c>
    </row>
    <row r="54011" spans="129:129" x14ac:dyDescent="0.2">
      <c r="DY54011" s="185" t="s">
        <v>215</v>
      </c>
    </row>
    <row r="54012" spans="129:129" x14ac:dyDescent="0.2">
      <c r="DY54012" s="185" t="s">
        <v>215</v>
      </c>
    </row>
    <row r="54013" spans="129:129" x14ac:dyDescent="0.2">
      <c r="DY54013" s="185" t="s">
        <v>215</v>
      </c>
    </row>
    <row r="54014" spans="129:129" x14ac:dyDescent="0.2">
      <c r="DY54014" s="185" t="s">
        <v>215</v>
      </c>
    </row>
    <row r="54015" spans="129:129" x14ac:dyDescent="0.2">
      <c r="DY54015" s="185" t="s">
        <v>215</v>
      </c>
    </row>
    <row r="54016" spans="129:129" x14ac:dyDescent="0.2">
      <c r="DY54016" s="185" t="s">
        <v>215</v>
      </c>
    </row>
    <row r="54017" spans="129:129" x14ac:dyDescent="0.2">
      <c r="DY54017" s="185" t="s">
        <v>215</v>
      </c>
    </row>
    <row r="54018" spans="129:129" x14ac:dyDescent="0.2">
      <c r="DY54018" s="185" t="s">
        <v>215</v>
      </c>
    </row>
    <row r="54019" spans="129:129" x14ac:dyDescent="0.2">
      <c r="DY54019" s="185" t="s">
        <v>215</v>
      </c>
    </row>
    <row r="54020" spans="129:129" x14ac:dyDescent="0.2">
      <c r="DY54020" s="185" t="s">
        <v>215</v>
      </c>
    </row>
    <row r="54021" spans="129:129" x14ac:dyDescent="0.2">
      <c r="DY54021" s="185" t="s">
        <v>215</v>
      </c>
    </row>
    <row r="54022" spans="129:129" x14ac:dyDescent="0.2">
      <c r="DY54022" s="185" t="s">
        <v>215</v>
      </c>
    </row>
    <row r="54023" spans="129:129" x14ac:dyDescent="0.2">
      <c r="DY54023" s="185" t="s">
        <v>215</v>
      </c>
    </row>
    <row r="54024" spans="129:129" x14ac:dyDescent="0.2">
      <c r="DY54024" s="185" t="s">
        <v>215</v>
      </c>
    </row>
    <row r="54025" spans="129:129" x14ac:dyDescent="0.2">
      <c r="DY54025" s="185" t="s">
        <v>215</v>
      </c>
    </row>
    <row r="54026" spans="129:129" x14ac:dyDescent="0.2">
      <c r="DY54026" s="185" t="s">
        <v>215</v>
      </c>
    </row>
    <row r="54027" spans="129:129" x14ac:dyDescent="0.2">
      <c r="DY54027" s="185" t="s">
        <v>215</v>
      </c>
    </row>
    <row r="54028" spans="129:129" x14ac:dyDescent="0.2">
      <c r="DY54028" s="185" t="s">
        <v>215</v>
      </c>
    </row>
    <row r="54029" spans="129:129" x14ac:dyDescent="0.2">
      <c r="DY54029" s="185" t="s">
        <v>215</v>
      </c>
    </row>
    <row r="54030" spans="129:129" x14ac:dyDescent="0.2">
      <c r="DY54030" s="185" t="s">
        <v>215</v>
      </c>
    </row>
    <row r="54031" spans="129:129" x14ac:dyDescent="0.2">
      <c r="DY54031" s="185" t="s">
        <v>215</v>
      </c>
    </row>
    <row r="54032" spans="129:129" x14ac:dyDescent="0.2">
      <c r="DY54032" s="185" t="s">
        <v>215</v>
      </c>
    </row>
    <row r="54033" spans="129:129" x14ac:dyDescent="0.2">
      <c r="DY54033" s="185" t="s">
        <v>215</v>
      </c>
    </row>
    <row r="54034" spans="129:129" x14ac:dyDescent="0.2">
      <c r="DY54034" s="185" t="s">
        <v>215</v>
      </c>
    </row>
    <row r="54035" spans="129:129" x14ac:dyDescent="0.2">
      <c r="DY54035" s="185" t="s">
        <v>215</v>
      </c>
    </row>
    <row r="54036" spans="129:129" x14ac:dyDescent="0.2">
      <c r="DY54036" s="185" t="s">
        <v>215</v>
      </c>
    </row>
    <row r="54037" spans="129:129" x14ac:dyDescent="0.2">
      <c r="DY54037" s="185" t="s">
        <v>215</v>
      </c>
    </row>
    <row r="54038" spans="129:129" x14ac:dyDescent="0.2">
      <c r="DY54038" s="185" t="s">
        <v>215</v>
      </c>
    </row>
    <row r="54039" spans="129:129" x14ac:dyDescent="0.2">
      <c r="DY54039" s="185" t="s">
        <v>215</v>
      </c>
    </row>
    <row r="54040" spans="129:129" x14ac:dyDescent="0.2">
      <c r="DY54040" s="185" t="s">
        <v>215</v>
      </c>
    </row>
    <row r="54041" spans="129:129" x14ac:dyDescent="0.2">
      <c r="DY54041" s="185" t="s">
        <v>215</v>
      </c>
    </row>
    <row r="54042" spans="129:129" x14ac:dyDescent="0.2">
      <c r="DY54042" s="185" t="s">
        <v>215</v>
      </c>
    </row>
    <row r="54043" spans="129:129" x14ac:dyDescent="0.2">
      <c r="DY54043" s="185" t="s">
        <v>215</v>
      </c>
    </row>
    <row r="54044" spans="129:129" x14ac:dyDescent="0.2">
      <c r="DY54044" s="185" t="s">
        <v>215</v>
      </c>
    </row>
    <row r="54045" spans="129:129" x14ac:dyDescent="0.2">
      <c r="DY54045" s="185" t="s">
        <v>215</v>
      </c>
    </row>
    <row r="54046" spans="129:129" x14ac:dyDescent="0.2">
      <c r="DY54046" s="185" t="s">
        <v>215</v>
      </c>
    </row>
    <row r="54047" spans="129:129" x14ac:dyDescent="0.2">
      <c r="DY54047" s="185" t="s">
        <v>215</v>
      </c>
    </row>
    <row r="54048" spans="129:129" x14ac:dyDescent="0.2">
      <c r="DY54048" s="185" t="s">
        <v>215</v>
      </c>
    </row>
    <row r="54049" spans="129:129" x14ac:dyDescent="0.2">
      <c r="DY54049" s="185" t="s">
        <v>215</v>
      </c>
    </row>
    <row r="54050" spans="129:129" x14ac:dyDescent="0.2">
      <c r="DY54050" s="185" t="s">
        <v>215</v>
      </c>
    </row>
    <row r="54051" spans="129:129" x14ac:dyDescent="0.2">
      <c r="DY54051" s="185" t="s">
        <v>215</v>
      </c>
    </row>
    <row r="54052" spans="129:129" x14ac:dyDescent="0.2">
      <c r="DY54052" s="185" t="s">
        <v>215</v>
      </c>
    </row>
    <row r="54053" spans="129:129" x14ac:dyDescent="0.2">
      <c r="DY54053" s="185" t="s">
        <v>215</v>
      </c>
    </row>
    <row r="54054" spans="129:129" x14ac:dyDescent="0.2">
      <c r="DY54054" s="185" t="s">
        <v>215</v>
      </c>
    </row>
    <row r="54055" spans="129:129" x14ac:dyDescent="0.2">
      <c r="DY54055" s="185" t="s">
        <v>215</v>
      </c>
    </row>
    <row r="54056" spans="129:129" x14ac:dyDescent="0.2">
      <c r="DY54056" s="185" t="s">
        <v>215</v>
      </c>
    </row>
    <row r="54057" spans="129:129" x14ac:dyDescent="0.2">
      <c r="DY54057" s="185" t="s">
        <v>215</v>
      </c>
    </row>
    <row r="54058" spans="129:129" x14ac:dyDescent="0.2">
      <c r="DY54058" s="185" t="s">
        <v>215</v>
      </c>
    </row>
    <row r="54059" spans="129:129" x14ac:dyDescent="0.2">
      <c r="DY54059" s="185" t="s">
        <v>215</v>
      </c>
    </row>
    <row r="54060" spans="129:129" x14ac:dyDescent="0.2">
      <c r="DY54060" s="185" t="s">
        <v>215</v>
      </c>
    </row>
    <row r="54061" spans="129:129" x14ac:dyDescent="0.2">
      <c r="DY54061" s="185" t="s">
        <v>215</v>
      </c>
    </row>
    <row r="54062" spans="129:129" x14ac:dyDescent="0.2">
      <c r="DY54062" s="185" t="s">
        <v>215</v>
      </c>
    </row>
    <row r="54063" spans="129:129" x14ac:dyDescent="0.2">
      <c r="DY54063" s="185" t="s">
        <v>215</v>
      </c>
    </row>
    <row r="54064" spans="129:129" x14ac:dyDescent="0.2">
      <c r="DY54064" s="185" t="s">
        <v>215</v>
      </c>
    </row>
    <row r="54065" spans="129:129" x14ac:dyDescent="0.2">
      <c r="DY54065" s="185" t="s">
        <v>215</v>
      </c>
    </row>
    <row r="54066" spans="129:129" x14ac:dyDescent="0.2">
      <c r="DY54066" s="185" t="s">
        <v>215</v>
      </c>
    </row>
    <row r="54067" spans="129:129" x14ac:dyDescent="0.2">
      <c r="DY54067" s="185" t="s">
        <v>215</v>
      </c>
    </row>
    <row r="54068" spans="129:129" x14ac:dyDescent="0.2">
      <c r="DY54068" s="185" t="s">
        <v>215</v>
      </c>
    </row>
    <row r="54069" spans="129:129" x14ac:dyDescent="0.2">
      <c r="DY54069" s="185" t="s">
        <v>215</v>
      </c>
    </row>
    <row r="54070" spans="129:129" x14ac:dyDescent="0.2">
      <c r="DY54070" s="185" t="s">
        <v>215</v>
      </c>
    </row>
    <row r="54071" spans="129:129" x14ac:dyDescent="0.2">
      <c r="DY54071" s="185" t="s">
        <v>215</v>
      </c>
    </row>
    <row r="54072" spans="129:129" x14ac:dyDescent="0.2">
      <c r="DY54072" s="185" t="s">
        <v>215</v>
      </c>
    </row>
    <row r="54073" spans="129:129" x14ac:dyDescent="0.2">
      <c r="DY54073" s="185" t="s">
        <v>215</v>
      </c>
    </row>
    <row r="54074" spans="129:129" x14ac:dyDescent="0.2">
      <c r="DY54074" s="185" t="s">
        <v>215</v>
      </c>
    </row>
    <row r="54075" spans="129:129" x14ac:dyDescent="0.2">
      <c r="DY54075" s="185" t="s">
        <v>215</v>
      </c>
    </row>
    <row r="54076" spans="129:129" x14ac:dyDescent="0.2">
      <c r="DY54076" s="185" t="s">
        <v>215</v>
      </c>
    </row>
    <row r="54077" spans="129:129" x14ac:dyDescent="0.2">
      <c r="DY54077" s="185" t="s">
        <v>215</v>
      </c>
    </row>
    <row r="54078" spans="129:129" x14ac:dyDescent="0.2">
      <c r="DY54078" s="185" t="s">
        <v>215</v>
      </c>
    </row>
    <row r="54079" spans="129:129" x14ac:dyDescent="0.2">
      <c r="DY54079" s="185" t="s">
        <v>215</v>
      </c>
    </row>
    <row r="54080" spans="129:129" x14ac:dyDescent="0.2">
      <c r="DY54080" s="185" t="s">
        <v>215</v>
      </c>
    </row>
    <row r="54081" spans="129:129" x14ac:dyDescent="0.2">
      <c r="DY54081" s="185" t="s">
        <v>215</v>
      </c>
    </row>
    <row r="54082" spans="129:129" x14ac:dyDescent="0.2">
      <c r="DY54082" s="185" t="s">
        <v>215</v>
      </c>
    </row>
    <row r="54083" spans="129:129" x14ac:dyDescent="0.2">
      <c r="DY54083" s="185" t="s">
        <v>215</v>
      </c>
    </row>
    <row r="54084" spans="129:129" x14ac:dyDescent="0.2">
      <c r="DY54084" s="185" t="s">
        <v>215</v>
      </c>
    </row>
    <row r="54085" spans="129:129" x14ac:dyDescent="0.2">
      <c r="DY54085" s="185" t="s">
        <v>215</v>
      </c>
    </row>
    <row r="54086" spans="129:129" x14ac:dyDescent="0.2">
      <c r="DY54086" s="185" t="s">
        <v>215</v>
      </c>
    </row>
    <row r="54087" spans="129:129" x14ac:dyDescent="0.2">
      <c r="DY54087" s="185" t="s">
        <v>215</v>
      </c>
    </row>
    <row r="54088" spans="129:129" x14ac:dyDescent="0.2">
      <c r="DY54088" s="185" t="s">
        <v>215</v>
      </c>
    </row>
    <row r="54089" spans="129:129" x14ac:dyDescent="0.2">
      <c r="DY54089" s="185" t="s">
        <v>215</v>
      </c>
    </row>
    <row r="54090" spans="129:129" x14ac:dyDescent="0.2">
      <c r="DY54090" s="185" t="s">
        <v>215</v>
      </c>
    </row>
    <row r="54091" spans="129:129" x14ac:dyDescent="0.2">
      <c r="DY54091" s="185" t="s">
        <v>215</v>
      </c>
    </row>
    <row r="54092" spans="129:129" x14ac:dyDescent="0.2">
      <c r="DY54092" s="185" t="s">
        <v>215</v>
      </c>
    </row>
    <row r="54093" spans="129:129" x14ac:dyDescent="0.2">
      <c r="DY54093" s="185" t="s">
        <v>215</v>
      </c>
    </row>
    <row r="54094" spans="129:129" x14ac:dyDescent="0.2">
      <c r="DY54094" s="185" t="s">
        <v>215</v>
      </c>
    </row>
    <row r="54095" spans="129:129" x14ac:dyDescent="0.2">
      <c r="DY54095" s="185" t="s">
        <v>215</v>
      </c>
    </row>
    <row r="54096" spans="129:129" x14ac:dyDescent="0.2">
      <c r="DY54096" s="185" t="s">
        <v>215</v>
      </c>
    </row>
    <row r="54097" spans="129:129" x14ac:dyDescent="0.2">
      <c r="DY54097" s="185" t="s">
        <v>215</v>
      </c>
    </row>
    <row r="54098" spans="129:129" x14ac:dyDescent="0.2">
      <c r="DY54098" s="185" t="s">
        <v>215</v>
      </c>
    </row>
    <row r="54099" spans="129:129" x14ac:dyDescent="0.2">
      <c r="DY54099" s="185" t="s">
        <v>215</v>
      </c>
    </row>
    <row r="54100" spans="129:129" x14ac:dyDescent="0.2">
      <c r="DY54100" s="185" t="s">
        <v>215</v>
      </c>
    </row>
    <row r="54101" spans="129:129" x14ac:dyDescent="0.2">
      <c r="DY54101" s="185" t="s">
        <v>215</v>
      </c>
    </row>
    <row r="54102" spans="129:129" x14ac:dyDescent="0.2">
      <c r="DY54102" s="185" t="s">
        <v>215</v>
      </c>
    </row>
    <row r="54103" spans="129:129" x14ac:dyDescent="0.2">
      <c r="DY54103" s="185" t="s">
        <v>215</v>
      </c>
    </row>
    <row r="54104" spans="129:129" x14ac:dyDescent="0.2">
      <c r="DY54104" s="185" t="s">
        <v>215</v>
      </c>
    </row>
    <row r="54105" spans="129:129" x14ac:dyDescent="0.2">
      <c r="DY54105" s="185" t="s">
        <v>215</v>
      </c>
    </row>
    <row r="54106" spans="129:129" x14ac:dyDescent="0.2">
      <c r="DY54106" s="185" t="s">
        <v>215</v>
      </c>
    </row>
    <row r="54107" spans="129:129" x14ac:dyDescent="0.2">
      <c r="DY54107" s="185" t="s">
        <v>215</v>
      </c>
    </row>
    <row r="54108" spans="129:129" x14ac:dyDescent="0.2">
      <c r="DY54108" s="185" t="s">
        <v>215</v>
      </c>
    </row>
    <row r="54109" spans="129:129" x14ac:dyDescent="0.2">
      <c r="DY54109" s="185" t="s">
        <v>215</v>
      </c>
    </row>
    <row r="54110" spans="129:129" x14ac:dyDescent="0.2">
      <c r="DY54110" s="185" t="s">
        <v>215</v>
      </c>
    </row>
    <row r="54111" spans="129:129" x14ac:dyDescent="0.2">
      <c r="DY54111" s="185" t="s">
        <v>215</v>
      </c>
    </row>
    <row r="54112" spans="129:129" x14ac:dyDescent="0.2">
      <c r="DY54112" s="185" t="s">
        <v>215</v>
      </c>
    </row>
    <row r="54113" spans="129:129" x14ac:dyDescent="0.2">
      <c r="DY54113" s="185" t="s">
        <v>215</v>
      </c>
    </row>
    <row r="54114" spans="129:129" x14ac:dyDescent="0.2">
      <c r="DY54114" s="185" t="s">
        <v>215</v>
      </c>
    </row>
    <row r="54115" spans="129:129" x14ac:dyDescent="0.2">
      <c r="DY54115" s="185" t="s">
        <v>215</v>
      </c>
    </row>
    <row r="54116" spans="129:129" x14ac:dyDescent="0.2">
      <c r="DY54116" s="185" t="s">
        <v>215</v>
      </c>
    </row>
    <row r="54117" spans="129:129" x14ac:dyDescent="0.2">
      <c r="DY54117" s="185" t="s">
        <v>215</v>
      </c>
    </row>
    <row r="54118" spans="129:129" x14ac:dyDescent="0.2">
      <c r="DY54118" s="185" t="s">
        <v>215</v>
      </c>
    </row>
    <row r="54119" spans="129:129" x14ac:dyDescent="0.2">
      <c r="DY54119" s="185" t="s">
        <v>215</v>
      </c>
    </row>
    <row r="54120" spans="129:129" x14ac:dyDescent="0.2">
      <c r="DY54120" s="185" t="s">
        <v>215</v>
      </c>
    </row>
    <row r="54121" spans="129:129" x14ac:dyDescent="0.2">
      <c r="DY54121" s="185" t="s">
        <v>215</v>
      </c>
    </row>
    <row r="54122" spans="129:129" x14ac:dyDescent="0.2">
      <c r="DY54122" s="185" t="s">
        <v>215</v>
      </c>
    </row>
    <row r="54123" spans="129:129" x14ac:dyDescent="0.2">
      <c r="DY54123" s="185" t="s">
        <v>215</v>
      </c>
    </row>
    <row r="54124" spans="129:129" x14ac:dyDescent="0.2">
      <c r="DY54124" s="185" t="s">
        <v>215</v>
      </c>
    </row>
    <row r="54125" spans="129:129" x14ac:dyDescent="0.2">
      <c r="DY54125" s="185" t="s">
        <v>215</v>
      </c>
    </row>
    <row r="54126" spans="129:129" x14ac:dyDescent="0.2">
      <c r="DY54126" s="185" t="s">
        <v>215</v>
      </c>
    </row>
    <row r="54127" spans="129:129" x14ac:dyDescent="0.2">
      <c r="DY54127" s="185" t="s">
        <v>215</v>
      </c>
    </row>
    <row r="54128" spans="129:129" x14ac:dyDescent="0.2">
      <c r="DY54128" s="185" t="s">
        <v>215</v>
      </c>
    </row>
    <row r="54129" spans="129:129" x14ac:dyDescent="0.2">
      <c r="DY54129" s="185" t="s">
        <v>215</v>
      </c>
    </row>
    <row r="54130" spans="129:129" x14ac:dyDescent="0.2">
      <c r="DY54130" s="185" t="s">
        <v>215</v>
      </c>
    </row>
    <row r="54131" spans="129:129" x14ac:dyDescent="0.2">
      <c r="DY54131" s="185" t="s">
        <v>215</v>
      </c>
    </row>
    <row r="54132" spans="129:129" x14ac:dyDescent="0.2">
      <c r="DY54132" s="185" t="s">
        <v>215</v>
      </c>
    </row>
    <row r="54133" spans="129:129" x14ac:dyDescent="0.2">
      <c r="DY54133" s="185" t="s">
        <v>215</v>
      </c>
    </row>
    <row r="54134" spans="129:129" x14ac:dyDescent="0.2">
      <c r="DY54134" s="185" t="s">
        <v>215</v>
      </c>
    </row>
    <row r="54135" spans="129:129" x14ac:dyDescent="0.2">
      <c r="DY54135" s="185" t="s">
        <v>215</v>
      </c>
    </row>
    <row r="54136" spans="129:129" x14ac:dyDescent="0.2">
      <c r="DY54136" s="185" t="s">
        <v>215</v>
      </c>
    </row>
    <row r="54137" spans="129:129" x14ac:dyDescent="0.2">
      <c r="DY54137" s="185" t="s">
        <v>215</v>
      </c>
    </row>
    <row r="54138" spans="129:129" x14ac:dyDescent="0.2">
      <c r="DY54138" s="185" t="s">
        <v>215</v>
      </c>
    </row>
    <row r="54139" spans="129:129" x14ac:dyDescent="0.2">
      <c r="DY54139" s="185" t="s">
        <v>215</v>
      </c>
    </row>
    <row r="54140" spans="129:129" x14ac:dyDescent="0.2">
      <c r="DY54140" s="185" t="s">
        <v>215</v>
      </c>
    </row>
    <row r="54141" spans="129:129" x14ac:dyDescent="0.2">
      <c r="DY54141" s="185" t="s">
        <v>215</v>
      </c>
    </row>
    <row r="54142" spans="129:129" x14ac:dyDescent="0.2">
      <c r="DY54142" s="185" t="s">
        <v>215</v>
      </c>
    </row>
    <row r="54143" spans="129:129" x14ac:dyDescent="0.2">
      <c r="DY54143" s="185" t="s">
        <v>215</v>
      </c>
    </row>
    <row r="54144" spans="129:129" x14ac:dyDescent="0.2">
      <c r="DY54144" s="185" t="s">
        <v>215</v>
      </c>
    </row>
    <row r="54145" spans="129:129" x14ac:dyDescent="0.2">
      <c r="DY54145" s="185" t="s">
        <v>215</v>
      </c>
    </row>
    <row r="54146" spans="129:129" x14ac:dyDescent="0.2">
      <c r="DY54146" s="185" t="s">
        <v>215</v>
      </c>
    </row>
    <row r="54147" spans="129:129" x14ac:dyDescent="0.2">
      <c r="DY54147" s="185" t="s">
        <v>215</v>
      </c>
    </row>
    <row r="54148" spans="129:129" x14ac:dyDescent="0.2">
      <c r="DY54148" s="185" t="s">
        <v>215</v>
      </c>
    </row>
    <row r="54149" spans="129:129" x14ac:dyDescent="0.2">
      <c r="DY54149" s="185" t="s">
        <v>215</v>
      </c>
    </row>
    <row r="54150" spans="129:129" x14ac:dyDescent="0.2">
      <c r="DY54150" s="185" t="s">
        <v>215</v>
      </c>
    </row>
    <row r="54151" spans="129:129" x14ac:dyDescent="0.2">
      <c r="DY54151" s="185" t="s">
        <v>215</v>
      </c>
    </row>
    <row r="54152" spans="129:129" x14ac:dyDescent="0.2">
      <c r="DY54152" s="185" t="s">
        <v>215</v>
      </c>
    </row>
    <row r="54153" spans="129:129" x14ac:dyDescent="0.2">
      <c r="DY54153" s="185" t="s">
        <v>215</v>
      </c>
    </row>
    <row r="54154" spans="129:129" x14ac:dyDescent="0.2">
      <c r="DY54154" s="185" t="s">
        <v>215</v>
      </c>
    </row>
    <row r="54155" spans="129:129" x14ac:dyDescent="0.2">
      <c r="DY54155" s="185" t="s">
        <v>215</v>
      </c>
    </row>
    <row r="54156" spans="129:129" x14ac:dyDescent="0.2">
      <c r="DY54156" s="185" t="s">
        <v>215</v>
      </c>
    </row>
    <row r="54157" spans="129:129" x14ac:dyDescent="0.2">
      <c r="DY54157" s="185" t="s">
        <v>215</v>
      </c>
    </row>
    <row r="54158" spans="129:129" x14ac:dyDescent="0.2">
      <c r="DY54158" s="185" t="s">
        <v>215</v>
      </c>
    </row>
    <row r="54159" spans="129:129" x14ac:dyDescent="0.2">
      <c r="DY54159" s="185" t="s">
        <v>215</v>
      </c>
    </row>
    <row r="54160" spans="129:129" x14ac:dyDescent="0.2">
      <c r="DY54160" s="185" t="s">
        <v>215</v>
      </c>
    </row>
    <row r="54161" spans="129:129" x14ac:dyDescent="0.2">
      <c r="DY54161" s="185" t="s">
        <v>215</v>
      </c>
    </row>
    <row r="54162" spans="129:129" x14ac:dyDescent="0.2">
      <c r="DY54162" s="185" t="s">
        <v>215</v>
      </c>
    </row>
    <row r="54163" spans="129:129" x14ac:dyDescent="0.2">
      <c r="DY54163" s="185" t="s">
        <v>215</v>
      </c>
    </row>
    <row r="54164" spans="129:129" x14ac:dyDescent="0.2">
      <c r="DY54164" s="185" t="s">
        <v>215</v>
      </c>
    </row>
    <row r="54165" spans="129:129" x14ac:dyDescent="0.2">
      <c r="DY54165" s="185" t="s">
        <v>215</v>
      </c>
    </row>
    <row r="54166" spans="129:129" x14ac:dyDescent="0.2">
      <c r="DY54166" s="185" t="s">
        <v>215</v>
      </c>
    </row>
    <row r="54167" spans="129:129" x14ac:dyDescent="0.2">
      <c r="DY54167" s="185" t="s">
        <v>215</v>
      </c>
    </row>
    <row r="54168" spans="129:129" x14ac:dyDescent="0.2">
      <c r="DY54168" s="185" t="s">
        <v>215</v>
      </c>
    </row>
    <row r="54169" spans="129:129" x14ac:dyDescent="0.2">
      <c r="DY54169" s="185" t="s">
        <v>215</v>
      </c>
    </row>
    <row r="54170" spans="129:129" x14ac:dyDescent="0.2">
      <c r="DY54170" s="185" t="s">
        <v>215</v>
      </c>
    </row>
    <row r="54171" spans="129:129" x14ac:dyDescent="0.2">
      <c r="DY54171" s="185" t="s">
        <v>215</v>
      </c>
    </row>
    <row r="54172" spans="129:129" x14ac:dyDescent="0.2">
      <c r="DY54172" s="185" t="s">
        <v>215</v>
      </c>
    </row>
    <row r="54173" spans="129:129" x14ac:dyDescent="0.2">
      <c r="DY54173" s="185" t="s">
        <v>215</v>
      </c>
    </row>
    <row r="54174" spans="129:129" x14ac:dyDescent="0.2">
      <c r="DY54174" s="185" t="s">
        <v>215</v>
      </c>
    </row>
    <row r="54175" spans="129:129" x14ac:dyDescent="0.2">
      <c r="DY54175" s="185" t="s">
        <v>215</v>
      </c>
    </row>
    <row r="54176" spans="129:129" x14ac:dyDescent="0.2">
      <c r="DY54176" s="185" t="s">
        <v>215</v>
      </c>
    </row>
    <row r="54177" spans="129:129" x14ac:dyDescent="0.2">
      <c r="DY54177" s="185" t="s">
        <v>215</v>
      </c>
    </row>
    <row r="54178" spans="129:129" x14ac:dyDescent="0.2">
      <c r="DY54178" s="185" t="s">
        <v>215</v>
      </c>
    </row>
    <row r="54179" spans="129:129" x14ac:dyDescent="0.2">
      <c r="DY54179" s="185" t="s">
        <v>215</v>
      </c>
    </row>
    <row r="54180" spans="129:129" x14ac:dyDescent="0.2">
      <c r="DY54180" s="185" t="s">
        <v>215</v>
      </c>
    </row>
    <row r="54181" spans="129:129" x14ac:dyDescent="0.2">
      <c r="DY54181" s="185" t="s">
        <v>215</v>
      </c>
    </row>
    <row r="54182" spans="129:129" x14ac:dyDescent="0.2">
      <c r="DY54182" s="185" t="s">
        <v>215</v>
      </c>
    </row>
    <row r="54183" spans="129:129" x14ac:dyDescent="0.2">
      <c r="DY54183" s="185" t="s">
        <v>215</v>
      </c>
    </row>
    <row r="54184" spans="129:129" x14ac:dyDescent="0.2">
      <c r="DY54184" s="185" t="s">
        <v>215</v>
      </c>
    </row>
    <row r="54185" spans="129:129" x14ac:dyDescent="0.2">
      <c r="DY54185" s="185" t="s">
        <v>215</v>
      </c>
    </row>
    <row r="54186" spans="129:129" x14ac:dyDescent="0.2">
      <c r="DY54186" s="185" t="s">
        <v>215</v>
      </c>
    </row>
    <row r="54187" spans="129:129" x14ac:dyDescent="0.2">
      <c r="DY54187" s="185" t="s">
        <v>215</v>
      </c>
    </row>
    <row r="54188" spans="129:129" x14ac:dyDescent="0.2">
      <c r="DY54188" s="185" t="s">
        <v>215</v>
      </c>
    </row>
    <row r="54189" spans="129:129" x14ac:dyDescent="0.2">
      <c r="DY54189" s="185" t="s">
        <v>215</v>
      </c>
    </row>
    <row r="54190" spans="129:129" x14ac:dyDescent="0.2">
      <c r="DY54190" s="185" t="s">
        <v>215</v>
      </c>
    </row>
    <row r="54191" spans="129:129" x14ac:dyDescent="0.2">
      <c r="DY54191" s="185" t="s">
        <v>215</v>
      </c>
    </row>
    <row r="54192" spans="129:129" x14ac:dyDescent="0.2">
      <c r="DY54192" s="185" t="s">
        <v>215</v>
      </c>
    </row>
    <row r="54193" spans="129:129" x14ac:dyDescent="0.2">
      <c r="DY54193" s="185" t="s">
        <v>215</v>
      </c>
    </row>
    <row r="54194" spans="129:129" x14ac:dyDescent="0.2">
      <c r="DY54194" s="185" t="s">
        <v>215</v>
      </c>
    </row>
    <row r="54195" spans="129:129" x14ac:dyDescent="0.2">
      <c r="DY54195" s="185" t="s">
        <v>215</v>
      </c>
    </row>
    <row r="54196" spans="129:129" x14ac:dyDescent="0.2">
      <c r="DY54196" s="185" t="s">
        <v>215</v>
      </c>
    </row>
    <row r="54197" spans="129:129" x14ac:dyDescent="0.2">
      <c r="DY54197" s="185" t="s">
        <v>215</v>
      </c>
    </row>
    <row r="54198" spans="129:129" x14ac:dyDescent="0.2">
      <c r="DY54198" s="185" t="s">
        <v>215</v>
      </c>
    </row>
    <row r="54199" spans="129:129" x14ac:dyDescent="0.2">
      <c r="DY54199" s="185" t="s">
        <v>215</v>
      </c>
    </row>
    <row r="54200" spans="129:129" x14ac:dyDescent="0.2">
      <c r="DY54200" s="185" t="s">
        <v>215</v>
      </c>
    </row>
    <row r="54201" spans="129:129" x14ac:dyDescent="0.2">
      <c r="DY54201" s="185" t="s">
        <v>215</v>
      </c>
    </row>
    <row r="54202" spans="129:129" x14ac:dyDescent="0.2">
      <c r="DY54202" s="185" t="s">
        <v>215</v>
      </c>
    </row>
    <row r="54203" spans="129:129" x14ac:dyDescent="0.2">
      <c r="DY54203" s="185" t="s">
        <v>215</v>
      </c>
    </row>
    <row r="54204" spans="129:129" x14ac:dyDescent="0.2">
      <c r="DY54204" s="185" t="s">
        <v>215</v>
      </c>
    </row>
    <row r="54205" spans="129:129" x14ac:dyDescent="0.2">
      <c r="DY54205" s="185" t="s">
        <v>215</v>
      </c>
    </row>
    <row r="54206" spans="129:129" x14ac:dyDescent="0.2">
      <c r="DY54206" s="185" t="s">
        <v>215</v>
      </c>
    </row>
    <row r="54207" spans="129:129" x14ac:dyDescent="0.2">
      <c r="DY54207" s="185" t="s">
        <v>215</v>
      </c>
    </row>
    <row r="54208" spans="129:129" x14ac:dyDescent="0.2">
      <c r="DY54208" s="185" t="s">
        <v>215</v>
      </c>
    </row>
    <row r="54209" spans="129:129" x14ac:dyDescent="0.2">
      <c r="DY54209" s="185" t="s">
        <v>215</v>
      </c>
    </row>
    <row r="54210" spans="129:129" x14ac:dyDescent="0.2">
      <c r="DY54210" s="185" t="s">
        <v>215</v>
      </c>
    </row>
    <row r="54211" spans="129:129" x14ac:dyDescent="0.2">
      <c r="DY54211" s="185" t="s">
        <v>215</v>
      </c>
    </row>
    <row r="54212" spans="129:129" x14ac:dyDescent="0.2">
      <c r="DY54212" s="185" t="s">
        <v>215</v>
      </c>
    </row>
    <row r="54213" spans="129:129" x14ac:dyDescent="0.2">
      <c r="DY54213" s="185" t="s">
        <v>215</v>
      </c>
    </row>
    <row r="54214" spans="129:129" x14ac:dyDescent="0.2">
      <c r="DY54214" s="185" t="s">
        <v>215</v>
      </c>
    </row>
    <row r="54215" spans="129:129" x14ac:dyDescent="0.2">
      <c r="DY54215" s="185" t="s">
        <v>215</v>
      </c>
    </row>
    <row r="54216" spans="129:129" x14ac:dyDescent="0.2">
      <c r="DY54216" s="185" t="s">
        <v>215</v>
      </c>
    </row>
    <row r="54217" spans="129:129" x14ac:dyDescent="0.2">
      <c r="DY54217" s="185" t="s">
        <v>215</v>
      </c>
    </row>
    <row r="54218" spans="129:129" x14ac:dyDescent="0.2">
      <c r="DY54218" s="185" t="s">
        <v>215</v>
      </c>
    </row>
    <row r="54219" spans="129:129" x14ac:dyDescent="0.2">
      <c r="DY54219" s="185" t="s">
        <v>215</v>
      </c>
    </row>
    <row r="54220" spans="129:129" x14ac:dyDescent="0.2">
      <c r="DY54220" s="185" t="s">
        <v>215</v>
      </c>
    </row>
    <row r="54221" spans="129:129" x14ac:dyDescent="0.2">
      <c r="DY54221" s="185" t="s">
        <v>215</v>
      </c>
    </row>
    <row r="54222" spans="129:129" x14ac:dyDescent="0.2">
      <c r="DY54222" s="185" t="s">
        <v>215</v>
      </c>
    </row>
    <row r="54223" spans="129:129" x14ac:dyDescent="0.2">
      <c r="DY54223" s="185" t="s">
        <v>215</v>
      </c>
    </row>
    <row r="54224" spans="129:129" x14ac:dyDescent="0.2">
      <c r="DY54224" s="185" t="s">
        <v>215</v>
      </c>
    </row>
    <row r="54225" spans="129:129" x14ac:dyDescent="0.2">
      <c r="DY54225" s="185" t="s">
        <v>215</v>
      </c>
    </row>
    <row r="54226" spans="129:129" x14ac:dyDescent="0.2">
      <c r="DY54226" s="185" t="s">
        <v>215</v>
      </c>
    </row>
    <row r="54227" spans="129:129" x14ac:dyDescent="0.2">
      <c r="DY54227" s="185" t="s">
        <v>215</v>
      </c>
    </row>
    <row r="54228" spans="129:129" x14ac:dyDescent="0.2">
      <c r="DY54228" s="185" t="s">
        <v>215</v>
      </c>
    </row>
    <row r="54229" spans="129:129" x14ac:dyDescent="0.2">
      <c r="DY54229" s="185" t="s">
        <v>215</v>
      </c>
    </row>
    <row r="54230" spans="129:129" x14ac:dyDescent="0.2">
      <c r="DY54230" s="185" t="s">
        <v>215</v>
      </c>
    </row>
    <row r="54231" spans="129:129" x14ac:dyDescent="0.2">
      <c r="DY54231" s="185" t="s">
        <v>215</v>
      </c>
    </row>
    <row r="54232" spans="129:129" x14ac:dyDescent="0.2">
      <c r="DY54232" s="185" t="s">
        <v>215</v>
      </c>
    </row>
    <row r="54233" spans="129:129" x14ac:dyDescent="0.2">
      <c r="DY54233" s="185" t="s">
        <v>215</v>
      </c>
    </row>
    <row r="54234" spans="129:129" x14ac:dyDescent="0.2">
      <c r="DY54234" s="185" t="s">
        <v>215</v>
      </c>
    </row>
    <row r="54235" spans="129:129" x14ac:dyDescent="0.2">
      <c r="DY54235" s="185" t="s">
        <v>215</v>
      </c>
    </row>
    <row r="54236" spans="129:129" x14ac:dyDescent="0.2">
      <c r="DY54236" s="185" t="s">
        <v>215</v>
      </c>
    </row>
    <row r="54237" spans="129:129" x14ac:dyDescent="0.2">
      <c r="DY54237" s="185" t="s">
        <v>215</v>
      </c>
    </row>
    <row r="54238" spans="129:129" x14ac:dyDescent="0.2">
      <c r="DY54238" s="185" t="s">
        <v>215</v>
      </c>
    </row>
    <row r="54239" spans="129:129" x14ac:dyDescent="0.2">
      <c r="DY54239" s="185" t="s">
        <v>215</v>
      </c>
    </row>
    <row r="54240" spans="129:129" x14ac:dyDescent="0.2">
      <c r="DY54240" s="185" t="s">
        <v>215</v>
      </c>
    </row>
    <row r="54241" spans="129:129" x14ac:dyDescent="0.2">
      <c r="DY54241" s="185" t="s">
        <v>215</v>
      </c>
    </row>
    <row r="54242" spans="129:129" x14ac:dyDescent="0.2">
      <c r="DY54242" s="185" t="s">
        <v>215</v>
      </c>
    </row>
    <row r="54243" spans="129:129" x14ac:dyDescent="0.2">
      <c r="DY54243" s="185" t="s">
        <v>215</v>
      </c>
    </row>
    <row r="54244" spans="129:129" x14ac:dyDescent="0.2">
      <c r="DY54244" s="185" t="s">
        <v>215</v>
      </c>
    </row>
    <row r="54245" spans="129:129" x14ac:dyDescent="0.2">
      <c r="DY54245" s="185" t="s">
        <v>215</v>
      </c>
    </row>
    <row r="54246" spans="129:129" x14ac:dyDescent="0.2">
      <c r="DY54246" s="185" t="s">
        <v>215</v>
      </c>
    </row>
    <row r="54247" spans="129:129" x14ac:dyDescent="0.2">
      <c r="DY54247" s="185" t="s">
        <v>215</v>
      </c>
    </row>
    <row r="54248" spans="129:129" x14ac:dyDescent="0.2">
      <c r="DY54248" s="185" t="s">
        <v>215</v>
      </c>
    </row>
    <row r="54249" spans="129:129" x14ac:dyDescent="0.2">
      <c r="DY54249" s="185" t="s">
        <v>215</v>
      </c>
    </row>
    <row r="54250" spans="129:129" x14ac:dyDescent="0.2">
      <c r="DY54250" s="185" t="s">
        <v>215</v>
      </c>
    </row>
    <row r="54251" spans="129:129" x14ac:dyDescent="0.2">
      <c r="DY54251" s="185" t="s">
        <v>215</v>
      </c>
    </row>
    <row r="54252" spans="129:129" x14ac:dyDescent="0.2">
      <c r="DY54252" s="185" t="s">
        <v>215</v>
      </c>
    </row>
    <row r="54253" spans="129:129" x14ac:dyDescent="0.2">
      <c r="DY54253" s="185" t="s">
        <v>215</v>
      </c>
    </row>
    <row r="54254" spans="129:129" x14ac:dyDescent="0.2">
      <c r="DY54254" s="185" t="s">
        <v>215</v>
      </c>
    </row>
    <row r="54255" spans="129:129" x14ac:dyDescent="0.2">
      <c r="DY54255" s="185" t="s">
        <v>215</v>
      </c>
    </row>
    <row r="54256" spans="129:129" x14ac:dyDescent="0.2">
      <c r="DY54256" s="185" t="s">
        <v>215</v>
      </c>
    </row>
    <row r="54257" spans="129:129" x14ac:dyDescent="0.2">
      <c r="DY54257" s="185" t="s">
        <v>215</v>
      </c>
    </row>
    <row r="54258" spans="129:129" x14ac:dyDescent="0.2">
      <c r="DY54258" s="185" t="s">
        <v>215</v>
      </c>
    </row>
    <row r="54259" spans="129:129" x14ac:dyDescent="0.2">
      <c r="DY54259" s="185" t="s">
        <v>215</v>
      </c>
    </row>
    <row r="54260" spans="129:129" x14ac:dyDescent="0.2">
      <c r="DY54260" s="185" t="s">
        <v>215</v>
      </c>
    </row>
    <row r="54261" spans="129:129" x14ac:dyDescent="0.2">
      <c r="DY54261" s="185" t="s">
        <v>215</v>
      </c>
    </row>
    <row r="54262" spans="129:129" x14ac:dyDescent="0.2">
      <c r="DY54262" s="185" t="s">
        <v>215</v>
      </c>
    </row>
    <row r="54263" spans="129:129" x14ac:dyDescent="0.2">
      <c r="DY54263" s="185" t="s">
        <v>215</v>
      </c>
    </row>
    <row r="54264" spans="129:129" x14ac:dyDescent="0.2">
      <c r="DY54264" s="185" t="s">
        <v>215</v>
      </c>
    </row>
    <row r="54265" spans="129:129" x14ac:dyDescent="0.2">
      <c r="DY54265" s="185" t="s">
        <v>215</v>
      </c>
    </row>
    <row r="54266" spans="129:129" x14ac:dyDescent="0.2">
      <c r="DY54266" s="185" t="s">
        <v>215</v>
      </c>
    </row>
    <row r="54267" spans="129:129" x14ac:dyDescent="0.2">
      <c r="DY54267" s="185" t="s">
        <v>215</v>
      </c>
    </row>
    <row r="54268" spans="129:129" x14ac:dyDescent="0.2">
      <c r="DY54268" s="185" t="s">
        <v>215</v>
      </c>
    </row>
    <row r="54269" spans="129:129" x14ac:dyDescent="0.2">
      <c r="DY54269" s="185" t="s">
        <v>215</v>
      </c>
    </row>
    <row r="54270" spans="129:129" x14ac:dyDescent="0.2">
      <c r="DY54270" s="185" t="s">
        <v>215</v>
      </c>
    </row>
    <row r="54271" spans="129:129" x14ac:dyDescent="0.2">
      <c r="DY54271" s="185" t="s">
        <v>215</v>
      </c>
    </row>
    <row r="54272" spans="129:129" x14ac:dyDescent="0.2">
      <c r="DY54272" s="185" t="s">
        <v>215</v>
      </c>
    </row>
    <row r="54273" spans="129:129" x14ac:dyDescent="0.2">
      <c r="DY54273" s="185" t="s">
        <v>215</v>
      </c>
    </row>
    <row r="54274" spans="129:129" x14ac:dyDescent="0.2">
      <c r="DY54274" s="185" t="s">
        <v>215</v>
      </c>
    </row>
    <row r="54275" spans="129:129" x14ac:dyDescent="0.2">
      <c r="DY54275" s="185" t="s">
        <v>215</v>
      </c>
    </row>
    <row r="54276" spans="129:129" x14ac:dyDescent="0.2">
      <c r="DY54276" s="185" t="s">
        <v>215</v>
      </c>
    </row>
    <row r="54277" spans="129:129" x14ac:dyDescent="0.2">
      <c r="DY54277" s="185" t="s">
        <v>215</v>
      </c>
    </row>
    <row r="54278" spans="129:129" x14ac:dyDescent="0.2">
      <c r="DY54278" s="185" t="s">
        <v>215</v>
      </c>
    </row>
    <row r="54279" spans="129:129" x14ac:dyDescent="0.2">
      <c r="DY54279" s="185" t="s">
        <v>215</v>
      </c>
    </row>
    <row r="54280" spans="129:129" x14ac:dyDescent="0.2">
      <c r="DY54280" s="185" t="s">
        <v>215</v>
      </c>
    </row>
    <row r="54281" spans="129:129" x14ac:dyDescent="0.2">
      <c r="DY54281" s="185" t="s">
        <v>215</v>
      </c>
    </row>
    <row r="54282" spans="129:129" x14ac:dyDescent="0.2">
      <c r="DY54282" s="185" t="s">
        <v>215</v>
      </c>
    </row>
    <row r="54283" spans="129:129" x14ac:dyDescent="0.2">
      <c r="DY54283" s="185" t="s">
        <v>215</v>
      </c>
    </row>
    <row r="54284" spans="129:129" x14ac:dyDescent="0.2">
      <c r="DY54284" s="185" t="s">
        <v>215</v>
      </c>
    </row>
    <row r="54285" spans="129:129" x14ac:dyDescent="0.2">
      <c r="DY54285" s="185" t="s">
        <v>215</v>
      </c>
    </row>
    <row r="54286" spans="129:129" x14ac:dyDescent="0.2">
      <c r="DY54286" s="185" t="s">
        <v>215</v>
      </c>
    </row>
    <row r="54287" spans="129:129" x14ac:dyDescent="0.2">
      <c r="DY54287" s="185" t="s">
        <v>215</v>
      </c>
    </row>
    <row r="54288" spans="129:129" x14ac:dyDescent="0.2">
      <c r="DY54288" s="185" t="s">
        <v>215</v>
      </c>
    </row>
    <row r="54289" spans="129:129" x14ac:dyDescent="0.2">
      <c r="DY54289" s="185" t="s">
        <v>215</v>
      </c>
    </row>
    <row r="54290" spans="129:129" x14ac:dyDescent="0.2">
      <c r="DY54290" s="185" t="s">
        <v>215</v>
      </c>
    </row>
    <row r="54291" spans="129:129" x14ac:dyDescent="0.2">
      <c r="DY54291" s="185" t="s">
        <v>215</v>
      </c>
    </row>
    <row r="54292" spans="129:129" x14ac:dyDescent="0.2">
      <c r="DY54292" s="185" t="s">
        <v>215</v>
      </c>
    </row>
    <row r="54293" spans="129:129" x14ac:dyDescent="0.2">
      <c r="DY54293" s="185" t="s">
        <v>215</v>
      </c>
    </row>
    <row r="54294" spans="129:129" x14ac:dyDescent="0.2">
      <c r="DY54294" s="185" t="s">
        <v>215</v>
      </c>
    </row>
    <row r="54295" spans="129:129" x14ac:dyDescent="0.2">
      <c r="DY54295" s="185" t="s">
        <v>215</v>
      </c>
    </row>
    <row r="54296" spans="129:129" x14ac:dyDescent="0.2">
      <c r="DY54296" s="185" t="s">
        <v>215</v>
      </c>
    </row>
    <row r="54297" spans="129:129" x14ac:dyDescent="0.2">
      <c r="DY54297" s="185" t="s">
        <v>215</v>
      </c>
    </row>
    <row r="54298" spans="129:129" x14ac:dyDescent="0.2">
      <c r="DY54298" s="185" t="s">
        <v>215</v>
      </c>
    </row>
    <row r="54299" spans="129:129" x14ac:dyDescent="0.2">
      <c r="DY54299" s="185" t="s">
        <v>215</v>
      </c>
    </row>
    <row r="54300" spans="129:129" x14ac:dyDescent="0.2">
      <c r="DY54300" s="185" t="s">
        <v>215</v>
      </c>
    </row>
    <row r="54301" spans="129:129" x14ac:dyDescent="0.2">
      <c r="DY54301" s="185" t="s">
        <v>215</v>
      </c>
    </row>
    <row r="54302" spans="129:129" x14ac:dyDescent="0.2">
      <c r="DY54302" s="185" t="s">
        <v>215</v>
      </c>
    </row>
    <row r="54303" spans="129:129" x14ac:dyDescent="0.2">
      <c r="DY54303" s="185" t="s">
        <v>215</v>
      </c>
    </row>
    <row r="54304" spans="129:129" x14ac:dyDescent="0.2">
      <c r="DY54304" s="185" t="s">
        <v>215</v>
      </c>
    </row>
    <row r="54305" spans="129:129" x14ac:dyDescent="0.2">
      <c r="DY54305" s="185" t="s">
        <v>215</v>
      </c>
    </row>
    <row r="54306" spans="129:129" x14ac:dyDescent="0.2">
      <c r="DY54306" s="185" t="s">
        <v>215</v>
      </c>
    </row>
    <row r="54307" spans="129:129" x14ac:dyDescent="0.2">
      <c r="DY54307" s="185" t="s">
        <v>215</v>
      </c>
    </row>
    <row r="54308" spans="129:129" x14ac:dyDescent="0.2">
      <c r="DY54308" s="185" t="s">
        <v>215</v>
      </c>
    </row>
    <row r="54309" spans="129:129" x14ac:dyDescent="0.2">
      <c r="DY54309" s="185" t="s">
        <v>215</v>
      </c>
    </row>
    <row r="54310" spans="129:129" x14ac:dyDescent="0.2">
      <c r="DY54310" s="185" t="s">
        <v>215</v>
      </c>
    </row>
    <row r="54311" spans="129:129" x14ac:dyDescent="0.2">
      <c r="DY54311" s="185" t="s">
        <v>215</v>
      </c>
    </row>
    <row r="54312" spans="129:129" x14ac:dyDescent="0.2">
      <c r="DY54312" s="185" t="s">
        <v>215</v>
      </c>
    </row>
    <row r="54313" spans="129:129" x14ac:dyDescent="0.2">
      <c r="DY54313" s="185" t="s">
        <v>215</v>
      </c>
    </row>
    <row r="54314" spans="129:129" x14ac:dyDescent="0.2">
      <c r="DY54314" s="185" t="s">
        <v>215</v>
      </c>
    </row>
    <row r="54315" spans="129:129" x14ac:dyDescent="0.2">
      <c r="DY54315" s="185" t="s">
        <v>215</v>
      </c>
    </row>
    <row r="54316" spans="129:129" x14ac:dyDescent="0.2">
      <c r="DY54316" s="185" t="s">
        <v>215</v>
      </c>
    </row>
    <row r="54317" spans="129:129" x14ac:dyDescent="0.2">
      <c r="DY54317" s="185" t="s">
        <v>215</v>
      </c>
    </row>
    <row r="54318" spans="129:129" x14ac:dyDescent="0.2">
      <c r="DY54318" s="185" t="s">
        <v>215</v>
      </c>
    </row>
    <row r="54319" spans="129:129" x14ac:dyDescent="0.2">
      <c r="DY54319" s="185" t="s">
        <v>215</v>
      </c>
    </row>
    <row r="54320" spans="129:129" x14ac:dyDescent="0.2">
      <c r="DY54320" s="185" t="s">
        <v>215</v>
      </c>
    </row>
    <row r="54321" spans="129:129" x14ac:dyDescent="0.2">
      <c r="DY54321" s="185" t="s">
        <v>215</v>
      </c>
    </row>
    <row r="54322" spans="129:129" x14ac:dyDescent="0.2">
      <c r="DY54322" s="185" t="s">
        <v>215</v>
      </c>
    </row>
    <row r="54323" spans="129:129" x14ac:dyDescent="0.2">
      <c r="DY54323" s="185" t="s">
        <v>215</v>
      </c>
    </row>
    <row r="54324" spans="129:129" x14ac:dyDescent="0.2">
      <c r="DY54324" s="185" t="s">
        <v>215</v>
      </c>
    </row>
    <row r="54325" spans="129:129" x14ac:dyDescent="0.2">
      <c r="DY54325" s="185" t="s">
        <v>215</v>
      </c>
    </row>
    <row r="54326" spans="129:129" x14ac:dyDescent="0.2">
      <c r="DY54326" s="185" t="s">
        <v>215</v>
      </c>
    </row>
    <row r="54327" spans="129:129" x14ac:dyDescent="0.2">
      <c r="DY54327" s="185" t="s">
        <v>215</v>
      </c>
    </row>
    <row r="54328" spans="129:129" x14ac:dyDescent="0.2">
      <c r="DY54328" s="185" t="s">
        <v>215</v>
      </c>
    </row>
    <row r="54329" spans="129:129" x14ac:dyDescent="0.2">
      <c r="DY54329" s="185" t="s">
        <v>215</v>
      </c>
    </row>
    <row r="54330" spans="129:129" x14ac:dyDescent="0.2">
      <c r="DY54330" s="185" t="s">
        <v>215</v>
      </c>
    </row>
    <row r="54331" spans="129:129" x14ac:dyDescent="0.2">
      <c r="DY54331" s="185" t="s">
        <v>215</v>
      </c>
    </row>
    <row r="54332" spans="129:129" x14ac:dyDescent="0.2">
      <c r="DY54332" s="185" t="s">
        <v>215</v>
      </c>
    </row>
    <row r="54333" spans="129:129" x14ac:dyDescent="0.2">
      <c r="DY54333" s="185" t="s">
        <v>215</v>
      </c>
    </row>
    <row r="54334" spans="129:129" x14ac:dyDescent="0.2">
      <c r="DY54334" s="185" t="s">
        <v>215</v>
      </c>
    </row>
    <row r="54335" spans="129:129" x14ac:dyDescent="0.2">
      <c r="DY54335" s="185" t="s">
        <v>215</v>
      </c>
    </row>
    <row r="54336" spans="129:129" x14ac:dyDescent="0.2">
      <c r="DY54336" s="185" t="s">
        <v>215</v>
      </c>
    </row>
    <row r="54337" spans="129:129" x14ac:dyDescent="0.2">
      <c r="DY54337" s="185" t="s">
        <v>215</v>
      </c>
    </row>
    <row r="54338" spans="129:129" x14ac:dyDescent="0.2">
      <c r="DY54338" s="185" t="s">
        <v>215</v>
      </c>
    </row>
    <row r="54339" spans="129:129" x14ac:dyDescent="0.2">
      <c r="DY54339" s="185" t="s">
        <v>215</v>
      </c>
    </row>
    <row r="54340" spans="129:129" x14ac:dyDescent="0.2">
      <c r="DY54340" s="185" t="s">
        <v>215</v>
      </c>
    </row>
    <row r="54341" spans="129:129" x14ac:dyDescent="0.2">
      <c r="DY54341" s="185" t="s">
        <v>215</v>
      </c>
    </row>
    <row r="54342" spans="129:129" x14ac:dyDescent="0.2">
      <c r="DY54342" s="185" t="s">
        <v>215</v>
      </c>
    </row>
    <row r="54343" spans="129:129" x14ac:dyDescent="0.2">
      <c r="DY54343" s="185" t="s">
        <v>215</v>
      </c>
    </row>
    <row r="54344" spans="129:129" x14ac:dyDescent="0.2">
      <c r="DY54344" s="185" t="s">
        <v>215</v>
      </c>
    </row>
    <row r="54345" spans="129:129" x14ac:dyDescent="0.2">
      <c r="DY54345" s="185" t="s">
        <v>215</v>
      </c>
    </row>
    <row r="54346" spans="129:129" x14ac:dyDescent="0.2">
      <c r="DY54346" s="185" t="s">
        <v>215</v>
      </c>
    </row>
    <row r="54347" spans="129:129" x14ac:dyDescent="0.2">
      <c r="DY54347" s="185" t="s">
        <v>215</v>
      </c>
    </row>
    <row r="54348" spans="129:129" x14ac:dyDescent="0.2">
      <c r="DY54348" s="185" t="s">
        <v>215</v>
      </c>
    </row>
    <row r="54349" spans="129:129" x14ac:dyDescent="0.2">
      <c r="DY54349" s="185" t="s">
        <v>215</v>
      </c>
    </row>
    <row r="54350" spans="129:129" x14ac:dyDescent="0.2">
      <c r="DY54350" s="185" t="s">
        <v>215</v>
      </c>
    </row>
    <row r="54351" spans="129:129" x14ac:dyDescent="0.2">
      <c r="DY54351" s="185" t="s">
        <v>215</v>
      </c>
    </row>
    <row r="54352" spans="129:129" x14ac:dyDescent="0.2">
      <c r="DY54352" s="185" t="s">
        <v>215</v>
      </c>
    </row>
    <row r="54353" spans="129:129" x14ac:dyDescent="0.2">
      <c r="DY54353" s="185" t="s">
        <v>215</v>
      </c>
    </row>
    <row r="54354" spans="129:129" x14ac:dyDescent="0.2">
      <c r="DY54354" s="185" t="s">
        <v>215</v>
      </c>
    </row>
    <row r="54355" spans="129:129" x14ac:dyDescent="0.2">
      <c r="DY54355" s="185" t="s">
        <v>215</v>
      </c>
    </row>
    <row r="54356" spans="129:129" x14ac:dyDescent="0.2">
      <c r="DY54356" s="185" t="s">
        <v>215</v>
      </c>
    </row>
    <row r="54357" spans="129:129" x14ac:dyDescent="0.2">
      <c r="DY54357" s="185" t="s">
        <v>215</v>
      </c>
    </row>
    <row r="54358" spans="129:129" x14ac:dyDescent="0.2">
      <c r="DY54358" s="185" t="s">
        <v>215</v>
      </c>
    </row>
    <row r="54359" spans="129:129" x14ac:dyDescent="0.2">
      <c r="DY54359" s="185" t="s">
        <v>215</v>
      </c>
    </row>
    <row r="54360" spans="129:129" x14ac:dyDescent="0.2">
      <c r="DY54360" s="185" t="s">
        <v>215</v>
      </c>
    </row>
    <row r="54361" spans="129:129" x14ac:dyDescent="0.2">
      <c r="DY54361" s="185" t="s">
        <v>215</v>
      </c>
    </row>
    <row r="54362" spans="129:129" x14ac:dyDescent="0.2">
      <c r="DY54362" s="185" t="s">
        <v>215</v>
      </c>
    </row>
    <row r="54363" spans="129:129" x14ac:dyDescent="0.2">
      <c r="DY54363" s="185" t="s">
        <v>215</v>
      </c>
    </row>
    <row r="54364" spans="129:129" x14ac:dyDescent="0.2">
      <c r="DY54364" s="185" t="s">
        <v>215</v>
      </c>
    </row>
    <row r="54365" spans="129:129" x14ac:dyDescent="0.2">
      <c r="DY54365" s="185" t="s">
        <v>215</v>
      </c>
    </row>
    <row r="54366" spans="129:129" x14ac:dyDescent="0.2">
      <c r="DY54366" s="185" t="s">
        <v>215</v>
      </c>
    </row>
    <row r="54367" spans="129:129" x14ac:dyDescent="0.2">
      <c r="DY54367" s="185" t="s">
        <v>215</v>
      </c>
    </row>
    <row r="54368" spans="129:129" x14ac:dyDescent="0.2">
      <c r="DY54368" s="185" t="s">
        <v>215</v>
      </c>
    </row>
    <row r="54369" spans="129:129" x14ac:dyDescent="0.2">
      <c r="DY54369" s="185" t="s">
        <v>215</v>
      </c>
    </row>
    <row r="54370" spans="129:129" x14ac:dyDescent="0.2">
      <c r="DY54370" s="185" t="s">
        <v>215</v>
      </c>
    </row>
    <row r="54371" spans="129:129" x14ac:dyDescent="0.2">
      <c r="DY54371" s="185" t="s">
        <v>215</v>
      </c>
    </row>
    <row r="54372" spans="129:129" x14ac:dyDescent="0.2">
      <c r="DY54372" s="185" t="s">
        <v>215</v>
      </c>
    </row>
    <row r="54373" spans="129:129" x14ac:dyDescent="0.2">
      <c r="DY54373" s="185" t="s">
        <v>215</v>
      </c>
    </row>
    <row r="54374" spans="129:129" x14ac:dyDescent="0.2">
      <c r="DY54374" s="185" t="s">
        <v>215</v>
      </c>
    </row>
    <row r="54375" spans="129:129" x14ac:dyDescent="0.2">
      <c r="DY54375" s="185" t="s">
        <v>215</v>
      </c>
    </row>
    <row r="54376" spans="129:129" x14ac:dyDescent="0.2">
      <c r="DY54376" s="185" t="s">
        <v>215</v>
      </c>
    </row>
    <row r="54377" spans="129:129" x14ac:dyDescent="0.2">
      <c r="DY54377" s="185" t="s">
        <v>215</v>
      </c>
    </row>
    <row r="54378" spans="129:129" x14ac:dyDescent="0.2">
      <c r="DY54378" s="185" t="s">
        <v>215</v>
      </c>
    </row>
    <row r="54379" spans="129:129" x14ac:dyDescent="0.2">
      <c r="DY54379" s="185" t="s">
        <v>215</v>
      </c>
    </row>
    <row r="54380" spans="129:129" x14ac:dyDescent="0.2">
      <c r="DY54380" s="185" t="s">
        <v>215</v>
      </c>
    </row>
    <row r="54381" spans="129:129" x14ac:dyDescent="0.2">
      <c r="DY54381" s="185" t="s">
        <v>215</v>
      </c>
    </row>
    <row r="54382" spans="129:129" x14ac:dyDescent="0.2">
      <c r="DY54382" s="185" t="s">
        <v>215</v>
      </c>
    </row>
    <row r="54383" spans="129:129" x14ac:dyDescent="0.2">
      <c r="DY54383" s="185" t="s">
        <v>215</v>
      </c>
    </row>
    <row r="54384" spans="129:129" x14ac:dyDescent="0.2">
      <c r="DY54384" s="185" t="s">
        <v>215</v>
      </c>
    </row>
    <row r="54385" spans="129:129" x14ac:dyDescent="0.2">
      <c r="DY54385" s="185" t="s">
        <v>215</v>
      </c>
    </row>
    <row r="54386" spans="129:129" x14ac:dyDescent="0.2">
      <c r="DY54386" s="185" t="s">
        <v>215</v>
      </c>
    </row>
    <row r="54387" spans="129:129" x14ac:dyDescent="0.2">
      <c r="DY54387" s="185" t="s">
        <v>215</v>
      </c>
    </row>
    <row r="54388" spans="129:129" x14ac:dyDescent="0.2">
      <c r="DY54388" s="185" t="s">
        <v>215</v>
      </c>
    </row>
    <row r="54389" spans="129:129" x14ac:dyDescent="0.2">
      <c r="DY54389" s="185" t="s">
        <v>215</v>
      </c>
    </row>
    <row r="54390" spans="129:129" x14ac:dyDescent="0.2">
      <c r="DY54390" s="185" t="s">
        <v>215</v>
      </c>
    </row>
    <row r="54391" spans="129:129" x14ac:dyDescent="0.2">
      <c r="DY54391" s="185" t="s">
        <v>215</v>
      </c>
    </row>
    <row r="54392" spans="129:129" x14ac:dyDescent="0.2">
      <c r="DY54392" s="185" t="s">
        <v>215</v>
      </c>
    </row>
    <row r="54393" spans="129:129" x14ac:dyDescent="0.2">
      <c r="DY54393" s="185" t="s">
        <v>215</v>
      </c>
    </row>
    <row r="54394" spans="129:129" x14ac:dyDescent="0.2">
      <c r="DY54394" s="185" t="s">
        <v>215</v>
      </c>
    </row>
    <row r="54395" spans="129:129" x14ac:dyDescent="0.2">
      <c r="DY54395" s="185" t="s">
        <v>215</v>
      </c>
    </row>
    <row r="54396" spans="129:129" x14ac:dyDescent="0.2">
      <c r="DY54396" s="185" t="s">
        <v>215</v>
      </c>
    </row>
    <row r="54397" spans="129:129" x14ac:dyDescent="0.2">
      <c r="DY54397" s="185" t="s">
        <v>215</v>
      </c>
    </row>
    <row r="54398" spans="129:129" x14ac:dyDescent="0.2">
      <c r="DY54398" s="185" t="s">
        <v>215</v>
      </c>
    </row>
    <row r="54399" spans="129:129" x14ac:dyDescent="0.2">
      <c r="DY54399" s="185" t="s">
        <v>215</v>
      </c>
    </row>
    <row r="54400" spans="129:129" x14ac:dyDescent="0.2">
      <c r="DY54400" s="185" t="s">
        <v>215</v>
      </c>
    </row>
    <row r="54401" spans="129:129" x14ac:dyDescent="0.2">
      <c r="DY54401" s="185" t="s">
        <v>215</v>
      </c>
    </row>
    <row r="54402" spans="129:129" x14ac:dyDescent="0.2">
      <c r="DY54402" s="185" t="s">
        <v>215</v>
      </c>
    </row>
    <row r="54403" spans="129:129" x14ac:dyDescent="0.2">
      <c r="DY54403" s="185" t="s">
        <v>215</v>
      </c>
    </row>
    <row r="54404" spans="129:129" x14ac:dyDescent="0.2">
      <c r="DY54404" s="185" t="s">
        <v>215</v>
      </c>
    </row>
    <row r="54405" spans="129:129" x14ac:dyDescent="0.2">
      <c r="DY54405" s="185" t="s">
        <v>215</v>
      </c>
    </row>
    <row r="54406" spans="129:129" x14ac:dyDescent="0.2">
      <c r="DY54406" s="185" t="s">
        <v>215</v>
      </c>
    </row>
    <row r="54407" spans="129:129" x14ac:dyDescent="0.2">
      <c r="DY54407" s="185" t="s">
        <v>215</v>
      </c>
    </row>
    <row r="54408" spans="129:129" x14ac:dyDescent="0.2">
      <c r="DY54408" s="185" t="s">
        <v>215</v>
      </c>
    </row>
    <row r="54409" spans="129:129" x14ac:dyDescent="0.2">
      <c r="DY54409" s="185" t="s">
        <v>215</v>
      </c>
    </row>
    <row r="54410" spans="129:129" x14ac:dyDescent="0.2">
      <c r="DY54410" s="185" t="s">
        <v>215</v>
      </c>
    </row>
    <row r="54411" spans="129:129" x14ac:dyDescent="0.2">
      <c r="DY54411" s="185" t="s">
        <v>215</v>
      </c>
    </row>
    <row r="54412" spans="129:129" x14ac:dyDescent="0.2">
      <c r="DY54412" s="185" t="s">
        <v>215</v>
      </c>
    </row>
    <row r="54413" spans="129:129" x14ac:dyDescent="0.2">
      <c r="DY54413" s="185" t="s">
        <v>215</v>
      </c>
    </row>
    <row r="54414" spans="129:129" x14ac:dyDescent="0.2">
      <c r="DY54414" s="185" t="s">
        <v>215</v>
      </c>
    </row>
    <row r="54415" spans="129:129" x14ac:dyDescent="0.2">
      <c r="DY54415" s="185" t="s">
        <v>215</v>
      </c>
    </row>
    <row r="54416" spans="129:129" x14ac:dyDescent="0.2">
      <c r="DY54416" s="185" t="s">
        <v>215</v>
      </c>
    </row>
    <row r="54417" spans="129:129" x14ac:dyDescent="0.2">
      <c r="DY54417" s="185" t="s">
        <v>215</v>
      </c>
    </row>
    <row r="54418" spans="129:129" x14ac:dyDescent="0.2">
      <c r="DY54418" s="185" t="s">
        <v>215</v>
      </c>
    </row>
    <row r="54419" spans="129:129" x14ac:dyDescent="0.2">
      <c r="DY54419" s="185" t="s">
        <v>215</v>
      </c>
    </row>
    <row r="54420" spans="129:129" x14ac:dyDescent="0.2">
      <c r="DY54420" s="185" t="s">
        <v>215</v>
      </c>
    </row>
    <row r="54421" spans="129:129" x14ac:dyDescent="0.2">
      <c r="DY54421" s="185" t="s">
        <v>215</v>
      </c>
    </row>
    <row r="54422" spans="129:129" x14ac:dyDescent="0.2">
      <c r="DY54422" s="185" t="s">
        <v>215</v>
      </c>
    </row>
    <row r="54423" spans="129:129" x14ac:dyDescent="0.2">
      <c r="DY54423" s="185" t="s">
        <v>215</v>
      </c>
    </row>
    <row r="54424" spans="129:129" x14ac:dyDescent="0.2">
      <c r="DY54424" s="185" t="s">
        <v>215</v>
      </c>
    </row>
    <row r="54425" spans="129:129" x14ac:dyDescent="0.2">
      <c r="DY54425" s="185" t="s">
        <v>215</v>
      </c>
    </row>
    <row r="54426" spans="129:129" x14ac:dyDescent="0.2">
      <c r="DY54426" s="185" t="s">
        <v>215</v>
      </c>
    </row>
    <row r="54427" spans="129:129" x14ac:dyDescent="0.2">
      <c r="DY54427" s="185" t="s">
        <v>215</v>
      </c>
    </row>
    <row r="54428" spans="129:129" x14ac:dyDescent="0.2">
      <c r="DY54428" s="185" t="s">
        <v>215</v>
      </c>
    </row>
    <row r="54429" spans="129:129" x14ac:dyDescent="0.2">
      <c r="DY54429" s="185" t="s">
        <v>215</v>
      </c>
    </row>
    <row r="54430" spans="129:129" x14ac:dyDescent="0.2">
      <c r="DY54430" s="185" t="s">
        <v>215</v>
      </c>
    </row>
    <row r="54431" spans="129:129" x14ac:dyDescent="0.2">
      <c r="DY54431" s="185" t="s">
        <v>215</v>
      </c>
    </row>
    <row r="54432" spans="129:129" x14ac:dyDescent="0.2">
      <c r="DY54432" s="185" t="s">
        <v>215</v>
      </c>
    </row>
    <row r="54433" spans="129:129" x14ac:dyDescent="0.2">
      <c r="DY54433" s="185" t="s">
        <v>215</v>
      </c>
    </row>
    <row r="54434" spans="129:129" x14ac:dyDescent="0.2">
      <c r="DY54434" s="185" t="s">
        <v>215</v>
      </c>
    </row>
    <row r="54435" spans="129:129" x14ac:dyDescent="0.2">
      <c r="DY54435" s="185" t="s">
        <v>215</v>
      </c>
    </row>
    <row r="54436" spans="129:129" x14ac:dyDescent="0.2">
      <c r="DY54436" s="185" t="s">
        <v>215</v>
      </c>
    </row>
    <row r="54437" spans="129:129" x14ac:dyDescent="0.2">
      <c r="DY54437" s="185" t="s">
        <v>215</v>
      </c>
    </row>
    <row r="54438" spans="129:129" x14ac:dyDescent="0.2">
      <c r="DY54438" s="185" t="s">
        <v>215</v>
      </c>
    </row>
    <row r="54439" spans="129:129" x14ac:dyDescent="0.2">
      <c r="DY54439" s="185" t="s">
        <v>215</v>
      </c>
    </row>
    <row r="54440" spans="129:129" x14ac:dyDescent="0.2">
      <c r="DY54440" s="185" t="s">
        <v>215</v>
      </c>
    </row>
    <row r="54441" spans="129:129" x14ac:dyDescent="0.2">
      <c r="DY54441" s="185" t="s">
        <v>215</v>
      </c>
    </row>
    <row r="54442" spans="129:129" x14ac:dyDescent="0.2">
      <c r="DY54442" s="185" t="s">
        <v>215</v>
      </c>
    </row>
    <row r="54443" spans="129:129" x14ac:dyDescent="0.2">
      <c r="DY54443" s="185" t="s">
        <v>215</v>
      </c>
    </row>
    <row r="54444" spans="129:129" x14ac:dyDescent="0.2">
      <c r="DY54444" s="185" t="s">
        <v>215</v>
      </c>
    </row>
    <row r="54445" spans="129:129" x14ac:dyDescent="0.2">
      <c r="DY54445" s="185" t="s">
        <v>215</v>
      </c>
    </row>
    <row r="54446" spans="129:129" x14ac:dyDescent="0.2">
      <c r="DY54446" s="185" t="s">
        <v>215</v>
      </c>
    </row>
    <row r="54447" spans="129:129" x14ac:dyDescent="0.2">
      <c r="DY54447" s="185" t="s">
        <v>215</v>
      </c>
    </row>
    <row r="54448" spans="129:129" x14ac:dyDescent="0.2">
      <c r="DY54448" s="185" t="s">
        <v>215</v>
      </c>
    </row>
    <row r="54449" spans="129:129" x14ac:dyDescent="0.2">
      <c r="DY54449" s="185" t="s">
        <v>215</v>
      </c>
    </row>
    <row r="54450" spans="129:129" x14ac:dyDescent="0.2">
      <c r="DY54450" s="185" t="s">
        <v>215</v>
      </c>
    </row>
    <row r="54451" spans="129:129" x14ac:dyDescent="0.2">
      <c r="DY54451" s="185" t="s">
        <v>215</v>
      </c>
    </row>
    <row r="54452" spans="129:129" x14ac:dyDescent="0.2">
      <c r="DY54452" s="185" t="s">
        <v>215</v>
      </c>
    </row>
    <row r="54453" spans="129:129" x14ac:dyDescent="0.2">
      <c r="DY54453" s="185" t="s">
        <v>215</v>
      </c>
    </row>
    <row r="54454" spans="129:129" x14ac:dyDescent="0.2">
      <c r="DY54454" s="185" t="s">
        <v>215</v>
      </c>
    </row>
    <row r="54455" spans="129:129" x14ac:dyDescent="0.2">
      <c r="DY54455" s="185" t="s">
        <v>215</v>
      </c>
    </row>
    <row r="54456" spans="129:129" x14ac:dyDescent="0.2">
      <c r="DY54456" s="185" t="s">
        <v>215</v>
      </c>
    </row>
    <row r="54457" spans="129:129" x14ac:dyDescent="0.2">
      <c r="DY54457" s="185" t="s">
        <v>215</v>
      </c>
    </row>
    <row r="54458" spans="129:129" x14ac:dyDescent="0.2">
      <c r="DY54458" s="185" t="s">
        <v>215</v>
      </c>
    </row>
    <row r="54459" spans="129:129" x14ac:dyDescent="0.2">
      <c r="DY54459" s="185" t="s">
        <v>215</v>
      </c>
    </row>
    <row r="54460" spans="129:129" x14ac:dyDescent="0.2">
      <c r="DY54460" s="185" t="s">
        <v>215</v>
      </c>
    </row>
    <row r="54461" spans="129:129" x14ac:dyDescent="0.2">
      <c r="DY54461" s="185" t="s">
        <v>215</v>
      </c>
    </row>
    <row r="54462" spans="129:129" x14ac:dyDescent="0.2">
      <c r="DY54462" s="185" t="s">
        <v>215</v>
      </c>
    </row>
    <row r="54463" spans="129:129" x14ac:dyDescent="0.2">
      <c r="DY54463" s="185" t="s">
        <v>215</v>
      </c>
    </row>
    <row r="54464" spans="129:129" x14ac:dyDescent="0.2">
      <c r="DY54464" s="185" t="s">
        <v>215</v>
      </c>
    </row>
    <row r="54465" spans="129:129" x14ac:dyDescent="0.2">
      <c r="DY54465" s="185" t="s">
        <v>215</v>
      </c>
    </row>
    <row r="54466" spans="129:129" x14ac:dyDescent="0.2">
      <c r="DY54466" s="185" t="s">
        <v>215</v>
      </c>
    </row>
    <row r="54467" spans="129:129" x14ac:dyDescent="0.2">
      <c r="DY54467" s="185" t="s">
        <v>215</v>
      </c>
    </row>
    <row r="54468" spans="129:129" x14ac:dyDescent="0.2">
      <c r="DY54468" s="185" t="s">
        <v>215</v>
      </c>
    </row>
    <row r="54469" spans="129:129" x14ac:dyDescent="0.2">
      <c r="DY54469" s="185" t="s">
        <v>215</v>
      </c>
    </row>
    <row r="54470" spans="129:129" x14ac:dyDescent="0.2">
      <c r="DY54470" s="185" t="s">
        <v>215</v>
      </c>
    </row>
    <row r="54471" spans="129:129" x14ac:dyDescent="0.2">
      <c r="DY54471" s="185" t="s">
        <v>215</v>
      </c>
    </row>
    <row r="54472" spans="129:129" x14ac:dyDescent="0.2">
      <c r="DY54472" s="185" t="s">
        <v>215</v>
      </c>
    </row>
    <row r="54473" spans="129:129" x14ac:dyDescent="0.2">
      <c r="DY54473" s="185" t="s">
        <v>215</v>
      </c>
    </row>
    <row r="54474" spans="129:129" x14ac:dyDescent="0.2">
      <c r="DY54474" s="185" t="s">
        <v>215</v>
      </c>
    </row>
    <row r="54475" spans="129:129" x14ac:dyDescent="0.2">
      <c r="DY54475" s="185" t="s">
        <v>215</v>
      </c>
    </row>
    <row r="54476" spans="129:129" x14ac:dyDescent="0.2">
      <c r="DY54476" s="185" t="s">
        <v>215</v>
      </c>
    </row>
    <row r="54477" spans="129:129" x14ac:dyDescent="0.2">
      <c r="DY54477" s="185" t="s">
        <v>215</v>
      </c>
    </row>
    <row r="54478" spans="129:129" x14ac:dyDescent="0.2">
      <c r="DY54478" s="185" t="s">
        <v>215</v>
      </c>
    </row>
    <row r="54479" spans="129:129" x14ac:dyDescent="0.2">
      <c r="DY54479" s="185" t="s">
        <v>215</v>
      </c>
    </row>
    <row r="54480" spans="129:129" x14ac:dyDescent="0.2">
      <c r="DY54480" s="185" t="s">
        <v>215</v>
      </c>
    </row>
    <row r="54481" spans="129:129" x14ac:dyDescent="0.2">
      <c r="DY54481" s="185" t="s">
        <v>215</v>
      </c>
    </row>
    <row r="54482" spans="129:129" x14ac:dyDescent="0.2">
      <c r="DY54482" s="185" t="s">
        <v>215</v>
      </c>
    </row>
    <row r="54483" spans="129:129" x14ac:dyDescent="0.2">
      <c r="DY54483" s="185" t="s">
        <v>215</v>
      </c>
    </row>
    <row r="54484" spans="129:129" x14ac:dyDescent="0.2">
      <c r="DY54484" s="185" t="s">
        <v>215</v>
      </c>
    </row>
    <row r="54485" spans="129:129" x14ac:dyDescent="0.2">
      <c r="DY54485" s="185" t="s">
        <v>215</v>
      </c>
    </row>
    <row r="54486" spans="129:129" x14ac:dyDescent="0.2">
      <c r="DY54486" s="185" t="s">
        <v>215</v>
      </c>
    </row>
    <row r="54487" spans="129:129" x14ac:dyDescent="0.2">
      <c r="DY54487" s="185" t="s">
        <v>215</v>
      </c>
    </row>
    <row r="54488" spans="129:129" x14ac:dyDescent="0.2">
      <c r="DY54488" s="185" t="s">
        <v>215</v>
      </c>
    </row>
    <row r="54489" spans="129:129" x14ac:dyDescent="0.2">
      <c r="DY54489" s="185" t="s">
        <v>215</v>
      </c>
    </row>
    <row r="54490" spans="129:129" x14ac:dyDescent="0.2">
      <c r="DY54490" s="185" t="s">
        <v>215</v>
      </c>
    </row>
    <row r="54491" spans="129:129" x14ac:dyDescent="0.2">
      <c r="DY54491" s="185" t="s">
        <v>215</v>
      </c>
    </row>
    <row r="54492" spans="129:129" x14ac:dyDescent="0.2">
      <c r="DY54492" s="185" t="s">
        <v>215</v>
      </c>
    </row>
    <row r="54493" spans="129:129" x14ac:dyDescent="0.2">
      <c r="DY54493" s="185" t="s">
        <v>215</v>
      </c>
    </row>
    <row r="54494" spans="129:129" x14ac:dyDescent="0.2">
      <c r="DY54494" s="185" t="s">
        <v>215</v>
      </c>
    </row>
    <row r="54495" spans="129:129" x14ac:dyDescent="0.2">
      <c r="DY54495" s="185" t="s">
        <v>215</v>
      </c>
    </row>
    <row r="54496" spans="129:129" x14ac:dyDescent="0.2">
      <c r="DY54496" s="185" t="s">
        <v>215</v>
      </c>
    </row>
    <row r="54497" spans="129:129" x14ac:dyDescent="0.2">
      <c r="DY54497" s="185" t="s">
        <v>215</v>
      </c>
    </row>
    <row r="54498" spans="129:129" x14ac:dyDescent="0.2">
      <c r="DY54498" s="185" t="s">
        <v>215</v>
      </c>
    </row>
    <row r="54499" spans="129:129" x14ac:dyDescent="0.2">
      <c r="DY54499" s="185" t="s">
        <v>215</v>
      </c>
    </row>
    <row r="54500" spans="129:129" x14ac:dyDescent="0.2">
      <c r="DY54500" s="185" t="s">
        <v>215</v>
      </c>
    </row>
    <row r="54501" spans="129:129" x14ac:dyDescent="0.2">
      <c r="DY54501" s="185" t="s">
        <v>215</v>
      </c>
    </row>
    <row r="54502" spans="129:129" x14ac:dyDescent="0.2">
      <c r="DY54502" s="185" t="s">
        <v>215</v>
      </c>
    </row>
    <row r="54503" spans="129:129" x14ac:dyDescent="0.2">
      <c r="DY54503" s="185" t="s">
        <v>215</v>
      </c>
    </row>
    <row r="54504" spans="129:129" x14ac:dyDescent="0.2">
      <c r="DY54504" s="185" t="s">
        <v>215</v>
      </c>
    </row>
    <row r="54505" spans="129:129" x14ac:dyDescent="0.2">
      <c r="DY54505" s="185" t="s">
        <v>215</v>
      </c>
    </row>
    <row r="54506" spans="129:129" x14ac:dyDescent="0.2">
      <c r="DY54506" s="185" t="s">
        <v>215</v>
      </c>
    </row>
    <row r="54507" spans="129:129" x14ac:dyDescent="0.2">
      <c r="DY54507" s="185" t="s">
        <v>215</v>
      </c>
    </row>
    <row r="54508" spans="129:129" x14ac:dyDescent="0.2">
      <c r="DY54508" s="185" t="s">
        <v>215</v>
      </c>
    </row>
    <row r="54509" spans="129:129" x14ac:dyDescent="0.2">
      <c r="DY54509" s="185" t="s">
        <v>215</v>
      </c>
    </row>
    <row r="54510" spans="129:129" x14ac:dyDescent="0.2">
      <c r="DY54510" s="185" t="s">
        <v>215</v>
      </c>
    </row>
    <row r="54511" spans="129:129" x14ac:dyDescent="0.2">
      <c r="DY54511" s="185" t="s">
        <v>215</v>
      </c>
    </row>
    <row r="54512" spans="129:129" x14ac:dyDescent="0.2">
      <c r="DY54512" s="185" t="s">
        <v>215</v>
      </c>
    </row>
    <row r="54513" spans="129:129" x14ac:dyDescent="0.2">
      <c r="DY54513" s="185" t="s">
        <v>215</v>
      </c>
    </row>
    <row r="54514" spans="129:129" x14ac:dyDescent="0.2">
      <c r="DY54514" s="185" t="s">
        <v>215</v>
      </c>
    </row>
    <row r="54515" spans="129:129" x14ac:dyDescent="0.2">
      <c r="DY54515" s="185" t="s">
        <v>215</v>
      </c>
    </row>
    <row r="54516" spans="129:129" x14ac:dyDescent="0.2">
      <c r="DY54516" s="185" t="s">
        <v>215</v>
      </c>
    </row>
    <row r="54517" spans="129:129" x14ac:dyDescent="0.2">
      <c r="DY54517" s="185" t="s">
        <v>215</v>
      </c>
    </row>
    <row r="54518" spans="129:129" x14ac:dyDescent="0.2">
      <c r="DY54518" s="185" t="s">
        <v>215</v>
      </c>
    </row>
    <row r="54519" spans="129:129" x14ac:dyDescent="0.2">
      <c r="DY54519" s="185" t="s">
        <v>215</v>
      </c>
    </row>
    <row r="54520" spans="129:129" x14ac:dyDescent="0.2">
      <c r="DY54520" s="185" t="s">
        <v>215</v>
      </c>
    </row>
    <row r="54521" spans="129:129" x14ac:dyDescent="0.2">
      <c r="DY54521" s="185" t="s">
        <v>215</v>
      </c>
    </row>
    <row r="54522" spans="129:129" x14ac:dyDescent="0.2">
      <c r="DY54522" s="185" t="s">
        <v>215</v>
      </c>
    </row>
    <row r="54523" spans="129:129" x14ac:dyDescent="0.2">
      <c r="DY54523" s="185" t="s">
        <v>215</v>
      </c>
    </row>
    <row r="54524" spans="129:129" x14ac:dyDescent="0.2">
      <c r="DY54524" s="185" t="s">
        <v>215</v>
      </c>
    </row>
    <row r="54525" spans="129:129" x14ac:dyDescent="0.2">
      <c r="DY54525" s="185" t="s">
        <v>215</v>
      </c>
    </row>
    <row r="54526" spans="129:129" x14ac:dyDescent="0.2">
      <c r="DY54526" s="185" t="s">
        <v>215</v>
      </c>
    </row>
    <row r="54527" spans="129:129" x14ac:dyDescent="0.2">
      <c r="DY54527" s="185" t="s">
        <v>215</v>
      </c>
    </row>
    <row r="54528" spans="129:129" x14ac:dyDescent="0.2">
      <c r="DY54528" s="185" t="s">
        <v>215</v>
      </c>
    </row>
    <row r="54529" spans="129:129" x14ac:dyDescent="0.2">
      <c r="DY54529" s="185" t="s">
        <v>215</v>
      </c>
    </row>
    <row r="54530" spans="129:129" x14ac:dyDescent="0.2">
      <c r="DY54530" s="185" t="s">
        <v>215</v>
      </c>
    </row>
    <row r="54531" spans="129:129" x14ac:dyDescent="0.2">
      <c r="DY54531" s="185" t="s">
        <v>215</v>
      </c>
    </row>
    <row r="54532" spans="129:129" x14ac:dyDescent="0.2">
      <c r="DY54532" s="185" t="s">
        <v>215</v>
      </c>
    </row>
    <row r="54533" spans="129:129" x14ac:dyDescent="0.2">
      <c r="DY54533" s="185" t="s">
        <v>215</v>
      </c>
    </row>
    <row r="54534" spans="129:129" x14ac:dyDescent="0.2">
      <c r="DY54534" s="185" t="s">
        <v>215</v>
      </c>
    </row>
    <row r="54535" spans="129:129" x14ac:dyDescent="0.2">
      <c r="DY54535" s="185" t="s">
        <v>215</v>
      </c>
    </row>
    <row r="54536" spans="129:129" x14ac:dyDescent="0.2">
      <c r="DY54536" s="185" t="s">
        <v>215</v>
      </c>
    </row>
    <row r="54537" spans="129:129" x14ac:dyDescent="0.2">
      <c r="DY54537" s="185" t="s">
        <v>215</v>
      </c>
    </row>
    <row r="54538" spans="129:129" x14ac:dyDescent="0.2">
      <c r="DY54538" s="185" t="s">
        <v>215</v>
      </c>
    </row>
    <row r="54539" spans="129:129" x14ac:dyDescent="0.2">
      <c r="DY54539" s="185" t="s">
        <v>215</v>
      </c>
    </row>
    <row r="54540" spans="129:129" x14ac:dyDescent="0.2">
      <c r="DY54540" s="185" t="s">
        <v>215</v>
      </c>
    </row>
    <row r="54541" spans="129:129" x14ac:dyDescent="0.2">
      <c r="DY54541" s="185" t="s">
        <v>215</v>
      </c>
    </row>
    <row r="54542" spans="129:129" x14ac:dyDescent="0.2">
      <c r="DY54542" s="185" t="s">
        <v>215</v>
      </c>
    </row>
    <row r="54543" spans="129:129" x14ac:dyDescent="0.2">
      <c r="DY54543" s="185" t="s">
        <v>215</v>
      </c>
    </row>
    <row r="54544" spans="129:129" x14ac:dyDescent="0.2">
      <c r="DY54544" s="185" t="s">
        <v>215</v>
      </c>
    </row>
    <row r="54545" spans="129:129" x14ac:dyDescent="0.2">
      <c r="DY54545" s="185" t="s">
        <v>215</v>
      </c>
    </row>
    <row r="54546" spans="129:129" x14ac:dyDescent="0.2">
      <c r="DY54546" s="185" t="s">
        <v>215</v>
      </c>
    </row>
    <row r="54547" spans="129:129" x14ac:dyDescent="0.2">
      <c r="DY54547" s="185" t="s">
        <v>215</v>
      </c>
    </row>
    <row r="54548" spans="129:129" x14ac:dyDescent="0.2">
      <c r="DY54548" s="185" t="s">
        <v>215</v>
      </c>
    </row>
    <row r="54549" spans="129:129" x14ac:dyDescent="0.2">
      <c r="DY54549" s="185" t="s">
        <v>215</v>
      </c>
    </row>
    <row r="54550" spans="129:129" x14ac:dyDescent="0.2">
      <c r="DY54550" s="185" t="s">
        <v>215</v>
      </c>
    </row>
    <row r="54551" spans="129:129" x14ac:dyDescent="0.2">
      <c r="DY54551" s="185" t="s">
        <v>215</v>
      </c>
    </row>
    <row r="54552" spans="129:129" x14ac:dyDescent="0.2">
      <c r="DY54552" s="185" t="s">
        <v>215</v>
      </c>
    </row>
    <row r="54553" spans="129:129" x14ac:dyDescent="0.2">
      <c r="DY54553" s="185" t="s">
        <v>215</v>
      </c>
    </row>
    <row r="54554" spans="129:129" x14ac:dyDescent="0.2">
      <c r="DY54554" s="185" t="s">
        <v>215</v>
      </c>
    </row>
    <row r="54555" spans="129:129" x14ac:dyDescent="0.2">
      <c r="DY54555" s="185" t="s">
        <v>215</v>
      </c>
    </row>
    <row r="54556" spans="129:129" x14ac:dyDescent="0.2">
      <c r="DY54556" s="185" t="s">
        <v>215</v>
      </c>
    </row>
    <row r="54557" spans="129:129" x14ac:dyDescent="0.2">
      <c r="DY54557" s="185" t="s">
        <v>215</v>
      </c>
    </row>
    <row r="54558" spans="129:129" x14ac:dyDescent="0.2">
      <c r="DY54558" s="185" t="s">
        <v>215</v>
      </c>
    </row>
    <row r="54559" spans="129:129" x14ac:dyDescent="0.2">
      <c r="DY54559" s="185" t="s">
        <v>215</v>
      </c>
    </row>
    <row r="54560" spans="129:129" x14ac:dyDescent="0.2">
      <c r="DY54560" s="185" t="s">
        <v>215</v>
      </c>
    </row>
    <row r="54561" spans="129:129" x14ac:dyDescent="0.2">
      <c r="DY54561" s="185" t="s">
        <v>215</v>
      </c>
    </row>
    <row r="54562" spans="129:129" x14ac:dyDescent="0.2">
      <c r="DY54562" s="185" t="s">
        <v>215</v>
      </c>
    </row>
    <row r="54563" spans="129:129" x14ac:dyDescent="0.2">
      <c r="DY54563" s="185" t="s">
        <v>215</v>
      </c>
    </row>
    <row r="54564" spans="129:129" x14ac:dyDescent="0.2">
      <c r="DY54564" s="185" t="s">
        <v>215</v>
      </c>
    </row>
    <row r="54565" spans="129:129" x14ac:dyDescent="0.2">
      <c r="DY54565" s="185" t="s">
        <v>215</v>
      </c>
    </row>
    <row r="54566" spans="129:129" x14ac:dyDescent="0.2">
      <c r="DY54566" s="185" t="s">
        <v>215</v>
      </c>
    </row>
    <row r="54567" spans="129:129" x14ac:dyDescent="0.2">
      <c r="DY54567" s="185" t="s">
        <v>215</v>
      </c>
    </row>
    <row r="54568" spans="129:129" x14ac:dyDescent="0.2">
      <c r="DY54568" s="185" t="s">
        <v>215</v>
      </c>
    </row>
    <row r="54569" spans="129:129" x14ac:dyDescent="0.2">
      <c r="DY54569" s="185" t="s">
        <v>215</v>
      </c>
    </row>
    <row r="54570" spans="129:129" x14ac:dyDescent="0.2">
      <c r="DY54570" s="185" t="s">
        <v>215</v>
      </c>
    </row>
    <row r="54571" spans="129:129" x14ac:dyDescent="0.2">
      <c r="DY54571" s="185" t="s">
        <v>215</v>
      </c>
    </row>
    <row r="54572" spans="129:129" x14ac:dyDescent="0.2">
      <c r="DY54572" s="185" t="s">
        <v>215</v>
      </c>
    </row>
    <row r="54573" spans="129:129" x14ac:dyDescent="0.2">
      <c r="DY54573" s="185" t="s">
        <v>215</v>
      </c>
    </row>
    <row r="54574" spans="129:129" x14ac:dyDescent="0.2">
      <c r="DY54574" s="185" t="s">
        <v>215</v>
      </c>
    </row>
    <row r="54575" spans="129:129" x14ac:dyDescent="0.2">
      <c r="DY54575" s="185" t="s">
        <v>215</v>
      </c>
    </row>
    <row r="54576" spans="129:129" x14ac:dyDescent="0.2">
      <c r="DY54576" s="185" t="s">
        <v>215</v>
      </c>
    </row>
    <row r="54577" spans="129:129" x14ac:dyDescent="0.2">
      <c r="DY54577" s="185" t="s">
        <v>215</v>
      </c>
    </row>
    <row r="54578" spans="129:129" x14ac:dyDescent="0.2">
      <c r="DY54578" s="185" t="s">
        <v>215</v>
      </c>
    </row>
    <row r="54579" spans="129:129" x14ac:dyDescent="0.2">
      <c r="DY54579" s="185" t="s">
        <v>215</v>
      </c>
    </row>
    <row r="54580" spans="129:129" x14ac:dyDescent="0.2">
      <c r="DY54580" s="185" t="s">
        <v>215</v>
      </c>
    </row>
    <row r="54581" spans="129:129" x14ac:dyDescent="0.2">
      <c r="DY54581" s="185" t="s">
        <v>215</v>
      </c>
    </row>
    <row r="54582" spans="129:129" x14ac:dyDescent="0.2">
      <c r="DY54582" s="185" t="s">
        <v>215</v>
      </c>
    </row>
    <row r="54583" spans="129:129" x14ac:dyDescent="0.2">
      <c r="DY54583" s="185" t="s">
        <v>215</v>
      </c>
    </row>
    <row r="54584" spans="129:129" x14ac:dyDescent="0.2">
      <c r="DY54584" s="185" t="s">
        <v>215</v>
      </c>
    </row>
    <row r="54585" spans="129:129" x14ac:dyDescent="0.2">
      <c r="DY54585" s="185" t="s">
        <v>215</v>
      </c>
    </row>
    <row r="54586" spans="129:129" x14ac:dyDescent="0.2">
      <c r="DY54586" s="185" t="s">
        <v>215</v>
      </c>
    </row>
    <row r="54587" spans="129:129" x14ac:dyDescent="0.2">
      <c r="DY54587" s="185" t="s">
        <v>215</v>
      </c>
    </row>
    <row r="54588" spans="129:129" x14ac:dyDescent="0.2">
      <c r="DY54588" s="185" t="s">
        <v>215</v>
      </c>
    </row>
    <row r="54589" spans="129:129" x14ac:dyDescent="0.2">
      <c r="DY54589" s="185" t="s">
        <v>215</v>
      </c>
    </row>
    <row r="54590" spans="129:129" x14ac:dyDescent="0.2">
      <c r="DY54590" s="185" t="s">
        <v>215</v>
      </c>
    </row>
    <row r="54591" spans="129:129" x14ac:dyDescent="0.2">
      <c r="DY54591" s="185" t="s">
        <v>215</v>
      </c>
    </row>
    <row r="54592" spans="129:129" x14ac:dyDescent="0.2">
      <c r="DY54592" s="185" t="s">
        <v>215</v>
      </c>
    </row>
    <row r="54593" spans="129:129" x14ac:dyDescent="0.2">
      <c r="DY54593" s="185" t="s">
        <v>215</v>
      </c>
    </row>
    <row r="54594" spans="129:129" x14ac:dyDescent="0.2">
      <c r="DY54594" s="185" t="s">
        <v>215</v>
      </c>
    </row>
    <row r="54595" spans="129:129" x14ac:dyDescent="0.2">
      <c r="DY54595" s="185" t="s">
        <v>215</v>
      </c>
    </row>
    <row r="54596" spans="129:129" x14ac:dyDescent="0.2">
      <c r="DY54596" s="185" t="s">
        <v>215</v>
      </c>
    </row>
    <row r="54597" spans="129:129" x14ac:dyDescent="0.2">
      <c r="DY54597" s="185" t="s">
        <v>215</v>
      </c>
    </row>
    <row r="54598" spans="129:129" x14ac:dyDescent="0.2">
      <c r="DY54598" s="185" t="s">
        <v>215</v>
      </c>
    </row>
    <row r="54599" spans="129:129" x14ac:dyDescent="0.2">
      <c r="DY54599" s="185" t="s">
        <v>215</v>
      </c>
    </row>
    <row r="54600" spans="129:129" x14ac:dyDescent="0.2">
      <c r="DY54600" s="185" t="s">
        <v>215</v>
      </c>
    </row>
    <row r="54601" spans="129:129" x14ac:dyDescent="0.2">
      <c r="DY54601" s="185" t="s">
        <v>215</v>
      </c>
    </row>
    <row r="54602" spans="129:129" x14ac:dyDescent="0.2">
      <c r="DY54602" s="185" t="s">
        <v>215</v>
      </c>
    </row>
    <row r="54603" spans="129:129" x14ac:dyDescent="0.2">
      <c r="DY54603" s="185" t="s">
        <v>215</v>
      </c>
    </row>
    <row r="54604" spans="129:129" x14ac:dyDescent="0.2">
      <c r="DY54604" s="185" t="s">
        <v>215</v>
      </c>
    </row>
    <row r="54605" spans="129:129" x14ac:dyDescent="0.2">
      <c r="DY54605" s="185" t="s">
        <v>215</v>
      </c>
    </row>
    <row r="54606" spans="129:129" x14ac:dyDescent="0.2">
      <c r="DY54606" s="185" t="s">
        <v>215</v>
      </c>
    </row>
    <row r="54607" spans="129:129" x14ac:dyDescent="0.2">
      <c r="DY54607" s="185" t="s">
        <v>215</v>
      </c>
    </row>
    <row r="54608" spans="129:129" x14ac:dyDescent="0.2">
      <c r="DY54608" s="185" t="s">
        <v>215</v>
      </c>
    </row>
    <row r="54609" spans="129:129" x14ac:dyDescent="0.2">
      <c r="DY54609" s="185" t="s">
        <v>215</v>
      </c>
    </row>
    <row r="54610" spans="129:129" x14ac:dyDescent="0.2">
      <c r="DY54610" s="185" t="s">
        <v>215</v>
      </c>
    </row>
    <row r="54611" spans="129:129" x14ac:dyDescent="0.2">
      <c r="DY54611" s="185" t="s">
        <v>215</v>
      </c>
    </row>
    <row r="54612" spans="129:129" x14ac:dyDescent="0.2">
      <c r="DY54612" s="185" t="s">
        <v>215</v>
      </c>
    </row>
    <row r="54613" spans="129:129" x14ac:dyDescent="0.2">
      <c r="DY54613" s="185" t="s">
        <v>215</v>
      </c>
    </row>
    <row r="54614" spans="129:129" x14ac:dyDescent="0.2">
      <c r="DY54614" s="185" t="s">
        <v>215</v>
      </c>
    </row>
    <row r="54615" spans="129:129" x14ac:dyDescent="0.2">
      <c r="DY54615" s="185" t="s">
        <v>215</v>
      </c>
    </row>
    <row r="54616" spans="129:129" x14ac:dyDescent="0.2">
      <c r="DY54616" s="185" t="s">
        <v>215</v>
      </c>
    </row>
    <row r="54617" spans="129:129" x14ac:dyDescent="0.2">
      <c r="DY54617" s="185" t="s">
        <v>215</v>
      </c>
    </row>
    <row r="54618" spans="129:129" x14ac:dyDescent="0.2">
      <c r="DY54618" s="185" t="s">
        <v>215</v>
      </c>
    </row>
    <row r="54619" spans="129:129" x14ac:dyDescent="0.2">
      <c r="DY54619" s="185" t="s">
        <v>215</v>
      </c>
    </row>
    <row r="54620" spans="129:129" x14ac:dyDescent="0.2">
      <c r="DY54620" s="185" t="s">
        <v>215</v>
      </c>
    </row>
    <row r="54621" spans="129:129" x14ac:dyDescent="0.2">
      <c r="DY54621" s="185" t="s">
        <v>215</v>
      </c>
    </row>
    <row r="54622" spans="129:129" x14ac:dyDescent="0.2">
      <c r="DY54622" s="185" t="s">
        <v>215</v>
      </c>
    </row>
    <row r="54623" spans="129:129" x14ac:dyDescent="0.2">
      <c r="DY54623" s="185" t="s">
        <v>215</v>
      </c>
    </row>
    <row r="54624" spans="129:129" x14ac:dyDescent="0.2">
      <c r="DY54624" s="185" t="s">
        <v>215</v>
      </c>
    </row>
    <row r="54625" spans="129:129" x14ac:dyDescent="0.2">
      <c r="DY54625" s="185" t="s">
        <v>215</v>
      </c>
    </row>
    <row r="54626" spans="129:129" x14ac:dyDescent="0.2">
      <c r="DY54626" s="185" t="s">
        <v>215</v>
      </c>
    </row>
    <row r="54627" spans="129:129" x14ac:dyDescent="0.2">
      <c r="DY54627" s="185" t="s">
        <v>215</v>
      </c>
    </row>
    <row r="54628" spans="129:129" x14ac:dyDescent="0.2">
      <c r="DY54628" s="185" t="s">
        <v>215</v>
      </c>
    </row>
    <row r="54629" spans="129:129" x14ac:dyDescent="0.2">
      <c r="DY54629" s="185" t="s">
        <v>215</v>
      </c>
    </row>
    <row r="54630" spans="129:129" x14ac:dyDescent="0.2">
      <c r="DY54630" s="185" t="s">
        <v>215</v>
      </c>
    </row>
    <row r="54631" spans="129:129" x14ac:dyDescent="0.2">
      <c r="DY54631" s="185" t="s">
        <v>215</v>
      </c>
    </row>
    <row r="54632" spans="129:129" x14ac:dyDescent="0.2">
      <c r="DY54632" s="185" t="s">
        <v>215</v>
      </c>
    </row>
    <row r="54633" spans="129:129" x14ac:dyDescent="0.2">
      <c r="DY54633" s="185" t="s">
        <v>215</v>
      </c>
    </row>
    <row r="54634" spans="129:129" x14ac:dyDescent="0.2">
      <c r="DY54634" s="185" t="s">
        <v>215</v>
      </c>
    </row>
    <row r="54635" spans="129:129" x14ac:dyDescent="0.2">
      <c r="DY54635" s="185" t="s">
        <v>215</v>
      </c>
    </row>
    <row r="54636" spans="129:129" x14ac:dyDescent="0.2">
      <c r="DY54636" s="185" t="s">
        <v>215</v>
      </c>
    </row>
    <row r="54637" spans="129:129" x14ac:dyDescent="0.2">
      <c r="DY54637" s="185" t="s">
        <v>215</v>
      </c>
    </row>
    <row r="54638" spans="129:129" x14ac:dyDescent="0.2">
      <c r="DY54638" s="185" t="s">
        <v>215</v>
      </c>
    </row>
    <row r="54639" spans="129:129" x14ac:dyDescent="0.2">
      <c r="DY54639" s="185" t="s">
        <v>215</v>
      </c>
    </row>
    <row r="54640" spans="129:129" x14ac:dyDescent="0.2">
      <c r="DY54640" s="185" t="s">
        <v>215</v>
      </c>
    </row>
    <row r="54641" spans="129:129" x14ac:dyDescent="0.2">
      <c r="DY54641" s="185" t="s">
        <v>215</v>
      </c>
    </row>
    <row r="54642" spans="129:129" x14ac:dyDescent="0.2">
      <c r="DY54642" s="185" t="s">
        <v>215</v>
      </c>
    </row>
    <row r="54643" spans="129:129" x14ac:dyDescent="0.2">
      <c r="DY54643" s="185" t="s">
        <v>215</v>
      </c>
    </row>
    <row r="54644" spans="129:129" x14ac:dyDescent="0.2">
      <c r="DY54644" s="185" t="s">
        <v>215</v>
      </c>
    </row>
    <row r="54645" spans="129:129" x14ac:dyDescent="0.2">
      <c r="DY54645" s="185" t="s">
        <v>215</v>
      </c>
    </row>
    <row r="54646" spans="129:129" x14ac:dyDescent="0.2">
      <c r="DY54646" s="185" t="s">
        <v>215</v>
      </c>
    </row>
    <row r="54647" spans="129:129" x14ac:dyDescent="0.2">
      <c r="DY54647" s="185" t="s">
        <v>215</v>
      </c>
    </row>
    <row r="54648" spans="129:129" x14ac:dyDescent="0.2">
      <c r="DY54648" s="185" t="s">
        <v>215</v>
      </c>
    </row>
    <row r="54649" spans="129:129" x14ac:dyDescent="0.2">
      <c r="DY54649" s="185" t="s">
        <v>215</v>
      </c>
    </row>
    <row r="54650" spans="129:129" x14ac:dyDescent="0.2">
      <c r="DY54650" s="185" t="s">
        <v>215</v>
      </c>
    </row>
    <row r="54651" spans="129:129" x14ac:dyDescent="0.2">
      <c r="DY54651" s="185" t="s">
        <v>215</v>
      </c>
    </row>
    <row r="54652" spans="129:129" x14ac:dyDescent="0.2">
      <c r="DY54652" s="185" t="s">
        <v>215</v>
      </c>
    </row>
    <row r="54653" spans="129:129" x14ac:dyDescent="0.2">
      <c r="DY54653" s="185" t="s">
        <v>215</v>
      </c>
    </row>
    <row r="54654" spans="129:129" x14ac:dyDescent="0.2">
      <c r="DY54654" s="185" t="s">
        <v>215</v>
      </c>
    </row>
    <row r="54655" spans="129:129" x14ac:dyDescent="0.2">
      <c r="DY54655" s="185" t="s">
        <v>215</v>
      </c>
    </row>
    <row r="54656" spans="129:129" x14ac:dyDescent="0.2">
      <c r="DY54656" s="185" t="s">
        <v>215</v>
      </c>
    </row>
    <row r="54657" spans="129:129" x14ac:dyDescent="0.2">
      <c r="DY54657" s="185" t="s">
        <v>215</v>
      </c>
    </row>
    <row r="54658" spans="129:129" x14ac:dyDescent="0.2">
      <c r="DY54658" s="185" t="s">
        <v>215</v>
      </c>
    </row>
    <row r="54659" spans="129:129" x14ac:dyDescent="0.2">
      <c r="DY54659" s="185" t="s">
        <v>215</v>
      </c>
    </row>
    <row r="54660" spans="129:129" x14ac:dyDescent="0.2">
      <c r="DY54660" s="185" t="s">
        <v>215</v>
      </c>
    </row>
    <row r="54661" spans="129:129" x14ac:dyDescent="0.2">
      <c r="DY54661" s="185" t="s">
        <v>215</v>
      </c>
    </row>
    <row r="54662" spans="129:129" x14ac:dyDescent="0.2">
      <c r="DY54662" s="185" t="s">
        <v>215</v>
      </c>
    </row>
    <row r="54663" spans="129:129" x14ac:dyDescent="0.2">
      <c r="DY54663" s="185" t="s">
        <v>215</v>
      </c>
    </row>
    <row r="54664" spans="129:129" x14ac:dyDescent="0.2">
      <c r="DY54664" s="185" t="s">
        <v>215</v>
      </c>
    </row>
    <row r="54665" spans="129:129" x14ac:dyDescent="0.2">
      <c r="DY54665" s="185" t="s">
        <v>215</v>
      </c>
    </row>
    <row r="54666" spans="129:129" x14ac:dyDescent="0.2">
      <c r="DY54666" s="185" t="s">
        <v>215</v>
      </c>
    </row>
    <row r="54667" spans="129:129" x14ac:dyDescent="0.2">
      <c r="DY54667" s="185" t="s">
        <v>215</v>
      </c>
    </row>
    <row r="54668" spans="129:129" x14ac:dyDescent="0.2">
      <c r="DY54668" s="185" t="s">
        <v>215</v>
      </c>
    </row>
    <row r="54669" spans="129:129" x14ac:dyDescent="0.2">
      <c r="DY54669" s="185" t="s">
        <v>215</v>
      </c>
    </row>
    <row r="54670" spans="129:129" x14ac:dyDescent="0.2">
      <c r="DY54670" s="185" t="s">
        <v>215</v>
      </c>
    </row>
    <row r="54671" spans="129:129" x14ac:dyDescent="0.2">
      <c r="DY54671" s="185" t="s">
        <v>215</v>
      </c>
    </row>
    <row r="54672" spans="129:129" x14ac:dyDescent="0.2">
      <c r="DY54672" s="185" t="s">
        <v>215</v>
      </c>
    </row>
    <row r="54673" spans="129:129" x14ac:dyDescent="0.2">
      <c r="DY54673" s="185" t="s">
        <v>215</v>
      </c>
    </row>
    <row r="54674" spans="129:129" x14ac:dyDescent="0.2">
      <c r="DY54674" s="185" t="s">
        <v>215</v>
      </c>
    </row>
    <row r="54675" spans="129:129" x14ac:dyDescent="0.2">
      <c r="DY54675" s="185" t="s">
        <v>215</v>
      </c>
    </row>
    <row r="54676" spans="129:129" x14ac:dyDescent="0.2">
      <c r="DY54676" s="185" t="s">
        <v>215</v>
      </c>
    </row>
    <row r="54677" spans="129:129" x14ac:dyDescent="0.2">
      <c r="DY54677" s="185" t="s">
        <v>215</v>
      </c>
    </row>
    <row r="54678" spans="129:129" x14ac:dyDescent="0.2">
      <c r="DY54678" s="185" t="s">
        <v>215</v>
      </c>
    </row>
    <row r="54679" spans="129:129" x14ac:dyDescent="0.2">
      <c r="DY54679" s="185" t="s">
        <v>215</v>
      </c>
    </row>
    <row r="54680" spans="129:129" x14ac:dyDescent="0.2">
      <c r="DY54680" s="185" t="s">
        <v>215</v>
      </c>
    </row>
    <row r="54681" spans="129:129" x14ac:dyDescent="0.2">
      <c r="DY54681" s="185" t="s">
        <v>215</v>
      </c>
    </row>
    <row r="54682" spans="129:129" x14ac:dyDescent="0.2">
      <c r="DY54682" s="185" t="s">
        <v>215</v>
      </c>
    </row>
    <row r="54683" spans="129:129" x14ac:dyDescent="0.2">
      <c r="DY54683" s="185" t="s">
        <v>215</v>
      </c>
    </row>
    <row r="54684" spans="129:129" x14ac:dyDescent="0.2">
      <c r="DY54684" s="185" t="s">
        <v>215</v>
      </c>
    </row>
    <row r="54685" spans="129:129" x14ac:dyDescent="0.2">
      <c r="DY54685" s="185" t="s">
        <v>215</v>
      </c>
    </row>
    <row r="54686" spans="129:129" x14ac:dyDescent="0.2">
      <c r="DY54686" s="185" t="s">
        <v>215</v>
      </c>
    </row>
    <row r="54687" spans="129:129" x14ac:dyDescent="0.2">
      <c r="DY54687" s="185" t="s">
        <v>215</v>
      </c>
    </row>
    <row r="54688" spans="129:129" x14ac:dyDescent="0.2">
      <c r="DY54688" s="185" t="s">
        <v>215</v>
      </c>
    </row>
    <row r="54689" spans="129:129" x14ac:dyDescent="0.2">
      <c r="DY54689" s="185" t="s">
        <v>215</v>
      </c>
    </row>
    <row r="54690" spans="129:129" x14ac:dyDescent="0.2">
      <c r="DY54690" s="185" t="s">
        <v>215</v>
      </c>
    </row>
    <row r="54691" spans="129:129" x14ac:dyDescent="0.2">
      <c r="DY54691" s="185" t="s">
        <v>215</v>
      </c>
    </row>
    <row r="54692" spans="129:129" x14ac:dyDescent="0.2">
      <c r="DY54692" s="185" t="s">
        <v>215</v>
      </c>
    </row>
    <row r="54693" spans="129:129" x14ac:dyDescent="0.2">
      <c r="DY54693" s="185" t="s">
        <v>215</v>
      </c>
    </row>
    <row r="54694" spans="129:129" x14ac:dyDescent="0.2">
      <c r="DY54694" s="185" t="s">
        <v>215</v>
      </c>
    </row>
    <row r="54695" spans="129:129" x14ac:dyDescent="0.2">
      <c r="DY54695" s="185" t="s">
        <v>215</v>
      </c>
    </row>
    <row r="54696" spans="129:129" x14ac:dyDescent="0.2">
      <c r="DY54696" s="185" t="s">
        <v>215</v>
      </c>
    </row>
    <row r="54697" spans="129:129" x14ac:dyDescent="0.2">
      <c r="DY54697" s="185" t="s">
        <v>215</v>
      </c>
    </row>
    <row r="54698" spans="129:129" x14ac:dyDescent="0.2">
      <c r="DY54698" s="185" t="s">
        <v>215</v>
      </c>
    </row>
    <row r="54699" spans="129:129" x14ac:dyDescent="0.2">
      <c r="DY54699" s="185" t="s">
        <v>215</v>
      </c>
    </row>
    <row r="54700" spans="129:129" x14ac:dyDescent="0.2">
      <c r="DY54700" s="185" t="s">
        <v>215</v>
      </c>
    </row>
    <row r="54701" spans="129:129" x14ac:dyDescent="0.2">
      <c r="DY54701" s="185" t="s">
        <v>215</v>
      </c>
    </row>
    <row r="54702" spans="129:129" x14ac:dyDescent="0.2">
      <c r="DY54702" s="185" t="s">
        <v>215</v>
      </c>
    </row>
    <row r="54703" spans="129:129" x14ac:dyDescent="0.2">
      <c r="DY54703" s="185" t="s">
        <v>215</v>
      </c>
    </row>
    <row r="54704" spans="129:129" x14ac:dyDescent="0.2">
      <c r="DY54704" s="185" t="s">
        <v>215</v>
      </c>
    </row>
    <row r="54705" spans="129:129" x14ac:dyDescent="0.2">
      <c r="DY54705" s="185" t="s">
        <v>215</v>
      </c>
    </row>
    <row r="54706" spans="129:129" x14ac:dyDescent="0.2">
      <c r="DY54706" s="185" t="s">
        <v>215</v>
      </c>
    </row>
    <row r="54707" spans="129:129" x14ac:dyDescent="0.2">
      <c r="DY54707" s="185" t="s">
        <v>215</v>
      </c>
    </row>
    <row r="54708" spans="129:129" x14ac:dyDescent="0.2">
      <c r="DY54708" s="185" t="s">
        <v>215</v>
      </c>
    </row>
    <row r="54709" spans="129:129" x14ac:dyDescent="0.2">
      <c r="DY54709" s="185" t="s">
        <v>215</v>
      </c>
    </row>
    <row r="54710" spans="129:129" x14ac:dyDescent="0.2">
      <c r="DY54710" s="185" t="s">
        <v>215</v>
      </c>
    </row>
    <row r="54711" spans="129:129" x14ac:dyDescent="0.2">
      <c r="DY54711" s="185" t="s">
        <v>215</v>
      </c>
    </row>
    <row r="54712" spans="129:129" x14ac:dyDescent="0.2">
      <c r="DY54712" s="185" t="s">
        <v>215</v>
      </c>
    </row>
    <row r="54713" spans="129:129" x14ac:dyDescent="0.2">
      <c r="DY54713" s="185" t="s">
        <v>215</v>
      </c>
    </row>
    <row r="54714" spans="129:129" x14ac:dyDescent="0.2">
      <c r="DY54714" s="185" t="s">
        <v>215</v>
      </c>
    </row>
    <row r="54715" spans="129:129" x14ac:dyDescent="0.2">
      <c r="DY54715" s="185" t="s">
        <v>215</v>
      </c>
    </row>
    <row r="54716" spans="129:129" x14ac:dyDescent="0.2">
      <c r="DY54716" s="185" t="s">
        <v>215</v>
      </c>
    </row>
    <row r="54717" spans="129:129" x14ac:dyDescent="0.2">
      <c r="DY54717" s="185" t="s">
        <v>215</v>
      </c>
    </row>
    <row r="54718" spans="129:129" x14ac:dyDescent="0.2">
      <c r="DY54718" s="185" t="s">
        <v>215</v>
      </c>
    </row>
    <row r="54719" spans="129:129" x14ac:dyDescent="0.2">
      <c r="DY54719" s="185" t="s">
        <v>215</v>
      </c>
    </row>
    <row r="54720" spans="129:129" x14ac:dyDescent="0.2">
      <c r="DY54720" s="185" t="s">
        <v>215</v>
      </c>
    </row>
    <row r="54721" spans="129:129" x14ac:dyDescent="0.2">
      <c r="DY54721" s="185" t="s">
        <v>215</v>
      </c>
    </row>
    <row r="54722" spans="129:129" x14ac:dyDescent="0.2">
      <c r="DY54722" s="185" t="s">
        <v>215</v>
      </c>
    </row>
    <row r="54723" spans="129:129" x14ac:dyDescent="0.2">
      <c r="DY54723" s="185" t="s">
        <v>215</v>
      </c>
    </row>
    <row r="54724" spans="129:129" x14ac:dyDescent="0.2">
      <c r="DY54724" s="185" t="s">
        <v>215</v>
      </c>
    </row>
    <row r="54725" spans="129:129" x14ac:dyDescent="0.2">
      <c r="DY54725" s="185" t="s">
        <v>215</v>
      </c>
    </row>
    <row r="54726" spans="129:129" x14ac:dyDescent="0.2">
      <c r="DY54726" s="185" t="s">
        <v>215</v>
      </c>
    </row>
    <row r="54727" spans="129:129" x14ac:dyDescent="0.2">
      <c r="DY54727" s="185" t="s">
        <v>215</v>
      </c>
    </row>
    <row r="54728" spans="129:129" x14ac:dyDescent="0.2">
      <c r="DY54728" s="185" t="s">
        <v>215</v>
      </c>
    </row>
    <row r="54729" spans="129:129" x14ac:dyDescent="0.2">
      <c r="DY54729" s="185" t="s">
        <v>215</v>
      </c>
    </row>
    <row r="54730" spans="129:129" x14ac:dyDescent="0.2">
      <c r="DY54730" s="185" t="s">
        <v>215</v>
      </c>
    </row>
    <row r="54731" spans="129:129" x14ac:dyDescent="0.2">
      <c r="DY54731" s="185" t="s">
        <v>215</v>
      </c>
    </row>
    <row r="54732" spans="129:129" x14ac:dyDescent="0.2">
      <c r="DY54732" s="185" t="s">
        <v>215</v>
      </c>
    </row>
    <row r="54733" spans="129:129" x14ac:dyDescent="0.2">
      <c r="DY54733" s="185" t="s">
        <v>215</v>
      </c>
    </row>
    <row r="54734" spans="129:129" x14ac:dyDescent="0.2">
      <c r="DY54734" s="185" t="s">
        <v>215</v>
      </c>
    </row>
    <row r="54735" spans="129:129" x14ac:dyDescent="0.2">
      <c r="DY54735" s="185" t="s">
        <v>215</v>
      </c>
    </row>
    <row r="54736" spans="129:129" x14ac:dyDescent="0.2">
      <c r="DY54736" s="185" t="s">
        <v>215</v>
      </c>
    </row>
    <row r="54737" spans="129:129" x14ac:dyDescent="0.2">
      <c r="DY54737" s="185" t="s">
        <v>215</v>
      </c>
    </row>
    <row r="54738" spans="129:129" x14ac:dyDescent="0.2">
      <c r="DY54738" s="185" t="s">
        <v>215</v>
      </c>
    </row>
    <row r="54739" spans="129:129" x14ac:dyDescent="0.2">
      <c r="DY54739" s="185" t="s">
        <v>215</v>
      </c>
    </row>
    <row r="54740" spans="129:129" x14ac:dyDescent="0.2">
      <c r="DY54740" s="185" t="s">
        <v>215</v>
      </c>
    </row>
    <row r="54741" spans="129:129" x14ac:dyDescent="0.2">
      <c r="DY54741" s="185" t="s">
        <v>215</v>
      </c>
    </row>
    <row r="54742" spans="129:129" x14ac:dyDescent="0.2">
      <c r="DY54742" s="185" t="s">
        <v>215</v>
      </c>
    </row>
    <row r="54743" spans="129:129" x14ac:dyDescent="0.2">
      <c r="DY54743" s="185" t="s">
        <v>215</v>
      </c>
    </row>
    <row r="54744" spans="129:129" x14ac:dyDescent="0.2">
      <c r="DY54744" s="185" t="s">
        <v>215</v>
      </c>
    </row>
    <row r="54745" spans="129:129" x14ac:dyDescent="0.2">
      <c r="DY54745" s="185" t="s">
        <v>215</v>
      </c>
    </row>
    <row r="54746" spans="129:129" x14ac:dyDescent="0.2">
      <c r="DY54746" s="185" t="s">
        <v>215</v>
      </c>
    </row>
    <row r="54747" spans="129:129" x14ac:dyDescent="0.2">
      <c r="DY54747" s="185" t="s">
        <v>215</v>
      </c>
    </row>
    <row r="54748" spans="129:129" x14ac:dyDescent="0.2">
      <c r="DY54748" s="185" t="s">
        <v>215</v>
      </c>
    </row>
    <row r="54749" spans="129:129" x14ac:dyDescent="0.2">
      <c r="DY54749" s="185" t="s">
        <v>215</v>
      </c>
    </row>
    <row r="54750" spans="129:129" x14ac:dyDescent="0.2">
      <c r="DY54750" s="185" t="s">
        <v>215</v>
      </c>
    </row>
    <row r="54751" spans="129:129" x14ac:dyDescent="0.2">
      <c r="DY54751" s="185" t="s">
        <v>215</v>
      </c>
    </row>
    <row r="54752" spans="129:129" x14ac:dyDescent="0.2">
      <c r="DY54752" s="185" t="s">
        <v>215</v>
      </c>
    </row>
    <row r="54753" spans="129:129" x14ac:dyDescent="0.2">
      <c r="DY54753" s="185" t="s">
        <v>215</v>
      </c>
    </row>
    <row r="54754" spans="129:129" x14ac:dyDescent="0.2">
      <c r="DY54754" s="185" t="s">
        <v>215</v>
      </c>
    </row>
    <row r="54755" spans="129:129" x14ac:dyDescent="0.2">
      <c r="DY54755" s="185" t="s">
        <v>215</v>
      </c>
    </row>
    <row r="54756" spans="129:129" x14ac:dyDescent="0.2">
      <c r="DY54756" s="185" t="s">
        <v>215</v>
      </c>
    </row>
    <row r="54757" spans="129:129" x14ac:dyDescent="0.2">
      <c r="DY54757" s="185" t="s">
        <v>215</v>
      </c>
    </row>
    <row r="54758" spans="129:129" x14ac:dyDescent="0.2">
      <c r="DY54758" s="185" t="s">
        <v>215</v>
      </c>
    </row>
    <row r="54759" spans="129:129" x14ac:dyDescent="0.2">
      <c r="DY54759" s="185" t="s">
        <v>215</v>
      </c>
    </row>
    <row r="54760" spans="129:129" x14ac:dyDescent="0.2">
      <c r="DY54760" s="185" t="s">
        <v>215</v>
      </c>
    </row>
    <row r="54761" spans="129:129" x14ac:dyDescent="0.2">
      <c r="DY54761" s="185" t="s">
        <v>215</v>
      </c>
    </row>
    <row r="54762" spans="129:129" x14ac:dyDescent="0.2">
      <c r="DY54762" s="185" t="s">
        <v>215</v>
      </c>
    </row>
    <row r="54763" spans="129:129" x14ac:dyDescent="0.2">
      <c r="DY54763" s="185" t="s">
        <v>215</v>
      </c>
    </row>
    <row r="54764" spans="129:129" x14ac:dyDescent="0.2">
      <c r="DY54764" s="185" t="s">
        <v>215</v>
      </c>
    </row>
    <row r="54765" spans="129:129" x14ac:dyDescent="0.2">
      <c r="DY54765" s="185" t="s">
        <v>215</v>
      </c>
    </row>
    <row r="54766" spans="129:129" x14ac:dyDescent="0.2">
      <c r="DY54766" s="185" t="s">
        <v>215</v>
      </c>
    </row>
    <row r="54767" spans="129:129" x14ac:dyDescent="0.2">
      <c r="DY54767" s="185" t="s">
        <v>215</v>
      </c>
    </row>
    <row r="54768" spans="129:129" x14ac:dyDescent="0.2">
      <c r="DY54768" s="185" t="s">
        <v>215</v>
      </c>
    </row>
    <row r="54769" spans="129:129" x14ac:dyDescent="0.2">
      <c r="DY54769" s="185" t="s">
        <v>215</v>
      </c>
    </row>
    <row r="54770" spans="129:129" x14ac:dyDescent="0.2">
      <c r="DY54770" s="185" t="s">
        <v>215</v>
      </c>
    </row>
    <row r="54771" spans="129:129" x14ac:dyDescent="0.2">
      <c r="DY54771" s="185" t="s">
        <v>215</v>
      </c>
    </row>
    <row r="54772" spans="129:129" x14ac:dyDescent="0.2">
      <c r="DY54772" s="185" t="s">
        <v>215</v>
      </c>
    </row>
    <row r="54773" spans="129:129" x14ac:dyDescent="0.2">
      <c r="DY54773" s="185" t="s">
        <v>215</v>
      </c>
    </row>
    <row r="54774" spans="129:129" x14ac:dyDescent="0.2">
      <c r="DY54774" s="185" t="s">
        <v>215</v>
      </c>
    </row>
    <row r="54775" spans="129:129" x14ac:dyDescent="0.2">
      <c r="DY54775" s="185" t="s">
        <v>215</v>
      </c>
    </row>
    <row r="54776" spans="129:129" x14ac:dyDescent="0.2">
      <c r="DY54776" s="185" t="s">
        <v>215</v>
      </c>
    </row>
    <row r="54777" spans="129:129" x14ac:dyDescent="0.2">
      <c r="DY54777" s="185" t="s">
        <v>215</v>
      </c>
    </row>
    <row r="54778" spans="129:129" x14ac:dyDescent="0.2">
      <c r="DY54778" s="185" t="s">
        <v>215</v>
      </c>
    </row>
    <row r="54779" spans="129:129" x14ac:dyDescent="0.2">
      <c r="DY54779" s="185" t="s">
        <v>215</v>
      </c>
    </row>
    <row r="54780" spans="129:129" x14ac:dyDescent="0.2">
      <c r="DY54780" s="185" t="s">
        <v>215</v>
      </c>
    </row>
    <row r="54781" spans="129:129" x14ac:dyDescent="0.2">
      <c r="DY54781" s="185" t="s">
        <v>215</v>
      </c>
    </row>
    <row r="54782" spans="129:129" x14ac:dyDescent="0.2">
      <c r="DY54782" s="185" t="s">
        <v>215</v>
      </c>
    </row>
    <row r="54783" spans="129:129" x14ac:dyDescent="0.2">
      <c r="DY54783" s="185" t="s">
        <v>215</v>
      </c>
    </row>
    <row r="54784" spans="129:129" x14ac:dyDescent="0.2">
      <c r="DY54784" s="185" t="s">
        <v>215</v>
      </c>
    </row>
    <row r="54785" spans="129:129" x14ac:dyDescent="0.2">
      <c r="DY54785" s="185" t="s">
        <v>215</v>
      </c>
    </row>
    <row r="54786" spans="129:129" x14ac:dyDescent="0.2">
      <c r="DY54786" s="185" t="s">
        <v>215</v>
      </c>
    </row>
    <row r="54787" spans="129:129" x14ac:dyDescent="0.2">
      <c r="DY54787" s="185" t="s">
        <v>215</v>
      </c>
    </row>
    <row r="54788" spans="129:129" x14ac:dyDescent="0.2">
      <c r="DY54788" s="185" t="s">
        <v>215</v>
      </c>
    </row>
    <row r="54789" spans="129:129" x14ac:dyDescent="0.2">
      <c r="DY54789" s="185" t="s">
        <v>215</v>
      </c>
    </row>
    <row r="54790" spans="129:129" x14ac:dyDescent="0.2">
      <c r="DY54790" s="185" t="s">
        <v>215</v>
      </c>
    </row>
    <row r="54791" spans="129:129" x14ac:dyDescent="0.2">
      <c r="DY54791" s="185" t="s">
        <v>215</v>
      </c>
    </row>
    <row r="54792" spans="129:129" x14ac:dyDescent="0.2">
      <c r="DY54792" s="185" t="s">
        <v>215</v>
      </c>
    </row>
    <row r="54793" spans="129:129" x14ac:dyDescent="0.2">
      <c r="DY54793" s="185" t="s">
        <v>215</v>
      </c>
    </row>
    <row r="54794" spans="129:129" x14ac:dyDescent="0.2">
      <c r="DY54794" s="185" t="s">
        <v>215</v>
      </c>
    </row>
    <row r="54795" spans="129:129" x14ac:dyDescent="0.2">
      <c r="DY54795" s="185" t="s">
        <v>215</v>
      </c>
    </row>
    <row r="54796" spans="129:129" x14ac:dyDescent="0.2">
      <c r="DY54796" s="185" t="s">
        <v>215</v>
      </c>
    </row>
    <row r="54797" spans="129:129" x14ac:dyDescent="0.2">
      <c r="DY54797" s="185" t="s">
        <v>215</v>
      </c>
    </row>
    <row r="54798" spans="129:129" x14ac:dyDescent="0.2">
      <c r="DY54798" s="185" t="s">
        <v>215</v>
      </c>
    </row>
    <row r="54799" spans="129:129" x14ac:dyDescent="0.2">
      <c r="DY54799" s="185" t="s">
        <v>215</v>
      </c>
    </row>
    <row r="54800" spans="129:129" x14ac:dyDescent="0.2">
      <c r="DY54800" s="185" t="s">
        <v>215</v>
      </c>
    </row>
    <row r="54801" spans="129:129" x14ac:dyDescent="0.2">
      <c r="DY54801" s="185" t="s">
        <v>215</v>
      </c>
    </row>
    <row r="54802" spans="129:129" x14ac:dyDescent="0.2">
      <c r="DY54802" s="185" t="s">
        <v>215</v>
      </c>
    </row>
    <row r="54803" spans="129:129" x14ac:dyDescent="0.2">
      <c r="DY54803" s="185" t="s">
        <v>215</v>
      </c>
    </row>
    <row r="54804" spans="129:129" x14ac:dyDescent="0.2">
      <c r="DY54804" s="185" t="s">
        <v>215</v>
      </c>
    </row>
    <row r="54805" spans="129:129" x14ac:dyDescent="0.2">
      <c r="DY54805" s="185" t="s">
        <v>215</v>
      </c>
    </row>
    <row r="54806" spans="129:129" x14ac:dyDescent="0.2">
      <c r="DY54806" s="185" t="s">
        <v>215</v>
      </c>
    </row>
    <row r="54807" spans="129:129" x14ac:dyDescent="0.2">
      <c r="DY54807" s="185" t="s">
        <v>215</v>
      </c>
    </row>
    <row r="54808" spans="129:129" x14ac:dyDescent="0.2">
      <c r="DY54808" s="185" t="s">
        <v>215</v>
      </c>
    </row>
    <row r="54809" spans="129:129" x14ac:dyDescent="0.2">
      <c r="DY54809" s="185" t="s">
        <v>215</v>
      </c>
    </row>
    <row r="54810" spans="129:129" x14ac:dyDescent="0.2">
      <c r="DY54810" s="185" t="s">
        <v>215</v>
      </c>
    </row>
    <row r="54811" spans="129:129" x14ac:dyDescent="0.2">
      <c r="DY54811" s="185" t="s">
        <v>215</v>
      </c>
    </row>
    <row r="54812" spans="129:129" x14ac:dyDescent="0.2">
      <c r="DY54812" s="185" t="s">
        <v>215</v>
      </c>
    </row>
    <row r="54813" spans="129:129" x14ac:dyDescent="0.2">
      <c r="DY54813" s="185" t="s">
        <v>215</v>
      </c>
    </row>
    <row r="54814" spans="129:129" x14ac:dyDescent="0.2">
      <c r="DY54814" s="185" t="s">
        <v>215</v>
      </c>
    </row>
    <row r="54815" spans="129:129" x14ac:dyDescent="0.2">
      <c r="DY54815" s="185" t="s">
        <v>215</v>
      </c>
    </row>
    <row r="54816" spans="129:129" x14ac:dyDescent="0.2">
      <c r="DY54816" s="185" t="s">
        <v>215</v>
      </c>
    </row>
    <row r="54817" spans="129:129" x14ac:dyDescent="0.2">
      <c r="DY54817" s="185" t="s">
        <v>215</v>
      </c>
    </row>
    <row r="54818" spans="129:129" x14ac:dyDescent="0.2">
      <c r="DY54818" s="185" t="s">
        <v>215</v>
      </c>
    </row>
    <row r="54819" spans="129:129" x14ac:dyDescent="0.2">
      <c r="DY54819" s="185" t="s">
        <v>215</v>
      </c>
    </row>
    <row r="54820" spans="129:129" x14ac:dyDescent="0.2">
      <c r="DY54820" s="185" t="s">
        <v>215</v>
      </c>
    </row>
    <row r="54821" spans="129:129" x14ac:dyDescent="0.2">
      <c r="DY54821" s="185" t="s">
        <v>215</v>
      </c>
    </row>
    <row r="54822" spans="129:129" x14ac:dyDescent="0.2">
      <c r="DY54822" s="185" t="s">
        <v>215</v>
      </c>
    </row>
    <row r="54823" spans="129:129" x14ac:dyDescent="0.2">
      <c r="DY54823" s="185" t="s">
        <v>215</v>
      </c>
    </row>
    <row r="54824" spans="129:129" x14ac:dyDescent="0.2">
      <c r="DY54824" s="185" t="s">
        <v>215</v>
      </c>
    </row>
    <row r="54825" spans="129:129" x14ac:dyDescent="0.2">
      <c r="DY54825" s="185" t="s">
        <v>215</v>
      </c>
    </row>
    <row r="54826" spans="129:129" x14ac:dyDescent="0.2">
      <c r="DY54826" s="185" t="s">
        <v>215</v>
      </c>
    </row>
    <row r="54827" spans="129:129" x14ac:dyDescent="0.2">
      <c r="DY54827" s="185" t="s">
        <v>215</v>
      </c>
    </row>
    <row r="54828" spans="129:129" x14ac:dyDescent="0.2">
      <c r="DY54828" s="185" t="s">
        <v>215</v>
      </c>
    </row>
    <row r="54829" spans="129:129" x14ac:dyDescent="0.2">
      <c r="DY54829" s="185" t="s">
        <v>215</v>
      </c>
    </row>
    <row r="54830" spans="129:129" x14ac:dyDescent="0.2">
      <c r="DY54830" s="185" t="s">
        <v>215</v>
      </c>
    </row>
    <row r="54831" spans="129:129" x14ac:dyDescent="0.2">
      <c r="DY54831" s="185" t="s">
        <v>215</v>
      </c>
    </row>
    <row r="54832" spans="129:129" x14ac:dyDescent="0.2">
      <c r="DY54832" s="185" t="s">
        <v>215</v>
      </c>
    </row>
    <row r="54833" spans="129:129" x14ac:dyDescent="0.2">
      <c r="DY54833" s="185" t="s">
        <v>215</v>
      </c>
    </row>
    <row r="54834" spans="129:129" x14ac:dyDescent="0.2">
      <c r="DY54834" s="185" t="s">
        <v>215</v>
      </c>
    </row>
    <row r="54835" spans="129:129" x14ac:dyDescent="0.2">
      <c r="DY54835" s="185" t="s">
        <v>215</v>
      </c>
    </row>
    <row r="54836" spans="129:129" x14ac:dyDescent="0.2">
      <c r="DY54836" s="185" t="s">
        <v>215</v>
      </c>
    </row>
    <row r="54837" spans="129:129" x14ac:dyDescent="0.2">
      <c r="DY54837" s="185" t="s">
        <v>215</v>
      </c>
    </row>
    <row r="54838" spans="129:129" x14ac:dyDescent="0.2">
      <c r="DY54838" s="185" t="s">
        <v>215</v>
      </c>
    </row>
    <row r="54839" spans="129:129" x14ac:dyDescent="0.2">
      <c r="DY54839" s="185" t="s">
        <v>215</v>
      </c>
    </row>
    <row r="54840" spans="129:129" x14ac:dyDescent="0.2">
      <c r="DY54840" s="185" t="s">
        <v>215</v>
      </c>
    </row>
    <row r="54841" spans="129:129" x14ac:dyDescent="0.2">
      <c r="DY54841" s="185" t="s">
        <v>215</v>
      </c>
    </row>
    <row r="54842" spans="129:129" x14ac:dyDescent="0.2">
      <c r="DY54842" s="185" t="s">
        <v>215</v>
      </c>
    </row>
    <row r="54843" spans="129:129" x14ac:dyDescent="0.2">
      <c r="DY54843" s="185" t="s">
        <v>215</v>
      </c>
    </row>
    <row r="54844" spans="129:129" x14ac:dyDescent="0.2">
      <c r="DY54844" s="185" t="s">
        <v>215</v>
      </c>
    </row>
    <row r="54845" spans="129:129" x14ac:dyDescent="0.2">
      <c r="DY54845" s="185" t="s">
        <v>215</v>
      </c>
    </row>
    <row r="54846" spans="129:129" x14ac:dyDescent="0.2">
      <c r="DY54846" s="185" t="s">
        <v>215</v>
      </c>
    </row>
    <row r="54847" spans="129:129" x14ac:dyDescent="0.2">
      <c r="DY54847" s="185" t="s">
        <v>215</v>
      </c>
    </row>
    <row r="54848" spans="129:129" x14ac:dyDescent="0.2">
      <c r="DY54848" s="185" t="s">
        <v>215</v>
      </c>
    </row>
    <row r="54849" spans="129:129" x14ac:dyDescent="0.2">
      <c r="DY54849" s="185" t="s">
        <v>215</v>
      </c>
    </row>
    <row r="54850" spans="129:129" x14ac:dyDescent="0.2">
      <c r="DY54850" s="185" t="s">
        <v>215</v>
      </c>
    </row>
    <row r="54851" spans="129:129" x14ac:dyDescent="0.2">
      <c r="DY54851" s="185" t="s">
        <v>215</v>
      </c>
    </row>
    <row r="54852" spans="129:129" x14ac:dyDescent="0.2">
      <c r="DY54852" s="185" t="s">
        <v>215</v>
      </c>
    </row>
    <row r="54853" spans="129:129" x14ac:dyDescent="0.2">
      <c r="DY54853" s="185" t="s">
        <v>215</v>
      </c>
    </row>
    <row r="54854" spans="129:129" x14ac:dyDescent="0.2">
      <c r="DY54854" s="185" t="s">
        <v>215</v>
      </c>
    </row>
    <row r="54855" spans="129:129" x14ac:dyDescent="0.2">
      <c r="DY54855" s="185" t="s">
        <v>215</v>
      </c>
    </row>
    <row r="54856" spans="129:129" x14ac:dyDescent="0.2">
      <c r="DY54856" s="185" t="s">
        <v>215</v>
      </c>
    </row>
    <row r="54857" spans="129:129" x14ac:dyDescent="0.2">
      <c r="DY54857" s="185" t="s">
        <v>215</v>
      </c>
    </row>
    <row r="54858" spans="129:129" x14ac:dyDescent="0.2">
      <c r="DY54858" s="185" t="s">
        <v>215</v>
      </c>
    </row>
    <row r="54859" spans="129:129" x14ac:dyDescent="0.2">
      <c r="DY54859" s="185" t="s">
        <v>215</v>
      </c>
    </row>
    <row r="54860" spans="129:129" x14ac:dyDescent="0.2">
      <c r="DY54860" s="185" t="s">
        <v>215</v>
      </c>
    </row>
    <row r="54861" spans="129:129" x14ac:dyDescent="0.2">
      <c r="DY54861" s="185" t="s">
        <v>215</v>
      </c>
    </row>
    <row r="54862" spans="129:129" x14ac:dyDescent="0.2">
      <c r="DY54862" s="185" t="s">
        <v>215</v>
      </c>
    </row>
    <row r="54863" spans="129:129" x14ac:dyDescent="0.2">
      <c r="DY54863" s="185" t="s">
        <v>215</v>
      </c>
    </row>
    <row r="54864" spans="129:129" x14ac:dyDescent="0.2">
      <c r="DY54864" s="185" t="s">
        <v>215</v>
      </c>
    </row>
    <row r="54865" spans="129:129" x14ac:dyDescent="0.2">
      <c r="DY54865" s="185" t="s">
        <v>215</v>
      </c>
    </row>
    <row r="54866" spans="129:129" x14ac:dyDescent="0.2">
      <c r="DY54866" s="185" t="s">
        <v>215</v>
      </c>
    </row>
    <row r="54867" spans="129:129" x14ac:dyDescent="0.2">
      <c r="DY54867" s="185" t="s">
        <v>215</v>
      </c>
    </row>
    <row r="54868" spans="129:129" x14ac:dyDescent="0.2">
      <c r="DY54868" s="185" t="s">
        <v>215</v>
      </c>
    </row>
    <row r="54869" spans="129:129" x14ac:dyDescent="0.2">
      <c r="DY54869" s="185" t="s">
        <v>215</v>
      </c>
    </row>
    <row r="54870" spans="129:129" x14ac:dyDescent="0.2">
      <c r="DY54870" s="185" t="s">
        <v>215</v>
      </c>
    </row>
    <row r="54871" spans="129:129" x14ac:dyDescent="0.2">
      <c r="DY54871" s="185" t="s">
        <v>215</v>
      </c>
    </row>
    <row r="54872" spans="129:129" x14ac:dyDescent="0.2">
      <c r="DY54872" s="185" t="s">
        <v>215</v>
      </c>
    </row>
    <row r="54873" spans="129:129" x14ac:dyDescent="0.2">
      <c r="DY54873" s="185" t="s">
        <v>215</v>
      </c>
    </row>
    <row r="54874" spans="129:129" x14ac:dyDescent="0.2">
      <c r="DY54874" s="185" t="s">
        <v>215</v>
      </c>
    </row>
    <row r="54875" spans="129:129" x14ac:dyDescent="0.2">
      <c r="DY54875" s="185" t="s">
        <v>215</v>
      </c>
    </row>
    <row r="54876" spans="129:129" x14ac:dyDescent="0.2">
      <c r="DY54876" s="185" t="s">
        <v>215</v>
      </c>
    </row>
    <row r="54877" spans="129:129" x14ac:dyDescent="0.2">
      <c r="DY54877" s="185" t="s">
        <v>215</v>
      </c>
    </row>
    <row r="54878" spans="129:129" x14ac:dyDescent="0.2">
      <c r="DY54878" s="185" t="s">
        <v>215</v>
      </c>
    </row>
    <row r="54879" spans="129:129" x14ac:dyDescent="0.2">
      <c r="DY54879" s="185" t="s">
        <v>215</v>
      </c>
    </row>
    <row r="54880" spans="129:129" x14ac:dyDescent="0.2">
      <c r="DY54880" s="185" t="s">
        <v>215</v>
      </c>
    </row>
    <row r="54881" spans="129:129" x14ac:dyDescent="0.2">
      <c r="DY54881" s="185" t="s">
        <v>215</v>
      </c>
    </row>
    <row r="54882" spans="129:129" x14ac:dyDescent="0.2">
      <c r="DY54882" s="185" t="s">
        <v>215</v>
      </c>
    </row>
    <row r="54883" spans="129:129" x14ac:dyDescent="0.2">
      <c r="DY54883" s="185" t="s">
        <v>215</v>
      </c>
    </row>
    <row r="54884" spans="129:129" x14ac:dyDescent="0.2">
      <c r="DY54884" s="185" t="s">
        <v>215</v>
      </c>
    </row>
    <row r="54885" spans="129:129" x14ac:dyDescent="0.2">
      <c r="DY54885" s="185" t="s">
        <v>215</v>
      </c>
    </row>
    <row r="54886" spans="129:129" x14ac:dyDescent="0.2">
      <c r="DY54886" s="185" t="s">
        <v>215</v>
      </c>
    </row>
    <row r="54887" spans="129:129" x14ac:dyDescent="0.2">
      <c r="DY54887" s="185" t="s">
        <v>215</v>
      </c>
    </row>
    <row r="54888" spans="129:129" x14ac:dyDescent="0.2">
      <c r="DY54888" s="185" t="s">
        <v>215</v>
      </c>
    </row>
    <row r="54889" spans="129:129" x14ac:dyDescent="0.2">
      <c r="DY54889" s="185" t="s">
        <v>215</v>
      </c>
    </row>
    <row r="54890" spans="129:129" x14ac:dyDescent="0.2">
      <c r="DY54890" s="185" t="s">
        <v>215</v>
      </c>
    </row>
    <row r="54891" spans="129:129" x14ac:dyDescent="0.2">
      <c r="DY54891" s="185" t="s">
        <v>215</v>
      </c>
    </row>
    <row r="54892" spans="129:129" x14ac:dyDescent="0.2">
      <c r="DY54892" s="185" t="s">
        <v>215</v>
      </c>
    </row>
    <row r="54893" spans="129:129" x14ac:dyDescent="0.2">
      <c r="DY54893" s="185" t="s">
        <v>215</v>
      </c>
    </row>
    <row r="54894" spans="129:129" x14ac:dyDescent="0.2">
      <c r="DY54894" s="185" t="s">
        <v>215</v>
      </c>
    </row>
    <row r="54895" spans="129:129" x14ac:dyDescent="0.2">
      <c r="DY54895" s="185" t="s">
        <v>215</v>
      </c>
    </row>
    <row r="54896" spans="129:129" x14ac:dyDescent="0.2">
      <c r="DY54896" s="185" t="s">
        <v>215</v>
      </c>
    </row>
    <row r="54897" spans="129:129" x14ac:dyDescent="0.2">
      <c r="DY54897" s="185" t="s">
        <v>215</v>
      </c>
    </row>
    <row r="54898" spans="129:129" x14ac:dyDescent="0.2">
      <c r="DY54898" s="185" t="s">
        <v>215</v>
      </c>
    </row>
    <row r="54899" spans="129:129" x14ac:dyDescent="0.2">
      <c r="DY54899" s="185" t="s">
        <v>215</v>
      </c>
    </row>
    <row r="54900" spans="129:129" x14ac:dyDescent="0.2">
      <c r="DY54900" s="185" t="s">
        <v>215</v>
      </c>
    </row>
    <row r="54901" spans="129:129" x14ac:dyDescent="0.2">
      <c r="DY54901" s="185" t="s">
        <v>215</v>
      </c>
    </row>
    <row r="54902" spans="129:129" x14ac:dyDescent="0.2">
      <c r="DY54902" s="185" t="s">
        <v>215</v>
      </c>
    </row>
    <row r="54903" spans="129:129" x14ac:dyDescent="0.2">
      <c r="DY54903" s="185" t="s">
        <v>215</v>
      </c>
    </row>
    <row r="54904" spans="129:129" x14ac:dyDescent="0.2">
      <c r="DY54904" s="185" t="s">
        <v>215</v>
      </c>
    </row>
    <row r="54905" spans="129:129" x14ac:dyDescent="0.2">
      <c r="DY54905" s="185" t="s">
        <v>215</v>
      </c>
    </row>
    <row r="54906" spans="129:129" x14ac:dyDescent="0.2">
      <c r="DY54906" s="185" t="s">
        <v>215</v>
      </c>
    </row>
    <row r="54907" spans="129:129" x14ac:dyDescent="0.2">
      <c r="DY54907" s="185" t="s">
        <v>215</v>
      </c>
    </row>
    <row r="54908" spans="129:129" x14ac:dyDescent="0.2">
      <c r="DY54908" s="185" t="s">
        <v>215</v>
      </c>
    </row>
    <row r="54909" spans="129:129" x14ac:dyDescent="0.2">
      <c r="DY54909" s="185" t="s">
        <v>215</v>
      </c>
    </row>
    <row r="54910" spans="129:129" x14ac:dyDescent="0.2">
      <c r="DY54910" s="185" t="s">
        <v>215</v>
      </c>
    </row>
    <row r="54911" spans="129:129" x14ac:dyDescent="0.2">
      <c r="DY54911" s="185" t="s">
        <v>215</v>
      </c>
    </row>
    <row r="54912" spans="129:129" x14ac:dyDescent="0.2">
      <c r="DY54912" s="185" t="s">
        <v>215</v>
      </c>
    </row>
    <row r="54913" spans="129:129" x14ac:dyDescent="0.2">
      <c r="DY54913" s="185" t="s">
        <v>215</v>
      </c>
    </row>
    <row r="54914" spans="129:129" x14ac:dyDescent="0.2">
      <c r="DY54914" s="185" t="s">
        <v>215</v>
      </c>
    </row>
    <row r="54915" spans="129:129" x14ac:dyDescent="0.2">
      <c r="DY54915" s="185" t="s">
        <v>215</v>
      </c>
    </row>
    <row r="54916" spans="129:129" x14ac:dyDescent="0.2">
      <c r="DY54916" s="185" t="s">
        <v>215</v>
      </c>
    </row>
    <row r="54917" spans="129:129" x14ac:dyDescent="0.2">
      <c r="DY54917" s="185" t="s">
        <v>215</v>
      </c>
    </row>
    <row r="54918" spans="129:129" x14ac:dyDescent="0.2">
      <c r="DY54918" s="185" t="s">
        <v>215</v>
      </c>
    </row>
    <row r="54919" spans="129:129" x14ac:dyDescent="0.2">
      <c r="DY54919" s="185" t="s">
        <v>215</v>
      </c>
    </row>
    <row r="54920" spans="129:129" x14ac:dyDescent="0.2">
      <c r="DY54920" s="185" t="s">
        <v>215</v>
      </c>
    </row>
    <row r="54921" spans="129:129" x14ac:dyDescent="0.2">
      <c r="DY54921" s="185" t="s">
        <v>215</v>
      </c>
    </row>
    <row r="54922" spans="129:129" x14ac:dyDescent="0.2">
      <c r="DY54922" s="185" t="s">
        <v>215</v>
      </c>
    </row>
    <row r="54923" spans="129:129" x14ac:dyDescent="0.2">
      <c r="DY54923" s="185" t="s">
        <v>215</v>
      </c>
    </row>
    <row r="54924" spans="129:129" x14ac:dyDescent="0.2">
      <c r="DY54924" s="185" t="s">
        <v>215</v>
      </c>
    </row>
    <row r="54925" spans="129:129" x14ac:dyDescent="0.2">
      <c r="DY54925" s="185" t="s">
        <v>215</v>
      </c>
    </row>
    <row r="54926" spans="129:129" x14ac:dyDescent="0.2">
      <c r="DY54926" s="185" t="s">
        <v>215</v>
      </c>
    </row>
    <row r="54927" spans="129:129" x14ac:dyDescent="0.2">
      <c r="DY54927" s="185" t="s">
        <v>215</v>
      </c>
    </row>
    <row r="54928" spans="129:129" x14ac:dyDescent="0.2">
      <c r="DY54928" s="185" t="s">
        <v>215</v>
      </c>
    </row>
    <row r="54929" spans="129:129" x14ac:dyDescent="0.2">
      <c r="DY54929" s="185" t="s">
        <v>215</v>
      </c>
    </row>
    <row r="54930" spans="129:129" x14ac:dyDescent="0.2">
      <c r="DY54930" s="185" t="s">
        <v>215</v>
      </c>
    </row>
    <row r="54931" spans="129:129" x14ac:dyDescent="0.2">
      <c r="DY54931" s="185" t="s">
        <v>215</v>
      </c>
    </row>
    <row r="54932" spans="129:129" x14ac:dyDescent="0.2">
      <c r="DY54932" s="185" t="s">
        <v>215</v>
      </c>
    </row>
    <row r="54933" spans="129:129" x14ac:dyDescent="0.2">
      <c r="DY54933" s="185" t="s">
        <v>215</v>
      </c>
    </row>
    <row r="54934" spans="129:129" x14ac:dyDescent="0.2">
      <c r="DY54934" s="185" t="s">
        <v>215</v>
      </c>
    </row>
    <row r="54935" spans="129:129" x14ac:dyDescent="0.2">
      <c r="DY54935" s="185" t="s">
        <v>215</v>
      </c>
    </row>
    <row r="54936" spans="129:129" x14ac:dyDescent="0.2">
      <c r="DY54936" s="185" t="s">
        <v>215</v>
      </c>
    </row>
    <row r="54937" spans="129:129" x14ac:dyDescent="0.2">
      <c r="DY54937" s="185" t="s">
        <v>215</v>
      </c>
    </row>
    <row r="54938" spans="129:129" x14ac:dyDescent="0.2">
      <c r="DY54938" s="185" t="s">
        <v>215</v>
      </c>
    </row>
    <row r="54939" spans="129:129" x14ac:dyDescent="0.2">
      <c r="DY54939" s="185" t="s">
        <v>215</v>
      </c>
    </row>
    <row r="54940" spans="129:129" x14ac:dyDescent="0.2">
      <c r="DY54940" s="185" t="s">
        <v>215</v>
      </c>
    </row>
    <row r="54941" spans="129:129" x14ac:dyDescent="0.2">
      <c r="DY54941" s="185" t="s">
        <v>215</v>
      </c>
    </row>
    <row r="54942" spans="129:129" x14ac:dyDescent="0.2">
      <c r="DY54942" s="185" t="s">
        <v>215</v>
      </c>
    </row>
    <row r="54943" spans="129:129" x14ac:dyDescent="0.2">
      <c r="DY54943" s="185" t="s">
        <v>215</v>
      </c>
    </row>
    <row r="54944" spans="129:129" x14ac:dyDescent="0.2">
      <c r="DY54944" s="185" t="s">
        <v>215</v>
      </c>
    </row>
    <row r="54945" spans="129:129" x14ac:dyDescent="0.2">
      <c r="DY54945" s="185" t="s">
        <v>215</v>
      </c>
    </row>
    <row r="54946" spans="129:129" x14ac:dyDescent="0.2">
      <c r="DY54946" s="185" t="s">
        <v>215</v>
      </c>
    </row>
    <row r="54947" spans="129:129" x14ac:dyDescent="0.2">
      <c r="DY54947" s="185" t="s">
        <v>215</v>
      </c>
    </row>
    <row r="54948" spans="129:129" x14ac:dyDescent="0.2">
      <c r="DY54948" s="185" t="s">
        <v>215</v>
      </c>
    </row>
    <row r="54949" spans="129:129" x14ac:dyDescent="0.2">
      <c r="DY54949" s="185" t="s">
        <v>215</v>
      </c>
    </row>
    <row r="54950" spans="129:129" x14ac:dyDescent="0.2">
      <c r="DY54950" s="185" t="s">
        <v>215</v>
      </c>
    </row>
    <row r="54951" spans="129:129" x14ac:dyDescent="0.2">
      <c r="DY54951" s="185" t="s">
        <v>215</v>
      </c>
    </row>
    <row r="54952" spans="129:129" x14ac:dyDescent="0.2">
      <c r="DY54952" s="185" t="s">
        <v>215</v>
      </c>
    </row>
    <row r="54953" spans="129:129" x14ac:dyDescent="0.2">
      <c r="DY54953" s="185" t="s">
        <v>215</v>
      </c>
    </row>
    <row r="54954" spans="129:129" x14ac:dyDescent="0.2">
      <c r="DY54954" s="185" t="s">
        <v>215</v>
      </c>
    </row>
    <row r="54955" spans="129:129" x14ac:dyDescent="0.2">
      <c r="DY54955" s="185" t="s">
        <v>215</v>
      </c>
    </row>
    <row r="54956" spans="129:129" x14ac:dyDescent="0.2">
      <c r="DY54956" s="185" t="s">
        <v>215</v>
      </c>
    </row>
    <row r="54957" spans="129:129" x14ac:dyDescent="0.2">
      <c r="DY54957" s="185" t="s">
        <v>215</v>
      </c>
    </row>
    <row r="54958" spans="129:129" x14ac:dyDescent="0.2">
      <c r="DY54958" s="185" t="s">
        <v>215</v>
      </c>
    </row>
    <row r="54959" spans="129:129" x14ac:dyDescent="0.2">
      <c r="DY54959" s="185" t="s">
        <v>215</v>
      </c>
    </row>
    <row r="54960" spans="129:129" x14ac:dyDescent="0.2">
      <c r="DY54960" s="185" t="s">
        <v>215</v>
      </c>
    </row>
    <row r="54961" spans="129:129" x14ac:dyDescent="0.2">
      <c r="DY54961" s="185" t="s">
        <v>215</v>
      </c>
    </row>
    <row r="54962" spans="129:129" x14ac:dyDescent="0.2">
      <c r="DY54962" s="185" t="s">
        <v>215</v>
      </c>
    </row>
    <row r="54963" spans="129:129" x14ac:dyDescent="0.2">
      <c r="DY54963" s="185" t="s">
        <v>215</v>
      </c>
    </row>
    <row r="54964" spans="129:129" x14ac:dyDescent="0.2">
      <c r="DY54964" s="185" t="s">
        <v>215</v>
      </c>
    </row>
    <row r="54965" spans="129:129" x14ac:dyDescent="0.2">
      <c r="DY54965" s="185" t="s">
        <v>215</v>
      </c>
    </row>
    <row r="54966" spans="129:129" x14ac:dyDescent="0.2">
      <c r="DY54966" s="185" t="s">
        <v>215</v>
      </c>
    </row>
    <row r="54967" spans="129:129" x14ac:dyDescent="0.2">
      <c r="DY54967" s="185" t="s">
        <v>215</v>
      </c>
    </row>
    <row r="54968" spans="129:129" x14ac:dyDescent="0.2">
      <c r="DY54968" s="185" t="s">
        <v>215</v>
      </c>
    </row>
    <row r="54969" spans="129:129" x14ac:dyDescent="0.2">
      <c r="DY54969" s="185" t="s">
        <v>215</v>
      </c>
    </row>
    <row r="54970" spans="129:129" x14ac:dyDescent="0.2">
      <c r="DY54970" s="185" t="s">
        <v>215</v>
      </c>
    </row>
    <row r="54971" spans="129:129" x14ac:dyDescent="0.2">
      <c r="DY54971" s="185" t="s">
        <v>215</v>
      </c>
    </row>
    <row r="54972" spans="129:129" x14ac:dyDescent="0.2">
      <c r="DY54972" s="185" t="s">
        <v>215</v>
      </c>
    </row>
    <row r="54973" spans="129:129" x14ac:dyDescent="0.2">
      <c r="DY54973" s="185" t="s">
        <v>215</v>
      </c>
    </row>
    <row r="54974" spans="129:129" x14ac:dyDescent="0.2">
      <c r="DY54974" s="185" t="s">
        <v>215</v>
      </c>
    </row>
    <row r="54975" spans="129:129" x14ac:dyDescent="0.2">
      <c r="DY54975" s="185" t="s">
        <v>215</v>
      </c>
    </row>
    <row r="54976" spans="129:129" x14ac:dyDescent="0.2">
      <c r="DY54976" s="185" t="s">
        <v>215</v>
      </c>
    </row>
    <row r="54977" spans="129:129" x14ac:dyDescent="0.2">
      <c r="DY54977" s="185" t="s">
        <v>215</v>
      </c>
    </row>
    <row r="54978" spans="129:129" x14ac:dyDescent="0.2">
      <c r="DY54978" s="185" t="s">
        <v>215</v>
      </c>
    </row>
    <row r="54979" spans="129:129" x14ac:dyDescent="0.2">
      <c r="DY54979" s="185" t="s">
        <v>215</v>
      </c>
    </row>
    <row r="54980" spans="129:129" x14ac:dyDescent="0.2">
      <c r="DY54980" s="185" t="s">
        <v>215</v>
      </c>
    </row>
    <row r="54981" spans="129:129" x14ac:dyDescent="0.2">
      <c r="DY54981" s="185" t="s">
        <v>215</v>
      </c>
    </row>
    <row r="54982" spans="129:129" x14ac:dyDescent="0.2">
      <c r="DY54982" s="185" t="s">
        <v>215</v>
      </c>
    </row>
    <row r="54983" spans="129:129" x14ac:dyDescent="0.2">
      <c r="DY54983" s="185" t="s">
        <v>215</v>
      </c>
    </row>
    <row r="54984" spans="129:129" x14ac:dyDescent="0.2">
      <c r="DY54984" s="185" t="s">
        <v>215</v>
      </c>
    </row>
    <row r="54985" spans="129:129" x14ac:dyDescent="0.2">
      <c r="DY54985" s="185" t="s">
        <v>215</v>
      </c>
    </row>
    <row r="54986" spans="129:129" x14ac:dyDescent="0.2">
      <c r="DY54986" s="185" t="s">
        <v>215</v>
      </c>
    </row>
    <row r="54987" spans="129:129" x14ac:dyDescent="0.2">
      <c r="DY54987" s="185" t="s">
        <v>215</v>
      </c>
    </row>
    <row r="54988" spans="129:129" x14ac:dyDescent="0.2">
      <c r="DY54988" s="185" t="s">
        <v>215</v>
      </c>
    </row>
    <row r="54989" spans="129:129" x14ac:dyDescent="0.2">
      <c r="DY54989" s="185" t="s">
        <v>215</v>
      </c>
    </row>
    <row r="54990" spans="129:129" x14ac:dyDescent="0.2">
      <c r="DY54990" s="185" t="s">
        <v>215</v>
      </c>
    </row>
    <row r="54991" spans="129:129" x14ac:dyDescent="0.2">
      <c r="DY54991" s="185" t="s">
        <v>215</v>
      </c>
    </row>
    <row r="54992" spans="129:129" x14ac:dyDescent="0.2">
      <c r="DY54992" s="185" t="s">
        <v>215</v>
      </c>
    </row>
    <row r="54993" spans="129:129" x14ac:dyDescent="0.2">
      <c r="DY54993" s="185" t="s">
        <v>215</v>
      </c>
    </row>
    <row r="54994" spans="129:129" x14ac:dyDescent="0.2">
      <c r="DY54994" s="185" t="s">
        <v>215</v>
      </c>
    </row>
    <row r="54995" spans="129:129" x14ac:dyDescent="0.2">
      <c r="DY54995" s="185" t="s">
        <v>215</v>
      </c>
    </row>
    <row r="54996" spans="129:129" x14ac:dyDescent="0.2">
      <c r="DY54996" s="185" t="s">
        <v>215</v>
      </c>
    </row>
    <row r="54997" spans="129:129" x14ac:dyDescent="0.2">
      <c r="DY54997" s="185" t="s">
        <v>215</v>
      </c>
    </row>
    <row r="54998" spans="129:129" x14ac:dyDescent="0.2">
      <c r="DY54998" s="185" t="s">
        <v>215</v>
      </c>
    </row>
    <row r="54999" spans="129:129" x14ac:dyDescent="0.2">
      <c r="DY54999" s="185" t="s">
        <v>215</v>
      </c>
    </row>
    <row r="55000" spans="129:129" x14ac:dyDescent="0.2">
      <c r="DY55000" s="185" t="s">
        <v>215</v>
      </c>
    </row>
    <row r="55001" spans="129:129" x14ac:dyDescent="0.2">
      <c r="DY55001" s="185" t="s">
        <v>215</v>
      </c>
    </row>
    <row r="55002" spans="129:129" x14ac:dyDescent="0.2">
      <c r="DY55002" s="185" t="s">
        <v>215</v>
      </c>
    </row>
    <row r="55003" spans="129:129" x14ac:dyDescent="0.2">
      <c r="DY55003" s="185" t="s">
        <v>215</v>
      </c>
    </row>
    <row r="55004" spans="129:129" x14ac:dyDescent="0.2">
      <c r="DY55004" s="185" t="s">
        <v>215</v>
      </c>
    </row>
    <row r="55005" spans="129:129" x14ac:dyDescent="0.2">
      <c r="DY55005" s="185" t="s">
        <v>215</v>
      </c>
    </row>
    <row r="55006" spans="129:129" x14ac:dyDescent="0.2">
      <c r="DY55006" s="185" t="s">
        <v>215</v>
      </c>
    </row>
    <row r="55007" spans="129:129" x14ac:dyDescent="0.2">
      <c r="DY55007" s="185" t="s">
        <v>215</v>
      </c>
    </row>
    <row r="55008" spans="129:129" x14ac:dyDescent="0.2">
      <c r="DY55008" s="185" t="s">
        <v>215</v>
      </c>
    </row>
    <row r="55009" spans="129:129" x14ac:dyDescent="0.2">
      <c r="DY55009" s="185" t="s">
        <v>215</v>
      </c>
    </row>
    <row r="55010" spans="129:129" x14ac:dyDescent="0.2">
      <c r="DY55010" s="185" t="s">
        <v>215</v>
      </c>
    </row>
    <row r="55011" spans="129:129" x14ac:dyDescent="0.2">
      <c r="DY55011" s="185" t="s">
        <v>215</v>
      </c>
    </row>
    <row r="55012" spans="129:129" x14ac:dyDescent="0.2">
      <c r="DY55012" s="185" t="s">
        <v>215</v>
      </c>
    </row>
    <row r="55013" spans="129:129" x14ac:dyDescent="0.2">
      <c r="DY55013" s="185" t="s">
        <v>215</v>
      </c>
    </row>
    <row r="55014" spans="129:129" x14ac:dyDescent="0.2">
      <c r="DY55014" s="185" t="s">
        <v>215</v>
      </c>
    </row>
    <row r="55015" spans="129:129" x14ac:dyDescent="0.2">
      <c r="DY55015" s="185" t="s">
        <v>215</v>
      </c>
    </row>
    <row r="55016" spans="129:129" x14ac:dyDescent="0.2">
      <c r="DY55016" s="185" t="s">
        <v>215</v>
      </c>
    </row>
    <row r="55017" spans="129:129" x14ac:dyDescent="0.2">
      <c r="DY55017" s="185" t="s">
        <v>215</v>
      </c>
    </row>
    <row r="55018" spans="129:129" x14ac:dyDescent="0.2">
      <c r="DY55018" s="185" t="s">
        <v>215</v>
      </c>
    </row>
    <row r="55019" spans="129:129" x14ac:dyDescent="0.2">
      <c r="DY55019" s="185" t="s">
        <v>215</v>
      </c>
    </row>
    <row r="55020" spans="129:129" x14ac:dyDescent="0.2">
      <c r="DY55020" s="185" t="s">
        <v>215</v>
      </c>
    </row>
    <row r="55021" spans="129:129" x14ac:dyDescent="0.2">
      <c r="DY55021" s="185" t="s">
        <v>215</v>
      </c>
    </row>
    <row r="55022" spans="129:129" x14ac:dyDescent="0.2">
      <c r="DY55022" s="185" t="s">
        <v>215</v>
      </c>
    </row>
    <row r="55023" spans="129:129" x14ac:dyDescent="0.2">
      <c r="DY55023" s="185" t="s">
        <v>215</v>
      </c>
    </row>
    <row r="55024" spans="129:129" x14ac:dyDescent="0.2">
      <c r="DY55024" s="185" t="s">
        <v>215</v>
      </c>
    </row>
    <row r="55025" spans="129:129" x14ac:dyDescent="0.2">
      <c r="DY55025" s="185" t="s">
        <v>215</v>
      </c>
    </row>
    <row r="55026" spans="129:129" x14ac:dyDescent="0.2">
      <c r="DY55026" s="185" t="s">
        <v>215</v>
      </c>
    </row>
    <row r="55027" spans="129:129" x14ac:dyDescent="0.2">
      <c r="DY55027" s="185" t="s">
        <v>215</v>
      </c>
    </row>
    <row r="55028" spans="129:129" x14ac:dyDescent="0.2">
      <c r="DY55028" s="185" t="s">
        <v>215</v>
      </c>
    </row>
    <row r="55029" spans="129:129" x14ac:dyDescent="0.2">
      <c r="DY55029" s="185" t="s">
        <v>215</v>
      </c>
    </row>
    <row r="55030" spans="129:129" x14ac:dyDescent="0.2">
      <c r="DY55030" s="185" t="s">
        <v>215</v>
      </c>
    </row>
    <row r="55031" spans="129:129" x14ac:dyDescent="0.2">
      <c r="DY55031" s="185" t="s">
        <v>215</v>
      </c>
    </row>
    <row r="55032" spans="129:129" x14ac:dyDescent="0.2">
      <c r="DY55032" s="185" t="s">
        <v>215</v>
      </c>
    </row>
    <row r="55033" spans="129:129" x14ac:dyDescent="0.2">
      <c r="DY55033" s="185" t="s">
        <v>215</v>
      </c>
    </row>
    <row r="55034" spans="129:129" x14ac:dyDescent="0.2">
      <c r="DY55034" s="185" t="s">
        <v>215</v>
      </c>
    </row>
    <row r="55035" spans="129:129" x14ac:dyDescent="0.2">
      <c r="DY55035" s="185" t="s">
        <v>215</v>
      </c>
    </row>
    <row r="55036" spans="129:129" x14ac:dyDescent="0.2">
      <c r="DY55036" s="185" t="s">
        <v>215</v>
      </c>
    </row>
    <row r="55037" spans="129:129" x14ac:dyDescent="0.2">
      <c r="DY55037" s="185" t="s">
        <v>215</v>
      </c>
    </row>
    <row r="55038" spans="129:129" x14ac:dyDescent="0.2">
      <c r="DY55038" s="185" t="s">
        <v>215</v>
      </c>
    </row>
    <row r="55039" spans="129:129" x14ac:dyDescent="0.2">
      <c r="DY55039" s="185" t="s">
        <v>215</v>
      </c>
    </row>
    <row r="55040" spans="129:129" x14ac:dyDescent="0.2">
      <c r="DY55040" s="185" t="s">
        <v>215</v>
      </c>
    </row>
    <row r="55041" spans="129:129" x14ac:dyDescent="0.2">
      <c r="DY55041" s="185" t="s">
        <v>215</v>
      </c>
    </row>
    <row r="55042" spans="129:129" x14ac:dyDescent="0.2">
      <c r="DY55042" s="185" t="s">
        <v>215</v>
      </c>
    </row>
    <row r="55043" spans="129:129" x14ac:dyDescent="0.2">
      <c r="DY55043" s="185" t="s">
        <v>215</v>
      </c>
    </row>
    <row r="55044" spans="129:129" x14ac:dyDescent="0.2">
      <c r="DY55044" s="185" t="s">
        <v>215</v>
      </c>
    </row>
    <row r="55045" spans="129:129" x14ac:dyDescent="0.2">
      <c r="DY55045" s="185" t="s">
        <v>215</v>
      </c>
    </row>
    <row r="55046" spans="129:129" x14ac:dyDescent="0.2">
      <c r="DY55046" s="185" t="s">
        <v>215</v>
      </c>
    </row>
    <row r="55047" spans="129:129" x14ac:dyDescent="0.2">
      <c r="DY55047" s="185" t="s">
        <v>215</v>
      </c>
    </row>
    <row r="55048" spans="129:129" x14ac:dyDescent="0.2">
      <c r="DY55048" s="185" t="s">
        <v>215</v>
      </c>
    </row>
    <row r="55049" spans="129:129" x14ac:dyDescent="0.2">
      <c r="DY55049" s="185" t="s">
        <v>215</v>
      </c>
    </row>
    <row r="55050" spans="129:129" x14ac:dyDescent="0.2">
      <c r="DY55050" s="185" t="s">
        <v>215</v>
      </c>
    </row>
    <row r="55051" spans="129:129" x14ac:dyDescent="0.2">
      <c r="DY55051" s="185" t="s">
        <v>215</v>
      </c>
    </row>
    <row r="55052" spans="129:129" x14ac:dyDescent="0.2">
      <c r="DY55052" s="185" t="s">
        <v>215</v>
      </c>
    </row>
    <row r="55053" spans="129:129" x14ac:dyDescent="0.2">
      <c r="DY55053" s="185" t="s">
        <v>215</v>
      </c>
    </row>
    <row r="55054" spans="129:129" x14ac:dyDescent="0.2">
      <c r="DY55054" s="185" t="s">
        <v>215</v>
      </c>
    </row>
    <row r="55055" spans="129:129" x14ac:dyDescent="0.2">
      <c r="DY55055" s="185" t="s">
        <v>215</v>
      </c>
    </row>
    <row r="55056" spans="129:129" x14ac:dyDescent="0.2">
      <c r="DY55056" s="185" t="s">
        <v>215</v>
      </c>
    </row>
    <row r="55057" spans="129:129" x14ac:dyDescent="0.2">
      <c r="DY55057" s="185" t="s">
        <v>215</v>
      </c>
    </row>
    <row r="55058" spans="129:129" x14ac:dyDescent="0.2">
      <c r="DY55058" s="185" t="s">
        <v>215</v>
      </c>
    </row>
    <row r="55059" spans="129:129" x14ac:dyDescent="0.2">
      <c r="DY55059" s="185" t="s">
        <v>215</v>
      </c>
    </row>
    <row r="55060" spans="129:129" x14ac:dyDescent="0.2">
      <c r="DY55060" s="185" t="s">
        <v>215</v>
      </c>
    </row>
    <row r="55061" spans="129:129" x14ac:dyDescent="0.2">
      <c r="DY55061" s="185" t="s">
        <v>215</v>
      </c>
    </row>
    <row r="55062" spans="129:129" x14ac:dyDescent="0.2">
      <c r="DY55062" s="185" t="s">
        <v>215</v>
      </c>
    </row>
    <row r="55063" spans="129:129" x14ac:dyDescent="0.2">
      <c r="DY55063" s="185" t="s">
        <v>215</v>
      </c>
    </row>
    <row r="55064" spans="129:129" x14ac:dyDescent="0.2">
      <c r="DY55064" s="185" t="s">
        <v>215</v>
      </c>
    </row>
    <row r="55065" spans="129:129" x14ac:dyDescent="0.2">
      <c r="DY55065" s="185" t="s">
        <v>215</v>
      </c>
    </row>
    <row r="55066" spans="129:129" x14ac:dyDescent="0.2">
      <c r="DY55066" s="185" t="s">
        <v>215</v>
      </c>
    </row>
    <row r="55067" spans="129:129" x14ac:dyDescent="0.2">
      <c r="DY55067" s="185" t="s">
        <v>215</v>
      </c>
    </row>
    <row r="55068" spans="129:129" x14ac:dyDescent="0.2">
      <c r="DY55068" s="185" t="s">
        <v>215</v>
      </c>
    </row>
    <row r="55069" spans="129:129" x14ac:dyDescent="0.2">
      <c r="DY55069" s="185" t="s">
        <v>215</v>
      </c>
    </row>
    <row r="55070" spans="129:129" x14ac:dyDescent="0.2">
      <c r="DY55070" s="185" t="s">
        <v>215</v>
      </c>
    </row>
    <row r="55071" spans="129:129" x14ac:dyDescent="0.2">
      <c r="DY55071" s="185" t="s">
        <v>215</v>
      </c>
    </row>
    <row r="55072" spans="129:129" x14ac:dyDescent="0.2">
      <c r="DY55072" s="185" t="s">
        <v>215</v>
      </c>
    </row>
    <row r="55073" spans="129:129" x14ac:dyDescent="0.2">
      <c r="DY55073" s="185" t="s">
        <v>215</v>
      </c>
    </row>
    <row r="55074" spans="129:129" x14ac:dyDescent="0.2">
      <c r="DY55074" s="185" t="s">
        <v>215</v>
      </c>
    </row>
    <row r="55075" spans="129:129" x14ac:dyDescent="0.2">
      <c r="DY55075" s="185" t="s">
        <v>215</v>
      </c>
    </row>
    <row r="55076" spans="129:129" x14ac:dyDescent="0.2">
      <c r="DY55076" s="185" t="s">
        <v>215</v>
      </c>
    </row>
    <row r="55077" spans="129:129" x14ac:dyDescent="0.2">
      <c r="DY55077" s="185" t="s">
        <v>215</v>
      </c>
    </row>
    <row r="55078" spans="129:129" x14ac:dyDescent="0.2">
      <c r="DY55078" s="185" t="s">
        <v>215</v>
      </c>
    </row>
    <row r="55079" spans="129:129" x14ac:dyDescent="0.2">
      <c r="DY55079" s="185" t="s">
        <v>215</v>
      </c>
    </row>
    <row r="55080" spans="129:129" x14ac:dyDescent="0.2">
      <c r="DY55080" s="185" t="s">
        <v>215</v>
      </c>
    </row>
    <row r="55081" spans="129:129" x14ac:dyDescent="0.2">
      <c r="DY55081" s="185" t="s">
        <v>215</v>
      </c>
    </row>
    <row r="55082" spans="129:129" x14ac:dyDescent="0.2">
      <c r="DY55082" s="185" t="s">
        <v>215</v>
      </c>
    </row>
    <row r="55083" spans="129:129" x14ac:dyDescent="0.2">
      <c r="DY55083" s="185" t="s">
        <v>215</v>
      </c>
    </row>
    <row r="55084" spans="129:129" x14ac:dyDescent="0.2">
      <c r="DY55084" s="185" t="s">
        <v>215</v>
      </c>
    </row>
    <row r="55085" spans="129:129" x14ac:dyDescent="0.2">
      <c r="DY55085" s="185" t="s">
        <v>215</v>
      </c>
    </row>
    <row r="55086" spans="129:129" x14ac:dyDescent="0.2">
      <c r="DY55086" s="185" t="s">
        <v>215</v>
      </c>
    </row>
    <row r="55087" spans="129:129" x14ac:dyDescent="0.2">
      <c r="DY55087" s="185" t="s">
        <v>215</v>
      </c>
    </row>
    <row r="55088" spans="129:129" x14ac:dyDescent="0.2">
      <c r="DY55088" s="185" t="s">
        <v>215</v>
      </c>
    </row>
    <row r="55089" spans="129:129" x14ac:dyDescent="0.2">
      <c r="DY55089" s="185" t="s">
        <v>215</v>
      </c>
    </row>
    <row r="55090" spans="129:129" x14ac:dyDescent="0.2">
      <c r="DY55090" s="185" t="s">
        <v>215</v>
      </c>
    </row>
    <row r="55091" spans="129:129" x14ac:dyDescent="0.2">
      <c r="DY55091" s="185" t="s">
        <v>215</v>
      </c>
    </row>
    <row r="55092" spans="129:129" x14ac:dyDescent="0.2">
      <c r="DY55092" s="185" t="s">
        <v>215</v>
      </c>
    </row>
    <row r="55093" spans="129:129" x14ac:dyDescent="0.2">
      <c r="DY55093" s="185" t="s">
        <v>215</v>
      </c>
    </row>
    <row r="55094" spans="129:129" x14ac:dyDescent="0.2">
      <c r="DY55094" s="185" t="s">
        <v>215</v>
      </c>
    </row>
    <row r="55095" spans="129:129" x14ac:dyDescent="0.2">
      <c r="DY55095" s="185" t="s">
        <v>215</v>
      </c>
    </row>
    <row r="55096" spans="129:129" x14ac:dyDescent="0.2">
      <c r="DY55096" s="185" t="s">
        <v>215</v>
      </c>
    </row>
    <row r="55097" spans="129:129" x14ac:dyDescent="0.2">
      <c r="DY55097" s="185" t="s">
        <v>215</v>
      </c>
    </row>
    <row r="55098" spans="129:129" x14ac:dyDescent="0.2">
      <c r="DY55098" s="185" t="s">
        <v>215</v>
      </c>
    </row>
    <row r="55099" spans="129:129" x14ac:dyDescent="0.2">
      <c r="DY55099" s="185" t="s">
        <v>215</v>
      </c>
    </row>
    <row r="55100" spans="129:129" x14ac:dyDescent="0.2">
      <c r="DY55100" s="185" t="s">
        <v>215</v>
      </c>
    </row>
    <row r="55101" spans="129:129" x14ac:dyDescent="0.2">
      <c r="DY55101" s="185" t="s">
        <v>215</v>
      </c>
    </row>
    <row r="55102" spans="129:129" x14ac:dyDescent="0.2">
      <c r="DY55102" s="185" t="s">
        <v>215</v>
      </c>
    </row>
    <row r="55103" spans="129:129" x14ac:dyDescent="0.2">
      <c r="DY55103" s="185" t="s">
        <v>215</v>
      </c>
    </row>
    <row r="55104" spans="129:129" x14ac:dyDescent="0.2">
      <c r="DY55104" s="185" t="s">
        <v>215</v>
      </c>
    </row>
    <row r="55105" spans="129:129" x14ac:dyDescent="0.2">
      <c r="DY55105" s="185" t="s">
        <v>215</v>
      </c>
    </row>
    <row r="55106" spans="129:129" x14ac:dyDescent="0.2">
      <c r="DY55106" s="185" t="s">
        <v>215</v>
      </c>
    </row>
    <row r="55107" spans="129:129" x14ac:dyDescent="0.2">
      <c r="DY55107" s="185" t="s">
        <v>215</v>
      </c>
    </row>
    <row r="55108" spans="129:129" x14ac:dyDescent="0.2">
      <c r="DY55108" s="185" t="s">
        <v>215</v>
      </c>
    </row>
    <row r="55109" spans="129:129" x14ac:dyDescent="0.2">
      <c r="DY55109" s="185" t="s">
        <v>215</v>
      </c>
    </row>
    <row r="55110" spans="129:129" x14ac:dyDescent="0.2">
      <c r="DY55110" s="185" t="s">
        <v>215</v>
      </c>
    </row>
    <row r="55111" spans="129:129" x14ac:dyDescent="0.2">
      <c r="DY55111" s="185" t="s">
        <v>215</v>
      </c>
    </row>
    <row r="55112" spans="129:129" x14ac:dyDescent="0.2">
      <c r="DY55112" s="185" t="s">
        <v>215</v>
      </c>
    </row>
    <row r="55113" spans="129:129" x14ac:dyDescent="0.2">
      <c r="DY55113" s="185" t="s">
        <v>215</v>
      </c>
    </row>
    <row r="55114" spans="129:129" x14ac:dyDescent="0.2">
      <c r="DY55114" s="185" t="s">
        <v>215</v>
      </c>
    </row>
    <row r="55115" spans="129:129" x14ac:dyDescent="0.2">
      <c r="DY55115" s="185" t="s">
        <v>215</v>
      </c>
    </row>
    <row r="55116" spans="129:129" x14ac:dyDescent="0.2">
      <c r="DY55116" s="185" t="s">
        <v>215</v>
      </c>
    </row>
    <row r="55117" spans="129:129" x14ac:dyDescent="0.2">
      <c r="DY55117" s="185" t="s">
        <v>215</v>
      </c>
    </row>
    <row r="55118" spans="129:129" x14ac:dyDescent="0.2">
      <c r="DY55118" s="185" t="s">
        <v>215</v>
      </c>
    </row>
    <row r="55119" spans="129:129" x14ac:dyDescent="0.2">
      <c r="DY55119" s="185" t="s">
        <v>215</v>
      </c>
    </row>
    <row r="55120" spans="129:129" x14ac:dyDescent="0.2">
      <c r="DY55120" s="185" t="s">
        <v>215</v>
      </c>
    </row>
    <row r="55121" spans="129:129" x14ac:dyDescent="0.2">
      <c r="DY55121" s="185" t="s">
        <v>215</v>
      </c>
    </row>
    <row r="55122" spans="129:129" x14ac:dyDescent="0.2">
      <c r="DY55122" s="185" t="s">
        <v>215</v>
      </c>
    </row>
    <row r="55123" spans="129:129" x14ac:dyDescent="0.2">
      <c r="DY55123" s="185" t="s">
        <v>215</v>
      </c>
    </row>
    <row r="55124" spans="129:129" x14ac:dyDescent="0.2">
      <c r="DY55124" s="185" t="s">
        <v>215</v>
      </c>
    </row>
    <row r="55125" spans="129:129" x14ac:dyDescent="0.2">
      <c r="DY55125" s="185" t="s">
        <v>215</v>
      </c>
    </row>
    <row r="55126" spans="129:129" x14ac:dyDescent="0.2">
      <c r="DY55126" s="185" t="s">
        <v>215</v>
      </c>
    </row>
    <row r="55127" spans="129:129" x14ac:dyDescent="0.2">
      <c r="DY55127" s="185" t="s">
        <v>215</v>
      </c>
    </row>
    <row r="55128" spans="129:129" x14ac:dyDescent="0.2">
      <c r="DY55128" s="185" t="s">
        <v>215</v>
      </c>
    </row>
    <row r="55129" spans="129:129" x14ac:dyDescent="0.2">
      <c r="DY55129" s="185" t="s">
        <v>215</v>
      </c>
    </row>
    <row r="55130" spans="129:129" x14ac:dyDescent="0.2">
      <c r="DY55130" s="185" t="s">
        <v>215</v>
      </c>
    </row>
    <row r="55131" spans="129:129" x14ac:dyDescent="0.2">
      <c r="DY55131" s="185" t="s">
        <v>215</v>
      </c>
    </row>
    <row r="55132" spans="129:129" x14ac:dyDescent="0.2">
      <c r="DY55132" s="185" t="s">
        <v>215</v>
      </c>
    </row>
    <row r="55133" spans="129:129" x14ac:dyDescent="0.2">
      <c r="DY55133" s="185" t="s">
        <v>215</v>
      </c>
    </row>
    <row r="55134" spans="129:129" x14ac:dyDescent="0.2">
      <c r="DY55134" s="185" t="s">
        <v>215</v>
      </c>
    </row>
    <row r="55135" spans="129:129" x14ac:dyDescent="0.2">
      <c r="DY55135" s="185" t="s">
        <v>215</v>
      </c>
    </row>
    <row r="55136" spans="129:129" x14ac:dyDescent="0.2">
      <c r="DY55136" s="185" t="s">
        <v>215</v>
      </c>
    </row>
    <row r="55137" spans="129:129" x14ac:dyDescent="0.2">
      <c r="DY55137" s="185" t="s">
        <v>215</v>
      </c>
    </row>
    <row r="55138" spans="129:129" x14ac:dyDescent="0.2">
      <c r="DY55138" s="185" t="s">
        <v>215</v>
      </c>
    </row>
    <row r="55139" spans="129:129" x14ac:dyDescent="0.2">
      <c r="DY55139" s="185" t="s">
        <v>215</v>
      </c>
    </row>
    <row r="55140" spans="129:129" x14ac:dyDescent="0.2">
      <c r="DY55140" s="185" t="s">
        <v>215</v>
      </c>
    </row>
    <row r="55141" spans="129:129" x14ac:dyDescent="0.2">
      <c r="DY55141" s="185" t="s">
        <v>215</v>
      </c>
    </row>
    <row r="55142" spans="129:129" x14ac:dyDescent="0.2">
      <c r="DY55142" s="185" t="s">
        <v>215</v>
      </c>
    </row>
    <row r="55143" spans="129:129" x14ac:dyDescent="0.2">
      <c r="DY55143" s="185" t="s">
        <v>215</v>
      </c>
    </row>
    <row r="55144" spans="129:129" x14ac:dyDescent="0.2">
      <c r="DY55144" s="185" t="s">
        <v>215</v>
      </c>
    </row>
    <row r="55145" spans="129:129" x14ac:dyDescent="0.2">
      <c r="DY55145" s="185" t="s">
        <v>215</v>
      </c>
    </row>
    <row r="55146" spans="129:129" x14ac:dyDescent="0.2">
      <c r="DY55146" s="185" t="s">
        <v>215</v>
      </c>
    </row>
    <row r="55147" spans="129:129" x14ac:dyDescent="0.2">
      <c r="DY55147" s="185" t="s">
        <v>215</v>
      </c>
    </row>
    <row r="55148" spans="129:129" x14ac:dyDescent="0.2">
      <c r="DY55148" s="185" t="s">
        <v>215</v>
      </c>
    </row>
    <row r="55149" spans="129:129" x14ac:dyDescent="0.2">
      <c r="DY55149" s="185" t="s">
        <v>215</v>
      </c>
    </row>
    <row r="55150" spans="129:129" x14ac:dyDescent="0.2">
      <c r="DY55150" s="185" t="s">
        <v>215</v>
      </c>
    </row>
    <row r="55151" spans="129:129" x14ac:dyDescent="0.2">
      <c r="DY55151" s="185" t="s">
        <v>215</v>
      </c>
    </row>
    <row r="55152" spans="129:129" x14ac:dyDescent="0.2">
      <c r="DY55152" s="185" t="s">
        <v>215</v>
      </c>
    </row>
    <row r="55153" spans="129:129" x14ac:dyDescent="0.2">
      <c r="DY55153" s="185" t="s">
        <v>215</v>
      </c>
    </row>
    <row r="55154" spans="129:129" x14ac:dyDescent="0.2">
      <c r="DY55154" s="185" t="s">
        <v>215</v>
      </c>
    </row>
    <row r="55155" spans="129:129" x14ac:dyDescent="0.2">
      <c r="DY55155" s="185" t="s">
        <v>215</v>
      </c>
    </row>
    <row r="55156" spans="129:129" x14ac:dyDescent="0.2">
      <c r="DY55156" s="185" t="s">
        <v>215</v>
      </c>
    </row>
    <row r="55157" spans="129:129" x14ac:dyDescent="0.2">
      <c r="DY55157" s="185" t="s">
        <v>215</v>
      </c>
    </row>
    <row r="55158" spans="129:129" x14ac:dyDescent="0.2">
      <c r="DY55158" s="185" t="s">
        <v>215</v>
      </c>
    </row>
    <row r="55159" spans="129:129" x14ac:dyDescent="0.2">
      <c r="DY55159" s="185" t="s">
        <v>215</v>
      </c>
    </row>
    <row r="55160" spans="129:129" x14ac:dyDescent="0.2">
      <c r="DY55160" s="185" t="s">
        <v>215</v>
      </c>
    </row>
    <row r="55161" spans="129:129" x14ac:dyDescent="0.2">
      <c r="DY55161" s="185" t="s">
        <v>215</v>
      </c>
    </row>
    <row r="55162" spans="129:129" x14ac:dyDescent="0.2">
      <c r="DY55162" s="185" t="s">
        <v>215</v>
      </c>
    </row>
    <row r="55163" spans="129:129" x14ac:dyDescent="0.2">
      <c r="DY55163" s="185" t="s">
        <v>215</v>
      </c>
    </row>
    <row r="55164" spans="129:129" x14ac:dyDescent="0.2">
      <c r="DY55164" s="185" t="s">
        <v>215</v>
      </c>
    </row>
    <row r="55165" spans="129:129" x14ac:dyDescent="0.2">
      <c r="DY55165" s="185" t="s">
        <v>215</v>
      </c>
    </row>
    <row r="55166" spans="129:129" x14ac:dyDescent="0.2">
      <c r="DY55166" s="185" t="s">
        <v>215</v>
      </c>
    </row>
    <row r="55167" spans="129:129" x14ac:dyDescent="0.2">
      <c r="DY55167" s="185" t="s">
        <v>215</v>
      </c>
    </row>
    <row r="55168" spans="129:129" x14ac:dyDescent="0.2">
      <c r="DY55168" s="185" t="s">
        <v>215</v>
      </c>
    </row>
    <row r="55169" spans="129:129" x14ac:dyDescent="0.2">
      <c r="DY55169" s="185" t="s">
        <v>215</v>
      </c>
    </row>
    <row r="55170" spans="129:129" x14ac:dyDescent="0.2">
      <c r="DY55170" s="185" t="s">
        <v>215</v>
      </c>
    </row>
    <row r="55171" spans="129:129" x14ac:dyDescent="0.2">
      <c r="DY55171" s="185" t="s">
        <v>215</v>
      </c>
    </row>
    <row r="55172" spans="129:129" x14ac:dyDescent="0.2">
      <c r="DY55172" s="185" t="s">
        <v>215</v>
      </c>
    </row>
    <row r="55173" spans="129:129" x14ac:dyDescent="0.2">
      <c r="DY55173" s="185" t="s">
        <v>215</v>
      </c>
    </row>
    <row r="55174" spans="129:129" x14ac:dyDescent="0.2">
      <c r="DY55174" s="185" t="s">
        <v>215</v>
      </c>
    </row>
    <row r="55175" spans="129:129" x14ac:dyDescent="0.2">
      <c r="DY55175" s="185" t="s">
        <v>215</v>
      </c>
    </row>
    <row r="55176" spans="129:129" x14ac:dyDescent="0.2">
      <c r="DY55176" s="185" t="s">
        <v>215</v>
      </c>
    </row>
    <row r="55177" spans="129:129" x14ac:dyDescent="0.2">
      <c r="DY55177" s="185" t="s">
        <v>215</v>
      </c>
    </row>
    <row r="55178" spans="129:129" x14ac:dyDescent="0.2">
      <c r="DY55178" s="185" t="s">
        <v>215</v>
      </c>
    </row>
    <row r="55179" spans="129:129" x14ac:dyDescent="0.2">
      <c r="DY55179" s="185" t="s">
        <v>215</v>
      </c>
    </row>
    <row r="55180" spans="129:129" x14ac:dyDescent="0.2">
      <c r="DY55180" s="185" t="s">
        <v>215</v>
      </c>
    </row>
    <row r="55181" spans="129:129" x14ac:dyDescent="0.2">
      <c r="DY55181" s="185" t="s">
        <v>215</v>
      </c>
    </row>
    <row r="55182" spans="129:129" x14ac:dyDescent="0.2">
      <c r="DY55182" s="185" t="s">
        <v>215</v>
      </c>
    </row>
    <row r="55183" spans="129:129" x14ac:dyDescent="0.2">
      <c r="DY55183" s="185" t="s">
        <v>215</v>
      </c>
    </row>
    <row r="55184" spans="129:129" x14ac:dyDescent="0.2">
      <c r="DY55184" s="185" t="s">
        <v>215</v>
      </c>
    </row>
    <row r="55185" spans="129:129" x14ac:dyDescent="0.2">
      <c r="DY55185" s="185" t="s">
        <v>215</v>
      </c>
    </row>
    <row r="55186" spans="129:129" x14ac:dyDescent="0.2">
      <c r="DY55186" s="185" t="s">
        <v>215</v>
      </c>
    </row>
    <row r="55187" spans="129:129" x14ac:dyDescent="0.2">
      <c r="DY55187" s="185" t="s">
        <v>215</v>
      </c>
    </row>
    <row r="55188" spans="129:129" x14ac:dyDescent="0.2">
      <c r="DY55188" s="185" t="s">
        <v>215</v>
      </c>
    </row>
    <row r="55189" spans="129:129" x14ac:dyDescent="0.2">
      <c r="DY55189" s="185" t="s">
        <v>215</v>
      </c>
    </row>
    <row r="55190" spans="129:129" x14ac:dyDescent="0.2">
      <c r="DY55190" s="185" t="s">
        <v>215</v>
      </c>
    </row>
    <row r="55191" spans="129:129" x14ac:dyDescent="0.2">
      <c r="DY55191" s="185" t="s">
        <v>215</v>
      </c>
    </row>
    <row r="55192" spans="129:129" x14ac:dyDescent="0.2">
      <c r="DY55192" s="185" t="s">
        <v>215</v>
      </c>
    </row>
    <row r="55193" spans="129:129" x14ac:dyDescent="0.2">
      <c r="DY55193" s="185" t="s">
        <v>215</v>
      </c>
    </row>
    <row r="55194" spans="129:129" x14ac:dyDescent="0.2">
      <c r="DY55194" s="185" t="s">
        <v>215</v>
      </c>
    </row>
    <row r="55195" spans="129:129" x14ac:dyDescent="0.2">
      <c r="DY55195" s="185" t="s">
        <v>215</v>
      </c>
    </row>
    <row r="55196" spans="129:129" x14ac:dyDescent="0.2">
      <c r="DY55196" s="185" t="s">
        <v>215</v>
      </c>
    </row>
    <row r="55197" spans="129:129" x14ac:dyDescent="0.2">
      <c r="DY55197" s="185" t="s">
        <v>215</v>
      </c>
    </row>
    <row r="55198" spans="129:129" x14ac:dyDescent="0.2">
      <c r="DY55198" s="185" t="s">
        <v>215</v>
      </c>
    </row>
    <row r="55199" spans="129:129" x14ac:dyDescent="0.2">
      <c r="DY55199" s="185" t="s">
        <v>215</v>
      </c>
    </row>
    <row r="55200" spans="129:129" x14ac:dyDescent="0.2">
      <c r="DY55200" s="185" t="s">
        <v>215</v>
      </c>
    </row>
    <row r="55201" spans="129:129" x14ac:dyDescent="0.2">
      <c r="DY55201" s="185" t="s">
        <v>215</v>
      </c>
    </row>
    <row r="55202" spans="129:129" x14ac:dyDescent="0.2">
      <c r="DY55202" s="185" t="s">
        <v>215</v>
      </c>
    </row>
    <row r="55203" spans="129:129" x14ac:dyDescent="0.2">
      <c r="DY55203" s="185" t="s">
        <v>215</v>
      </c>
    </row>
    <row r="55204" spans="129:129" x14ac:dyDescent="0.2">
      <c r="DY55204" s="185" t="s">
        <v>215</v>
      </c>
    </row>
    <row r="55205" spans="129:129" x14ac:dyDescent="0.2">
      <c r="DY55205" s="185" t="s">
        <v>215</v>
      </c>
    </row>
    <row r="55206" spans="129:129" x14ac:dyDescent="0.2">
      <c r="DY55206" s="185" t="s">
        <v>215</v>
      </c>
    </row>
    <row r="55207" spans="129:129" x14ac:dyDescent="0.2">
      <c r="DY55207" s="185" t="s">
        <v>215</v>
      </c>
    </row>
    <row r="55208" spans="129:129" x14ac:dyDescent="0.2">
      <c r="DY55208" s="185" t="s">
        <v>215</v>
      </c>
    </row>
    <row r="55209" spans="129:129" x14ac:dyDescent="0.2">
      <c r="DY55209" s="185" t="s">
        <v>215</v>
      </c>
    </row>
    <row r="55210" spans="129:129" x14ac:dyDescent="0.2">
      <c r="DY55210" s="185" t="s">
        <v>215</v>
      </c>
    </row>
    <row r="55211" spans="129:129" x14ac:dyDescent="0.2">
      <c r="DY55211" s="185" t="s">
        <v>215</v>
      </c>
    </row>
    <row r="55212" spans="129:129" x14ac:dyDescent="0.2">
      <c r="DY55212" s="185" t="s">
        <v>215</v>
      </c>
    </row>
    <row r="55213" spans="129:129" x14ac:dyDescent="0.2">
      <c r="DY55213" s="185" t="s">
        <v>215</v>
      </c>
    </row>
    <row r="55214" spans="129:129" x14ac:dyDescent="0.2">
      <c r="DY55214" s="185" t="s">
        <v>215</v>
      </c>
    </row>
    <row r="55215" spans="129:129" x14ac:dyDescent="0.2">
      <c r="DY55215" s="185" t="s">
        <v>215</v>
      </c>
    </row>
    <row r="55216" spans="129:129" x14ac:dyDescent="0.2">
      <c r="DY55216" s="185" t="s">
        <v>215</v>
      </c>
    </row>
    <row r="55217" spans="129:129" x14ac:dyDescent="0.2">
      <c r="DY55217" s="185" t="s">
        <v>215</v>
      </c>
    </row>
    <row r="55218" spans="129:129" x14ac:dyDescent="0.2">
      <c r="DY55218" s="185" t="s">
        <v>215</v>
      </c>
    </row>
    <row r="55219" spans="129:129" x14ac:dyDescent="0.2">
      <c r="DY55219" s="185" t="s">
        <v>215</v>
      </c>
    </row>
    <row r="55220" spans="129:129" x14ac:dyDescent="0.2">
      <c r="DY55220" s="185" t="s">
        <v>215</v>
      </c>
    </row>
    <row r="55221" spans="129:129" x14ac:dyDescent="0.2">
      <c r="DY55221" s="185" t="s">
        <v>215</v>
      </c>
    </row>
    <row r="55222" spans="129:129" x14ac:dyDescent="0.2">
      <c r="DY55222" s="185" t="s">
        <v>215</v>
      </c>
    </row>
    <row r="55223" spans="129:129" x14ac:dyDescent="0.2">
      <c r="DY55223" s="185" t="s">
        <v>215</v>
      </c>
    </row>
    <row r="55224" spans="129:129" x14ac:dyDescent="0.2">
      <c r="DY55224" s="185" t="s">
        <v>215</v>
      </c>
    </row>
    <row r="55225" spans="129:129" x14ac:dyDescent="0.2">
      <c r="DY55225" s="185" t="s">
        <v>215</v>
      </c>
    </row>
    <row r="55226" spans="129:129" x14ac:dyDescent="0.2">
      <c r="DY55226" s="185" t="s">
        <v>215</v>
      </c>
    </row>
    <row r="55227" spans="129:129" x14ac:dyDescent="0.2">
      <c r="DY55227" s="185" t="s">
        <v>215</v>
      </c>
    </row>
    <row r="55228" spans="129:129" x14ac:dyDescent="0.2">
      <c r="DY55228" s="185" t="s">
        <v>215</v>
      </c>
    </row>
    <row r="55229" spans="129:129" x14ac:dyDescent="0.2">
      <c r="DY55229" s="185" t="s">
        <v>215</v>
      </c>
    </row>
    <row r="55230" spans="129:129" x14ac:dyDescent="0.2">
      <c r="DY55230" s="185" t="s">
        <v>215</v>
      </c>
    </row>
    <row r="55231" spans="129:129" x14ac:dyDescent="0.2">
      <c r="DY55231" s="185" t="s">
        <v>215</v>
      </c>
    </row>
    <row r="55232" spans="129:129" x14ac:dyDescent="0.2">
      <c r="DY55232" s="185" t="s">
        <v>215</v>
      </c>
    </row>
    <row r="55233" spans="129:129" x14ac:dyDescent="0.2">
      <c r="DY55233" s="185" t="s">
        <v>215</v>
      </c>
    </row>
    <row r="55234" spans="129:129" x14ac:dyDescent="0.2">
      <c r="DY55234" s="185" t="s">
        <v>215</v>
      </c>
    </row>
    <row r="55235" spans="129:129" x14ac:dyDescent="0.2">
      <c r="DY55235" s="185" t="s">
        <v>215</v>
      </c>
    </row>
    <row r="55236" spans="129:129" x14ac:dyDescent="0.2">
      <c r="DY55236" s="185" t="s">
        <v>215</v>
      </c>
    </row>
    <row r="55237" spans="129:129" x14ac:dyDescent="0.2">
      <c r="DY55237" s="185" t="s">
        <v>215</v>
      </c>
    </row>
    <row r="55238" spans="129:129" x14ac:dyDescent="0.2">
      <c r="DY55238" s="185" t="s">
        <v>215</v>
      </c>
    </row>
    <row r="55239" spans="129:129" x14ac:dyDescent="0.2">
      <c r="DY55239" s="185" t="s">
        <v>215</v>
      </c>
    </row>
    <row r="55240" spans="129:129" x14ac:dyDescent="0.2">
      <c r="DY55240" s="185" t="s">
        <v>215</v>
      </c>
    </row>
    <row r="55241" spans="129:129" x14ac:dyDescent="0.2">
      <c r="DY55241" s="185" t="s">
        <v>215</v>
      </c>
    </row>
    <row r="55242" spans="129:129" x14ac:dyDescent="0.2">
      <c r="DY55242" s="185" t="s">
        <v>215</v>
      </c>
    </row>
    <row r="55243" spans="129:129" x14ac:dyDescent="0.2">
      <c r="DY55243" s="185" t="s">
        <v>215</v>
      </c>
    </row>
    <row r="55244" spans="129:129" x14ac:dyDescent="0.2">
      <c r="DY55244" s="185" t="s">
        <v>215</v>
      </c>
    </row>
    <row r="55245" spans="129:129" x14ac:dyDescent="0.2">
      <c r="DY55245" s="185" t="s">
        <v>215</v>
      </c>
    </row>
    <row r="55246" spans="129:129" x14ac:dyDescent="0.2">
      <c r="DY55246" s="185" t="s">
        <v>215</v>
      </c>
    </row>
    <row r="55247" spans="129:129" x14ac:dyDescent="0.2">
      <c r="DY55247" s="185" t="s">
        <v>215</v>
      </c>
    </row>
    <row r="55248" spans="129:129" x14ac:dyDescent="0.2">
      <c r="DY55248" s="185" t="s">
        <v>215</v>
      </c>
    </row>
    <row r="55249" spans="129:129" x14ac:dyDescent="0.2">
      <c r="DY55249" s="185" t="s">
        <v>215</v>
      </c>
    </row>
    <row r="55250" spans="129:129" x14ac:dyDescent="0.2">
      <c r="DY55250" s="185" t="s">
        <v>215</v>
      </c>
    </row>
    <row r="55251" spans="129:129" x14ac:dyDescent="0.2">
      <c r="DY55251" s="185" t="s">
        <v>215</v>
      </c>
    </row>
    <row r="55252" spans="129:129" x14ac:dyDescent="0.2">
      <c r="DY55252" s="185" t="s">
        <v>215</v>
      </c>
    </row>
    <row r="55253" spans="129:129" x14ac:dyDescent="0.2">
      <c r="DY55253" s="185" t="s">
        <v>215</v>
      </c>
    </row>
    <row r="55254" spans="129:129" x14ac:dyDescent="0.2">
      <c r="DY55254" s="185" t="s">
        <v>215</v>
      </c>
    </row>
    <row r="55255" spans="129:129" x14ac:dyDescent="0.2">
      <c r="DY55255" s="185" t="s">
        <v>215</v>
      </c>
    </row>
    <row r="55256" spans="129:129" x14ac:dyDescent="0.2">
      <c r="DY55256" s="185" t="s">
        <v>215</v>
      </c>
    </row>
    <row r="55257" spans="129:129" x14ac:dyDescent="0.2">
      <c r="DY55257" s="185" t="s">
        <v>215</v>
      </c>
    </row>
    <row r="55258" spans="129:129" x14ac:dyDescent="0.2">
      <c r="DY55258" s="185" t="s">
        <v>215</v>
      </c>
    </row>
    <row r="55259" spans="129:129" x14ac:dyDescent="0.2">
      <c r="DY55259" s="185" t="s">
        <v>215</v>
      </c>
    </row>
    <row r="55260" spans="129:129" x14ac:dyDescent="0.2">
      <c r="DY55260" s="185" t="s">
        <v>215</v>
      </c>
    </row>
    <row r="55261" spans="129:129" x14ac:dyDescent="0.2">
      <c r="DY55261" s="185" t="s">
        <v>215</v>
      </c>
    </row>
    <row r="55262" spans="129:129" x14ac:dyDescent="0.2">
      <c r="DY55262" s="185" t="s">
        <v>215</v>
      </c>
    </row>
    <row r="55263" spans="129:129" x14ac:dyDescent="0.2">
      <c r="DY55263" s="185" t="s">
        <v>215</v>
      </c>
    </row>
    <row r="55264" spans="129:129" x14ac:dyDescent="0.2">
      <c r="DY55264" s="185" t="s">
        <v>215</v>
      </c>
    </row>
    <row r="55265" spans="129:129" x14ac:dyDescent="0.2">
      <c r="DY55265" s="185" t="s">
        <v>215</v>
      </c>
    </row>
    <row r="55266" spans="129:129" x14ac:dyDescent="0.2">
      <c r="DY55266" s="185" t="s">
        <v>215</v>
      </c>
    </row>
    <row r="55267" spans="129:129" x14ac:dyDescent="0.2">
      <c r="DY55267" s="185" t="s">
        <v>215</v>
      </c>
    </row>
    <row r="55268" spans="129:129" x14ac:dyDescent="0.2">
      <c r="DY55268" s="185" t="s">
        <v>215</v>
      </c>
    </row>
    <row r="55269" spans="129:129" x14ac:dyDescent="0.2">
      <c r="DY55269" s="185" t="s">
        <v>215</v>
      </c>
    </row>
    <row r="55270" spans="129:129" x14ac:dyDescent="0.2">
      <c r="DY55270" s="185" t="s">
        <v>215</v>
      </c>
    </row>
    <row r="55271" spans="129:129" x14ac:dyDescent="0.2">
      <c r="DY55271" s="185" t="s">
        <v>215</v>
      </c>
    </row>
    <row r="55272" spans="129:129" x14ac:dyDescent="0.2">
      <c r="DY55272" s="185" t="s">
        <v>215</v>
      </c>
    </row>
    <row r="55273" spans="129:129" x14ac:dyDescent="0.2">
      <c r="DY55273" s="185" t="s">
        <v>215</v>
      </c>
    </row>
    <row r="55274" spans="129:129" x14ac:dyDescent="0.2">
      <c r="DY55274" s="185" t="s">
        <v>215</v>
      </c>
    </row>
    <row r="55275" spans="129:129" x14ac:dyDescent="0.2">
      <c r="DY55275" s="185" t="s">
        <v>215</v>
      </c>
    </row>
    <row r="55276" spans="129:129" x14ac:dyDescent="0.2">
      <c r="DY55276" s="185" t="s">
        <v>215</v>
      </c>
    </row>
    <row r="55277" spans="129:129" x14ac:dyDescent="0.2">
      <c r="DY55277" s="185" t="s">
        <v>215</v>
      </c>
    </row>
    <row r="55278" spans="129:129" x14ac:dyDescent="0.2">
      <c r="DY55278" s="185" t="s">
        <v>215</v>
      </c>
    </row>
    <row r="55279" spans="129:129" x14ac:dyDescent="0.2">
      <c r="DY55279" s="185" t="s">
        <v>215</v>
      </c>
    </row>
    <row r="55280" spans="129:129" x14ac:dyDescent="0.2">
      <c r="DY55280" s="185" t="s">
        <v>215</v>
      </c>
    </row>
    <row r="55281" spans="129:129" x14ac:dyDescent="0.2">
      <c r="DY55281" s="185" t="s">
        <v>215</v>
      </c>
    </row>
    <row r="55282" spans="129:129" x14ac:dyDescent="0.2">
      <c r="DY55282" s="185" t="s">
        <v>215</v>
      </c>
    </row>
    <row r="55283" spans="129:129" x14ac:dyDescent="0.2">
      <c r="DY55283" s="185" t="s">
        <v>215</v>
      </c>
    </row>
    <row r="55284" spans="129:129" x14ac:dyDescent="0.2">
      <c r="DY55284" s="185" t="s">
        <v>215</v>
      </c>
    </row>
    <row r="55285" spans="129:129" x14ac:dyDescent="0.2">
      <c r="DY55285" s="185" t="s">
        <v>215</v>
      </c>
    </row>
    <row r="55286" spans="129:129" x14ac:dyDescent="0.2">
      <c r="DY55286" s="185" t="s">
        <v>215</v>
      </c>
    </row>
    <row r="55287" spans="129:129" x14ac:dyDescent="0.2">
      <c r="DY55287" s="185" t="s">
        <v>215</v>
      </c>
    </row>
    <row r="55288" spans="129:129" x14ac:dyDescent="0.2">
      <c r="DY55288" s="185" t="s">
        <v>215</v>
      </c>
    </row>
    <row r="55289" spans="129:129" x14ac:dyDescent="0.2">
      <c r="DY55289" s="185" t="s">
        <v>215</v>
      </c>
    </row>
    <row r="55290" spans="129:129" x14ac:dyDescent="0.2">
      <c r="DY55290" s="185" t="s">
        <v>215</v>
      </c>
    </row>
    <row r="55291" spans="129:129" x14ac:dyDescent="0.2">
      <c r="DY55291" s="185" t="s">
        <v>215</v>
      </c>
    </row>
    <row r="55292" spans="129:129" x14ac:dyDescent="0.2">
      <c r="DY55292" s="185" t="s">
        <v>215</v>
      </c>
    </row>
    <row r="55293" spans="129:129" x14ac:dyDescent="0.2">
      <c r="DY55293" s="185" t="s">
        <v>215</v>
      </c>
    </row>
    <row r="55294" spans="129:129" x14ac:dyDescent="0.2">
      <c r="DY55294" s="185" t="s">
        <v>215</v>
      </c>
    </row>
    <row r="55295" spans="129:129" x14ac:dyDescent="0.2">
      <c r="DY55295" s="185" t="s">
        <v>215</v>
      </c>
    </row>
    <row r="55296" spans="129:129" x14ac:dyDescent="0.2">
      <c r="DY55296" s="185" t="s">
        <v>215</v>
      </c>
    </row>
    <row r="55297" spans="129:129" x14ac:dyDescent="0.2">
      <c r="DY55297" s="185" t="s">
        <v>215</v>
      </c>
    </row>
    <row r="55298" spans="129:129" x14ac:dyDescent="0.2">
      <c r="DY55298" s="185" t="s">
        <v>215</v>
      </c>
    </row>
    <row r="55299" spans="129:129" x14ac:dyDescent="0.2">
      <c r="DY55299" s="185" t="s">
        <v>215</v>
      </c>
    </row>
    <row r="55300" spans="129:129" x14ac:dyDescent="0.2">
      <c r="DY55300" s="185" t="s">
        <v>215</v>
      </c>
    </row>
    <row r="55301" spans="129:129" x14ac:dyDescent="0.2">
      <c r="DY55301" s="185" t="s">
        <v>215</v>
      </c>
    </row>
    <row r="55302" spans="129:129" x14ac:dyDescent="0.2">
      <c r="DY55302" s="185" t="s">
        <v>215</v>
      </c>
    </row>
    <row r="55303" spans="129:129" x14ac:dyDescent="0.2">
      <c r="DY55303" s="185" t="s">
        <v>215</v>
      </c>
    </row>
    <row r="55304" spans="129:129" x14ac:dyDescent="0.2">
      <c r="DY55304" s="185" t="s">
        <v>215</v>
      </c>
    </row>
    <row r="55305" spans="129:129" x14ac:dyDescent="0.2">
      <c r="DY55305" s="185" t="s">
        <v>215</v>
      </c>
    </row>
    <row r="55306" spans="129:129" x14ac:dyDescent="0.2">
      <c r="DY55306" s="185" t="s">
        <v>215</v>
      </c>
    </row>
    <row r="55307" spans="129:129" x14ac:dyDescent="0.2">
      <c r="DY55307" s="185" t="s">
        <v>215</v>
      </c>
    </row>
    <row r="55308" spans="129:129" x14ac:dyDescent="0.2">
      <c r="DY55308" s="185" t="s">
        <v>215</v>
      </c>
    </row>
    <row r="55309" spans="129:129" x14ac:dyDescent="0.2">
      <c r="DY55309" s="185" t="s">
        <v>215</v>
      </c>
    </row>
    <row r="55310" spans="129:129" x14ac:dyDescent="0.2">
      <c r="DY55310" s="185" t="s">
        <v>215</v>
      </c>
    </row>
    <row r="55311" spans="129:129" x14ac:dyDescent="0.2">
      <c r="DY55311" s="185" t="s">
        <v>215</v>
      </c>
    </row>
    <row r="55312" spans="129:129" x14ac:dyDescent="0.2">
      <c r="DY55312" s="185" t="s">
        <v>215</v>
      </c>
    </row>
    <row r="55313" spans="129:129" x14ac:dyDescent="0.2">
      <c r="DY55313" s="185" t="s">
        <v>215</v>
      </c>
    </row>
    <row r="55314" spans="129:129" x14ac:dyDescent="0.2">
      <c r="DY55314" s="185" t="s">
        <v>215</v>
      </c>
    </row>
    <row r="55315" spans="129:129" x14ac:dyDescent="0.2">
      <c r="DY55315" s="185" t="s">
        <v>215</v>
      </c>
    </row>
    <row r="55316" spans="129:129" x14ac:dyDescent="0.2">
      <c r="DY55316" s="185" t="s">
        <v>215</v>
      </c>
    </row>
    <row r="55317" spans="129:129" x14ac:dyDescent="0.2">
      <c r="DY55317" s="185" t="s">
        <v>215</v>
      </c>
    </row>
    <row r="55318" spans="129:129" x14ac:dyDescent="0.2">
      <c r="DY55318" s="185" t="s">
        <v>215</v>
      </c>
    </row>
    <row r="55319" spans="129:129" x14ac:dyDescent="0.2">
      <c r="DY55319" s="185" t="s">
        <v>215</v>
      </c>
    </row>
    <row r="55320" spans="129:129" x14ac:dyDescent="0.2">
      <c r="DY55320" s="185" t="s">
        <v>215</v>
      </c>
    </row>
    <row r="55321" spans="129:129" x14ac:dyDescent="0.2">
      <c r="DY55321" s="185" t="s">
        <v>215</v>
      </c>
    </row>
    <row r="55322" spans="129:129" x14ac:dyDescent="0.2">
      <c r="DY55322" s="185" t="s">
        <v>215</v>
      </c>
    </row>
    <row r="55323" spans="129:129" x14ac:dyDescent="0.2">
      <c r="DY55323" s="185" t="s">
        <v>215</v>
      </c>
    </row>
    <row r="55324" spans="129:129" x14ac:dyDescent="0.2">
      <c r="DY55324" s="185" t="s">
        <v>215</v>
      </c>
    </row>
    <row r="55325" spans="129:129" x14ac:dyDescent="0.2">
      <c r="DY55325" s="185" t="s">
        <v>215</v>
      </c>
    </row>
    <row r="55326" spans="129:129" x14ac:dyDescent="0.2">
      <c r="DY55326" s="185" t="s">
        <v>215</v>
      </c>
    </row>
    <row r="55327" spans="129:129" x14ac:dyDescent="0.2">
      <c r="DY55327" s="185" t="s">
        <v>215</v>
      </c>
    </row>
    <row r="55328" spans="129:129" x14ac:dyDescent="0.2">
      <c r="DY55328" s="185" t="s">
        <v>215</v>
      </c>
    </row>
    <row r="55329" spans="129:129" x14ac:dyDescent="0.2">
      <c r="DY55329" s="185" t="s">
        <v>215</v>
      </c>
    </row>
    <row r="55330" spans="129:129" x14ac:dyDescent="0.2">
      <c r="DY55330" s="185" t="s">
        <v>215</v>
      </c>
    </row>
    <row r="55331" spans="129:129" x14ac:dyDescent="0.2">
      <c r="DY55331" s="185" t="s">
        <v>215</v>
      </c>
    </row>
    <row r="55332" spans="129:129" x14ac:dyDescent="0.2">
      <c r="DY55332" s="185" t="s">
        <v>215</v>
      </c>
    </row>
    <row r="55333" spans="129:129" x14ac:dyDescent="0.2">
      <c r="DY55333" s="185" t="s">
        <v>215</v>
      </c>
    </row>
    <row r="55334" spans="129:129" x14ac:dyDescent="0.2">
      <c r="DY55334" s="185" t="s">
        <v>215</v>
      </c>
    </row>
    <row r="55335" spans="129:129" x14ac:dyDescent="0.2">
      <c r="DY55335" s="185" t="s">
        <v>215</v>
      </c>
    </row>
    <row r="55336" spans="129:129" x14ac:dyDescent="0.2">
      <c r="DY55336" s="185" t="s">
        <v>215</v>
      </c>
    </row>
    <row r="55337" spans="129:129" x14ac:dyDescent="0.2">
      <c r="DY55337" s="185" t="s">
        <v>215</v>
      </c>
    </row>
    <row r="55338" spans="129:129" x14ac:dyDescent="0.2">
      <c r="DY55338" s="185" t="s">
        <v>215</v>
      </c>
    </row>
    <row r="55339" spans="129:129" x14ac:dyDescent="0.2">
      <c r="DY55339" s="185" t="s">
        <v>215</v>
      </c>
    </row>
    <row r="55340" spans="129:129" x14ac:dyDescent="0.2">
      <c r="DY55340" s="185" t="s">
        <v>215</v>
      </c>
    </row>
    <row r="55341" spans="129:129" x14ac:dyDescent="0.2">
      <c r="DY55341" s="185" t="s">
        <v>215</v>
      </c>
    </row>
    <row r="55342" spans="129:129" x14ac:dyDescent="0.2">
      <c r="DY55342" s="185" t="s">
        <v>215</v>
      </c>
    </row>
    <row r="55343" spans="129:129" x14ac:dyDescent="0.2">
      <c r="DY55343" s="185" t="s">
        <v>215</v>
      </c>
    </row>
    <row r="55344" spans="129:129" x14ac:dyDescent="0.2">
      <c r="DY55344" s="185" t="s">
        <v>215</v>
      </c>
    </row>
    <row r="55345" spans="129:129" x14ac:dyDescent="0.2">
      <c r="DY55345" s="185" t="s">
        <v>215</v>
      </c>
    </row>
    <row r="55346" spans="129:129" x14ac:dyDescent="0.2">
      <c r="DY55346" s="185" t="s">
        <v>215</v>
      </c>
    </row>
    <row r="55347" spans="129:129" x14ac:dyDescent="0.2">
      <c r="DY55347" s="185" t="s">
        <v>215</v>
      </c>
    </row>
    <row r="55348" spans="129:129" x14ac:dyDescent="0.2">
      <c r="DY55348" s="185" t="s">
        <v>215</v>
      </c>
    </row>
    <row r="55349" spans="129:129" x14ac:dyDescent="0.2">
      <c r="DY55349" s="185" t="s">
        <v>215</v>
      </c>
    </row>
    <row r="55350" spans="129:129" x14ac:dyDescent="0.2">
      <c r="DY55350" s="185" t="s">
        <v>215</v>
      </c>
    </row>
    <row r="55351" spans="129:129" x14ac:dyDescent="0.2">
      <c r="DY55351" s="185" t="s">
        <v>215</v>
      </c>
    </row>
    <row r="55352" spans="129:129" x14ac:dyDescent="0.2">
      <c r="DY55352" s="185" t="s">
        <v>215</v>
      </c>
    </row>
    <row r="55353" spans="129:129" x14ac:dyDescent="0.2">
      <c r="DY55353" s="185" t="s">
        <v>215</v>
      </c>
    </row>
    <row r="55354" spans="129:129" x14ac:dyDescent="0.2">
      <c r="DY55354" s="185" t="s">
        <v>215</v>
      </c>
    </row>
    <row r="55355" spans="129:129" x14ac:dyDescent="0.2">
      <c r="DY55355" s="185" t="s">
        <v>215</v>
      </c>
    </row>
    <row r="55356" spans="129:129" x14ac:dyDescent="0.2">
      <c r="DY55356" s="185" t="s">
        <v>215</v>
      </c>
    </row>
    <row r="55357" spans="129:129" x14ac:dyDescent="0.2">
      <c r="DY55357" s="185" t="s">
        <v>215</v>
      </c>
    </row>
    <row r="55358" spans="129:129" x14ac:dyDescent="0.2">
      <c r="DY55358" s="185" t="s">
        <v>215</v>
      </c>
    </row>
    <row r="55359" spans="129:129" x14ac:dyDescent="0.2">
      <c r="DY55359" s="185" t="s">
        <v>215</v>
      </c>
    </row>
    <row r="55360" spans="129:129" x14ac:dyDescent="0.2">
      <c r="DY55360" s="185" t="s">
        <v>215</v>
      </c>
    </row>
    <row r="55361" spans="129:129" x14ac:dyDescent="0.2">
      <c r="DY55361" s="185" t="s">
        <v>215</v>
      </c>
    </row>
    <row r="55362" spans="129:129" x14ac:dyDescent="0.2">
      <c r="DY55362" s="185" t="s">
        <v>215</v>
      </c>
    </row>
    <row r="55363" spans="129:129" x14ac:dyDescent="0.2">
      <c r="DY55363" s="185" t="s">
        <v>215</v>
      </c>
    </row>
    <row r="55364" spans="129:129" x14ac:dyDescent="0.2">
      <c r="DY55364" s="185" t="s">
        <v>215</v>
      </c>
    </row>
    <row r="55365" spans="129:129" x14ac:dyDescent="0.2">
      <c r="DY55365" s="185" t="s">
        <v>215</v>
      </c>
    </row>
    <row r="55366" spans="129:129" x14ac:dyDescent="0.2">
      <c r="DY55366" s="185" t="s">
        <v>215</v>
      </c>
    </row>
    <row r="55367" spans="129:129" x14ac:dyDescent="0.2">
      <c r="DY55367" s="185" t="s">
        <v>215</v>
      </c>
    </row>
    <row r="55368" spans="129:129" x14ac:dyDescent="0.2">
      <c r="DY55368" s="185" t="s">
        <v>215</v>
      </c>
    </row>
    <row r="55369" spans="129:129" x14ac:dyDescent="0.2">
      <c r="DY55369" s="185" t="s">
        <v>215</v>
      </c>
    </row>
    <row r="55370" spans="129:129" x14ac:dyDescent="0.2">
      <c r="DY55370" s="185" t="s">
        <v>215</v>
      </c>
    </row>
    <row r="55371" spans="129:129" x14ac:dyDescent="0.2">
      <c r="DY55371" s="185" t="s">
        <v>215</v>
      </c>
    </row>
    <row r="55372" spans="129:129" x14ac:dyDescent="0.2">
      <c r="DY55372" s="185" t="s">
        <v>215</v>
      </c>
    </row>
    <row r="55373" spans="129:129" x14ac:dyDescent="0.2">
      <c r="DY55373" s="185" t="s">
        <v>215</v>
      </c>
    </row>
    <row r="55374" spans="129:129" x14ac:dyDescent="0.2">
      <c r="DY55374" s="185" t="s">
        <v>215</v>
      </c>
    </row>
    <row r="55375" spans="129:129" x14ac:dyDescent="0.2">
      <c r="DY55375" s="185" t="s">
        <v>215</v>
      </c>
    </row>
    <row r="55376" spans="129:129" x14ac:dyDescent="0.2">
      <c r="DY55376" s="185" t="s">
        <v>215</v>
      </c>
    </row>
    <row r="55377" spans="129:129" x14ac:dyDescent="0.2">
      <c r="DY55377" s="185" t="s">
        <v>215</v>
      </c>
    </row>
    <row r="55378" spans="129:129" x14ac:dyDescent="0.2">
      <c r="DY55378" s="185" t="s">
        <v>215</v>
      </c>
    </row>
    <row r="55379" spans="129:129" x14ac:dyDescent="0.2">
      <c r="DY55379" s="185" t="s">
        <v>215</v>
      </c>
    </row>
    <row r="55380" spans="129:129" x14ac:dyDescent="0.2">
      <c r="DY55380" s="185" t="s">
        <v>215</v>
      </c>
    </row>
    <row r="55381" spans="129:129" x14ac:dyDescent="0.2">
      <c r="DY55381" s="185" t="s">
        <v>215</v>
      </c>
    </row>
    <row r="55382" spans="129:129" x14ac:dyDescent="0.2">
      <c r="DY55382" s="185" t="s">
        <v>215</v>
      </c>
    </row>
    <row r="55383" spans="129:129" x14ac:dyDescent="0.2">
      <c r="DY55383" s="185" t="s">
        <v>215</v>
      </c>
    </row>
    <row r="55384" spans="129:129" x14ac:dyDescent="0.2">
      <c r="DY55384" s="185" t="s">
        <v>215</v>
      </c>
    </row>
    <row r="55385" spans="129:129" x14ac:dyDescent="0.2">
      <c r="DY55385" s="185" t="s">
        <v>215</v>
      </c>
    </row>
    <row r="55386" spans="129:129" x14ac:dyDescent="0.2">
      <c r="DY55386" s="185" t="s">
        <v>215</v>
      </c>
    </row>
    <row r="55387" spans="129:129" x14ac:dyDescent="0.2">
      <c r="DY55387" s="185" t="s">
        <v>215</v>
      </c>
    </row>
    <row r="55388" spans="129:129" x14ac:dyDescent="0.2">
      <c r="DY55388" s="185" t="s">
        <v>215</v>
      </c>
    </row>
    <row r="55389" spans="129:129" x14ac:dyDescent="0.2">
      <c r="DY55389" s="185" t="s">
        <v>215</v>
      </c>
    </row>
    <row r="55390" spans="129:129" x14ac:dyDescent="0.2">
      <c r="DY55390" s="185" t="s">
        <v>215</v>
      </c>
    </row>
    <row r="55391" spans="129:129" x14ac:dyDescent="0.2">
      <c r="DY55391" s="185" t="s">
        <v>215</v>
      </c>
    </row>
    <row r="55392" spans="129:129" x14ac:dyDescent="0.2">
      <c r="DY55392" s="185" t="s">
        <v>215</v>
      </c>
    </row>
    <row r="55393" spans="129:129" x14ac:dyDescent="0.2">
      <c r="DY55393" s="185" t="s">
        <v>215</v>
      </c>
    </row>
    <row r="55394" spans="129:129" x14ac:dyDescent="0.2">
      <c r="DY55394" s="185" t="s">
        <v>215</v>
      </c>
    </row>
    <row r="55395" spans="129:129" x14ac:dyDescent="0.2">
      <c r="DY55395" s="185" t="s">
        <v>215</v>
      </c>
    </row>
    <row r="55396" spans="129:129" x14ac:dyDescent="0.2">
      <c r="DY55396" s="185" t="s">
        <v>215</v>
      </c>
    </row>
    <row r="55397" spans="129:129" x14ac:dyDescent="0.2">
      <c r="DY55397" s="185" t="s">
        <v>215</v>
      </c>
    </row>
    <row r="55398" spans="129:129" x14ac:dyDescent="0.2">
      <c r="DY55398" s="185" t="s">
        <v>215</v>
      </c>
    </row>
    <row r="55399" spans="129:129" x14ac:dyDescent="0.2">
      <c r="DY55399" s="185" t="s">
        <v>215</v>
      </c>
    </row>
    <row r="55400" spans="129:129" x14ac:dyDescent="0.2">
      <c r="DY55400" s="185" t="s">
        <v>215</v>
      </c>
    </row>
    <row r="55401" spans="129:129" x14ac:dyDescent="0.2">
      <c r="DY55401" s="185" t="s">
        <v>215</v>
      </c>
    </row>
    <row r="55402" spans="129:129" x14ac:dyDescent="0.2">
      <c r="DY55402" s="185" t="s">
        <v>215</v>
      </c>
    </row>
    <row r="55403" spans="129:129" x14ac:dyDescent="0.2">
      <c r="DY55403" s="185" t="s">
        <v>215</v>
      </c>
    </row>
    <row r="55404" spans="129:129" x14ac:dyDescent="0.2">
      <c r="DY55404" s="185" t="s">
        <v>215</v>
      </c>
    </row>
    <row r="55405" spans="129:129" x14ac:dyDescent="0.2">
      <c r="DY55405" s="185" t="s">
        <v>215</v>
      </c>
    </row>
    <row r="55406" spans="129:129" x14ac:dyDescent="0.2">
      <c r="DY55406" s="185" t="s">
        <v>215</v>
      </c>
    </row>
    <row r="55407" spans="129:129" x14ac:dyDescent="0.2">
      <c r="DY55407" s="185" t="s">
        <v>215</v>
      </c>
    </row>
    <row r="55408" spans="129:129" x14ac:dyDescent="0.2">
      <c r="DY55408" s="185" t="s">
        <v>215</v>
      </c>
    </row>
    <row r="55409" spans="129:129" x14ac:dyDescent="0.2">
      <c r="DY55409" s="185" t="s">
        <v>215</v>
      </c>
    </row>
    <row r="55410" spans="129:129" x14ac:dyDescent="0.2">
      <c r="DY55410" s="185" t="s">
        <v>215</v>
      </c>
    </row>
    <row r="55411" spans="129:129" x14ac:dyDescent="0.2">
      <c r="DY55411" s="185" t="s">
        <v>215</v>
      </c>
    </row>
    <row r="55412" spans="129:129" x14ac:dyDescent="0.2">
      <c r="DY55412" s="185" t="s">
        <v>215</v>
      </c>
    </row>
    <row r="55413" spans="129:129" x14ac:dyDescent="0.2">
      <c r="DY55413" s="185" t="s">
        <v>215</v>
      </c>
    </row>
    <row r="55414" spans="129:129" x14ac:dyDescent="0.2">
      <c r="DY55414" s="185" t="s">
        <v>215</v>
      </c>
    </row>
    <row r="55415" spans="129:129" x14ac:dyDescent="0.2">
      <c r="DY55415" s="185" t="s">
        <v>215</v>
      </c>
    </row>
    <row r="55416" spans="129:129" x14ac:dyDescent="0.2">
      <c r="DY55416" s="185" t="s">
        <v>215</v>
      </c>
    </row>
    <row r="55417" spans="129:129" x14ac:dyDescent="0.2">
      <c r="DY55417" s="185" t="s">
        <v>215</v>
      </c>
    </row>
    <row r="55418" spans="129:129" x14ac:dyDescent="0.2">
      <c r="DY55418" s="185" t="s">
        <v>215</v>
      </c>
    </row>
    <row r="55419" spans="129:129" x14ac:dyDescent="0.2">
      <c r="DY55419" s="185" t="s">
        <v>215</v>
      </c>
    </row>
    <row r="55420" spans="129:129" x14ac:dyDescent="0.2">
      <c r="DY55420" s="185" t="s">
        <v>215</v>
      </c>
    </row>
    <row r="55421" spans="129:129" x14ac:dyDescent="0.2">
      <c r="DY55421" s="185" t="s">
        <v>215</v>
      </c>
    </row>
    <row r="55422" spans="129:129" x14ac:dyDescent="0.2">
      <c r="DY55422" s="185" t="s">
        <v>215</v>
      </c>
    </row>
    <row r="55423" spans="129:129" x14ac:dyDescent="0.2">
      <c r="DY55423" s="185" t="s">
        <v>215</v>
      </c>
    </row>
    <row r="55424" spans="129:129" x14ac:dyDescent="0.2">
      <c r="DY55424" s="185" t="s">
        <v>215</v>
      </c>
    </row>
    <row r="55425" spans="129:129" x14ac:dyDescent="0.2">
      <c r="DY55425" s="185" t="s">
        <v>215</v>
      </c>
    </row>
    <row r="55426" spans="129:129" x14ac:dyDescent="0.2">
      <c r="DY55426" s="185" t="s">
        <v>215</v>
      </c>
    </row>
    <row r="55427" spans="129:129" x14ac:dyDescent="0.2">
      <c r="DY55427" s="185" t="s">
        <v>215</v>
      </c>
    </row>
    <row r="55428" spans="129:129" x14ac:dyDescent="0.2">
      <c r="DY55428" s="185" t="s">
        <v>215</v>
      </c>
    </row>
    <row r="55429" spans="129:129" x14ac:dyDescent="0.2">
      <c r="DY55429" s="185" t="s">
        <v>215</v>
      </c>
    </row>
    <row r="55430" spans="129:129" x14ac:dyDescent="0.2">
      <c r="DY55430" s="185" t="s">
        <v>215</v>
      </c>
    </row>
    <row r="55431" spans="129:129" x14ac:dyDescent="0.2">
      <c r="DY55431" s="185" t="s">
        <v>215</v>
      </c>
    </row>
    <row r="55432" spans="129:129" x14ac:dyDescent="0.2">
      <c r="DY55432" s="185" t="s">
        <v>215</v>
      </c>
    </row>
    <row r="55433" spans="129:129" x14ac:dyDescent="0.2">
      <c r="DY55433" s="185" t="s">
        <v>215</v>
      </c>
    </row>
    <row r="55434" spans="129:129" x14ac:dyDescent="0.2">
      <c r="DY55434" s="185" t="s">
        <v>215</v>
      </c>
    </row>
    <row r="55435" spans="129:129" x14ac:dyDescent="0.2">
      <c r="DY55435" s="185" t="s">
        <v>215</v>
      </c>
    </row>
    <row r="55436" spans="129:129" x14ac:dyDescent="0.2">
      <c r="DY55436" s="185" t="s">
        <v>215</v>
      </c>
    </row>
    <row r="55437" spans="129:129" x14ac:dyDescent="0.2">
      <c r="DY55437" s="185" t="s">
        <v>215</v>
      </c>
    </row>
    <row r="55438" spans="129:129" x14ac:dyDescent="0.2">
      <c r="DY55438" s="185" t="s">
        <v>215</v>
      </c>
    </row>
    <row r="55439" spans="129:129" x14ac:dyDescent="0.2">
      <c r="DY55439" s="185" t="s">
        <v>215</v>
      </c>
    </row>
    <row r="55440" spans="129:129" x14ac:dyDescent="0.2">
      <c r="DY55440" s="185" t="s">
        <v>215</v>
      </c>
    </row>
    <row r="55441" spans="129:129" x14ac:dyDescent="0.2">
      <c r="DY55441" s="185" t="s">
        <v>215</v>
      </c>
    </row>
    <row r="55442" spans="129:129" x14ac:dyDescent="0.2">
      <c r="DY55442" s="185" t="s">
        <v>215</v>
      </c>
    </row>
    <row r="55443" spans="129:129" x14ac:dyDescent="0.2">
      <c r="DY55443" s="185" t="s">
        <v>215</v>
      </c>
    </row>
    <row r="55444" spans="129:129" x14ac:dyDescent="0.2">
      <c r="DY55444" s="185" t="s">
        <v>215</v>
      </c>
    </row>
    <row r="55445" spans="129:129" x14ac:dyDescent="0.2">
      <c r="DY55445" s="185" t="s">
        <v>215</v>
      </c>
    </row>
    <row r="55446" spans="129:129" x14ac:dyDescent="0.2">
      <c r="DY55446" s="185" t="s">
        <v>215</v>
      </c>
    </row>
    <row r="55447" spans="129:129" x14ac:dyDescent="0.2">
      <c r="DY55447" s="185" t="s">
        <v>215</v>
      </c>
    </row>
    <row r="55448" spans="129:129" x14ac:dyDescent="0.2">
      <c r="DY55448" s="185" t="s">
        <v>215</v>
      </c>
    </row>
    <row r="55449" spans="129:129" x14ac:dyDescent="0.2">
      <c r="DY55449" s="185" t="s">
        <v>215</v>
      </c>
    </row>
    <row r="55450" spans="129:129" x14ac:dyDescent="0.2">
      <c r="DY55450" s="185" t="s">
        <v>215</v>
      </c>
    </row>
    <row r="55451" spans="129:129" x14ac:dyDescent="0.2">
      <c r="DY55451" s="185" t="s">
        <v>215</v>
      </c>
    </row>
    <row r="55452" spans="129:129" x14ac:dyDescent="0.2">
      <c r="DY55452" s="185" t="s">
        <v>215</v>
      </c>
    </row>
    <row r="55453" spans="129:129" x14ac:dyDescent="0.2">
      <c r="DY55453" s="185" t="s">
        <v>215</v>
      </c>
    </row>
    <row r="55454" spans="129:129" x14ac:dyDescent="0.2">
      <c r="DY55454" s="185" t="s">
        <v>215</v>
      </c>
    </row>
    <row r="55455" spans="129:129" x14ac:dyDescent="0.2">
      <c r="DY55455" s="185" t="s">
        <v>215</v>
      </c>
    </row>
    <row r="55456" spans="129:129" x14ac:dyDescent="0.2">
      <c r="DY55456" s="185" t="s">
        <v>215</v>
      </c>
    </row>
    <row r="55457" spans="129:129" x14ac:dyDescent="0.2">
      <c r="DY55457" s="185" t="s">
        <v>215</v>
      </c>
    </row>
    <row r="55458" spans="129:129" x14ac:dyDescent="0.2">
      <c r="DY55458" s="185" t="s">
        <v>215</v>
      </c>
    </row>
    <row r="55459" spans="129:129" x14ac:dyDescent="0.2">
      <c r="DY55459" s="185" t="s">
        <v>215</v>
      </c>
    </row>
    <row r="55460" spans="129:129" x14ac:dyDescent="0.2">
      <c r="DY55460" s="185" t="s">
        <v>215</v>
      </c>
    </row>
    <row r="55461" spans="129:129" x14ac:dyDescent="0.2">
      <c r="DY55461" s="185" t="s">
        <v>215</v>
      </c>
    </row>
    <row r="55462" spans="129:129" x14ac:dyDescent="0.2">
      <c r="DY55462" s="185" t="s">
        <v>215</v>
      </c>
    </row>
    <row r="55463" spans="129:129" x14ac:dyDescent="0.2">
      <c r="DY55463" s="185" t="s">
        <v>215</v>
      </c>
    </row>
    <row r="55464" spans="129:129" x14ac:dyDescent="0.2">
      <c r="DY55464" s="185" t="s">
        <v>215</v>
      </c>
    </row>
    <row r="55465" spans="129:129" x14ac:dyDescent="0.2">
      <c r="DY55465" s="185" t="s">
        <v>215</v>
      </c>
    </row>
    <row r="55466" spans="129:129" x14ac:dyDescent="0.2">
      <c r="DY55466" s="185" t="s">
        <v>215</v>
      </c>
    </row>
    <row r="55467" spans="129:129" x14ac:dyDescent="0.2">
      <c r="DY55467" s="185" t="s">
        <v>215</v>
      </c>
    </row>
    <row r="55468" spans="129:129" x14ac:dyDescent="0.2">
      <c r="DY55468" s="185" t="s">
        <v>215</v>
      </c>
    </row>
    <row r="55469" spans="129:129" x14ac:dyDescent="0.2">
      <c r="DY55469" s="185" t="s">
        <v>215</v>
      </c>
    </row>
    <row r="55470" spans="129:129" x14ac:dyDescent="0.2">
      <c r="DY55470" s="185" t="s">
        <v>215</v>
      </c>
    </row>
    <row r="55471" spans="129:129" x14ac:dyDescent="0.2">
      <c r="DY55471" s="185" t="s">
        <v>215</v>
      </c>
    </row>
    <row r="55472" spans="129:129" x14ac:dyDescent="0.2">
      <c r="DY55472" s="185" t="s">
        <v>215</v>
      </c>
    </row>
    <row r="55473" spans="129:129" x14ac:dyDescent="0.2">
      <c r="DY55473" s="185" t="s">
        <v>215</v>
      </c>
    </row>
    <row r="55474" spans="129:129" x14ac:dyDescent="0.2">
      <c r="DY55474" s="185" t="s">
        <v>215</v>
      </c>
    </row>
    <row r="55475" spans="129:129" x14ac:dyDescent="0.2">
      <c r="DY55475" s="185" t="s">
        <v>215</v>
      </c>
    </row>
    <row r="55476" spans="129:129" x14ac:dyDescent="0.2">
      <c r="DY55476" s="185" t="s">
        <v>215</v>
      </c>
    </row>
    <row r="55477" spans="129:129" x14ac:dyDescent="0.2">
      <c r="DY55477" s="185" t="s">
        <v>215</v>
      </c>
    </row>
    <row r="55478" spans="129:129" x14ac:dyDescent="0.2">
      <c r="DY55478" s="185" t="s">
        <v>215</v>
      </c>
    </row>
    <row r="55479" spans="129:129" x14ac:dyDescent="0.2">
      <c r="DY55479" s="185" t="s">
        <v>215</v>
      </c>
    </row>
    <row r="55480" spans="129:129" x14ac:dyDescent="0.2">
      <c r="DY55480" s="185" t="s">
        <v>215</v>
      </c>
    </row>
    <row r="55481" spans="129:129" x14ac:dyDescent="0.2">
      <c r="DY55481" s="185" t="s">
        <v>215</v>
      </c>
    </row>
    <row r="55482" spans="129:129" x14ac:dyDescent="0.2">
      <c r="DY55482" s="185" t="s">
        <v>215</v>
      </c>
    </row>
    <row r="55483" spans="129:129" x14ac:dyDescent="0.2">
      <c r="DY55483" s="185" t="s">
        <v>215</v>
      </c>
    </row>
    <row r="55484" spans="129:129" x14ac:dyDescent="0.2">
      <c r="DY55484" s="185" t="s">
        <v>215</v>
      </c>
    </row>
    <row r="55485" spans="129:129" x14ac:dyDescent="0.2">
      <c r="DY55485" s="185" t="s">
        <v>215</v>
      </c>
    </row>
    <row r="55486" spans="129:129" x14ac:dyDescent="0.2">
      <c r="DY55486" s="185" t="s">
        <v>215</v>
      </c>
    </row>
    <row r="55487" spans="129:129" x14ac:dyDescent="0.2">
      <c r="DY55487" s="185" t="s">
        <v>215</v>
      </c>
    </row>
    <row r="55488" spans="129:129" x14ac:dyDescent="0.2">
      <c r="DY55488" s="185" t="s">
        <v>215</v>
      </c>
    </row>
    <row r="55489" spans="129:129" x14ac:dyDescent="0.2">
      <c r="DY55489" s="185" t="s">
        <v>215</v>
      </c>
    </row>
    <row r="55490" spans="129:129" x14ac:dyDescent="0.2">
      <c r="DY55490" s="185" t="s">
        <v>215</v>
      </c>
    </row>
    <row r="55491" spans="129:129" x14ac:dyDescent="0.2">
      <c r="DY55491" s="185" t="s">
        <v>215</v>
      </c>
    </row>
    <row r="55492" spans="129:129" x14ac:dyDescent="0.2">
      <c r="DY55492" s="185" t="s">
        <v>215</v>
      </c>
    </row>
    <row r="55493" spans="129:129" x14ac:dyDescent="0.2">
      <c r="DY55493" s="185" t="s">
        <v>215</v>
      </c>
    </row>
    <row r="55494" spans="129:129" x14ac:dyDescent="0.2">
      <c r="DY55494" s="185" t="s">
        <v>215</v>
      </c>
    </row>
    <row r="55495" spans="129:129" x14ac:dyDescent="0.2">
      <c r="DY55495" s="185" t="s">
        <v>215</v>
      </c>
    </row>
    <row r="55496" spans="129:129" x14ac:dyDescent="0.2">
      <c r="DY55496" s="185" t="s">
        <v>215</v>
      </c>
    </row>
    <row r="55497" spans="129:129" x14ac:dyDescent="0.2">
      <c r="DY55497" s="185" t="s">
        <v>215</v>
      </c>
    </row>
    <row r="55498" spans="129:129" x14ac:dyDescent="0.2">
      <c r="DY55498" s="185" t="s">
        <v>215</v>
      </c>
    </row>
    <row r="55499" spans="129:129" x14ac:dyDescent="0.2">
      <c r="DY55499" s="185" t="s">
        <v>215</v>
      </c>
    </row>
    <row r="55500" spans="129:129" x14ac:dyDescent="0.2">
      <c r="DY55500" s="185" t="s">
        <v>215</v>
      </c>
    </row>
    <row r="55501" spans="129:129" x14ac:dyDescent="0.2">
      <c r="DY55501" s="185" t="s">
        <v>215</v>
      </c>
    </row>
    <row r="55502" spans="129:129" x14ac:dyDescent="0.2">
      <c r="DY55502" s="185" t="s">
        <v>215</v>
      </c>
    </row>
    <row r="55503" spans="129:129" x14ac:dyDescent="0.2">
      <c r="DY55503" s="185" t="s">
        <v>215</v>
      </c>
    </row>
    <row r="55504" spans="129:129" x14ac:dyDescent="0.2">
      <c r="DY55504" s="185" t="s">
        <v>215</v>
      </c>
    </row>
    <row r="55505" spans="129:129" x14ac:dyDescent="0.2">
      <c r="DY55505" s="185" t="s">
        <v>215</v>
      </c>
    </row>
    <row r="55506" spans="129:129" x14ac:dyDescent="0.2">
      <c r="DY55506" s="185" t="s">
        <v>215</v>
      </c>
    </row>
    <row r="55507" spans="129:129" x14ac:dyDescent="0.2">
      <c r="DY55507" s="185" t="s">
        <v>215</v>
      </c>
    </row>
    <row r="55508" spans="129:129" x14ac:dyDescent="0.2">
      <c r="DY55508" s="185" t="s">
        <v>215</v>
      </c>
    </row>
    <row r="55509" spans="129:129" x14ac:dyDescent="0.2">
      <c r="DY55509" s="185" t="s">
        <v>215</v>
      </c>
    </row>
    <row r="55510" spans="129:129" x14ac:dyDescent="0.2">
      <c r="DY55510" s="185" t="s">
        <v>215</v>
      </c>
    </row>
    <row r="55511" spans="129:129" x14ac:dyDescent="0.2">
      <c r="DY55511" s="185" t="s">
        <v>215</v>
      </c>
    </row>
    <row r="55512" spans="129:129" x14ac:dyDescent="0.2">
      <c r="DY55512" s="185" t="s">
        <v>215</v>
      </c>
    </row>
    <row r="55513" spans="129:129" x14ac:dyDescent="0.2">
      <c r="DY55513" s="185" t="s">
        <v>215</v>
      </c>
    </row>
    <row r="55514" spans="129:129" x14ac:dyDescent="0.2">
      <c r="DY55514" s="185" t="s">
        <v>215</v>
      </c>
    </row>
    <row r="55515" spans="129:129" x14ac:dyDescent="0.2">
      <c r="DY55515" s="185" t="s">
        <v>215</v>
      </c>
    </row>
    <row r="55516" spans="129:129" x14ac:dyDescent="0.2">
      <c r="DY55516" s="185" t="s">
        <v>215</v>
      </c>
    </row>
    <row r="55517" spans="129:129" x14ac:dyDescent="0.2">
      <c r="DY55517" s="185" t="s">
        <v>215</v>
      </c>
    </row>
    <row r="55518" spans="129:129" x14ac:dyDescent="0.2">
      <c r="DY55518" s="185" t="s">
        <v>215</v>
      </c>
    </row>
    <row r="55519" spans="129:129" x14ac:dyDescent="0.2">
      <c r="DY55519" s="185" t="s">
        <v>215</v>
      </c>
    </row>
    <row r="55520" spans="129:129" x14ac:dyDescent="0.2">
      <c r="DY55520" s="185" t="s">
        <v>215</v>
      </c>
    </row>
    <row r="55521" spans="129:129" x14ac:dyDescent="0.2">
      <c r="DY55521" s="185" t="s">
        <v>215</v>
      </c>
    </row>
    <row r="55522" spans="129:129" x14ac:dyDescent="0.2">
      <c r="DY55522" s="185" t="s">
        <v>215</v>
      </c>
    </row>
    <row r="55523" spans="129:129" x14ac:dyDescent="0.2">
      <c r="DY55523" s="185" t="s">
        <v>215</v>
      </c>
    </row>
    <row r="55524" spans="129:129" x14ac:dyDescent="0.2">
      <c r="DY55524" s="185" t="s">
        <v>215</v>
      </c>
    </row>
    <row r="55525" spans="129:129" x14ac:dyDescent="0.2">
      <c r="DY55525" s="185" t="s">
        <v>215</v>
      </c>
    </row>
    <row r="55526" spans="129:129" x14ac:dyDescent="0.2">
      <c r="DY55526" s="185" t="s">
        <v>215</v>
      </c>
    </row>
    <row r="55527" spans="129:129" x14ac:dyDescent="0.2">
      <c r="DY55527" s="185" t="s">
        <v>215</v>
      </c>
    </row>
    <row r="55528" spans="129:129" x14ac:dyDescent="0.2">
      <c r="DY55528" s="185" t="s">
        <v>215</v>
      </c>
    </row>
    <row r="55529" spans="129:129" x14ac:dyDescent="0.2">
      <c r="DY55529" s="185" t="s">
        <v>215</v>
      </c>
    </row>
    <row r="55530" spans="129:129" x14ac:dyDescent="0.2">
      <c r="DY55530" s="185" t="s">
        <v>215</v>
      </c>
    </row>
    <row r="55531" spans="129:129" x14ac:dyDescent="0.2">
      <c r="DY55531" s="185" t="s">
        <v>215</v>
      </c>
    </row>
    <row r="55532" spans="129:129" x14ac:dyDescent="0.2">
      <c r="DY55532" s="185" t="s">
        <v>215</v>
      </c>
    </row>
    <row r="55533" spans="129:129" x14ac:dyDescent="0.2">
      <c r="DY55533" s="185" t="s">
        <v>215</v>
      </c>
    </row>
    <row r="55534" spans="129:129" x14ac:dyDescent="0.2">
      <c r="DY55534" s="185" t="s">
        <v>215</v>
      </c>
    </row>
    <row r="55535" spans="129:129" x14ac:dyDescent="0.2">
      <c r="DY55535" s="185" t="s">
        <v>215</v>
      </c>
    </row>
    <row r="55536" spans="129:129" x14ac:dyDescent="0.2">
      <c r="DY55536" s="185" t="s">
        <v>215</v>
      </c>
    </row>
    <row r="55537" spans="129:129" x14ac:dyDescent="0.2">
      <c r="DY55537" s="185" t="s">
        <v>215</v>
      </c>
    </row>
    <row r="55538" spans="129:129" x14ac:dyDescent="0.2">
      <c r="DY55538" s="185" t="s">
        <v>215</v>
      </c>
    </row>
    <row r="55539" spans="129:129" x14ac:dyDescent="0.2">
      <c r="DY55539" s="185" t="s">
        <v>215</v>
      </c>
    </row>
    <row r="55540" spans="129:129" x14ac:dyDescent="0.2">
      <c r="DY55540" s="185" t="s">
        <v>215</v>
      </c>
    </row>
    <row r="55541" spans="129:129" x14ac:dyDescent="0.2">
      <c r="DY55541" s="185" t="s">
        <v>215</v>
      </c>
    </row>
    <row r="55542" spans="129:129" x14ac:dyDescent="0.2">
      <c r="DY55542" s="185" t="s">
        <v>215</v>
      </c>
    </row>
    <row r="55543" spans="129:129" x14ac:dyDescent="0.2">
      <c r="DY55543" s="185" t="s">
        <v>215</v>
      </c>
    </row>
    <row r="55544" spans="129:129" x14ac:dyDescent="0.2">
      <c r="DY55544" s="185" t="s">
        <v>215</v>
      </c>
    </row>
    <row r="55545" spans="129:129" x14ac:dyDescent="0.2">
      <c r="DY55545" s="185" t="s">
        <v>215</v>
      </c>
    </row>
    <row r="55546" spans="129:129" x14ac:dyDescent="0.2">
      <c r="DY55546" s="185" t="s">
        <v>215</v>
      </c>
    </row>
    <row r="55547" spans="129:129" x14ac:dyDescent="0.2">
      <c r="DY55547" s="185" t="s">
        <v>215</v>
      </c>
    </row>
    <row r="55548" spans="129:129" x14ac:dyDescent="0.2">
      <c r="DY55548" s="185" t="s">
        <v>215</v>
      </c>
    </row>
    <row r="55549" spans="129:129" x14ac:dyDescent="0.2">
      <c r="DY55549" s="185" t="s">
        <v>215</v>
      </c>
    </row>
    <row r="55550" spans="129:129" x14ac:dyDescent="0.2">
      <c r="DY55550" s="185" t="s">
        <v>215</v>
      </c>
    </row>
    <row r="55551" spans="129:129" x14ac:dyDescent="0.2">
      <c r="DY55551" s="185" t="s">
        <v>215</v>
      </c>
    </row>
    <row r="55552" spans="129:129" x14ac:dyDescent="0.2">
      <c r="DY55552" s="185" t="s">
        <v>215</v>
      </c>
    </row>
    <row r="55553" spans="129:129" x14ac:dyDescent="0.2">
      <c r="DY55553" s="185" t="s">
        <v>215</v>
      </c>
    </row>
    <row r="55554" spans="129:129" x14ac:dyDescent="0.2">
      <c r="DY55554" s="185" t="s">
        <v>215</v>
      </c>
    </row>
    <row r="55555" spans="129:129" x14ac:dyDescent="0.2">
      <c r="DY55555" s="185" t="s">
        <v>215</v>
      </c>
    </row>
    <row r="55556" spans="129:129" x14ac:dyDescent="0.2">
      <c r="DY55556" s="185" t="s">
        <v>215</v>
      </c>
    </row>
    <row r="55557" spans="129:129" x14ac:dyDescent="0.2">
      <c r="DY55557" s="185" t="s">
        <v>215</v>
      </c>
    </row>
    <row r="55558" spans="129:129" x14ac:dyDescent="0.2">
      <c r="DY55558" s="185" t="s">
        <v>215</v>
      </c>
    </row>
    <row r="55559" spans="129:129" x14ac:dyDescent="0.2">
      <c r="DY55559" s="185" t="s">
        <v>215</v>
      </c>
    </row>
    <row r="55560" spans="129:129" x14ac:dyDescent="0.2">
      <c r="DY55560" s="185" t="s">
        <v>215</v>
      </c>
    </row>
    <row r="55561" spans="129:129" x14ac:dyDescent="0.2">
      <c r="DY55561" s="185" t="s">
        <v>215</v>
      </c>
    </row>
    <row r="55562" spans="129:129" x14ac:dyDescent="0.2">
      <c r="DY55562" s="185" t="s">
        <v>215</v>
      </c>
    </row>
    <row r="55563" spans="129:129" x14ac:dyDescent="0.2">
      <c r="DY55563" s="185" t="s">
        <v>215</v>
      </c>
    </row>
    <row r="55564" spans="129:129" x14ac:dyDescent="0.2">
      <c r="DY55564" s="185" t="s">
        <v>215</v>
      </c>
    </row>
    <row r="55565" spans="129:129" x14ac:dyDescent="0.2">
      <c r="DY55565" s="185" t="s">
        <v>215</v>
      </c>
    </row>
    <row r="55566" spans="129:129" x14ac:dyDescent="0.2">
      <c r="DY55566" s="185" t="s">
        <v>215</v>
      </c>
    </row>
    <row r="55567" spans="129:129" x14ac:dyDescent="0.2">
      <c r="DY55567" s="185" t="s">
        <v>215</v>
      </c>
    </row>
    <row r="55568" spans="129:129" x14ac:dyDescent="0.2">
      <c r="DY55568" s="185" t="s">
        <v>215</v>
      </c>
    </row>
    <row r="55569" spans="129:129" x14ac:dyDescent="0.2">
      <c r="DY55569" s="185" t="s">
        <v>215</v>
      </c>
    </row>
    <row r="55570" spans="129:129" x14ac:dyDescent="0.2">
      <c r="DY55570" s="185" t="s">
        <v>215</v>
      </c>
    </row>
    <row r="55571" spans="129:129" x14ac:dyDescent="0.2">
      <c r="DY55571" s="185" t="s">
        <v>215</v>
      </c>
    </row>
    <row r="55572" spans="129:129" x14ac:dyDescent="0.2">
      <c r="DY55572" s="185" t="s">
        <v>215</v>
      </c>
    </row>
    <row r="55573" spans="129:129" x14ac:dyDescent="0.2">
      <c r="DY55573" s="185" t="s">
        <v>215</v>
      </c>
    </row>
    <row r="55574" spans="129:129" x14ac:dyDescent="0.2">
      <c r="DY55574" s="185" t="s">
        <v>215</v>
      </c>
    </row>
    <row r="55575" spans="129:129" x14ac:dyDescent="0.2">
      <c r="DY55575" s="185" t="s">
        <v>215</v>
      </c>
    </row>
    <row r="55576" spans="129:129" x14ac:dyDescent="0.2">
      <c r="DY55576" s="185" t="s">
        <v>215</v>
      </c>
    </row>
    <row r="55577" spans="129:129" x14ac:dyDescent="0.2">
      <c r="DY55577" s="185" t="s">
        <v>215</v>
      </c>
    </row>
    <row r="55578" spans="129:129" x14ac:dyDescent="0.2">
      <c r="DY55578" s="185" t="s">
        <v>215</v>
      </c>
    </row>
    <row r="55579" spans="129:129" x14ac:dyDescent="0.2">
      <c r="DY55579" s="185" t="s">
        <v>215</v>
      </c>
    </row>
    <row r="55580" spans="129:129" x14ac:dyDescent="0.2">
      <c r="DY55580" s="185" t="s">
        <v>215</v>
      </c>
    </row>
    <row r="55581" spans="129:129" x14ac:dyDescent="0.2">
      <c r="DY55581" s="185" t="s">
        <v>215</v>
      </c>
    </row>
    <row r="55582" spans="129:129" x14ac:dyDescent="0.2">
      <c r="DY55582" s="185" t="s">
        <v>215</v>
      </c>
    </row>
    <row r="55583" spans="129:129" x14ac:dyDescent="0.2">
      <c r="DY55583" s="185" t="s">
        <v>215</v>
      </c>
    </row>
    <row r="55584" spans="129:129" x14ac:dyDescent="0.2">
      <c r="DY55584" s="185" t="s">
        <v>215</v>
      </c>
    </row>
    <row r="55585" spans="129:129" x14ac:dyDescent="0.2">
      <c r="DY55585" s="185" t="s">
        <v>215</v>
      </c>
    </row>
    <row r="55586" spans="129:129" x14ac:dyDescent="0.2">
      <c r="DY55586" s="185" t="s">
        <v>215</v>
      </c>
    </row>
    <row r="55587" spans="129:129" x14ac:dyDescent="0.2">
      <c r="DY55587" s="185" t="s">
        <v>215</v>
      </c>
    </row>
    <row r="55588" spans="129:129" x14ac:dyDescent="0.2">
      <c r="DY55588" s="185" t="s">
        <v>215</v>
      </c>
    </row>
    <row r="55589" spans="129:129" x14ac:dyDescent="0.2">
      <c r="DY55589" s="185" t="s">
        <v>215</v>
      </c>
    </row>
    <row r="55590" spans="129:129" x14ac:dyDescent="0.2">
      <c r="DY55590" s="185" t="s">
        <v>215</v>
      </c>
    </row>
    <row r="55591" spans="129:129" x14ac:dyDescent="0.2">
      <c r="DY55591" s="185" t="s">
        <v>215</v>
      </c>
    </row>
    <row r="55592" spans="129:129" x14ac:dyDescent="0.2">
      <c r="DY55592" s="185" t="s">
        <v>215</v>
      </c>
    </row>
    <row r="55593" spans="129:129" x14ac:dyDescent="0.2">
      <c r="DY55593" s="185" t="s">
        <v>215</v>
      </c>
    </row>
    <row r="55594" spans="129:129" x14ac:dyDescent="0.2">
      <c r="DY55594" s="185" t="s">
        <v>215</v>
      </c>
    </row>
    <row r="55595" spans="129:129" x14ac:dyDescent="0.2">
      <c r="DY55595" s="185" t="s">
        <v>215</v>
      </c>
    </row>
    <row r="55596" spans="129:129" x14ac:dyDescent="0.2">
      <c r="DY55596" s="185" t="s">
        <v>215</v>
      </c>
    </row>
    <row r="55597" spans="129:129" x14ac:dyDescent="0.2">
      <c r="DY55597" s="185" t="s">
        <v>215</v>
      </c>
    </row>
    <row r="55598" spans="129:129" x14ac:dyDescent="0.2">
      <c r="DY55598" s="185" t="s">
        <v>215</v>
      </c>
    </row>
    <row r="55599" spans="129:129" x14ac:dyDescent="0.2">
      <c r="DY55599" s="185" t="s">
        <v>215</v>
      </c>
    </row>
    <row r="55600" spans="129:129" x14ac:dyDescent="0.2">
      <c r="DY55600" s="185" t="s">
        <v>215</v>
      </c>
    </row>
    <row r="55601" spans="129:129" x14ac:dyDescent="0.2">
      <c r="DY55601" s="185" t="s">
        <v>215</v>
      </c>
    </row>
    <row r="55602" spans="129:129" x14ac:dyDescent="0.2">
      <c r="DY55602" s="185" t="s">
        <v>215</v>
      </c>
    </row>
    <row r="55603" spans="129:129" x14ac:dyDescent="0.2">
      <c r="DY55603" s="185" t="s">
        <v>215</v>
      </c>
    </row>
    <row r="55604" spans="129:129" x14ac:dyDescent="0.2">
      <c r="DY55604" s="185" t="s">
        <v>215</v>
      </c>
    </row>
    <row r="55605" spans="129:129" x14ac:dyDescent="0.2">
      <c r="DY55605" s="185" t="s">
        <v>215</v>
      </c>
    </row>
    <row r="55606" spans="129:129" x14ac:dyDescent="0.2">
      <c r="DY55606" s="185" t="s">
        <v>215</v>
      </c>
    </row>
    <row r="55607" spans="129:129" x14ac:dyDescent="0.2">
      <c r="DY55607" s="185" t="s">
        <v>215</v>
      </c>
    </row>
    <row r="55608" spans="129:129" x14ac:dyDescent="0.2">
      <c r="DY55608" s="185" t="s">
        <v>215</v>
      </c>
    </row>
    <row r="55609" spans="129:129" x14ac:dyDescent="0.2">
      <c r="DY55609" s="185" t="s">
        <v>215</v>
      </c>
    </row>
    <row r="55610" spans="129:129" x14ac:dyDescent="0.2">
      <c r="DY55610" s="185" t="s">
        <v>215</v>
      </c>
    </row>
    <row r="55611" spans="129:129" x14ac:dyDescent="0.2">
      <c r="DY55611" s="185" t="s">
        <v>215</v>
      </c>
    </row>
    <row r="55612" spans="129:129" x14ac:dyDescent="0.2">
      <c r="DY55612" s="185" t="s">
        <v>215</v>
      </c>
    </row>
    <row r="55613" spans="129:129" x14ac:dyDescent="0.2">
      <c r="DY55613" s="185" t="s">
        <v>215</v>
      </c>
    </row>
    <row r="55614" spans="129:129" x14ac:dyDescent="0.2">
      <c r="DY55614" s="185" t="s">
        <v>215</v>
      </c>
    </row>
    <row r="55615" spans="129:129" x14ac:dyDescent="0.2">
      <c r="DY55615" s="185" t="s">
        <v>215</v>
      </c>
    </row>
    <row r="55616" spans="129:129" x14ac:dyDescent="0.2">
      <c r="DY55616" s="185" t="s">
        <v>215</v>
      </c>
    </row>
    <row r="55617" spans="129:129" x14ac:dyDescent="0.2">
      <c r="DY55617" s="185" t="s">
        <v>215</v>
      </c>
    </row>
    <row r="55618" spans="129:129" x14ac:dyDescent="0.2">
      <c r="DY55618" s="185" t="s">
        <v>215</v>
      </c>
    </row>
    <row r="55619" spans="129:129" x14ac:dyDescent="0.2">
      <c r="DY55619" s="185" t="s">
        <v>215</v>
      </c>
    </row>
    <row r="55620" spans="129:129" x14ac:dyDescent="0.2">
      <c r="DY55620" s="185" t="s">
        <v>215</v>
      </c>
    </row>
    <row r="55621" spans="129:129" x14ac:dyDescent="0.2">
      <c r="DY55621" s="185" t="s">
        <v>215</v>
      </c>
    </row>
    <row r="55622" spans="129:129" x14ac:dyDescent="0.2">
      <c r="DY55622" s="185" t="s">
        <v>215</v>
      </c>
    </row>
    <row r="55623" spans="129:129" x14ac:dyDescent="0.2">
      <c r="DY55623" s="185" t="s">
        <v>215</v>
      </c>
    </row>
    <row r="55624" spans="129:129" x14ac:dyDescent="0.2">
      <c r="DY55624" s="185" t="s">
        <v>215</v>
      </c>
    </row>
    <row r="55625" spans="129:129" x14ac:dyDescent="0.2">
      <c r="DY55625" s="185" t="s">
        <v>215</v>
      </c>
    </row>
    <row r="55626" spans="129:129" x14ac:dyDescent="0.2">
      <c r="DY55626" s="185" t="s">
        <v>215</v>
      </c>
    </row>
    <row r="55627" spans="129:129" x14ac:dyDescent="0.2">
      <c r="DY55627" s="185" t="s">
        <v>215</v>
      </c>
    </row>
    <row r="55628" spans="129:129" x14ac:dyDescent="0.2">
      <c r="DY55628" s="185" t="s">
        <v>215</v>
      </c>
    </row>
    <row r="55629" spans="129:129" x14ac:dyDescent="0.2">
      <c r="DY55629" s="185" t="s">
        <v>215</v>
      </c>
    </row>
    <row r="55630" spans="129:129" x14ac:dyDescent="0.2">
      <c r="DY55630" s="185" t="s">
        <v>215</v>
      </c>
    </row>
    <row r="55631" spans="129:129" x14ac:dyDescent="0.2">
      <c r="DY55631" s="185" t="s">
        <v>215</v>
      </c>
    </row>
    <row r="55632" spans="129:129" x14ac:dyDescent="0.2">
      <c r="DY55632" s="185" t="s">
        <v>215</v>
      </c>
    </row>
    <row r="55633" spans="129:129" x14ac:dyDescent="0.2">
      <c r="DY55633" s="185" t="s">
        <v>215</v>
      </c>
    </row>
    <row r="55634" spans="129:129" x14ac:dyDescent="0.2">
      <c r="DY55634" s="185" t="s">
        <v>215</v>
      </c>
    </row>
    <row r="55635" spans="129:129" x14ac:dyDescent="0.2">
      <c r="DY55635" s="185" t="s">
        <v>215</v>
      </c>
    </row>
    <row r="55636" spans="129:129" x14ac:dyDescent="0.2">
      <c r="DY55636" s="185" t="s">
        <v>215</v>
      </c>
    </row>
    <row r="55637" spans="129:129" x14ac:dyDescent="0.2">
      <c r="DY55637" s="185" t="s">
        <v>215</v>
      </c>
    </row>
    <row r="55638" spans="129:129" x14ac:dyDescent="0.2">
      <c r="DY55638" s="185" t="s">
        <v>215</v>
      </c>
    </row>
    <row r="55639" spans="129:129" x14ac:dyDescent="0.2">
      <c r="DY55639" s="185" t="s">
        <v>215</v>
      </c>
    </row>
    <row r="55640" spans="129:129" x14ac:dyDescent="0.2">
      <c r="DY55640" s="185" t="s">
        <v>215</v>
      </c>
    </row>
    <row r="55641" spans="129:129" x14ac:dyDescent="0.2">
      <c r="DY55641" s="185" t="s">
        <v>215</v>
      </c>
    </row>
    <row r="55642" spans="129:129" x14ac:dyDescent="0.2">
      <c r="DY55642" s="185" t="s">
        <v>215</v>
      </c>
    </row>
    <row r="55643" spans="129:129" x14ac:dyDescent="0.2">
      <c r="DY55643" s="185" t="s">
        <v>215</v>
      </c>
    </row>
    <row r="55644" spans="129:129" x14ac:dyDescent="0.2">
      <c r="DY55644" s="185" t="s">
        <v>215</v>
      </c>
    </row>
    <row r="55645" spans="129:129" x14ac:dyDescent="0.2">
      <c r="DY55645" s="185" t="s">
        <v>215</v>
      </c>
    </row>
    <row r="55646" spans="129:129" x14ac:dyDescent="0.2">
      <c r="DY55646" s="185" t="s">
        <v>215</v>
      </c>
    </row>
    <row r="55647" spans="129:129" x14ac:dyDescent="0.2">
      <c r="DY55647" s="185" t="s">
        <v>215</v>
      </c>
    </row>
    <row r="55648" spans="129:129" x14ac:dyDescent="0.2">
      <c r="DY55648" s="185" t="s">
        <v>215</v>
      </c>
    </row>
    <row r="55649" spans="129:129" x14ac:dyDescent="0.2">
      <c r="DY55649" s="185" t="s">
        <v>215</v>
      </c>
    </row>
    <row r="55650" spans="129:129" x14ac:dyDescent="0.2">
      <c r="DY55650" s="185" t="s">
        <v>215</v>
      </c>
    </row>
    <row r="55651" spans="129:129" x14ac:dyDescent="0.2">
      <c r="DY55651" s="185" t="s">
        <v>215</v>
      </c>
    </row>
    <row r="55652" spans="129:129" x14ac:dyDescent="0.2">
      <c r="DY55652" s="185" t="s">
        <v>215</v>
      </c>
    </row>
    <row r="55653" spans="129:129" x14ac:dyDescent="0.2">
      <c r="DY55653" s="185" t="s">
        <v>215</v>
      </c>
    </row>
    <row r="55654" spans="129:129" x14ac:dyDescent="0.2">
      <c r="DY55654" s="185" t="s">
        <v>215</v>
      </c>
    </row>
    <row r="55655" spans="129:129" x14ac:dyDescent="0.2">
      <c r="DY55655" s="185" t="s">
        <v>215</v>
      </c>
    </row>
    <row r="55656" spans="129:129" x14ac:dyDescent="0.2">
      <c r="DY55656" s="185" t="s">
        <v>215</v>
      </c>
    </row>
    <row r="55657" spans="129:129" x14ac:dyDescent="0.2">
      <c r="DY55657" s="185" t="s">
        <v>215</v>
      </c>
    </row>
    <row r="55658" spans="129:129" x14ac:dyDescent="0.2">
      <c r="DY55658" s="185" t="s">
        <v>215</v>
      </c>
    </row>
    <row r="55659" spans="129:129" x14ac:dyDescent="0.2">
      <c r="DY55659" s="185" t="s">
        <v>215</v>
      </c>
    </row>
    <row r="55660" spans="129:129" x14ac:dyDescent="0.2">
      <c r="DY55660" s="185" t="s">
        <v>215</v>
      </c>
    </row>
    <row r="55661" spans="129:129" x14ac:dyDescent="0.2">
      <c r="DY55661" s="185" t="s">
        <v>215</v>
      </c>
    </row>
    <row r="55662" spans="129:129" x14ac:dyDescent="0.2">
      <c r="DY55662" s="185" t="s">
        <v>215</v>
      </c>
    </row>
    <row r="55663" spans="129:129" x14ac:dyDescent="0.2">
      <c r="DY55663" s="185" t="s">
        <v>215</v>
      </c>
    </row>
    <row r="55664" spans="129:129" x14ac:dyDescent="0.2">
      <c r="DY55664" s="185" t="s">
        <v>215</v>
      </c>
    </row>
    <row r="55665" spans="129:129" x14ac:dyDescent="0.2">
      <c r="DY55665" s="185" t="s">
        <v>215</v>
      </c>
    </row>
    <row r="55666" spans="129:129" x14ac:dyDescent="0.2">
      <c r="DY55666" s="185" t="s">
        <v>215</v>
      </c>
    </row>
    <row r="55667" spans="129:129" x14ac:dyDescent="0.2">
      <c r="DY55667" s="185" t="s">
        <v>215</v>
      </c>
    </row>
    <row r="55668" spans="129:129" x14ac:dyDescent="0.2">
      <c r="DY55668" s="185" t="s">
        <v>215</v>
      </c>
    </row>
    <row r="55669" spans="129:129" x14ac:dyDescent="0.2">
      <c r="DY55669" s="185" t="s">
        <v>215</v>
      </c>
    </row>
    <row r="55670" spans="129:129" x14ac:dyDescent="0.2">
      <c r="DY55670" s="185" t="s">
        <v>215</v>
      </c>
    </row>
    <row r="55671" spans="129:129" x14ac:dyDescent="0.2">
      <c r="DY55671" s="185" t="s">
        <v>215</v>
      </c>
    </row>
    <row r="55672" spans="129:129" x14ac:dyDescent="0.2">
      <c r="DY55672" s="185" t="s">
        <v>215</v>
      </c>
    </row>
    <row r="55673" spans="129:129" x14ac:dyDescent="0.2">
      <c r="DY55673" s="185" t="s">
        <v>215</v>
      </c>
    </row>
    <row r="55674" spans="129:129" x14ac:dyDescent="0.2">
      <c r="DY55674" s="185" t="s">
        <v>215</v>
      </c>
    </row>
    <row r="55675" spans="129:129" x14ac:dyDescent="0.2">
      <c r="DY55675" s="185" t="s">
        <v>215</v>
      </c>
    </row>
    <row r="55676" spans="129:129" x14ac:dyDescent="0.2">
      <c r="DY55676" s="185" t="s">
        <v>215</v>
      </c>
    </row>
    <row r="55677" spans="129:129" x14ac:dyDescent="0.2">
      <c r="DY55677" s="185" t="s">
        <v>215</v>
      </c>
    </row>
    <row r="55678" spans="129:129" x14ac:dyDescent="0.2">
      <c r="DY55678" s="185" t="s">
        <v>215</v>
      </c>
    </row>
    <row r="55679" spans="129:129" x14ac:dyDescent="0.2">
      <c r="DY55679" s="185" t="s">
        <v>215</v>
      </c>
    </row>
    <row r="55680" spans="129:129" x14ac:dyDescent="0.2">
      <c r="DY55680" s="185" t="s">
        <v>215</v>
      </c>
    </row>
    <row r="55681" spans="129:129" x14ac:dyDescent="0.2">
      <c r="DY55681" s="185" t="s">
        <v>215</v>
      </c>
    </row>
    <row r="55682" spans="129:129" x14ac:dyDescent="0.2">
      <c r="DY55682" s="185" t="s">
        <v>215</v>
      </c>
    </row>
    <row r="55683" spans="129:129" x14ac:dyDescent="0.2">
      <c r="DY55683" s="185" t="s">
        <v>215</v>
      </c>
    </row>
    <row r="55684" spans="129:129" x14ac:dyDescent="0.2">
      <c r="DY55684" s="185" t="s">
        <v>215</v>
      </c>
    </row>
    <row r="55685" spans="129:129" x14ac:dyDescent="0.2">
      <c r="DY55685" s="185" t="s">
        <v>215</v>
      </c>
    </row>
    <row r="55686" spans="129:129" x14ac:dyDescent="0.2">
      <c r="DY55686" s="185" t="s">
        <v>215</v>
      </c>
    </row>
    <row r="55687" spans="129:129" x14ac:dyDescent="0.2">
      <c r="DY55687" s="185" t="s">
        <v>215</v>
      </c>
    </row>
    <row r="55688" spans="129:129" x14ac:dyDescent="0.2">
      <c r="DY55688" s="185" t="s">
        <v>215</v>
      </c>
    </row>
    <row r="55689" spans="129:129" x14ac:dyDescent="0.2">
      <c r="DY55689" s="185" t="s">
        <v>215</v>
      </c>
    </row>
    <row r="55690" spans="129:129" x14ac:dyDescent="0.2">
      <c r="DY55690" s="185" t="s">
        <v>215</v>
      </c>
    </row>
    <row r="55691" spans="129:129" x14ac:dyDescent="0.2">
      <c r="DY55691" s="185" t="s">
        <v>215</v>
      </c>
    </row>
    <row r="55692" spans="129:129" x14ac:dyDescent="0.2">
      <c r="DY55692" s="185" t="s">
        <v>215</v>
      </c>
    </row>
    <row r="55693" spans="129:129" x14ac:dyDescent="0.2">
      <c r="DY55693" s="185" t="s">
        <v>215</v>
      </c>
    </row>
    <row r="55694" spans="129:129" x14ac:dyDescent="0.2">
      <c r="DY55694" s="185" t="s">
        <v>215</v>
      </c>
    </row>
    <row r="55695" spans="129:129" x14ac:dyDescent="0.2">
      <c r="DY55695" s="185" t="s">
        <v>215</v>
      </c>
    </row>
    <row r="55696" spans="129:129" x14ac:dyDescent="0.2">
      <c r="DY55696" s="185" t="s">
        <v>215</v>
      </c>
    </row>
    <row r="55697" spans="129:129" x14ac:dyDescent="0.2">
      <c r="DY55697" s="185" t="s">
        <v>215</v>
      </c>
    </row>
    <row r="55698" spans="129:129" x14ac:dyDescent="0.2">
      <c r="DY55698" s="185" t="s">
        <v>215</v>
      </c>
    </row>
    <row r="55699" spans="129:129" x14ac:dyDescent="0.2">
      <c r="DY55699" s="185" t="s">
        <v>215</v>
      </c>
    </row>
    <row r="55700" spans="129:129" x14ac:dyDescent="0.2">
      <c r="DY55700" s="185" t="s">
        <v>215</v>
      </c>
    </row>
    <row r="55701" spans="129:129" x14ac:dyDescent="0.2">
      <c r="DY55701" s="185" t="s">
        <v>215</v>
      </c>
    </row>
    <row r="55702" spans="129:129" x14ac:dyDescent="0.2">
      <c r="DY55702" s="185" t="s">
        <v>215</v>
      </c>
    </row>
    <row r="55703" spans="129:129" x14ac:dyDescent="0.2">
      <c r="DY55703" s="185" t="s">
        <v>215</v>
      </c>
    </row>
    <row r="55704" spans="129:129" x14ac:dyDescent="0.2">
      <c r="DY55704" s="185" t="s">
        <v>215</v>
      </c>
    </row>
    <row r="55705" spans="129:129" x14ac:dyDescent="0.2">
      <c r="DY55705" s="185" t="s">
        <v>215</v>
      </c>
    </row>
    <row r="55706" spans="129:129" x14ac:dyDescent="0.2">
      <c r="DY55706" s="185" t="s">
        <v>215</v>
      </c>
    </row>
    <row r="55707" spans="129:129" x14ac:dyDescent="0.2">
      <c r="DY55707" s="185" t="s">
        <v>215</v>
      </c>
    </row>
    <row r="55708" spans="129:129" x14ac:dyDescent="0.2">
      <c r="DY55708" s="185" t="s">
        <v>215</v>
      </c>
    </row>
    <row r="55709" spans="129:129" x14ac:dyDescent="0.2">
      <c r="DY55709" s="185" t="s">
        <v>215</v>
      </c>
    </row>
    <row r="55710" spans="129:129" x14ac:dyDescent="0.2">
      <c r="DY55710" s="185" t="s">
        <v>215</v>
      </c>
    </row>
    <row r="55711" spans="129:129" x14ac:dyDescent="0.2">
      <c r="DY55711" s="185" t="s">
        <v>215</v>
      </c>
    </row>
    <row r="55712" spans="129:129" x14ac:dyDescent="0.2">
      <c r="DY55712" s="185" t="s">
        <v>215</v>
      </c>
    </row>
    <row r="55713" spans="129:129" x14ac:dyDescent="0.2">
      <c r="DY55713" s="185" t="s">
        <v>215</v>
      </c>
    </row>
    <row r="55714" spans="129:129" x14ac:dyDescent="0.2">
      <c r="DY55714" s="185" t="s">
        <v>215</v>
      </c>
    </row>
    <row r="55715" spans="129:129" x14ac:dyDescent="0.2">
      <c r="DY55715" s="185" t="s">
        <v>215</v>
      </c>
    </row>
    <row r="55716" spans="129:129" x14ac:dyDescent="0.2">
      <c r="DY55716" s="185" t="s">
        <v>215</v>
      </c>
    </row>
    <row r="55717" spans="129:129" x14ac:dyDescent="0.2">
      <c r="DY55717" s="185" t="s">
        <v>215</v>
      </c>
    </row>
    <row r="55718" spans="129:129" x14ac:dyDescent="0.2">
      <c r="DY55718" s="185" t="s">
        <v>215</v>
      </c>
    </row>
    <row r="55719" spans="129:129" x14ac:dyDescent="0.2">
      <c r="DY55719" s="185" t="s">
        <v>215</v>
      </c>
    </row>
    <row r="55720" spans="129:129" x14ac:dyDescent="0.2">
      <c r="DY55720" s="185" t="s">
        <v>215</v>
      </c>
    </row>
    <row r="55721" spans="129:129" x14ac:dyDescent="0.2">
      <c r="DY55721" s="185" t="s">
        <v>215</v>
      </c>
    </row>
    <row r="55722" spans="129:129" x14ac:dyDescent="0.2">
      <c r="DY55722" s="185" t="s">
        <v>215</v>
      </c>
    </row>
    <row r="55723" spans="129:129" x14ac:dyDescent="0.2">
      <c r="DY55723" s="185" t="s">
        <v>215</v>
      </c>
    </row>
    <row r="55724" spans="129:129" x14ac:dyDescent="0.2">
      <c r="DY55724" s="185" t="s">
        <v>215</v>
      </c>
    </row>
    <row r="55725" spans="129:129" x14ac:dyDescent="0.2">
      <c r="DY55725" s="185" t="s">
        <v>215</v>
      </c>
    </row>
    <row r="55726" spans="129:129" x14ac:dyDescent="0.2">
      <c r="DY55726" s="185" t="s">
        <v>215</v>
      </c>
    </row>
    <row r="55727" spans="129:129" x14ac:dyDescent="0.2">
      <c r="DY55727" s="185" t="s">
        <v>215</v>
      </c>
    </row>
    <row r="55728" spans="129:129" x14ac:dyDescent="0.2">
      <c r="DY55728" s="185" t="s">
        <v>215</v>
      </c>
    </row>
    <row r="55729" spans="129:129" x14ac:dyDescent="0.2">
      <c r="DY55729" s="185" t="s">
        <v>215</v>
      </c>
    </row>
    <row r="55730" spans="129:129" x14ac:dyDescent="0.2">
      <c r="DY55730" s="185" t="s">
        <v>215</v>
      </c>
    </row>
    <row r="55731" spans="129:129" x14ac:dyDescent="0.2">
      <c r="DY55731" s="185" t="s">
        <v>215</v>
      </c>
    </row>
    <row r="55732" spans="129:129" x14ac:dyDescent="0.2">
      <c r="DY55732" s="185" t="s">
        <v>215</v>
      </c>
    </row>
    <row r="55733" spans="129:129" x14ac:dyDescent="0.2">
      <c r="DY55733" s="185" t="s">
        <v>215</v>
      </c>
    </row>
    <row r="55734" spans="129:129" x14ac:dyDescent="0.2">
      <c r="DY55734" s="185" t="s">
        <v>215</v>
      </c>
    </row>
    <row r="55735" spans="129:129" x14ac:dyDescent="0.2">
      <c r="DY55735" s="185" t="s">
        <v>215</v>
      </c>
    </row>
    <row r="55736" spans="129:129" x14ac:dyDescent="0.2">
      <c r="DY55736" s="185" t="s">
        <v>215</v>
      </c>
    </row>
    <row r="55737" spans="129:129" x14ac:dyDescent="0.2">
      <c r="DY55737" s="185" t="s">
        <v>215</v>
      </c>
    </row>
    <row r="55738" spans="129:129" x14ac:dyDescent="0.2">
      <c r="DY55738" s="185" t="s">
        <v>215</v>
      </c>
    </row>
    <row r="55739" spans="129:129" x14ac:dyDescent="0.2">
      <c r="DY55739" s="185" t="s">
        <v>215</v>
      </c>
    </row>
    <row r="55740" spans="129:129" x14ac:dyDescent="0.2">
      <c r="DY55740" s="185" t="s">
        <v>215</v>
      </c>
    </row>
    <row r="55741" spans="129:129" x14ac:dyDescent="0.2">
      <c r="DY55741" s="185" t="s">
        <v>215</v>
      </c>
    </row>
    <row r="55742" spans="129:129" x14ac:dyDescent="0.2">
      <c r="DY55742" s="185" t="s">
        <v>215</v>
      </c>
    </row>
    <row r="55743" spans="129:129" x14ac:dyDescent="0.2">
      <c r="DY55743" s="185" t="s">
        <v>215</v>
      </c>
    </row>
    <row r="55744" spans="129:129" x14ac:dyDescent="0.2">
      <c r="DY55744" s="185" t="s">
        <v>215</v>
      </c>
    </row>
    <row r="55745" spans="129:129" x14ac:dyDescent="0.2">
      <c r="DY55745" s="185" t="s">
        <v>215</v>
      </c>
    </row>
    <row r="55746" spans="129:129" x14ac:dyDescent="0.2">
      <c r="DY55746" s="185" t="s">
        <v>215</v>
      </c>
    </row>
    <row r="55747" spans="129:129" x14ac:dyDescent="0.2">
      <c r="DY55747" s="185" t="s">
        <v>215</v>
      </c>
    </row>
    <row r="55748" spans="129:129" x14ac:dyDescent="0.2">
      <c r="DY55748" s="185" t="s">
        <v>215</v>
      </c>
    </row>
    <row r="55749" spans="129:129" x14ac:dyDescent="0.2">
      <c r="DY55749" s="185" t="s">
        <v>215</v>
      </c>
    </row>
    <row r="55750" spans="129:129" x14ac:dyDescent="0.2">
      <c r="DY55750" s="185" t="s">
        <v>215</v>
      </c>
    </row>
    <row r="55751" spans="129:129" x14ac:dyDescent="0.2">
      <c r="DY55751" s="185" t="s">
        <v>215</v>
      </c>
    </row>
    <row r="55752" spans="129:129" x14ac:dyDescent="0.2">
      <c r="DY55752" s="185" t="s">
        <v>215</v>
      </c>
    </row>
    <row r="55753" spans="129:129" x14ac:dyDescent="0.2">
      <c r="DY55753" s="185" t="s">
        <v>215</v>
      </c>
    </row>
    <row r="55754" spans="129:129" x14ac:dyDescent="0.2">
      <c r="DY55754" s="185" t="s">
        <v>215</v>
      </c>
    </row>
    <row r="55755" spans="129:129" x14ac:dyDescent="0.2">
      <c r="DY55755" s="185" t="s">
        <v>215</v>
      </c>
    </row>
    <row r="55756" spans="129:129" x14ac:dyDescent="0.2">
      <c r="DY55756" s="185" t="s">
        <v>215</v>
      </c>
    </row>
    <row r="55757" spans="129:129" x14ac:dyDescent="0.2">
      <c r="DY55757" s="185" t="s">
        <v>215</v>
      </c>
    </row>
    <row r="55758" spans="129:129" x14ac:dyDescent="0.2">
      <c r="DY55758" s="185" t="s">
        <v>215</v>
      </c>
    </row>
    <row r="55759" spans="129:129" x14ac:dyDescent="0.2">
      <c r="DY55759" s="185" t="s">
        <v>215</v>
      </c>
    </row>
    <row r="55760" spans="129:129" x14ac:dyDescent="0.2">
      <c r="DY55760" s="185" t="s">
        <v>215</v>
      </c>
    </row>
    <row r="55761" spans="129:129" x14ac:dyDescent="0.2">
      <c r="DY55761" s="185" t="s">
        <v>215</v>
      </c>
    </row>
    <row r="55762" spans="129:129" x14ac:dyDescent="0.2">
      <c r="DY55762" s="185" t="s">
        <v>215</v>
      </c>
    </row>
    <row r="55763" spans="129:129" x14ac:dyDescent="0.2">
      <c r="DY55763" s="185" t="s">
        <v>215</v>
      </c>
    </row>
    <row r="55764" spans="129:129" x14ac:dyDescent="0.2">
      <c r="DY55764" s="185" t="s">
        <v>215</v>
      </c>
    </row>
    <row r="55765" spans="129:129" x14ac:dyDescent="0.2">
      <c r="DY55765" s="185" t="s">
        <v>215</v>
      </c>
    </row>
    <row r="55766" spans="129:129" x14ac:dyDescent="0.2">
      <c r="DY55766" s="185" t="s">
        <v>215</v>
      </c>
    </row>
    <row r="55767" spans="129:129" x14ac:dyDescent="0.2">
      <c r="DY55767" s="185" t="s">
        <v>215</v>
      </c>
    </row>
    <row r="55768" spans="129:129" x14ac:dyDescent="0.2">
      <c r="DY55768" s="185" t="s">
        <v>215</v>
      </c>
    </row>
    <row r="55769" spans="129:129" x14ac:dyDescent="0.2">
      <c r="DY55769" s="185" t="s">
        <v>215</v>
      </c>
    </row>
    <row r="55770" spans="129:129" x14ac:dyDescent="0.2">
      <c r="DY55770" s="185" t="s">
        <v>215</v>
      </c>
    </row>
    <row r="55771" spans="129:129" x14ac:dyDescent="0.2">
      <c r="DY55771" s="185" t="s">
        <v>215</v>
      </c>
    </row>
    <row r="55772" spans="129:129" x14ac:dyDescent="0.2">
      <c r="DY55772" s="185" t="s">
        <v>215</v>
      </c>
    </row>
    <row r="55773" spans="129:129" x14ac:dyDescent="0.2">
      <c r="DY55773" s="185" t="s">
        <v>215</v>
      </c>
    </row>
    <row r="55774" spans="129:129" x14ac:dyDescent="0.2">
      <c r="DY55774" s="185" t="s">
        <v>215</v>
      </c>
    </row>
    <row r="55775" spans="129:129" x14ac:dyDescent="0.2">
      <c r="DY55775" s="185" t="s">
        <v>215</v>
      </c>
    </row>
    <row r="55776" spans="129:129" x14ac:dyDescent="0.2">
      <c r="DY55776" s="185" t="s">
        <v>215</v>
      </c>
    </row>
    <row r="55777" spans="129:129" x14ac:dyDescent="0.2">
      <c r="DY55777" s="185" t="s">
        <v>215</v>
      </c>
    </row>
    <row r="55778" spans="129:129" x14ac:dyDescent="0.2">
      <c r="DY55778" s="185" t="s">
        <v>215</v>
      </c>
    </row>
    <row r="55779" spans="129:129" x14ac:dyDescent="0.2">
      <c r="DY55779" s="185" t="s">
        <v>215</v>
      </c>
    </row>
    <row r="55780" spans="129:129" x14ac:dyDescent="0.2">
      <c r="DY55780" s="185" t="s">
        <v>215</v>
      </c>
    </row>
    <row r="55781" spans="129:129" x14ac:dyDescent="0.2">
      <c r="DY55781" s="185" t="s">
        <v>215</v>
      </c>
    </row>
    <row r="55782" spans="129:129" x14ac:dyDescent="0.2">
      <c r="DY55782" s="185" t="s">
        <v>215</v>
      </c>
    </row>
    <row r="55783" spans="129:129" x14ac:dyDescent="0.2">
      <c r="DY55783" s="185" t="s">
        <v>215</v>
      </c>
    </row>
    <row r="55784" spans="129:129" x14ac:dyDescent="0.2">
      <c r="DY55784" s="185" t="s">
        <v>215</v>
      </c>
    </row>
    <row r="55785" spans="129:129" x14ac:dyDescent="0.2">
      <c r="DY55785" s="185" t="s">
        <v>215</v>
      </c>
    </row>
    <row r="55786" spans="129:129" x14ac:dyDescent="0.2">
      <c r="DY55786" s="185" t="s">
        <v>215</v>
      </c>
    </row>
    <row r="55787" spans="129:129" x14ac:dyDescent="0.2">
      <c r="DY55787" s="185" t="s">
        <v>215</v>
      </c>
    </row>
    <row r="55788" spans="129:129" x14ac:dyDescent="0.2">
      <c r="DY55788" s="185" t="s">
        <v>215</v>
      </c>
    </row>
    <row r="55789" spans="129:129" x14ac:dyDescent="0.2">
      <c r="DY55789" s="185" t="s">
        <v>215</v>
      </c>
    </row>
    <row r="55790" spans="129:129" x14ac:dyDescent="0.2">
      <c r="DY55790" s="185" t="s">
        <v>215</v>
      </c>
    </row>
    <row r="55791" spans="129:129" x14ac:dyDescent="0.2">
      <c r="DY55791" s="185" t="s">
        <v>215</v>
      </c>
    </row>
    <row r="55792" spans="129:129" x14ac:dyDescent="0.2">
      <c r="DY55792" s="185" t="s">
        <v>215</v>
      </c>
    </row>
    <row r="55793" spans="129:129" x14ac:dyDescent="0.2">
      <c r="DY55793" s="185" t="s">
        <v>215</v>
      </c>
    </row>
    <row r="55794" spans="129:129" x14ac:dyDescent="0.2">
      <c r="DY55794" s="185" t="s">
        <v>215</v>
      </c>
    </row>
    <row r="55795" spans="129:129" x14ac:dyDescent="0.2">
      <c r="DY55795" s="185" t="s">
        <v>215</v>
      </c>
    </row>
    <row r="55796" spans="129:129" x14ac:dyDescent="0.2">
      <c r="DY55796" s="185" t="s">
        <v>215</v>
      </c>
    </row>
    <row r="55797" spans="129:129" x14ac:dyDescent="0.2">
      <c r="DY55797" s="185" t="s">
        <v>215</v>
      </c>
    </row>
    <row r="55798" spans="129:129" x14ac:dyDescent="0.2">
      <c r="DY55798" s="185" t="s">
        <v>215</v>
      </c>
    </row>
    <row r="55799" spans="129:129" x14ac:dyDescent="0.2">
      <c r="DY55799" s="185" t="s">
        <v>215</v>
      </c>
    </row>
    <row r="55800" spans="129:129" x14ac:dyDescent="0.2">
      <c r="DY55800" s="185" t="s">
        <v>215</v>
      </c>
    </row>
    <row r="55801" spans="129:129" x14ac:dyDescent="0.2">
      <c r="DY55801" s="185" t="s">
        <v>215</v>
      </c>
    </row>
    <row r="55802" spans="129:129" x14ac:dyDescent="0.2">
      <c r="DY55802" s="185" t="s">
        <v>215</v>
      </c>
    </row>
    <row r="55803" spans="129:129" x14ac:dyDescent="0.2">
      <c r="DY55803" s="185" t="s">
        <v>215</v>
      </c>
    </row>
    <row r="55804" spans="129:129" x14ac:dyDescent="0.2">
      <c r="DY55804" s="185" t="s">
        <v>215</v>
      </c>
    </row>
    <row r="55805" spans="129:129" x14ac:dyDescent="0.2">
      <c r="DY55805" s="185" t="s">
        <v>215</v>
      </c>
    </row>
    <row r="55806" spans="129:129" x14ac:dyDescent="0.2">
      <c r="DY55806" s="185" t="s">
        <v>215</v>
      </c>
    </row>
    <row r="55807" spans="129:129" x14ac:dyDescent="0.2">
      <c r="DY55807" s="185" t="s">
        <v>215</v>
      </c>
    </row>
    <row r="55808" spans="129:129" x14ac:dyDescent="0.2">
      <c r="DY55808" s="185" t="s">
        <v>215</v>
      </c>
    </row>
    <row r="55809" spans="129:129" x14ac:dyDescent="0.2">
      <c r="DY55809" s="185" t="s">
        <v>215</v>
      </c>
    </row>
    <row r="55810" spans="129:129" x14ac:dyDescent="0.2">
      <c r="DY55810" s="185" t="s">
        <v>215</v>
      </c>
    </row>
    <row r="55811" spans="129:129" x14ac:dyDescent="0.2">
      <c r="DY55811" s="185" t="s">
        <v>215</v>
      </c>
    </row>
    <row r="55812" spans="129:129" x14ac:dyDescent="0.2">
      <c r="DY55812" s="185" t="s">
        <v>215</v>
      </c>
    </row>
    <row r="55813" spans="129:129" x14ac:dyDescent="0.2">
      <c r="DY55813" s="185" t="s">
        <v>215</v>
      </c>
    </row>
    <row r="55814" spans="129:129" x14ac:dyDescent="0.2">
      <c r="DY55814" s="185" t="s">
        <v>215</v>
      </c>
    </row>
    <row r="55815" spans="129:129" x14ac:dyDescent="0.2">
      <c r="DY55815" s="185" t="s">
        <v>215</v>
      </c>
    </row>
    <row r="55816" spans="129:129" x14ac:dyDescent="0.2">
      <c r="DY55816" s="185" t="s">
        <v>215</v>
      </c>
    </row>
    <row r="55817" spans="129:129" x14ac:dyDescent="0.2">
      <c r="DY55817" s="185" t="s">
        <v>215</v>
      </c>
    </row>
    <row r="55818" spans="129:129" x14ac:dyDescent="0.2">
      <c r="DY55818" s="185" t="s">
        <v>215</v>
      </c>
    </row>
    <row r="55819" spans="129:129" x14ac:dyDescent="0.2">
      <c r="DY55819" s="185" t="s">
        <v>215</v>
      </c>
    </row>
    <row r="55820" spans="129:129" x14ac:dyDescent="0.2">
      <c r="DY55820" s="185" t="s">
        <v>215</v>
      </c>
    </row>
    <row r="55821" spans="129:129" x14ac:dyDescent="0.2">
      <c r="DY55821" s="185" t="s">
        <v>215</v>
      </c>
    </row>
    <row r="55822" spans="129:129" x14ac:dyDescent="0.2">
      <c r="DY55822" s="185" t="s">
        <v>215</v>
      </c>
    </row>
    <row r="55823" spans="129:129" x14ac:dyDescent="0.2">
      <c r="DY55823" s="185" t="s">
        <v>215</v>
      </c>
    </row>
    <row r="55824" spans="129:129" x14ac:dyDescent="0.2">
      <c r="DY55824" s="185" t="s">
        <v>215</v>
      </c>
    </row>
    <row r="55825" spans="129:129" x14ac:dyDescent="0.2">
      <c r="DY55825" s="185" t="s">
        <v>215</v>
      </c>
    </row>
    <row r="55826" spans="129:129" x14ac:dyDescent="0.2">
      <c r="DY55826" s="185" t="s">
        <v>215</v>
      </c>
    </row>
    <row r="55827" spans="129:129" x14ac:dyDescent="0.2">
      <c r="DY55827" s="185" t="s">
        <v>215</v>
      </c>
    </row>
    <row r="55828" spans="129:129" x14ac:dyDescent="0.2">
      <c r="DY55828" s="185" t="s">
        <v>215</v>
      </c>
    </row>
    <row r="55829" spans="129:129" x14ac:dyDescent="0.2">
      <c r="DY55829" s="185" t="s">
        <v>215</v>
      </c>
    </row>
    <row r="55830" spans="129:129" x14ac:dyDescent="0.2">
      <c r="DY55830" s="185" t="s">
        <v>215</v>
      </c>
    </row>
    <row r="55831" spans="129:129" x14ac:dyDescent="0.2">
      <c r="DY55831" s="185" t="s">
        <v>215</v>
      </c>
    </row>
    <row r="55832" spans="129:129" x14ac:dyDescent="0.2">
      <c r="DY55832" s="185" t="s">
        <v>215</v>
      </c>
    </row>
    <row r="55833" spans="129:129" x14ac:dyDescent="0.2">
      <c r="DY55833" s="185" t="s">
        <v>215</v>
      </c>
    </row>
    <row r="55834" spans="129:129" x14ac:dyDescent="0.2">
      <c r="DY55834" s="185" t="s">
        <v>215</v>
      </c>
    </row>
    <row r="55835" spans="129:129" x14ac:dyDescent="0.2">
      <c r="DY55835" s="185" t="s">
        <v>215</v>
      </c>
    </row>
    <row r="55836" spans="129:129" x14ac:dyDescent="0.2">
      <c r="DY55836" s="185" t="s">
        <v>215</v>
      </c>
    </row>
    <row r="55837" spans="129:129" x14ac:dyDescent="0.2">
      <c r="DY55837" s="185" t="s">
        <v>215</v>
      </c>
    </row>
    <row r="55838" spans="129:129" x14ac:dyDescent="0.2">
      <c r="DY55838" s="185" t="s">
        <v>215</v>
      </c>
    </row>
    <row r="55839" spans="129:129" x14ac:dyDescent="0.2">
      <c r="DY55839" s="185" t="s">
        <v>215</v>
      </c>
    </row>
    <row r="55840" spans="129:129" x14ac:dyDescent="0.2">
      <c r="DY55840" s="185" t="s">
        <v>215</v>
      </c>
    </row>
    <row r="55841" spans="129:129" x14ac:dyDescent="0.2">
      <c r="DY55841" s="185" t="s">
        <v>215</v>
      </c>
    </row>
    <row r="55842" spans="129:129" x14ac:dyDescent="0.2">
      <c r="DY55842" s="185" t="s">
        <v>215</v>
      </c>
    </row>
    <row r="55843" spans="129:129" x14ac:dyDescent="0.2">
      <c r="DY55843" s="185" t="s">
        <v>215</v>
      </c>
    </row>
    <row r="55844" spans="129:129" x14ac:dyDescent="0.2">
      <c r="DY55844" s="185" t="s">
        <v>215</v>
      </c>
    </row>
    <row r="55845" spans="129:129" x14ac:dyDescent="0.2">
      <c r="DY55845" s="185" t="s">
        <v>215</v>
      </c>
    </row>
    <row r="55846" spans="129:129" x14ac:dyDescent="0.2">
      <c r="DY55846" s="185" t="s">
        <v>215</v>
      </c>
    </row>
    <row r="55847" spans="129:129" x14ac:dyDescent="0.2">
      <c r="DY55847" s="185" t="s">
        <v>215</v>
      </c>
    </row>
    <row r="55848" spans="129:129" x14ac:dyDescent="0.2">
      <c r="DY55848" s="185" t="s">
        <v>215</v>
      </c>
    </row>
    <row r="55849" spans="129:129" x14ac:dyDescent="0.2">
      <c r="DY55849" s="185" t="s">
        <v>215</v>
      </c>
    </row>
    <row r="55850" spans="129:129" x14ac:dyDescent="0.2">
      <c r="DY55850" s="185" t="s">
        <v>215</v>
      </c>
    </row>
    <row r="55851" spans="129:129" x14ac:dyDescent="0.2">
      <c r="DY55851" s="185" t="s">
        <v>215</v>
      </c>
    </row>
    <row r="55852" spans="129:129" x14ac:dyDescent="0.2">
      <c r="DY55852" s="185" t="s">
        <v>215</v>
      </c>
    </row>
    <row r="55853" spans="129:129" x14ac:dyDescent="0.2">
      <c r="DY55853" s="185" t="s">
        <v>215</v>
      </c>
    </row>
    <row r="55854" spans="129:129" x14ac:dyDescent="0.2">
      <c r="DY55854" s="185" t="s">
        <v>215</v>
      </c>
    </row>
    <row r="55855" spans="129:129" x14ac:dyDescent="0.2">
      <c r="DY55855" s="185" t="s">
        <v>215</v>
      </c>
    </row>
    <row r="55856" spans="129:129" x14ac:dyDescent="0.2">
      <c r="DY55856" s="185" t="s">
        <v>215</v>
      </c>
    </row>
    <row r="55857" spans="129:129" x14ac:dyDescent="0.2">
      <c r="DY55857" s="185" t="s">
        <v>215</v>
      </c>
    </row>
    <row r="55858" spans="129:129" x14ac:dyDescent="0.2">
      <c r="DY55858" s="185" t="s">
        <v>215</v>
      </c>
    </row>
    <row r="55859" spans="129:129" x14ac:dyDescent="0.2">
      <c r="DY55859" s="185" t="s">
        <v>215</v>
      </c>
    </row>
    <row r="55860" spans="129:129" x14ac:dyDescent="0.2">
      <c r="DY55860" s="185" t="s">
        <v>215</v>
      </c>
    </row>
    <row r="55861" spans="129:129" x14ac:dyDescent="0.2">
      <c r="DY55861" s="185" t="s">
        <v>215</v>
      </c>
    </row>
    <row r="55862" spans="129:129" x14ac:dyDescent="0.2">
      <c r="DY55862" s="185" t="s">
        <v>215</v>
      </c>
    </row>
    <row r="55863" spans="129:129" x14ac:dyDescent="0.2">
      <c r="DY55863" s="185" t="s">
        <v>215</v>
      </c>
    </row>
    <row r="55864" spans="129:129" x14ac:dyDescent="0.2">
      <c r="DY55864" s="185" t="s">
        <v>215</v>
      </c>
    </row>
    <row r="55865" spans="129:129" x14ac:dyDescent="0.2">
      <c r="DY55865" s="185" t="s">
        <v>215</v>
      </c>
    </row>
    <row r="55866" spans="129:129" x14ac:dyDescent="0.2">
      <c r="DY55866" s="185" t="s">
        <v>215</v>
      </c>
    </row>
    <row r="55867" spans="129:129" x14ac:dyDescent="0.2">
      <c r="DY55867" s="185" t="s">
        <v>215</v>
      </c>
    </row>
    <row r="55868" spans="129:129" x14ac:dyDescent="0.2">
      <c r="DY55868" s="185" t="s">
        <v>215</v>
      </c>
    </row>
    <row r="55869" spans="129:129" x14ac:dyDescent="0.2">
      <c r="DY55869" s="185" t="s">
        <v>215</v>
      </c>
    </row>
    <row r="55870" spans="129:129" x14ac:dyDescent="0.2">
      <c r="DY55870" s="185" t="s">
        <v>215</v>
      </c>
    </row>
    <row r="55871" spans="129:129" x14ac:dyDescent="0.2">
      <c r="DY55871" s="185" t="s">
        <v>215</v>
      </c>
    </row>
    <row r="55872" spans="129:129" x14ac:dyDescent="0.2">
      <c r="DY55872" s="185" t="s">
        <v>215</v>
      </c>
    </row>
    <row r="55873" spans="129:129" x14ac:dyDescent="0.2">
      <c r="DY55873" s="185" t="s">
        <v>215</v>
      </c>
    </row>
    <row r="55874" spans="129:129" x14ac:dyDescent="0.2">
      <c r="DY55874" s="185" t="s">
        <v>215</v>
      </c>
    </row>
    <row r="55875" spans="129:129" x14ac:dyDescent="0.2">
      <c r="DY55875" s="185" t="s">
        <v>215</v>
      </c>
    </row>
    <row r="55876" spans="129:129" x14ac:dyDescent="0.2">
      <c r="DY55876" s="185" t="s">
        <v>215</v>
      </c>
    </row>
    <row r="55877" spans="129:129" x14ac:dyDescent="0.2">
      <c r="DY55877" s="185" t="s">
        <v>215</v>
      </c>
    </row>
    <row r="55878" spans="129:129" x14ac:dyDescent="0.2">
      <c r="DY55878" s="185" t="s">
        <v>215</v>
      </c>
    </row>
    <row r="55879" spans="129:129" x14ac:dyDescent="0.2">
      <c r="DY55879" s="185" t="s">
        <v>215</v>
      </c>
    </row>
    <row r="55880" spans="129:129" x14ac:dyDescent="0.2">
      <c r="DY55880" s="185" t="s">
        <v>215</v>
      </c>
    </row>
    <row r="55881" spans="129:129" x14ac:dyDescent="0.2">
      <c r="DY55881" s="185" t="s">
        <v>215</v>
      </c>
    </row>
    <row r="55882" spans="129:129" x14ac:dyDescent="0.2">
      <c r="DY55882" s="185" t="s">
        <v>215</v>
      </c>
    </row>
    <row r="55883" spans="129:129" x14ac:dyDescent="0.2">
      <c r="DY55883" s="185" t="s">
        <v>215</v>
      </c>
    </row>
    <row r="55884" spans="129:129" x14ac:dyDescent="0.2">
      <c r="DY55884" s="185" t="s">
        <v>215</v>
      </c>
    </row>
    <row r="55885" spans="129:129" x14ac:dyDescent="0.2">
      <c r="DY55885" s="185" t="s">
        <v>215</v>
      </c>
    </row>
    <row r="55886" spans="129:129" x14ac:dyDescent="0.2">
      <c r="DY55886" s="185" t="s">
        <v>215</v>
      </c>
    </row>
    <row r="55887" spans="129:129" x14ac:dyDescent="0.2">
      <c r="DY55887" s="185" t="s">
        <v>215</v>
      </c>
    </row>
    <row r="55888" spans="129:129" x14ac:dyDescent="0.2">
      <c r="DY55888" s="185" t="s">
        <v>215</v>
      </c>
    </row>
    <row r="55889" spans="129:129" x14ac:dyDescent="0.2">
      <c r="DY55889" s="185" t="s">
        <v>215</v>
      </c>
    </row>
    <row r="55890" spans="129:129" x14ac:dyDescent="0.2">
      <c r="DY55890" s="185" t="s">
        <v>215</v>
      </c>
    </row>
    <row r="55891" spans="129:129" x14ac:dyDescent="0.2">
      <c r="DY55891" s="185" t="s">
        <v>215</v>
      </c>
    </row>
    <row r="55892" spans="129:129" x14ac:dyDescent="0.2">
      <c r="DY55892" s="185" t="s">
        <v>215</v>
      </c>
    </row>
    <row r="55893" spans="129:129" x14ac:dyDescent="0.2">
      <c r="DY55893" s="185" t="s">
        <v>215</v>
      </c>
    </row>
    <row r="55894" spans="129:129" x14ac:dyDescent="0.2">
      <c r="DY55894" s="185" t="s">
        <v>215</v>
      </c>
    </row>
    <row r="55895" spans="129:129" x14ac:dyDescent="0.2">
      <c r="DY55895" s="185" t="s">
        <v>215</v>
      </c>
    </row>
    <row r="55896" spans="129:129" x14ac:dyDescent="0.2">
      <c r="DY55896" s="185" t="s">
        <v>215</v>
      </c>
    </row>
    <row r="55897" spans="129:129" x14ac:dyDescent="0.2">
      <c r="DY55897" s="185" t="s">
        <v>215</v>
      </c>
    </row>
    <row r="55898" spans="129:129" x14ac:dyDescent="0.2">
      <c r="DY55898" s="185" t="s">
        <v>215</v>
      </c>
    </row>
    <row r="55899" spans="129:129" x14ac:dyDescent="0.2">
      <c r="DY55899" s="185" t="s">
        <v>215</v>
      </c>
    </row>
    <row r="55900" spans="129:129" x14ac:dyDescent="0.2">
      <c r="DY55900" s="185" t="s">
        <v>215</v>
      </c>
    </row>
    <row r="55901" spans="129:129" x14ac:dyDescent="0.2">
      <c r="DY55901" s="185" t="s">
        <v>215</v>
      </c>
    </row>
    <row r="55902" spans="129:129" x14ac:dyDescent="0.2">
      <c r="DY55902" s="185" t="s">
        <v>215</v>
      </c>
    </row>
    <row r="55903" spans="129:129" x14ac:dyDescent="0.2">
      <c r="DY55903" s="185" t="s">
        <v>215</v>
      </c>
    </row>
    <row r="55904" spans="129:129" x14ac:dyDescent="0.2">
      <c r="DY55904" s="185" t="s">
        <v>215</v>
      </c>
    </row>
    <row r="55905" spans="129:129" x14ac:dyDescent="0.2">
      <c r="DY55905" s="185" t="s">
        <v>215</v>
      </c>
    </row>
    <row r="55906" spans="129:129" x14ac:dyDescent="0.2">
      <c r="DY55906" s="185" t="s">
        <v>215</v>
      </c>
    </row>
    <row r="55907" spans="129:129" x14ac:dyDescent="0.2">
      <c r="DY55907" s="185" t="s">
        <v>215</v>
      </c>
    </row>
    <row r="55908" spans="129:129" x14ac:dyDescent="0.2">
      <c r="DY55908" s="185" t="s">
        <v>215</v>
      </c>
    </row>
    <row r="55909" spans="129:129" x14ac:dyDescent="0.2">
      <c r="DY55909" s="185" t="s">
        <v>215</v>
      </c>
    </row>
    <row r="55910" spans="129:129" x14ac:dyDescent="0.2">
      <c r="DY55910" s="185" t="s">
        <v>215</v>
      </c>
    </row>
    <row r="55911" spans="129:129" x14ac:dyDescent="0.2">
      <c r="DY55911" s="185" t="s">
        <v>215</v>
      </c>
    </row>
    <row r="55912" spans="129:129" x14ac:dyDescent="0.2">
      <c r="DY55912" s="185" t="s">
        <v>215</v>
      </c>
    </row>
    <row r="55913" spans="129:129" x14ac:dyDescent="0.2">
      <c r="DY55913" s="185" t="s">
        <v>215</v>
      </c>
    </row>
    <row r="55914" spans="129:129" x14ac:dyDescent="0.2">
      <c r="DY55914" s="185" t="s">
        <v>215</v>
      </c>
    </row>
    <row r="55915" spans="129:129" x14ac:dyDescent="0.2">
      <c r="DY55915" s="185" t="s">
        <v>215</v>
      </c>
    </row>
    <row r="55916" spans="129:129" x14ac:dyDescent="0.2">
      <c r="DY55916" s="185" t="s">
        <v>215</v>
      </c>
    </row>
    <row r="55917" spans="129:129" x14ac:dyDescent="0.2">
      <c r="DY55917" s="185" t="s">
        <v>215</v>
      </c>
    </row>
    <row r="55918" spans="129:129" x14ac:dyDescent="0.2">
      <c r="DY55918" s="185" t="s">
        <v>215</v>
      </c>
    </row>
    <row r="55919" spans="129:129" x14ac:dyDescent="0.2">
      <c r="DY55919" s="185" t="s">
        <v>215</v>
      </c>
    </row>
    <row r="55920" spans="129:129" x14ac:dyDescent="0.2">
      <c r="DY55920" s="185" t="s">
        <v>215</v>
      </c>
    </row>
    <row r="55921" spans="129:129" x14ac:dyDescent="0.2">
      <c r="DY55921" s="185" t="s">
        <v>215</v>
      </c>
    </row>
    <row r="55922" spans="129:129" x14ac:dyDescent="0.2">
      <c r="DY55922" s="185" t="s">
        <v>215</v>
      </c>
    </row>
    <row r="55923" spans="129:129" x14ac:dyDescent="0.2">
      <c r="DY55923" s="185" t="s">
        <v>215</v>
      </c>
    </row>
    <row r="55924" spans="129:129" x14ac:dyDescent="0.2">
      <c r="DY55924" s="185" t="s">
        <v>215</v>
      </c>
    </row>
    <row r="55925" spans="129:129" x14ac:dyDescent="0.2">
      <c r="DY55925" s="185" t="s">
        <v>215</v>
      </c>
    </row>
    <row r="55926" spans="129:129" x14ac:dyDescent="0.2">
      <c r="DY55926" s="185" t="s">
        <v>215</v>
      </c>
    </row>
    <row r="55927" spans="129:129" x14ac:dyDescent="0.2">
      <c r="DY55927" s="185" t="s">
        <v>215</v>
      </c>
    </row>
    <row r="55928" spans="129:129" x14ac:dyDescent="0.2">
      <c r="DY55928" s="185" t="s">
        <v>215</v>
      </c>
    </row>
    <row r="55929" spans="129:129" x14ac:dyDescent="0.2">
      <c r="DY55929" s="185" t="s">
        <v>215</v>
      </c>
    </row>
    <row r="55930" spans="129:129" x14ac:dyDescent="0.2">
      <c r="DY55930" s="185" t="s">
        <v>215</v>
      </c>
    </row>
    <row r="55931" spans="129:129" x14ac:dyDescent="0.2">
      <c r="DY55931" s="185" t="s">
        <v>215</v>
      </c>
    </row>
    <row r="55932" spans="129:129" x14ac:dyDescent="0.2">
      <c r="DY55932" s="185" t="s">
        <v>215</v>
      </c>
    </row>
    <row r="55933" spans="129:129" x14ac:dyDescent="0.2">
      <c r="DY55933" s="185" t="s">
        <v>215</v>
      </c>
    </row>
    <row r="55934" spans="129:129" x14ac:dyDescent="0.2">
      <c r="DY55934" s="185" t="s">
        <v>215</v>
      </c>
    </row>
    <row r="55935" spans="129:129" x14ac:dyDescent="0.2">
      <c r="DY55935" s="185" t="s">
        <v>215</v>
      </c>
    </row>
    <row r="55936" spans="129:129" x14ac:dyDescent="0.2">
      <c r="DY55936" s="185" t="s">
        <v>215</v>
      </c>
    </row>
    <row r="55937" spans="129:129" x14ac:dyDescent="0.2">
      <c r="DY55937" s="185" t="s">
        <v>215</v>
      </c>
    </row>
    <row r="55938" spans="129:129" x14ac:dyDescent="0.2">
      <c r="DY55938" s="185" t="s">
        <v>215</v>
      </c>
    </row>
    <row r="55939" spans="129:129" x14ac:dyDescent="0.2">
      <c r="DY55939" s="185" t="s">
        <v>215</v>
      </c>
    </row>
    <row r="55940" spans="129:129" x14ac:dyDescent="0.2">
      <c r="DY55940" s="185" t="s">
        <v>215</v>
      </c>
    </row>
    <row r="55941" spans="129:129" x14ac:dyDescent="0.2">
      <c r="DY55941" s="185" t="s">
        <v>215</v>
      </c>
    </row>
    <row r="55942" spans="129:129" x14ac:dyDescent="0.2">
      <c r="DY55942" s="185" t="s">
        <v>215</v>
      </c>
    </row>
    <row r="55943" spans="129:129" x14ac:dyDescent="0.2">
      <c r="DY55943" s="185" t="s">
        <v>215</v>
      </c>
    </row>
    <row r="55944" spans="129:129" x14ac:dyDescent="0.2">
      <c r="DY55944" s="185" t="s">
        <v>215</v>
      </c>
    </row>
    <row r="55945" spans="129:129" x14ac:dyDescent="0.2">
      <c r="DY55945" s="185" t="s">
        <v>215</v>
      </c>
    </row>
    <row r="55946" spans="129:129" x14ac:dyDescent="0.2">
      <c r="DY55946" s="185" t="s">
        <v>215</v>
      </c>
    </row>
    <row r="55947" spans="129:129" x14ac:dyDescent="0.2">
      <c r="DY55947" s="185" t="s">
        <v>215</v>
      </c>
    </row>
    <row r="55948" spans="129:129" x14ac:dyDescent="0.2">
      <c r="DY55948" s="185" t="s">
        <v>215</v>
      </c>
    </row>
    <row r="55949" spans="129:129" x14ac:dyDescent="0.2">
      <c r="DY55949" s="185" t="s">
        <v>215</v>
      </c>
    </row>
    <row r="55950" spans="129:129" x14ac:dyDescent="0.2">
      <c r="DY55950" s="185" t="s">
        <v>215</v>
      </c>
    </row>
    <row r="55951" spans="129:129" x14ac:dyDescent="0.2">
      <c r="DY55951" s="185" t="s">
        <v>215</v>
      </c>
    </row>
    <row r="55952" spans="129:129" x14ac:dyDescent="0.2">
      <c r="DY55952" s="185" t="s">
        <v>215</v>
      </c>
    </row>
    <row r="55953" spans="129:129" x14ac:dyDescent="0.2">
      <c r="DY55953" s="185" t="s">
        <v>215</v>
      </c>
    </row>
    <row r="55954" spans="129:129" x14ac:dyDescent="0.2">
      <c r="DY55954" s="185" t="s">
        <v>215</v>
      </c>
    </row>
    <row r="55955" spans="129:129" x14ac:dyDescent="0.2">
      <c r="DY55955" s="185" t="s">
        <v>215</v>
      </c>
    </row>
    <row r="55956" spans="129:129" x14ac:dyDescent="0.2">
      <c r="DY55956" s="185" t="s">
        <v>215</v>
      </c>
    </row>
    <row r="55957" spans="129:129" x14ac:dyDescent="0.2">
      <c r="DY55957" s="185" t="s">
        <v>215</v>
      </c>
    </row>
    <row r="55958" spans="129:129" x14ac:dyDescent="0.2">
      <c r="DY55958" s="185" t="s">
        <v>215</v>
      </c>
    </row>
    <row r="55959" spans="129:129" x14ac:dyDescent="0.2">
      <c r="DY55959" s="185" t="s">
        <v>215</v>
      </c>
    </row>
    <row r="55960" spans="129:129" x14ac:dyDescent="0.2">
      <c r="DY55960" s="185" t="s">
        <v>215</v>
      </c>
    </row>
    <row r="55961" spans="129:129" x14ac:dyDescent="0.2">
      <c r="DY55961" s="185" t="s">
        <v>215</v>
      </c>
    </row>
    <row r="55962" spans="129:129" x14ac:dyDescent="0.2">
      <c r="DY55962" s="185" t="s">
        <v>215</v>
      </c>
    </row>
    <row r="55963" spans="129:129" x14ac:dyDescent="0.2">
      <c r="DY55963" s="185" t="s">
        <v>215</v>
      </c>
    </row>
    <row r="55964" spans="129:129" x14ac:dyDescent="0.2">
      <c r="DY55964" s="185" t="s">
        <v>215</v>
      </c>
    </row>
    <row r="55965" spans="129:129" x14ac:dyDescent="0.2">
      <c r="DY55965" s="185" t="s">
        <v>215</v>
      </c>
    </row>
    <row r="55966" spans="129:129" x14ac:dyDescent="0.2">
      <c r="DY55966" s="185" t="s">
        <v>215</v>
      </c>
    </row>
    <row r="55967" spans="129:129" x14ac:dyDescent="0.2">
      <c r="DY55967" s="185" t="s">
        <v>215</v>
      </c>
    </row>
    <row r="55968" spans="129:129" x14ac:dyDescent="0.2">
      <c r="DY55968" s="185" t="s">
        <v>215</v>
      </c>
    </row>
    <row r="55969" spans="129:129" x14ac:dyDescent="0.2">
      <c r="DY55969" s="185" t="s">
        <v>215</v>
      </c>
    </row>
    <row r="55970" spans="129:129" x14ac:dyDescent="0.2">
      <c r="DY55970" s="185" t="s">
        <v>215</v>
      </c>
    </row>
    <row r="55971" spans="129:129" x14ac:dyDescent="0.2">
      <c r="DY55971" s="185" t="s">
        <v>215</v>
      </c>
    </row>
    <row r="55972" spans="129:129" x14ac:dyDescent="0.2">
      <c r="DY55972" s="185" t="s">
        <v>215</v>
      </c>
    </row>
    <row r="55973" spans="129:129" x14ac:dyDescent="0.2">
      <c r="DY55973" s="185" t="s">
        <v>215</v>
      </c>
    </row>
    <row r="55974" spans="129:129" x14ac:dyDescent="0.2">
      <c r="DY55974" s="185" t="s">
        <v>215</v>
      </c>
    </row>
    <row r="55975" spans="129:129" x14ac:dyDescent="0.2">
      <c r="DY55975" s="185" t="s">
        <v>215</v>
      </c>
    </row>
    <row r="55976" spans="129:129" x14ac:dyDescent="0.2">
      <c r="DY55976" s="185" t="s">
        <v>215</v>
      </c>
    </row>
    <row r="55977" spans="129:129" x14ac:dyDescent="0.2">
      <c r="DY55977" s="185" t="s">
        <v>215</v>
      </c>
    </row>
    <row r="55978" spans="129:129" x14ac:dyDescent="0.2">
      <c r="DY55978" s="185" t="s">
        <v>215</v>
      </c>
    </row>
    <row r="55979" spans="129:129" x14ac:dyDescent="0.2">
      <c r="DY55979" s="185" t="s">
        <v>215</v>
      </c>
    </row>
    <row r="55980" spans="129:129" x14ac:dyDescent="0.2">
      <c r="DY55980" s="185" t="s">
        <v>215</v>
      </c>
    </row>
    <row r="55981" spans="129:129" x14ac:dyDescent="0.2">
      <c r="DY55981" s="185" t="s">
        <v>215</v>
      </c>
    </row>
    <row r="55982" spans="129:129" x14ac:dyDescent="0.2">
      <c r="DY55982" s="185" t="s">
        <v>215</v>
      </c>
    </row>
    <row r="55983" spans="129:129" x14ac:dyDescent="0.2">
      <c r="DY55983" s="185" t="s">
        <v>215</v>
      </c>
    </row>
    <row r="55984" spans="129:129" x14ac:dyDescent="0.2">
      <c r="DY55984" s="185" t="s">
        <v>215</v>
      </c>
    </row>
    <row r="55985" spans="129:129" x14ac:dyDescent="0.2">
      <c r="DY55985" s="185" t="s">
        <v>215</v>
      </c>
    </row>
    <row r="55986" spans="129:129" x14ac:dyDescent="0.2">
      <c r="DY55986" s="185" t="s">
        <v>215</v>
      </c>
    </row>
    <row r="55987" spans="129:129" x14ac:dyDescent="0.2">
      <c r="DY55987" s="185" t="s">
        <v>215</v>
      </c>
    </row>
    <row r="55988" spans="129:129" x14ac:dyDescent="0.2">
      <c r="DY55988" s="185" t="s">
        <v>215</v>
      </c>
    </row>
    <row r="55989" spans="129:129" x14ac:dyDescent="0.2">
      <c r="DY55989" s="185" t="s">
        <v>215</v>
      </c>
    </row>
    <row r="55990" spans="129:129" x14ac:dyDescent="0.2">
      <c r="DY55990" s="185" t="s">
        <v>215</v>
      </c>
    </row>
    <row r="55991" spans="129:129" x14ac:dyDescent="0.2">
      <c r="DY55991" s="185" t="s">
        <v>215</v>
      </c>
    </row>
    <row r="55992" spans="129:129" x14ac:dyDescent="0.2">
      <c r="DY55992" s="185" t="s">
        <v>215</v>
      </c>
    </row>
    <row r="55993" spans="129:129" x14ac:dyDescent="0.2">
      <c r="DY55993" s="185" t="s">
        <v>215</v>
      </c>
    </row>
    <row r="55994" spans="129:129" x14ac:dyDescent="0.2">
      <c r="DY55994" s="185" t="s">
        <v>215</v>
      </c>
    </row>
    <row r="55995" spans="129:129" x14ac:dyDescent="0.2">
      <c r="DY55995" s="185" t="s">
        <v>215</v>
      </c>
    </row>
    <row r="55996" spans="129:129" x14ac:dyDescent="0.2">
      <c r="DY55996" s="185" t="s">
        <v>215</v>
      </c>
    </row>
    <row r="55997" spans="129:129" x14ac:dyDescent="0.2">
      <c r="DY55997" s="185" t="s">
        <v>215</v>
      </c>
    </row>
    <row r="55998" spans="129:129" x14ac:dyDescent="0.2">
      <c r="DY55998" s="185" t="s">
        <v>215</v>
      </c>
    </row>
    <row r="55999" spans="129:129" x14ac:dyDescent="0.2">
      <c r="DY55999" s="185" t="s">
        <v>215</v>
      </c>
    </row>
    <row r="56000" spans="129:129" x14ac:dyDescent="0.2">
      <c r="DY56000" s="185" t="s">
        <v>215</v>
      </c>
    </row>
    <row r="56001" spans="129:129" x14ac:dyDescent="0.2">
      <c r="DY56001" s="185" t="s">
        <v>215</v>
      </c>
    </row>
    <row r="56002" spans="129:129" x14ac:dyDescent="0.2">
      <c r="DY56002" s="185" t="s">
        <v>215</v>
      </c>
    </row>
    <row r="56003" spans="129:129" x14ac:dyDescent="0.2">
      <c r="DY56003" s="185" t="s">
        <v>215</v>
      </c>
    </row>
    <row r="56004" spans="129:129" x14ac:dyDescent="0.2">
      <c r="DY56004" s="185" t="s">
        <v>215</v>
      </c>
    </row>
    <row r="56005" spans="129:129" x14ac:dyDescent="0.2">
      <c r="DY56005" s="185" t="s">
        <v>215</v>
      </c>
    </row>
    <row r="56006" spans="129:129" x14ac:dyDescent="0.2">
      <c r="DY56006" s="185" t="s">
        <v>215</v>
      </c>
    </row>
    <row r="56007" spans="129:129" x14ac:dyDescent="0.2">
      <c r="DY56007" s="185" t="s">
        <v>215</v>
      </c>
    </row>
    <row r="56008" spans="129:129" x14ac:dyDescent="0.2">
      <c r="DY56008" s="185" t="s">
        <v>215</v>
      </c>
    </row>
    <row r="56009" spans="129:129" x14ac:dyDescent="0.2">
      <c r="DY56009" s="185" t="s">
        <v>215</v>
      </c>
    </row>
    <row r="56010" spans="129:129" x14ac:dyDescent="0.2">
      <c r="DY56010" s="185" t="s">
        <v>215</v>
      </c>
    </row>
    <row r="56011" spans="129:129" x14ac:dyDescent="0.2">
      <c r="DY56011" s="185" t="s">
        <v>215</v>
      </c>
    </row>
    <row r="56012" spans="129:129" x14ac:dyDescent="0.2">
      <c r="DY56012" s="185" t="s">
        <v>215</v>
      </c>
    </row>
    <row r="56013" spans="129:129" x14ac:dyDescent="0.2">
      <c r="DY56013" s="185" t="s">
        <v>215</v>
      </c>
    </row>
    <row r="56014" spans="129:129" x14ac:dyDescent="0.2">
      <c r="DY56014" s="185" t="s">
        <v>215</v>
      </c>
    </row>
    <row r="56015" spans="129:129" x14ac:dyDescent="0.2">
      <c r="DY56015" s="185" t="s">
        <v>215</v>
      </c>
    </row>
    <row r="56016" spans="129:129" x14ac:dyDescent="0.2">
      <c r="DY56016" s="185" t="s">
        <v>215</v>
      </c>
    </row>
    <row r="56017" spans="129:129" x14ac:dyDescent="0.2">
      <c r="DY56017" s="185" t="s">
        <v>215</v>
      </c>
    </row>
    <row r="56018" spans="129:129" x14ac:dyDescent="0.2">
      <c r="DY56018" s="185" t="s">
        <v>215</v>
      </c>
    </row>
    <row r="56019" spans="129:129" x14ac:dyDescent="0.2">
      <c r="DY56019" s="185" t="s">
        <v>215</v>
      </c>
    </row>
    <row r="56020" spans="129:129" x14ac:dyDescent="0.2">
      <c r="DY56020" s="185" t="s">
        <v>215</v>
      </c>
    </row>
    <row r="56021" spans="129:129" x14ac:dyDescent="0.2">
      <c r="DY56021" s="185" t="s">
        <v>215</v>
      </c>
    </row>
    <row r="56022" spans="129:129" x14ac:dyDescent="0.2">
      <c r="DY56022" s="185" t="s">
        <v>215</v>
      </c>
    </row>
    <row r="56023" spans="129:129" x14ac:dyDescent="0.2">
      <c r="DY56023" s="185" t="s">
        <v>215</v>
      </c>
    </row>
    <row r="56024" spans="129:129" x14ac:dyDescent="0.2">
      <c r="DY56024" s="185" t="s">
        <v>215</v>
      </c>
    </row>
    <row r="56025" spans="129:129" x14ac:dyDescent="0.2">
      <c r="DY56025" s="185" t="s">
        <v>215</v>
      </c>
    </row>
    <row r="56026" spans="129:129" x14ac:dyDescent="0.2">
      <c r="DY56026" s="185" t="s">
        <v>215</v>
      </c>
    </row>
    <row r="56027" spans="129:129" x14ac:dyDescent="0.2">
      <c r="DY56027" s="185" t="s">
        <v>215</v>
      </c>
    </row>
    <row r="56028" spans="129:129" x14ac:dyDescent="0.2">
      <c r="DY56028" s="185" t="s">
        <v>215</v>
      </c>
    </row>
    <row r="56029" spans="129:129" x14ac:dyDescent="0.2">
      <c r="DY56029" s="185" t="s">
        <v>215</v>
      </c>
    </row>
    <row r="56030" spans="129:129" x14ac:dyDescent="0.2">
      <c r="DY56030" s="185" t="s">
        <v>215</v>
      </c>
    </row>
    <row r="56031" spans="129:129" x14ac:dyDescent="0.2">
      <c r="DY56031" s="185" t="s">
        <v>215</v>
      </c>
    </row>
    <row r="56032" spans="129:129" x14ac:dyDescent="0.2">
      <c r="DY56032" s="185" t="s">
        <v>215</v>
      </c>
    </row>
    <row r="56033" spans="129:129" x14ac:dyDescent="0.2">
      <c r="DY56033" s="185" t="s">
        <v>215</v>
      </c>
    </row>
    <row r="56034" spans="129:129" x14ac:dyDescent="0.2">
      <c r="DY56034" s="185" t="s">
        <v>215</v>
      </c>
    </row>
    <row r="56035" spans="129:129" x14ac:dyDescent="0.2">
      <c r="DY56035" s="185" t="s">
        <v>215</v>
      </c>
    </row>
    <row r="56036" spans="129:129" x14ac:dyDescent="0.2">
      <c r="DY56036" s="185" t="s">
        <v>215</v>
      </c>
    </row>
    <row r="56037" spans="129:129" x14ac:dyDescent="0.2">
      <c r="DY56037" s="185" t="s">
        <v>215</v>
      </c>
    </row>
    <row r="56038" spans="129:129" x14ac:dyDescent="0.2">
      <c r="DY56038" s="185" t="s">
        <v>215</v>
      </c>
    </row>
    <row r="56039" spans="129:129" x14ac:dyDescent="0.2">
      <c r="DY56039" s="185" t="s">
        <v>215</v>
      </c>
    </row>
    <row r="56040" spans="129:129" x14ac:dyDescent="0.2">
      <c r="DY56040" s="185" t="s">
        <v>215</v>
      </c>
    </row>
    <row r="56041" spans="129:129" x14ac:dyDescent="0.2">
      <c r="DY56041" s="185" t="s">
        <v>215</v>
      </c>
    </row>
    <row r="56042" spans="129:129" x14ac:dyDescent="0.2">
      <c r="DY56042" s="185" t="s">
        <v>215</v>
      </c>
    </row>
    <row r="56043" spans="129:129" x14ac:dyDescent="0.2">
      <c r="DY56043" s="185" t="s">
        <v>215</v>
      </c>
    </row>
    <row r="56044" spans="129:129" x14ac:dyDescent="0.2">
      <c r="DY56044" s="185" t="s">
        <v>215</v>
      </c>
    </row>
    <row r="56045" spans="129:129" x14ac:dyDescent="0.2">
      <c r="DY56045" s="185" t="s">
        <v>215</v>
      </c>
    </row>
    <row r="56046" spans="129:129" x14ac:dyDescent="0.2">
      <c r="DY56046" s="185" t="s">
        <v>215</v>
      </c>
    </row>
    <row r="56047" spans="129:129" x14ac:dyDescent="0.2">
      <c r="DY56047" s="185" t="s">
        <v>215</v>
      </c>
    </row>
    <row r="56048" spans="129:129" x14ac:dyDescent="0.2">
      <c r="DY56048" s="185" t="s">
        <v>215</v>
      </c>
    </row>
    <row r="56049" spans="129:129" x14ac:dyDescent="0.2">
      <c r="DY56049" s="185" t="s">
        <v>215</v>
      </c>
    </row>
    <row r="56050" spans="129:129" x14ac:dyDescent="0.2">
      <c r="DY56050" s="185" t="s">
        <v>215</v>
      </c>
    </row>
    <row r="56051" spans="129:129" x14ac:dyDescent="0.2">
      <c r="DY56051" s="185" t="s">
        <v>215</v>
      </c>
    </row>
    <row r="56052" spans="129:129" x14ac:dyDescent="0.2">
      <c r="DY56052" s="185" t="s">
        <v>215</v>
      </c>
    </row>
    <row r="56053" spans="129:129" x14ac:dyDescent="0.2">
      <c r="DY56053" s="185" t="s">
        <v>215</v>
      </c>
    </row>
    <row r="56054" spans="129:129" x14ac:dyDescent="0.2">
      <c r="DY56054" s="185" t="s">
        <v>215</v>
      </c>
    </row>
    <row r="56055" spans="129:129" x14ac:dyDescent="0.2">
      <c r="DY56055" s="185" t="s">
        <v>215</v>
      </c>
    </row>
    <row r="56056" spans="129:129" x14ac:dyDescent="0.2">
      <c r="DY56056" s="185" t="s">
        <v>215</v>
      </c>
    </row>
    <row r="56057" spans="129:129" x14ac:dyDescent="0.2">
      <c r="DY56057" s="185" t="s">
        <v>215</v>
      </c>
    </row>
    <row r="56058" spans="129:129" x14ac:dyDescent="0.2">
      <c r="DY56058" s="185" t="s">
        <v>215</v>
      </c>
    </row>
    <row r="56059" spans="129:129" x14ac:dyDescent="0.2">
      <c r="DY56059" s="185" t="s">
        <v>215</v>
      </c>
    </row>
    <row r="56060" spans="129:129" x14ac:dyDescent="0.2">
      <c r="DY56060" s="185" t="s">
        <v>215</v>
      </c>
    </row>
    <row r="56061" spans="129:129" x14ac:dyDescent="0.2">
      <c r="DY56061" s="185" t="s">
        <v>215</v>
      </c>
    </row>
    <row r="56062" spans="129:129" x14ac:dyDescent="0.2">
      <c r="DY56062" s="185" t="s">
        <v>215</v>
      </c>
    </row>
    <row r="56063" spans="129:129" x14ac:dyDescent="0.2">
      <c r="DY56063" s="185" t="s">
        <v>215</v>
      </c>
    </row>
    <row r="56064" spans="129:129" x14ac:dyDescent="0.2">
      <c r="DY56064" s="185" t="s">
        <v>215</v>
      </c>
    </row>
    <row r="56065" spans="129:129" x14ac:dyDescent="0.2">
      <c r="DY56065" s="185" t="s">
        <v>215</v>
      </c>
    </row>
    <row r="56066" spans="129:129" x14ac:dyDescent="0.2">
      <c r="DY56066" s="185" t="s">
        <v>215</v>
      </c>
    </row>
    <row r="56067" spans="129:129" x14ac:dyDescent="0.2">
      <c r="DY56067" s="185" t="s">
        <v>215</v>
      </c>
    </row>
    <row r="56068" spans="129:129" x14ac:dyDescent="0.2">
      <c r="DY56068" s="185" t="s">
        <v>215</v>
      </c>
    </row>
    <row r="56069" spans="129:129" x14ac:dyDescent="0.2">
      <c r="DY56069" s="185" t="s">
        <v>215</v>
      </c>
    </row>
    <row r="56070" spans="129:129" x14ac:dyDescent="0.2">
      <c r="DY56070" s="185" t="s">
        <v>215</v>
      </c>
    </row>
    <row r="56071" spans="129:129" x14ac:dyDescent="0.2">
      <c r="DY56071" s="185" t="s">
        <v>215</v>
      </c>
    </row>
    <row r="56072" spans="129:129" x14ac:dyDescent="0.2">
      <c r="DY56072" s="185" t="s">
        <v>215</v>
      </c>
    </row>
    <row r="56073" spans="129:129" x14ac:dyDescent="0.2">
      <c r="DY56073" s="185" t="s">
        <v>215</v>
      </c>
    </row>
    <row r="56074" spans="129:129" x14ac:dyDescent="0.2">
      <c r="DY56074" s="185" t="s">
        <v>215</v>
      </c>
    </row>
    <row r="56075" spans="129:129" x14ac:dyDescent="0.2">
      <c r="DY56075" s="185" t="s">
        <v>215</v>
      </c>
    </row>
    <row r="56076" spans="129:129" x14ac:dyDescent="0.2">
      <c r="DY56076" s="185" t="s">
        <v>215</v>
      </c>
    </row>
    <row r="56077" spans="129:129" x14ac:dyDescent="0.2">
      <c r="DY56077" s="185" t="s">
        <v>215</v>
      </c>
    </row>
    <row r="56078" spans="129:129" x14ac:dyDescent="0.2">
      <c r="DY56078" s="185" t="s">
        <v>215</v>
      </c>
    </row>
    <row r="56079" spans="129:129" x14ac:dyDescent="0.2">
      <c r="DY56079" s="185" t="s">
        <v>215</v>
      </c>
    </row>
    <row r="56080" spans="129:129" x14ac:dyDescent="0.2">
      <c r="DY56080" s="185" t="s">
        <v>215</v>
      </c>
    </row>
    <row r="56081" spans="129:129" x14ac:dyDescent="0.2">
      <c r="DY56081" s="185" t="s">
        <v>215</v>
      </c>
    </row>
    <row r="56082" spans="129:129" x14ac:dyDescent="0.2">
      <c r="DY56082" s="185" t="s">
        <v>215</v>
      </c>
    </row>
    <row r="56083" spans="129:129" x14ac:dyDescent="0.2">
      <c r="DY56083" s="185" t="s">
        <v>215</v>
      </c>
    </row>
    <row r="56084" spans="129:129" x14ac:dyDescent="0.2">
      <c r="DY56084" s="185" t="s">
        <v>215</v>
      </c>
    </row>
    <row r="56085" spans="129:129" x14ac:dyDescent="0.2">
      <c r="DY56085" s="185" t="s">
        <v>215</v>
      </c>
    </row>
    <row r="56086" spans="129:129" x14ac:dyDescent="0.2">
      <c r="DY56086" s="185" t="s">
        <v>215</v>
      </c>
    </row>
    <row r="56087" spans="129:129" x14ac:dyDescent="0.2">
      <c r="DY56087" s="185" t="s">
        <v>215</v>
      </c>
    </row>
    <row r="56088" spans="129:129" x14ac:dyDescent="0.2">
      <c r="DY56088" s="185" t="s">
        <v>215</v>
      </c>
    </row>
    <row r="56089" spans="129:129" x14ac:dyDescent="0.2">
      <c r="DY56089" s="185" t="s">
        <v>215</v>
      </c>
    </row>
    <row r="56090" spans="129:129" x14ac:dyDescent="0.2">
      <c r="DY56090" s="185" t="s">
        <v>215</v>
      </c>
    </row>
    <row r="56091" spans="129:129" x14ac:dyDescent="0.2">
      <c r="DY56091" s="185" t="s">
        <v>215</v>
      </c>
    </row>
    <row r="56092" spans="129:129" x14ac:dyDescent="0.2">
      <c r="DY56092" s="185" t="s">
        <v>215</v>
      </c>
    </row>
    <row r="56093" spans="129:129" x14ac:dyDescent="0.2">
      <c r="DY56093" s="185" t="s">
        <v>215</v>
      </c>
    </row>
    <row r="56094" spans="129:129" x14ac:dyDescent="0.2">
      <c r="DY56094" s="185" t="s">
        <v>215</v>
      </c>
    </row>
    <row r="56095" spans="129:129" x14ac:dyDescent="0.2">
      <c r="DY56095" s="185" t="s">
        <v>215</v>
      </c>
    </row>
    <row r="56096" spans="129:129" x14ac:dyDescent="0.2">
      <c r="DY56096" s="185" t="s">
        <v>215</v>
      </c>
    </row>
    <row r="56097" spans="129:129" x14ac:dyDescent="0.2">
      <c r="DY56097" s="185" t="s">
        <v>215</v>
      </c>
    </row>
    <row r="56098" spans="129:129" x14ac:dyDescent="0.2">
      <c r="DY56098" s="185" t="s">
        <v>215</v>
      </c>
    </row>
    <row r="56099" spans="129:129" x14ac:dyDescent="0.2">
      <c r="DY56099" s="185" t="s">
        <v>215</v>
      </c>
    </row>
    <row r="56100" spans="129:129" x14ac:dyDescent="0.2">
      <c r="DY56100" s="185" t="s">
        <v>215</v>
      </c>
    </row>
    <row r="56101" spans="129:129" x14ac:dyDescent="0.2">
      <c r="DY56101" s="185" t="s">
        <v>215</v>
      </c>
    </row>
    <row r="56102" spans="129:129" x14ac:dyDescent="0.2">
      <c r="DY56102" s="185" t="s">
        <v>215</v>
      </c>
    </row>
    <row r="56103" spans="129:129" x14ac:dyDescent="0.2">
      <c r="DY56103" s="185" t="s">
        <v>215</v>
      </c>
    </row>
    <row r="56104" spans="129:129" x14ac:dyDescent="0.2">
      <c r="DY56104" s="185" t="s">
        <v>215</v>
      </c>
    </row>
    <row r="56105" spans="129:129" x14ac:dyDescent="0.2">
      <c r="DY56105" s="185" t="s">
        <v>215</v>
      </c>
    </row>
    <row r="56106" spans="129:129" x14ac:dyDescent="0.2">
      <c r="DY56106" s="185" t="s">
        <v>215</v>
      </c>
    </row>
    <row r="56107" spans="129:129" x14ac:dyDescent="0.2">
      <c r="DY56107" s="185" t="s">
        <v>215</v>
      </c>
    </row>
    <row r="56108" spans="129:129" x14ac:dyDescent="0.2">
      <c r="DY56108" s="185" t="s">
        <v>215</v>
      </c>
    </row>
    <row r="56109" spans="129:129" x14ac:dyDescent="0.2">
      <c r="DY56109" s="185" t="s">
        <v>215</v>
      </c>
    </row>
    <row r="56110" spans="129:129" x14ac:dyDescent="0.2">
      <c r="DY56110" s="185" t="s">
        <v>215</v>
      </c>
    </row>
    <row r="56111" spans="129:129" x14ac:dyDescent="0.2">
      <c r="DY56111" s="185" t="s">
        <v>215</v>
      </c>
    </row>
    <row r="56112" spans="129:129" x14ac:dyDescent="0.2">
      <c r="DY56112" s="185" t="s">
        <v>215</v>
      </c>
    </row>
    <row r="56113" spans="129:129" x14ac:dyDescent="0.2">
      <c r="DY56113" s="185" t="s">
        <v>215</v>
      </c>
    </row>
    <row r="56114" spans="129:129" x14ac:dyDescent="0.2">
      <c r="DY56114" s="185" t="s">
        <v>215</v>
      </c>
    </row>
    <row r="56115" spans="129:129" x14ac:dyDescent="0.2">
      <c r="DY56115" s="185" t="s">
        <v>215</v>
      </c>
    </row>
    <row r="56116" spans="129:129" x14ac:dyDescent="0.2">
      <c r="DY56116" s="185" t="s">
        <v>215</v>
      </c>
    </row>
    <row r="56117" spans="129:129" x14ac:dyDescent="0.2">
      <c r="DY56117" s="185" t="s">
        <v>215</v>
      </c>
    </row>
    <row r="56118" spans="129:129" x14ac:dyDescent="0.2">
      <c r="DY56118" s="185" t="s">
        <v>215</v>
      </c>
    </row>
    <row r="56119" spans="129:129" x14ac:dyDescent="0.2">
      <c r="DY56119" s="185" t="s">
        <v>215</v>
      </c>
    </row>
    <row r="56120" spans="129:129" x14ac:dyDescent="0.2">
      <c r="DY56120" s="185" t="s">
        <v>215</v>
      </c>
    </row>
    <row r="56121" spans="129:129" x14ac:dyDescent="0.2">
      <c r="DY56121" s="185" t="s">
        <v>215</v>
      </c>
    </row>
    <row r="56122" spans="129:129" x14ac:dyDescent="0.2">
      <c r="DY56122" s="185" t="s">
        <v>215</v>
      </c>
    </row>
    <row r="56123" spans="129:129" x14ac:dyDescent="0.2">
      <c r="DY56123" s="185" t="s">
        <v>215</v>
      </c>
    </row>
    <row r="56124" spans="129:129" x14ac:dyDescent="0.2">
      <c r="DY56124" s="185" t="s">
        <v>215</v>
      </c>
    </row>
    <row r="56125" spans="129:129" x14ac:dyDescent="0.2">
      <c r="DY56125" s="185" t="s">
        <v>215</v>
      </c>
    </row>
    <row r="56126" spans="129:129" x14ac:dyDescent="0.2">
      <c r="DY56126" s="185" t="s">
        <v>215</v>
      </c>
    </row>
    <row r="56127" spans="129:129" x14ac:dyDescent="0.2">
      <c r="DY56127" s="185" t="s">
        <v>215</v>
      </c>
    </row>
    <row r="56128" spans="129:129" x14ac:dyDescent="0.2">
      <c r="DY56128" s="185" t="s">
        <v>215</v>
      </c>
    </row>
    <row r="56129" spans="129:129" x14ac:dyDescent="0.2">
      <c r="DY56129" s="185" t="s">
        <v>215</v>
      </c>
    </row>
    <row r="56130" spans="129:129" x14ac:dyDescent="0.2">
      <c r="DY56130" s="185" t="s">
        <v>215</v>
      </c>
    </row>
    <row r="56131" spans="129:129" x14ac:dyDescent="0.2">
      <c r="DY56131" s="185" t="s">
        <v>215</v>
      </c>
    </row>
    <row r="56132" spans="129:129" x14ac:dyDescent="0.2">
      <c r="DY56132" s="185" t="s">
        <v>215</v>
      </c>
    </row>
    <row r="56133" spans="129:129" x14ac:dyDescent="0.2">
      <c r="DY56133" s="185" t="s">
        <v>215</v>
      </c>
    </row>
    <row r="56134" spans="129:129" x14ac:dyDescent="0.2">
      <c r="DY56134" s="185" t="s">
        <v>215</v>
      </c>
    </row>
    <row r="56135" spans="129:129" x14ac:dyDescent="0.2">
      <c r="DY56135" s="185" t="s">
        <v>215</v>
      </c>
    </row>
    <row r="56136" spans="129:129" x14ac:dyDescent="0.2">
      <c r="DY56136" s="185" t="s">
        <v>215</v>
      </c>
    </row>
    <row r="56137" spans="129:129" x14ac:dyDescent="0.2">
      <c r="DY56137" s="185" t="s">
        <v>215</v>
      </c>
    </row>
    <row r="56138" spans="129:129" x14ac:dyDescent="0.2">
      <c r="DY56138" s="185" t="s">
        <v>215</v>
      </c>
    </row>
    <row r="56139" spans="129:129" x14ac:dyDescent="0.2">
      <c r="DY56139" s="185" t="s">
        <v>215</v>
      </c>
    </row>
    <row r="56140" spans="129:129" x14ac:dyDescent="0.2">
      <c r="DY56140" s="185" t="s">
        <v>215</v>
      </c>
    </row>
    <row r="56141" spans="129:129" x14ac:dyDescent="0.2">
      <c r="DY56141" s="185" t="s">
        <v>215</v>
      </c>
    </row>
    <row r="56142" spans="129:129" x14ac:dyDescent="0.2">
      <c r="DY56142" s="185" t="s">
        <v>215</v>
      </c>
    </row>
    <row r="56143" spans="129:129" x14ac:dyDescent="0.2">
      <c r="DY56143" s="185" t="s">
        <v>215</v>
      </c>
    </row>
    <row r="56144" spans="129:129" x14ac:dyDescent="0.2">
      <c r="DY56144" s="185" t="s">
        <v>215</v>
      </c>
    </row>
    <row r="56145" spans="129:129" x14ac:dyDescent="0.2">
      <c r="DY56145" s="185" t="s">
        <v>215</v>
      </c>
    </row>
    <row r="56146" spans="129:129" x14ac:dyDescent="0.2">
      <c r="DY56146" s="185" t="s">
        <v>215</v>
      </c>
    </row>
    <row r="56147" spans="129:129" x14ac:dyDescent="0.2">
      <c r="DY56147" s="185" t="s">
        <v>215</v>
      </c>
    </row>
    <row r="56148" spans="129:129" x14ac:dyDescent="0.2">
      <c r="DY56148" s="185" t="s">
        <v>215</v>
      </c>
    </row>
    <row r="56149" spans="129:129" x14ac:dyDescent="0.2">
      <c r="DY56149" s="185" t="s">
        <v>215</v>
      </c>
    </row>
    <row r="56150" spans="129:129" x14ac:dyDescent="0.2">
      <c r="DY56150" s="185" t="s">
        <v>215</v>
      </c>
    </row>
    <row r="56151" spans="129:129" x14ac:dyDescent="0.2">
      <c r="DY56151" s="185" t="s">
        <v>215</v>
      </c>
    </row>
    <row r="56152" spans="129:129" x14ac:dyDescent="0.2">
      <c r="DY56152" s="185" t="s">
        <v>215</v>
      </c>
    </row>
    <row r="56153" spans="129:129" x14ac:dyDescent="0.2">
      <c r="DY56153" s="185" t="s">
        <v>215</v>
      </c>
    </row>
    <row r="56154" spans="129:129" x14ac:dyDescent="0.2">
      <c r="DY56154" s="185" t="s">
        <v>215</v>
      </c>
    </row>
    <row r="56155" spans="129:129" x14ac:dyDescent="0.2">
      <c r="DY56155" s="185" t="s">
        <v>215</v>
      </c>
    </row>
    <row r="56156" spans="129:129" x14ac:dyDescent="0.2">
      <c r="DY56156" s="185" t="s">
        <v>215</v>
      </c>
    </row>
    <row r="56157" spans="129:129" x14ac:dyDescent="0.2">
      <c r="DY56157" s="185" t="s">
        <v>215</v>
      </c>
    </row>
    <row r="56158" spans="129:129" x14ac:dyDescent="0.2">
      <c r="DY56158" s="185" t="s">
        <v>215</v>
      </c>
    </row>
    <row r="56159" spans="129:129" x14ac:dyDescent="0.2">
      <c r="DY56159" s="185" t="s">
        <v>215</v>
      </c>
    </row>
    <row r="56160" spans="129:129" x14ac:dyDescent="0.2">
      <c r="DY56160" s="185" t="s">
        <v>215</v>
      </c>
    </row>
    <row r="56161" spans="129:129" x14ac:dyDescent="0.2">
      <c r="DY56161" s="185" t="s">
        <v>215</v>
      </c>
    </row>
    <row r="56162" spans="129:129" x14ac:dyDescent="0.2">
      <c r="DY56162" s="185" t="s">
        <v>215</v>
      </c>
    </row>
    <row r="56163" spans="129:129" x14ac:dyDescent="0.2">
      <c r="DY56163" s="185" t="s">
        <v>215</v>
      </c>
    </row>
    <row r="56164" spans="129:129" x14ac:dyDescent="0.2">
      <c r="DY56164" s="185" t="s">
        <v>215</v>
      </c>
    </row>
    <row r="56165" spans="129:129" x14ac:dyDescent="0.2">
      <c r="DY56165" s="185" t="s">
        <v>215</v>
      </c>
    </row>
    <row r="56166" spans="129:129" x14ac:dyDescent="0.2">
      <c r="DY56166" s="185" t="s">
        <v>215</v>
      </c>
    </row>
    <row r="56167" spans="129:129" x14ac:dyDescent="0.2">
      <c r="DY56167" s="185" t="s">
        <v>215</v>
      </c>
    </row>
    <row r="56168" spans="129:129" x14ac:dyDescent="0.2">
      <c r="DY56168" s="185" t="s">
        <v>215</v>
      </c>
    </row>
    <row r="56169" spans="129:129" x14ac:dyDescent="0.2">
      <c r="DY56169" s="185" t="s">
        <v>215</v>
      </c>
    </row>
    <row r="56170" spans="129:129" x14ac:dyDescent="0.2">
      <c r="DY56170" s="185" t="s">
        <v>215</v>
      </c>
    </row>
    <row r="56171" spans="129:129" x14ac:dyDescent="0.2">
      <c r="DY56171" s="185" t="s">
        <v>215</v>
      </c>
    </row>
    <row r="56172" spans="129:129" x14ac:dyDescent="0.2">
      <c r="DY56172" s="185" t="s">
        <v>215</v>
      </c>
    </row>
    <row r="56173" spans="129:129" x14ac:dyDescent="0.2">
      <c r="DY56173" s="185" t="s">
        <v>215</v>
      </c>
    </row>
    <row r="56174" spans="129:129" x14ac:dyDescent="0.2">
      <c r="DY56174" s="185" t="s">
        <v>215</v>
      </c>
    </row>
    <row r="56175" spans="129:129" x14ac:dyDescent="0.2">
      <c r="DY56175" s="185" t="s">
        <v>215</v>
      </c>
    </row>
    <row r="56176" spans="129:129" x14ac:dyDescent="0.2">
      <c r="DY56176" s="185" t="s">
        <v>215</v>
      </c>
    </row>
    <row r="56177" spans="129:129" x14ac:dyDescent="0.2">
      <c r="DY56177" s="185" t="s">
        <v>215</v>
      </c>
    </row>
    <row r="56178" spans="129:129" x14ac:dyDescent="0.2">
      <c r="DY56178" s="185" t="s">
        <v>215</v>
      </c>
    </row>
    <row r="56179" spans="129:129" x14ac:dyDescent="0.2">
      <c r="DY56179" s="185" t="s">
        <v>215</v>
      </c>
    </row>
    <row r="56180" spans="129:129" x14ac:dyDescent="0.2">
      <c r="DY56180" s="185" t="s">
        <v>215</v>
      </c>
    </row>
    <row r="56181" spans="129:129" x14ac:dyDescent="0.2">
      <c r="DY56181" s="185" t="s">
        <v>215</v>
      </c>
    </row>
    <row r="56182" spans="129:129" x14ac:dyDescent="0.2">
      <c r="DY56182" s="185" t="s">
        <v>215</v>
      </c>
    </row>
    <row r="56183" spans="129:129" x14ac:dyDescent="0.2">
      <c r="DY56183" s="185" t="s">
        <v>215</v>
      </c>
    </row>
    <row r="56184" spans="129:129" x14ac:dyDescent="0.2">
      <c r="DY56184" s="185" t="s">
        <v>215</v>
      </c>
    </row>
    <row r="56185" spans="129:129" x14ac:dyDescent="0.2">
      <c r="DY56185" s="185" t="s">
        <v>215</v>
      </c>
    </row>
    <row r="56186" spans="129:129" x14ac:dyDescent="0.2">
      <c r="DY56186" s="185" t="s">
        <v>215</v>
      </c>
    </row>
    <row r="56187" spans="129:129" x14ac:dyDescent="0.2">
      <c r="DY56187" s="185" t="s">
        <v>215</v>
      </c>
    </row>
    <row r="56188" spans="129:129" x14ac:dyDescent="0.2">
      <c r="DY56188" s="185" t="s">
        <v>215</v>
      </c>
    </row>
    <row r="56189" spans="129:129" x14ac:dyDescent="0.2">
      <c r="DY56189" s="185" t="s">
        <v>215</v>
      </c>
    </row>
    <row r="56190" spans="129:129" x14ac:dyDescent="0.2">
      <c r="DY56190" s="185" t="s">
        <v>215</v>
      </c>
    </row>
    <row r="56191" spans="129:129" x14ac:dyDescent="0.2">
      <c r="DY56191" s="185" t="s">
        <v>215</v>
      </c>
    </row>
    <row r="56192" spans="129:129" x14ac:dyDescent="0.2">
      <c r="DY56192" s="185" t="s">
        <v>215</v>
      </c>
    </row>
    <row r="56193" spans="129:129" x14ac:dyDescent="0.2">
      <c r="DY56193" s="185" t="s">
        <v>215</v>
      </c>
    </row>
    <row r="56194" spans="129:129" x14ac:dyDescent="0.2">
      <c r="DY56194" s="185" t="s">
        <v>215</v>
      </c>
    </row>
    <row r="56195" spans="129:129" x14ac:dyDescent="0.2">
      <c r="DY56195" s="185" t="s">
        <v>215</v>
      </c>
    </row>
    <row r="56196" spans="129:129" x14ac:dyDescent="0.2">
      <c r="DY56196" s="185" t="s">
        <v>215</v>
      </c>
    </row>
    <row r="56197" spans="129:129" x14ac:dyDescent="0.2">
      <c r="DY56197" s="185" t="s">
        <v>215</v>
      </c>
    </row>
    <row r="56198" spans="129:129" x14ac:dyDescent="0.2">
      <c r="DY56198" s="185" t="s">
        <v>215</v>
      </c>
    </row>
    <row r="56199" spans="129:129" x14ac:dyDescent="0.2">
      <c r="DY56199" s="185" t="s">
        <v>215</v>
      </c>
    </row>
    <row r="56200" spans="129:129" x14ac:dyDescent="0.2">
      <c r="DY56200" s="185" t="s">
        <v>215</v>
      </c>
    </row>
    <row r="56201" spans="129:129" x14ac:dyDescent="0.2">
      <c r="DY56201" s="185" t="s">
        <v>215</v>
      </c>
    </row>
    <row r="56202" spans="129:129" x14ac:dyDescent="0.2">
      <c r="DY56202" s="185" t="s">
        <v>215</v>
      </c>
    </row>
    <row r="56203" spans="129:129" x14ac:dyDescent="0.2">
      <c r="DY56203" s="185" t="s">
        <v>215</v>
      </c>
    </row>
    <row r="56204" spans="129:129" x14ac:dyDescent="0.2">
      <c r="DY56204" s="185" t="s">
        <v>215</v>
      </c>
    </row>
    <row r="56205" spans="129:129" x14ac:dyDescent="0.2">
      <c r="DY56205" s="185" t="s">
        <v>215</v>
      </c>
    </row>
    <row r="56206" spans="129:129" x14ac:dyDescent="0.2">
      <c r="DY56206" s="185" t="s">
        <v>215</v>
      </c>
    </row>
    <row r="56207" spans="129:129" x14ac:dyDescent="0.2">
      <c r="DY56207" s="185" t="s">
        <v>215</v>
      </c>
    </row>
    <row r="56208" spans="129:129" x14ac:dyDescent="0.2">
      <c r="DY56208" s="185" t="s">
        <v>215</v>
      </c>
    </row>
    <row r="56209" spans="129:129" x14ac:dyDescent="0.2">
      <c r="DY56209" s="185" t="s">
        <v>215</v>
      </c>
    </row>
    <row r="56210" spans="129:129" x14ac:dyDescent="0.2">
      <c r="DY56210" s="185" t="s">
        <v>215</v>
      </c>
    </row>
    <row r="56211" spans="129:129" x14ac:dyDescent="0.2">
      <c r="DY56211" s="185" t="s">
        <v>215</v>
      </c>
    </row>
    <row r="56212" spans="129:129" x14ac:dyDescent="0.2">
      <c r="DY56212" s="185" t="s">
        <v>215</v>
      </c>
    </row>
    <row r="56213" spans="129:129" x14ac:dyDescent="0.2">
      <c r="DY56213" s="185" t="s">
        <v>215</v>
      </c>
    </row>
    <row r="56214" spans="129:129" x14ac:dyDescent="0.2">
      <c r="DY56214" s="185" t="s">
        <v>215</v>
      </c>
    </row>
    <row r="56215" spans="129:129" x14ac:dyDescent="0.2">
      <c r="DY56215" s="185" t="s">
        <v>215</v>
      </c>
    </row>
    <row r="56216" spans="129:129" x14ac:dyDescent="0.2">
      <c r="DY56216" s="185" t="s">
        <v>215</v>
      </c>
    </row>
    <row r="56217" spans="129:129" x14ac:dyDescent="0.2">
      <c r="DY56217" s="185" t="s">
        <v>215</v>
      </c>
    </row>
    <row r="56218" spans="129:129" x14ac:dyDescent="0.2">
      <c r="DY56218" s="185" t="s">
        <v>215</v>
      </c>
    </row>
    <row r="56219" spans="129:129" x14ac:dyDescent="0.2">
      <c r="DY56219" s="185" t="s">
        <v>215</v>
      </c>
    </row>
    <row r="56220" spans="129:129" x14ac:dyDescent="0.2">
      <c r="DY56220" s="185" t="s">
        <v>215</v>
      </c>
    </row>
    <row r="56221" spans="129:129" x14ac:dyDescent="0.2">
      <c r="DY56221" s="185" t="s">
        <v>215</v>
      </c>
    </row>
    <row r="56222" spans="129:129" x14ac:dyDescent="0.2">
      <c r="DY56222" s="185" t="s">
        <v>215</v>
      </c>
    </row>
    <row r="56223" spans="129:129" x14ac:dyDescent="0.2">
      <c r="DY56223" s="185" t="s">
        <v>215</v>
      </c>
    </row>
    <row r="56224" spans="129:129" x14ac:dyDescent="0.2">
      <c r="DY56224" s="185" t="s">
        <v>215</v>
      </c>
    </row>
    <row r="56225" spans="129:129" x14ac:dyDescent="0.2">
      <c r="DY56225" s="185" t="s">
        <v>215</v>
      </c>
    </row>
    <row r="56226" spans="129:129" x14ac:dyDescent="0.2">
      <c r="DY56226" s="185" t="s">
        <v>215</v>
      </c>
    </row>
    <row r="56227" spans="129:129" x14ac:dyDescent="0.2">
      <c r="DY56227" s="185" t="s">
        <v>215</v>
      </c>
    </row>
    <row r="56228" spans="129:129" x14ac:dyDescent="0.2">
      <c r="DY56228" s="185" t="s">
        <v>215</v>
      </c>
    </row>
    <row r="56229" spans="129:129" x14ac:dyDescent="0.2">
      <c r="DY56229" s="185" t="s">
        <v>215</v>
      </c>
    </row>
    <row r="56230" spans="129:129" x14ac:dyDescent="0.2">
      <c r="DY56230" s="185" t="s">
        <v>215</v>
      </c>
    </row>
    <row r="56231" spans="129:129" x14ac:dyDescent="0.2">
      <c r="DY56231" s="185" t="s">
        <v>215</v>
      </c>
    </row>
    <row r="56232" spans="129:129" x14ac:dyDescent="0.2">
      <c r="DY56232" s="185" t="s">
        <v>215</v>
      </c>
    </row>
    <row r="56233" spans="129:129" x14ac:dyDescent="0.2">
      <c r="DY56233" s="185" t="s">
        <v>215</v>
      </c>
    </row>
    <row r="56234" spans="129:129" x14ac:dyDescent="0.2">
      <c r="DY56234" s="185" t="s">
        <v>215</v>
      </c>
    </row>
    <row r="56235" spans="129:129" x14ac:dyDescent="0.2">
      <c r="DY56235" s="185" t="s">
        <v>215</v>
      </c>
    </row>
    <row r="56236" spans="129:129" x14ac:dyDescent="0.2">
      <c r="DY56236" s="185" t="s">
        <v>215</v>
      </c>
    </row>
    <row r="56237" spans="129:129" x14ac:dyDescent="0.2">
      <c r="DY56237" s="185" t="s">
        <v>215</v>
      </c>
    </row>
    <row r="56238" spans="129:129" x14ac:dyDescent="0.2">
      <c r="DY56238" s="185" t="s">
        <v>215</v>
      </c>
    </row>
    <row r="56239" spans="129:129" x14ac:dyDescent="0.2">
      <c r="DY56239" s="185" t="s">
        <v>215</v>
      </c>
    </row>
    <row r="56240" spans="129:129" x14ac:dyDescent="0.2">
      <c r="DY56240" s="185" t="s">
        <v>215</v>
      </c>
    </row>
    <row r="56241" spans="129:129" x14ac:dyDescent="0.2">
      <c r="DY56241" s="185" t="s">
        <v>215</v>
      </c>
    </row>
    <row r="56242" spans="129:129" x14ac:dyDescent="0.2">
      <c r="DY56242" s="185" t="s">
        <v>215</v>
      </c>
    </row>
    <row r="56243" spans="129:129" x14ac:dyDescent="0.2">
      <c r="DY56243" s="185" t="s">
        <v>215</v>
      </c>
    </row>
    <row r="56244" spans="129:129" x14ac:dyDescent="0.2">
      <c r="DY56244" s="185" t="s">
        <v>215</v>
      </c>
    </row>
    <row r="56245" spans="129:129" x14ac:dyDescent="0.2">
      <c r="DY56245" s="185" t="s">
        <v>215</v>
      </c>
    </row>
    <row r="56246" spans="129:129" x14ac:dyDescent="0.2">
      <c r="DY56246" s="185" t="s">
        <v>215</v>
      </c>
    </row>
    <row r="56247" spans="129:129" x14ac:dyDescent="0.2">
      <c r="DY56247" s="185" t="s">
        <v>215</v>
      </c>
    </row>
    <row r="56248" spans="129:129" x14ac:dyDescent="0.2">
      <c r="DY56248" s="185" t="s">
        <v>215</v>
      </c>
    </row>
    <row r="56249" spans="129:129" x14ac:dyDescent="0.2">
      <c r="DY56249" s="185" t="s">
        <v>215</v>
      </c>
    </row>
    <row r="56250" spans="129:129" x14ac:dyDescent="0.2">
      <c r="DY56250" s="185" t="s">
        <v>215</v>
      </c>
    </row>
    <row r="56251" spans="129:129" x14ac:dyDescent="0.2">
      <c r="DY56251" s="185" t="s">
        <v>215</v>
      </c>
    </row>
    <row r="56252" spans="129:129" x14ac:dyDescent="0.2">
      <c r="DY56252" s="185" t="s">
        <v>215</v>
      </c>
    </row>
    <row r="56253" spans="129:129" x14ac:dyDescent="0.2">
      <c r="DY56253" s="185" t="s">
        <v>215</v>
      </c>
    </row>
    <row r="56254" spans="129:129" x14ac:dyDescent="0.2">
      <c r="DY56254" s="185" t="s">
        <v>215</v>
      </c>
    </row>
    <row r="56255" spans="129:129" x14ac:dyDescent="0.2">
      <c r="DY56255" s="185" t="s">
        <v>215</v>
      </c>
    </row>
    <row r="56256" spans="129:129" x14ac:dyDescent="0.2">
      <c r="DY56256" s="185" t="s">
        <v>215</v>
      </c>
    </row>
    <row r="56257" spans="129:129" x14ac:dyDescent="0.2">
      <c r="DY56257" s="185" t="s">
        <v>215</v>
      </c>
    </row>
    <row r="56258" spans="129:129" x14ac:dyDescent="0.2">
      <c r="DY56258" s="185" t="s">
        <v>215</v>
      </c>
    </row>
    <row r="56259" spans="129:129" x14ac:dyDescent="0.2">
      <c r="DY56259" s="185" t="s">
        <v>215</v>
      </c>
    </row>
    <row r="56260" spans="129:129" x14ac:dyDescent="0.2">
      <c r="DY56260" s="185" t="s">
        <v>215</v>
      </c>
    </row>
    <row r="56261" spans="129:129" x14ac:dyDescent="0.2">
      <c r="DY56261" s="185" t="s">
        <v>215</v>
      </c>
    </row>
    <row r="56262" spans="129:129" x14ac:dyDescent="0.2">
      <c r="DY56262" s="185" t="s">
        <v>215</v>
      </c>
    </row>
    <row r="56263" spans="129:129" x14ac:dyDescent="0.2">
      <c r="DY56263" s="185" t="s">
        <v>215</v>
      </c>
    </row>
    <row r="56264" spans="129:129" x14ac:dyDescent="0.2">
      <c r="DY56264" s="185" t="s">
        <v>215</v>
      </c>
    </row>
    <row r="56265" spans="129:129" x14ac:dyDescent="0.2">
      <c r="DY56265" s="185" t="s">
        <v>215</v>
      </c>
    </row>
    <row r="56266" spans="129:129" x14ac:dyDescent="0.2">
      <c r="DY56266" s="185" t="s">
        <v>215</v>
      </c>
    </row>
    <row r="56267" spans="129:129" x14ac:dyDescent="0.2">
      <c r="DY56267" s="185" t="s">
        <v>215</v>
      </c>
    </row>
    <row r="56268" spans="129:129" x14ac:dyDescent="0.2">
      <c r="DY56268" s="185" t="s">
        <v>215</v>
      </c>
    </row>
    <row r="56269" spans="129:129" x14ac:dyDescent="0.2">
      <c r="DY56269" s="185" t="s">
        <v>215</v>
      </c>
    </row>
    <row r="56270" spans="129:129" x14ac:dyDescent="0.2">
      <c r="DY56270" s="185" t="s">
        <v>215</v>
      </c>
    </row>
    <row r="56271" spans="129:129" x14ac:dyDescent="0.2">
      <c r="DY56271" s="185" t="s">
        <v>215</v>
      </c>
    </row>
    <row r="56272" spans="129:129" x14ac:dyDescent="0.2">
      <c r="DY56272" s="185" t="s">
        <v>215</v>
      </c>
    </row>
    <row r="56273" spans="129:129" x14ac:dyDescent="0.2">
      <c r="DY56273" s="185" t="s">
        <v>215</v>
      </c>
    </row>
    <row r="56274" spans="129:129" x14ac:dyDescent="0.2">
      <c r="DY56274" s="185" t="s">
        <v>215</v>
      </c>
    </row>
    <row r="56275" spans="129:129" x14ac:dyDescent="0.2">
      <c r="DY56275" s="185" t="s">
        <v>215</v>
      </c>
    </row>
    <row r="56276" spans="129:129" x14ac:dyDescent="0.2">
      <c r="DY56276" s="185" t="s">
        <v>215</v>
      </c>
    </row>
    <row r="56277" spans="129:129" x14ac:dyDescent="0.2">
      <c r="DY56277" s="185" t="s">
        <v>215</v>
      </c>
    </row>
    <row r="56278" spans="129:129" x14ac:dyDescent="0.2">
      <c r="DY56278" s="185" t="s">
        <v>215</v>
      </c>
    </row>
    <row r="56279" spans="129:129" x14ac:dyDescent="0.2">
      <c r="DY56279" s="185" t="s">
        <v>215</v>
      </c>
    </row>
    <row r="56280" spans="129:129" x14ac:dyDescent="0.2">
      <c r="DY56280" s="185" t="s">
        <v>215</v>
      </c>
    </row>
    <row r="56281" spans="129:129" x14ac:dyDescent="0.2">
      <c r="DY56281" s="185" t="s">
        <v>215</v>
      </c>
    </row>
    <row r="56282" spans="129:129" x14ac:dyDescent="0.2">
      <c r="DY56282" s="185" t="s">
        <v>215</v>
      </c>
    </row>
    <row r="56283" spans="129:129" x14ac:dyDescent="0.2">
      <c r="DY56283" s="185" t="s">
        <v>215</v>
      </c>
    </row>
    <row r="56284" spans="129:129" x14ac:dyDescent="0.2">
      <c r="DY56284" s="185" t="s">
        <v>215</v>
      </c>
    </row>
    <row r="56285" spans="129:129" x14ac:dyDescent="0.2">
      <c r="DY56285" s="185" t="s">
        <v>215</v>
      </c>
    </row>
    <row r="56286" spans="129:129" x14ac:dyDescent="0.2">
      <c r="DY56286" s="185" t="s">
        <v>215</v>
      </c>
    </row>
    <row r="56287" spans="129:129" x14ac:dyDescent="0.2">
      <c r="DY56287" s="185" t="s">
        <v>215</v>
      </c>
    </row>
    <row r="56288" spans="129:129" x14ac:dyDescent="0.2">
      <c r="DY56288" s="185" t="s">
        <v>215</v>
      </c>
    </row>
    <row r="56289" spans="129:129" x14ac:dyDescent="0.2">
      <c r="DY56289" s="185" t="s">
        <v>215</v>
      </c>
    </row>
    <row r="56290" spans="129:129" x14ac:dyDescent="0.2">
      <c r="DY56290" s="185" t="s">
        <v>215</v>
      </c>
    </row>
    <row r="56291" spans="129:129" x14ac:dyDescent="0.2">
      <c r="DY56291" s="185" t="s">
        <v>215</v>
      </c>
    </row>
    <row r="56292" spans="129:129" x14ac:dyDescent="0.2">
      <c r="DY56292" s="185" t="s">
        <v>215</v>
      </c>
    </row>
    <row r="56293" spans="129:129" x14ac:dyDescent="0.2">
      <c r="DY56293" s="185" t="s">
        <v>215</v>
      </c>
    </row>
    <row r="56294" spans="129:129" x14ac:dyDescent="0.2">
      <c r="DY56294" s="185" t="s">
        <v>215</v>
      </c>
    </row>
    <row r="56295" spans="129:129" x14ac:dyDescent="0.2">
      <c r="DY56295" s="185" t="s">
        <v>215</v>
      </c>
    </row>
    <row r="56296" spans="129:129" x14ac:dyDescent="0.2">
      <c r="DY56296" s="185" t="s">
        <v>215</v>
      </c>
    </row>
    <row r="56297" spans="129:129" x14ac:dyDescent="0.2">
      <c r="DY56297" s="185" t="s">
        <v>215</v>
      </c>
    </row>
    <row r="56298" spans="129:129" x14ac:dyDescent="0.2">
      <c r="DY56298" s="185" t="s">
        <v>215</v>
      </c>
    </row>
    <row r="56299" spans="129:129" x14ac:dyDescent="0.2">
      <c r="DY56299" s="185" t="s">
        <v>215</v>
      </c>
    </row>
    <row r="56300" spans="129:129" x14ac:dyDescent="0.2">
      <c r="DY56300" s="185" t="s">
        <v>215</v>
      </c>
    </row>
    <row r="56301" spans="129:129" x14ac:dyDescent="0.2">
      <c r="DY56301" s="185" t="s">
        <v>215</v>
      </c>
    </row>
    <row r="56302" spans="129:129" x14ac:dyDescent="0.2">
      <c r="DY56302" s="185" t="s">
        <v>215</v>
      </c>
    </row>
    <row r="56303" spans="129:129" x14ac:dyDescent="0.2">
      <c r="DY56303" s="185" t="s">
        <v>215</v>
      </c>
    </row>
    <row r="56304" spans="129:129" x14ac:dyDescent="0.2">
      <c r="DY56304" s="185" t="s">
        <v>215</v>
      </c>
    </row>
    <row r="56305" spans="129:129" x14ac:dyDescent="0.2">
      <c r="DY56305" s="185" t="s">
        <v>215</v>
      </c>
    </row>
    <row r="56306" spans="129:129" x14ac:dyDescent="0.2">
      <c r="DY56306" s="185" t="s">
        <v>215</v>
      </c>
    </row>
    <row r="56307" spans="129:129" x14ac:dyDescent="0.2">
      <c r="DY56307" s="185" t="s">
        <v>215</v>
      </c>
    </row>
    <row r="56308" spans="129:129" x14ac:dyDescent="0.2">
      <c r="DY56308" s="185" t="s">
        <v>215</v>
      </c>
    </row>
    <row r="56309" spans="129:129" x14ac:dyDescent="0.2">
      <c r="DY56309" s="185" t="s">
        <v>215</v>
      </c>
    </row>
    <row r="56310" spans="129:129" x14ac:dyDescent="0.2">
      <c r="DY56310" s="185" t="s">
        <v>215</v>
      </c>
    </row>
    <row r="56311" spans="129:129" x14ac:dyDescent="0.2">
      <c r="DY56311" s="185" t="s">
        <v>215</v>
      </c>
    </row>
    <row r="56312" spans="129:129" x14ac:dyDescent="0.2">
      <c r="DY56312" s="185" t="s">
        <v>215</v>
      </c>
    </row>
    <row r="56313" spans="129:129" x14ac:dyDescent="0.2">
      <c r="DY56313" s="185" t="s">
        <v>215</v>
      </c>
    </row>
    <row r="56314" spans="129:129" x14ac:dyDescent="0.2">
      <c r="DY56314" s="185" t="s">
        <v>215</v>
      </c>
    </row>
    <row r="56315" spans="129:129" x14ac:dyDescent="0.2">
      <c r="DY56315" s="185" t="s">
        <v>215</v>
      </c>
    </row>
    <row r="56316" spans="129:129" x14ac:dyDescent="0.2">
      <c r="DY56316" s="185" t="s">
        <v>215</v>
      </c>
    </row>
    <row r="56317" spans="129:129" x14ac:dyDescent="0.2">
      <c r="DY56317" s="185" t="s">
        <v>215</v>
      </c>
    </row>
    <row r="56318" spans="129:129" x14ac:dyDescent="0.2">
      <c r="DY56318" s="185" t="s">
        <v>215</v>
      </c>
    </row>
    <row r="56319" spans="129:129" x14ac:dyDescent="0.2">
      <c r="DY56319" s="185" t="s">
        <v>215</v>
      </c>
    </row>
    <row r="56320" spans="129:129" x14ac:dyDescent="0.2">
      <c r="DY56320" s="185" t="s">
        <v>215</v>
      </c>
    </row>
    <row r="56321" spans="129:129" x14ac:dyDescent="0.2">
      <c r="DY56321" s="185" t="s">
        <v>215</v>
      </c>
    </row>
    <row r="56322" spans="129:129" x14ac:dyDescent="0.2">
      <c r="DY56322" s="185" t="s">
        <v>215</v>
      </c>
    </row>
    <row r="56323" spans="129:129" x14ac:dyDescent="0.2">
      <c r="DY56323" s="185" t="s">
        <v>215</v>
      </c>
    </row>
    <row r="56324" spans="129:129" x14ac:dyDescent="0.2">
      <c r="DY56324" s="185" t="s">
        <v>215</v>
      </c>
    </row>
    <row r="56325" spans="129:129" x14ac:dyDescent="0.2">
      <c r="DY56325" s="185" t="s">
        <v>215</v>
      </c>
    </row>
    <row r="56326" spans="129:129" x14ac:dyDescent="0.2">
      <c r="DY56326" s="185" t="s">
        <v>215</v>
      </c>
    </row>
    <row r="56327" spans="129:129" x14ac:dyDescent="0.2">
      <c r="DY56327" s="185" t="s">
        <v>215</v>
      </c>
    </row>
    <row r="56328" spans="129:129" x14ac:dyDescent="0.2">
      <c r="DY56328" s="185" t="s">
        <v>215</v>
      </c>
    </row>
    <row r="56329" spans="129:129" x14ac:dyDescent="0.2">
      <c r="DY56329" s="185" t="s">
        <v>215</v>
      </c>
    </row>
    <row r="56330" spans="129:129" x14ac:dyDescent="0.2">
      <c r="DY56330" s="185" t="s">
        <v>215</v>
      </c>
    </row>
    <row r="56331" spans="129:129" x14ac:dyDescent="0.2">
      <c r="DY56331" s="185" t="s">
        <v>215</v>
      </c>
    </row>
    <row r="56332" spans="129:129" x14ac:dyDescent="0.2">
      <c r="DY56332" s="185" t="s">
        <v>215</v>
      </c>
    </row>
    <row r="56333" spans="129:129" x14ac:dyDescent="0.2">
      <c r="DY56333" s="185" t="s">
        <v>215</v>
      </c>
    </row>
    <row r="56334" spans="129:129" x14ac:dyDescent="0.2">
      <c r="DY56334" s="185" t="s">
        <v>215</v>
      </c>
    </row>
    <row r="56335" spans="129:129" x14ac:dyDescent="0.2">
      <c r="DY56335" s="185" t="s">
        <v>215</v>
      </c>
    </row>
    <row r="56336" spans="129:129" x14ac:dyDescent="0.2">
      <c r="DY56336" s="185" t="s">
        <v>215</v>
      </c>
    </row>
    <row r="56337" spans="129:129" x14ac:dyDescent="0.2">
      <c r="DY56337" s="185" t="s">
        <v>215</v>
      </c>
    </row>
    <row r="56338" spans="129:129" x14ac:dyDescent="0.2">
      <c r="DY56338" s="185" t="s">
        <v>215</v>
      </c>
    </row>
    <row r="56339" spans="129:129" x14ac:dyDescent="0.2">
      <c r="DY56339" s="185" t="s">
        <v>215</v>
      </c>
    </row>
    <row r="56340" spans="129:129" x14ac:dyDescent="0.2">
      <c r="DY56340" s="185" t="s">
        <v>215</v>
      </c>
    </row>
    <row r="56341" spans="129:129" x14ac:dyDescent="0.2">
      <c r="DY56341" s="185" t="s">
        <v>215</v>
      </c>
    </row>
    <row r="56342" spans="129:129" x14ac:dyDescent="0.2">
      <c r="DY56342" s="185" t="s">
        <v>215</v>
      </c>
    </row>
    <row r="56343" spans="129:129" x14ac:dyDescent="0.2">
      <c r="DY56343" s="185" t="s">
        <v>215</v>
      </c>
    </row>
    <row r="56344" spans="129:129" x14ac:dyDescent="0.2">
      <c r="DY56344" s="185" t="s">
        <v>215</v>
      </c>
    </row>
    <row r="56345" spans="129:129" x14ac:dyDescent="0.2">
      <c r="DY56345" s="185" t="s">
        <v>215</v>
      </c>
    </row>
    <row r="56346" spans="129:129" x14ac:dyDescent="0.2">
      <c r="DY56346" s="185" t="s">
        <v>215</v>
      </c>
    </row>
    <row r="56347" spans="129:129" x14ac:dyDescent="0.2">
      <c r="DY56347" s="185" t="s">
        <v>215</v>
      </c>
    </row>
    <row r="56348" spans="129:129" x14ac:dyDescent="0.2">
      <c r="DY56348" s="185" t="s">
        <v>215</v>
      </c>
    </row>
    <row r="56349" spans="129:129" x14ac:dyDescent="0.2">
      <c r="DY56349" s="185" t="s">
        <v>215</v>
      </c>
    </row>
    <row r="56350" spans="129:129" x14ac:dyDescent="0.2">
      <c r="DY56350" s="185" t="s">
        <v>215</v>
      </c>
    </row>
    <row r="56351" spans="129:129" x14ac:dyDescent="0.2">
      <c r="DY56351" s="185" t="s">
        <v>215</v>
      </c>
    </row>
    <row r="56352" spans="129:129" x14ac:dyDescent="0.2">
      <c r="DY56352" s="185" t="s">
        <v>215</v>
      </c>
    </row>
    <row r="56353" spans="129:129" x14ac:dyDescent="0.2">
      <c r="DY56353" s="185" t="s">
        <v>215</v>
      </c>
    </row>
    <row r="56354" spans="129:129" x14ac:dyDescent="0.2">
      <c r="DY56354" s="185" t="s">
        <v>215</v>
      </c>
    </row>
    <row r="56355" spans="129:129" x14ac:dyDescent="0.2">
      <c r="DY56355" s="185" t="s">
        <v>215</v>
      </c>
    </row>
    <row r="56356" spans="129:129" x14ac:dyDescent="0.2">
      <c r="DY56356" s="185" t="s">
        <v>215</v>
      </c>
    </row>
    <row r="56357" spans="129:129" x14ac:dyDescent="0.2">
      <c r="DY56357" s="185" t="s">
        <v>215</v>
      </c>
    </row>
    <row r="56358" spans="129:129" x14ac:dyDescent="0.2">
      <c r="DY56358" s="185" t="s">
        <v>215</v>
      </c>
    </row>
    <row r="56359" spans="129:129" x14ac:dyDescent="0.2">
      <c r="DY56359" s="185" t="s">
        <v>215</v>
      </c>
    </row>
    <row r="56360" spans="129:129" x14ac:dyDescent="0.2">
      <c r="DY56360" s="185" t="s">
        <v>215</v>
      </c>
    </row>
    <row r="56361" spans="129:129" x14ac:dyDescent="0.2">
      <c r="DY56361" s="185" t="s">
        <v>215</v>
      </c>
    </row>
    <row r="56362" spans="129:129" x14ac:dyDescent="0.2">
      <c r="DY56362" s="185" t="s">
        <v>215</v>
      </c>
    </row>
    <row r="56363" spans="129:129" x14ac:dyDescent="0.2">
      <c r="DY56363" s="185" t="s">
        <v>215</v>
      </c>
    </row>
    <row r="56364" spans="129:129" x14ac:dyDescent="0.2">
      <c r="DY56364" s="185" t="s">
        <v>215</v>
      </c>
    </row>
    <row r="56365" spans="129:129" x14ac:dyDescent="0.2">
      <c r="DY56365" s="185" t="s">
        <v>215</v>
      </c>
    </row>
    <row r="56366" spans="129:129" x14ac:dyDescent="0.2">
      <c r="DY56366" s="185" t="s">
        <v>215</v>
      </c>
    </row>
    <row r="56367" spans="129:129" x14ac:dyDescent="0.2">
      <c r="DY56367" s="185" t="s">
        <v>215</v>
      </c>
    </row>
    <row r="56368" spans="129:129" x14ac:dyDescent="0.2">
      <c r="DY56368" s="185" t="s">
        <v>215</v>
      </c>
    </row>
    <row r="56369" spans="129:129" x14ac:dyDescent="0.2">
      <c r="DY56369" s="185" t="s">
        <v>215</v>
      </c>
    </row>
    <row r="56370" spans="129:129" x14ac:dyDescent="0.2">
      <c r="DY56370" s="185" t="s">
        <v>215</v>
      </c>
    </row>
    <row r="56371" spans="129:129" x14ac:dyDescent="0.2">
      <c r="DY56371" s="185" t="s">
        <v>215</v>
      </c>
    </row>
    <row r="56372" spans="129:129" x14ac:dyDescent="0.2">
      <c r="DY56372" s="185" t="s">
        <v>215</v>
      </c>
    </row>
    <row r="56373" spans="129:129" x14ac:dyDescent="0.2">
      <c r="DY56373" s="185" t="s">
        <v>215</v>
      </c>
    </row>
    <row r="56374" spans="129:129" x14ac:dyDescent="0.2">
      <c r="DY56374" s="185" t="s">
        <v>215</v>
      </c>
    </row>
    <row r="56375" spans="129:129" x14ac:dyDescent="0.2">
      <c r="DY56375" s="185" t="s">
        <v>215</v>
      </c>
    </row>
    <row r="56376" spans="129:129" x14ac:dyDescent="0.2">
      <c r="DY56376" s="185" t="s">
        <v>215</v>
      </c>
    </row>
    <row r="56377" spans="129:129" x14ac:dyDescent="0.2">
      <c r="DY56377" s="185" t="s">
        <v>215</v>
      </c>
    </row>
    <row r="56378" spans="129:129" x14ac:dyDescent="0.2">
      <c r="DY56378" s="185" t="s">
        <v>215</v>
      </c>
    </row>
    <row r="56379" spans="129:129" x14ac:dyDescent="0.2">
      <c r="DY56379" s="185" t="s">
        <v>215</v>
      </c>
    </row>
    <row r="56380" spans="129:129" x14ac:dyDescent="0.2">
      <c r="DY56380" s="185" t="s">
        <v>215</v>
      </c>
    </row>
    <row r="56381" spans="129:129" x14ac:dyDescent="0.2">
      <c r="DY56381" s="185" t="s">
        <v>215</v>
      </c>
    </row>
    <row r="56382" spans="129:129" x14ac:dyDescent="0.2">
      <c r="DY56382" s="185" t="s">
        <v>215</v>
      </c>
    </row>
    <row r="56383" spans="129:129" x14ac:dyDescent="0.2">
      <c r="DY56383" s="185" t="s">
        <v>215</v>
      </c>
    </row>
    <row r="56384" spans="129:129" x14ac:dyDescent="0.2">
      <c r="DY56384" s="185" t="s">
        <v>215</v>
      </c>
    </row>
    <row r="56385" spans="129:129" x14ac:dyDescent="0.2">
      <c r="DY56385" s="185" t="s">
        <v>215</v>
      </c>
    </row>
    <row r="56386" spans="129:129" x14ac:dyDescent="0.2">
      <c r="DY56386" s="185" t="s">
        <v>215</v>
      </c>
    </row>
    <row r="56387" spans="129:129" x14ac:dyDescent="0.2">
      <c r="DY56387" s="185" t="s">
        <v>215</v>
      </c>
    </row>
    <row r="56388" spans="129:129" x14ac:dyDescent="0.2">
      <c r="DY56388" s="185" t="s">
        <v>215</v>
      </c>
    </row>
    <row r="56389" spans="129:129" x14ac:dyDescent="0.2">
      <c r="DY56389" s="185" t="s">
        <v>215</v>
      </c>
    </row>
    <row r="56390" spans="129:129" x14ac:dyDescent="0.2">
      <c r="DY56390" s="185" t="s">
        <v>215</v>
      </c>
    </row>
    <row r="56391" spans="129:129" x14ac:dyDescent="0.2">
      <c r="DY56391" s="185" t="s">
        <v>215</v>
      </c>
    </row>
    <row r="56392" spans="129:129" x14ac:dyDescent="0.2">
      <c r="DY56392" s="185" t="s">
        <v>215</v>
      </c>
    </row>
    <row r="56393" spans="129:129" x14ac:dyDescent="0.2">
      <c r="DY56393" s="185" t="s">
        <v>215</v>
      </c>
    </row>
    <row r="56394" spans="129:129" x14ac:dyDescent="0.2">
      <c r="DY56394" s="185" t="s">
        <v>215</v>
      </c>
    </row>
    <row r="56395" spans="129:129" x14ac:dyDescent="0.2">
      <c r="DY56395" s="185" t="s">
        <v>215</v>
      </c>
    </row>
    <row r="56396" spans="129:129" x14ac:dyDescent="0.2">
      <c r="DY56396" s="185" t="s">
        <v>215</v>
      </c>
    </row>
    <row r="56397" spans="129:129" x14ac:dyDescent="0.2">
      <c r="DY56397" s="185" t="s">
        <v>215</v>
      </c>
    </row>
    <row r="56398" spans="129:129" x14ac:dyDescent="0.2">
      <c r="DY56398" s="185" t="s">
        <v>215</v>
      </c>
    </row>
    <row r="56399" spans="129:129" x14ac:dyDescent="0.2">
      <c r="DY56399" s="185" t="s">
        <v>215</v>
      </c>
    </row>
    <row r="56400" spans="129:129" x14ac:dyDescent="0.2">
      <c r="DY56400" s="185" t="s">
        <v>215</v>
      </c>
    </row>
    <row r="56401" spans="129:129" x14ac:dyDescent="0.2">
      <c r="DY56401" s="185" t="s">
        <v>215</v>
      </c>
    </row>
    <row r="56402" spans="129:129" x14ac:dyDescent="0.2">
      <c r="DY56402" s="185" t="s">
        <v>215</v>
      </c>
    </row>
    <row r="56403" spans="129:129" x14ac:dyDescent="0.2">
      <c r="DY56403" s="185" t="s">
        <v>215</v>
      </c>
    </row>
    <row r="56404" spans="129:129" x14ac:dyDescent="0.2">
      <c r="DY56404" s="185" t="s">
        <v>215</v>
      </c>
    </row>
    <row r="56405" spans="129:129" x14ac:dyDescent="0.2">
      <c r="DY56405" s="185" t="s">
        <v>215</v>
      </c>
    </row>
    <row r="56406" spans="129:129" x14ac:dyDescent="0.2">
      <c r="DY56406" s="185" t="s">
        <v>215</v>
      </c>
    </row>
    <row r="56407" spans="129:129" x14ac:dyDescent="0.2">
      <c r="DY56407" s="185" t="s">
        <v>215</v>
      </c>
    </row>
    <row r="56408" spans="129:129" x14ac:dyDescent="0.2">
      <c r="DY56408" s="185" t="s">
        <v>215</v>
      </c>
    </row>
    <row r="56409" spans="129:129" x14ac:dyDescent="0.2">
      <c r="DY56409" s="185" t="s">
        <v>215</v>
      </c>
    </row>
    <row r="56410" spans="129:129" x14ac:dyDescent="0.2">
      <c r="DY56410" s="185" t="s">
        <v>215</v>
      </c>
    </row>
    <row r="56411" spans="129:129" x14ac:dyDescent="0.2">
      <c r="DY56411" s="185" t="s">
        <v>215</v>
      </c>
    </row>
    <row r="56412" spans="129:129" x14ac:dyDescent="0.2">
      <c r="DY56412" s="185" t="s">
        <v>215</v>
      </c>
    </row>
    <row r="56413" spans="129:129" x14ac:dyDescent="0.2">
      <c r="DY56413" s="185" t="s">
        <v>215</v>
      </c>
    </row>
    <row r="56414" spans="129:129" x14ac:dyDescent="0.2">
      <c r="DY56414" s="185" t="s">
        <v>215</v>
      </c>
    </row>
    <row r="56415" spans="129:129" x14ac:dyDescent="0.2">
      <c r="DY56415" s="185" t="s">
        <v>215</v>
      </c>
    </row>
    <row r="56416" spans="129:129" x14ac:dyDescent="0.2">
      <c r="DY56416" s="185" t="s">
        <v>215</v>
      </c>
    </row>
    <row r="56417" spans="129:129" x14ac:dyDescent="0.2">
      <c r="DY56417" s="185" t="s">
        <v>215</v>
      </c>
    </row>
    <row r="56418" spans="129:129" x14ac:dyDescent="0.2">
      <c r="DY56418" s="185" t="s">
        <v>215</v>
      </c>
    </row>
    <row r="56419" spans="129:129" x14ac:dyDescent="0.2">
      <c r="DY56419" s="185" t="s">
        <v>215</v>
      </c>
    </row>
    <row r="56420" spans="129:129" x14ac:dyDescent="0.2">
      <c r="DY56420" s="185" t="s">
        <v>215</v>
      </c>
    </row>
    <row r="56421" spans="129:129" x14ac:dyDescent="0.2">
      <c r="DY56421" s="185" t="s">
        <v>215</v>
      </c>
    </row>
    <row r="56422" spans="129:129" x14ac:dyDescent="0.2">
      <c r="DY56422" s="185" t="s">
        <v>215</v>
      </c>
    </row>
    <row r="56423" spans="129:129" x14ac:dyDescent="0.2">
      <c r="DY56423" s="185" t="s">
        <v>215</v>
      </c>
    </row>
    <row r="56424" spans="129:129" x14ac:dyDescent="0.2">
      <c r="DY56424" s="185" t="s">
        <v>215</v>
      </c>
    </row>
    <row r="56425" spans="129:129" x14ac:dyDescent="0.2">
      <c r="DY56425" s="185" t="s">
        <v>215</v>
      </c>
    </row>
    <row r="56426" spans="129:129" x14ac:dyDescent="0.2">
      <c r="DY56426" s="185" t="s">
        <v>215</v>
      </c>
    </row>
    <row r="56427" spans="129:129" x14ac:dyDescent="0.2">
      <c r="DY56427" s="185" t="s">
        <v>215</v>
      </c>
    </row>
    <row r="56428" spans="129:129" x14ac:dyDescent="0.2">
      <c r="DY56428" s="185" t="s">
        <v>215</v>
      </c>
    </row>
    <row r="56429" spans="129:129" x14ac:dyDescent="0.2">
      <c r="DY56429" s="185" t="s">
        <v>215</v>
      </c>
    </row>
    <row r="56430" spans="129:129" x14ac:dyDescent="0.2">
      <c r="DY56430" s="185" t="s">
        <v>215</v>
      </c>
    </row>
    <row r="56431" spans="129:129" x14ac:dyDescent="0.2">
      <c r="DY56431" s="185" t="s">
        <v>215</v>
      </c>
    </row>
    <row r="56432" spans="129:129" x14ac:dyDescent="0.2">
      <c r="DY56432" s="185" t="s">
        <v>215</v>
      </c>
    </row>
    <row r="56433" spans="129:129" x14ac:dyDescent="0.2">
      <c r="DY56433" s="185" t="s">
        <v>215</v>
      </c>
    </row>
    <row r="56434" spans="129:129" x14ac:dyDescent="0.2">
      <c r="DY56434" s="185" t="s">
        <v>215</v>
      </c>
    </row>
    <row r="56435" spans="129:129" x14ac:dyDescent="0.2">
      <c r="DY56435" s="185" t="s">
        <v>215</v>
      </c>
    </row>
    <row r="56436" spans="129:129" x14ac:dyDescent="0.2">
      <c r="DY56436" s="185" t="s">
        <v>215</v>
      </c>
    </row>
    <row r="56437" spans="129:129" x14ac:dyDescent="0.2">
      <c r="DY56437" s="185" t="s">
        <v>215</v>
      </c>
    </row>
    <row r="56438" spans="129:129" x14ac:dyDescent="0.2">
      <c r="DY56438" s="185" t="s">
        <v>215</v>
      </c>
    </row>
    <row r="56439" spans="129:129" x14ac:dyDescent="0.2">
      <c r="DY56439" s="185" t="s">
        <v>215</v>
      </c>
    </row>
    <row r="56440" spans="129:129" x14ac:dyDescent="0.2">
      <c r="DY56440" s="185" t="s">
        <v>215</v>
      </c>
    </row>
    <row r="56441" spans="129:129" x14ac:dyDescent="0.2">
      <c r="DY56441" s="185" t="s">
        <v>215</v>
      </c>
    </row>
    <row r="56442" spans="129:129" x14ac:dyDescent="0.2">
      <c r="DY56442" s="185" t="s">
        <v>215</v>
      </c>
    </row>
    <row r="56443" spans="129:129" x14ac:dyDescent="0.2">
      <c r="DY56443" s="185" t="s">
        <v>215</v>
      </c>
    </row>
    <row r="56444" spans="129:129" x14ac:dyDescent="0.2">
      <c r="DY56444" s="185" t="s">
        <v>215</v>
      </c>
    </row>
    <row r="56445" spans="129:129" x14ac:dyDescent="0.2">
      <c r="DY56445" s="185" t="s">
        <v>215</v>
      </c>
    </row>
    <row r="56446" spans="129:129" x14ac:dyDescent="0.2">
      <c r="DY56446" s="185" t="s">
        <v>215</v>
      </c>
    </row>
    <row r="56447" spans="129:129" x14ac:dyDescent="0.2">
      <c r="DY56447" s="185" t="s">
        <v>215</v>
      </c>
    </row>
    <row r="56448" spans="129:129" x14ac:dyDescent="0.2">
      <c r="DY56448" s="185" t="s">
        <v>215</v>
      </c>
    </row>
    <row r="56449" spans="129:129" x14ac:dyDescent="0.2">
      <c r="DY56449" s="185" t="s">
        <v>215</v>
      </c>
    </row>
    <row r="56450" spans="129:129" x14ac:dyDescent="0.2">
      <c r="DY56450" s="185" t="s">
        <v>215</v>
      </c>
    </row>
    <row r="56451" spans="129:129" x14ac:dyDescent="0.2">
      <c r="DY56451" s="185" t="s">
        <v>215</v>
      </c>
    </row>
    <row r="56452" spans="129:129" x14ac:dyDescent="0.2">
      <c r="DY56452" s="185" t="s">
        <v>215</v>
      </c>
    </row>
    <row r="56453" spans="129:129" x14ac:dyDescent="0.2">
      <c r="DY56453" s="185" t="s">
        <v>215</v>
      </c>
    </row>
    <row r="56454" spans="129:129" x14ac:dyDescent="0.2">
      <c r="DY56454" s="185" t="s">
        <v>215</v>
      </c>
    </row>
    <row r="56455" spans="129:129" x14ac:dyDescent="0.2">
      <c r="DY56455" s="185" t="s">
        <v>215</v>
      </c>
    </row>
    <row r="56456" spans="129:129" x14ac:dyDescent="0.2">
      <c r="DY56456" s="185" t="s">
        <v>215</v>
      </c>
    </row>
    <row r="56457" spans="129:129" x14ac:dyDescent="0.2">
      <c r="DY56457" s="185" t="s">
        <v>215</v>
      </c>
    </row>
    <row r="56458" spans="129:129" x14ac:dyDescent="0.2">
      <c r="DY56458" s="185" t="s">
        <v>215</v>
      </c>
    </row>
    <row r="56459" spans="129:129" x14ac:dyDescent="0.2">
      <c r="DY56459" s="185" t="s">
        <v>215</v>
      </c>
    </row>
    <row r="56460" spans="129:129" x14ac:dyDescent="0.2">
      <c r="DY56460" s="185" t="s">
        <v>215</v>
      </c>
    </row>
    <row r="56461" spans="129:129" x14ac:dyDescent="0.2">
      <c r="DY56461" s="185" t="s">
        <v>215</v>
      </c>
    </row>
    <row r="56462" spans="129:129" x14ac:dyDescent="0.2">
      <c r="DY56462" s="185" t="s">
        <v>215</v>
      </c>
    </row>
    <row r="56463" spans="129:129" x14ac:dyDescent="0.2">
      <c r="DY56463" s="185" t="s">
        <v>215</v>
      </c>
    </row>
    <row r="56464" spans="129:129" x14ac:dyDescent="0.2">
      <c r="DY56464" s="185" t="s">
        <v>215</v>
      </c>
    </row>
    <row r="56465" spans="129:129" x14ac:dyDescent="0.2">
      <c r="DY56465" s="185" t="s">
        <v>215</v>
      </c>
    </row>
    <row r="56466" spans="129:129" x14ac:dyDescent="0.2">
      <c r="DY56466" s="185" t="s">
        <v>215</v>
      </c>
    </row>
    <row r="56467" spans="129:129" x14ac:dyDescent="0.2">
      <c r="DY56467" s="185" t="s">
        <v>215</v>
      </c>
    </row>
    <row r="56468" spans="129:129" x14ac:dyDescent="0.2">
      <c r="DY56468" s="185" t="s">
        <v>215</v>
      </c>
    </row>
    <row r="56469" spans="129:129" x14ac:dyDescent="0.2">
      <c r="DY56469" s="185" t="s">
        <v>215</v>
      </c>
    </row>
    <row r="56470" spans="129:129" x14ac:dyDescent="0.2">
      <c r="DY56470" s="185" t="s">
        <v>215</v>
      </c>
    </row>
    <row r="56471" spans="129:129" x14ac:dyDescent="0.2">
      <c r="DY56471" s="185" t="s">
        <v>215</v>
      </c>
    </row>
    <row r="56472" spans="129:129" x14ac:dyDescent="0.2">
      <c r="DY56472" s="185" t="s">
        <v>215</v>
      </c>
    </row>
    <row r="56473" spans="129:129" x14ac:dyDescent="0.2">
      <c r="DY56473" s="185" t="s">
        <v>215</v>
      </c>
    </row>
    <row r="56474" spans="129:129" x14ac:dyDescent="0.2">
      <c r="DY56474" s="185" t="s">
        <v>215</v>
      </c>
    </row>
    <row r="56475" spans="129:129" x14ac:dyDescent="0.2">
      <c r="DY56475" s="185" t="s">
        <v>215</v>
      </c>
    </row>
    <row r="56476" spans="129:129" x14ac:dyDescent="0.2">
      <c r="DY56476" s="185" t="s">
        <v>215</v>
      </c>
    </row>
    <row r="56477" spans="129:129" x14ac:dyDescent="0.2">
      <c r="DY56477" s="185" t="s">
        <v>215</v>
      </c>
    </row>
    <row r="56478" spans="129:129" x14ac:dyDescent="0.2">
      <c r="DY56478" s="185" t="s">
        <v>215</v>
      </c>
    </row>
    <row r="56479" spans="129:129" x14ac:dyDescent="0.2">
      <c r="DY56479" s="185" t="s">
        <v>215</v>
      </c>
    </row>
    <row r="56480" spans="129:129" x14ac:dyDescent="0.2">
      <c r="DY56480" s="185" t="s">
        <v>215</v>
      </c>
    </row>
    <row r="56481" spans="129:129" x14ac:dyDescent="0.2">
      <c r="DY56481" s="185" t="s">
        <v>215</v>
      </c>
    </row>
    <row r="56482" spans="129:129" x14ac:dyDescent="0.2">
      <c r="DY56482" s="185" t="s">
        <v>215</v>
      </c>
    </row>
    <row r="56483" spans="129:129" x14ac:dyDescent="0.2">
      <c r="DY56483" s="185" t="s">
        <v>215</v>
      </c>
    </row>
    <row r="56484" spans="129:129" x14ac:dyDescent="0.2">
      <c r="DY56484" s="185" t="s">
        <v>215</v>
      </c>
    </row>
    <row r="56485" spans="129:129" x14ac:dyDescent="0.2">
      <c r="DY56485" s="185" t="s">
        <v>215</v>
      </c>
    </row>
    <row r="56486" spans="129:129" x14ac:dyDescent="0.2">
      <c r="DY56486" s="185" t="s">
        <v>215</v>
      </c>
    </row>
    <row r="56487" spans="129:129" x14ac:dyDescent="0.2">
      <c r="DY56487" s="185" t="s">
        <v>215</v>
      </c>
    </row>
    <row r="56488" spans="129:129" x14ac:dyDescent="0.2">
      <c r="DY56488" s="185" t="s">
        <v>215</v>
      </c>
    </row>
    <row r="56489" spans="129:129" x14ac:dyDescent="0.2">
      <c r="DY56489" s="185" t="s">
        <v>215</v>
      </c>
    </row>
    <row r="56490" spans="129:129" x14ac:dyDescent="0.2">
      <c r="DY56490" s="185" t="s">
        <v>215</v>
      </c>
    </row>
    <row r="56491" spans="129:129" x14ac:dyDescent="0.2">
      <c r="DY56491" s="185" t="s">
        <v>215</v>
      </c>
    </row>
    <row r="56492" spans="129:129" x14ac:dyDescent="0.2">
      <c r="DY56492" s="185" t="s">
        <v>215</v>
      </c>
    </row>
    <row r="56493" spans="129:129" x14ac:dyDescent="0.2">
      <c r="DY56493" s="185" t="s">
        <v>215</v>
      </c>
    </row>
    <row r="56494" spans="129:129" x14ac:dyDescent="0.2">
      <c r="DY56494" s="185" t="s">
        <v>215</v>
      </c>
    </row>
    <row r="56495" spans="129:129" x14ac:dyDescent="0.2">
      <c r="DY56495" s="185" t="s">
        <v>215</v>
      </c>
    </row>
    <row r="56496" spans="129:129" x14ac:dyDescent="0.2">
      <c r="DY56496" s="185" t="s">
        <v>215</v>
      </c>
    </row>
    <row r="56497" spans="129:129" x14ac:dyDescent="0.2">
      <c r="DY56497" s="185" t="s">
        <v>215</v>
      </c>
    </row>
    <row r="56498" spans="129:129" x14ac:dyDescent="0.2">
      <c r="DY56498" s="185" t="s">
        <v>215</v>
      </c>
    </row>
    <row r="56499" spans="129:129" x14ac:dyDescent="0.2">
      <c r="DY56499" s="185" t="s">
        <v>215</v>
      </c>
    </row>
    <row r="56500" spans="129:129" x14ac:dyDescent="0.2">
      <c r="DY56500" s="185" t="s">
        <v>215</v>
      </c>
    </row>
    <row r="56501" spans="129:129" x14ac:dyDescent="0.2">
      <c r="DY56501" s="185" t="s">
        <v>215</v>
      </c>
    </row>
    <row r="56502" spans="129:129" x14ac:dyDescent="0.2">
      <c r="DY56502" s="185" t="s">
        <v>215</v>
      </c>
    </row>
    <row r="56503" spans="129:129" x14ac:dyDescent="0.2">
      <c r="DY56503" s="185" t="s">
        <v>215</v>
      </c>
    </row>
    <row r="56504" spans="129:129" x14ac:dyDescent="0.2">
      <c r="DY56504" s="185" t="s">
        <v>215</v>
      </c>
    </row>
    <row r="56505" spans="129:129" x14ac:dyDescent="0.2">
      <c r="DY56505" s="185" t="s">
        <v>215</v>
      </c>
    </row>
    <row r="56506" spans="129:129" x14ac:dyDescent="0.2">
      <c r="DY56506" s="185" t="s">
        <v>215</v>
      </c>
    </row>
    <row r="56507" spans="129:129" x14ac:dyDescent="0.2">
      <c r="DY56507" s="185" t="s">
        <v>215</v>
      </c>
    </row>
    <row r="56508" spans="129:129" x14ac:dyDescent="0.2">
      <c r="DY56508" s="185" t="s">
        <v>215</v>
      </c>
    </row>
    <row r="56509" spans="129:129" x14ac:dyDescent="0.2">
      <c r="DY56509" s="185" t="s">
        <v>215</v>
      </c>
    </row>
    <row r="56510" spans="129:129" x14ac:dyDescent="0.2">
      <c r="DY56510" s="185" t="s">
        <v>215</v>
      </c>
    </row>
    <row r="56511" spans="129:129" x14ac:dyDescent="0.2">
      <c r="DY56511" s="185" t="s">
        <v>215</v>
      </c>
    </row>
    <row r="56512" spans="129:129" x14ac:dyDescent="0.2">
      <c r="DY56512" s="185" t="s">
        <v>215</v>
      </c>
    </row>
    <row r="56513" spans="129:129" x14ac:dyDescent="0.2">
      <c r="DY56513" s="185" t="s">
        <v>215</v>
      </c>
    </row>
    <row r="56514" spans="129:129" x14ac:dyDescent="0.2">
      <c r="DY56514" s="185" t="s">
        <v>215</v>
      </c>
    </row>
    <row r="56515" spans="129:129" x14ac:dyDescent="0.2">
      <c r="DY56515" s="185" t="s">
        <v>215</v>
      </c>
    </row>
    <row r="56516" spans="129:129" x14ac:dyDescent="0.2">
      <c r="DY56516" s="185" t="s">
        <v>215</v>
      </c>
    </row>
    <row r="56517" spans="129:129" x14ac:dyDescent="0.2">
      <c r="DY56517" s="185" t="s">
        <v>215</v>
      </c>
    </row>
    <row r="56518" spans="129:129" x14ac:dyDescent="0.2">
      <c r="DY56518" s="185" t="s">
        <v>215</v>
      </c>
    </row>
    <row r="56519" spans="129:129" x14ac:dyDescent="0.2">
      <c r="DY56519" s="185" t="s">
        <v>215</v>
      </c>
    </row>
    <row r="56520" spans="129:129" x14ac:dyDescent="0.2">
      <c r="DY56520" s="185" t="s">
        <v>215</v>
      </c>
    </row>
    <row r="56521" spans="129:129" x14ac:dyDescent="0.2">
      <c r="DY56521" s="185" t="s">
        <v>215</v>
      </c>
    </row>
    <row r="56522" spans="129:129" x14ac:dyDescent="0.2">
      <c r="DY56522" s="185" t="s">
        <v>215</v>
      </c>
    </row>
    <row r="56523" spans="129:129" x14ac:dyDescent="0.2">
      <c r="DY56523" s="185" t="s">
        <v>215</v>
      </c>
    </row>
    <row r="56524" spans="129:129" x14ac:dyDescent="0.2">
      <c r="DY56524" s="185" t="s">
        <v>215</v>
      </c>
    </row>
    <row r="56525" spans="129:129" x14ac:dyDescent="0.2">
      <c r="DY56525" s="185" t="s">
        <v>215</v>
      </c>
    </row>
    <row r="56526" spans="129:129" x14ac:dyDescent="0.2">
      <c r="DY56526" s="185" t="s">
        <v>215</v>
      </c>
    </row>
    <row r="56527" spans="129:129" x14ac:dyDescent="0.2">
      <c r="DY56527" s="185" t="s">
        <v>215</v>
      </c>
    </row>
    <row r="56528" spans="129:129" x14ac:dyDescent="0.2">
      <c r="DY56528" s="185" t="s">
        <v>215</v>
      </c>
    </row>
    <row r="56529" spans="129:129" x14ac:dyDescent="0.2">
      <c r="DY56529" s="185" t="s">
        <v>215</v>
      </c>
    </row>
    <row r="56530" spans="129:129" x14ac:dyDescent="0.2">
      <c r="DY56530" s="185" t="s">
        <v>215</v>
      </c>
    </row>
    <row r="56531" spans="129:129" x14ac:dyDescent="0.2">
      <c r="DY56531" s="185" t="s">
        <v>215</v>
      </c>
    </row>
    <row r="56532" spans="129:129" x14ac:dyDescent="0.2">
      <c r="DY56532" s="185" t="s">
        <v>215</v>
      </c>
    </row>
    <row r="56533" spans="129:129" x14ac:dyDescent="0.2">
      <c r="DY56533" s="185" t="s">
        <v>215</v>
      </c>
    </row>
    <row r="56534" spans="129:129" x14ac:dyDescent="0.2">
      <c r="DY56534" s="185" t="s">
        <v>215</v>
      </c>
    </row>
    <row r="56535" spans="129:129" x14ac:dyDescent="0.2">
      <c r="DY56535" s="185" t="s">
        <v>215</v>
      </c>
    </row>
    <row r="56536" spans="129:129" x14ac:dyDescent="0.2">
      <c r="DY56536" s="185" t="s">
        <v>215</v>
      </c>
    </row>
    <row r="56537" spans="129:129" x14ac:dyDescent="0.2">
      <c r="DY56537" s="185" t="s">
        <v>215</v>
      </c>
    </row>
    <row r="56538" spans="129:129" x14ac:dyDescent="0.2">
      <c r="DY56538" s="185" t="s">
        <v>215</v>
      </c>
    </row>
    <row r="56539" spans="129:129" x14ac:dyDescent="0.2">
      <c r="DY56539" s="185" t="s">
        <v>215</v>
      </c>
    </row>
    <row r="56540" spans="129:129" x14ac:dyDescent="0.2">
      <c r="DY56540" s="185" t="s">
        <v>215</v>
      </c>
    </row>
    <row r="56541" spans="129:129" x14ac:dyDescent="0.2">
      <c r="DY56541" s="185" t="s">
        <v>215</v>
      </c>
    </row>
    <row r="56542" spans="129:129" x14ac:dyDescent="0.2">
      <c r="DY56542" s="185" t="s">
        <v>215</v>
      </c>
    </row>
    <row r="56543" spans="129:129" x14ac:dyDescent="0.2">
      <c r="DY56543" s="185" t="s">
        <v>215</v>
      </c>
    </row>
    <row r="56544" spans="129:129" x14ac:dyDescent="0.2">
      <c r="DY56544" s="185" t="s">
        <v>215</v>
      </c>
    </row>
    <row r="56545" spans="129:129" x14ac:dyDescent="0.2">
      <c r="DY56545" s="185" t="s">
        <v>215</v>
      </c>
    </row>
    <row r="56546" spans="129:129" x14ac:dyDescent="0.2">
      <c r="DY56546" s="185" t="s">
        <v>215</v>
      </c>
    </row>
    <row r="56547" spans="129:129" x14ac:dyDescent="0.2">
      <c r="DY56547" s="185" t="s">
        <v>215</v>
      </c>
    </row>
    <row r="56548" spans="129:129" x14ac:dyDescent="0.2">
      <c r="DY56548" s="185" t="s">
        <v>215</v>
      </c>
    </row>
    <row r="56549" spans="129:129" x14ac:dyDescent="0.2">
      <c r="DY56549" s="185" t="s">
        <v>215</v>
      </c>
    </row>
    <row r="56550" spans="129:129" x14ac:dyDescent="0.2">
      <c r="DY56550" s="185" t="s">
        <v>215</v>
      </c>
    </row>
    <row r="56551" spans="129:129" x14ac:dyDescent="0.2">
      <c r="DY56551" s="185" t="s">
        <v>215</v>
      </c>
    </row>
    <row r="56552" spans="129:129" x14ac:dyDescent="0.2">
      <c r="DY56552" s="185" t="s">
        <v>215</v>
      </c>
    </row>
    <row r="56553" spans="129:129" x14ac:dyDescent="0.2">
      <c r="DY56553" s="185" t="s">
        <v>215</v>
      </c>
    </row>
    <row r="56554" spans="129:129" x14ac:dyDescent="0.2">
      <c r="DY56554" s="185" t="s">
        <v>215</v>
      </c>
    </row>
    <row r="56555" spans="129:129" x14ac:dyDescent="0.2">
      <c r="DY56555" s="185" t="s">
        <v>215</v>
      </c>
    </row>
    <row r="56556" spans="129:129" x14ac:dyDescent="0.2">
      <c r="DY56556" s="185" t="s">
        <v>215</v>
      </c>
    </row>
    <row r="56557" spans="129:129" x14ac:dyDescent="0.2">
      <c r="DY56557" s="185" t="s">
        <v>215</v>
      </c>
    </row>
    <row r="56558" spans="129:129" x14ac:dyDescent="0.2">
      <c r="DY56558" s="185" t="s">
        <v>215</v>
      </c>
    </row>
    <row r="56559" spans="129:129" x14ac:dyDescent="0.2">
      <c r="DY56559" s="185" t="s">
        <v>215</v>
      </c>
    </row>
    <row r="56560" spans="129:129" x14ac:dyDescent="0.2">
      <c r="DY56560" s="185" t="s">
        <v>215</v>
      </c>
    </row>
    <row r="56561" spans="129:129" x14ac:dyDescent="0.2">
      <c r="DY56561" s="185" t="s">
        <v>215</v>
      </c>
    </row>
    <row r="56562" spans="129:129" x14ac:dyDescent="0.2">
      <c r="DY56562" s="185" t="s">
        <v>215</v>
      </c>
    </row>
    <row r="56563" spans="129:129" x14ac:dyDescent="0.2">
      <c r="DY56563" s="185" t="s">
        <v>215</v>
      </c>
    </row>
    <row r="56564" spans="129:129" x14ac:dyDescent="0.2">
      <c r="DY56564" s="185" t="s">
        <v>215</v>
      </c>
    </row>
    <row r="56565" spans="129:129" x14ac:dyDescent="0.2">
      <c r="DY56565" s="185" t="s">
        <v>215</v>
      </c>
    </row>
    <row r="56566" spans="129:129" x14ac:dyDescent="0.2">
      <c r="DY56566" s="185" t="s">
        <v>215</v>
      </c>
    </row>
    <row r="56567" spans="129:129" x14ac:dyDescent="0.2">
      <c r="DY56567" s="185" t="s">
        <v>215</v>
      </c>
    </row>
    <row r="56568" spans="129:129" x14ac:dyDescent="0.2">
      <c r="DY56568" s="185" t="s">
        <v>215</v>
      </c>
    </row>
    <row r="56569" spans="129:129" x14ac:dyDescent="0.2">
      <c r="DY56569" s="185" t="s">
        <v>215</v>
      </c>
    </row>
    <row r="56570" spans="129:129" x14ac:dyDescent="0.2">
      <c r="DY56570" s="185" t="s">
        <v>215</v>
      </c>
    </row>
    <row r="56571" spans="129:129" x14ac:dyDescent="0.2">
      <c r="DY56571" s="185" t="s">
        <v>215</v>
      </c>
    </row>
    <row r="56572" spans="129:129" x14ac:dyDescent="0.2">
      <c r="DY56572" s="185" t="s">
        <v>215</v>
      </c>
    </row>
    <row r="56573" spans="129:129" x14ac:dyDescent="0.2">
      <c r="DY56573" s="185" t="s">
        <v>215</v>
      </c>
    </row>
    <row r="56574" spans="129:129" x14ac:dyDescent="0.2">
      <c r="DY56574" s="185" t="s">
        <v>215</v>
      </c>
    </row>
    <row r="56575" spans="129:129" x14ac:dyDescent="0.2">
      <c r="DY56575" s="185" t="s">
        <v>215</v>
      </c>
    </row>
    <row r="56576" spans="129:129" x14ac:dyDescent="0.2">
      <c r="DY56576" s="185" t="s">
        <v>215</v>
      </c>
    </row>
    <row r="56577" spans="129:129" x14ac:dyDescent="0.2">
      <c r="DY56577" s="185" t="s">
        <v>215</v>
      </c>
    </row>
    <row r="56578" spans="129:129" x14ac:dyDescent="0.2">
      <c r="DY56578" s="185" t="s">
        <v>215</v>
      </c>
    </row>
    <row r="56579" spans="129:129" x14ac:dyDescent="0.2">
      <c r="DY56579" s="185" t="s">
        <v>215</v>
      </c>
    </row>
    <row r="56580" spans="129:129" x14ac:dyDescent="0.2">
      <c r="DY56580" s="185" t="s">
        <v>215</v>
      </c>
    </row>
    <row r="56581" spans="129:129" x14ac:dyDescent="0.2">
      <c r="DY56581" s="185" t="s">
        <v>215</v>
      </c>
    </row>
    <row r="56582" spans="129:129" x14ac:dyDescent="0.2">
      <c r="DY56582" s="185" t="s">
        <v>215</v>
      </c>
    </row>
    <row r="56583" spans="129:129" x14ac:dyDescent="0.2">
      <c r="DY56583" s="185" t="s">
        <v>215</v>
      </c>
    </row>
    <row r="56584" spans="129:129" x14ac:dyDescent="0.2">
      <c r="DY56584" s="185" t="s">
        <v>215</v>
      </c>
    </row>
    <row r="56585" spans="129:129" x14ac:dyDescent="0.2">
      <c r="DY56585" s="185" t="s">
        <v>215</v>
      </c>
    </row>
    <row r="56586" spans="129:129" x14ac:dyDescent="0.2">
      <c r="DY56586" s="185" t="s">
        <v>215</v>
      </c>
    </row>
    <row r="56587" spans="129:129" x14ac:dyDescent="0.2">
      <c r="DY56587" s="185" t="s">
        <v>215</v>
      </c>
    </row>
    <row r="56588" spans="129:129" x14ac:dyDescent="0.2">
      <c r="DY56588" s="185" t="s">
        <v>215</v>
      </c>
    </row>
    <row r="56589" spans="129:129" x14ac:dyDescent="0.2">
      <c r="DY56589" s="185" t="s">
        <v>215</v>
      </c>
    </row>
    <row r="56590" spans="129:129" x14ac:dyDescent="0.2">
      <c r="DY56590" s="185" t="s">
        <v>215</v>
      </c>
    </row>
    <row r="56591" spans="129:129" x14ac:dyDescent="0.2">
      <c r="DY56591" s="185" t="s">
        <v>215</v>
      </c>
    </row>
    <row r="56592" spans="129:129" x14ac:dyDescent="0.2">
      <c r="DY56592" s="185" t="s">
        <v>215</v>
      </c>
    </row>
    <row r="56593" spans="129:129" x14ac:dyDescent="0.2">
      <c r="DY56593" s="185" t="s">
        <v>215</v>
      </c>
    </row>
    <row r="56594" spans="129:129" x14ac:dyDescent="0.2">
      <c r="DY56594" s="185" t="s">
        <v>215</v>
      </c>
    </row>
    <row r="56595" spans="129:129" x14ac:dyDescent="0.2">
      <c r="DY56595" s="185" t="s">
        <v>215</v>
      </c>
    </row>
    <row r="56596" spans="129:129" x14ac:dyDescent="0.2">
      <c r="DY56596" s="185" t="s">
        <v>215</v>
      </c>
    </row>
    <row r="56597" spans="129:129" x14ac:dyDescent="0.2">
      <c r="DY56597" s="185" t="s">
        <v>215</v>
      </c>
    </row>
    <row r="56598" spans="129:129" x14ac:dyDescent="0.2">
      <c r="DY56598" s="185" t="s">
        <v>215</v>
      </c>
    </row>
    <row r="56599" spans="129:129" x14ac:dyDescent="0.2">
      <c r="DY56599" s="185" t="s">
        <v>215</v>
      </c>
    </row>
    <row r="56600" spans="129:129" x14ac:dyDescent="0.2">
      <c r="DY56600" s="185" t="s">
        <v>215</v>
      </c>
    </row>
    <row r="56601" spans="129:129" x14ac:dyDescent="0.2">
      <c r="DY56601" s="185" t="s">
        <v>215</v>
      </c>
    </row>
    <row r="56602" spans="129:129" x14ac:dyDescent="0.2">
      <c r="DY56602" s="185" t="s">
        <v>215</v>
      </c>
    </row>
    <row r="56603" spans="129:129" x14ac:dyDescent="0.2">
      <c r="DY56603" s="185" t="s">
        <v>215</v>
      </c>
    </row>
    <row r="56604" spans="129:129" x14ac:dyDescent="0.2">
      <c r="DY56604" s="185" t="s">
        <v>215</v>
      </c>
    </row>
    <row r="56605" spans="129:129" x14ac:dyDescent="0.2">
      <c r="DY56605" s="185" t="s">
        <v>215</v>
      </c>
    </row>
    <row r="56606" spans="129:129" x14ac:dyDescent="0.2">
      <c r="DY56606" s="185" t="s">
        <v>215</v>
      </c>
    </row>
    <row r="56607" spans="129:129" x14ac:dyDescent="0.2">
      <c r="DY56607" s="185" t="s">
        <v>215</v>
      </c>
    </row>
    <row r="56608" spans="129:129" x14ac:dyDescent="0.2">
      <c r="DY56608" s="185" t="s">
        <v>215</v>
      </c>
    </row>
    <row r="56609" spans="129:129" x14ac:dyDescent="0.2">
      <c r="DY56609" s="185" t="s">
        <v>215</v>
      </c>
    </row>
    <row r="56610" spans="129:129" x14ac:dyDescent="0.2">
      <c r="DY56610" s="185" t="s">
        <v>215</v>
      </c>
    </row>
    <row r="56611" spans="129:129" x14ac:dyDescent="0.2">
      <c r="DY56611" s="185" t="s">
        <v>215</v>
      </c>
    </row>
    <row r="56612" spans="129:129" x14ac:dyDescent="0.2">
      <c r="DY56612" s="185" t="s">
        <v>215</v>
      </c>
    </row>
    <row r="56613" spans="129:129" x14ac:dyDescent="0.2">
      <c r="DY56613" s="185" t="s">
        <v>215</v>
      </c>
    </row>
    <row r="56614" spans="129:129" x14ac:dyDescent="0.2">
      <c r="DY56614" s="185" t="s">
        <v>215</v>
      </c>
    </row>
    <row r="56615" spans="129:129" x14ac:dyDescent="0.2">
      <c r="DY56615" s="185" t="s">
        <v>215</v>
      </c>
    </row>
    <row r="56616" spans="129:129" x14ac:dyDescent="0.2">
      <c r="DY56616" s="185" t="s">
        <v>215</v>
      </c>
    </row>
    <row r="56617" spans="129:129" x14ac:dyDescent="0.2">
      <c r="DY56617" s="185" t="s">
        <v>215</v>
      </c>
    </row>
    <row r="56618" spans="129:129" x14ac:dyDescent="0.2">
      <c r="DY56618" s="185" t="s">
        <v>215</v>
      </c>
    </row>
    <row r="56619" spans="129:129" x14ac:dyDescent="0.2">
      <c r="DY56619" s="185" t="s">
        <v>215</v>
      </c>
    </row>
    <row r="56620" spans="129:129" x14ac:dyDescent="0.2">
      <c r="DY56620" s="185" t="s">
        <v>215</v>
      </c>
    </row>
    <row r="56621" spans="129:129" x14ac:dyDescent="0.2">
      <c r="DY56621" s="185" t="s">
        <v>215</v>
      </c>
    </row>
    <row r="56622" spans="129:129" x14ac:dyDescent="0.2">
      <c r="DY56622" s="185" t="s">
        <v>215</v>
      </c>
    </row>
    <row r="56623" spans="129:129" x14ac:dyDescent="0.2">
      <c r="DY56623" s="185" t="s">
        <v>215</v>
      </c>
    </row>
    <row r="56624" spans="129:129" x14ac:dyDescent="0.2">
      <c r="DY56624" s="185" t="s">
        <v>215</v>
      </c>
    </row>
    <row r="56625" spans="129:129" x14ac:dyDescent="0.2">
      <c r="DY56625" s="185" t="s">
        <v>215</v>
      </c>
    </row>
    <row r="56626" spans="129:129" x14ac:dyDescent="0.2">
      <c r="DY56626" s="185" t="s">
        <v>215</v>
      </c>
    </row>
    <row r="56627" spans="129:129" x14ac:dyDescent="0.2">
      <c r="DY56627" s="185" t="s">
        <v>215</v>
      </c>
    </row>
    <row r="56628" spans="129:129" x14ac:dyDescent="0.2">
      <c r="DY56628" s="185" t="s">
        <v>215</v>
      </c>
    </row>
    <row r="56629" spans="129:129" x14ac:dyDescent="0.2">
      <c r="DY56629" s="185" t="s">
        <v>215</v>
      </c>
    </row>
    <row r="56630" spans="129:129" x14ac:dyDescent="0.2">
      <c r="DY56630" s="185" t="s">
        <v>215</v>
      </c>
    </row>
    <row r="56631" spans="129:129" x14ac:dyDescent="0.2">
      <c r="DY56631" s="185" t="s">
        <v>215</v>
      </c>
    </row>
    <row r="56632" spans="129:129" x14ac:dyDescent="0.2">
      <c r="DY56632" s="185" t="s">
        <v>215</v>
      </c>
    </row>
    <row r="56633" spans="129:129" x14ac:dyDescent="0.2">
      <c r="DY56633" s="185" t="s">
        <v>215</v>
      </c>
    </row>
    <row r="56634" spans="129:129" x14ac:dyDescent="0.2">
      <c r="DY56634" s="185" t="s">
        <v>215</v>
      </c>
    </row>
    <row r="56635" spans="129:129" x14ac:dyDescent="0.2">
      <c r="DY56635" s="185" t="s">
        <v>215</v>
      </c>
    </row>
    <row r="56636" spans="129:129" x14ac:dyDescent="0.2">
      <c r="DY56636" s="185" t="s">
        <v>215</v>
      </c>
    </row>
    <row r="56637" spans="129:129" x14ac:dyDescent="0.2">
      <c r="DY56637" s="185" t="s">
        <v>215</v>
      </c>
    </row>
    <row r="56638" spans="129:129" x14ac:dyDescent="0.2">
      <c r="DY56638" s="185" t="s">
        <v>215</v>
      </c>
    </row>
    <row r="56639" spans="129:129" x14ac:dyDescent="0.2">
      <c r="DY56639" s="185" t="s">
        <v>215</v>
      </c>
    </row>
    <row r="56640" spans="129:129" x14ac:dyDescent="0.2">
      <c r="DY56640" s="185" t="s">
        <v>215</v>
      </c>
    </row>
    <row r="56641" spans="129:129" x14ac:dyDescent="0.2">
      <c r="DY56641" s="185" t="s">
        <v>215</v>
      </c>
    </row>
    <row r="56642" spans="129:129" x14ac:dyDescent="0.2">
      <c r="DY56642" s="185" t="s">
        <v>215</v>
      </c>
    </row>
    <row r="56643" spans="129:129" x14ac:dyDescent="0.2">
      <c r="DY56643" s="185" t="s">
        <v>215</v>
      </c>
    </row>
    <row r="56644" spans="129:129" x14ac:dyDescent="0.2">
      <c r="DY56644" s="185" t="s">
        <v>215</v>
      </c>
    </row>
    <row r="56645" spans="129:129" x14ac:dyDescent="0.2">
      <c r="DY56645" s="185" t="s">
        <v>215</v>
      </c>
    </row>
    <row r="56646" spans="129:129" x14ac:dyDescent="0.2">
      <c r="DY56646" s="185" t="s">
        <v>215</v>
      </c>
    </row>
    <row r="56647" spans="129:129" x14ac:dyDescent="0.2">
      <c r="DY56647" s="185" t="s">
        <v>215</v>
      </c>
    </row>
    <row r="56648" spans="129:129" x14ac:dyDescent="0.2">
      <c r="DY56648" s="185" t="s">
        <v>215</v>
      </c>
    </row>
    <row r="56649" spans="129:129" x14ac:dyDescent="0.2">
      <c r="DY56649" s="185" t="s">
        <v>215</v>
      </c>
    </row>
    <row r="56650" spans="129:129" x14ac:dyDescent="0.2">
      <c r="DY56650" s="185" t="s">
        <v>215</v>
      </c>
    </row>
    <row r="56651" spans="129:129" x14ac:dyDescent="0.2">
      <c r="DY56651" s="185" t="s">
        <v>215</v>
      </c>
    </row>
    <row r="56652" spans="129:129" x14ac:dyDescent="0.2">
      <c r="DY56652" s="185" t="s">
        <v>215</v>
      </c>
    </row>
    <row r="56653" spans="129:129" x14ac:dyDescent="0.2">
      <c r="DY56653" s="185" t="s">
        <v>215</v>
      </c>
    </row>
    <row r="56654" spans="129:129" x14ac:dyDescent="0.2">
      <c r="DY56654" s="185" t="s">
        <v>215</v>
      </c>
    </row>
    <row r="56655" spans="129:129" x14ac:dyDescent="0.2">
      <c r="DY56655" s="185" t="s">
        <v>215</v>
      </c>
    </row>
    <row r="56656" spans="129:129" x14ac:dyDescent="0.2">
      <c r="DY56656" s="185" t="s">
        <v>215</v>
      </c>
    </row>
    <row r="56657" spans="129:129" x14ac:dyDescent="0.2">
      <c r="DY56657" s="185" t="s">
        <v>215</v>
      </c>
    </row>
    <row r="56658" spans="129:129" x14ac:dyDescent="0.2">
      <c r="DY56658" s="185" t="s">
        <v>215</v>
      </c>
    </row>
    <row r="56659" spans="129:129" x14ac:dyDescent="0.2">
      <c r="DY56659" s="185" t="s">
        <v>215</v>
      </c>
    </row>
    <row r="56660" spans="129:129" x14ac:dyDescent="0.2">
      <c r="DY56660" s="185" t="s">
        <v>215</v>
      </c>
    </row>
    <row r="56661" spans="129:129" x14ac:dyDescent="0.2">
      <c r="DY56661" s="185" t="s">
        <v>215</v>
      </c>
    </row>
    <row r="56662" spans="129:129" x14ac:dyDescent="0.2">
      <c r="DY56662" s="185" t="s">
        <v>215</v>
      </c>
    </row>
    <row r="56663" spans="129:129" x14ac:dyDescent="0.2">
      <c r="DY56663" s="185" t="s">
        <v>215</v>
      </c>
    </row>
    <row r="56664" spans="129:129" x14ac:dyDescent="0.2">
      <c r="DY56664" s="185" t="s">
        <v>215</v>
      </c>
    </row>
    <row r="56665" spans="129:129" x14ac:dyDescent="0.2">
      <c r="DY56665" s="185" t="s">
        <v>215</v>
      </c>
    </row>
    <row r="56666" spans="129:129" x14ac:dyDescent="0.2">
      <c r="DY56666" s="185" t="s">
        <v>215</v>
      </c>
    </row>
    <row r="56667" spans="129:129" x14ac:dyDescent="0.2">
      <c r="DY56667" s="185" t="s">
        <v>215</v>
      </c>
    </row>
    <row r="56668" spans="129:129" x14ac:dyDescent="0.2">
      <c r="DY56668" s="185" t="s">
        <v>215</v>
      </c>
    </row>
    <row r="56669" spans="129:129" x14ac:dyDescent="0.2">
      <c r="DY56669" s="185" t="s">
        <v>215</v>
      </c>
    </row>
    <row r="56670" spans="129:129" x14ac:dyDescent="0.2">
      <c r="DY56670" s="185" t="s">
        <v>215</v>
      </c>
    </row>
    <row r="56671" spans="129:129" x14ac:dyDescent="0.2">
      <c r="DY56671" s="185" t="s">
        <v>215</v>
      </c>
    </row>
    <row r="56672" spans="129:129" x14ac:dyDescent="0.2">
      <c r="DY56672" s="185" t="s">
        <v>215</v>
      </c>
    </row>
    <row r="56673" spans="129:129" x14ac:dyDescent="0.2">
      <c r="DY56673" s="185" t="s">
        <v>215</v>
      </c>
    </row>
    <row r="56674" spans="129:129" x14ac:dyDescent="0.2">
      <c r="DY56674" s="185" t="s">
        <v>215</v>
      </c>
    </row>
    <row r="56675" spans="129:129" x14ac:dyDescent="0.2">
      <c r="DY56675" s="185" t="s">
        <v>215</v>
      </c>
    </row>
    <row r="56676" spans="129:129" x14ac:dyDescent="0.2">
      <c r="DY56676" s="185" t="s">
        <v>215</v>
      </c>
    </row>
    <row r="56677" spans="129:129" x14ac:dyDescent="0.2">
      <c r="DY56677" s="185" t="s">
        <v>215</v>
      </c>
    </row>
    <row r="56678" spans="129:129" x14ac:dyDescent="0.2">
      <c r="DY56678" s="185" t="s">
        <v>215</v>
      </c>
    </row>
    <row r="56679" spans="129:129" x14ac:dyDescent="0.2">
      <c r="DY56679" s="185" t="s">
        <v>215</v>
      </c>
    </row>
    <row r="56680" spans="129:129" x14ac:dyDescent="0.2">
      <c r="DY56680" s="185" t="s">
        <v>215</v>
      </c>
    </row>
    <row r="56681" spans="129:129" x14ac:dyDescent="0.2">
      <c r="DY56681" s="185" t="s">
        <v>215</v>
      </c>
    </row>
    <row r="56682" spans="129:129" x14ac:dyDescent="0.2">
      <c r="DY56682" s="185" t="s">
        <v>215</v>
      </c>
    </row>
    <row r="56683" spans="129:129" x14ac:dyDescent="0.2">
      <c r="DY56683" s="185" t="s">
        <v>215</v>
      </c>
    </row>
    <row r="56684" spans="129:129" x14ac:dyDescent="0.2">
      <c r="DY56684" s="185" t="s">
        <v>215</v>
      </c>
    </row>
    <row r="56685" spans="129:129" x14ac:dyDescent="0.2">
      <c r="DY56685" s="185" t="s">
        <v>215</v>
      </c>
    </row>
    <row r="56686" spans="129:129" x14ac:dyDescent="0.2">
      <c r="DY56686" s="185" t="s">
        <v>215</v>
      </c>
    </row>
    <row r="56687" spans="129:129" x14ac:dyDescent="0.2">
      <c r="DY56687" s="185" t="s">
        <v>215</v>
      </c>
    </row>
    <row r="56688" spans="129:129" x14ac:dyDescent="0.2">
      <c r="DY56688" s="185" t="s">
        <v>215</v>
      </c>
    </row>
    <row r="56689" spans="129:129" x14ac:dyDescent="0.2">
      <c r="DY56689" s="185" t="s">
        <v>215</v>
      </c>
    </row>
    <row r="56690" spans="129:129" x14ac:dyDescent="0.2">
      <c r="DY56690" s="185" t="s">
        <v>215</v>
      </c>
    </row>
    <row r="56691" spans="129:129" x14ac:dyDescent="0.2">
      <c r="DY56691" s="185" t="s">
        <v>215</v>
      </c>
    </row>
    <row r="56692" spans="129:129" x14ac:dyDescent="0.2">
      <c r="DY56692" s="185" t="s">
        <v>215</v>
      </c>
    </row>
    <row r="56693" spans="129:129" x14ac:dyDescent="0.2">
      <c r="DY56693" s="185" t="s">
        <v>215</v>
      </c>
    </row>
    <row r="56694" spans="129:129" x14ac:dyDescent="0.2">
      <c r="DY56694" s="185" t="s">
        <v>215</v>
      </c>
    </row>
    <row r="56695" spans="129:129" x14ac:dyDescent="0.2">
      <c r="DY56695" s="185" t="s">
        <v>215</v>
      </c>
    </row>
    <row r="56696" spans="129:129" x14ac:dyDescent="0.2">
      <c r="DY56696" s="185" t="s">
        <v>215</v>
      </c>
    </row>
    <row r="56697" spans="129:129" x14ac:dyDescent="0.2">
      <c r="DY56697" s="185" t="s">
        <v>215</v>
      </c>
    </row>
    <row r="56698" spans="129:129" x14ac:dyDescent="0.2">
      <c r="DY56698" s="185" t="s">
        <v>215</v>
      </c>
    </row>
    <row r="56699" spans="129:129" x14ac:dyDescent="0.2">
      <c r="DY56699" s="185" t="s">
        <v>215</v>
      </c>
    </row>
    <row r="56700" spans="129:129" x14ac:dyDescent="0.2">
      <c r="DY56700" s="185" t="s">
        <v>215</v>
      </c>
    </row>
    <row r="56701" spans="129:129" x14ac:dyDescent="0.2">
      <c r="DY56701" s="185" t="s">
        <v>215</v>
      </c>
    </row>
    <row r="56702" spans="129:129" x14ac:dyDescent="0.2">
      <c r="DY56702" s="185" t="s">
        <v>215</v>
      </c>
    </row>
    <row r="56703" spans="129:129" x14ac:dyDescent="0.2">
      <c r="DY56703" s="185" t="s">
        <v>215</v>
      </c>
    </row>
    <row r="56704" spans="129:129" x14ac:dyDescent="0.2">
      <c r="DY56704" s="185" t="s">
        <v>215</v>
      </c>
    </row>
    <row r="56705" spans="129:129" x14ac:dyDescent="0.2">
      <c r="DY56705" s="185" t="s">
        <v>215</v>
      </c>
    </row>
    <row r="56706" spans="129:129" x14ac:dyDescent="0.2">
      <c r="DY56706" s="185" t="s">
        <v>215</v>
      </c>
    </row>
    <row r="56707" spans="129:129" x14ac:dyDescent="0.2">
      <c r="DY56707" s="185" t="s">
        <v>215</v>
      </c>
    </row>
    <row r="56708" spans="129:129" x14ac:dyDescent="0.2">
      <c r="DY56708" s="185" t="s">
        <v>215</v>
      </c>
    </row>
    <row r="56709" spans="129:129" x14ac:dyDescent="0.2">
      <c r="DY56709" s="185" t="s">
        <v>215</v>
      </c>
    </row>
    <row r="56710" spans="129:129" x14ac:dyDescent="0.2">
      <c r="DY56710" s="185" t="s">
        <v>215</v>
      </c>
    </row>
    <row r="56711" spans="129:129" x14ac:dyDescent="0.2">
      <c r="DY56711" s="185" t="s">
        <v>215</v>
      </c>
    </row>
    <row r="56712" spans="129:129" x14ac:dyDescent="0.2">
      <c r="DY56712" s="185" t="s">
        <v>215</v>
      </c>
    </row>
    <row r="56713" spans="129:129" x14ac:dyDescent="0.2">
      <c r="DY56713" s="185" t="s">
        <v>215</v>
      </c>
    </row>
    <row r="56714" spans="129:129" x14ac:dyDescent="0.2">
      <c r="DY56714" s="185" t="s">
        <v>215</v>
      </c>
    </row>
    <row r="56715" spans="129:129" x14ac:dyDescent="0.2">
      <c r="DY56715" s="185" t="s">
        <v>215</v>
      </c>
    </row>
    <row r="56716" spans="129:129" x14ac:dyDescent="0.2">
      <c r="DY56716" s="185" t="s">
        <v>215</v>
      </c>
    </row>
    <row r="56717" spans="129:129" x14ac:dyDescent="0.2">
      <c r="DY56717" s="185" t="s">
        <v>215</v>
      </c>
    </row>
    <row r="56718" spans="129:129" x14ac:dyDescent="0.2">
      <c r="DY56718" s="185" t="s">
        <v>215</v>
      </c>
    </row>
    <row r="56719" spans="129:129" x14ac:dyDescent="0.2">
      <c r="DY56719" s="185" t="s">
        <v>215</v>
      </c>
    </row>
    <row r="56720" spans="129:129" x14ac:dyDescent="0.2">
      <c r="DY56720" s="185" t="s">
        <v>215</v>
      </c>
    </row>
    <row r="56721" spans="129:129" x14ac:dyDescent="0.2">
      <c r="DY56721" s="185" t="s">
        <v>215</v>
      </c>
    </row>
    <row r="56722" spans="129:129" x14ac:dyDescent="0.2">
      <c r="DY56722" s="185" t="s">
        <v>215</v>
      </c>
    </row>
    <row r="56723" spans="129:129" x14ac:dyDescent="0.2">
      <c r="DY56723" s="185" t="s">
        <v>215</v>
      </c>
    </row>
    <row r="56724" spans="129:129" x14ac:dyDescent="0.2">
      <c r="DY56724" s="185" t="s">
        <v>215</v>
      </c>
    </row>
    <row r="56725" spans="129:129" x14ac:dyDescent="0.2">
      <c r="DY56725" s="185" t="s">
        <v>215</v>
      </c>
    </row>
    <row r="56726" spans="129:129" x14ac:dyDescent="0.2">
      <c r="DY56726" s="185" t="s">
        <v>215</v>
      </c>
    </row>
    <row r="56727" spans="129:129" x14ac:dyDescent="0.2">
      <c r="DY56727" s="185" t="s">
        <v>215</v>
      </c>
    </row>
    <row r="56728" spans="129:129" x14ac:dyDescent="0.2">
      <c r="DY56728" s="185" t="s">
        <v>215</v>
      </c>
    </row>
    <row r="56729" spans="129:129" x14ac:dyDescent="0.2">
      <c r="DY56729" s="185" t="s">
        <v>215</v>
      </c>
    </row>
    <row r="56730" spans="129:129" x14ac:dyDescent="0.2">
      <c r="DY56730" s="185" t="s">
        <v>215</v>
      </c>
    </row>
    <row r="56731" spans="129:129" x14ac:dyDescent="0.2">
      <c r="DY56731" s="185" t="s">
        <v>215</v>
      </c>
    </row>
    <row r="56732" spans="129:129" x14ac:dyDescent="0.2">
      <c r="DY56732" s="185" t="s">
        <v>215</v>
      </c>
    </row>
    <row r="56733" spans="129:129" x14ac:dyDescent="0.2">
      <c r="DY56733" s="185" t="s">
        <v>215</v>
      </c>
    </row>
    <row r="56734" spans="129:129" x14ac:dyDescent="0.2">
      <c r="DY56734" s="185" t="s">
        <v>215</v>
      </c>
    </row>
    <row r="56735" spans="129:129" x14ac:dyDescent="0.2">
      <c r="DY56735" s="185" t="s">
        <v>215</v>
      </c>
    </row>
    <row r="56736" spans="129:129" x14ac:dyDescent="0.2">
      <c r="DY56736" s="185" t="s">
        <v>215</v>
      </c>
    </row>
    <row r="56737" spans="129:129" x14ac:dyDescent="0.2">
      <c r="DY56737" s="185" t="s">
        <v>215</v>
      </c>
    </row>
    <row r="56738" spans="129:129" x14ac:dyDescent="0.2">
      <c r="DY56738" s="185" t="s">
        <v>215</v>
      </c>
    </row>
    <row r="56739" spans="129:129" x14ac:dyDescent="0.2">
      <c r="DY56739" s="185" t="s">
        <v>215</v>
      </c>
    </row>
    <row r="56740" spans="129:129" x14ac:dyDescent="0.2">
      <c r="DY56740" s="185" t="s">
        <v>215</v>
      </c>
    </row>
    <row r="56741" spans="129:129" x14ac:dyDescent="0.2">
      <c r="DY56741" s="185" t="s">
        <v>215</v>
      </c>
    </row>
    <row r="56742" spans="129:129" x14ac:dyDescent="0.2">
      <c r="DY56742" s="185" t="s">
        <v>215</v>
      </c>
    </row>
    <row r="56743" spans="129:129" x14ac:dyDescent="0.2">
      <c r="DY56743" s="185" t="s">
        <v>215</v>
      </c>
    </row>
    <row r="56744" spans="129:129" x14ac:dyDescent="0.2">
      <c r="DY56744" s="185" t="s">
        <v>215</v>
      </c>
    </row>
    <row r="56745" spans="129:129" x14ac:dyDescent="0.2">
      <c r="DY56745" s="185" t="s">
        <v>215</v>
      </c>
    </row>
    <row r="56746" spans="129:129" x14ac:dyDescent="0.2">
      <c r="DY56746" s="185" t="s">
        <v>215</v>
      </c>
    </row>
    <row r="56747" spans="129:129" x14ac:dyDescent="0.2">
      <c r="DY56747" s="185" t="s">
        <v>215</v>
      </c>
    </row>
    <row r="56748" spans="129:129" x14ac:dyDescent="0.2">
      <c r="DY56748" s="185" t="s">
        <v>215</v>
      </c>
    </row>
    <row r="56749" spans="129:129" x14ac:dyDescent="0.2">
      <c r="DY56749" s="185" t="s">
        <v>215</v>
      </c>
    </row>
    <row r="56750" spans="129:129" x14ac:dyDescent="0.2">
      <c r="DY56750" s="185" t="s">
        <v>215</v>
      </c>
    </row>
    <row r="56751" spans="129:129" x14ac:dyDescent="0.2">
      <c r="DY56751" s="185" t="s">
        <v>215</v>
      </c>
    </row>
    <row r="56752" spans="129:129" x14ac:dyDescent="0.2">
      <c r="DY56752" s="185" t="s">
        <v>215</v>
      </c>
    </row>
    <row r="56753" spans="129:129" x14ac:dyDescent="0.2">
      <c r="DY56753" s="185" t="s">
        <v>215</v>
      </c>
    </row>
    <row r="56754" spans="129:129" x14ac:dyDescent="0.2">
      <c r="DY56754" s="185" t="s">
        <v>215</v>
      </c>
    </row>
    <row r="56755" spans="129:129" x14ac:dyDescent="0.2">
      <c r="DY56755" s="185" t="s">
        <v>215</v>
      </c>
    </row>
    <row r="56756" spans="129:129" x14ac:dyDescent="0.2">
      <c r="DY56756" s="185" t="s">
        <v>215</v>
      </c>
    </row>
    <row r="56757" spans="129:129" x14ac:dyDescent="0.2">
      <c r="DY56757" s="185" t="s">
        <v>215</v>
      </c>
    </row>
    <row r="56758" spans="129:129" x14ac:dyDescent="0.2">
      <c r="DY56758" s="185" t="s">
        <v>215</v>
      </c>
    </row>
    <row r="56759" spans="129:129" x14ac:dyDescent="0.2">
      <c r="DY56759" s="185" t="s">
        <v>215</v>
      </c>
    </row>
    <row r="56760" spans="129:129" x14ac:dyDescent="0.2">
      <c r="DY56760" s="185" t="s">
        <v>215</v>
      </c>
    </row>
    <row r="56761" spans="129:129" x14ac:dyDescent="0.2">
      <c r="DY56761" s="185" t="s">
        <v>215</v>
      </c>
    </row>
    <row r="56762" spans="129:129" x14ac:dyDescent="0.2">
      <c r="DY56762" s="185" t="s">
        <v>215</v>
      </c>
    </row>
    <row r="56763" spans="129:129" x14ac:dyDescent="0.2">
      <c r="DY56763" s="185" t="s">
        <v>215</v>
      </c>
    </row>
    <row r="56764" spans="129:129" x14ac:dyDescent="0.2">
      <c r="DY56764" s="185" t="s">
        <v>215</v>
      </c>
    </row>
    <row r="56765" spans="129:129" x14ac:dyDescent="0.2">
      <c r="DY56765" s="185" t="s">
        <v>215</v>
      </c>
    </row>
    <row r="56766" spans="129:129" x14ac:dyDescent="0.2">
      <c r="DY56766" s="185" t="s">
        <v>215</v>
      </c>
    </row>
    <row r="56767" spans="129:129" x14ac:dyDescent="0.2">
      <c r="DY56767" s="185" t="s">
        <v>215</v>
      </c>
    </row>
    <row r="56768" spans="129:129" x14ac:dyDescent="0.2">
      <c r="DY56768" s="185" t="s">
        <v>215</v>
      </c>
    </row>
    <row r="56769" spans="129:129" x14ac:dyDescent="0.2">
      <c r="DY56769" s="185" t="s">
        <v>215</v>
      </c>
    </row>
    <row r="56770" spans="129:129" x14ac:dyDescent="0.2">
      <c r="DY56770" s="185" t="s">
        <v>215</v>
      </c>
    </row>
    <row r="56771" spans="129:129" x14ac:dyDescent="0.2">
      <c r="DY56771" s="185" t="s">
        <v>215</v>
      </c>
    </row>
    <row r="56772" spans="129:129" x14ac:dyDescent="0.2">
      <c r="DY56772" s="185" t="s">
        <v>215</v>
      </c>
    </row>
    <row r="56773" spans="129:129" x14ac:dyDescent="0.2">
      <c r="DY56773" s="185" t="s">
        <v>215</v>
      </c>
    </row>
    <row r="56774" spans="129:129" x14ac:dyDescent="0.2">
      <c r="DY56774" s="185" t="s">
        <v>215</v>
      </c>
    </row>
    <row r="56775" spans="129:129" x14ac:dyDescent="0.2">
      <c r="DY56775" s="185" t="s">
        <v>215</v>
      </c>
    </row>
    <row r="56776" spans="129:129" x14ac:dyDescent="0.2">
      <c r="DY56776" s="185" t="s">
        <v>215</v>
      </c>
    </row>
    <row r="56777" spans="129:129" x14ac:dyDescent="0.2">
      <c r="DY56777" s="185" t="s">
        <v>215</v>
      </c>
    </row>
    <row r="56778" spans="129:129" x14ac:dyDescent="0.2">
      <c r="DY56778" s="185" t="s">
        <v>215</v>
      </c>
    </row>
    <row r="56779" spans="129:129" x14ac:dyDescent="0.2">
      <c r="DY56779" s="185" t="s">
        <v>215</v>
      </c>
    </row>
    <row r="56780" spans="129:129" x14ac:dyDescent="0.2">
      <c r="DY56780" s="185" t="s">
        <v>215</v>
      </c>
    </row>
    <row r="56781" spans="129:129" x14ac:dyDescent="0.2">
      <c r="DY56781" s="185" t="s">
        <v>215</v>
      </c>
    </row>
    <row r="56782" spans="129:129" x14ac:dyDescent="0.2">
      <c r="DY56782" s="185" t="s">
        <v>215</v>
      </c>
    </row>
    <row r="56783" spans="129:129" x14ac:dyDescent="0.2">
      <c r="DY56783" s="185" t="s">
        <v>215</v>
      </c>
    </row>
    <row r="56784" spans="129:129" x14ac:dyDescent="0.2">
      <c r="DY56784" s="185" t="s">
        <v>215</v>
      </c>
    </row>
    <row r="56785" spans="129:129" x14ac:dyDescent="0.2">
      <c r="DY56785" s="185" t="s">
        <v>215</v>
      </c>
    </row>
    <row r="56786" spans="129:129" x14ac:dyDescent="0.2">
      <c r="DY56786" s="185" t="s">
        <v>215</v>
      </c>
    </row>
    <row r="56787" spans="129:129" x14ac:dyDescent="0.2">
      <c r="DY56787" s="185" t="s">
        <v>215</v>
      </c>
    </row>
    <row r="56788" spans="129:129" x14ac:dyDescent="0.2">
      <c r="DY56788" s="185" t="s">
        <v>215</v>
      </c>
    </row>
    <row r="56789" spans="129:129" x14ac:dyDescent="0.2">
      <c r="DY56789" s="185" t="s">
        <v>215</v>
      </c>
    </row>
    <row r="56790" spans="129:129" x14ac:dyDescent="0.2">
      <c r="DY56790" s="185" t="s">
        <v>215</v>
      </c>
    </row>
    <row r="56791" spans="129:129" x14ac:dyDescent="0.2">
      <c r="DY56791" s="185" t="s">
        <v>215</v>
      </c>
    </row>
    <row r="56792" spans="129:129" x14ac:dyDescent="0.2">
      <c r="DY56792" s="185" t="s">
        <v>215</v>
      </c>
    </row>
    <row r="56793" spans="129:129" x14ac:dyDescent="0.2">
      <c r="DY56793" s="185" t="s">
        <v>215</v>
      </c>
    </row>
    <row r="56794" spans="129:129" x14ac:dyDescent="0.2">
      <c r="DY56794" s="185" t="s">
        <v>215</v>
      </c>
    </row>
    <row r="56795" spans="129:129" x14ac:dyDescent="0.2">
      <c r="DY56795" s="185" t="s">
        <v>215</v>
      </c>
    </row>
    <row r="56796" spans="129:129" x14ac:dyDescent="0.2">
      <c r="DY56796" s="185" t="s">
        <v>215</v>
      </c>
    </row>
    <row r="56797" spans="129:129" x14ac:dyDescent="0.2">
      <c r="DY56797" s="185" t="s">
        <v>215</v>
      </c>
    </row>
    <row r="56798" spans="129:129" x14ac:dyDescent="0.2">
      <c r="DY56798" s="185" t="s">
        <v>215</v>
      </c>
    </row>
    <row r="56799" spans="129:129" x14ac:dyDescent="0.2">
      <c r="DY56799" s="185" t="s">
        <v>215</v>
      </c>
    </row>
    <row r="56800" spans="129:129" x14ac:dyDescent="0.2">
      <c r="DY56800" s="185" t="s">
        <v>215</v>
      </c>
    </row>
    <row r="56801" spans="129:129" x14ac:dyDescent="0.2">
      <c r="DY56801" s="185" t="s">
        <v>215</v>
      </c>
    </row>
    <row r="56802" spans="129:129" x14ac:dyDescent="0.2">
      <c r="DY56802" s="185" t="s">
        <v>215</v>
      </c>
    </row>
    <row r="56803" spans="129:129" x14ac:dyDescent="0.2">
      <c r="DY56803" s="185" t="s">
        <v>215</v>
      </c>
    </row>
    <row r="56804" spans="129:129" x14ac:dyDescent="0.2">
      <c r="DY56804" s="185" t="s">
        <v>215</v>
      </c>
    </row>
    <row r="56805" spans="129:129" x14ac:dyDescent="0.2">
      <c r="DY56805" s="185" t="s">
        <v>215</v>
      </c>
    </row>
    <row r="56806" spans="129:129" x14ac:dyDescent="0.2">
      <c r="DY56806" s="185" t="s">
        <v>215</v>
      </c>
    </row>
    <row r="56807" spans="129:129" x14ac:dyDescent="0.2">
      <c r="DY56807" s="185" t="s">
        <v>215</v>
      </c>
    </row>
    <row r="56808" spans="129:129" x14ac:dyDescent="0.2">
      <c r="DY56808" s="185" t="s">
        <v>215</v>
      </c>
    </row>
    <row r="56809" spans="129:129" x14ac:dyDescent="0.2">
      <c r="DY56809" s="185" t="s">
        <v>215</v>
      </c>
    </row>
    <row r="56810" spans="129:129" x14ac:dyDescent="0.2">
      <c r="DY56810" s="185" t="s">
        <v>215</v>
      </c>
    </row>
    <row r="56811" spans="129:129" x14ac:dyDescent="0.2">
      <c r="DY56811" s="185" t="s">
        <v>215</v>
      </c>
    </row>
    <row r="56812" spans="129:129" x14ac:dyDescent="0.2">
      <c r="DY56812" s="185" t="s">
        <v>215</v>
      </c>
    </row>
    <row r="56813" spans="129:129" x14ac:dyDescent="0.2">
      <c r="DY56813" s="185" t="s">
        <v>215</v>
      </c>
    </row>
    <row r="56814" spans="129:129" x14ac:dyDescent="0.2">
      <c r="DY56814" s="185" t="s">
        <v>215</v>
      </c>
    </row>
    <row r="56815" spans="129:129" x14ac:dyDescent="0.2">
      <c r="DY56815" s="185" t="s">
        <v>215</v>
      </c>
    </row>
    <row r="56816" spans="129:129" x14ac:dyDescent="0.2">
      <c r="DY56816" s="185" t="s">
        <v>215</v>
      </c>
    </row>
    <row r="56817" spans="129:129" x14ac:dyDescent="0.2">
      <c r="DY56817" s="185" t="s">
        <v>215</v>
      </c>
    </row>
    <row r="56818" spans="129:129" x14ac:dyDescent="0.2">
      <c r="DY56818" s="185" t="s">
        <v>215</v>
      </c>
    </row>
    <row r="56819" spans="129:129" x14ac:dyDescent="0.2">
      <c r="DY56819" s="185" t="s">
        <v>215</v>
      </c>
    </row>
    <row r="56820" spans="129:129" x14ac:dyDescent="0.2">
      <c r="DY56820" s="185" t="s">
        <v>215</v>
      </c>
    </row>
    <row r="56821" spans="129:129" x14ac:dyDescent="0.2">
      <c r="DY56821" s="185" t="s">
        <v>215</v>
      </c>
    </row>
    <row r="56822" spans="129:129" x14ac:dyDescent="0.2">
      <c r="DY56822" s="185" t="s">
        <v>215</v>
      </c>
    </row>
    <row r="56823" spans="129:129" x14ac:dyDescent="0.2">
      <c r="DY56823" s="185" t="s">
        <v>215</v>
      </c>
    </row>
    <row r="56824" spans="129:129" x14ac:dyDescent="0.2">
      <c r="DY56824" s="185" t="s">
        <v>215</v>
      </c>
    </row>
    <row r="56825" spans="129:129" x14ac:dyDescent="0.2">
      <c r="DY56825" s="185" t="s">
        <v>215</v>
      </c>
    </row>
    <row r="56826" spans="129:129" x14ac:dyDescent="0.2">
      <c r="DY56826" s="185" t="s">
        <v>215</v>
      </c>
    </row>
    <row r="56827" spans="129:129" x14ac:dyDescent="0.2">
      <c r="DY56827" s="185" t="s">
        <v>215</v>
      </c>
    </row>
    <row r="56828" spans="129:129" x14ac:dyDescent="0.2">
      <c r="DY56828" s="185" t="s">
        <v>215</v>
      </c>
    </row>
    <row r="56829" spans="129:129" x14ac:dyDescent="0.2">
      <c r="DY56829" s="185" t="s">
        <v>215</v>
      </c>
    </row>
    <row r="56830" spans="129:129" x14ac:dyDescent="0.2">
      <c r="DY56830" s="185" t="s">
        <v>215</v>
      </c>
    </row>
    <row r="56831" spans="129:129" x14ac:dyDescent="0.2">
      <c r="DY56831" s="185" t="s">
        <v>215</v>
      </c>
    </row>
    <row r="56832" spans="129:129" x14ac:dyDescent="0.2">
      <c r="DY56832" s="185" t="s">
        <v>215</v>
      </c>
    </row>
    <row r="56833" spans="129:129" x14ac:dyDescent="0.2">
      <c r="DY56833" s="185" t="s">
        <v>215</v>
      </c>
    </row>
    <row r="56834" spans="129:129" x14ac:dyDescent="0.2">
      <c r="DY56834" s="185" t="s">
        <v>215</v>
      </c>
    </row>
    <row r="56835" spans="129:129" x14ac:dyDescent="0.2">
      <c r="DY56835" s="185" t="s">
        <v>215</v>
      </c>
    </row>
    <row r="56836" spans="129:129" x14ac:dyDescent="0.2">
      <c r="DY56836" s="185" t="s">
        <v>215</v>
      </c>
    </row>
    <row r="56837" spans="129:129" x14ac:dyDescent="0.2">
      <c r="DY56837" s="185" t="s">
        <v>215</v>
      </c>
    </row>
    <row r="56838" spans="129:129" x14ac:dyDescent="0.2">
      <c r="DY56838" s="185" t="s">
        <v>215</v>
      </c>
    </row>
    <row r="56839" spans="129:129" x14ac:dyDescent="0.2">
      <c r="DY56839" s="185" t="s">
        <v>215</v>
      </c>
    </row>
    <row r="56840" spans="129:129" x14ac:dyDescent="0.2">
      <c r="DY56840" s="185" t="s">
        <v>215</v>
      </c>
    </row>
    <row r="56841" spans="129:129" x14ac:dyDescent="0.2">
      <c r="DY56841" s="185" t="s">
        <v>215</v>
      </c>
    </row>
    <row r="56842" spans="129:129" x14ac:dyDescent="0.2">
      <c r="DY56842" s="185" t="s">
        <v>215</v>
      </c>
    </row>
    <row r="56843" spans="129:129" x14ac:dyDescent="0.2">
      <c r="DY56843" s="185" t="s">
        <v>215</v>
      </c>
    </row>
    <row r="56844" spans="129:129" x14ac:dyDescent="0.2">
      <c r="DY56844" s="185" t="s">
        <v>215</v>
      </c>
    </row>
    <row r="56845" spans="129:129" x14ac:dyDescent="0.2">
      <c r="DY56845" s="185" t="s">
        <v>215</v>
      </c>
    </row>
    <row r="56846" spans="129:129" x14ac:dyDescent="0.2">
      <c r="DY56846" s="185" t="s">
        <v>215</v>
      </c>
    </row>
    <row r="56847" spans="129:129" x14ac:dyDescent="0.2">
      <c r="DY56847" s="185" t="s">
        <v>215</v>
      </c>
    </row>
    <row r="56848" spans="129:129" x14ac:dyDescent="0.2">
      <c r="DY56848" s="185" t="s">
        <v>215</v>
      </c>
    </row>
    <row r="56849" spans="129:129" x14ac:dyDescent="0.2">
      <c r="DY56849" s="185" t="s">
        <v>215</v>
      </c>
    </row>
    <row r="56850" spans="129:129" x14ac:dyDescent="0.2">
      <c r="DY56850" s="185" t="s">
        <v>215</v>
      </c>
    </row>
    <row r="56851" spans="129:129" x14ac:dyDescent="0.2">
      <c r="DY56851" s="185" t="s">
        <v>215</v>
      </c>
    </row>
    <row r="56852" spans="129:129" x14ac:dyDescent="0.2">
      <c r="DY56852" s="185" t="s">
        <v>215</v>
      </c>
    </row>
    <row r="56853" spans="129:129" x14ac:dyDescent="0.2">
      <c r="DY56853" s="185" t="s">
        <v>215</v>
      </c>
    </row>
    <row r="56854" spans="129:129" x14ac:dyDescent="0.2">
      <c r="DY56854" s="185" t="s">
        <v>215</v>
      </c>
    </row>
    <row r="56855" spans="129:129" x14ac:dyDescent="0.2">
      <c r="DY56855" s="185" t="s">
        <v>215</v>
      </c>
    </row>
    <row r="56856" spans="129:129" x14ac:dyDescent="0.2">
      <c r="DY56856" s="185" t="s">
        <v>215</v>
      </c>
    </row>
    <row r="56857" spans="129:129" x14ac:dyDescent="0.2">
      <c r="DY56857" s="185" t="s">
        <v>215</v>
      </c>
    </row>
    <row r="56858" spans="129:129" x14ac:dyDescent="0.2">
      <c r="DY56858" s="185" t="s">
        <v>215</v>
      </c>
    </row>
    <row r="56859" spans="129:129" x14ac:dyDescent="0.2">
      <c r="DY56859" s="185" t="s">
        <v>215</v>
      </c>
    </row>
    <row r="56860" spans="129:129" x14ac:dyDescent="0.2">
      <c r="DY56860" s="185" t="s">
        <v>215</v>
      </c>
    </row>
    <row r="56861" spans="129:129" x14ac:dyDescent="0.2">
      <c r="DY56861" s="185" t="s">
        <v>215</v>
      </c>
    </row>
    <row r="56862" spans="129:129" x14ac:dyDescent="0.2">
      <c r="DY56862" s="185" t="s">
        <v>215</v>
      </c>
    </row>
    <row r="56863" spans="129:129" x14ac:dyDescent="0.2">
      <c r="DY56863" s="185" t="s">
        <v>215</v>
      </c>
    </row>
    <row r="56864" spans="129:129" x14ac:dyDescent="0.2">
      <c r="DY56864" s="185" t="s">
        <v>215</v>
      </c>
    </row>
    <row r="56865" spans="129:129" x14ac:dyDescent="0.2">
      <c r="DY56865" s="185" t="s">
        <v>215</v>
      </c>
    </row>
    <row r="56866" spans="129:129" x14ac:dyDescent="0.2">
      <c r="DY56866" s="185" t="s">
        <v>215</v>
      </c>
    </row>
    <row r="56867" spans="129:129" x14ac:dyDescent="0.2">
      <c r="DY56867" s="185" t="s">
        <v>215</v>
      </c>
    </row>
    <row r="56868" spans="129:129" x14ac:dyDescent="0.2">
      <c r="DY56868" s="185" t="s">
        <v>215</v>
      </c>
    </row>
    <row r="56869" spans="129:129" x14ac:dyDescent="0.2">
      <c r="DY56869" s="185" t="s">
        <v>215</v>
      </c>
    </row>
    <row r="56870" spans="129:129" x14ac:dyDescent="0.2">
      <c r="DY56870" s="185" t="s">
        <v>215</v>
      </c>
    </row>
    <row r="56871" spans="129:129" x14ac:dyDescent="0.2">
      <c r="DY56871" s="185" t="s">
        <v>215</v>
      </c>
    </row>
    <row r="56872" spans="129:129" x14ac:dyDescent="0.2">
      <c r="DY56872" s="185" t="s">
        <v>215</v>
      </c>
    </row>
    <row r="56873" spans="129:129" x14ac:dyDescent="0.2">
      <c r="DY56873" s="185" t="s">
        <v>215</v>
      </c>
    </row>
    <row r="56874" spans="129:129" x14ac:dyDescent="0.2">
      <c r="DY56874" s="185" t="s">
        <v>215</v>
      </c>
    </row>
    <row r="56875" spans="129:129" x14ac:dyDescent="0.2">
      <c r="DY56875" s="185" t="s">
        <v>215</v>
      </c>
    </row>
    <row r="56876" spans="129:129" x14ac:dyDescent="0.2">
      <c r="DY56876" s="185" t="s">
        <v>215</v>
      </c>
    </row>
    <row r="56877" spans="129:129" x14ac:dyDescent="0.2">
      <c r="DY56877" s="185" t="s">
        <v>215</v>
      </c>
    </row>
    <row r="56878" spans="129:129" x14ac:dyDescent="0.2">
      <c r="DY56878" s="185" t="s">
        <v>215</v>
      </c>
    </row>
    <row r="56879" spans="129:129" x14ac:dyDescent="0.2">
      <c r="DY56879" s="185" t="s">
        <v>215</v>
      </c>
    </row>
    <row r="56880" spans="129:129" x14ac:dyDescent="0.2">
      <c r="DY56880" s="185" t="s">
        <v>215</v>
      </c>
    </row>
    <row r="56881" spans="129:129" x14ac:dyDescent="0.2">
      <c r="DY56881" s="185" t="s">
        <v>215</v>
      </c>
    </row>
    <row r="56882" spans="129:129" x14ac:dyDescent="0.2">
      <c r="DY56882" s="185" t="s">
        <v>215</v>
      </c>
    </row>
    <row r="56883" spans="129:129" x14ac:dyDescent="0.2">
      <c r="DY56883" s="185" t="s">
        <v>215</v>
      </c>
    </row>
    <row r="56884" spans="129:129" x14ac:dyDescent="0.2">
      <c r="DY56884" s="185" t="s">
        <v>215</v>
      </c>
    </row>
    <row r="56885" spans="129:129" x14ac:dyDescent="0.2">
      <c r="DY56885" s="185" t="s">
        <v>215</v>
      </c>
    </row>
    <row r="56886" spans="129:129" x14ac:dyDescent="0.2">
      <c r="DY56886" s="185" t="s">
        <v>215</v>
      </c>
    </row>
    <row r="56887" spans="129:129" x14ac:dyDescent="0.2">
      <c r="DY56887" s="185" t="s">
        <v>215</v>
      </c>
    </row>
    <row r="56888" spans="129:129" x14ac:dyDescent="0.2">
      <c r="DY56888" s="185" t="s">
        <v>215</v>
      </c>
    </row>
    <row r="56889" spans="129:129" x14ac:dyDescent="0.2">
      <c r="DY56889" s="185" t="s">
        <v>215</v>
      </c>
    </row>
    <row r="56890" spans="129:129" x14ac:dyDescent="0.2">
      <c r="DY56890" s="185" t="s">
        <v>215</v>
      </c>
    </row>
    <row r="56891" spans="129:129" x14ac:dyDescent="0.2">
      <c r="DY56891" s="185" t="s">
        <v>215</v>
      </c>
    </row>
    <row r="56892" spans="129:129" x14ac:dyDescent="0.2">
      <c r="DY56892" s="185" t="s">
        <v>215</v>
      </c>
    </row>
    <row r="56893" spans="129:129" x14ac:dyDescent="0.2">
      <c r="DY56893" s="185" t="s">
        <v>215</v>
      </c>
    </row>
    <row r="56894" spans="129:129" x14ac:dyDescent="0.2">
      <c r="DY56894" s="185" t="s">
        <v>215</v>
      </c>
    </row>
    <row r="56895" spans="129:129" x14ac:dyDescent="0.2">
      <c r="DY56895" s="185" t="s">
        <v>215</v>
      </c>
    </row>
    <row r="56896" spans="129:129" x14ac:dyDescent="0.2">
      <c r="DY56896" s="185" t="s">
        <v>215</v>
      </c>
    </row>
    <row r="56897" spans="129:129" x14ac:dyDescent="0.2">
      <c r="DY56897" s="185" t="s">
        <v>215</v>
      </c>
    </row>
    <row r="56898" spans="129:129" x14ac:dyDescent="0.2">
      <c r="DY56898" s="185" t="s">
        <v>215</v>
      </c>
    </row>
    <row r="56899" spans="129:129" x14ac:dyDescent="0.2">
      <c r="DY56899" s="185" t="s">
        <v>215</v>
      </c>
    </row>
    <row r="56900" spans="129:129" x14ac:dyDescent="0.2">
      <c r="DY56900" s="185" t="s">
        <v>215</v>
      </c>
    </row>
    <row r="56901" spans="129:129" x14ac:dyDescent="0.2">
      <c r="DY56901" s="185" t="s">
        <v>215</v>
      </c>
    </row>
    <row r="56902" spans="129:129" x14ac:dyDescent="0.2">
      <c r="DY56902" s="185" t="s">
        <v>215</v>
      </c>
    </row>
    <row r="56903" spans="129:129" x14ac:dyDescent="0.2">
      <c r="DY56903" s="185" t="s">
        <v>215</v>
      </c>
    </row>
    <row r="56904" spans="129:129" x14ac:dyDescent="0.2">
      <c r="DY56904" s="185" t="s">
        <v>215</v>
      </c>
    </row>
    <row r="56905" spans="129:129" x14ac:dyDescent="0.2">
      <c r="DY56905" s="185" t="s">
        <v>215</v>
      </c>
    </row>
    <row r="56906" spans="129:129" x14ac:dyDescent="0.2">
      <c r="DY56906" s="185" t="s">
        <v>215</v>
      </c>
    </row>
    <row r="56907" spans="129:129" x14ac:dyDescent="0.2">
      <c r="DY56907" s="185" t="s">
        <v>215</v>
      </c>
    </row>
    <row r="56908" spans="129:129" x14ac:dyDescent="0.2">
      <c r="DY56908" s="185" t="s">
        <v>215</v>
      </c>
    </row>
    <row r="56909" spans="129:129" x14ac:dyDescent="0.2">
      <c r="DY56909" s="185" t="s">
        <v>215</v>
      </c>
    </row>
    <row r="56910" spans="129:129" x14ac:dyDescent="0.2">
      <c r="DY56910" s="185" t="s">
        <v>215</v>
      </c>
    </row>
    <row r="56911" spans="129:129" x14ac:dyDescent="0.2">
      <c r="DY56911" s="185" t="s">
        <v>215</v>
      </c>
    </row>
    <row r="56912" spans="129:129" x14ac:dyDescent="0.2">
      <c r="DY56912" s="185" t="s">
        <v>215</v>
      </c>
    </row>
    <row r="56913" spans="129:129" x14ac:dyDescent="0.2">
      <c r="DY56913" s="185" t="s">
        <v>215</v>
      </c>
    </row>
    <row r="56914" spans="129:129" x14ac:dyDescent="0.2">
      <c r="DY56914" s="185" t="s">
        <v>215</v>
      </c>
    </row>
    <row r="56915" spans="129:129" x14ac:dyDescent="0.2">
      <c r="DY56915" s="185" t="s">
        <v>215</v>
      </c>
    </row>
    <row r="56916" spans="129:129" x14ac:dyDescent="0.2">
      <c r="DY56916" s="185" t="s">
        <v>215</v>
      </c>
    </row>
    <row r="56917" spans="129:129" x14ac:dyDescent="0.2">
      <c r="DY56917" s="185" t="s">
        <v>215</v>
      </c>
    </row>
    <row r="56918" spans="129:129" x14ac:dyDescent="0.2">
      <c r="DY56918" s="185" t="s">
        <v>215</v>
      </c>
    </row>
    <row r="56919" spans="129:129" x14ac:dyDescent="0.2">
      <c r="DY56919" s="185" t="s">
        <v>215</v>
      </c>
    </row>
    <row r="56920" spans="129:129" x14ac:dyDescent="0.2">
      <c r="DY56920" s="185" t="s">
        <v>215</v>
      </c>
    </row>
    <row r="56921" spans="129:129" x14ac:dyDescent="0.2">
      <c r="DY56921" s="185" t="s">
        <v>215</v>
      </c>
    </row>
    <row r="56922" spans="129:129" x14ac:dyDescent="0.2">
      <c r="DY56922" s="185" t="s">
        <v>215</v>
      </c>
    </row>
    <row r="56923" spans="129:129" x14ac:dyDescent="0.2">
      <c r="DY56923" s="185" t="s">
        <v>215</v>
      </c>
    </row>
    <row r="56924" spans="129:129" x14ac:dyDescent="0.2">
      <c r="DY56924" s="185" t="s">
        <v>215</v>
      </c>
    </row>
    <row r="56925" spans="129:129" x14ac:dyDescent="0.2">
      <c r="DY56925" s="185" t="s">
        <v>215</v>
      </c>
    </row>
    <row r="56926" spans="129:129" x14ac:dyDescent="0.2">
      <c r="DY56926" s="185" t="s">
        <v>215</v>
      </c>
    </row>
    <row r="56927" spans="129:129" x14ac:dyDescent="0.2">
      <c r="DY56927" s="185" t="s">
        <v>215</v>
      </c>
    </row>
    <row r="56928" spans="129:129" x14ac:dyDescent="0.2">
      <c r="DY56928" s="185" t="s">
        <v>215</v>
      </c>
    </row>
    <row r="56929" spans="129:129" x14ac:dyDescent="0.2">
      <c r="DY56929" s="185" t="s">
        <v>215</v>
      </c>
    </row>
    <row r="56930" spans="129:129" x14ac:dyDescent="0.2">
      <c r="DY56930" s="185" t="s">
        <v>215</v>
      </c>
    </row>
    <row r="56931" spans="129:129" x14ac:dyDescent="0.2">
      <c r="DY56931" s="185" t="s">
        <v>215</v>
      </c>
    </row>
    <row r="56932" spans="129:129" x14ac:dyDescent="0.2">
      <c r="DY56932" s="185" t="s">
        <v>215</v>
      </c>
    </row>
    <row r="56933" spans="129:129" x14ac:dyDescent="0.2">
      <c r="DY56933" s="185" t="s">
        <v>215</v>
      </c>
    </row>
    <row r="56934" spans="129:129" x14ac:dyDescent="0.2">
      <c r="DY56934" s="185" t="s">
        <v>215</v>
      </c>
    </row>
    <row r="56935" spans="129:129" x14ac:dyDescent="0.2">
      <c r="DY56935" s="185" t="s">
        <v>215</v>
      </c>
    </row>
    <row r="56936" spans="129:129" x14ac:dyDescent="0.2">
      <c r="DY56936" s="185" t="s">
        <v>215</v>
      </c>
    </row>
    <row r="56937" spans="129:129" x14ac:dyDescent="0.2">
      <c r="DY56937" s="185" t="s">
        <v>215</v>
      </c>
    </row>
    <row r="56938" spans="129:129" x14ac:dyDescent="0.2">
      <c r="DY56938" s="185" t="s">
        <v>215</v>
      </c>
    </row>
    <row r="56939" spans="129:129" x14ac:dyDescent="0.2">
      <c r="DY56939" s="185" t="s">
        <v>215</v>
      </c>
    </row>
    <row r="56940" spans="129:129" x14ac:dyDescent="0.2">
      <c r="DY56940" s="185" t="s">
        <v>215</v>
      </c>
    </row>
    <row r="56941" spans="129:129" x14ac:dyDescent="0.2">
      <c r="DY56941" s="185" t="s">
        <v>215</v>
      </c>
    </row>
    <row r="56942" spans="129:129" x14ac:dyDescent="0.2">
      <c r="DY56942" s="185" t="s">
        <v>215</v>
      </c>
    </row>
    <row r="56943" spans="129:129" x14ac:dyDescent="0.2">
      <c r="DY56943" s="185" t="s">
        <v>215</v>
      </c>
    </row>
    <row r="56944" spans="129:129" x14ac:dyDescent="0.2">
      <c r="DY56944" s="185" t="s">
        <v>215</v>
      </c>
    </row>
    <row r="56945" spans="129:129" x14ac:dyDescent="0.2">
      <c r="DY56945" s="185" t="s">
        <v>215</v>
      </c>
    </row>
    <row r="56946" spans="129:129" x14ac:dyDescent="0.2">
      <c r="DY56946" s="185" t="s">
        <v>215</v>
      </c>
    </row>
    <row r="56947" spans="129:129" x14ac:dyDescent="0.2">
      <c r="DY56947" s="185" t="s">
        <v>215</v>
      </c>
    </row>
    <row r="56948" spans="129:129" x14ac:dyDescent="0.2">
      <c r="DY56948" s="185" t="s">
        <v>215</v>
      </c>
    </row>
    <row r="56949" spans="129:129" x14ac:dyDescent="0.2">
      <c r="DY56949" s="185" t="s">
        <v>215</v>
      </c>
    </row>
    <row r="56950" spans="129:129" x14ac:dyDescent="0.2">
      <c r="DY56950" s="185" t="s">
        <v>215</v>
      </c>
    </row>
    <row r="56951" spans="129:129" x14ac:dyDescent="0.2">
      <c r="DY56951" s="185" t="s">
        <v>215</v>
      </c>
    </row>
    <row r="56952" spans="129:129" x14ac:dyDescent="0.2">
      <c r="DY56952" s="185" t="s">
        <v>215</v>
      </c>
    </row>
    <row r="56953" spans="129:129" x14ac:dyDescent="0.2">
      <c r="DY56953" s="185" t="s">
        <v>215</v>
      </c>
    </row>
    <row r="56954" spans="129:129" x14ac:dyDescent="0.2">
      <c r="DY56954" s="185" t="s">
        <v>215</v>
      </c>
    </row>
    <row r="56955" spans="129:129" x14ac:dyDescent="0.2">
      <c r="DY56955" s="185" t="s">
        <v>215</v>
      </c>
    </row>
    <row r="56956" spans="129:129" x14ac:dyDescent="0.2">
      <c r="DY56956" s="185" t="s">
        <v>215</v>
      </c>
    </row>
    <row r="56957" spans="129:129" x14ac:dyDescent="0.2">
      <c r="DY56957" s="185" t="s">
        <v>215</v>
      </c>
    </row>
    <row r="56958" spans="129:129" x14ac:dyDescent="0.2">
      <c r="DY56958" s="185" t="s">
        <v>215</v>
      </c>
    </row>
    <row r="56959" spans="129:129" x14ac:dyDescent="0.2">
      <c r="DY56959" s="185" t="s">
        <v>215</v>
      </c>
    </row>
    <row r="56960" spans="129:129" x14ac:dyDescent="0.2">
      <c r="DY56960" s="185" t="s">
        <v>215</v>
      </c>
    </row>
    <row r="56961" spans="129:129" x14ac:dyDescent="0.2">
      <c r="DY56961" s="185" t="s">
        <v>215</v>
      </c>
    </row>
    <row r="56962" spans="129:129" x14ac:dyDescent="0.2">
      <c r="DY56962" s="185" t="s">
        <v>215</v>
      </c>
    </row>
    <row r="56963" spans="129:129" x14ac:dyDescent="0.2">
      <c r="DY56963" s="185" t="s">
        <v>215</v>
      </c>
    </row>
    <row r="56964" spans="129:129" x14ac:dyDescent="0.2">
      <c r="DY56964" s="185" t="s">
        <v>215</v>
      </c>
    </row>
    <row r="56965" spans="129:129" x14ac:dyDescent="0.2">
      <c r="DY56965" s="185" t="s">
        <v>215</v>
      </c>
    </row>
    <row r="56966" spans="129:129" x14ac:dyDescent="0.2">
      <c r="DY56966" s="185" t="s">
        <v>215</v>
      </c>
    </row>
    <row r="56967" spans="129:129" x14ac:dyDescent="0.2">
      <c r="DY56967" s="185" t="s">
        <v>215</v>
      </c>
    </row>
    <row r="56968" spans="129:129" x14ac:dyDescent="0.2">
      <c r="DY56968" s="185" t="s">
        <v>215</v>
      </c>
    </row>
    <row r="56969" spans="129:129" x14ac:dyDescent="0.2">
      <c r="DY56969" s="185" t="s">
        <v>215</v>
      </c>
    </row>
    <row r="56970" spans="129:129" x14ac:dyDescent="0.2">
      <c r="DY56970" s="185" t="s">
        <v>215</v>
      </c>
    </row>
    <row r="56971" spans="129:129" x14ac:dyDescent="0.2">
      <c r="DY56971" s="185" t="s">
        <v>215</v>
      </c>
    </row>
    <row r="56972" spans="129:129" x14ac:dyDescent="0.2">
      <c r="DY56972" s="185" t="s">
        <v>215</v>
      </c>
    </row>
    <row r="56973" spans="129:129" x14ac:dyDescent="0.2">
      <c r="DY56973" s="185" t="s">
        <v>215</v>
      </c>
    </row>
    <row r="56974" spans="129:129" x14ac:dyDescent="0.2">
      <c r="DY56974" s="185" t="s">
        <v>215</v>
      </c>
    </row>
    <row r="56975" spans="129:129" x14ac:dyDescent="0.2">
      <c r="DY56975" s="185" t="s">
        <v>215</v>
      </c>
    </row>
    <row r="56976" spans="129:129" x14ac:dyDescent="0.2">
      <c r="DY56976" s="185" t="s">
        <v>215</v>
      </c>
    </row>
    <row r="56977" spans="129:129" x14ac:dyDescent="0.2">
      <c r="DY56977" s="185" t="s">
        <v>215</v>
      </c>
    </row>
    <row r="56978" spans="129:129" x14ac:dyDescent="0.2">
      <c r="DY56978" s="185" t="s">
        <v>215</v>
      </c>
    </row>
    <row r="56979" spans="129:129" x14ac:dyDescent="0.2">
      <c r="DY56979" s="185" t="s">
        <v>215</v>
      </c>
    </row>
    <row r="56980" spans="129:129" x14ac:dyDescent="0.2">
      <c r="DY56980" s="185" t="s">
        <v>215</v>
      </c>
    </row>
    <row r="56981" spans="129:129" x14ac:dyDescent="0.2">
      <c r="DY56981" s="185" t="s">
        <v>215</v>
      </c>
    </row>
    <row r="56982" spans="129:129" x14ac:dyDescent="0.2">
      <c r="DY56982" s="185" t="s">
        <v>215</v>
      </c>
    </row>
    <row r="56983" spans="129:129" x14ac:dyDescent="0.2">
      <c r="DY56983" s="185" t="s">
        <v>215</v>
      </c>
    </row>
    <row r="56984" spans="129:129" x14ac:dyDescent="0.2">
      <c r="DY56984" s="185" t="s">
        <v>215</v>
      </c>
    </row>
    <row r="56985" spans="129:129" x14ac:dyDescent="0.2">
      <c r="DY56985" s="185" t="s">
        <v>215</v>
      </c>
    </row>
    <row r="56986" spans="129:129" x14ac:dyDescent="0.2">
      <c r="DY56986" s="185" t="s">
        <v>215</v>
      </c>
    </row>
    <row r="56987" spans="129:129" x14ac:dyDescent="0.2">
      <c r="DY56987" s="185" t="s">
        <v>215</v>
      </c>
    </row>
    <row r="56988" spans="129:129" x14ac:dyDescent="0.2">
      <c r="DY56988" s="185" t="s">
        <v>215</v>
      </c>
    </row>
    <row r="56989" spans="129:129" x14ac:dyDescent="0.2">
      <c r="DY56989" s="185" t="s">
        <v>215</v>
      </c>
    </row>
    <row r="56990" spans="129:129" x14ac:dyDescent="0.2">
      <c r="DY56990" s="185" t="s">
        <v>215</v>
      </c>
    </row>
    <row r="56991" spans="129:129" x14ac:dyDescent="0.2">
      <c r="DY56991" s="185" t="s">
        <v>215</v>
      </c>
    </row>
    <row r="56992" spans="129:129" x14ac:dyDescent="0.2">
      <c r="DY56992" s="185" t="s">
        <v>215</v>
      </c>
    </row>
    <row r="56993" spans="129:129" x14ac:dyDescent="0.2">
      <c r="DY56993" s="185" t="s">
        <v>215</v>
      </c>
    </row>
    <row r="56994" spans="129:129" x14ac:dyDescent="0.2">
      <c r="DY56994" s="185" t="s">
        <v>215</v>
      </c>
    </row>
    <row r="56995" spans="129:129" x14ac:dyDescent="0.2">
      <c r="DY56995" s="185" t="s">
        <v>215</v>
      </c>
    </row>
    <row r="56996" spans="129:129" x14ac:dyDescent="0.2">
      <c r="DY56996" s="185" t="s">
        <v>215</v>
      </c>
    </row>
    <row r="56997" spans="129:129" x14ac:dyDescent="0.2">
      <c r="DY56997" s="185" t="s">
        <v>215</v>
      </c>
    </row>
    <row r="56998" spans="129:129" x14ac:dyDescent="0.2">
      <c r="DY56998" s="185" t="s">
        <v>215</v>
      </c>
    </row>
    <row r="56999" spans="129:129" x14ac:dyDescent="0.2">
      <c r="DY56999" s="185" t="s">
        <v>215</v>
      </c>
    </row>
    <row r="57000" spans="129:129" x14ac:dyDescent="0.2">
      <c r="DY57000" s="185" t="s">
        <v>215</v>
      </c>
    </row>
    <row r="57001" spans="129:129" x14ac:dyDescent="0.2">
      <c r="DY57001" s="185" t="s">
        <v>215</v>
      </c>
    </row>
    <row r="57002" spans="129:129" x14ac:dyDescent="0.2">
      <c r="DY57002" s="185" t="s">
        <v>215</v>
      </c>
    </row>
    <row r="57003" spans="129:129" x14ac:dyDescent="0.2">
      <c r="DY57003" s="185" t="s">
        <v>215</v>
      </c>
    </row>
    <row r="57004" spans="129:129" x14ac:dyDescent="0.2">
      <c r="DY57004" s="185" t="s">
        <v>215</v>
      </c>
    </row>
    <row r="57005" spans="129:129" x14ac:dyDescent="0.2">
      <c r="DY57005" s="185" t="s">
        <v>215</v>
      </c>
    </row>
    <row r="57006" spans="129:129" x14ac:dyDescent="0.2">
      <c r="DY57006" s="185" t="s">
        <v>215</v>
      </c>
    </row>
    <row r="57007" spans="129:129" x14ac:dyDescent="0.2">
      <c r="DY57007" s="185" t="s">
        <v>215</v>
      </c>
    </row>
    <row r="57008" spans="129:129" x14ac:dyDescent="0.2">
      <c r="DY57008" s="185" t="s">
        <v>215</v>
      </c>
    </row>
    <row r="57009" spans="129:129" x14ac:dyDescent="0.2">
      <c r="DY57009" s="185" t="s">
        <v>215</v>
      </c>
    </row>
    <row r="57010" spans="129:129" x14ac:dyDescent="0.2">
      <c r="DY57010" s="185" t="s">
        <v>215</v>
      </c>
    </row>
    <row r="57011" spans="129:129" x14ac:dyDescent="0.2">
      <c r="DY57011" s="185" t="s">
        <v>215</v>
      </c>
    </row>
    <row r="57012" spans="129:129" x14ac:dyDescent="0.2">
      <c r="DY57012" s="185" t="s">
        <v>215</v>
      </c>
    </row>
    <row r="57013" spans="129:129" x14ac:dyDescent="0.2">
      <c r="DY57013" s="185" t="s">
        <v>215</v>
      </c>
    </row>
    <row r="57014" spans="129:129" x14ac:dyDescent="0.2">
      <c r="DY57014" s="185" t="s">
        <v>215</v>
      </c>
    </row>
    <row r="57015" spans="129:129" x14ac:dyDescent="0.2">
      <c r="DY57015" s="185" t="s">
        <v>215</v>
      </c>
    </row>
    <row r="57016" spans="129:129" x14ac:dyDescent="0.2">
      <c r="DY57016" s="185" t="s">
        <v>215</v>
      </c>
    </row>
    <row r="57017" spans="129:129" x14ac:dyDescent="0.2">
      <c r="DY57017" s="185" t="s">
        <v>215</v>
      </c>
    </row>
    <row r="57018" spans="129:129" x14ac:dyDescent="0.2">
      <c r="DY57018" s="185" t="s">
        <v>215</v>
      </c>
    </row>
    <row r="57019" spans="129:129" x14ac:dyDescent="0.2">
      <c r="DY57019" s="185" t="s">
        <v>215</v>
      </c>
    </row>
    <row r="57020" spans="129:129" x14ac:dyDescent="0.2">
      <c r="DY57020" s="185" t="s">
        <v>215</v>
      </c>
    </row>
    <row r="57021" spans="129:129" x14ac:dyDescent="0.2">
      <c r="DY57021" s="185" t="s">
        <v>215</v>
      </c>
    </row>
    <row r="57022" spans="129:129" x14ac:dyDescent="0.2">
      <c r="DY57022" s="185" t="s">
        <v>215</v>
      </c>
    </row>
    <row r="57023" spans="129:129" x14ac:dyDescent="0.2">
      <c r="DY57023" s="185" t="s">
        <v>215</v>
      </c>
    </row>
    <row r="57024" spans="129:129" x14ac:dyDescent="0.2">
      <c r="DY57024" s="185" t="s">
        <v>215</v>
      </c>
    </row>
    <row r="57025" spans="129:129" x14ac:dyDescent="0.2">
      <c r="DY57025" s="185" t="s">
        <v>215</v>
      </c>
    </row>
    <row r="57026" spans="129:129" x14ac:dyDescent="0.2">
      <c r="DY57026" s="185" t="s">
        <v>215</v>
      </c>
    </row>
    <row r="57027" spans="129:129" x14ac:dyDescent="0.2">
      <c r="DY57027" s="185" t="s">
        <v>215</v>
      </c>
    </row>
    <row r="57028" spans="129:129" x14ac:dyDescent="0.2">
      <c r="DY57028" s="185" t="s">
        <v>215</v>
      </c>
    </row>
    <row r="57029" spans="129:129" x14ac:dyDescent="0.2">
      <c r="DY57029" s="185" t="s">
        <v>215</v>
      </c>
    </row>
    <row r="57030" spans="129:129" x14ac:dyDescent="0.2">
      <c r="DY57030" s="185" t="s">
        <v>215</v>
      </c>
    </row>
    <row r="57031" spans="129:129" x14ac:dyDescent="0.2">
      <c r="DY57031" s="185" t="s">
        <v>215</v>
      </c>
    </row>
    <row r="57032" spans="129:129" x14ac:dyDescent="0.2">
      <c r="DY57032" s="185" t="s">
        <v>215</v>
      </c>
    </row>
    <row r="57033" spans="129:129" x14ac:dyDescent="0.2">
      <c r="DY57033" s="185" t="s">
        <v>215</v>
      </c>
    </row>
    <row r="57034" spans="129:129" x14ac:dyDescent="0.2">
      <c r="DY57034" s="185" t="s">
        <v>215</v>
      </c>
    </row>
    <row r="57035" spans="129:129" x14ac:dyDescent="0.2">
      <c r="DY57035" s="185" t="s">
        <v>215</v>
      </c>
    </row>
    <row r="57036" spans="129:129" x14ac:dyDescent="0.2">
      <c r="DY57036" s="185" t="s">
        <v>215</v>
      </c>
    </row>
    <row r="57037" spans="129:129" x14ac:dyDescent="0.2">
      <c r="DY57037" s="185" t="s">
        <v>215</v>
      </c>
    </row>
    <row r="57038" spans="129:129" x14ac:dyDescent="0.2">
      <c r="DY57038" s="185" t="s">
        <v>215</v>
      </c>
    </row>
    <row r="57039" spans="129:129" x14ac:dyDescent="0.2">
      <c r="DY57039" s="185" t="s">
        <v>215</v>
      </c>
    </row>
    <row r="57040" spans="129:129" x14ac:dyDescent="0.2">
      <c r="DY57040" s="185" t="s">
        <v>215</v>
      </c>
    </row>
    <row r="57041" spans="129:129" x14ac:dyDescent="0.2">
      <c r="DY57041" s="185" t="s">
        <v>215</v>
      </c>
    </row>
    <row r="57042" spans="129:129" x14ac:dyDescent="0.2">
      <c r="DY57042" s="185" t="s">
        <v>215</v>
      </c>
    </row>
    <row r="57043" spans="129:129" x14ac:dyDescent="0.2">
      <c r="DY57043" s="185" t="s">
        <v>215</v>
      </c>
    </row>
    <row r="57044" spans="129:129" x14ac:dyDescent="0.2">
      <c r="DY57044" s="185" t="s">
        <v>215</v>
      </c>
    </row>
    <row r="57045" spans="129:129" x14ac:dyDescent="0.2">
      <c r="DY57045" s="185" t="s">
        <v>215</v>
      </c>
    </row>
    <row r="57046" spans="129:129" x14ac:dyDescent="0.2">
      <c r="DY57046" s="185" t="s">
        <v>215</v>
      </c>
    </row>
    <row r="57047" spans="129:129" x14ac:dyDescent="0.2">
      <c r="DY57047" s="185" t="s">
        <v>215</v>
      </c>
    </row>
    <row r="57048" spans="129:129" x14ac:dyDescent="0.2">
      <c r="DY57048" s="185" t="s">
        <v>215</v>
      </c>
    </row>
    <row r="57049" spans="129:129" x14ac:dyDescent="0.2">
      <c r="DY57049" s="185" t="s">
        <v>215</v>
      </c>
    </row>
    <row r="57050" spans="129:129" x14ac:dyDescent="0.2">
      <c r="DY57050" s="185" t="s">
        <v>215</v>
      </c>
    </row>
    <row r="57051" spans="129:129" x14ac:dyDescent="0.2">
      <c r="DY57051" s="185" t="s">
        <v>215</v>
      </c>
    </row>
    <row r="57052" spans="129:129" x14ac:dyDescent="0.2">
      <c r="DY57052" s="185" t="s">
        <v>215</v>
      </c>
    </row>
    <row r="57053" spans="129:129" x14ac:dyDescent="0.2">
      <c r="DY57053" s="185" t="s">
        <v>215</v>
      </c>
    </row>
    <row r="57054" spans="129:129" x14ac:dyDescent="0.2">
      <c r="DY57054" s="185" t="s">
        <v>215</v>
      </c>
    </row>
    <row r="57055" spans="129:129" x14ac:dyDescent="0.2">
      <c r="DY57055" s="185" t="s">
        <v>215</v>
      </c>
    </row>
    <row r="57056" spans="129:129" x14ac:dyDescent="0.2">
      <c r="DY57056" s="185" t="s">
        <v>215</v>
      </c>
    </row>
    <row r="57057" spans="129:129" x14ac:dyDescent="0.2">
      <c r="DY57057" s="185" t="s">
        <v>215</v>
      </c>
    </row>
    <row r="57058" spans="129:129" x14ac:dyDescent="0.2">
      <c r="DY57058" s="185" t="s">
        <v>215</v>
      </c>
    </row>
    <row r="57059" spans="129:129" x14ac:dyDescent="0.2">
      <c r="DY57059" s="185" t="s">
        <v>215</v>
      </c>
    </row>
    <row r="57060" spans="129:129" x14ac:dyDescent="0.2">
      <c r="DY57060" s="185" t="s">
        <v>215</v>
      </c>
    </row>
    <row r="57061" spans="129:129" x14ac:dyDescent="0.2">
      <c r="DY57061" s="185" t="s">
        <v>215</v>
      </c>
    </row>
    <row r="57062" spans="129:129" x14ac:dyDescent="0.2">
      <c r="DY57062" s="185" t="s">
        <v>215</v>
      </c>
    </row>
    <row r="57063" spans="129:129" x14ac:dyDescent="0.2">
      <c r="DY57063" s="185" t="s">
        <v>215</v>
      </c>
    </row>
    <row r="57064" spans="129:129" x14ac:dyDescent="0.2">
      <c r="DY57064" s="185" t="s">
        <v>215</v>
      </c>
    </row>
    <row r="57065" spans="129:129" x14ac:dyDescent="0.2">
      <c r="DY57065" s="185" t="s">
        <v>215</v>
      </c>
    </row>
    <row r="57066" spans="129:129" x14ac:dyDescent="0.2">
      <c r="DY57066" s="185" t="s">
        <v>215</v>
      </c>
    </row>
    <row r="57067" spans="129:129" x14ac:dyDescent="0.2">
      <c r="DY57067" s="185" t="s">
        <v>215</v>
      </c>
    </row>
    <row r="57068" spans="129:129" x14ac:dyDescent="0.2">
      <c r="DY57068" s="185" t="s">
        <v>215</v>
      </c>
    </row>
    <row r="57069" spans="129:129" x14ac:dyDescent="0.2">
      <c r="DY57069" s="185" t="s">
        <v>215</v>
      </c>
    </row>
    <row r="57070" spans="129:129" x14ac:dyDescent="0.2">
      <c r="DY57070" s="185" t="s">
        <v>215</v>
      </c>
    </row>
    <row r="57071" spans="129:129" x14ac:dyDescent="0.2">
      <c r="DY57071" s="185" t="s">
        <v>215</v>
      </c>
    </row>
    <row r="57072" spans="129:129" x14ac:dyDescent="0.2">
      <c r="DY57072" s="185" t="s">
        <v>215</v>
      </c>
    </row>
    <row r="57073" spans="129:129" x14ac:dyDescent="0.2">
      <c r="DY57073" s="185" t="s">
        <v>215</v>
      </c>
    </row>
    <row r="57074" spans="129:129" x14ac:dyDescent="0.2">
      <c r="DY57074" s="185" t="s">
        <v>215</v>
      </c>
    </row>
    <row r="57075" spans="129:129" x14ac:dyDescent="0.2">
      <c r="DY57075" s="185" t="s">
        <v>215</v>
      </c>
    </row>
    <row r="57076" spans="129:129" x14ac:dyDescent="0.2">
      <c r="DY57076" s="185" t="s">
        <v>215</v>
      </c>
    </row>
    <row r="57077" spans="129:129" x14ac:dyDescent="0.2">
      <c r="DY57077" s="185" t="s">
        <v>215</v>
      </c>
    </row>
    <row r="57078" spans="129:129" x14ac:dyDescent="0.2">
      <c r="DY57078" s="185" t="s">
        <v>215</v>
      </c>
    </row>
    <row r="57079" spans="129:129" x14ac:dyDescent="0.2">
      <c r="DY57079" s="185" t="s">
        <v>215</v>
      </c>
    </row>
    <row r="57080" spans="129:129" x14ac:dyDescent="0.2">
      <c r="DY57080" s="185" t="s">
        <v>215</v>
      </c>
    </row>
    <row r="57081" spans="129:129" x14ac:dyDescent="0.2">
      <c r="DY57081" s="185" t="s">
        <v>215</v>
      </c>
    </row>
    <row r="57082" spans="129:129" x14ac:dyDescent="0.2">
      <c r="DY57082" s="185" t="s">
        <v>215</v>
      </c>
    </row>
    <row r="57083" spans="129:129" x14ac:dyDescent="0.2">
      <c r="DY57083" s="185" t="s">
        <v>215</v>
      </c>
    </row>
    <row r="57084" spans="129:129" x14ac:dyDescent="0.2">
      <c r="DY57084" s="185" t="s">
        <v>215</v>
      </c>
    </row>
    <row r="57085" spans="129:129" x14ac:dyDescent="0.2">
      <c r="DY57085" s="185" t="s">
        <v>215</v>
      </c>
    </row>
    <row r="57086" spans="129:129" x14ac:dyDescent="0.2">
      <c r="DY57086" s="185" t="s">
        <v>215</v>
      </c>
    </row>
    <row r="57087" spans="129:129" x14ac:dyDescent="0.2">
      <c r="DY57087" s="185" t="s">
        <v>215</v>
      </c>
    </row>
    <row r="57088" spans="129:129" x14ac:dyDescent="0.2">
      <c r="DY57088" s="185" t="s">
        <v>215</v>
      </c>
    </row>
    <row r="57089" spans="129:129" x14ac:dyDescent="0.2">
      <c r="DY57089" s="185" t="s">
        <v>215</v>
      </c>
    </row>
    <row r="57090" spans="129:129" x14ac:dyDescent="0.2">
      <c r="DY57090" s="185" t="s">
        <v>215</v>
      </c>
    </row>
    <row r="57091" spans="129:129" x14ac:dyDescent="0.2">
      <c r="DY57091" s="185" t="s">
        <v>215</v>
      </c>
    </row>
    <row r="57092" spans="129:129" x14ac:dyDescent="0.2">
      <c r="DY57092" s="185" t="s">
        <v>215</v>
      </c>
    </row>
    <row r="57093" spans="129:129" x14ac:dyDescent="0.2">
      <c r="DY57093" s="185" t="s">
        <v>215</v>
      </c>
    </row>
    <row r="57094" spans="129:129" x14ac:dyDescent="0.2">
      <c r="DY57094" s="185" t="s">
        <v>215</v>
      </c>
    </row>
    <row r="57095" spans="129:129" x14ac:dyDescent="0.2">
      <c r="DY57095" s="185" t="s">
        <v>215</v>
      </c>
    </row>
    <row r="57096" spans="129:129" x14ac:dyDescent="0.2">
      <c r="DY57096" s="185" t="s">
        <v>215</v>
      </c>
    </row>
    <row r="57097" spans="129:129" x14ac:dyDescent="0.2">
      <c r="DY57097" s="185" t="s">
        <v>215</v>
      </c>
    </row>
    <row r="57098" spans="129:129" x14ac:dyDescent="0.2">
      <c r="DY57098" s="185" t="s">
        <v>215</v>
      </c>
    </row>
    <row r="57099" spans="129:129" x14ac:dyDescent="0.2">
      <c r="DY57099" s="185" t="s">
        <v>215</v>
      </c>
    </row>
    <row r="57100" spans="129:129" x14ac:dyDescent="0.2">
      <c r="DY57100" s="185" t="s">
        <v>215</v>
      </c>
    </row>
    <row r="57101" spans="129:129" x14ac:dyDescent="0.2">
      <c r="DY57101" s="185" t="s">
        <v>215</v>
      </c>
    </row>
    <row r="57102" spans="129:129" x14ac:dyDescent="0.2">
      <c r="DY57102" s="185" t="s">
        <v>215</v>
      </c>
    </row>
    <row r="57103" spans="129:129" x14ac:dyDescent="0.2">
      <c r="DY57103" s="185" t="s">
        <v>215</v>
      </c>
    </row>
    <row r="57104" spans="129:129" x14ac:dyDescent="0.2">
      <c r="DY57104" s="185" t="s">
        <v>215</v>
      </c>
    </row>
    <row r="57105" spans="129:129" x14ac:dyDescent="0.2">
      <c r="DY57105" s="185" t="s">
        <v>215</v>
      </c>
    </row>
    <row r="57106" spans="129:129" x14ac:dyDescent="0.2">
      <c r="DY57106" s="185" t="s">
        <v>215</v>
      </c>
    </row>
    <row r="57107" spans="129:129" x14ac:dyDescent="0.2">
      <c r="DY57107" s="185" t="s">
        <v>215</v>
      </c>
    </row>
    <row r="57108" spans="129:129" x14ac:dyDescent="0.2">
      <c r="DY57108" s="185" t="s">
        <v>215</v>
      </c>
    </row>
    <row r="57109" spans="129:129" x14ac:dyDescent="0.2">
      <c r="DY57109" s="185" t="s">
        <v>215</v>
      </c>
    </row>
    <row r="57110" spans="129:129" x14ac:dyDescent="0.2">
      <c r="DY57110" s="185" t="s">
        <v>215</v>
      </c>
    </row>
    <row r="57111" spans="129:129" x14ac:dyDescent="0.2">
      <c r="DY57111" s="185" t="s">
        <v>215</v>
      </c>
    </row>
    <row r="57112" spans="129:129" x14ac:dyDescent="0.2">
      <c r="DY57112" s="185" t="s">
        <v>215</v>
      </c>
    </row>
    <row r="57113" spans="129:129" x14ac:dyDescent="0.2">
      <c r="DY57113" s="185" t="s">
        <v>215</v>
      </c>
    </row>
    <row r="57114" spans="129:129" x14ac:dyDescent="0.2">
      <c r="DY57114" s="185" t="s">
        <v>215</v>
      </c>
    </row>
    <row r="57115" spans="129:129" x14ac:dyDescent="0.2">
      <c r="DY57115" s="185" t="s">
        <v>215</v>
      </c>
    </row>
    <row r="57116" spans="129:129" x14ac:dyDescent="0.2">
      <c r="DY57116" s="185" t="s">
        <v>215</v>
      </c>
    </row>
    <row r="57117" spans="129:129" x14ac:dyDescent="0.2">
      <c r="DY57117" s="185" t="s">
        <v>215</v>
      </c>
    </row>
    <row r="57118" spans="129:129" x14ac:dyDescent="0.2">
      <c r="DY57118" s="185" t="s">
        <v>215</v>
      </c>
    </row>
    <row r="57119" spans="129:129" x14ac:dyDescent="0.2">
      <c r="DY57119" s="185" t="s">
        <v>215</v>
      </c>
    </row>
    <row r="57120" spans="129:129" x14ac:dyDescent="0.2">
      <c r="DY57120" s="185" t="s">
        <v>215</v>
      </c>
    </row>
    <row r="57121" spans="129:129" x14ac:dyDescent="0.2">
      <c r="DY57121" s="185" t="s">
        <v>215</v>
      </c>
    </row>
    <row r="57122" spans="129:129" x14ac:dyDescent="0.2">
      <c r="DY57122" s="185" t="s">
        <v>215</v>
      </c>
    </row>
    <row r="57123" spans="129:129" x14ac:dyDescent="0.2">
      <c r="DY57123" s="185" t="s">
        <v>215</v>
      </c>
    </row>
    <row r="57124" spans="129:129" x14ac:dyDescent="0.2">
      <c r="DY57124" s="185" t="s">
        <v>215</v>
      </c>
    </row>
    <row r="57125" spans="129:129" x14ac:dyDescent="0.2">
      <c r="DY57125" s="185" t="s">
        <v>215</v>
      </c>
    </row>
    <row r="57126" spans="129:129" x14ac:dyDescent="0.2">
      <c r="DY57126" s="185" t="s">
        <v>215</v>
      </c>
    </row>
    <row r="57127" spans="129:129" x14ac:dyDescent="0.2">
      <c r="DY57127" s="185" t="s">
        <v>215</v>
      </c>
    </row>
    <row r="57128" spans="129:129" x14ac:dyDescent="0.2">
      <c r="DY57128" s="185" t="s">
        <v>215</v>
      </c>
    </row>
    <row r="57129" spans="129:129" x14ac:dyDescent="0.2">
      <c r="DY57129" s="185" t="s">
        <v>215</v>
      </c>
    </row>
    <row r="57130" spans="129:129" x14ac:dyDescent="0.2">
      <c r="DY57130" s="185" t="s">
        <v>215</v>
      </c>
    </row>
    <row r="57131" spans="129:129" x14ac:dyDescent="0.2">
      <c r="DY57131" s="185" t="s">
        <v>215</v>
      </c>
    </row>
    <row r="57132" spans="129:129" x14ac:dyDescent="0.2">
      <c r="DY57132" s="185" t="s">
        <v>215</v>
      </c>
    </row>
    <row r="57133" spans="129:129" x14ac:dyDescent="0.2">
      <c r="DY57133" s="185" t="s">
        <v>215</v>
      </c>
    </row>
    <row r="57134" spans="129:129" x14ac:dyDescent="0.2">
      <c r="DY57134" s="185" t="s">
        <v>215</v>
      </c>
    </row>
    <row r="57135" spans="129:129" x14ac:dyDescent="0.2">
      <c r="DY57135" s="185" t="s">
        <v>215</v>
      </c>
    </row>
    <row r="57136" spans="129:129" x14ac:dyDescent="0.2">
      <c r="DY57136" s="185" t="s">
        <v>215</v>
      </c>
    </row>
    <row r="57137" spans="129:129" x14ac:dyDescent="0.2">
      <c r="DY57137" s="185" t="s">
        <v>215</v>
      </c>
    </row>
    <row r="57138" spans="129:129" x14ac:dyDescent="0.2">
      <c r="DY57138" s="185" t="s">
        <v>215</v>
      </c>
    </row>
    <row r="57139" spans="129:129" x14ac:dyDescent="0.2">
      <c r="DY57139" s="185" t="s">
        <v>215</v>
      </c>
    </row>
    <row r="57140" spans="129:129" x14ac:dyDescent="0.2">
      <c r="DY57140" s="185" t="s">
        <v>215</v>
      </c>
    </row>
    <row r="57141" spans="129:129" x14ac:dyDescent="0.2">
      <c r="DY57141" s="185" t="s">
        <v>215</v>
      </c>
    </row>
    <row r="57142" spans="129:129" x14ac:dyDescent="0.2">
      <c r="DY57142" s="185" t="s">
        <v>215</v>
      </c>
    </row>
    <row r="57143" spans="129:129" x14ac:dyDescent="0.2">
      <c r="DY57143" s="185" t="s">
        <v>215</v>
      </c>
    </row>
    <row r="57144" spans="129:129" x14ac:dyDescent="0.2">
      <c r="DY57144" s="185" t="s">
        <v>215</v>
      </c>
    </row>
    <row r="57145" spans="129:129" x14ac:dyDescent="0.2">
      <c r="DY57145" s="185" t="s">
        <v>215</v>
      </c>
    </row>
    <row r="57146" spans="129:129" x14ac:dyDescent="0.2">
      <c r="DY57146" s="185" t="s">
        <v>215</v>
      </c>
    </row>
    <row r="57147" spans="129:129" x14ac:dyDescent="0.2">
      <c r="DY57147" s="185" t="s">
        <v>215</v>
      </c>
    </row>
    <row r="57148" spans="129:129" x14ac:dyDescent="0.2">
      <c r="DY57148" s="185" t="s">
        <v>215</v>
      </c>
    </row>
    <row r="57149" spans="129:129" x14ac:dyDescent="0.2">
      <c r="DY57149" s="185" t="s">
        <v>215</v>
      </c>
    </row>
    <row r="57150" spans="129:129" x14ac:dyDescent="0.2">
      <c r="DY57150" s="185" t="s">
        <v>215</v>
      </c>
    </row>
    <row r="57151" spans="129:129" x14ac:dyDescent="0.2">
      <c r="DY57151" s="185" t="s">
        <v>215</v>
      </c>
    </row>
    <row r="57152" spans="129:129" x14ac:dyDescent="0.2">
      <c r="DY57152" s="185" t="s">
        <v>215</v>
      </c>
    </row>
    <row r="57153" spans="129:129" x14ac:dyDescent="0.2">
      <c r="DY57153" s="185" t="s">
        <v>215</v>
      </c>
    </row>
    <row r="57154" spans="129:129" x14ac:dyDescent="0.2">
      <c r="DY57154" s="185" t="s">
        <v>215</v>
      </c>
    </row>
    <row r="57155" spans="129:129" x14ac:dyDescent="0.2">
      <c r="DY57155" s="185" t="s">
        <v>215</v>
      </c>
    </row>
    <row r="57156" spans="129:129" x14ac:dyDescent="0.2">
      <c r="DY57156" s="185" t="s">
        <v>215</v>
      </c>
    </row>
    <row r="57157" spans="129:129" x14ac:dyDescent="0.2">
      <c r="DY57157" s="185" t="s">
        <v>215</v>
      </c>
    </row>
    <row r="57158" spans="129:129" x14ac:dyDescent="0.2">
      <c r="DY57158" s="185" t="s">
        <v>215</v>
      </c>
    </row>
    <row r="57159" spans="129:129" x14ac:dyDescent="0.2">
      <c r="DY57159" s="185" t="s">
        <v>215</v>
      </c>
    </row>
    <row r="57160" spans="129:129" x14ac:dyDescent="0.2">
      <c r="DY57160" s="185" t="s">
        <v>215</v>
      </c>
    </row>
    <row r="57161" spans="129:129" x14ac:dyDescent="0.2">
      <c r="DY57161" s="185" t="s">
        <v>215</v>
      </c>
    </row>
    <row r="57162" spans="129:129" x14ac:dyDescent="0.2">
      <c r="DY57162" s="185" t="s">
        <v>215</v>
      </c>
    </row>
    <row r="57163" spans="129:129" x14ac:dyDescent="0.2">
      <c r="DY57163" s="185" t="s">
        <v>215</v>
      </c>
    </row>
    <row r="57164" spans="129:129" x14ac:dyDescent="0.2">
      <c r="DY57164" s="185" t="s">
        <v>215</v>
      </c>
    </row>
    <row r="57165" spans="129:129" x14ac:dyDescent="0.2">
      <c r="DY57165" s="185" t="s">
        <v>215</v>
      </c>
    </row>
    <row r="57166" spans="129:129" x14ac:dyDescent="0.2">
      <c r="DY57166" s="185" t="s">
        <v>215</v>
      </c>
    </row>
    <row r="57167" spans="129:129" x14ac:dyDescent="0.2">
      <c r="DY57167" s="185" t="s">
        <v>215</v>
      </c>
    </row>
    <row r="57168" spans="129:129" x14ac:dyDescent="0.2">
      <c r="DY57168" s="185" t="s">
        <v>215</v>
      </c>
    </row>
    <row r="57169" spans="129:129" x14ac:dyDescent="0.2">
      <c r="DY57169" s="185" t="s">
        <v>215</v>
      </c>
    </row>
    <row r="57170" spans="129:129" x14ac:dyDescent="0.2">
      <c r="DY57170" s="185" t="s">
        <v>215</v>
      </c>
    </row>
    <row r="57171" spans="129:129" x14ac:dyDescent="0.2">
      <c r="DY57171" s="185" t="s">
        <v>215</v>
      </c>
    </row>
    <row r="57172" spans="129:129" x14ac:dyDescent="0.2">
      <c r="DY57172" s="185" t="s">
        <v>215</v>
      </c>
    </row>
    <row r="57173" spans="129:129" x14ac:dyDescent="0.2">
      <c r="DY57173" s="185" t="s">
        <v>215</v>
      </c>
    </row>
    <row r="57174" spans="129:129" x14ac:dyDescent="0.2">
      <c r="DY57174" s="185" t="s">
        <v>215</v>
      </c>
    </row>
    <row r="57175" spans="129:129" x14ac:dyDescent="0.2">
      <c r="DY57175" s="185" t="s">
        <v>215</v>
      </c>
    </row>
    <row r="57176" spans="129:129" x14ac:dyDescent="0.2">
      <c r="DY57176" s="185" t="s">
        <v>215</v>
      </c>
    </row>
    <row r="57177" spans="129:129" x14ac:dyDescent="0.2">
      <c r="DY57177" s="185" t="s">
        <v>215</v>
      </c>
    </row>
    <row r="57178" spans="129:129" x14ac:dyDescent="0.2">
      <c r="DY57178" s="185" t="s">
        <v>215</v>
      </c>
    </row>
    <row r="57179" spans="129:129" x14ac:dyDescent="0.2">
      <c r="DY57179" s="185" t="s">
        <v>215</v>
      </c>
    </row>
    <row r="57180" spans="129:129" x14ac:dyDescent="0.2">
      <c r="DY57180" s="185" t="s">
        <v>215</v>
      </c>
    </row>
    <row r="57181" spans="129:129" x14ac:dyDescent="0.2">
      <c r="DY57181" s="185" t="s">
        <v>215</v>
      </c>
    </row>
    <row r="57182" spans="129:129" x14ac:dyDescent="0.2">
      <c r="DY57182" s="185" t="s">
        <v>215</v>
      </c>
    </row>
    <row r="57183" spans="129:129" x14ac:dyDescent="0.2">
      <c r="DY57183" s="185" t="s">
        <v>215</v>
      </c>
    </row>
    <row r="57184" spans="129:129" x14ac:dyDescent="0.2">
      <c r="DY57184" s="185" t="s">
        <v>215</v>
      </c>
    </row>
    <row r="57185" spans="129:129" x14ac:dyDescent="0.2">
      <c r="DY57185" s="185" t="s">
        <v>215</v>
      </c>
    </row>
    <row r="57186" spans="129:129" x14ac:dyDescent="0.2">
      <c r="DY57186" s="185" t="s">
        <v>215</v>
      </c>
    </row>
    <row r="57187" spans="129:129" x14ac:dyDescent="0.2">
      <c r="DY57187" s="185" t="s">
        <v>215</v>
      </c>
    </row>
    <row r="57188" spans="129:129" x14ac:dyDescent="0.2">
      <c r="DY57188" s="185" t="s">
        <v>215</v>
      </c>
    </row>
    <row r="57189" spans="129:129" x14ac:dyDescent="0.2">
      <c r="DY57189" s="185" t="s">
        <v>215</v>
      </c>
    </row>
    <row r="57190" spans="129:129" x14ac:dyDescent="0.2">
      <c r="DY57190" s="185" t="s">
        <v>215</v>
      </c>
    </row>
    <row r="57191" spans="129:129" x14ac:dyDescent="0.2">
      <c r="DY57191" s="185" t="s">
        <v>215</v>
      </c>
    </row>
    <row r="57192" spans="129:129" x14ac:dyDescent="0.2">
      <c r="DY57192" s="185" t="s">
        <v>215</v>
      </c>
    </row>
    <row r="57193" spans="129:129" x14ac:dyDescent="0.2">
      <c r="DY57193" s="185" t="s">
        <v>215</v>
      </c>
    </row>
    <row r="57194" spans="129:129" x14ac:dyDescent="0.2">
      <c r="DY57194" s="185" t="s">
        <v>215</v>
      </c>
    </row>
    <row r="57195" spans="129:129" x14ac:dyDescent="0.2">
      <c r="DY57195" s="185" t="s">
        <v>215</v>
      </c>
    </row>
    <row r="57196" spans="129:129" x14ac:dyDescent="0.2">
      <c r="DY57196" s="185" t="s">
        <v>215</v>
      </c>
    </row>
    <row r="57197" spans="129:129" x14ac:dyDescent="0.2">
      <c r="DY57197" s="185" t="s">
        <v>215</v>
      </c>
    </row>
    <row r="57198" spans="129:129" x14ac:dyDescent="0.2">
      <c r="DY57198" s="185" t="s">
        <v>215</v>
      </c>
    </row>
    <row r="57199" spans="129:129" x14ac:dyDescent="0.2">
      <c r="DY57199" s="185" t="s">
        <v>215</v>
      </c>
    </row>
    <row r="57200" spans="129:129" x14ac:dyDescent="0.2">
      <c r="DY57200" s="185" t="s">
        <v>215</v>
      </c>
    </row>
    <row r="57201" spans="129:129" x14ac:dyDescent="0.2">
      <c r="DY57201" s="185" t="s">
        <v>215</v>
      </c>
    </row>
    <row r="57202" spans="129:129" x14ac:dyDescent="0.2">
      <c r="DY57202" s="185" t="s">
        <v>215</v>
      </c>
    </row>
    <row r="57203" spans="129:129" x14ac:dyDescent="0.2">
      <c r="DY57203" s="185" t="s">
        <v>215</v>
      </c>
    </row>
    <row r="57204" spans="129:129" x14ac:dyDescent="0.2">
      <c r="DY57204" s="185" t="s">
        <v>215</v>
      </c>
    </row>
    <row r="57205" spans="129:129" x14ac:dyDescent="0.2">
      <c r="DY57205" s="185" t="s">
        <v>215</v>
      </c>
    </row>
    <row r="57206" spans="129:129" x14ac:dyDescent="0.2">
      <c r="DY57206" s="185" t="s">
        <v>215</v>
      </c>
    </row>
    <row r="57207" spans="129:129" x14ac:dyDescent="0.2">
      <c r="DY57207" s="185" t="s">
        <v>215</v>
      </c>
    </row>
    <row r="57208" spans="129:129" x14ac:dyDescent="0.2">
      <c r="DY57208" s="185" t="s">
        <v>215</v>
      </c>
    </row>
    <row r="57209" spans="129:129" x14ac:dyDescent="0.2">
      <c r="DY57209" s="185" t="s">
        <v>215</v>
      </c>
    </row>
    <row r="57210" spans="129:129" x14ac:dyDescent="0.2">
      <c r="DY57210" s="185" t="s">
        <v>215</v>
      </c>
    </row>
    <row r="57211" spans="129:129" x14ac:dyDescent="0.2">
      <c r="DY57211" s="185" t="s">
        <v>215</v>
      </c>
    </row>
    <row r="57212" spans="129:129" x14ac:dyDescent="0.2">
      <c r="DY57212" s="185" t="s">
        <v>215</v>
      </c>
    </row>
    <row r="57213" spans="129:129" x14ac:dyDescent="0.2">
      <c r="DY57213" s="185" t="s">
        <v>215</v>
      </c>
    </row>
    <row r="57214" spans="129:129" x14ac:dyDescent="0.2">
      <c r="DY57214" s="185" t="s">
        <v>215</v>
      </c>
    </row>
    <row r="57215" spans="129:129" x14ac:dyDescent="0.2">
      <c r="DY57215" s="185" t="s">
        <v>215</v>
      </c>
    </row>
    <row r="57216" spans="129:129" x14ac:dyDescent="0.2">
      <c r="DY57216" s="185" t="s">
        <v>215</v>
      </c>
    </row>
    <row r="57217" spans="129:129" x14ac:dyDescent="0.2">
      <c r="DY57217" s="185" t="s">
        <v>215</v>
      </c>
    </row>
    <row r="57218" spans="129:129" x14ac:dyDescent="0.2">
      <c r="DY57218" s="185" t="s">
        <v>215</v>
      </c>
    </row>
    <row r="57219" spans="129:129" x14ac:dyDescent="0.2">
      <c r="DY57219" s="185" t="s">
        <v>215</v>
      </c>
    </row>
    <row r="57220" spans="129:129" x14ac:dyDescent="0.2">
      <c r="DY57220" s="185" t="s">
        <v>215</v>
      </c>
    </row>
    <row r="57221" spans="129:129" x14ac:dyDescent="0.2">
      <c r="DY57221" s="185" t="s">
        <v>215</v>
      </c>
    </row>
    <row r="57222" spans="129:129" x14ac:dyDescent="0.2">
      <c r="DY57222" s="185" t="s">
        <v>215</v>
      </c>
    </row>
    <row r="57223" spans="129:129" x14ac:dyDescent="0.2">
      <c r="DY57223" s="185" t="s">
        <v>215</v>
      </c>
    </row>
    <row r="57224" spans="129:129" x14ac:dyDescent="0.2">
      <c r="DY57224" s="185" t="s">
        <v>215</v>
      </c>
    </row>
    <row r="57225" spans="129:129" x14ac:dyDescent="0.2">
      <c r="DY57225" s="185" t="s">
        <v>215</v>
      </c>
    </row>
    <row r="57226" spans="129:129" x14ac:dyDescent="0.2">
      <c r="DY57226" s="185" t="s">
        <v>215</v>
      </c>
    </row>
    <row r="57227" spans="129:129" x14ac:dyDescent="0.2">
      <c r="DY57227" s="185" t="s">
        <v>215</v>
      </c>
    </row>
    <row r="57228" spans="129:129" x14ac:dyDescent="0.2">
      <c r="DY57228" s="185" t="s">
        <v>215</v>
      </c>
    </row>
    <row r="57229" spans="129:129" x14ac:dyDescent="0.2">
      <c r="DY57229" s="185" t="s">
        <v>215</v>
      </c>
    </row>
    <row r="57230" spans="129:129" x14ac:dyDescent="0.2">
      <c r="DY57230" s="185" t="s">
        <v>215</v>
      </c>
    </row>
    <row r="57231" spans="129:129" x14ac:dyDescent="0.2">
      <c r="DY57231" s="185" t="s">
        <v>215</v>
      </c>
    </row>
    <row r="57232" spans="129:129" x14ac:dyDescent="0.2">
      <c r="DY57232" s="185" t="s">
        <v>215</v>
      </c>
    </row>
    <row r="57233" spans="129:129" x14ac:dyDescent="0.2">
      <c r="DY57233" s="185" t="s">
        <v>215</v>
      </c>
    </row>
    <row r="57234" spans="129:129" x14ac:dyDescent="0.2">
      <c r="DY57234" s="185" t="s">
        <v>215</v>
      </c>
    </row>
    <row r="57235" spans="129:129" x14ac:dyDescent="0.2">
      <c r="DY57235" s="185" t="s">
        <v>215</v>
      </c>
    </row>
    <row r="57236" spans="129:129" x14ac:dyDescent="0.2">
      <c r="DY57236" s="185" t="s">
        <v>215</v>
      </c>
    </row>
    <row r="57237" spans="129:129" x14ac:dyDescent="0.2">
      <c r="DY57237" s="185" t="s">
        <v>215</v>
      </c>
    </row>
    <row r="57238" spans="129:129" x14ac:dyDescent="0.2">
      <c r="DY57238" s="185" t="s">
        <v>215</v>
      </c>
    </row>
    <row r="57239" spans="129:129" x14ac:dyDescent="0.2">
      <c r="DY57239" s="185" t="s">
        <v>215</v>
      </c>
    </row>
    <row r="57240" spans="129:129" x14ac:dyDescent="0.2">
      <c r="DY57240" s="185" t="s">
        <v>215</v>
      </c>
    </row>
    <row r="57241" spans="129:129" x14ac:dyDescent="0.2">
      <c r="DY57241" s="185" t="s">
        <v>215</v>
      </c>
    </row>
    <row r="57242" spans="129:129" x14ac:dyDescent="0.2">
      <c r="DY57242" s="185" t="s">
        <v>215</v>
      </c>
    </row>
    <row r="57243" spans="129:129" x14ac:dyDescent="0.2">
      <c r="DY57243" s="185" t="s">
        <v>215</v>
      </c>
    </row>
    <row r="57244" spans="129:129" x14ac:dyDescent="0.2">
      <c r="DY57244" s="185" t="s">
        <v>215</v>
      </c>
    </row>
    <row r="57245" spans="129:129" x14ac:dyDescent="0.2">
      <c r="DY57245" s="185" t="s">
        <v>215</v>
      </c>
    </row>
    <row r="57246" spans="129:129" x14ac:dyDescent="0.2">
      <c r="DY57246" s="185" t="s">
        <v>215</v>
      </c>
    </row>
    <row r="57247" spans="129:129" x14ac:dyDescent="0.2">
      <c r="DY57247" s="185" t="s">
        <v>215</v>
      </c>
    </row>
    <row r="57248" spans="129:129" x14ac:dyDescent="0.2">
      <c r="DY57248" s="185" t="s">
        <v>215</v>
      </c>
    </row>
    <row r="57249" spans="129:129" x14ac:dyDescent="0.2">
      <c r="DY57249" s="185" t="s">
        <v>215</v>
      </c>
    </row>
    <row r="57250" spans="129:129" x14ac:dyDescent="0.2">
      <c r="DY57250" s="185" t="s">
        <v>215</v>
      </c>
    </row>
    <row r="57251" spans="129:129" x14ac:dyDescent="0.2">
      <c r="DY57251" s="185" t="s">
        <v>215</v>
      </c>
    </row>
    <row r="57252" spans="129:129" x14ac:dyDescent="0.2">
      <c r="DY57252" s="185" t="s">
        <v>215</v>
      </c>
    </row>
    <row r="57253" spans="129:129" x14ac:dyDescent="0.2">
      <c r="DY57253" s="185" t="s">
        <v>215</v>
      </c>
    </row>
    <row r="57254" spans="129:129" x14ac:dyDescent="0.2">
      <c r="DY57254" s="185" t="s">
        <v>215</v>
      </c>
    </row>
    <row r="57255" spans="129:129" x14ac:dyDescent="0.2">
      <c r="DY57255" s="185" t="s">
        <v>215</v>
      </c>
    </row>
    <row r="57256" spans="129:129" x14ac:dyDescent="0.2">
      <c r="DY57256" s="185" t="s">
        <v>215</v>
      </c>
    </row>
    <row r="57257" spans="129:129" x14ac:dyDescent="0.2">
      <c r="DY57257" s="185" t="s">
        <v>215</v>
      </c>
    </row>
    <row r="57258" spans="129:129" x14ac:dyDescent="0.2">
      <c r="DY57258" s="185" t="s">
        <v>215</v>
      </c>
    </row>
    <row r="57259" spans="129:129" x14ac:dyDescent="0.2">
      <c r="DY57259" s="185" t="s">
        <v>215</v>
      </c>
    </row>
    <row r="57260" spans="129:129" x14ac:dyDescent="0.2">
      <c r="DY57260" s="185" t="s">
        <v>215</v>
      </c>
    </row>
    <row r="57261" spans="129:129" x14ac:dyDescent="0.2">
      <c r="DY57261" s="185" t="s">
        <v>215</v>
      </c>
    </row>
    <row r="57262" spans="129:129" x14ac:dyDescent="0.2">
      <c r="DY57262" s="185" t="s">
        <v>215</v>
      </c>
    </row>
    <row r="57263" spans="129:129" x14ac:dyDescent="0.2">
      <c r="DY57263" s="185" t="s">
        <v>215</v>
      </c>
    </row>
    <row r="57264" spans="129:129" x14ac:dyDescent="0.2">
      <c r="DY57264" s="185" t="s">
        <v>215</v>
      </c>
    </row>
    <row r="57265" spans="129:129" x14ac:dyDescent="0.2">
      <c r="DY57265" s="185" t="s">
        <v>215</v>
      </c>
    </row>
    <row r="57266" spans="129:129" x14ac:dyDescent="0.2">
      <c r="DY57266" s="185" t="s">
        <v>215</v>
      </c>
    </row>
    <row r="57267" spans="129:129" x14ac:dyDescent="0.2">
      <c r="DY57267" s="185" t="s">
        <v>215</v>
      </c>
    </row>
    <row r="57268" spans="129:129" x14ac:dyDescent="0.2">
      <c r="DY57268" s="185" t="s">
        <v>215</v>
      </c>
    </row>
    <row r="57269" spans="129:129" x14ac:dyDescent="0.2">
      <c r="DY57269" s="185" t="s">
        <v>215</v>
      </c>
    </row>
    <row r="57270" spans="129:129" x14ac:dyDescent="0.2">
      <c r="DY57270" s="185" t="s">
        <v>215</v>
      </c>
    </row>
    <row r="57271" spans="129:129" x14ac:dyDescent="0.2">
      <c r="DY57271" s="185" t="s">
        <v>215</v>
      </c>
    </row>
    <row r="57272" spans="129:129" x14ac:dyDescent="0.2">
      <c r="DY57272" s="185" t="s">
        <v>215</v>
      </c>
    </row>
    <row r="57273" spans="129:129" x14ac:dyDescent="0.2">
      <c r="DY57273" s="185" t="s">
        <v>215</v>
      </c>
    </row>
    <row r="57274" spans="129:129" x14ac:dyDescent="0.2">
      <c r="DY57274" s="185" t="s">
        <v>215</v>
      </c>
    </row>
    <row r="57275" spans="129:129" x14ac:dyDescent="0.2">
      <c r="DY57275" s="185" t="s">
        <v>215</v>
      </c>
    </row>
    <row r="57276" spans="129:129" x14ac:dyDescent="0.2">
      <c r="DY57276" s="185" t="s">
        <v>215</v>
      </c>
    </row>
    <row r="57277" spans="129:129" x14ac:dyDescent="0.2">
      <c r="DY57277" s="185" t="s">
        <v>215</v>
      </c>
    </row>
    <row r="57278" spans="129:129" x14ac:dyDescent="0.2">
      <c r="DY57278" s="185" t="s">
        <v>215</v>
      </c>
    </row>
    <row r="57279" spans="129:129" x14ac:dyDescent="0.2">
      <c r="DY57279" s="185" t="s">
        <v>215</v>
      </c>
    </row>
    <row r="57280" spans="129:129" x14ac:dyDescent="0.2">
      <c r="DY57280" s="185" t="s">
        <v>215</v>
      </c>
    </row>
    <row r="57281" spans="129:129" x14ac:dyDescent="0.2">
      <c r="DY57281" s="185" t="s">
        <v>215</v>
      </c>
    </row>
    <row r="57282" spans="129:129" x14ac:dyDescent="0.2">
      <c r="DY57282" s="185" t="s">
        <v>215</v>
      </c>
    </row>
    <row r="57283" spans="129:129" x14ac:dyDescent="0.2">
      <c r="DY57283" s="185" t="s">
        <v>215</v>
      </c>
    </row>
    <row r="57284" spans="129:129" x14ac:dyDescent="0.2">
      <c r="DY57284" s="185" t="s">
        <v>215</v>
      </c>
    </row>
    <row r="57285" spans="129:129" x14ac:dyDescent="0.2">
      <c r="DY57285" s="185" t="s">
        <v>215</v>
      </c>
    </row>
    <row r="57286" spans="129:129" x14ac:dyDescent="0.2">
      <c r="DY57286" s="185" t="s">
        <v>215</v>
      </c>
    </row>
    <row r="57287" spans="129:129" x14ac:dyDescent="0.2">
      <c r="DY57287" s="185" t="s">
        <v>215</v>
      </c>
    </row>
    <row r="57288" spans="129:129" x14ac:dyDescent="0.2">
      <c r="DY57288" s="185" t="s">
        <v>215</v>
      </c>
    </row>
    <row r="57289" spans="129:129" x14ac:dyDescent="0.2">
      <c r="DY57289" s="185" t="s">
        <v>215</v>
      </c>
    </row>
    <row r="57290" spans="129:129" x14ac:dyDescent="0.2">
      <c r="DY57290" s="185" t="s">
        <v>215</v>
      </c>
    </row>
    <row r="57291" spans="129:129" x14ac:dyDescent="0.2">
      <c r="DY57291" s="185" t="s">
        <v>215</v>
      </c>
    </row>
    <row r="57292" spans="129:129" x14ac:dyDescent="0.2">
      <c r="DY57292" s="185" t="s">
        <v>215</v>
      </c>
    </row>
    <row r="57293" spans="129:129" x14ac:dyDescent="0.2">
      <c r="DY57293" s="185" t="s">
        <v>215</v>
      </c>
    </row>
    <row r="57294" spans="129:129" x14ac:dyDescent="0.2">
      <c r="DY57294" s="185" t="s">
        <v>215</v>
      </c>
    </row>
    <row r="57295" spans="129:129" x14ac:dyDescent="0.2">
      <c r="DY57295" s="185" t="s">
        <v>215</v>
      </c>
    </row>
    <row r="57296" spans="129:129" x14ac:dyDescent="0.2">
      <c r="DY57296" s="185" t="s">
        <v>215</v>
      </c>
    </row>
    <row r="57297" spans="129:129" x14ac:dyDescent="0.2">
      <c r="DY57297" s="185" t="s">
        <v>215</v>
      </c>
    </row>
    <row r="57298" spans="129:129" x14ac:dyDescent="0.2">
      <c r="DY57298" s="185" t="s">
        <v>215</v>
      </c>
    </row>
    <row r="57299" spans="129:129" x14ac:dyDescent="0.2">
      <c r="DY57299" s="185" t="s">
        <v>215</v>
      </c>
    </row>
    <row r="57300" spans="129:129" x14ac:dyDescent="0.2">
      <c r="DY57300" s="185" t="s">
        <v>215</v>
      </c>
    </row>
    <row r="57301" spans="129:129" x14ac:dyDescent="0.2">
      <c r="DY57301" s="185" t="s">
        <v>215</v>
      </c>
    </row>
    <row r="57302" spans="129:129" x14ac:dyDescent="0.2">
      <c r="DY57302" s="185" t="s">
        <v>215</v>
      </c>
    </row>
    <row r="57303" spans="129:129" x14ac:dyDescent="0.2">
      <c r="DY57303" s="185" t="s">
        <v>215</v>
      </c>
    </row>
    <row r="57304" spans="129:129" x14ac:dyDescent="0.2">
      <c r="DY57304" s="185" t="s">
        <v>215</v>
      </c>
    </row>
    <row r="57305" spans="129:129" x14ac:dyDescent="0.2">
      <c r="DY57305" s="185" t="s">
        <v>215</v>
      </c>
    </row>
    <row r="57306" spans="129:129" x14ac:dyDescent="0.2">
      <c r="DY57306" s="185" t="s">
        <v>215</v>
      </c>
    </row>
    <row r="57307" spans="129:129" x14ac:dyDescent="0.2">
      <c r="DY57307" s="185" t="s">
        <v>215</v>
      </c>
    </row>
    <row r="57308" spans="129:129" x14ac:dyDescent="0.2">
      <c r="DY57308" s="185" t="s">
        <v>215</v>
      </c>
    </row>
    <row r="57309" spans="129:129" x14ac:dyDescent="0.2">
      <c r="DY57309" s="185" t="s">
        <v>215</v>
      </c>
    </row>
    <row r="57310" spans="129:129" x14ac:dyDescent="0.2">
      <c r="DY57310" s="185" t="s">
        <v>215</v>
      </c>
    </row>
    <row r="57311" spans="129:129" x14ac:dyDescent="0.2">
      <c r="DY57311" s="185" t="s">
        <v>215</v>
      </c>
    </row>
    <row r="57312" spans="129:129" x14ac:dyDescent="0.2">
      <c r="DY57312" s="185" t="s">
        <v>215</v>
      </c>
    </row>
    <row r="57313" spans="129:129" x14ac:dyDescent="0.2">
      <c r="DY57313" s="185" t="s">
        <v>215</v>
      </c>
    </row>
    <row r="57314" spans="129:129" x14ac:dyDescent="0.2">
      <c r="DY57314" s="185" t="s">
        <v>215</v>
      </c>
    </row>
    <row r="57315" spans="129:129" x14ac:dyDescent="0.2">
      <c r="DY57315" s="185" t="s">
        <v>215</v>
      </c>
    </row>
    <row r="57316" spans="129:129" x14ac:dyDescent="0.2">
      <c r="DY57316" s="185" t="s">
        <v>215</v>
      </c>
    </row>
    <row r="57317" spans="129:129" x14ac:dyDescent="0.2">
      <c r="DY57317" s="185" t="s">
        <v>215</v>
      </c>
    </row>
    <row r="57318" spans="129:129" x14ac:dyDescent="0.2">
      <c r="DY57318" s="185" t="s">
        <v>215</v>
      </c>
    </row>
    <row r="57319" spans="129:129" x14ac:dyDescent="0.2">
      <c r="DY57319" s="185" t="s">
        <v>215</v>
      </c>
    </row>
    <row r="57320" spans="129:129" x14ac:dyDescent="0.2">
      <c r="DY57320" s="185" t="s">
        <v>215</v>
      </c>
    </row>
    <row r="57321" spans="129:129" x14ac:dyDescent="0.2">
      <c r="DY57321" s="185" t="s">
        <v>215</v>
      </c>
    </row>
    <row r="57322" spans="129:129" x14ac:dyDescent="0.2">
      <c r="DY57322" s="185" t="s">
        <v>215</v>
      </c>
    </row>
    <row r="57323" spans="129:129" x14ac:dyDescent="0.2">
      <c r="DY57323" s="185" t="s">
        <v>215</v>
      </c>
    </row>
    <row r="57324" spans="129:129" x14ac:dyDescent="0.2">
      <c r="DY57324" s="185" t="s">
        <v>215</v>
      </c>
    </row>
    <row r="57325" spans="129:129" x14ac:dyDescent="0.2">
      <c r="DY57325" s="185" t="s">
        <v>215</v>
      </c>
    </row>
    <row r="57326" spans="129:129" x14ac:dyDescent="0.2">
      <c r="DY57326" s="185" t="s">
        <v>215</v>
      </c>
    </row>
    <row r="57327" spans="129:129" x14ac:dyDescent="0.2">
      <c r="DY57327" s="185" t="s">
        <v>215</v>
      </c>
    </row>
    <row r="57328" spans="129:129" x14ac:dyDescent="0.2">
      <c r="DY57328" s="185" t="s">
        <v>215</v>
      </c>
    </row>
    <row r="57329" spans="129:129" x14ac:dyDescent="0.2">
      <c r="DY57329" s="185" t="s">
        <v>215</v>
      </c>
    </row>
    <row r="57330" spans="129:129" x14ac:dyDescent="0.2">
      <c r="DY57330" s="185" t="s">
        <v>215</v>
      </c>
    </row>
    <row r="57331" spans="129:129" x14ac:dyDescent="0.2">
      <c r="DY57331" s="185" t="s">
        <v>215</v>
      </c>
    </row>
    <row r="57332" spans="129:129" x14ac:dyDescent="0.2">
      <c r="DY57332" s="185" t="s">
        <v>215</v>
      </c>
    </row>
    <row r="57333" spans="129:129" x14ac:dyDescent="0.2">
      <c r="DY57333" s="185" t="s">
        <v>215</v>
      </c>
    </row>
    <row r="57334" spans="129:129" x14ac:dyDescent="0.2">
      <c r="DY57334" s="185" t="s">
        <v>215</v>
      </c>
    </row>
    <row r="57335" spans="129:129" x14ac:dyDescent="0.2">
      <c r="DY57335" s="185" t="s">
        <v>215</v>
      </c>
    </row>
    <row r="57336" spans="129:129" x14ac:dyDescent="0.2">
      <c r="DY57336" s="185" t="s">
        <v>215</v>
      </c>
    </row>
    <row r="57337" spans="129:129" x14ac:dyDescent="0.2">
      <c r="DY57337" s="185" t="s">
        <v>215</v>
      </c>
    </row>
    <row r="57338" spans="129:129" x14ac:dyDescent="0.2">
      <c r="DY57338" s="185" t="s">
        <v>215</v>
      </c>
    </row>
    <row r="57339" spans="129:129" x14ac:dyDescent="0.2">
      <c r="DY57339" s="185" t="s">
        <v>215</v>
      </c>
    </row>
    <row r="57340" spans="129:129" x14ac:dyDescent="0.2">
      <c r="DY57340" s="185" t="s">
        <v>215</v>
      </c>
    </row>
    <row r="57341" spans="129:129" x14ac:dyDescent="0.2">
      <c r="DY57341" s="185" t="s">
        <v>215</v>
      </c>
    </row>
    <row r="57342" spans="129:129" x14ac:dyDescent="0.2">
      <c r="DY57342" s="185" t="s">
        <v>215</v>
      </c>
    </row>
    <row r="57343" spans="129:129" x14ac:dyDescent="0.2">
      <c r="DY57343" s="185" t="s">
        <v>215</v>
      </c>
    </row>
    <row r="57344" spans="129:129" x14ac:dyDescent="0.2">
      <c r="DY57344" s="185" t="s">
        <v>215</v>
      </c>
    </row>
    <row r="57345" spans="129:129" x14ac:dyDescent="0.2">
      <c r="DY57345" s="185" t="s">
        <v>215</v>
      </c>
    </row>
    <row r="57346" spans="129:129" x14ac:dyDescent="0.2">
      <c r="DY57346" s="185" t="s">
        <v>215</v>
      </c>
    </row>
    <row r="57347" spans="129:129" x14ac:dyDescent="0.2">
      <c r="DY57347" s="185" t="s">
        <v>215</v>
      </c>
    </row>
    <row r="57348" spans="129:129" x14ac:dyDescent="0.2">
      <c r="DY57348" s="185" t="s">
        <v>215</v>
      </c>
    </row>
    <row r="57349" spans="129:129" x14ac:dyDescent="0.2">
      <c r="DY57349" s="185" t="s">
        <v>215</v>
      </c>
    </row>
    <row r="57350" spans="129:129" x14ac:dyDescent="0.2">
      <c r="DY57350" s="185" t="s">
        <v>215</v>
      </c>
    </row>
    <row r="57351" spans="129:129" x14ac:dyDescent="0.2">
      <c r="DY57351" s="185" t="s">
        <v>215</v>
      </c>
    </row>
    <row r="57352" spans="129:129" x14ac:dyDescent="0.2">
      <c r="DY57352" s="185" t="s">
        <v>215</v>
      </c>
    </row>
    <row r="57353" spans="129:129" x14ac:dyDescent="0.2">
      <c r="DY57353" s="185" t="s">
        <v>215</v>
      </c>
    </row>
    <row r="57354" spans="129:129" x14ac:dyDescent="0.2">
      <c r="DY57354" s="185" t="s">
        <v>215</v>
      </c>
    </row>
    <row r="57355" spans="129:129" x14ac:dyDescent="0.2">
      <c r="DY57355" s="185" t="s">
        <v>215</v>
      </c>
    </row>
    <row r="57356" spans="129:129" x14ac:dyDescent="0.2">
      <c r="DY57356" s="185" t="s">
        <v>215</v>
      </c>
    </row>
    <row r="57357" spans="129:129" x14ac:dyDescent="0.2">
      <c r="DY57357" s="185" t="s">
        <v>215</v>
      </c>
    </row>
    <row r="57358" spans="129:129" x14ac:dyDescent="0.2">
      <c r="DY57358" s="185" t="s">
        <v>215</v>
      </c>
    </row>
    <row r="57359" spans="129:129" x14ac:dyDescent="0.2">
      <c r="DY57359" s="185" t="s">
        <v>215</v>
      </c>
    </row>
    <row r="57360" spans="129:129" x14ac:dyDescent="0.2">
      <c r="DY57360" s="185" t="s">
        <v>215</v>
      </c>
    </row>
    <row r="57361" spans="129:129" x14ac:dyDescent="0.2">
      <c r="DY57361" s="185" t="s">
        <v>215</v>
      </c>
    </row>
    <row r="57362" spans="129:129" x14ac:dyDescent="0.2">
      <c r="DY57362" s="185" t="s">
        <v>215</v>
      </c>
    </row>
    <row r="57363" spans="129:129" x14ac:dyDescent="0.2">
      <c r="DY57363" s="185" t="s">
        <v>215</v>
      </c>
    </row>
    <row r="57364" spans="129:129" x14ac:dyDescent="0.2">
      <c r="DY57364" s="185" t="s">
        <v>215</v>
      </c>
    </row>
    <row r="57365" spans="129:129" x14ac:dyDescent="0.2">
      <c r="DY57365" s="185" t="s">
        <v>215</v>
      </c>
    </row>
    <row r="57366" spans="129:129" x14ac:dyDescent="0.2">
      <c r="DY57366" s="185" t="s">
        <v>215</v>
      </c>
    </row>
    <row r="57367" spans="129:129" x14ac:dyDescent="0.2">
      <c r="DY57367" s="185" t="s">
        <v>215</v>
      </c>
    </row>
    <row r="57368" spans="129:129" x14ac:dyDescent="0.2">
      <c r="DY57368" s="185" t="s">
        <v>215</v>
      </c>
    </row>
    <row r="57369" spans="129:129" x14ac:dyDescent="0.2">
      <c r="DY57369" s="185" t="s">
        <v>215</v>
      </c>
    </row>
    <row r="57370" spans="129:129" x14ac:dyDescent="0.2">
      <c r="DY57370" s="185" t="s">
        <v>215</v>
      </c>
    </row>
    <row r="57371" spans="129:129" x14ac:dyDescent="0.2">
      <c r="DY57371" s="185" t="s">
        <v>215</v>
      </c>
    </row>
    <row r="57372" spans="129:129" x14ac:dyDescent="0.2">
      <c r="DY57372" s="185" t="s">
        <v>215</v>
      </c>
    </row>
    <row r="57373" spans="129:129" x14ac:dyDescent="0.2">
      <c r="DY57373" s="185" t="s">
        <v>215</v>
      </c>
    </row>
    <row r="57374" spans="129:129" x14ac:dyDescent="0.2">
      <c r="DY57374" s="185" t="s">
        <v>215</v>
      </c>
    </row>
    <row r="57375" spans="129:129" x14ac:dyDescent="0.2">
      <c r="DY57375" s="185" t="s">
        <v>215</v>
      </c>
    </row>
    <row r="57376" spans="129:129" x14ac:dyDescent="0.2">
      <c r="DY57376" s="185" t="s">
        <v>215</v>
      </c>
    </row>
    <row r="57377" spans="129:129" x14ac:dyDescent="0.2">
      <c r="DY57377" s="185" t="s">
        <v>215</v>
      </c>
    </row>
    <row r="57378" spans="129:129" x14ac:dyDescent="0.2">
      <c r="DY57378" s="185" t="s">
        <v>215</v>
      </c>
    </row>
    <row r="57379" spans="129:129" x14ac:dyDescent="0.2">
      <c r="DY57379" s="185" t="s">
        <v>215</v>
      </c>
    </row>
    <row r="57380" spans="129:129" x14ac:dyDescent="0.2">
      <c r="DY57380" s="185" t="s">
        <v>215</v>
      </c>
    </row>
    <row r="57381" spans="129:129" x14ac:dyDescent="0.2">
      <c r="DY57381" s="185" t="s">
        <v>215</v>
      </c>
    </row>
    <row r="57382" spans="129:129" x14ac:dyDescent="0.2">
      <c r="DY57382" s="185" t="s">
        <v>215</v>
      </c>
    </row>
    <row r="57383" spans="129:129" x14ac:dyDescent="0.2">
      <c r="DY57383" s="185" t="s">
        <v>215</v>
      </c>
    </row>
    <row r="57384" spans="129:129" x14ac:dyDescent="0.2">
      <c r="DY57384" s="185" t="s">
        <v>215</v>
      </c>
    </row>
    <row r="57385" spans="129:129" x14ac:dyDescent="0.2">
      <c r="DY57385" s="185" t="s">
        <v>215</v>
      </c>
    </row>
    <row r="57386" spans="129:129" x14ac:dyDescent="0.2">
      <c r="DY57386" s="185" t="s">
        <v>215</v>
      </c>
    </row>
    <row r="57387" spans="129:129" x14ac:dyDescent="0.2">
      <c r="DY57387" s="185" t="s">
        <v>215</v>
      </c>
    </row>
    <row r="57388" spans="129:129" x14ac:dyDescent="0.2">
      <c r="DY57388" s="185" t="s">
        <v>215</v>
      </c>
    </row>
    <row r="57389" spans="129:129" x14ac:dyDescent="0.2">
      <c r="DY57389" s="185" t="s">
        <v>215</v>
      </c>
    </row>
    <row r="57390" spans="129:129" x14ac:dyDescent="0.2">
      <c r="DY57390" s="185" t="s">
        <v>215</v>
      </c>
    </row>
    <row r="57391" spans="129:129" x14ac:dyDescent="0.2">
      <c r="DY57391" s="185" t="s">
        <v>215</v>
      </c>
    </row>
    <row r="57392" spans="129:129" x14ac:dyDescent="0.2">
      <c r="DY57392" s="185" t="s">
        <v>215</v>
      </c>
    </row>
    <row r="57393" spans="129:129" x14ac:dyDescent="0.2">
      <c r="DY57393" s="185" t="s">
        <v>215</v>
      </c>
    </row>
    <row r="57394" spans="129:129" x14ac:dyDescent="0.2">
      <c r="DY57394" s="185" t="s">
        <v>215</v>
      </c>
    </row>
    <row r="57395" spans="129:129" x14ac:dyDescent="0.2">
      <c r="DY57395" s="185" t="s">
        <v>215</v>
      </c>
    </row>
    <row r="57396" spans="129:129" x14ac:dyDescent="0.2">
      <c r="DY57396" s="185" t="s">
        <v>215</v>
      </c>
    </row>
    <row r="57397" spans="129:129" x14ac:dyDescent="0.2">
      <c r="DY57397" s="185" t="s">
        <v>215</v>
      </c>
    </row>
    <row r="57398" spans="129:129" x14ac:dyDescent="0.2">
      <c r="DY57398" s="185" t="s">
        <v>215</v>
      </c>
    </row>
    <row r="57399" spans="129:129" x14ac:dyDescent="0.2">
      <c r="DY57399" s="185" t="s">
        <v>215</v>
      </c>
    </row>
    <row r="57400" spans="129:129" x14ac:dyDescent="0.2">
      <c r="DY57400" s="185" t="s">
        <v>215</v>
      </c>
    </row>
    <row r="57401" spans="129:129" x14ac:dyDescent="0.2">
      <c r="DY57401" s="185" t="s">
        <v>215</v>
      </c>
    </row>
    <row r="57402" spans="129:129" x14ac:dyDescent="0.2">
      <c r="DY57402" s="185" t="s">
        <v>215</v>
      </c>
    </row>
    <row r="57403" spans="129:129" x14ac:dyDescent="0.2">
      <c r="DY57403" s="185" t="s">
        <v>215</v>
      </c>
    </row>
    <row r="57404" spans="129:129" x14ac:dyDescent="0.2">
      <c r="DY57404" s="185" t="s">
        <v>215</v>
      </c>
    </row>
    <row r="57405" spans="129:129" x14ac:dyDescent="0.2">
      <c r="DY57405" s="185" t="s">
        <v>215</v>
      </c>
    </row>
    <row r="57406" spans="129:129" x14ac:dyDescent="0.2">
      <c r="DY57406" s="185" t="s">
        <v>215</v>
      </c>
    </row>
    <row r="57407" spans="129:129" x14ac:dyDescent="0.2">
      <c r="DY57407" s="185" t="s">
        <v>215</v>
      </c>
    </row>
    <row r="57408" spans="129:129" x14ac:dyDescent="0.2">
      <c r="DY57408" s="185" t="s">
        <v>215</v>
      </c>
    </row>
    <row r="57409" spans="129:129" x14ac:dyDescent="0.2">
      <c r="DY57409" s="185" t="s">
        <v>215</v>
      </c>
    </row>
    <row r="57410" spans="129:129" x14ac:dyDescent="0.2">
      <c r="DY57410" s="185" t="s">
        <v>215</v>
      </c>
    </row>
    <row r="57411" spans="129:129" x14ac:dyDescent="0.2">
      <c r="DY57411" s="185" t="s">
        <v>215</v>
      </c>
    </row>
    <row r="57412" spans="129:129" x14ac:dyDescent="0.2">
      <c r="DY57412" s="185" t="s">
        <v>215</v>
      </c>
    </row>
    <row r="57413" spans="129:129" x14ac:dyDescent="0.2">
      <c r="DY57413" s="185" t="s">
        <v>215</v>
      </c>
    </row>
    <row r="57414" spans="129:129" x14ac:dyDescent="0.2">
      <c r="DY57414" s="185" t="s">
        <v>215</v>
      </c>
    </row>
    <row r="57415" spans="129:129" x14ac:dyDescent="0.2">
      <c r="DY57415" s="185" t="s">
        <v>215</v>
      </c>
    </row>
    <row r="57416" spans="129:129" x14ac:dyDescent="0.2">
      <c r="DY57416" s="185" t="s">
        <v>215</v>
      </c>
    </row>
    <row r="57417" spans="129:129" x14ac:dyDescent="0.2">
      <c r="DY57417" s="185" t="s">
        <v>215</v>
      </c>
    </row>
    <row r="57418" spans="129:129" x14ac:dyDescent="0.2">
      <c r="DY57418" s="185" t="s">
        <v>215</v>
      </c>
    </row>
    <row r="57419" spans="129:129" x14ac:dyDescent="0.2">
      <c r="DY57419" s="185" t="s">
        <v>215</v>
      </c>
    </row>
    <row r="57420" spans="129:129" x14ac:dyDescent="0.2">
      <c r="DY57420" s="185" t="s">
        <v>215</v>
      </c>
    </row>
    <row r="57421" spans="129:129" x14ac:dyDescent="0.2">
      <c r="DY57421" s="185" t="s">
        <v>215</v>
      </c>
    </row>
    <row r="57422" spans="129:129" x14ac:dyDescent="0.2">
      <c r="DY57422" s="185" t="s">
        <v>215</v>
      </c>
    </row>
    <row r="57423" spans="129:129" x14ac:dyDescent="0.2">
      <c r="DY57423" s="185" t="s">
        <v>215</v>
      </c>
    </row>
    <row r="57424" spans="129:129" x14ac:dyDescent="0.2">
      <c r="DY57424" s="185" t="s">
        <v>215</v>
      </c>
    </row>
    <row r="57425" spans="129:129" x14ac:dyDescent="0.2">
      <c r="DY57425" s="185" t="s">
        <v>215</v>
      </c>
    </row>
    <row r="57426" spans="129:129" x14ac:dyDescent="0.2">
      <c r="DY57426" s="185" t="s">
        <v>215</v>
      </c>
    </row>
    <row r="57427" spans="129:129" x14ac:dyDescent="0.2">
      <c r="DY57427" s="185" t="s">
        <v>215</v>
      </c>
    </row>
    <row r="57428" spans="129:129" x14ac:dyDescent="0.2">
      <c r="DY57428" s="185" t="s">
        <v>215</v>
      </c>
    </row>
    <row r="57429" spans="129:129" x14ac:dyDescent="0.2">
      <c r="DY57429" s="185" t="s">
        <v>215</v>
      </c>
    </row>
    <row r="57430" spans="129:129" x14ac:dyDescent="0.2">
      <c r="DY57430" s="185" t="s">
        <v>215</v>
      </c>
    </row>
    <row r="57431" spans="129:129" x14ac:dyDescent="0.2">
      <c r="DY57431" s="185" t="s">
        <v>215</v>
      </c>
    </row>
    <row r="57432" spans="129:129" x14ac:dyDescent="0.2">
      <c r="DY57432" s="185" t="s">
        <v>215</v>
      </c>
    </row>
    <row r="57433" spans="129:129" x14ac:dyDescent="0.2">
      <c r="DY57433" s="185" t="s">
        <v>215</v>
      </c>
    </row>
    <row r="57434" spans="129:129" x14ac:dyDescent="0.2">
      <c r="DY57434" s="185" t="s">
        <v>215</v>
      </c>
    </row>
    <row r="57435" spans="129:129" x14ac:dyDescent="0.2">
      <c r="DY57435" s="185" t="s">
        <v>215</v>
      </c>
    </row>
    <row r="57436" spans="129:129" x14ac:dyDescent="0.2">
      <c r="DY57436" s="185" t="s">
        <v>215</v>
      </c>
    </row>
    <row r="57437" spans="129:129" x14ac:dyDescent="0.2">
      <c r="DY57437" s="185" t="s">
        <v>215</v>
      </c>
    </row>
    <row r="57438" spans="129:129" x14ac:dyDescent="0.2">
      <c r="DY57438" s="185" t="s">
        <v>215</v>
      </c>
    </row>
    <row r="57439" spans="129:129" x14ac:dyDescent="0.2">
      <c r="DY57439" s="185" t="s">
        <v>215</v>
      </c>
    </row>
    <row r="57440" spans="129:129" x14ac:dyDescent="0.2">
      <c r="DY57440" s="185" t="s">
        <v>215</v>
      </c>
    </row>
    <row r="57441" spans="129:129" x14ac:dyDescent="0.2">
      <c r="DY57441" s="185" t="s">
        <v>215</v>
      </c>
    </row>
    <row r="57442" spans="129:129" x14ac:dyDescent="0.2">
      <c r="DY57442" s="185" t="s">
        <v>215</v>
      </c>
    </row>
    <row r="57443" spans="129:129" x14ac:dyDescent="0.2">
      <c r="DY57443" s="185" t="s">
        <v>215</v>
      </c>
    </row>
    <row r="57444" spans="129:129" x14ac:dyDescent="0.2">
      <c r="DY57444" s="185" t="s">
        <v>215</v>
      </c>
    </row>
    <row r="57445" spans="129:129" x14ac:dyDescent="0.2">
      <c r="DY57445" s="185" t="s">
        <v>215</v>
      </c>
    </row>
    <row r="57446" spans="129:129" x14ac:dyDescent="0.2">
      <c r="DY57446" s="185" t="s">
        <v>215</v>
      </c>
    </row>
    <row r="57447" spans="129:129" x14ac:dyDescent="0.2">
      <c r="DY57447" s="185" t="s">
        <v>215</v>
      </c>
    </row>
    <row r="57448" spans="129:129" x14ac:dyDescent="0.2">
      <c r="DY57448" s="185" t="s">
        <v>215</v>
      </c>
    </row>
    <row r="57449" spans="129:129" x14ac:dyDescent="0.2">
      <c r="DY57449" s="185" t="s">
        <v>215</v>
      </c>
    </row>
    <row r="57450" spans="129:129" x14ac:dyDescent="0.2">
      <c r="DY57450" s="185" t="s">
        <v>215</v>
      </c>
    </row>
    <row r="57451" spans="129:129" x14ac:dyDescent="0.2">
      <c r="DY57451" s="185" t="s">
        <v>215</v>
      </c>
    </row>
    <row r="57452" spans="129:129" x14ac:dyDescent="0.2">
      <c r="DY57452" s="185" t="s">
        <v>215</v>
      </c>
    </row>
    <row r="57453" spans="129:129" x14ac:dyDescent="0.2">
      <c r="DY57453" s="185" t="s">
        <v>215</v>
      </c>
    </row>
    <row r="57454" spans="129:129" x14ac:dyDescent="0.2">
      <c r="DY57454" s="185" t="s">
        <v>215</v>
      </c>
    </row>
    <row r="57455" spans="129:129" x14ac:dyDescent="0.2">
      <c r="DY57455" s="185" t="s">
        <v>215</v>
      </c>
    </row>
    <row r="57456" spans="129:129" x14ac:dyDescent="0.2">
      <c r="DY57456" s="185" t="s">
        <v>215</v>
      </c>
    </row>
    <row r="57457" spans="129:129" x14ac:dyDescent="0.2">
      <c r="DY57457" s="185" t="s">
        <v>215</v>
      </c>
    </row>
    <row r="57458" spans="129:129" x14ac:dyDescent="0.2">
      <c r="DY57458" s="185" t="s">
        <v>215</v>
      </c>
    </row>
    <row r="57459" spans="129:129" x14ac:dyDescent="0.2">
      <c r="DY57459" s="185" t="s">
        <v>215</v>
      </c>
    </row>
    <row r="57460" spans="129:129" x14ac:dyDescent="0.2">
      <c r="DY57460" s="185" t="s">
        <v>215</v>
      </c>
    </row>
    <row r="57461" spans="129:129" x14ac:dyDescent="0.2">
      <c r="DY57461" s="185" t="s">
        <v>215</v>
      </c>
    </row>
    <row r="57462" spans="129:129" x14ac:dyDescent="0.2">
      <c r="DY57462" s="185" t="s">
        <v>215</v>
      </c>
    </row>
    <row r="57463" spans="129:129" x14ac:dyDescent="0.2">
      <c r="DY57463" s="185" t="s">
        <v>215</v>
      </c>
    </row>
    <row r="57464" spans="129:129" x14ac:dyDescent="0.2">
      <c r="DY57464" s="185" t="s">
        <v>215</v>
      </c>
    </row>
    <row r="57465" spans="129:129" x14ac:dyDescent="0.2">
      <c r="DY57465" s="185" t="s">
        <v>215</v>
      </c>
    </row>
    <row r="57466" spans="129:129" x14ac:dyDescent="0.2">
      <c r="DY57466" s="185" t="s">
        <v>215</v>
      </c>
    </row>
    <row r="57467" spans="129:129" x14ac:dyDescent="0.2">
      <c r="DY57467" s="185" t="s">
        <v>215</v>
      </c>
    </row>
    <row r="57468" spans="129:129" x14ac:dyDescent="0.2">
      <c r="DY57468" s="185" t="s">
        <v>215</v>
      </c>
    </row>
    <row r="57469" spans="129:129" x14ac:dyDescent="0.2">
      <c r="DY57469" s="185" t="s">
        <v>215</v>
      </c>
    </row>
    <row r="57470" spans="129:129" x14ac:dyDescent="0.2">
      <c r="DY57470" s="185" t="s">
        <v>215</v>
      </c>
    </row>
    <row r="57471" spans="129:129" x14ac:dyDescent="0.2">
      <c r="DY57471" s="185" t="s">
        <v>215</v>
      </c>
    </row>
    <row r="57472" spans="129:129" x14ac:dyDescent="0.2">
      <c r="DY57472" s="185" t="s">
        <v>215</v>
      </c>
    </row>
    <row r="57473" spans="129:129" x14ac:dyDescent="0.2">
      <c r="DY57473" s="185" t="s">
        <v>215</v>
      </c>
    </row>
    <row r="57474" spans="129:129" x14ac:dyDescent="0.2">
      <c r="DY57474" s="185" t="s">
        <v>215</v>
      </c>
    </row>
    <row r="57475" spans="129:129" x14ac:dyDescent="0.2">
      <c r="DY57475" s="185" t="s">
        <v>215</v>
      </c>
    </row>
    <row r="57476" spans="129:129" x14ac:dyDescent="0.2">
      <c r="DY57476" s="185" t="s">
        <v>215</v>
      </c>
    </row>
    <row r="57477" spans="129:129" x14ac:dyDescent="0.2">
      <c r="DY57477" s="185" t="s">
        <v>215</v>
      </c>
    </row>
    <row r="57478" spans="129:129" x14ac:dyDescent="0.2">
      <c r="DY57478" s="185" t="s">
        <v>215</v>
      </c>
    </row>
    <row r="57479" spans="129:129" x14ac:dyDescent="0.2">
      <c r="DY57479" s="185" t="s">
        <v>215</v>
      </c>
    </row>
    <row r="57480" spans="129:129" x14ac:dyDescent="0.2">
      <c r="DY57480" s="185" t="s">
        <v>215</v>
      </c>
    </row>
    <row r="57481" spans="129:129" x14ac:dyDescent="0.2">
      <c r="DY57481" s="185" t="s">
        <v>215</v>
      </c>
    </row>
    <row r="57482" spans="129:129" x14ac:dyDescent="0.2">
      <c r="DY57482" s="185" t="s">
        <v>215</v>
      </c>
    </row>
    <row r="57483" spans="129:129" x14ac:dyDescent="0.2">
      <c r="DY57483" s="185" t="s">
        <v>215</v>
      </c>
    </row>
    <row r="57484" spans="129:129" x14ac:dyDescent="0.2">
      <c r="DY57484" s="185" t="s">
        <v>215</v>
      </c>
    </row>
    <row r="57485" spans="129:129" x14ac:dyDescent="0.2">
      <c r="DY57485" s="185" t="s">
        <v>215</v>
      </c>
    </row>
    <row r="57486" spans="129:129" x14ac:dyDescent="0.2">
      <c r="DY57486" s="185" t="s">
        <v>215</v>
      </c>
    </row>
    <row r="57487" spans="129:129" x14ac:dyDescent="0.2">
      <c r="DY57487" s="185" t="s">
        <v>215</v>
      </c>
    </row>
    <row r="57488" spans="129:129" x14ac:dyDescent="0.2">
      <c r="DY57488" s="185" t="s">
        <v>215</v>
      </c>
    </row>
    <row r="57489" spans="129:129" x14ac:dyDescent="0.2">
      <c r="DY57489" s="185" t="s">
        <v>215</v>
      </c>
    </row>
    <row r="57490" spans="129:129" x14ac:dyDescent="0.2">
      <c r="DY57490" s="185" t="s">
        <v>215</v>
      </c>
    </row>
    <row r="57491" spans="129:129" x14ac:dyDescent="0.2">
      <c r="DY57491" s="185" t="s">
        <v>215</v>
      </c>
    </row>
    <row r="57492" spans="129:129" x14ac:dyDescent="0.2">
      <c r="DY57492" s="185" t="s">
        <v>215</v>
      </c>
    </row>
    <row r="57493" spans="129:129" x14ac:dyDescent="0.2">
      <c r="DY57493" s="185" t="s">
        <v>215</v>
      </c>
    </row>
    <row r="57494" spans="129:129" x14ac:dyDescent="0.2">
      <c r="DY57494" s="185" t="s">
        <v>215</v>
      </c>
    </row>
    <row r="57495" spans="129:129" x14ac:dyDescent="0.2">
      <c r="DY57495" s="185" t="s">
        <v>215</v>
      </c>
    </row>
    <row r="57496" spans="129:129" x14ac:dyDescent="0.2">
      <c r="DY57496" s="185" t="s">
        <v>215</v>
      </c>
    </row>
    <row r="57497" spans="129:129" x14ac:dyDescent="0.2">
      <c r="DY57497" s="185" t="s">
        <v>215</v>
      </c>
    </row>
    <row r="57498" spans="129:129" x14ac:dyDescent="0.2">
      <c r="DY57498" s="185" t="s">
        <v>215</v>
      </c>
    </row>
    <row r="57499" spans="129:129" x14ac:dyDescent="0.2">
      <c r="DY57499" s="185" t="s">
        <v>215</v>
      </c>
    </row>
    <row r="57500" spans="129:129" x14ac:dyDescent="0.2">
      <c r="DY57500" s="185" t="s">
        <v>215</v>
      </c>
    </row>
    <row r="57501" spans="129:129" x14ac:dyDescent="0.2">
      <c r="DY57501" s="185" t="s">
        <v>215</v>
      </c>
    </row>
    <row r="57502" spans="129:129" x14ac:dyDescent="0.2">
      <c r="DY57502" s="185" t="s">
        <v>215</v>
      </c>
    </row>
    <row r="57503" spans="129:129" x14ac:dyDescent="0.2">
      <c r="DY57503" s="185" t="s">
        <v>215</v>
      </c>
    </row>
    <row r="57504" spans="129:129" x14ac:dyDescent="0.2">
      <c r="DY57504" s="185" t="s">
        <v>215</v>
      </c>
    </row>
    <row r="57505" spans="129:129" x14ac:dyDescent="0.2">
      <c r="DY57505" s="185" t="s">
        <v>215</v>
      </c>
    </row>
    <row r="57506" spans="129:129" x14ac:dyDescent="0.2">
      <c r="DY57506" s="185" t="s">
        <v>215</v>
      </c>
    </row>
    <row r="57507" spans="129:129" x14ac:dyDescent="0.2">
      <c r="DY57507" s="185" t="s">
        <v>215</v>
      </c>
    </row>
    <row r="57508" spans="129:129" x14ac:dyDescent="0.2">
      <c r="DY57508" s="185" t="s">
        <v>215</v>
      </c>
    </row>
    <row r="57509" spans="129:129" x14ac:dyDescent="0.2">
      <c r="DY57509" s="185" t="s">
        <v>215</v>
      </c>
    </row>
    <row r="57510" spans="129:129" x14ac:dyDescent="0.2">
      <c r="DY57510" s="185" t="s">
        <v>215</v>
      </c>
    </row>
    <row r="57511" spans="129:129" x14ac:dyDescent="0.2">
      <c r="DY57511" s="185" t="s">
        <v>215</v>
      </c>
    </row>
    <row r="57512" spans="129:129" x14ac:dyDescent="0.2">
      <c r="DY57512" s="185" t="s">
        <v>215</v>
      </c>
    </row>
    <row r="57513" spans="129:129" x14ac:dyDescent="0.2">
      <c r="DY57513" s="185" t="s">
        <v>215</v>
      </c>
    </row>
    <row r="57514" spans="129:129" x14ac:dyDescent="0.2">
      <c r="DY57514" s="185" t="s">
        <v>215</v>
      </c>
    </row>
    <row r="57515" spans="129:129" x14ac:dyDescent="0.2">
      <c r="DY57515" s="185" t="s">
        <v>215</v>
      </c>
    </row>
    <row r="57516" spans="129:129" x14ac:dyDescent="0.2">
      <c r="DY57516" s="185" t="s">
        <v>215</v>
      </c>
    </row>
    <row r="57517" spans="129:129" x14ac:dyDescent="0.2">
      <c r="DY57517" s="185" t="s">
        <v>215</v>
      </c>
    </row>
    <row r="57518" spans="129:129" x14ac:dyDescent="0.2">
      <c r="DY57518" s="185" t="s">
        <v>215</v>
      </c>
    </row>
    <row r="57519" spans="129:129" x14ac:dyDescent="0.2">
      <c r="DY57519" s="185" t="s">
        <v>215</v>
      </c>
    </row>
    <row r="57520" spans="129:129" x14ac:dyDescent="0.2">
      <c r="DY57520" s="185" t="s">
        <v>215</v>
      </c>
    </row>
    <row r="57521" spans="129:129" x14ac:dyDescent="0.2">
      <c r="DY57521" s="185" t="s">
        <v>215</v>
      </c>
    </row>
    <row r="57522" spans="129:129" x14ac:dyDescent="0.2">
      <c r="DY57522" s="185" t="s">
        <v>215</v>
      </c>
    </row>
    <row r="57523" spans="129:129" x14ac:dyDescent="0.2">
      <c r="DY57523" s="185" t="s">
        <v>215</v>
      </c>
    </row>
    <row r="57524" spans="129:129" x14ac:dyDescent="0.2">
      <c r="DY57524" s="185" t="s">
        <v>215</v>
      </c>
    </row>
    <row r="57525" spans="129:129" x14ac:dyDescent="0.2">
      <c r="DY57525" s="185" t="s">
        <v>215</v>
      </c>
    </row>
    <row r="57526" spans="129:129" x14ac:dyDescent="0.2">
      <c r="DY57526" s="185" t="s">
        <v>215</v>
      </c>
    </row>
    <row r="57527" spans="129:129" x14ac:dyDescent="0.2">
      <c r="DY57527" s="185" t="s">
        <v>215</v>
      </c>
    </row>
    <row r="57528" spans="129:129" x14ac:dyDescent="0.2">
      <c r="DY57528" s="185" t="s">
        <v>215</v>
      </c>
    </row>
    <row r="57529" spans="129:129" x14ac:dyDescent="0.2">
      <c r="DY57529" s="185" t="s">
        <v>215</v>
      </c>
    </row>
    <row r="57530" spans="129:129" x14ac:dyDescent="0.2">
      <c r="DY57530" s="185" t="s">
        <v>215</v>
      </c>
    </row>
    <row r="57531" spans="129:129" x14ac:dyDescent="0.2">
      <c r="DY57531" s="185" t="s">
        <v>215</v>
      </c>
    </row>
    <row r="57532" spans="129:129" x14ac:dyDescent="0.2">
      <c r="DY57532" s="185" t="s">
        <v>215</v>
      </c>
    </row>
    <row r="57533" spans="129:129" x14ac:dyDescent="0.2">
      <c r="DY57533" s="185" t="s">
        <v>215</v>
      </c>
    </row>
    <row r="57534" spans="129:129" x14ac:dyDescent="0.2">
      <c r="DY57534" s="185" t="s">
        <v>215</v>
      </c>
    </row>
    <row r="57535" spans="129:129" x14ac:dyDescent="0.2">
      <c r="DY57535" s="185" t="s">
        <v>215</v>
      </c>
    </row>
    <row r="57536" spans="129:129" x14ac:dyDescent="0.2">
      <c r="DY57536" s="185" t="s">
        <v>215</v>
      </c>
    </row>
    <row r="57537" spans="129:129" x14ac:dyDescent="0.2">
      <c r="DY57537" s="185" t="s">
        <v>215</v>
      </c>
    </row>
    <row r="57538" spans="129:129" x14ac:dyDescent="0.2">
      <c r="DY57538" s="185" t="s">
        <v>215</v>
      </c>
    </row>
    <row r="57539" spans="129:129" x14ac:dyDescent="0.2">
      <c r="DY57539" s="185" t="s">
        <v>215</v>
      </c>
    </row>
    <row r="57540" spans="129:129" x14ac:dyDescent="0.2">
      <c r="DY57540" s="185" t="s">
        <v>215</v>
      </c>
    </row>
    <row r="57541" spans="129:129" x14ac:dyDescent="0.2">
      <c r="DY57541" s="185" t="s">
        <v>215</v>
      </c>
    </row>
    <row r="57542" spans="129:129" x14ac:dyDescent="0.2">
      <c r="DY57542" s="185" t="s">
        <v>215</v>
      </c>
    </row>
    <row r="57543" spans="129:129" x14ac:dyDescent="0.2">
      <c r="DY57543" s="185" t="s">
        <v>215</v>
      </c>
    </row>
    <row r="57544" spans="129:129" x14ac:dyDescent="0.2">
      <c r="DY57544" s="185" t="s">
        <v>215</v>
      </c>
    </row>
    <row r="57545" spans="129:129" x14ac:dyDescent="0.2">
      <c r="DY57545" s="185" t="s">
        <v>215</v>
      </c>
    </row>
    <row r="57546" spans="129:129" x14ac:dyDescent="0.2">
      <c r="DY57546" s="185" t="s">
        <v>215</v>
      </c>
    </row>
    <row r="57547" spans="129:129" x14ac:dyDescent="0.2">
      <c r="DY57547" s="185" t="s">
        <v>215</v>
      </c>
    </row>
    <row r="57548" spans="129:129" x14ac:dyDescent="0.2">
      <c r="DY57548" s="185" t="s">
        <v>215</v>
      </c>
    </row>
    <row r="57549" spans="129:129" x14ac:dyDescent="0.2">
      <c r="DY57549" s="185" t="s">
        <v>215</v>
      </c>
    </row>
    <row r="57550" spans="129:129" x14ac:dyDescent="0.2">
      <c r="DY57550" s="185" t="s">
        <v>215</v>
      </c>
    </row>
    <row r="57551" spans="129:129" x14ac:dyDescent="0.2">
      <c r="DY57551" s="185" t="s">
        <v>215</v>
      </c>
    </row>
    <row r="57552" spans="129:129" x14ac:dyDescent="0.2">
      <c r="DY57552" s="185" t="s">
        <v>215</v>
      </c>
    </row>
    <row r="57553" spans="129:129" x14ac:dyDescent="0.2">
      <c r="DY57553" s="185" t="s">
        <v>215</v>
      </c>
    </row>
    <row r="57554" spans="129:129" x14ac:dyDescent="0.2">
      <c r="DY57554" s="185" t="s">
        <v>215</v>
      </c>
    </row>
    <row r="57555" spans="129:129" x14ac:dyDescent="0.2">
      <c r="DY57555" s="185" t="s">
        <v>215</v>
      </c>
    </row>
    <row r="57556" spans="129:129" x14ac:dyDescent="0.2">
      <c r="DY57556" s="185" t="s">
        <v>215</v>
      </c>
    </row>
    <row r="57557" spans="129:129" x14ac:dyDescent="0.2">
      <c r="DY57557" s="185" t="s">
        <v>215</v>
      </c>
    </row>
    <row r="57558" spans="129:129" x14ac:dyDescent="0.2">
      <c r="DY57558" s="185" t="s">
        <v>215</v>
      </c>
    </row>
    <row r="57559" spans="129:129" x14ac:dyDescent="0.2">
      <c r="DY57559" s="185" t="s">
        <v>215</v>
      </c>
    </row>
    <row r="57560" spans="129:129" x14ac:dyDescent="0.2">
      <c r="DY57560" s="185" t="s">
        <v>215</v>
      </c>
    </row>
    <row r="57561" spans="129:129" x14ac:dyDescent="0.2">
      <c r="DY57561" s="185" t="s">
        <v>215</v>
      </c>
    </row>
    <row r="57562" spans="129:129" x14ac:dyDescent="0.2">
      <c r="DY57562" s="185" t="s">
        <v>215</v>
      </c>
    </row>
    <row r="57563" spans="129:129" x14ac:dyDescent="0.2">
      <c r="DY57563" s="185" t="s">
        <v>215</v>
      </c>
    </row>
    <row r="57564" spans="129:129" x14ac:dyDescent="0.2">
      <c r="DY57564" s="185" t="s">
        <v>215</v>
      </c>
    </row>
    <row r="57565" spans="129:129" x14ac:dyDescent="0.2">
      <c r="DY57565" s="185" t="s">
        <v>215</v>
      </c>
    </row>
    <row r="57566" spans="129:129" x14ac:dyDescent="0.2">
      <c r="DY57566" s="185" t="s">
        <v>215</v>
      </c>
    </row>
    <row r="57567" spans="129:129" x14ac:dyDescent="0.2">
      <c r="DY57567" s="185" t="s">
        <v>215</v>
      </c>
    </row>
    <row r="57568" spans="129:129" x14ac:dyDescent="0.2">
      <c r="DY57568" s="185" t="s">
        <v>215</v>
      </c>
    </row>
    <row r="57569" spans="129:129" x14ac:dyDescent="0.2">
      <c r="DY57569" s="185" t="s">
        <v>215</v>
      </c>
    </row>
    <row r="57570" spans="129:129" x14ac:dyDescent="0.2">
      <c r="DY57570" s="185" t="s">
        <v>215</v>
      </c>
    </row>
    <row r="57571" spans="129:129" x14ac:dyDescent="0.2">
      <c r="DY57571" s="185" t="s">
        <v>215</v>
      </c>
    </row>
    <row r="57572" spans="129:129" x14ac:dyDescent="0.2">
      <c r="DY57572" s="185" t="s">
        <v>215</v>
      </c>
    </row>
    <row r="57573" spans="129:129" x14ac:dyDescent="0.2">
      <c r="DY57573" s="185" t="s">
        <v>215</v>
      </c>
    </row>
    <row r="57574" spans="129:129" x14ac:dyDescent="0.2">
      <c r="DY57574" s="185" t="s">
        <v>215</v>
      </c>
    </row>
    <row r="57575" spans="129:129" x14ac:dyDescent="0.2">
      <c r="DY57575" s="185" t="s">
        <v>215</v>
      </c>
    </row>
    <row r="57576" spans="129:129" x14ac:dyDescent="0.2">
      <c r="DY57576" s="185" t="s">
        <v>215</v>
      </c>
    </row>
    <row r="57577" spans="129:129" x14ac:dyDescent="0.2">
      <c r="DY57577" s="185" t="s">
        <v>215</v>
      </c>
    </row>
    <row r="57578" spans="129:129" x14ac:dyDescent="0.2">
      <c r="DY57578" s="185" t="s">
        <v>215</v>
      </c>
    </row>
    <row r="57579" spans="129:129" x14ac:dyDescent="0.2">
      <c r="DY57579" s="185" t="s">
        <v>215</v>
      </c>
    </row>
    <row r="57580" spans="129:129" x14ac:dyDescent="0.2">
      <c r="DY57580" s="185" t="s">
        <v>215</v>
      </c>
    </row>
    <row r="57581" spans="129:129" x14ac:dyDescent="0.2">
      <c r="DY57581" s="185" t="s">
        <v>215</v>
      </c>
    </row>
    <row r="57582" spans="129:129" x14ac:dyDescent="0.2">
      <c r="DY57582" s="185" t="s">
        <v>215</v>
      </c>
    </row>
    <row r="57583" spans="129:129" x14ac:dyDescent="0.2">
      <c r="DY57583" s="185" t="s">
        <v>215</v>
      </c>
    </row>
    <row r="57584" spans="129:129" x14ac:dyDescent="0.2">
      <c r="DY57584" s="185" t="s">
        <v>215</v>
      </c>
    </row>
    <row r="57585" spans="129:129" x14ac:dyDescent="0.2">
      <c r="DY57585" s="185" t="s">
        <v>215</v>
      </c>
    </row>
    <row r="57586" spans="129:129" x14ac:dyDescent="0.2">
      <c r="DY57586" s="185" t="s">
        <v>215</v>
      </c>
    </row>
    <row r="57587" spans="129:129" x14ac:dyDescent="0.2">
      <c r="DY57587" s="185" t="s">
        <v>215</v>
      </c>
    </row>
    <row r="57588" spans="129:129" x14ac:dyDescent="0.2">
      <c r="DY57588" s="185" t="s">
        <v>215</v>
      </c>
    </row>
    <row r="57589" spans="129:129" x14ac:dyDescent="0.2">
      <c r="DY57589" s="185" t="s">
        <v>215</v>
      </c>
    </row>
    <row r="57590" spans="129:129" x14ac:dyDescent="0.2">
      <c r="DY57590" s="185" t="s">
        <v>215</v>
      </c>
    </row>
    <row r="57591" spans="129:129" x14ac:dyDescent="0.2">
      <c r="DY57591" s="185" t="s">
        <v>215</v>
      </c>
    </row>
    <row r="57592" spans="129:129" x14ac:dyDescent="0.2">
      <c r="DY57592" s="185" t="s">
        <v>215</v>
      </c>
    </row>
    <row r="57593" spans="129:129" x14ac:dyDescent="0.2">
      <c r="DY57593" s="185" t="s">
        <v>215</v>
      </c>
    </row>
    <row r="57594" spans="129:129" x14ac:dyDescent="0.2">
      <c r="DY57594" s="185" t="s">
        <v>215</v>
      </c>
    </row>
    <row r="57595" spans="129:129" x14ac:dyDescent="0.2">
      <c r="DY57595" s="185" t="s">
        <v>215</v>
      </c>
    </row>
    <row r="57596" spans="129:129" x14ac:dyDescent="0.2">
      <c r="DY57596" s="185" t="s">
        <v>215</v>
      </c>
    </row>
    <row r="57597" spans="129:129" x14ac:dyDescent="0.2">
      <c r="DY57597" s="185" t="s">
        <v>215</v>
      </c>
    </row>
    <row r="57598" spans="129:129" x14ac:dyDescent="0.2">
      <c r="DY57598" s="185" t="s">
        <v>215</v>
      </c>
    </row>
    <row r="57599" spans="129:129" x14ac:dyDescent="0.2">
      <c r="DY57599" s="185" t="s">
        <v>215</v>
      </c>
    </row>
    <row r="57600" spans="129:129" x14ac:dyDescent="0.2">
      <c r="DY57600" s="185" t="s">
        <v>215</v>
      </c>
    </row>
    <row r="57601" spans="129:129" x14ac:dyDescent="0.2">
      <c r="DY57601" s="185" t="s">
        <v>215</v>
      </c>
    </row>
    <row r="57602" spans="129:129" x14ac:dyDescent="0.2">
      <c r="DY57602" s="185" t="s">
        <v>215</v>
      </c>
    </row>
    <row r="57603" spans="129:129" x14ac:dyDescent="0.2">
      <c r="DY57603" s="185" t="s">
        <v>215</v>
      </c>
    </row>
    <row r="57604" spans="129:129" x14ac:dyDescent="0.2">
      <c r="DY57604" s="185" t="s">
        <v>215</v>
      </c>
    </row>
    <row r="57605" spans="129:129" x14ac:dyDescent="0.2">
      <c r="DY57605" s="185" t="s">
        <v>215</v>
      </c>
    </row>
    <row r="57606" spans="129:129" x14ac:dyDescent="0.2">
      <c r="DY57606" s="185" t="s">
        <v>215</v>
      </c>
    </row>
    <row r="57607" spans="129:129" x14ac:dyDescent="0.2">
      <c r="DY57607" s="185" t="s">
        <v>215</v>
      </c>
    </row>
    <row r="57608" spans="129:129" x14ac:dyDescent="0.2">
      <c r="DY57608" s="185" t="s">
        <v>215</v>
      </c>
    </row>
    <row r="57609" spans="129:129" x14ac:dyDescent="0.2">
      <c r="DY57609" s="185" t="s">
        <v>215</v>
      </c>
    </row>
    <row r="57610" spans="129:129" x14ac:dyDescent="0.2">
      <c r="DY57610" s="185" t="s">
        <v>215</v>
      </c>
    </row>
    <row r="57611" spans="129:129" x14ac:dyDescent="0.2">
      <c r="DY57611" s="185" t="s">
        <v>215</v>
      </c>
    </row>
    <row r="57612" spans="129:129" x14ac:dyDescent="0.2">
      <c r="DY57612" s="185" t="s">
        <v>215</v>
      </c>
    </row>
    <row r="57613" spans="129:129" x14ac:dyDescent="0.2">
      <c r="DY57613" s="185" t="s">
        <v>215</v>
      </c>
    </row>
    <row r="57614" spans="129:129" x14ac:dyDescent="0.2">
      <c r="DY57614" s="185" t="s">
        <v>215</v>
      </c>
    </row>
    <row r="57615" spans="129:129" x14ac:dyDescent="0.2">
      <c r="DY57615" s="185" t="s">
        <v>215</v>
      </c>
    </row>
    <row r="57616" spans="129:129" x14ac:dyDescent="0.2">
      <c r="DY57616" s="185" t="s">
        <v>215</v>
      </c>
    </row>
    <row r="57617" spans="129:129" x14ac:dyDescent="0.2">
      <c r="DY57617" s="185" t="s">
        <v>215</v>
      </c>
    </row>
    <row r="57618" spans="129:129" x14ac:dyDescent="0.2">
      <c r="DY57618" s="185" t="s">
        <v>215</v>
      </c>
    </row>
    <row r="57619" spans="129:129" x14ac:dyDescent="0.2">
      <c r="DY57619" s="185" t="s">
        <v>215</v>
      </c>
    </row>
    <row r="57620" spans="129:129" x14ac:dyDescent="0.2">
      <c r="DY57620" s="185" t="s">
        <v>215</v>
      </c>
    </row>
    <row r="57621" spans="129:129" x14ac:dyDescent="0.2">
      <c r="DY57621" s="185" t="s">
        <v>215</v>
      </c>
    </row>
    <row r="57622" spans="129:129" x14ac:dyDescent="0.2">
      <c r="DY57622" s="185" t="s">
        <v>215</v>
      </c>
    </row>
    <row r="57623" spans="129:129" x14ac:dyDescent="0.2">
      <c r="DY57623" s="185" t="s">
        <v>215</v>
      </c>
    </row>
    <row r="57624" spans="129:129" x14ac:dyDescent="0.2">
      <c r="DY57624" s="185" t="s">
        <v>215</v>
      </c>
    </row>
    <row r="57625" spans="129:129" x14ac:dyDescent="0.2">
      <c r="DY57625" s="185" t="s">
        <v>215</v>
      </c>
    </row>
    <row r="57626" spans="129:129" x14ac:dyDescent="0.2">
      <c r="DY57626" s="185" t="s">
        <v>215</v>
      </c>
    </row>
    <row r="57627" spans="129:129" x14ac:dyDescent="0.2">
      <c r="DY57627" s="185" t="s">
        <v>215</v>
      </c>
    </row>
    <row r="57628" spans="129:129" x14ac:dyDescent="0.2">
      <c r="DY57628" s="185" t="s">
        <v>215</v>
      </c>
    </row>
    <row r="57629" spans="129:129" x14ac:dyDescent="0.2">
      <c r="DY57629" s="185" t="s">
        <v>215</v>
      </c>
    </row>
    <row r="57630" spans="129:129" x14ac:dyDescent="0.2">
      <c r="DY57630" s="185" t="s">
        <v>215</v>
      </c>
    </row>
    <row r="57631" spans="129:129" x14ac:dyDescent="0.2">
      <c r="DY57631" s="185" t="s">
        <v>215</v>
      </c>
    </row>
    <row r="57632" spans="129:129" x14ac:dyDescent="0.2">
      <c r="DY57632" s="185" t="s">
        <v>215</v>
      </c>
    </row>
    <row r="57633" spans="129:129" x14ac:dyDescent="0.2">
      <c r="DY57633" s="185" t="s">
        <v>215</v>
      </c>
    </row>
    <row r="57634" spans="129:129" x14ac:dyDescent="0.2">
      <c r="DY57634" s="185" t="s">
        <v>215</v>
      </c>
    </row>
    <row r="57635" spans="129:129" x14ac:dyDescent="0.2">
      <c r="DY57635" s="185" t="s">
        <v>215</v>
      </c>
    </row>
    <row r="57636" spans="129:129" x14ac:dyDescent="0.2">
      <c r="DY57636" s="185" t="s">
        <v>215</v>
      </c>
    </row>
    <row r="57637" spans="129:129" x14ac:dyDescent="0.2">
      <c r="DY57637" s="185" t="s">
        <v>215</v>
      </c>
    </row>
    <row r="57638" spans="129:129" x14ac:dyDescent="0.2">
      <c r="DY57638" s="185" t="s">
        <v>215</v>
      </c>
    </row>
    <row r="57639" spans="129:129" x14ac:dyDescent="0.2">
      <c r="DY57639" s="185" t="s">
        <v>215</v>
      </c>
    </row>
    <row r="57640" spans="129:129" x14ac:dyDescent="0.2">
      <c r="DY57640" s="185" t="s">
        <v>215</v>
      </c>
    </row>
    <row r="57641" spans="129:129" x14ac:dyDescent="0.2">
      <c r="DY57641" s="185" t="s">
        <v>215</v>
      </c>
    </row>
    <row r="57642" spans="129:129" x14ac:dyDescent="0.2">
      <c r="DY57642" s="185" t="s">
        <v>215</v>
      </c>
    </row>
    <row r="57643" spans="129:129" x14ac:dyDescent="0.2">
      <c r="DY57643" s="185" t="s">
        <v>215</v>
      </c>
    </row>
    <row r="57644" spans="129:129" x14ac:dyDescent="0.2">
      <c r="DY57644" s="185" t="s">
        <v>215</v>
      </c>
    </row>
    <row r="57645" spans="129:129" x14ac:dyDescent="0.2">
      <c r="DY57645" s="185" t="s">
        <v>215</v>
      </c>
    </row>
    <row r="57646" spans="129:129" x14ac:dyDescent="0.2">
      <c r="DY57646" s="185" t="s">
        <v>215</v>
      </c>
    </row>
    <row r="57647" spans="129:129" x14ac:dyDescent="0.2">
      <c r="DY57647" s="185" t="s">
        <v>215</v>
      </c>
    </row>
    <row r="57648" spans="129:129" x14ac:dyDescent="0.2">
      <c r="DY57648" s="185" t="s">
        <v>215</v>
      </c>
    </row>
    <row r="57649" spans="129:129" x14ac:dyDescent="0.2">
      <c r="DY57649" s="185" t="s">
        <v>215</v>
      </c>
    </row>
    <row r="57650" spans="129:129" x14ac:dyDescent="0.2">
      <c r="DY57650" s="185" t="s">
        <v>215</v>
      </c>
    </row>
    <row r="57651" spans="129:129" x14ac:dyDescent="0.2">
      <c r="DY57651" s="185" t="s">
        <v>215</v>
      </c>
    </row>
    <row r="57652" spans="129:129" x14ac:dyDescent="0.2">
      <c r="DY57652" s="185" t="s">
        <v>215</v>
      </c>
    </row>
    <row r="57653" spans="129:129" x14ac:dyDescent="0.2">
      <c r="DY57653" s="185" t="s">
        <v>215</v>
      </c>
    </row>
    <row r="57654" spans="129:129" x14ac:dyDescent="0.2">
      <c r="DY57654" s="185" t="s">
        <v>215</v>
      </c>
    </row>
    <row r="57655" spans="129:129" x14ac:dyDescent="0.2">
      <c r="DY57655" s="185" t="s">
        <v>215</v>
      </c>
    </row>
    <row r="57656" spans="129:129" x14ac:dyDescent="0.2">
      <c r="DY57656" s="185" t="s">
        <v>215</v>
      </c>
    </row>
    <row r="57657" spans="129:129" x14ac:dyDescent="0.2">
      <c r="DY57657" s="185" t="s">
        <v>215</v>
      </c>
    </row>
    <row r="57658" spans="129:129" x14ac:dyDescent="0.2">
      <c r="DY57658" s="185" t="s">
        <v>215</v>
      </c>
    </row>
    <row r="57659" spans="129:129" x14ac:dyDescent="0.2">
      <c r="DY57659" s="185" t="s">
        <v>215</v>
      </c>
    </row>
    <row r="57660" spans="129:129" x14ac:dyDescent="0.2">
      <c r="DY57660" s="185" t="s">
        <v>215</v>
      </c>
    </row>
    <row r="57661" spans="129:129" x14ac:dyDescent="0.2">
      <c r="DY57661" s="185" t="s">
        <v>215</v>
      </c>
    </row>
    <row r="57662" spans="129:129" x14ac:dyDescent="0.2">
      <c r="DY57662" s="185" t="s">
        <v>215</v>
      </c>
    </row>
    <row r="57663" spans="129:129" x14ac:dyDescent="0.2">
      <c r="DY57663" s="185" t="s">
        <v>215</v>
      </c>
    </row>
    <row r="57664" spans="129:129" x14ac:dyDescent="0.2">
      <c r="DY57664" s="185" t="s">
        <v>215</v>
      </c>
    </row>
    <row r="57665" spans="129:129" x14ac:dyDescent="0.2">
      <c r="DY57665" s="185" t="s">
        <v>215</v>
      </c>
    </row>
    <row r="57666" spans="129:129" x14ac:dyDescent="0.2">
      <c r="DY57666" s="185" t="s">
        <v>215</v>
      </c>
    </row>
    <row r="57667" spans="129:129" x14ac:dyDescent="0.2">
      <c r="DY57667" s="185" t="s">
        <v>215</v>
      </c>
    </row>
    <row r="57668" spans="129:129" x14ac:dyDescent="0.2">
      <c r="DY57668" s="185" t="s">
        <v>215</v>
      </c>
    </row>
    <row r="57669" spans="129:129" x14ac:dyDescent="0.2">
      <c r="DY57669" s="185" t="s">
        <v>215</v>
      </c>
    </row>
    <row r="57670" spans="129:129" x14ac:dyDescent="0.2">
      <c r="DY57670" s="185" t="s">
        <v>215</v>
      </c>
    </row>
    <row r="57671" spans="129:129" x14ac:dyDescent="0.2">
      <c r="DY57671" s="185" t="s">
        <v>215</v>
      </c>
    </row>
    <row r="57672" spans="129:129" x14ac:dyDescent="0.2">
      <c r="DY57672" s="185" t="s">
        <v>215</v>
      </c>
    </row>
    <row r="57673" spans="129:129" x14ac:dyDescent="0.2">
      <c r="DY57673" s="185" t="s">
        <v>215</v>
      </c>
    </row>
    <row r="57674" spans="129:129" x14ac:dyDescent="0.2">
      <c r="DY57674" s="185" t="s">
        <v>215</v>
      </c>
    </row>
    <row r="57675" spans="129:129" x14ac:dyDescent="0.2">
      <c r="DY57675" s="185" t="s">
        <v>215</v>
      </c>
    </row>
    <row r="57676" spans="129:129" x14ac:dyDescent="0.2">
      <c r="DY57676" s="185" t="s">
        <v>215</v>
      </c>
    </row>
    <row r="57677" spans="129:129" x14ac:dyDescent="0.2">
      <c r="DY57677" s="185" t="s">
        <v>215</v>
      </c>
    </row>
    <row r="57678" spans="129:129" x14ac:dyDescent="0.2">
      <c r="DY57678" s="185" t="s">
        <v>215</v>
      </c>
    </row>
    <row r="57679" spans="129:129" x14ac:dyDescent="0.2">
      <c r="DY57679" s="185" t="s">
        <v>215</v>
      </c>
    </row>
    <row r="57680" spans="129:129" x14ac:dyDescent="0.2">
      <c r="DY57680" s="185" t="s">
        <v>215</v>
      </c>
    </row>
    <row r="57681" spans="129:129" x14ac:dyDescent="0.2">
      <c r="DY57681" s="185" t="s">
        <v>215</v>
      </c>
    </row>
    <row r="57682" spans="129:129" x14ac:dyDescent="0.2">
      <c r="DY57682" s="185" t="s">
        <v>215</v>
      </c>
    </row>
    <row r="57683" spans="129:129" x14ac:dyDescent="0.2">
      <c r="DY57683" s="185" t="s">
        <v>215</v>
      </c>
    </row>
    <row r="57684" spans="129:129" x14ac:dyDescent="0.2">
      <c r="DY57684" s="185" t="s">
        <v>215</v>
      </c>
    </row>
    <row r="57685" spans="129:129" x14ac:dyDescent="0.2">
      <c r="DY57685" s="185" t="s">
        <v>215</v>
      </c>
    </row>
    <row r="57686" spans="129:129" x14ac:dyDescent="0.2">
      <c r="DY57686" s="185" t="s">
        <v>215</v>
      </c>
    </row>
    <row r="57687" spans="129:129" x14ac:dyDescent="0.2">
      <c r="DY57687" s="185" t="s">
        <v>215</v>
      </c>
    </row>
    <row r="57688" spans="129:129" x14ac:dyDescent="0.2">
      <c r="DY57688" s="185" t="s">
        <v>215</v>
      </c>
    </row>
    <row r="57689" spans="129:129" x14ac:dyDescent="0.2">
      <c r="DY57689" s="185" t="s">
        <v>215</v>
      </c>
    </row>
    <row r="57690" spans="129:129" x14ac:dyDescent="0.2">
      <c r="DY57690" s="185" t="s">
        <v>215</v>
      </c>
    </row>
    <row r="57691" spans="129:129" x14ac:dyDescent="0.2">
      <c r="DY57691" s="185" t="s">
        <v>215</v>
      </c>
    </row>
    <row r="57692" spans="129:129" x14ac:dyDescent="0.2">
      <c r="DY57692" s="185" t="s">
        <v>215</v>
      </c>
    </row>
    <row r="57693" spans="129:129" x14ac:dyDescent="0.2">
      <c r="DY57693" s="185" t="s">
        <v>215</v>
      </c>
    </row>
    <row r="57694" spans="129:129" x14ac:dyDescent="0.2">
      <c r="DY57694" s="185" t="s">
        <v>215</v>
      </c>
    </row>
    <row r="57695" spans="129:129" x14ac:dyDescent="0.2">
      <c r="DY57695" s="185" t="s">
        <v>215</v>
      </c>
    </row>
    <row r="57696" spans="129:129" x14ac:dyDescent="0.2">
      <c r="DY57696" s="185" t="s">
        <v>215</v>
      </c>
    </row>
    <row r="57697" spans="129:129" x14ac:dyDescent="0.2">
      <c r="DY57697" s="185" t="s">
        <v>215</v>
      </c>
    </row>
    <row r="57698" spans="129:129" x14ac:dyDescent="0.2">
      <c r="DY57698" s="185" t="s">
        <v>215</v>
      </c>
    </row>
    <row r="57699" spans="129:129" x14ac:dyDescent="0.2">
      <c r="DY57699" s="185" t="s">
        <v>215</v>
      </c>
    </row>
    <row r="57700" spans="129:129" x14ac:dyDescent="0.2">
      <c r="DY57700" s="185" t="s">
        <v>215</v>
      </c>
    </row>
    <row r="57701" spans="129:129" x14ac:dyDescent="0.2">
      <c r="DY57701" s="185" t="s">
        <v>215</v>
      </c>
    </row>
    <row r="57702" spans="129:129" x14ac:dyDescent="0.2">
      <c r="DY57702" s="185" t="s">
        <v>215</v>
      </c>
    </row>
    <row r="57703" spans="129:129" x14ac:dyDescent="0.2">
      <c r="DY57703" s="185" t="s">
        <v>215</v>
      </c>
    </row>
    <row r="57704" spans="129:129" x14ac:dyDescent="0.2">
      <c r="DY57704" s="185" t="s">
        <v>215</v>
      </c>
    </row>
    <row r="57705" spans="129:129" x14ac:dyDescent="0.2">
      <c r="DY57705" s="185" t="s">
        <v>215</v>
      </c>
    </row>
    <row r="57706" spans="129:129" x14ac:dyDescent="0.2">
      <c r="DY57706" s="185" t="s">
        <v>215</v>
      </c>
    </row>
    <row r="57707" spans="129:129" x14ac:dyDescent="0.2">
      <c r="DY57707" s="185" t="s">
        <v>215</v>
      </c>
    </row>
    <row r="57708" spans="129:129" x14ac:dyDescent="0.2">
      <c r="DY57708" s="185" t="s">
        <v>215</v>
      </c>
    </row>
    <row r="57709" spans="129:129" x14ac:dyDescent="0.2">
      <c r="DY57709" s="185" t="s">
        <v>215</v>
      </c>
    </row>
    <row r="57710" spans="129:129" x14ac:dyDescent="0.2">
      <c r="DY57710" s="185" t="s">
        <v>215</v>
      </c>
    </row>
    <row r="57711" spans="129:129" x14ac:dyDescent="0.2">
      <c r="DY57711" s="185" t="s">
        <v>215</v>
      </c>
    </row>
    <row r="57712" spans="129:129" x14ac:dyDescent="0.2">
      <c r="DY57712" s="185" t="s">
        <v>215</v>
      </c>
    </row>
    <row r="57713" spans="129:129" x14ac:dyDescent="0.2">
      <c r="DY57713" s="185" t="s">
        <v>215</v>
      </c>
    </row>
    <row r="57714" spans="129:129" x14ac:dyDescent="0.2">
      <c r="DY57714" s="185" t="s">
        <v>215</v>
      </c>
    </row>
    <row r="57715" spans="129:129" x14ac:dyDescent="0.2">
      <c r="DY57715" s="185" t="s">
        <v>215</v>
      </c>
    </row>
    <row r="57716" spans="129:129" x14ac:dyDescent="0.2">
      <c r="DY57716" s="185" t="s">
        <v>215</v>
      </c>
    </row>
    <row r="57717" spans="129:129" x14ac:dyDescent="0.2">
      <c r="DY57717" s="185" t="s">
        <v>215</v>
      </c>
    </row>
    <row r="57718" spans="129:129" x14ac:dyDescent="0.2">
      <c r="DY57718" s="185" t="s">
        <v>215</v>
      </c>
    </row>
    <row r="57719" spans="129:129" x14ac:dyDescent="0.2">
      <c r="DY57719" s="185" t="s">
        <v>215</v>
      </c>
    </row>
    <row r="57720" spans="129:129" x14ac:dyDescent="0.2">
      <c r="DY57720" s="185" t="s">
        <v>215</v>
      </c>
    </row>
    <row r="57721" spans="129:129" x14ac:dyDescent="0.2">
      <c r="DY57721" s="185" t="s">
        <v>215</v>
      </c>
    </row>
    <row r="57722" spans="129:129" x14ac:dyDescent="0.2">
      <c r="DY57722" s="185" t="s">
        <v>215</v>
      </c>
    </row>
    <row r="57723" spans="129:129" x14ac:dyDescent="0.2">
      <c r="DY57723" s="185" t="s">
        <v>215</v>
      </c>
    </row>
    <row r="57724" spans="129:129" x14ac:dyDescent="0.2">
      <c r="DY57724" s="185" t="s">
        <v>215</v>
      </c>
    </row>
    <row r="57725" spans="129:129" x14ac:dyDescent="0.2">
      <c r="DY57725" s="185" t="s">
        <v>215</v>
      </c>
    </row>
    <row r="57726" spans="129:129" x14ac:dyDescent="0.2">
      <c r="DY57726" s="185" t="s">
        <v>215</v>
      </c>
    </row>
    <row r="57727" spans="129:129" x14ac:dyDescent="0.2">
      <c r="DY57727" s="185" t="s">
        <v>215</v>
      </c>
    </row>
    <row r="57728" spans="129:129" x14ac:dyDescent="0.2">
      <c r="DY57728" s="185" t="s">
        <v>215</v>
      </c>
    </row>
    <row r="57729" spans="129:129" x14ac:dyDescent="0.2">
      <c r="DY57729" s="185" t="s">
        <v>215</v>
      </c>
    </row>
    <row r="57730" spans="129:129" x14ac:dyDescent="0.2">
      <c r="DY57730" s="185" t="s">
        <v>215</v>
      </c>
    </row>
    <row r="57731" spans="129:129" x14ac:dyDescent="0.2">
      <c r="DY57731" s="185" t="s">
        <v>215</v>
      </c>
    </row>
    <row r="57732" spans="129:129" x14ac:dyDescent="0.2">
      <c r="DY57732" s="185" t="s">
        <v>215</v>
      </c>
    </row>
    <row r="57733" spans="129:129" x14ac:dyDescent="0.2">
      <c r="DY57733" s="185" t="s">
        <v>215</v>
      </c>
    </row>
    <row r="57734" spans="129:129" x14ac:dyDescent="0.2">
      <c r="DY57734" s="185" t="s">
        <v>215</v>
      </c>
    </row>
    <row r="57735" spans="129:129" x14ac:dyDescent="0.2">
      <c r="DY57735" s="185" t="s">
        <v>215</v>
      </c>
    </row>
    <row r="57736" spans="129:129" x14ac:dyDescent="0.2">
      <c r="DY57736" s="185" t="s">
        <v>215</v>
      </c>
    </row>
    <row r="57737" spans="129:129" x14ac:dyDescent="0.2">
      <c r="DY57737" s="185" t="s">
        <v>215</v>
      </c>
    </row>
    <row r="57738" spans="129:129" x14ac:dyDescent="0.2">
      <c r="DY57738" s="185" t="s">
        <v>215</v>
      </c>
    </row>
    <row r="57739" spans="129:129" x14ac:dyDescent="0.2">
      <c r="DY57739" s="185" t="s">
        <v>215</v>
      </c>
    </row>
    <row r="57740" spans="129:129" x14ac:dyDescent="0.2">
      <c r="DY57740" s="185" t="s">
        <v>215</v>
      </c>
    </row>
    <row r="57741" spans="129:129" x14ac:dyDescent="0.2">
      <c r="DY57741" s="185" t="s">
        <v>215</v>
      </c>
    </row>
    <row r="57742" spans="129:129" x14ac:dyDescent="0.2">
      <c r="DY57742" s="185" t="s">
        <v>215</v>
      </c>
    </row>
    <row r="57743" spans="129:129" x14ac:dyDescent="0.2">
      <c r="DY57743" s="185" t="s">
        <v>215</v>
      </c>
    </row>
    <row r="57744" spans="129:129" x14ac:dyDescent="0.2">
      <c r="DY57744" s="185" t="s">
        <v>215</v>
      </c>
    </row>
    <row r="57745" spans="129:129" x14ac:dyDescent="0.2">
      <c r="DY57745" s="185" t="s">
        <v>215</v>
      </c>
    </row>
    <row r="57746" spans="129:129" x14ac:dyDescent="0.2">
      <c r="DY57746" s="185" t="s">
        <v>215</v>
      </c>
    </row>
    <row r="57747" spans="129:129" x14ac:dyDescent="0.2">
      <c r="DY57747" s="185" t="s">
        <v>215</v>
      </c>
    </row>
    <row r="57748" spans="129:129" x14ac:dyDescent="0.2">
      <c r="DY57748" s="185" t="s">
        <v>215</v>
      </c>
    </row>
    <row r="57749" spans="129:129" x14ac:dyDescent="0.2">
      <c r="DY57749" s="185" t="s">
        <v>215</v>
      </c>
    </row>
    <row r="57750" spans="129:129" x14ac:dyDescent="0.2">
      <c r="DY57750" s="185" t="s">
        <v>215</v>
      </c>
    </row>
    <row r="57751" spans="129:129" x14ac:dyDescent="0.2">
      <c r="DY57751" s="185" t="s">
        <v>215</v>
      </c>
    </row>
    <row r="57752" spans="129:129" x14ac:dyDescent="0.2">
      <c r="DY57752" s="185" t="s">
        <v>215</v>
      </c>
    </row>
    <row r="57753" spans="129:129" x14ac:dyDescent="0.2">
      <c r="DY57753" s="185" t="s">
        <v>215</v>
      </c>
    </row>
    <row r="57754" spans="129:129" x14ac:dyDescent="0.2">
      <c r="DY57754" s="185" t="s">
        <v>215</v>
      </c>
    </row>
    <row r="57755" spans="129:129" x14ac:dyDescent="0.2">
      <c r="DY57755" s="185" t="s">
        <v>215</v>
      </c>
    </row>
    <row r="57756" spans="129:129" x14ac:dyDescent="0.2">
      <c r="DY57756" s="185" t="s">
        <v>215</v>
      </c>
    </row>
    <row r="57757" spans="129:129" x14ac:dyDescent="0.2">
      <c r="DY57757" s="185" t="s">
        <v>215</v>
      </c>
    </row>
    <row r="57758" spans="129:129" x14ac:dyDescent="0.2">
      <c r="DY57758" s="185" t="s">
        <v>215</v>
      </c>
    </row>
    <row r="57759" spans="129:129" x14ac:dyDescent="0.2">
      <c r="DY57759" s="185" t="s">
        <v>215</v>
      </c>
    </row>
    <row r="57760" spans="129:129" x14ac:dyDescent="0.2">
      <c r="DY57760" s="185" t="s">
        <v>215</v>
      </c>
    </row>
    <row r="57761" spans="129:129" x14ac:dyDescent="0.2">
      <c r="DY57761" s="185" t="s">
        <v>215</v>
      </c>
    </row>
    <row r="57762" spans="129:129" x14ac:dyDescent="0.2">
      <c r="DY57762" s="185" t="s">
        <v>215</v>
      </c>
    </row>
    <row r="57763" spans="129:129" x14ac:dyDescent="0.2">
      <c r="DY57763" s="185" t="s">
        <v>215</v>
      </c>
    </row>
    <row r="57764" spans="129:129" x14ac:dyDescent="0.2">
      <c r="DY57764" s="185" t="s">
        <v>215</v>
      </c>
    </row>
    <row r="57765" spans="129:129" x14ac:dyDescent="0.2">
      <c r="DY57765" s="185" t="s">
        <v>215</v>
      </c>
    </row>
    <row r="57766" spans="129:129" x14ac:dyDescent="0.2">
      <c r="DY57766" s="185" t="s">
        <v>215</v>
      </c>
    </row>
    <row r="57767" spans="129:129" x14ac:dyDescent="0.2">
      <c r="DY57767" s="185" t="s">
        <v>215</v>
      </c>
    </row>
    <row r="57768" spans="129:129" x14ac:dyDescent="0.2">
      <c r="DY57768" s="185" t="s">
        <v>215</v>
      </c>
    </row>
    <row r="57769" spans="129:129" x14ac:dyDescent="0.2">
      <c r="DY57769" s="185" t="s">
        <v>215</v>
      </c>
    </row>
    <row r="57770" spans="129:129" x14ac:dyDescent="0.2">
      <c r="DY57770" s="185" t="s">
        <v>215</v>
      </c>
    </row>
    <row r="57771" spans="129:129" x14ac:dyDescent="0.2">
      <c r="DY57771" s="185" t="s">
        <v>215</v>
      </c>
    </row>
    <row r="57772" spans="129:129" x14ac:dyDescent="0.2">
      <c r="DY57772" s="185" t="s">
        <v>215</v>
      </c>
    </row>
    <row r="57773" spans="129:129" x14ac:dyDescent="0.2">
      <c r="DY57773" s="185" t="s">
        <v>215</v>
      </c>
    </row>
    <row r="57774" spans="129:129" x14ac:dyDescent="0.2">
      <c r="DY57774" s="185" t="s">
        <v>215</v>
      </c>
    </row>
    <row r="57775" spans="129:129" x14ac:dyDescent="0.2">
      <c r="DY57775" s="185" t="s">
        <v>215</v>
      </c>
    </row>
    <row r="57776" spans="129:129" x14ac:dyDescent="0.2">
      <c r="DY57776" s="185" t="s">
        <v>215</v>
      </c>
    </row>
    <row r="57777" spans="129:129" x14ac:dyDescent="0.2">
      <c r="DY57777" s="185" t="s">
        <v>215</v>
      </c>
    </row>
    <row r="57778" spans="129:129" x14ac:dyDescent="0.2">
      <c r="DY57778" s="185" t="s">
        <v>215</v>
      </c>
    </row>
    <row r="57779" spans="129:129" x14ac:dyDescent="0.2">
      <c r="DY57779" s="185" t="s">
        <v>215</v>
      </c>
    </row>
    <row r="57780" spans="129:129" x14ac:dyDescent="0.2">
      <c r="DY57780" s="185" t="s">
        <v>215</v>
      </c>
    </row>
    <row r="57781" spans="129:129" x14ac:dyDescent="0.2">
      <c r="DY57781" s="185" t="s">
        <v>215</v>
      </c>
    </row>
    <row r="57782" spans="129:129" x14ac:dyDescent="0.2">
      <c r="DY57782" s="185" t="s">
        <v>215</v>
      </c>
    </row>
    <row r="57783" spans="129:129" x14ac:dyDescent="0.2">
      <c r="DY57783" s="185" t="s">
        <v>215</v>
      </c>
    </row>
    <row r="57784" spans="129:129" x14ac:dyDescent="0.2">
      <c r="DY57784" s="185" t="s">
        <v>215</v>
      </c>
    </row>
    <row r="57785" spans="129:129" x14ac:dyDescent="0.2">
      <c r="DY57785" s="185" t="s">
        <v>215</v>
      </c>
    </row>
    <row r="57786" spans="129:129" x14ac:dyDescent="0.2">
      <c r="DY57786" s="185" t="s">
        <v>215</v>
      </c>
    </row>
    <row r="57787" spans="129:129" x14ac:dyDescent="0.2">
      <c r="DY57787" s="185" t="s">
        <v>215</v>
      </c>
    </row>
    <row r="57788" spans="129:129" x14ac:dyDescent="0.2">
      <c r="DY57788" s="185" t="s">
        <v>215</v>
      </c>
    </row>
    <row r="57789" spans="129:129" x14ac:dyDescent="0.2">
      <c r="DY57789" s="185" t="s">
        <v>215</v>
      </c>
    </row>
    <row r="57790" spans="129:129" x14ac:dyDescent="0.2">
      <c r="DY57790" s="185" t="s">
        <v>215</v>
      </c>
    </row>
    <row r="57791" spans="129:129" x14ac:dyDescent="0.2">
      <c r="DY57791" s="185" t="s">
        <v>215</v>
      </c>
    </row>
    <row r="57792" spans="129:129" x14ac:dyDescent="0.2">
      <c r="DY57792" s="185" t="s">
        <v>215</v>
      </c>
    </row>
    <row r="57793" spans="129:129" x14ac:dyDescent="0.2">
      <c r="DY57793" s="185" t="s">
        <v>215</v>
      </c>
    </row>
    <row r="57794" spans="129:129" x14ac:dyDescent="0.2">
      <c r="DY57794" s="185" t="s">
        <v>215</v>
      </c>
    </row>
    <row r="57795" spans="129:129" x14ac:dyDescent="0.2">
      <c r="DY57795" s="185" t="s">
        <v>215</v>
      </c>
    </row>
    <row r="57796" spans="129:129" x14ac:dyDescent="0.2">
      <c r="DY57796" s="185" t="s">
        <v>215</v>
      </c>
    </row>
    <row r="57797" spans="129:129" x14ac:dyDescent="0.2">
      <c r="DY57797" s="185" t="s">
        <v>215</v>
      </c>
    </row>
    <row r="57798" spans="129:129" x14ac:dyDescent="0.2">
      <c r="DY57798" s="185" t="s">
        <v>215</v>
      </c>
    </row>
    <row r="57799" spans="129:129" x14ac:dyDescent="0.2">
      <c r="DY57799" s="185" t="s">
        <v>215</v>
      </c>
    </row>
    <row r="57800" spans="129:129" x14ac:dyDescent="0.2">
      <c r="DY57800" s="185" t="s">
        <v>215</v>
      </c>
    </row>
    <row r="57801" spans="129:129" x14ac:dyDescent="0.2">
      <c r="DY57801" s="185" t="s">
        <v>215</v>
      </c>
    </row>
    <row r="57802" spans="129:129" x14ac:dyDescent="0.2">
      <c r="DY57802" s="185" t="s">
        <v>215</v>
      </c>
    </row>
    <row r="57803" spans="129:129" x14ac:dyDescent="0.2">
      <c r="DY57803" s="185" t="s">
        <v>215</v>
      </c>
    </row>
    <row r="57804" spans="129:129" x14ac:dyDescent="0.2">
      <c r="DY57804" s="185" t="s">
        <v>215</v>
      </c>
    </row>
    <row r="57805" spans="129:129" x14ac:dyDescent="0.2">
      <c r="DY57805" s="185" t="s">
        <v>215</v>
      </c>
    </row>
    <row r="57806" spans="129:129" x14ac:dyDescent="0.2">
      <c r="DY57806" s="185" t="s">
        <v>215</v>
      </c>
    </row>
    <row r="57807" spans="129:129" x14ac:dyDescent="0.2">
      <c r="DY57807" s="185" t="s">
        <v>215</v>
      </c>
    </row>
    <row r="57808" spans="129:129" x14ac:dyDescent="0.2">
      <c r="DY57808" s="185" t="s">
        <v>215</v>
      </c>
    </row>
    <row r="57809" spans="129:129" x14ac:dyDescent="0.2">
      <c r="DY57809" s="185" t="s">
        <v>215</v>
      </c>
    </row>
    <row r="57810" spans="129:129" x14ac:dyDescent="0.2">
      <c r="DY57810" s="185" t="s">
        <v>215</v>
      </c>
    </row>
    <row r="57811" spans="129:129" x14ac:dyDescent="0.2">
      <c r="DY57811" s="185" t="s">
        <v>215</v>
      </c>
    </row>
    <row r="57812" spans="129:129" x14ac:dyDescent="0.2">
      <c r="DY57812" s="185" t="s">
        <v>215</v>
      </c>
    </row>
    <row r="57813" spans="129:129" x14ac:dyDescent="0.2">
      <c r="DY57813" s="185" t="s">
        <v>215</v>
      </c>
    </row>
    <row r="57814" spans="129:129" x14ac:dyDescent="0.2">
      <c r="DY57814" s="185" t="s">
        <v>215</v>
      </c>
    </row>
    <row r="57815" spans="129:129" x14ac:dyDescent="0.2">
      <c r="DY57815" s="185" t="s">
        <v>215</v>
      </c>
    </row>
    <row r="57816" spans="129:129" x14ac:dyDescent="0.2">
      <c r="DY57816" s="185" t="s">
        <v>215</v>
      </c>
    </row>
    <row r="57817" spans="129:129" x14ac:dyDescent="0.2">
      <c r="DY57817" s="185" t="s">
        <v>215</v>
      </c>
    </row>
    <row r="57818" spans="129:129" x14ac:dyDescent="0.2">
      <c r="DY57818" s="185" t="s">
        <v>215</v>
      </c>
    </row>
    <row r="57819" spans="129:129" x14ac:dyDescent="0.2">
      <c r="DY57819" s="185" t="s">
        <v>215</v>
      </c>
    </row>
    <row r="57820" spans="129:129" x14ac:dyDescent="0.2">
      <c r="DY57820" s="185" t="s">
        <v>215</v>
      </c>
    </row>
    <row r="57821" spans="129:129" x14ac:dyDescent="0.2">
      <c r="DY57821" s="185" t="s">
        <v>215</v>
      </c>
    </row>
    <row r="57822" spans="129:129" x14ac:dyDescent="0.2">
      <c r="DY57822" s="185" t="s">
        <v>215</v>
      </c>
    </row>
    <row r="57823" spans="129:129" x14ac:dyDescent="0.2">
      <c r="DY57823" s="185" t="s">
        <v>215</v>
      </c>
    </row>
    <row r="57824" spans="129:129" x14ac:dyDescent="0.2">
      <c r="DY57824" s="185" t="s">
        <v>215</v>
      </c>
    </row>
    <row r="57825" spans="129:129" x14ac:dyDescent="0.2">
      <c r="DY57825" s="185" t="s">
        <v>215</v>
      </c>
    </row>
    <row r="57826" spans="129:129" x14ac:dyDescent="0.2">
      <c r="DY57826" s="185" t="s">
        <v>215</v>
      </c>
    </row>
    <row r="57827" spans="129:129" x14ac:dyDescent="0.2">
      <c r="DY57827" s="185" t="s">
        <v>215</v>
      </c>
    </row>
    <row r="57828" spans="129:129" x14ac:dyDescent="0.2">
      <c r="DY57828" s="185" t="s">
        <v>215</v>
      </c>
    </row>
    <row r="57829" spans="129:129" x14ac:dyDescent="0.2">
      <c r="DY57829" s="185" t="s">
        <v>215</v>
      </c>
    </row>
    <row r="57830" spans="129:129" x14ac:dyDescent="0.2">
      <c r="DY57830" s="185" t="s">
        <v>215</v>
      </c>
    </row>
    <row r="57831" spans="129:129" x14ac:dyDescent="0.2">
      <c r="DY57831" s="185" t="s">
        <v>215</v>
      </c>
    </row>
    <row r="57832" spans="129:129" x14ac:dyDescent="0.2">
      <c r="DY57832" s="185" t="s">
        <v>215</v>
      </c>
    </row>
    <row r="57833" spans="129:129" x14ac:dyDescent="0.2">
      <c r="DY57833" s="185" t="s">
        <v>215</v>
      </c>
    </row>
    <row r="57834" spans="129:129" x14ac:dyDescent="0.2">
      <c r="DY57834" s="185" t="s">
        <v>215</v>
      </c>
    </row>
    <row r="57835" spans="129:129" x14ac:dyDescent="0.2">
      <c r="DY57835" s="185" t="s">
        <v>215</v>
      </c>
    </row>
    <row r="57836" spans="129:129" x14ac:dyDescent="0.2">
      <c r="DY57836" s="185" t="s">
        <v>215</v>
      </c>
    </row>
    <row r="57837" spans="129:129" x14ac:dyDescent="0.2">
      <c r="DY57837" s="185" t="s">
        <v>215</v>
      </c>
    </row>
    <row r="57838" spans="129:129" x14ac:dyDescent="0.2">
      <c r="DY57838" s="185" t="s">
        <v>215</v>
      </c>
    </row>
    <row r="57839" spans="129:129" x14ac:dyDescent="0.2">
      <c r="DY57839" s="185" t="s">
        <v>215</v>
      </c>
    </row>
    <row r="57840" spans="129:129" x14ac:dyDescent="0.2">
      <c r="DY57840" s="185" t="s">
        <v>215</v>
      </c>
    </row>
    <row r="57841" spans="129:129" x14ac:dyDescent="0.2">
      <c r="DY57841" s="185" t="s">
        <v>215</v>
      </c>
    </row>
    <row r="57842" spans="129:129" x14ac:dyDescent="0.2">
      <c r="DY57842" s="185" t="s">
        <v>215</v>
      </c>
    </row>
    <row r="57843" spans="129:129" x14ac:dyDescent="0.2">
      <c r="DY57843" s="185" t="s">
        <v>215</v>
      </c>
    </row>
    <row r="57844" spans="129:129" x14ac:dyDescent="0.2">
      <c r="DY57844" s="185" t="s">
        <v>215</v>
      </c>
    </row>
    <row r="57845" spans="129:129" x14ac:dyDescent="0.2">
      <c r="DY57845" s="185" t="s">
        <v>215</v>
      </c>
    </row>
    <row r="57846" spans="129:129" x14ac:dyDescent="0.2">
      <c r="DY57846" s="185" t="s">
        <v>215</v>
      </c>
    </row>
    <row r="57847" spans="129:129" x14ac:dyDescent="0.2">
      <c r="DY57847" s="185" t="s">
        <v>215</v>
      </c>
    </row>
    <row r="57848" spans="129:129" x14ac:dyDescent="0.2">
      <c r="DY57848" s="185" t="s">
        <v>215</v>
      </c>
    </row>
    <row r="57849" spans="129:129" x14ac:dyDescent="0.2">
      <c r="DY57849" s="185" t="s">
        <v>215</v>
      </c>
    </row>
    <row r="57850" spans="129:129" x14ac:dyDescent="0.2">
      <c r="DY57850" s="185" t="s">
        <v>215</v>
      </c>
    </row>
    <row r="57851" spans="129:129" x14ac:dyDescent="0.2">
      <c r="DY57851" s="185" t="s">
        <v>215</v>
      </c>
    </row>
    <row r="57852" spans="129:129" x14ac:dyDescent="0.2">
      <c r="DY57852" s="185" t="s">
        <v>215</v>
      </c>
    </row>
    <row r="57853" spans="129:129" x14ac:dyDescent="0.2">
      <c r="DY57853" s="185" t="s">
        <v>215</v>
      </c>
    </row>
    <row r="57854" spans="129:129" x14ac:dyDescent="0.2">
      <c r="DY57854" s="185" t="s">
        <v>215</v>
      </c>
    </row>
    <row r="57855" spans="129:129" x14ac:dyDescent="0.2">
      <c r="DY57855" s="185" t="s">
        <v>215</v>
      </c>
    </row>
    <row r="57856" spans="129:129" x14ac:dyDescent="0.2">
      <c r="DY57856" s="185" t="s">
        <v>215</v>
      </c>
    </row>
    <row r="57857" spans="129:129" x14ac:dyDescent="0.2">
      <c r="DY57857" s="185" t="s">
        <v>215</v>
      </c>
    </row>
    <row r="57858" spans="129:129" x14ac:dyDescent="0.2">
      <c r="DY57858" s="185" t="s">
        <v>215</v>
      </c>
    </row>
    <row r="57859" spans="129:129" x14ac:dyDescent="0.2">
      <c r="DY57859" s="185" t="s">
        <v>215</v>
      </c>
    </row>
    <row r="57860" spans="129:129" x14ac:dyDescent="0.2">
      <c r="DY57860" s="185" t="s">
        <v>215</v>
      </c>
    </row>
    <row r="57861" spans="129:129" x14ac:dyDescent="0.2">
      <c r="DY57861" s="185" t="s">
        <v>215</v>
      </c>
    </row>
    <row r="57862" spans="129:129" x14ac:dyDescent="0.2">
      <c r="DY57862" s="185" t="s">
        <v>215</v>
      </c>
    </row>
    <row r="57863" spans="129:129" x14ac:dyDescent="0.2">
      <c r="DY57863" s="185" t="s">
        <v>215</v>
      </c>
    </row>
    <row r="57864" spans="129:129" x14ac:dyDescent="0.2">
      <c r="DY57864" s="185" t="s">
        <v>215</v>
      </c>
    </row>
    <row r="57865" spans="129:129" x14ac:dyDescent="0.2">
      <c r="DY57865" s="185" t="s">
        <v>215</v>
      </c>
    </row>
    <row r="57866" spans="129:129" x14ac:dyDescent="0.2">
      <c r="DY57866" s="185" t="s">
        <v>215</v>
      </c>
    </row>
    <row r="57867" spans="129:129" x14ac:dyDescent="0.2">
      <c r="DY57867" s="185" t="s">
        <v>215</v>
      </c>
    </row>
    <row r="57868" spans="129:129" x14ac:dyDescent="0.2">
      <c r="DY57868" s="185" t="s">
        <v>215</v>
      </c>
    </row>
    <row r="57869" spans="129:129" x14ac:dyDescent="0.2">
      <c r="DY57869" s="185" t="s">
        <v>215</v>
      </c>
    </row>
    <row r="57870" spans="129:129" x14ac:dyDescent="0.2">
      <c r="DY57870" s="185" t="s">
        <v>215</v>
      </c>
    </row>
    <row r="57871" spans="129:129" x14ac:dyDescent="0.2">
      <c r="DY57871" s="185" t="s">
        <v>215</v>
      </c>
    </row>
    <row r="57872" spans="129:129" x14ac:dyDescent="0.2">
      <c r="DY57872" s="185" t="s">
        <v>215</v>
      </c>
    </row>
    <row r="57873" spans="129:129" x14ac:dyDescent="0.2">
      <c r="DY57873" s="185" t="s">
        <v>215</v>
      </c>
    </row>
    <row r="57874" spans="129:129" x14ac:dyDescent="0.2">
      <c r="DY57874" s="185" t="s">
        <v>215</v>
      </c>
    </row>
    <row r="57875" spans="129:129" x14ac:dyDescent="0.2">
      <c r="DY57875" s="185" t="s">
        <v>215</v>
      </c>
    </row>
    <row r="57876" spans="129:129" x14ac:dyDescent="0.2">
      <c r="DY57876" s="185" t="s">
        <v>215</v>
      </c>
    </row>
    <row r="57877" spans="129:129" x14ac:dyDescent="0.2">
      <c r="DY57877" s="185" t="s">
        <v>215</v>
      </c>
    </row>
    <row r="57878" spans="129:129" x14ac:dyDescent="0.2">
      <c r="DY57878" s="185" t="s">
        <v>215</v>
      </c>
    </row>
    <row r="57879" spans="129:129" x14ac:dyDescent="0.2">
      <c r="DY57879" s="185" t="s">
        <v>215</v>
      </c>
    </row>
    <row r="57880" spans="129:129" x14ac:dyDescent="0.2">
      <c r="DY57880" s="185" t="s">
        <v>215</v>
      </c>
    </row>
    <row r="57881" spans="129:129" x14ac:dyDescent="0.2">
      <c r="DY57881" s="185" t="s">
        <v>215</v>
      </c>
    </row>
    <row r="57882" spans="129:129" x14ac:dyDescent="0.2">
      <c r="DY57882" s="185" t="s">
        <v>215</v>
      </c>
    </row>
    <row r="57883" spans="129:129" x14ac:dyDescent="0.2">
      <c r="DY57883" s="185" t="s">
        <v>215</v>
      </c>
    </row>
    <row r="57884" spans="129:129" x14ac:dyDescent="0.2">
      <c r="DY57884" s="185" t="s">
        <v>215</v>
      </c>
    </row>
    <row r="57885" spans="129:129" x14ac:dyDescent="0.2">
      <c r="DY57885" s="185" t="s">
        <v>215</v>
      </c>
    </row>
    <row r="57886" spans="129:129" x14ac:dyDescent="0.2">
      <c r="DY57886" s="185" t="s">
        <v>215</v>
      </c>
    </row>
    <row r="57887" spans="129:129" x14ac:dyDescent="0.2">
      <c r="DY57887" s="185" t="s">
        <v>215</v>
      </c>
    </row>
    <row r="57888" spans="129:129" x14ac:dyDescent="0.2">
      <c r="DY57888" s="185" t="s">
        <v>215</v>
      </c>
    </row>
    <row r="57889" spans="129:129" x14ac:dyDescent="0.2">
      <c r="DY57889" s="185" t="s">
        <v>215</v>
      </c>
    </row>
    <row r="57890" spans="129:129" x14ac:dyDescent="0.2">
      <c r="DY57890" s="185" t="s">
        <v>215</v>
      </c>
    </row>
    <row r="57891" spans="129:129" x14ac:dyDescent="0.2">
      <c r="DY57891" s="185" t="s">
        <v>215</v>
      </c>
    </row>
    <row r="57892" spans="129:129" x14ac:dyDescent="0.2">
      <c r="DY57892" s="185" t="s">
        <v>215</v>
      </c>
    </row>
    <row r="57893" spans="129:129" x14ac:dyDescent="0.2">
      <c r="DY57893" s="185" t="s">
        <v>215</v>
      </c>
    </row>
    <row r="57894" spans="129:129" x14ac:dyDescent="0.2">
      <c r="DY57894" s="185" t="s">
        <v>215</v>
      </c>
    </row>
    <row r="57895" spans="129:129" x14ac:dyDescent="0.2">
      <c r="DY57895" s="185" t="s">
        <v>215</v>
      </c>
    </row>
    <row r="57896" spans="129:129" x14ac:dyDescent="0.2">
      <c r="DY57896" s="185" t="s">
        <v>215</v>
      </c>
    </row>
    <row r="57897" spans="129:129" x14ac:dyDescent="0.2">
      <c r="DY57897" s="185" t="s">
        <v>215</v>
      </c>
    </row>
    <row r="57898" spans="129:129" x14ac:dyDescent="0.2">
      <c r="DY57898" s="185" t="s">
        <v>215</v>
      </c>
    </row>
    <row r="57899" spans="129:129" x14ac:dyDescent="0.2">
      <c r="DY57899" s="185" t="s">
        <v>215</v>
      </c>
    </row>
    <row r="57900" spans="129:129" x14ac:dyDescent="0.2">
      <c r="DY57900" s="185" t="s">
        <v>215</v>
      </c>
    </row>
    <row r="57901" spans="129:129" x14ac:dyDescent="0.2">
      <c r="DY57901" s="185" t="s">
        <v>215</v>
      </c>
    </row>
    <row r="57902" spans="129:129" x14ac:dyDescent="0.2">
      <c r="DY57902" s="185" t="s">
        <v>215</v>
      </c>
    </row>
    <row r="57903" spans="129:129" x14ac:dyDescent="0.2">
      <c r="DY57903" s="185" t="s">
        <v>215</v>
      </c>
    </row>
    <row r="57904" spans="129:129" x14ac:dyDescent="0.2">
      <c r="DY57904" s="185" t="s">
        <v>215</v>
      </c>
    </row>
    <row r="57905" spans="129:129" x14ac:dyDescent="0.2">
      <c r="DY57905" s="185" t="s">
        <v>215</v>
      </c>
    </row>
    <row r="57906" spans="129:129" x14ac:dyDescent="0.2">
      <c r="DY57906" s="185" t="s">
        <v>215</v>
      </c>
    </row>
    <row r="57907" spans="129:129" x14ac:dyDescent="0.2">
      <c r="DY57907" s="185" t="s">
        <v>215</v>
      </c>
    </row>
    <row r="57908" spans="129:129" x14ac:dyDescent="0.2">
      <c r="DY57908" s="185" t="s">
        <v>215</v>
      </c>
    </row>
    <row r="57909" spans="129:129" x14ac:dyDescent="0.2">
      <c r="DY57909" s="185" t="s">
        <v>215</v>
      </c>
    </row>
    <row r="57910" spans="129:129" x14ac:dyDescent="0.2">
      <c r="DY57910" s="185" t="s">
        <v>215</v>
      </c>
    </row>
    <row r="57911" spans="129:129" x14ac:dyDescent="0.2">
      <c r="DY57911" s="185" t="s">
        <v>215</v>
      </c>
    </row>
    <row r="57912" spans="129:129" x14ac:dyDescent="0.2">
      <c r="DY57912" s="185" t="s">
        <v>215</v>
      </c>
    </row>
    <row r="57913" spans="129:129" x14ac:dyDescent="0.2">
      <c r="DY57913" s="185" t="s">
        <v>215</v>
      </c>
    </row>
    <row r="57914" spans="129:129" x14ac:dyDescent="0.2">
      <c r="DY57914" s="185" t="s">
        <v>215</v>
      </c>
    </row>
    <row r="57915" spans="129:129" x14ac:dyDescent="0.2">
      <c r="DY57915" s="185" t="s">
        <v>215</v>
      </c>
    </row>
    <row r="57916" spans="129:129" x14ac:dyDescent="0.2">
      <c r="DY57916" s="185" t="s">
        <v>215</v>
      </c>
    </row>
    <row r="57917" spans="129:129" x14ac:dyDescent="0.2">
      <c r="DY57917" s="185" t="s">
        <v>215</v>
      </c>
    </row>
    <row r="57918" spans="129:129" x14ac:dyDescent="0.2">
      <c r="DY57918" s="185" t="s">
        <v>215</v>
      </c>
    </row>
    <row r="57919" spans="129:129" x14ac:dyDescent="0.2">
      <c r="DY57919" s="185" t="s">
        <v>215</v>
      </c>
    </row>
    <row r="57920" spans="129:129" x14ac:dyDescent="0.2">
      <c r="DY57920" s="185" t="s">
        <v>215</v>
      </c>
    </row>
    <row r="57921" spans="129:129" x14ac:dyDescent="0.2">
      <c r="DY57921" s="185" t="s">
        <v>215</v>
      </c>
    </row>
    <row r="57922" spans="129:129" x14ac:dyDescent="0.2">
      <c r="DY57922" s="185" t="s">
        <v>215</v>
      </c>
    </row>
    <row r="57923" spans="129:129" x14ac:dyDescent="0.2">
      <c r="DY57923" s="185" t="s">
        <v>215</v>
      </c>
    </row>
    <row r="57924" spans="129:129" x14ac:dyDescent="0.2">
      <c r="DY57924" s="185" t="s">
        <v>215</v>
      </c>
    </row>
    <row r="57925" spans="129:129" x14ac:dyDescent="0.2">
      <c r="DY57925" s="185" t="s">
        <v>215</v>
      </c>
    </row>
    <row r="57926" spans="129:129" x14ac:dyDescent="0.2">
      <c r="DY57926" s="185" t="s">
        <v>215</v>
      </c>
    </row>
    <row r="57927" spans="129:129" x14ac:dyDescent="0.2">
      <c r="DY57927" s="185" t="s">
        <v>215</v>
      </c>
    </row>
    <row r="57928" spans="129:129" x14ac:dyDescent="0.2">
      <c r="DY57928" s="185" t="s">
        <v>215</v>
      </c>
    </row>
    <row r="57929" spans="129:129" x14ac:dyDescent="0.2">
      <c r="DY57929" s="185" t="s">
        <v>215</v>
      </c>
    </row>
    <row r="57930" spans="129:129" x14ac:dyDescent="0.2">
      <c r="DY57930" s="185" t="s">
        <v>215</v>
      </c>
    </row>
    <row r="57931" spans="129:129" x14ac:dyDescent="0.2">
      <c r="DY57931" s="185" t="s">
        <v>215</v>
      </c>
    </row>
    <row r="57932" spans="129:129" x14ac:dyDescent="0.2">
      <c r="DY57932" s="185" t="s">
        <v>215</v>
      </c>
    </row>
    <row r="57933" spans="129:129" x14ac:dyDescent="0.2">
      <c r="DY57933" s="185" t="s">
        <v>215</v>
      </c>
    </row>
    <row r="57934" spans="129:129" x14ac:dyDescent="0.2">
      <c r="DY57934" s="185" t="s">
        <v>215</v>
      </c>
    </row>
    <row r="57935" spans="129:129" x14ac:dyDescent="0.2">
      <c r="DY57935" s="185" t="s">
        <v>215</v>
      </c>
    </row>
    <row r="57936" spans="129:129" x14ac:dyDescent="0.2">
      <c r="DY57936" s="185" t="s">
        <v>215</v>
      </c>
    </row>
    <row r="57937" spans="129:129" x14ac:dyDescent="0.2">
      <c r="DY57937" s="185" t="s">
        <v>215</v>
      </c>
    </row>
    <row r="57938" spans="129:129" x14ac:dyDescent="0.2">
      <c r="DY57938" s="185" t="s">
        <v>215</v>
      </c>
    </row>
    <row r="57939" spans="129:129" x14ac:dyDescent="0.2">
      <c r="DY57939" s="185" t="s">
        <v>215</v>
      </c>
    </row>
    <row r="57940" spans="129:129" x14ac:dyDescent="0.2">
      <c r="DY57940" s="185" t="s">
        <v>215</v>
      </c>
    </row>
    <row r="57941" spans="129:129" x14ac:dyDescent="0.2">
      <c r="DY57941" s="185" t="s">
        <v>215</v>
      </c>
    </row>
    <row r="57942" spans="129:129" x14ac:dyDescent="0.2">
      <c r="DY57942" s="185" t="s">
        <v>215</v>
      </c>
    </row>
    <row r="57943" spans="129:129" x14ac:dyDescent="0.2">
      <c r="DY57943" s="185" t="s">
        <v>215</v>
      </c>
    </row>
    <row r="57944" spans="129:129" x14ac:dyDescent="0.2">
      <c r="DY57944" s="185" t="s">
        <v>215</v>
      </c>
    </row>
    <row r="57945" spans="129:129" x14ac:dyDescent="0.2">
      <c r="DY57945" s="185" t="s">
        <v>215</v>
      </c>
    </row>
    <row r="57946" spans="129:129" x14ac:dyDescent="0.2">
      <c r="DY57946" s="185" t="s">
        <v>215</v>
      </c>
    </row>
    <row r="57947" spans="129:129" x14ac:dyDescent="0.2">
      <c r="DY57947" s="185" t="s">
        <v>215</v>
      </c>
    </row>
    <row r="57948" spans="129:129" x14ac:dyDescent="0.2">
      <c r="DY57948" s="185" t="s">
        <v>215</v>
      </c>
    </row>
    <row r="57949" spans="129:129" x14ac:dyDescent="0.2">
      <c r="DY57949" s="185" t="s">
        <v>215</v>
      </c>
    </row>
    <row r="57950" spans="129:129" x14ac:dyDescent="0.2">
      <c r="DY57950" s="185" t="s">
        <v>215</v>
      </c>
    </row>
    <row r="57951" spans="129:129" x14ac:dyDescent="0.2">
      <c r="DY57951" s="185" t="s">
        <v>215</v>
      </c>
    </row>
    <row r="57952" spans="129:129" x14ac:dyDescent="0.2">
      <c r="DY57952" s="185" t="s">
        <v>215</v>
      </c>
    </row>
    <row r="57953" spans="129:129" x14ac:dyDescent="0.2">
      <c r="DY57953" s="185" t="s">
        <v>215</v>
      </c>
    </row>
    <row r="57954" spans="129:129" x14ac:dyDescent="0.2">
      <c r="DY57954" s="185" t="s">
        <v>215</v>
      </c>
    </row>
    <row r="57955" spans="129:129" x14ac:dyDescent="0.2">
      <c r="DY57955" s="185" t="s">
        <v>215</v>
      </c>
    </row>
    <row r="57956" spans="129:129" x14ac:dyDescent="0.2">
      <c r="DY57956" s="185" t="s">
        <v>215</v>
      </c>
    </row>
    <row r="57957" spans="129:129" x14ac:dyDescent="0.2">
      <c r="DY57957" s="185" t="s">
        <v>215</v>
      </c>
    </row>
    <row r="57958" spans="129:129" x14ac:dyDescent="0.2">
      <c r="DY57958" s="185" t="s">
        <v>215</v>
      </c>
    </row>
    <row r="57959" spans="129:129" x14ac:dyDescent="0.2">
      <c r="DY57959" s="185" t="s">
        <v>215</v>
      </c>
    </row>
    <row r="57960" spans="129:129" x14ac:dyDescent="0.2">
      <c r="DY57960" s="185" t="s">
        <v>215</v>
      </c>
    </row>
    <row r="57961" spans="129:129" x14ac:dyDescent="0.2">
      <c r="DY57961" s="185" t="s">
        <v>215</v>
      </c>
    </row>
    <row r="57962" spans="129:129" x14ac:dyDescent="0.2">
      <c r="DY57962" s="185" t="s">
        <v>215</v>
      </c>
    </row>
    <row r="57963" spans="129:129" x14ac:dyDescent="0.2">
      <c r="DY57963" s="185" t="s">
        <v>215</v>
      </c>
    </row>
    <row r="57964" spans="129:129" x14ac:dyDescent="0.2">
      <c r="DY57964" s="185" t="s">
        <v>215</v>
      </c>
    </row>
    <row r="57965" spans="129:129" x14ac:dyDescent="0.2">
      <c r="DY57965" s="185" t="s">
        <v>215</v>
      </c>
    </row>
    <row r="57966" spans="129:129" x14ac:dyDescent="0.2">
      <c r="DY57966" s="185" t="s">
        <v>215</v>
      </c>
    </row>
    <row r="57967" spans="129:129" x14ac:dyDescent="0.2">
      <c r="DY57967" s="185" t="s">
        <v>215</v>
      </c>
    </row>
    <row r="57968" spans="129:129" x14ac:dyDescent="0.2">
      <c r="DY57968" s="185" t="s">
        <v>215</v>
      </c>
    </row>
    <row r="57969" spans="129:129" x14ac:dyDescent="0.2">
      <c r="DY57969" s="185" t="s">
        <v>215</v>
      </c>
    </row>
    <row r="57970" spans="129:129" x14ac:dyDescent="0.2">
      <c r="DY57970" s="185" t="s">
        <v>215</v>
      </c>
    </row>
    <row r="57971" spans="129:129" x14ac:dyDescent="0.2">
      <c r="DY57971" s="185" t="s">
        <v>215</v>
      </c>
    </row>
    <row r="57972" spans="129:129" x14ac:dyDescent="0.2">
      <c r="DY57972" s="185" t="s">
        <v>215</v>
      </c>
    </row>
    <row r="57973" spans="129:129" x14ac:dyDescent="0.2">
      <c r="DY57973" s="185" t="s">
        <v>215</v>
      </c>
    </row>
    <row r="57974" spans="129:129" x14ac:dyDescent="0.2">
      <c r="DY57974" s="185" t="s">
        <v>215</v>
      </c>
    </row>
    <row r="57975" spans="129:129" x14ac:dyDescent="0.2">
      <c r="DY57975" s="185" t="s">
        <v>215</v>
      </c>
    </row>
    <row r="57976" spans="129:129" x14ac:dyDescent="0.2">
      <c r="DY57976" s="185" t="s">
        <v>215</v>
      </c>
    </row>
    <row r="57977" spans="129:129" x14ac:dyDescent="0.2">
      <c r="DY57977" s="185" t="s">
        <v>215</v>
      </c>
    </row>
    <row r="57978" spans="129:129" x14ac:dyDescent="0.2">
      <c r="DY57978" s="185" t="s">
        <v>215</v>
      </c>
    </row>
    <row r="57979" spans="129:129" x14ac:dyDescent="0.2">
      <c r="DY57979" s="185" t="s">
        <v>215</v>
      </c>
    </row>
    <row r="57980" spans="129:129" x14ac:dyDescent="0.2">
      <c r="DY57980" s="185" t="s">
        <v>215</v>
      </c>
    </row>
    <row r="57981" spans="129:129" x14ac:dyDescent="0.2">
      <c r="DY57981" s="185" t="s">
        <v>215</v>
      </c>
    </row>
    <row r="57982" spans="129:129" x14ac:dyDescent="0.2">
      <c r="DY57982" s="185" t="s">
        <v>215</v>
      </c>
    </row>
    <row r="57983" spans="129:129" x14ac:dyDescent="0.2">
      <c r="DY57983" s="185" t="s">
        <v>215</v>
      </c>
    </row>
    <row r="57984" spans="129:129" x14ac:dyDescent="0.2">
      <c r="DY57984" s="185" t="s">
        <v>215</v>
      </c>
    </row>
    <row r="57985" spans="129:129" x14ac:dyDescent="0.2">
      <c r="DY57985" s="185" t="s">
        <v>215</v>
      </c>
    </row>
    <row r="57986" spans="129:129" x14ac:dyDescent="0.2">
      <c r="DY57986" s="185" t="s">
        <v>215</v>
      </c>
    </row>
    <row r="57987" spans="129:129" x14ac:dyDescent="0.2">
      <c r="DY57987" s="185" t="s">
        <v>215</v>
      </c>
    </row>
    <row r="57988" spans="129:129" x14ac:dyDescent="0.2">
      <c r="DY57988" s="185" t="s">
        <v>215</v>
      </c>
    </row>
    <row r="57989" spans="129:129" x14ac:dyDescent="0.2">
      <c r="DY57989" s="185" t="s">
        <v>215</v>
      </c>
    </row>
    <row r="57990" spans="129:129" x14ac:dyDescent="0.2">
      <c r="DY57990" s="185" t="s">
        <v>215</v>
      </c>
    </row>
    <row r="57991" spans="129:129" x14ac:dyDescent="0.2">
      <c r="DY57991" s="185" t="s">
        <v>215</v>
      </c>
    </row>
    <row r="57992" spans="129:129" x14ac:dyDescent="0.2">
      <c r="DY57992" s="185" t="s">
        <v>215</v>
      </c>
    </row>
    <row r="57993" spans="129:129" x14ac:dyDescent="0.2">
      <c r="DY57993" s="185" t="s">
        <v>215</v>
      </c>
    </row>
    <row r="57994" spans="129:129" x14ac:dyDescent="0.2">
      <c r="DY57994" s="185" t="s">
        <v>215</v>
      </c>
    </row>
    <row r="57995" spans="129:129" x14ac:dyDescent="0.2">
      <c r="DY57995" s="185" t="s">
        <v>215</v>
      </c>
    </row>
    <row r="57996" spans="129:129" x14ac:dyDescent="0.2">
      <c r="DY57996" s="185" t="s">
        <v>215</v>
      </c>
    </row>
    <row r="57997" spans="129:129" x14ac:dyDescent="0.2">
      <c r="DY57997" s="185" t="s">
        <v>215</v>
      </c>
    </row>
    <row r="57998" spans="129:129" x14ac:dyDescent="0.2">
      <c r="DY57998" s="185" t="s">
        <v>215</v>
      </c>
    </row>
    <row r="57999" spans="129:129" x14ac:dyDescent="0.2">
      <c r="DY57999" s="185" t="s">
        <v>215</v>
      </c>
    </row>
    <row r="58000" spans="129:129" x14ac:dyDescent="0.2">
      <c r="DY58000" s="185" t="s">
        <v>215</v>
      </c>
    </row>
    <row r="58001" spans="129:129" x14ac:dyDescent="0.2">
      <c r="DY58001" s="185" t="s">
        <v>215</v>
      </c>
    </row>
    <row r="58002" spans="129:129" x14ac:dyDescent="0.2">
      <c r="DY58002" s="185" t="s">
        <v>215</v>
      </c>
    </row>
    <row r="58003" spans="129:129" x14ac:dyDescent="0.2">
      <c r="DY58003" s="185" t="s">
        <v>215</v>
      </c>
    </row>
    <row r="58004" spans="129:129" x14ac:dyDescent="0.2">
      <c r="DY58004" s="185" t="s">
        <v>215</v>
      </c>
    </row>
    <row r="58005" spans="129:129" x14ac:dyDescent="0.2">
      <c r="DY58005" s="185" t="s">
        <v>215</v>
      </c>
    </row>
    <row r="58006" spans="129:129" x14ac:dyDescent="0.2">
      <c r="DY58006" s="185" t="s">
        <v>215</v>
      </c>
    </row>
    <row r="58007" spans="129:129" x14ac:dyDescent="0.2">
      <c r="DY58007" s="185" t="s">
        <v>215</v>
      </c>
    </row>
    <row r="58008" spans="129:129" x14ac:dyDescent="0.2">
      <c r="DY58008" s="185" t="s">
        <v>215</v>
      </c>
    </row>
    <row r="58009" spans="129:129" x14ac:dyDescent="0.2">
      <c r="DY58009" s="185" t="s">
        <v>215</v>
      </c>
    </row>
    <row r="58010" spans="129:129" x14ac:dyDescent="0.2">
      <c r="DY58010" s="185" t="s">
        <v>215</v>
      </c>
    </row>
    <row r="58011" spans="129:129" x14ac:dyDescent="0.2">
      <c r="DY58011" s="185" t="s">
        <v>215</v>
      </c>
    </row>
    <row r="58012" spans="129:129" x14ac:dyDescent="0.2">
      <c r="DY58012" s="185" t="s">
        <v>215</v>
      </c>
    </row>
    <row r="58013" spans="129:129" x14ac:dyDescent="0.2">
      <c r="DY58013" s="185" t="s">
        <v>215</v>
      </c>
    </row>
    <row r="58014" spans="129:129" x14ac:dyDescent="0.2">
      <c r="DY58014" s="185" t="s">
        <v>215</v>
      </c>
    </row>
    <row r="58015" spans="129:129" x14ac:dyDescent="0.2">
      <c r="DY58015" s="185" t="s">
        <v>215</v>
      </c>
    </row>
    <row r="58016" spans="129:129" x14ac:dyDescent="0.2">
      <c r="DY58016" s="185" t="s">
        <v>215</v>
      </c>
    </row>
    <row r="58017" spans="129:129" x14ac:dyDescent="0.2">
      <c r="DY58017" s="185" t="s">
        <v>215</v>
      </c>
    </row>
    <row r="58018" spans="129:129" x14ac:dyDescent="0.2">
      <c r="DY58018" s="185" t="s">
        <v>215</v>
      </c>
    </row>
    <row r="58019" spans="129:129" x14ac:dyDescent="0.2">
      <c r="DY58019" s="185" t="s">
        <v>215</v>
      </c>
    </row>
    <row r="58020" spans="129:129" x14ac:dyDescent="0.2">
      <c r="DY58020" s="185" t="s">
        <v>215</v>
      </c>
    </row>
    <row r="58021" spans="129:129" x14ac:dyDescent="0.2">
      <c r="DY58021" s="185" t="s">
        <v>215</v>
      </c>
    </row>
    <row r="58022" spans="129:129" x14ac:dyDescent="0.2">
      <c r="DY58022" s="185" t="s">
        <v>215</v>
      </c>
    </row>
    <row r="58023" spans="129:129" x14ac:dyDescent="0.2">
      <c r="DY58023" s="185" t="s">
        <v>215</v>
      </c>
    </row>
    <row r="58024" spans="129:129" x14ac:dyDescent="0.2">
      <c r="DY58024" s="185" t="s">
        <v>215</v>
      </c>
    </row>
    <row r="58025" spans="129:129" x14ac:dyDescent="0.2">
      <c r="DY58025" s="185" t="s">
        <v>215</v>
      </c>
    </row>
    <row r="58026" spans="129:129" x14ac:dyDescent="0.2">
      <c r="DY58026" s="185" t="s">
        <v>215</v>
      </c>
    </row>
    <row r="58027" spans="129:129" x14ac:dyDescent="0.2">
      <c r="DY58027" s="185" t="s">
        <v>215</v>
      </c>
    </row>
    <row r="58028" spans="129:129" x14ac:dyDescent="0.2">
      <c r="DY58028" s="185" t="s">
        <v>215</v>
      </c>
    </row>
    <row r="58029" spans="129:129" x14ac:dyDescent="0.2">
      <c r="DY58029" s="185" t="s">
        <v>215</v>
      </c>
    </row>
    <row r="58030" spans="129:129" x14ac:dyDescent="0.2">
      <c r="DY58030" s="185" t="s">
        <v>215</v>
      </c>
    </row>
    <row r="58031" spans="129:129" x14ac:dyDescent="0.2">
      <c r="DY58031" s="185" t="s">
        <v>215</v>
      </c>
    </row>
    <row r="58032" spans="129:129" x14ac:dyDescent="0.2">
      <c r="DY58032" s="185" t="s">
        <v>215</v>
      </c>
    </row>
    <row r="58033" spans="129:129" x14ac:dyDescent="0.2">
      <c r="DY58033" s="185" t="s">
        <v>215</v>
      </c>
    </row>
    <row r="58034" spans="129:129" x14ac:dyDescent="0.2">
      <c r="DY58034" s="185" t="s">
        <v>215</v>
      </c>
    </row>
    <row r="58035" spans="129:129" x14ac:dyDescent="0.2">
      <c r="DY58035" s="185" t="s">
        <v>215</v>
      </c>
    </row>
    <row r="58036" spans="129:129" x14ac:dyDescent="0.2">
      <c r="DY58036" s="185" t="s">
        <v>215</v>
      </c>
    </row>
    <row r="58037" spans="129:129" x14ac:dyDescent="0.2">
      <c r="DY58037" s="185" t="s">
        <v>215</v>
      </c>
    </row>
    <row r="58038" spans="129:129" x14ac:dyDescent="0.2">
      <c r="DY58038" s="185" t="s">
        <v>215</v>
      </c>
    </row>
    <row r="58039" spans="129:129" x14ac:dyDescent="0.2">
      <c r="DY58039" s="185" t="s">
        <v>215</v>
      </c>
    </row>
    <row r="58040" spans="129:129" x14ac:dyDescent="0.2">
      <c r="DY58040" s="185" t="s">
        <v>215</v>
      </c>
    </row>
    <row r="58041" spans="129:129" x14ac:dyDescent="0.2">
      <c r="DY58041" s="185" t="s">
        <v>215</v>
      </c>
    </row>
    <row r="58042" spans="129:129" x14ac:dyDescent="0.2">
      <c r="DY58042" s="185" t="s">
        <v>215</v>
      </c>
    </row>
    <row r="58043" spans="129:129" x14ac:dyDescent="0.2">
      <c r="DY58043" s="185" t="s">
        <v>215</v>
      </c>
    </row>
    <row r="58044" spans="129:129" x14ac:dyDescent="0.2">
      <c r="DY58044" s="185" t="s">
        <v>215</v>
      </c>
    </row>
    <row r="58045" spans="129:129" x14ac:dyDescent="0.2">
      <c r="DY58045" s="185" t="s">
        <v>215</v>
      </c>
    </row>
    <row r="58046" spans="129:129" x14ac:dyDescent="0.2">
      <c r="DY58046" s="185" t="s">
        <v>215</v>
      </c>
    </row>
    <row r="58047" spans="129:129" x14ac:dyDescent="0.2">
      <c r="DY58047" s="185" t="s">
        <v>215</v>
      </c>
    </row>
    <row r="58048" spans="129:129" x14ac:dyDescent="0.2">
      <c r="DY58048" s="185" t="s">
        <v>215</v>
      </c>
    </row>
    <row r="58049" spans="129:129" x14ac:dyDescent="0.2">
      <c r="DY58049" s="185" t="s">
        <v>215</v>
      </c>
    </row>
    <row r="58050" spans="129:129" x14ac:dyDescent="0.2">
      <c r="DY58050" s="185" t="s">
        <v>215</v>
      </c>
    </row>
    <row r="58051" spans="129:129" x14ac:dyDescent="0.2">
      <c r="DY58051" s="185" t="s">
        <v>215</v>
      </c>
    </row>
    <row r="58052" spans="129:129" x14ac:dyDescent="0.2">
      <c r="DY58052" s="185" t="s">
        <v>215</v>
      </c>
    </row>
    <row r="58053" spans="129:129" x14ac:dyDescent="0.2">
      <c r="DY58053" s="185" t="s">
        <v>215</v>
      </c>
    </row>
    <row r="58054" spans="129:129" x14ac:dyDescent="0.2">
      <c r="DY58054" s="185" t="s">
        <v>215</v>
      </c>
    </row>
    <row r="58055" spans="129:129" x14ac:dyDescent="0.2">
      <c r="DY58055" s="185" t="s">
        <v>215</v>
      </c>
    </row>
    <row r="58056" spans="129:129" x14ac:dyDescent="0.2">
      <c r="DY58056" s="185" t="s">
        <v>215</v>
      </c>
    </row>
    <row r="58057" spans="129:129" x14ac:dyDescent="0.2">
      <c r="DY58057" s="185" t="s">
        <v>215</v>
      </c>
    </row>
    <row r="58058" spans="129:129" x14ac:dyDescent="0.2">
      <c r="DY58058" s="185" t="s">
        <v>215</v>
      </c>
    </row>
    <row r="58059" spans="129:129" x14ac:dyDescent="0.2">
      <c r="DY58059" s="185" t="s">
        <v>215</v>
      </c>
    </row>
    <row r="58060" spans="129:129" x14ac:dyDescent="0.2">
      <c r="DY58060" s="185" t="s">
        <v>215</v>
      </c>
    </row>
    <row r="58061" spans="129:129" x14ac:dyDescent="0.2">
      <c r="DY58061" s="185" t="s">
        <v>215</v>
      </c>
    </row>
    <row r="58062" spans="129:129" x14ac:dyDescent="0.2">
      <c r="DY58062" s="185" t="s">
        <v>215</v>
      </c>
    </row>
    <row r="58063" spans="129:129" x14ac:dyDescent="0.2">
      <c r="DY58063" s="185" t="s">
        <v>215</v>
      </c>
    </row>
    <row r="58064" spans="129:129" x14ac:dyDescent="0.2">
      <c r="DY58064" s="185" t="s">
        <v>215</v>
      </c>
    </row>
    <row r="58065" spans="129:129" x14ac:dyDescent="0.2">
      <c r="DY58065" s="185" t="s">
        <v>215</v>
      </c>
    </row>
    <row r="58066" spans="129:129" x14ac:dyDescent="0.2">
      <c r="DY58066" s="185" t="s">
        <v>215</v>
      </c>
    </row>
    <row r="58067" spans="129:129" x14ac:dyDescent="0.2">
      <c r="DY58067" s="185" t="s">
        <v>215</v>
      </c>
    </row>
    <row r="58068" spans="129:129" x14ac:dyDescent="0.2">
      <c r="DY58068" s="185" t="s">
        <v>215</v>
      </c>
    </row>
    <row r="58069" spans="129:129" x14ac:dyDescent="0.2">
      <c r="DY58069" s="185" t="s">
        <v>215</v>
      </c>
    </row>
    <row r="58070" spans="129:129" x14ac:dyDescent="0.2">
      <c r="DY58070" s="185" t="s">
        <v>215</v>
      </c>
    </row>
    <row r="58071" spans="129:129" x14ac:dyDescent="0.2">
      <c r="DY58071" s="185" t="s">
        <v>215</v>
      </c>
    </row>
    <row r="58072" spans="129:129" x14ac:dyDescent="0.2">
      <c r="DY58072" s="185" t="s">
        <v>215</v>
      </c>
    </row>
    <row r="58073" spans="129:129" x14ac:dyDescent="0.2">
      <c r="DY58073" s="185" t="s">
        <v>215</v>
      </c>
    </row>
    <row r="58074" spans="129:129" x14ac:dyDescent="0.2">
      <c r="DY58074" s="185" t="s">
        <v>215</v>
      </c>
    </row>
    <row r="58075" spans="129:129" x14ac:dyDescent="0.2">
      <c r="DY58075" s="185" t="s">
        <v>215</v>
      </c>
    </row>
    <row r="58076" spans="129:129" x14ac:dyDescent="0.2">
      <c r="DY58076" s="185" t="s">
        <v>215</v>
      </c>
    </row>
    <row r="58077" spans="129:129" x14ac:dyDescent="0.2">
      <c r="DY58077" s="185" t="s">
        <v>215</v>
      </c>
    </row>
    <row r="58078" spans="129:129" x14ac:dyDescent="0.2">
      <c r="DY58078" s="185" t="s">
        <v>215</v>
      </c>
    </row>
    <row r="58079" spans="129:129" x14ac:dyDescent="0.2">
      <c r="DY58079" s="185" t="s">
        <v>215</v>
      </c>
    </row>
    <row r="58080" spans="129:129" x14ac:dyDescent="0.2">
      <c r="DY58080" s="185" t="s">
        <v>215</v>
      </c>
    </row>
    <row r="58081" spans="129:129" x14ac:dyDescent="0.2">
      <c r="DY58081" s="185" t="s">
        <v>215</v>
      </c>
    </row>
    <row r="58082" spans="129:129" x14ac:dyDescent="0.2">
      <c r="DY58082" s="185" t="s">
        <v>215</v>
      </c>
    </row>
    <row r="58083" spans="129:129" x14ac:dyDescent="0.2">
      <c r="DY58083" s="185" t="s">
        <v>215</v>
      </c>
    </row>
    <row r="58084" spans="129:129" x14ac:dyDescent="0.2">
      <c r="DY58084" s="185" t="s">
        <v>215</v>
      </c>
    </row>
    <row r="58085" spans="129:129" x14ac:dyDescent="0.2">
      <c r="DY58085" s="185" t="s">
        <v>215</v>
      </c>
    </row>
    <row r="58086" spans="129:129" x14ac:dyDescent="0.2">
      <c r="DY58086" s="185" t="s">
        <v>215</v>
      </c>
    </row>
    <row r="58087" spans="129:129" x14ac:dyDescent="0.2">
      <c r="DY58087" s="185" t="s">
        <v>215</v>
      </c>
    </row>
    <row r="58088" spans="129:129" x14ac:dyDescent="0.2">
      <c r="DY58088" s="185" t="s">
        <v>215</v>
      </c>
    </row>
    <row r="58089" spans="129:129" x14ac:dyDescent="0.2">
      <c r="DY58089" s="185" t="s">
        <v>215</v>
      </c>
    </row>
    <row r="58090" spans="129:129" x14ac:dyDescent="0.2">
      <c r="DY58090" s="185" t="s">
        <v>215</v>
      </c>
    </row>
    <row r="58091" spans="129:129" x14ac:dyDescent="0.2">
      <c r="DY58091" s="185" t="s">
        <v>215</v>
      </c>
    </row>
    <row r="58092" spans="129:129" x14ac:dyDescent="0.2">
      <c r="DY58092" s="185" t="s">
        <v>215</v>
      </c>
    </row>
    <row r="58093" spans="129:129" x14ac:dyDescent="0.2">
      <c r="DY58093" s="185" t="s">
        <v>215</v>
      </c>
    </row>
    <row r="58094" spans="129:129" x14ac:dyDescent="0.2">
      <c r="DY58094" s="185" t="s">
        <v>215</v>
      </c>
    </row>
    <row r="58095" spans="129:129" x14ac:dyDescent="0.2">
      <c r="DY58095" s="185" t="s">
        <v>215</v>
      </c>
    </row>
    <row r="58096" spans="129:129" x14ac:dyDescent="0.2">
      <c r="DY58096" s="185" t="s">
        <v>215</v>
      </c>
    </row>
    <row r="58097" spans="129:129" x14ac:dyDescent="0.2">
      <c r="DY58097" s="185" t="s">
        <v>215</v>
      </c>
    </row>
    <row r="58098" spans="129:129" x14ac:dyDescent="0.2">
      <c r="DY58098" s="185" t="s">
        <v>215</v>
      </c>
    </row>
    <row r="58099" spans="129:129" x14ac:dyDescent="0.2">
      <c r="DY58099" s="185" t="s">
        <v>215</v>
      </c>
    </row>
    <row r="58100" spans="129:129" x14ac:dyDescent="0.2">
      <c r="DY58100" s="185" t="s">
        <v>215</v>
      </c>
    </row>
    <row r="58101" spans="129:129" x14ac:dyDescent="0.2">
      <c r="DY58101" s="185" t="s">
        <v>215</v>
      </c>
    </row>
    <row r="58102" spans="129:129" x14ac:dyDescent="0.2">
      <c r="DY58102" s="185" t="s">
        <v>215</v>
      </c>
    </row>
    <row r="58103" spans="129:129" x14ac:dyDescent="0.2">
      <c r="DY58103" s="185" t="s">
        <v>215</v>
      </c>
    </row>
    <row r="58104" spans="129:129" x14ac:dyDescent="0.2">
      <c r="DY58104" s="185" t="s">
        <v>215</v>
      </c>
    </row>
    <row r="58105" spans="129:129" x14ac:dyDescent="0.2">
      <c r="DY58105" s="185" t="s">
        <v>215</v>
      </c>
    </row>
    <row r="58106" spans="129:129" x14ac:dyDescent="0.2">
      <c r="DY58106" s="185" t="s">
        <v>215</v>
      </c>
    </row>
    <row r="58107" spans="129:129" x14ac:dyDescent="0.2">
      <c r="DY58107" s="185" t="s">
        <v>215</v>
      </c>
    </row>
    <row r="58108" spans="129:129" x14ac:dyDescent="0.2">
      <c r="DY58108" s="185" t="s">
        <v>215</v>
      </c>
    </row>
    <row r="58109" spans="129:129" x14ac:dyDescent="0.2">
      <c r="DY58109" s="185" t="s">
        <v>215</v>
      </c>
    </row>
    <row r="58110" spans="129:129" x14ac:dyDescent="0.2">
      <c r="DY58110" s="185" t="s">
        <v>215</v>
      </c>
    </row>
    <row r="58111" spans="129:129" x14ac:dyDescent="0.2">
      <c r="DY58111" s="185" t="s">
        <v>215</v>
      </c>
    </row>
    <row r="58112" spans="129:129" x14ac:dyDescent="0.2">
      <c r="DY58112" s="185" t="s">
        <v>215</v>
      </c>
    </row>
    <row r="58113" spans="129:129" x14ac:dyDescent="0.2">
      <c r="DY58113" s="185" t="s">
        <v>215</v>
      </c>
    </row>
    <row r="58114" spans="129:129" x14ac:dyDescent="0.2">
      <c r="DY58114" s="185" t="s">
        <v>215</v>
      </c>
    </row>
    <row r="58115" spans="129:129" x14ac:dyDescent="0.2">
      <c r="DY58115" s="185" t="s">
        <v>215</v>
      </c>
    </row>
    <row r="58116" spans="129:129" x14ac:dyDescent="0.2">
      <c r="DY58116" s="185" t="s">
        <v>215</v>
      </c>
    </row>
    <row r="58117" spans="129:129" x14ac:dyDescent="0.2">
      <c r="DY58117" s="185" t="s">
        <v>215</v>
      </c>
    </row>
    <row r="58118" spans="129:129" x14ac:dyDescent="0.2">
      <c r="DY58118" s="185" t="s">
        <v>215</v>
      </c>
    </row>
    <row r="58119" spans="129:129" x14ac:dyDescent="0.2">
      <c r="DY58119" s="185" t="s">
        <v>215</v>
      </c>
    </row>
    <row r="58120" spans="129:129" x14ac:dyDescent="0.2">
      <c r="DY58120" s="185" t="s">
        <v>215</v>
      </c>
    </row>
    <row r="58121" spans="129:129" x14ac:dyDescent="0.2">
      <c r="DY58121" s="185" t="s">
        <v>215</v>
      </c>
    </row>
    <row r="58122" spans="129:129" x14ac:dyDescent="0.2">
      <c r="DY58122" s="185" t="s">
        <v>215</v>
      </c>
    </row>
    <row r="58123" spans="129:129" x14ac:dyDescent="0.2">
      <c r="DY58123" s="185" t="s">
        <v>215</v>
      </c>
    </row>
    <row r="58124" spans="129:129" x14ac:dyDescent="0.2">
      <c r="DY58124" s="185" t="s">
        <v>215</v>
      </c>
    </row>
    <row r="58125" spans="129:129" x14ac:dyDescent="0.2">
      <c r="DY58125" s="185" t="s">
        <v>215</v>
      </c>
    </row>
    <row r="58126" spans="129:129" x14ac:dyDescent="0.2">
      <c r="DY58126" s="185" t="s">
        <v>215</v>
      </c>
    </row>
    <row r="58127" spans="129:129" x14ac:dyDescent="0.2">
      <c r="DY58127" s="185" t="s">
        <v>215</v>
      </c>
    </row>
    <row r="58128" spans="129:129" x14ac:dyDescent="0.2">
      <c r="DY58128" s="185" t="s">
        <v>215</v>
      </c>
    </row>
    <row r="58129" spans="129:129" x14ac:dyDescent="0.2">
      <c r="DY58129" s="185" t="s">
        <v>215</v>
      </c>
    </row>
    <row r="58130" spans="129:129" x14ac:dyDescent="0.2">
      <c r="DY58130" s="185" t="s">
        <v>215</v>
      </c>
    </row>
    <row r="58131" spans="129:129" x14ac:dyDescent="0.2">
      <c r="DY58131" s="185" t="s">
        <v>215</v>
      </c>
    </row>
    <row r="58132" spans="129:129" x14ac:dyDescent="0.2">
      <c r="DY58132" s="185" t="s">
        <v>215</v>
      </c>
    </row>
    <row r="58133" spans="129:129" x14ac:dyDescent="0.2">
      <c r="DY58133" s="185" t="s">
        <v>215</v>
      </c>
    </row>
    <row r="58134" spans="129:129" x14ac:dyDescent="0.2">
      <c r="DY58134" s="185" t="s">
        <v>215</v>
      </c>
    </row>
    <row r="58135" spans="129:129" x14ac:dyDescent="0.2">
      <c r="DY58135" s="185" t="s">
        <v>215</v>
      </c>
    </row>
    <row r="58136" spans="129:129" x14ac:dyDescent="0.2">
      <c r="DY58136" s="185" t="s">
        <v>215</v>
      </c>
    </row>
    <row r="58137" spans="129:129" x14ac:dyDescent="0.2">
      <c r="DY58137" s="185" t="s">
        <v>215</v>
      </c>
    </row>
    <row r="58138" spans="129:129" x14ac:dyDescent="0.2">
      <c r="DY58138" s="185" t="s">
        <v>215</v>
      </c>
    </row>
    <row r="58139" spans="129:129" x14ac:dyDescent="0.2">
      <c r="DY58139" s="185" t="s">
        <v>215</v>
      </c>
    </row>
    <row r="58140" spans="129:129" x14ac:dyDescent="0.2">
      <c r="DY58140" s="185" t="s">
        <v>215</v>
      </c>
    </row>
    <row r="58141" spans="129:129" x14ac:dyDescent="0.2">
      <c r="DY58141" s="185" t="s">
        <v>215</v>
      </c>
    </row>
    <row r="58142" spans="129:129" x14ac:dyDescent="0.2">
      <c r="DY58142" s="185" t="s">
        <v>215</v>
      </c>
    </row>
    <row r="58143" spans="129:129" x14ac:dyDescent="0.2">
      <c r="DY58143" s="185" t="s">
        <v>215</v>
      </c>
    </row>
    <row r="58144" spans="129:129" x14ac:dyDescent="0.2">
      <c r="DY58144" s="185" t="s">
        <v>215</v>
      </c>
    </row>
    <row r="58145" spans="129:129" x14ac:dyDescent="0.2">
      <c r="DY58145" s="185" t="s">
        <v>215</v>
      </c>
    </row>
    <row r="58146" spans="129:129" x14ac:dyDescent="0.2">
      <c r="DY58146" s="185" t="s">
        <v>215</v>
      </c>
    </row>
    <row r="58147" spans="129:129" x14ac:dyDescent="0.2">
      <c r="DY58147" s="185" t="s">
        <v>215</v>
      </c>
    </row>
    <row r="58148" spans="129:129" x14ac:dyDescent="0.2">
      <c r="DY58148" s="185" t="s">
        <v>215</v>
      </c>
    </row>
    <row r="58149" spans="129:129" x14ac:dyDescent="0.2">
      <c r="DY58149" s="185" t="s">
        <v>215</v>
      </c>
    </row>
    <row r="58150" spans="129:129" x14ac:dyDescent="0.2">
      <c r="DY58150" s="185" t="s">
        <v>215</v>
      </c>
    </row>
    <row r="58151" spans="129:129" x14ac:dyDescent="0.2">
      <c r="DY58151" s="185" t="s">
        <v>215</v>
      </c>
    </row>
    <row r="58152" spans="129:129" x14ac:dyDescent="0.2">
      <c r="DY58152" s="185" t="s">
        <v>215</v>
      </c>
    </row>
    <row r="58153" spans="129:129" x14ac:dyDescent="0.2">
      <c r="DY58153" s="185" t="s">
        <v>215</v>
      </c>
    </row>
    <row r="58154" spans="129:129" x14ac:dyDescent="0.2">
      <c r="DY58154" s="185" t="s">
        <v>215</v>
      </c>
    </row>
    <row r="58155" spans="129:129" x14ac:dyDescent="0.2">
      <c r="DY58155" s="185" t="s">
        <v>215</v>
      </c>
    </row>
    <row r="58156" spans="129:129" x14ac:dyDescent="0.2">
      <c r="DY58156" s="185" t="s">
        <v>215</v>
      </c>
    </row>
    <row r="58157" spans="129:129" x14ac:dyDescent="0.2">
      <c r="DY58157" s="185" t="s">
        <v>215</v>
      </c>
    </row>
    <row r="58158" spans="129:129" x14ac:dyDescent="0.2">
      <c r="DY58158" s="185" t="s">
        <v>215</v>
      </c>
    </row>
    <row r="58159" spans="129:129" x14ac:dyDescent="0.2">
      <c r="DY58159" s="185" t="s">
        <v>215</v>
      </c>
    </row>
    <row r="58160" spans="129:129" x14ac:dyDescent="0.2">
      <c r="DY58160" s="185" t="s">
        <v>215</v>
      </c>
    </row>
    <row r="58161" spans="129:129" x14ac:dyDescent="0.2">
      <c r="DY58161" s="185" t="s">
        <v>215</v>
      </c>
    </row>
    <row r="58162" spans="129:129" x14ac:dyDescent="0.2">
      <c r="DY58162" s="185" t="s">
        <v>215</v>
      </c>
    </row>
    <row r="58163" spans="129:129" x14ac:dyDescent="0.2">
      <c r="DY58163" s="185" t="s">
        <v>215</v>
      </c>
    </row>
    <row r="58164" spans="129:129" x14ac:dyDescent="0.2">
      <c r="DY58164" s="185" t="s">
        <v>215</v>
      </c>
    </row>
    <row r="58165" spans="129:129" x14ac:dyDescent="0.2">
      <c r="DY58165" s="185" t="s">
        <v>215</v>
      </c>
    </row>
    <row r="58166" spans="129:129" x14ac:dyDescent="0.2">
      <c r="DY58166" s="185" t="s">
        <v>215</v>
      </c>
    </row>
    <row r="58167" spans="129:129" x14ac:dyDescent="0.2">
      <c r="DY58167" s="185" t="s">
        <v>215</v>
      </c>
    </row>
    <row r="58168" spans="129:129" x14ac:dyDescent="0.2">
      <c r="DY58168" s="185" t="s">
        <v>215</v>
      </c>
    </row>
    <row r="58169" spans="129:129" x14ac:dyDescent="0.2">
      <c r="DY58169" s="185" t="s">
        <v>215</v>
      </c>
    </row>
    <row r="58170" spans="129:129" x14ac:dyDescent="0.2">
      <c r="DY58170" s="185" t="s">
        <v>215</v>
      </c>
    </row>
    <row r="58171" spans="129:129" x14ac:dyDescent="0.2">
      <c r="DY58171" s="185" t="s">
        <v>215</v>
      </c>
    </row>
    <row r="58172" spans="129:129" x14ac:dyDescent="0.2">
      <c r="DY58172" s="185" t="s">
        <v>215</v>
      </c>
    </row>
    <row r="58173" spans="129:129" x14ac:dyDescent="0.2">
      <c r="DY58173" s="185" t="s">
        <v>215</v>
      </c>
    </row>
    <row r="58174" spans="129:129" x14ac:dyDescent="0.2">
      <c r="DY58174" s="185" t="s">
        <v>215</v>
      </c>
    </row>
    <row r="58175" spans="129:129" x14ac:dyDescent="0.2">
      <c r="DY58175" s="185" t="s">
        <v>215</v>
      </c>
    </row>
    <row r="58176" spans="129:129" x14ac:dyDescent="0.2">
      <c r="DY58176" s="185" t="s">
        <v>215</v>
      </c>
    </row>
    <row r="58177" spans="129:129" x14ac:dyDescent="0.2">
      <c r="DY58177" s="185" t="s">
        <v>215</v>
      </c>
    </row>
    <row r="58178" spans="129:129" x14ac:dyDescent="0.2">
      <c r="DY58178" s="185" t="s">
        <v>215</v>
      </c>
    </row>
    <row r="58179" spans="129:129" x14ac:dyDescent="0.2">
      <c r="DY58179" s="185" t="s">
        <v>215</v>
      </c>
    </row>
    <row r="58180" spans="129:129" x14ac:dyDescent="0.2">
      <c r="DY58180" s="185" t="s">
        <v>215</v>
      </c>
    </row>
    <row r="58181" spans="129:129" x14ac:dyDescent="0.2">
      <c r="DY58181" s="185" t="s">
        <v>215</v>
      </c>
    </row>
    <row r="58182" spans="129:129" x14ac:dyDescent="0.2">
      <c r="DY58182" s="185" t="s">
        <v>215</v>
      </c>
    </row>
    <row r="58183" spans="129:129" x14ac:dyDescent="0.2">
      <c r="DY58183" s="185" t="s">
        <v>215</v>
      </c>
    </row>
    <row r="58184" spans="129:129" x14ac:dyDescent="0.2">
      <c r="DY58184" s="185" t="s">
        <v>215</v>
      </c>
    </row>
    <row r="58185" spans="129:129" x14ac:dyDescent="0.2">
      <c r="DY58185" s="185" t="s">
        <v>215</v>
      </c>
    </row>
    <row r="58186" spans="129:129" x14ac:dyDescent="0.2">
      <c r="DY58186" s="185" t="s">
        <v>215</v>
      </c>
    </row>
    <row r="58187" spans="129:129" x14ac:dyDescent="0.2">
      <c r="DY58187" s="185" t="s">
        <v>215</v>
      </c>
    </row>
    <row r="58188" spans="129:129" x14ac:dyDescent="0.2">
      <c r="DY58188" s="185" t="s">
        <v>215</v>
      </c>
    </row>
    <row r="58189" spans="129:129" x14ac:dyDescent="0.2">
      <c r="DY58189" s="185" t="s">
        <v>215</v>
      </c>
    </row>
    <row r="58190" spans="129:129" x14ac:dyDescent="0.2">
      <c r="DY58190" s="185" t="s">
        <v>215</v>
      </c>
    </row>
    <row r="58191" spans="129:129" x14ac:dyDescent="0.2">
      <c r="DY58191" s="185" t="s">
        <v>215</v>
      </c>
    </row>
    <row r="58192" spans="129:129" x14ac:dyDescent="0.2">
      <c r="DY58192" s="185" t="s">
        <v>215</v>
      </c>
    </row>
    <row r="58193" spans="129:129" x14ac:dyDescent="0.2">
      <c r="DY58193" s="185" t="s">
        <v>215</v>
      </c>
    </row>
    <row r="58194" spans="129:129" x14ac:dyDescent="0.2">
      <c r="DY58194" s="185" t="s">
        <v>215</v>
      </c>
    </row>
    <row r="58195" spans="129:129" x14ac:dyDescent="0.2">
      <c r="DY58195" s="185" t="s">
        <v>215</v>
      </c>
    </row>
    <row r="58196" spans="129:129" x14ac:dyDescent="0.2">
      <c r="DY58196" s="185" t="s">
        <v>215</v>
      </c>
    </row>
    <row r="58197" spans="129:129" x14ac:dyDescent="0.2">
      <c r="DY58197" s="185" t="s">
        <v>215</v>
      </c>
    </row>
    <row r="58198" spans="129:129" x14ac:dyDescent="0.2">
      <c r="DY58198" s="185" t="s">
        <v>215</v>
      </c>
    </row>
    <row r="58199" spans="129:129" x14ac:dyDescent="0.2">
      <c r="DY58199" s="185" t="s">
        <v>215</v>
      </c>
    </row>
    <row r="58200" spans="129:129" x14ac:dyDescent="0.2">
      <c r="DY58200" s="185" t="s">
        <v>215</v>
      </c>
    </row>
    <row r="58201" spans="129:129" x14ac:dyDescent="0.2">
      <c r="DY58201" s="185" t="s">
        <v>215</v>
      </c>
    </row>
    <row r="58202" spans="129:129" x14ac:dyDescent="0.2">
      <c r="DY58202" s="185" t="s">
        <v>215</v>
      </c>
    </row>
    <row r="58203" spans="129:129" x14ac:dyDescent="0.2">
      <c r="DY58203" s="185" t="s">
        <v>215</v>
      </c>
    </row>
    <row r="58204" spans="129:129" x14ac:dyDescent="0.2">
      <c r="DY58204" s="185" t="s">
        <v>215</v>
      </c>
    </row>
    <row r="58205" spans="129:129" x14ac:dyDescent="0.2">
      <c r="DY58205" s="185" t="s">
        <v>215</v>
      </c>
    </row>
    <row r="58206" spans="129:129" x14ac:dyDescent="0.2">
      <c r="DY58206" s="185" t="s">
        <v>215</v>
      </c>
    </row>
    <row r="58207" spans="129:129" x14ac:dyDescent="0.2">
      <c r="DY58207" s="185" t="s">
        <v>215</v>
      </c>
    </row>
    <row r="58208" spans="129:129" x14ac:dyDescent="0.2">
      <c r="DY58208" s="185" t="s">
        <v>215</v>
      </c>
    </row>
    <row r="58209" spans="129:129" x14ac:dyDescent="0.2">
      <c r="DY58209" s="185" t="s">
        <v>215</v>
      </c>
    </row>
    <row r="58210" spans="129:129" x14ac:dyDescent="0.2">
      <c r="DY58210" s="185" t="s">
        <v>215</v>
      </c>
    </row>
    <row r="58211" spans="129:129" x14ac:dyDescent="0.2">
      <c r="DY58211" s="185" t="s">
        <v>215</v>
      </c>
    </row>
    <row r="58212" spans="129:129" x14ac:dyDescent="0.2">
      <c r="DY58212" s="185" t="s">
        <v>215</v>
      </c>
    </row>
    <row r="58213" spans="129:129" x14ac:dyDescent="0.2">
      <c r="DY58213" s="185" t="s">
        <v>215</v>
      </c>
    </row>
    <row r="58214" spans="129:129" x14ac:dyDescent="0.2">
      <c r="DY58214" s="185" t="s">
        <v>215</v>
      </c>
    </row>
    <row r="58215" spans="129:129" x14ac:dyDescent="0.2">
      <c r="DY58215" s="185" t="s">
        <v>215</v>
      </c>
    </row>
    <row r="58216" spans="129:129" x14ac:dyDescent="0.2">
      <c r="DY58216" s="185" t="s">
        <v>215</v>
      </c>
    </row>
    <row r="58217" spans="129:129" x14ac:dyDescent="0.2">
      <c r="DY58217" s="185" t="s">
        <v>215</v>
      </c>
    </row>
    <row r="58218" spans="129:129" x14ac:dyDescent="0.2">
      <c r="DY58218" s="185" t="s">
        <v>215</v>
      </c>
    </row>
    <row r="58219" spans="129:129" x14ac:dyDescent="0.2">
      <c r="DY58219" s="185" t="s">
        <v>215</v>
      </c>
    </row>
    <row r="58220" spans="129:129" x14ac:dyDescent="0.2">
      <c r="DY58220" s="185" t="s">
        <v>215</v>
      </c>
    </row>
    <row r="58221" spans="129:129" x14ac:dyDescent="0.2">
      <c r="DY58221" s="185" t="s">
        <v>215</v>
      </c>
    </row>
    <row r="58222" spans="129:129" x14ac:dyDescent="0.2">
      <c r="DY58222" s="185" t="s">
        <v>215</v>
      </c>
    </row>
    <row r="58223" spans="129:129" x14ac:dyDescent="0.2">
      <c r="DY58223" s="185" t="s">
        <v>215</v>
      </c>
    </row>
    <row r="58224" spans="129:129" x14ac:dyDescent="0.2">
      <c r="DY58224" s="185" t="s">
        <v>215</v>
      </c>
    </row>
    <row r="58225" spans="129:129" x14ac:dyDescent="0.2">
      <c r="DY58225" s="185" t="s">
        <v>215</v>
      </c>
    </row>
    <row r="58226" spans="129:129" x14ac:dyDescent="0.2">
      <c r="DY58226" s="185" t="s">
        <v>215</v>
      </c>
    </row>
    <row r="58227" spans="129:129" x14ac:dyDescent="0.2">
      <c r="DY58227" s="185" t="s">
        <v>215</v>
      </c>
    </row>
    <row r="58228" spans="129:129" x14ac:dyDescent="0.2">
      <c r="DY58228" s="185" t="s">
        <v>215</v>
      </c>
    </row>
    <row r="58229" spans="129:129" x14ac:dyDescent="0.2">
      <c r="DY58229" s="185" t="s">
        <v>215</v>
      </c>
    </row>
    <row r="58230" spans="129:129" x14ac:dyDescent="0.2">
      <c r="DY58230" s="185" t="s">
        <v>215</v>
      </c>
    </row>
    <row r="58231" spans="129:129" x14ac:dyDescent="0.2">
      <c r="DY58231" s="185" t="s">
        <v>215</v>
      </c>
    </row>
    <row r="58232" spans="129:129" x14ac:dyDescent="0.2">
      <c r="DY58232" s="185" t="s">
        <v>215</v>
      </c>
    </row>
    <row r="58233" spans="129:129" x14ac:dyDescent="0.2">
      <c r="DY58233" s="185" t="s">
        <v>215</v>
      </c>
    </row>
    <row r="58234" spans="129:129" x14ac:dyDescent="0.2">
      <c r="DY58234" s="185" t="s">
        <v>215</v>
      </c>
    </row>
    <row r="58235" spans="129:129" x14ac:dyDescent="0.2">
      <c r="DY58235" s="185" t="s">
        <v>215</v>
      </c>
    </row>
    <row r="58236" spans="129:129" x14ac:dyDescent="0.2">
      <c r="DY58236" s="185" t="s">
        <v>215</v>
      </c>
    </row>
    <row r="58237" spans="129:129" x14ac:dyDescent="0.2">
      <c r="DY58237" s="185" t="s">
        <v>215</v>
      </c>
    </row>
    <row r="58238" spans="129:129" x14ac:dyDescent="0.2">
      <c r="DY58238" s="185" t="s">
        <v>215</v>
      </c>
    </row>
    <row r="58239" spans="129:129" x14ac:dyDescent="0.2">
      <c r="DY58239" s="185" t="s">
        <v>215</v>
      </c>
    </row>
    <row r="58240" spans="129:129" x14ac:dyDescent="0.2">
      <c r="DY58240" s="185" t="s">
        <v>215</v>
      </c>
    </row>
    <row r="58241" spans="129:129" x14ac:dyDescent="0.2">
      <c r="DY58241" s="185" t="s">
        <v>215</v>
      </c>
    </row>
    <row r="58242" spans="129:129" x14ac:dyDescent="0.2">
      <c r="DY58242" s="185" t="s">
        <v>215</v>
      </c>
    </row>
    <row r="58243" spans="129:129" x14ac:dyDescent="0.2">
      <c r="DY58243" s="185" t="s">
        <v>215</v>
      </c>
    </row>
    <row r="58244" spans="129:129" x14ac:dyDescent="0.2">
      <c r="DY58244" s="185" t="s">
        <v>215</v>
      </c>
    </row>
    <row r="58245" spans="129:129" x14ac:dyDescent="0.2">
      <c r="DY58245" s="185" t="s">
        <v>215</v>
      </c>
    </row>
    <row r="58246" spans="129:129" x14ac:dyDescent="0.2">
      <c r="DY58246" s="185" t="s">
        <v>215</v>
      </c>
    </row>
    <row r="58247" spans="129:129" x14ac:dyDescent="0.2">
      <c r="DY58247" s="185" t="s">
        <v>215</v>
      </c>
    </row>
    <row r="58248" spans="129:129" x14ac:dyDescent="0.2">
      <c r="DY58248" s="185" t="s">
        <v>215</v>
      </c>
    </row>
    <row r="58249" spans="129:129" x14ac:dyDescent="0.2">
      <c r="DY58249" s="185" t="s">
        <v>215</v>
      </c>
    </row>
    <row r="58250" spans="129:129" x14ac:dyDescent="0.2">
      <c r="DY58250" s="185" t="s">
        <v>215</v>
      </c>
    </row>
    <row r="58251" spans="129:129" x14ac:dyDescent="0.2">
      <c r="DY58251" s="185" t="s">
        <v>215</v>
      </c>
    </row>
    <row r="58252" spans="129:129" x14ac:dyDescent="0.2">
      <c r="DY58252" s="185" t="s">
        <v>215</v>
      </c>
    </row>
    <row r="58253" spans="129:129" x14ac:dyDescent="0.2">
      <c r="DY58253" s="185" t="s">
        <v>215</v>
      </c>
    </row>
    <row r="58254" spans="129:129" x14ac:dyDescent="0.2">
      <c r="DY58254" s="185" t="s">
        <v>215</v>
      </c>
    </row>
    <row r="58255" spans="129:129" x14ac:dyDescent="0.2">
      <c r="DY58255" s="185" t="s">
        <v>215</v>
      </c>
    </row>
    <row r="58256" spans="129:129" x14ac:dyDescent="0.2">
      <c r="DY58256" s="185" t="s">
        <v>215</v>
      </c>
    </row>
    <row r="58257" spans="129:129" x14ac:dyDescent="0.2">
      <c r="DY58257" s="185" t="s">
        <v>215</v>
      </c>
    </row>
    <row r="58258" spans="129:129" x14ac:dyDescent="0.2">
      <c r="DY58258" s="185" t="s">
        <v>215</v>
      </c>
    </row>
    <row r="58259" spans="129:129" x14ac:dyDescent="0.2">
      <c r="DY58259" s="185" t="s">
        <v>215</v>
      </c>
    </row>
    <row r="58260" spans="129:129" x14ac:dyDescent="0.2">
      <c r="DY58260" s="185" t="s">
        <v>215</v>
      </c>
    </row>
    <row r="58261" spans="129:129" x14ac:dyDescent="0.2">
      <c r="DY58261" s="185" t="s">
        <v>215</v>
      </c>
    </row>
    <row r="58262" spans="129:129" x14ac:dyDescent="0.2">
      <c r="DY58262" s="185" t="s">
        <v>215</v>
      </c>
    </row>
    <row r="58263" spans="129:129" x14ac:dyDescent="0.2">
      <c r="DY58263" s="185" t="s">
        <v>215</v>
      </c>
    </row>
    <row r="58264" spans="129:129" x14ac:dyDescent="0.2">
      <c r="DY58264" s="185" t="s">
        <v>215</v>
      </c>
    </row>
    <row r="58265" spans="129:129" x14ac:dyDescent="0.2">
      <c r="DY58265" s="185" t="s">
        <v>215</v>
      </c>
    </row>
    <row r="58266" spans="129:129" x14ac:dyDescent="0.2">
      <c r="DY58266" s="185" t="s">
        <v>215</v>
      </c>
    </row>
    <row r="58267" spans="129:129" x14ac:dyDescent="0.2">
      <c r="DY58267" s="185" t="s">
        <v>215</v>
      </c>
    </row>
    <row r="58268" spans="129:129" x14ac:dyDescent="0.2">
      <c r="DY58268" s="185" t="s">
        <v>215</v>
      </c>
    </row>
    <row r="58269" spans="129:129" x14ac:dyDescent="0.2">
      <c r="DY58269" s="185" t="s">
        <v>215</v>
      </c>
    </row>
    <row r="58270" spans="129:129" x14ac:dyDescent="0.2">
      <c r="DY58270" s="185" t="s">
        <v>215</v>
      </c>
    </row>
    <row r="58271" spans="129:129" x14ac:dyDescent="0.2">
      <c r="DY58271" s="185" t="s">
        <v>215</v>
      </c>
    </row>
    <row r="58272" spans="129:129" x14ac:dyDescent="0.2">
      <c r="DY58272" s="185" t="s">
        <v>215</v>
      </c>
    </row>
    <row r="58273" spans="129:129" x14ac:dyDescent="0.2">
      <c r="DY58273" s="185" t="s">
        <v>215</v>
      </c>
    </row>
    <row r="58274" spans="129:129" x14ac:dyDescent="0.2">
      <c r="DY58274" s="185" t="s">
        <v>215</v>
      </c>
    </row>
    <row r="58275" spans="129:129" x14ac:dyDescent="0.2">
      <c r="DY58275" s="185" t="s">
        <v>215</v>
      </c>
    </row>
    <row r="58276" spans="129:129" x14ac:dyDescent="0.2">
      <c r="DY58276" s="185" t="s">
        <v>215</v>
      </c>
    </row>
    <row r="58277" spans="129:129" x14ac:dyDescent="0.2">
      <c r="DY58277" s="185" t="s">
        <v>215</v>
      </c>
    </row>
    <row r="58278" spans="129:129" x14ac:dyDescent="0.2">
      <c r="DY58278" s="185" t="s">
        <v>215</v>
      </c>
    </row>
    <row r="58279" spans="129:129" x14ac:dyDescent="0.2">
      <c r="DY58279" s="185" t="s">
        <v>215</v>
      </c>
    </row>
    <row r="58280" spans="129:129" x14ac:dyDescent="0.2">
      <c r="DY58280" s="185" t="s">
        <v>215</v>
      </c>
    </row>
    <row r="58281" spans="129:129" x14ac:dyDescent="0.2">
      <c r="DY58281" s="185" t="s">
        <v>215</v>
      </c>
    </row>
    <row r="58282" spans="129:129" x14ac:dyDescent="0.2">
      <c r="DY58282" s="185" t="s">
        <v>215</v>
      </c>
    </row>
    <row r="58283" spans="129:129" x14ac:dyDescent="0.2">
      <c r="DY58283" s="185" t="s">
        <v>215</v>
      </c>
    </row>
    <row r="58284" spans="129:129" x14ac:dyDescent="0.2">
      <c r="DY58284" s="185" t="s">
        <v>215</v>
      </c>
    </row>
    <row r="58285" spans="129:129" x14ac:dyDescent="0.2">
      <c r="DY58285" s="185" t="s">
        <v>215</v>
      </c>
    </row>
    <row r="58286" spans="129:129" x14ac:dyDescent="0.2">
      <c r="DY58286" s="185" t="s">
        <v>215</v>
      </c>
    </row>
    <row r="58287" spans="129:129" x14ac:dyDescent="0.2">
      <c r="DY58287" s="185" t="s">
        <v>215</v>
      </c>
    </row>
    <row r="58288" spans="129:129" x14ac:dyDescent="0.2">
      <c r="DY58288" s="185" t="s">
        <v>215</v>
      </c>
    </row>
    <row r="58289" spans="129:129" x14ac:dyDescent="0.2">
      <c r="DY58289" s="185" t="s">
        <v>215</v>
      </c>
    </row>
    <row r="58290" spans="129:129" x14ac:dyDescent="0.2">
      <c r="DY58290" s="185" t="s">
        <v>215</v>
      </c>
    </row>
    <row r="58291" spans="129:129" x14ac:dyDescent="0.2">
      <c r="DY58291" s="185" t="s">
        <v>215</v>
      </c>
    </row>
    <row r="58292" spans="129:129" x14ac:dyDescent="0.2">
      <c r="DY58292" s="185" t="s">
        <v>215</v>
      </c>
    </row>
    <row r="58293" spans="129:129" x14ac:dyDescent="0.2">
      <c r="DY58293" s="185" t="s">
        <v>215</v>
      </c>
    </row>
    <row r="58294" spans="129:129" x14ac:dyDescent="0.2">
      <c r="DY58294" s="185" t="s">
        <v>215</v>
      </c>
    </row>
    <row r="58295" spans="129:129" x14ac:dyDescent="0.2">
      <c r="DY58295" s="185" t="s">
        <v>215</v>
      </c>
    </row>
    <row r="58296" spans="129:129" x14ac:dyDescent="0.2">
      <c r="DY58296" s="185" t="s">
        <v>215</v>
      </c>
    </row>
    <row r="58297" spans="129:129" x14ac:dyDescent="0.2">
      <c r="DY58297" s="185" t="s">
        <v>215</v>
      </c>
    </row>
    <row r="58298" spans="129:129" x14ac:dyDescent="0.2">
      <c r="DY58298" s="185" t="s">
        <v>215</v>
      </c>
    </row>
    <row r="58299" spans="129:129" x14ac:dyDescent="0.2">
      <c r="DY58299" s="185" t="s">
        <v>215</v>
      </c>
    </row>
    <row r="58300" spans="129:129" x14ac:dyDescent="0.2">
      <c r="DY58300" s="185" t="s">
        <v>215</v>
      </c>
    </row>
    <row r="58301" spans="129:129" x14ac:dyDescent="0.2">
      <c r="DY58301" s="185" t="s">
        <v>215</v>
      </c>
    </row>
    <row r="58302" spans="129:129" x14ac:dyDescent="0.2">
      <c r="DY58302" s="185" t="s">
        <v>215</v>
      </c>
    </row>
    <row r="58303" spans="129:129" x14ac:dyDescent="0.2">
      <c r="DY58303" s="185" t="s">
        <v>215</v>
      </c>
    </row>
    <row r="58304" spans="129:129" x14ac:dyDescent="0.2">
      <c r="DY58304" s="185" t="s">
        <v>215</v>
      </c>
    </row>
    <row r="58305" spans="129:129" x14ac:dyDescent="0.2">
      <c r="DY58305" s="185" t="s">
        <v>215</v>
      </c>
    </row>
    <row r="58306" spans="129:129" x14ac:dyDescent="0.2">
      <c r="DY58306" s="185" t="s">
        <v>215</v>
      </c>
    </row>
    <row r="58307" spans="129:129" x14ac:dyDescent="0.2">
      <c r="DY58307" s="185" t="s">
        <v>215</v>
      </c>
    </row>
    <row r="58308" spans="129:129" x14ac:dyDescent="0.2">
      <c r="DY58308" s="185" t="s">
        <v>215</v>
      </c>
    </row>
    <row r="58309" spans="129:129" x14ac:dyDescent="0.2">
      <c r="DY58309" s="185" t="s">
        <v>215</v>
      </c>
    </row>
    <row r="58310" spans="129:129" x14ac:dyDescent="0.2">
      <c r="DY58310" s="185" t="s">
        <v>215</v>
      </c>
    </row>
    <row r="58311" spans="129:129" x14ac:dyDescent="0.2">
      <c r="DY58311" s="185" t="s">
        <v>215</v>
      </c>
    </row>
    <row r="58312" spans="129:129" x14ac:dyDescent="0.2">
      <c r="DY58312" s="185" t="s">
        <v>215</v>
      </c>
    </row>
    <row r="58313" spans="129:129" x14ac:dyDescent="0.2">
      <c r="DY58313" s="185" t="s">
        <v>215</v>
      </c>
    </row>
    <row r="58314" spans="129:129" x14ac:dyDescent="0.2">
      <c r="DY58314" s="185" t="s">
        <v>215</v>
      </c>
    </row>
    <row r="58315" spans="129:129" x14ac:dyDescent="0.2">
      <c r="DY58315" s="185" t="s">
        <v>215</v>
      </c>
    </row>
    <row r="58316" spans="129:129" x14ac:dyDescent="0.2">
      <c r="DY58316" s="185" t="s">
        <v>215</v>
      </c>
    </row>
    <row r="58317" spans="129:129" x14ac:dyDescent="0.2">
      <c r="DY58317" s="185" t="s">
        <v>215</v>
      </c>
    </row>
    <row r="58318" spans="129:129" x14ac:dyDescent="0.2">
      <c r="DY58318" s="185" t="s">
        <v>215</v>
      </c>
    </row>
    <row r="58319" spans="129:129" x14ac:dyDescent="0.2">
      <c r="DY58319" s="185" t="s">
        <v>215</v>
      </c>
    </row>
    <row r="58320" spans="129:129" x14ac:dyDescent="0.2">
      <c r="DY58320" s="185" t="s">
        <v>215</v>
      </c>
    </row>
    <row r="58321" spans="129:129" x14ac:dyDescent="0.2">
      <c r="DY58321" s="185" t="s">
        <v>215</v>
      </c>
    </row>
    <row r="58322" spans="129:129" x14ac:dyDescent="0.2">
      <c r="DY58322" s="185" t="s">
        <v>215</v>
      </c>
    </row>
    <row r="58323" spans="129:129" x14ac:dyDescent="0.2">
      <c r="DY58323" s="185" t="s">
        <v>215</v>
      </c>
    </row>
    <row r="58324" spans="129:129" x14ac:dyDescent="0.2">
      <c r="DY58324" s="185" t="s">
        <v>215</v>
      </c>
    </row>
    <row r="58325" spans="129:129" x14ac:dyDescent="0.2">
      <c r="DY58325" s="185" t="s">
        <v>215</v>
      </c>
    </row>
    <row r="58326" spans="129:129" x14ac:dyDescent="0.2">
      <c r="DY58326" s="185" t="s">
        <v>215</v>
      </c>
    </row>
    <row r="58327" spans="129:129" x14ac:dyDescent="0.2">
      <c r="DY58327" s="185" t="s">
        <v>215</v>
      </c>
    </row>
    <row r="58328" spans="129:129" x14ac:dyDescent="0.2">
      <c r="DY58328" s="185" t="s">
        <v>215</v>
      </c>
    </row>
    <row r="58329" spans="129:129" x14ac:dyDescent="0.2">
      <c r="DY58329" s="185" t="s">
        <v>215</v>
      </c>
    </row>
    <row r="58330" spans="129:129" x14ac:dyDescent="0.2">
      <c r="DY58330" s="185" t="s">
        <v>215</v>
      </c>
    </row>
    <row r="58331" spans="129:129" x14ac:dyDescent="0.2">
      <c r="DY58331" s="185" t="s">
        <v>215</v>
      </c>
    </row>
    <row r="58332" spans="129:129" x14ac:dyDescent="0.2">
      <c r="DY58332" s="185" t="s">
        <v>215</v>
      </c>
    </row>
    <row r="58333" spans="129:129" x14ac:dyDescent="0.2">
      <c r="DY58333" s="185" t="s">
        <v>215</v>
      </c>
    </row>
    <row r="58334" spans="129:129" x14ac:dyDescent="0.2">
      <c r="DY58334" s="185" t="s">
        <v>215</v>
      </c>
    </row>
    <row r="58335" spans="129:129" x14ac:dyDescent="0.2">
      <c r="DY58335" s="185" t="s">
        <v>215</v>
      </c>
    </row>
    <row r="58336" spans="129:129" x14ac:dyDescent="0.2">
      <c r="DY58336" s="185" t="s">
        <v>215</v>
      </c>
    </row>
    <row r="58337" spans="129:129" x14ac:dyDescent="0.2">
      <c r="DY58337" s="185" t="s">
        <v>215</v>
      </c>
    </row>
    <row r="58338" spans="129:129" x14ac:dyDescent="0.2">
      <c r="DY58338" s="185" t="s">
        <v>215</v>
      </c>
    </row>
    <row r="58339" spans="129:129" x14ac:dyDescent="0.2">
      <c r="DY58339" s="185" t="s">
        <v>215</v>
      </c>
    </row>
    <row r="58340" spans="129:129" x14ac:dyDescent="0.2">
      <c r="DY58340" s="185" t="s">
        <v>215</v>
      </c>
    </row>
    <row r="58341" spans="129:129" x14ac:dyDescent="0.2">
      <c r="DY58341" s="185" t="s">
        <v>215</v>
      </c>
    </row>
    <row r="58342" spans="129:129" x14ac:dyDescent="0.2">
      <c r="DY58342" s="185" t="s">
        <v>215</v>
      </c>
    </row>
    <row r="58343" spans="129:129" x14ac:dyDescent="0.2">
      <c r="DY58343" s="185" t="s">
        <v>215</v>
      </c>
    </row>
    <row r="58344" spans="129:129" x14ac:dyDescent="0.2">
      <c r="DY58344" s="185" t="s">
        <v>215</v>
      </c>
    </row>
    <row r="58345" spans="129:129" x14ac:dyDescent="0.2">
      <c r="DY58345" s="185" t="s">
        <v>215</v>
      </c>
    </row>
    <row r="58346" spans="129:129" x14ac:dyDescent="0.2">
      <c r="DY58346" s="185" t="s">
        <v>215</v>
      </c>
    </row>
    <row r="58347" spans="129:129" x14ac:dyDescent="0.2">
      <c r="DY58347" s="185" t="s">
        <v>215</v>
      </c>
    </row>
    <row r="58348" spans="129:129" x14ac:dyDescent="0.2">
      <c r="DY58348" s="185" t="s">
        <v>215</v>
      </c>
    </row>
    <row r="58349" spans="129:129" x14ac:dyDescent="0.2">
      <c r="DY58349" s="185" t="s">
        <v>215</v>
      </c>
    </row>
    <row r="58350" spans="129:129" x14ac:dyDescent="0.2">
      <c r="DY58350" s="185" t="s">
        <v>215</v>
      </c>
    </row>
    <row r="58351" spans="129:129" x14ac:dyDescent="0.2">
      <c r="DY58351" s="185" t="s">
        <v>215</v>
      </c>
    </row>
    <row r="58352" spans="129:129" x14ac:dyDescent="0.2">
      <c r="DY58352" s="185" t="s">
        <v>215</v>
      </c>
    </row>
    <row r="58353" spans="129:129" x14ac:dyDescent="0.2">
      <c r="DY58353" s="185" t="s">
        <v>215</v>
      </c>
    </row>
    <row r="58354" spans="129:129" x14ac:dyDescent="0.2">
      <c r="DY58354" s="185" t="s">
        <v>215</v>
      </c>
    </row>
    <row r="58355" spans="129:129" x14ac:dyDescent="0.2">
      <c r="DY58355" s="185" t="s">
        <v>215</v>
      </c>
    </row>
    <row r="58356" spans="129:129" x14ac:dyDescent="0.2">
      <c r="DY58356" s="185" t="s">
        <v>215</v>
      </c>
    </row>
    <row r="58357" spans="129:129" x14ac:dyDescent="0.2">
      <c r="DY58357" s="185" t="s">
        <v>215</v>
      </c>
    </row>
    <row r="58358" spans="129:129" x14ac:dyDescent="0.2">
      <c r="DY58358" s="185" t="s">
        <v>215</v>
      </c>
    </row>
    <row r="58359" spans="129:129" x14ac:dyDescent="0.2">
      <c r="DY58359" s="185" t="s">
        <v>215</v>
      </c>
    </row>
    <row r="58360" spans="129:129" x14ac:dyDescent="0.2">
      <c r="DY58360" s="185" t="s">
        <v>215</v>
      </c>
    </row>
    <row r="58361" spans="129:129" x14ac:dyDescent="0.2">
      <c r="DY58361" s="185" t="s">
        <v>215</v>
      </c>
    </row>
    <row r="58362" spans="129:129" x14ac:dyDescent="0.2">
      <c r="DY58362" s="185" t="s">
        <v>215</v>
      </c>
    </row>
    <row r="58363" spans="129:129" x14ac:dyDescent="0.2">
      <c r="DY58363" s="185" t="s">
        <v>215</v>
      </c>
    </row>
    <row r="58364" spans="129:129" x14ac:dyDescent="0.2">
      <c r="DY58364" s="185" t="s">
        <v>215</v>
      </c>
    </row>
    <row r="58365" spans="129:129" x14ac:dyDescent="0.2">
      <c r="DY58365" s="185" t="s">
        <v>215</v>
      </c>
    </row>
    <row r="58366" spans="129:129" x14ac:dyDescent="0.2">
      <c r="DY58366" s="185" t="s">
        <v>215</v>
      </c>
    </row>
    <row r="58367" spans="129:129" x14ac:dyDescent="0.2">
      <c r="DY58367" s="185" t="s">
        <v>215</v>
      </c>
    </row>
    <row r="58368" spans="129:129" x14ac:dyDescent="0.2">
      <c r="DY58368" s="185" t="s">
        <v>215</v>
      </c>
    </row>
    <row r="58369" spans="129:129" x14ac:dyDescent="0.2">
      <c r="DY58369" s="185" t="s">
        <v>215</v>
      </c>
    </row>
    <row r="58370" spans="129:129" x14ac:dyDescent="0.2">
      <c r="DY58370" s="185" t="s">
        <v>215</v>
      </c>
    </row>
    <row r="58371" spans="129:129" x14ac:dyDescent="0.2">
      <c r="DY58371" s="185" t="s">
        <v>215</v>
      </c>
    </row>
    <row r="58372" spans="129:129" x14ac:dyDescent="0.2">
      <c r="DY58372" s="185" t="s">
        <v>215</v>
      </c>
    </row>
    <row r="58373" spans="129:129" x14ac:dyDescent="0.2">
      <c r="DY58373" s="185" t="s">
        <v>215</v>
      </c>
    </row>
    <row r="58374" spans="129:129" x14ac:dyDescent="0.2">
      <c r="DY58374" s="185" t="s">
        <v>215</v>
      </c>
    </row>
    <row r="58375" spans="129:129" x14ac:dyDescent="0.2">
      <c r="DY58375" s="185" t="s">
        <v>215</v>
      </c>
    </row>
    <row r="58376" spans="129:129" x14ac:dyDescent="0.2">
      <c r="DY58376" s="185" t="s">
        <v>215</v>
      </c>
    </row>
    <row r="58377" spans="129:129" x14ac:dyDescent="0.2">
      <c r="DY58377" s="185" t="s">
        <v>215</v>
      </c>
    </row>
    <row r="58378" spans="129:129" x14ac:dyDescent="0.2">
      <c r="DY58378" s="185" t="s">
        <v>215</v>
      </c>
    </row>
    <row r="58379" spans="129:129" x14ac:dyDescent="0.2">
      <c r="DY58379" s="185" t="s">
        <v>215</v>
      </c>
    </row>
    <row r="58380" spans="129:129" x14ac:dyDescent="0.2">
      <c r="DY58380" s="185" t="s">
        <v>215</v>
      </c>
    </row>
    <row r="58381" spans="129:129" x14ac:dyDescent="0.2">
      <c r="DY58381" s="185" t="s">
        <v>215</v>
      </c>
    </row>
    <row r="58382" spans="129:129" x14ac:dyDescent="0.2">
      <c r="DY58382" s="185" t="s">
        <v>215</v>
      </c>
    </row>
    <row r="58383" spans="129:129" x14ac:dyDescent="0.2">
      <c r="DY58383" s="185" t="s">
        <v>215</v>
      </c>
    </row>
    <row r="58384" spans="129:129" x14ac:dyDescent="0.2">
      <c r="DY58384" s="185" t="s">
        <v>215</v>
      </c>
    </row>
    <row r="58385" spans="129:129" x14ac:dyDescent="0.2">
      <c r="DY58385" s="185" t="s">
        <v>215</v>
      </c>
    </row>
    <row r="58386" spans="129:129" x14ac:dyDescent="0.2">
      <c r="DY58386" s="185" t="s">
        <v>215</v>
      </c>
    </row>
    <row r="58387" spans="129:129" x14ac:dyDescent="0.2">
      <c r="DY58387" s="185" t="s">
        <v>215</v>
      </c>
    </row>
    <row r="58388" spans="129:129" x14ac:dyDescent="0.2">
      <c r="DY58388" s="185" t="s">
        <v>215</v>
      </c>
    </row>
    <row r="58389" spans="129:129" x14ac:dyDescent="0.2">
      <c r="DY58389" s="185" t="s">
        <v>215</v>
      </c>
    </row>
    <row r="58390" spans="129:129" x14ac:dyDescent="0.2">
      <c r="DY58390" s="185" t="s">
        <v>215</v>
      </c>
    </row>
    <row r="58391" spans="129:129" x14ac:dyDescent="0.2">
      <c r="DY58391" s="185" t="s">
        <v>215</v>
      </c>
    </row>
    <row r="58392" spans="129:129" x14ac:dyDescent="0.2">
      <c r="DY58392" s="185" t="s">
        <v>215</v>
      </c>
    </row>
    <row r="58393" spans="129:129" x14ac:dyDescent="0.2">
      <c r="DY58393" s="185" t="s">
        <v>215</v>
      </c>
    </row>
    <row r="58394" spans="129:129" x14ac:dyDescent="0.2">
      <c r="DY58394" s="185" t="s">
        <v>215</v>
      </c>
    </row>
    <row r="58395" spans="129:129" x14ac:dyDescent="0.2">
      <c r="DY58395" s="185" t="s">
        <v>215</v>
      </c>
    </row>
    <row r="58396" spans="129:129" x14ac:dyDescent="0.2">
      <c r="DY58396" s="185" t="s">
        <v>215</v>
      </c>
    </row>
    <row r="58397" spans="129:129" x14ac:dyDescent="0.2">
      <c r="DY58397" s="185" t="s">
        <v>215</v>
      </c>
    </row>
    <row r="58398" spans="129:129" x14ac:dyDescent="0.2">
      <c r="DY58398" s="185" t="s">
        <v>215</v>
      </c>
    </row>
    <row r="58399" spans="129:129" x14ac:dyDescent="0.2">
      <c r="DY58399" s="185" t="s">
        <v>215</v>
      </c>
    </row>
    <row r="58400" spans="129:129" x14ac:dyDescent="0.2">
      <c r="DY58400" s="185" t="s">
        <v>215</v>
      </c>
    </row>
    <row r="58401" spans="129:129" x14ac:dyDescent="0.2">
      <c r="DY58401" s="185" t="s">
        <v>215</v>
      </c>
    </row>
    <row r="58402" spans="129:129" x14ac:dyDescent="0.2">
      <c r="DY58402" s="185" t="s">
        <v>215</v>
      </c>
    </row>
    <row r="58403" spans="129:129" x14ac:dyDescent="0.2">
      <c r="DY58403" s="185" t="s">
        <v>215</v>
      </c>
    </row>
    <row r="58404" spans="129:129" x14ac:dyDescent="0.2">
      <c r="DY58404" s="185" t="s">
        <v>215</v>
      </c>
    </row>
    <row r="58405" spans="129:129" x14ac:dyDescent="0.2">
      <c r="DY58405" s="185" t="s">
        <v>215</v>
      </c>
    </row>
    <row r="58406" spans="129:129" x14ac:dyDescent="0.2">
      <c r="DY58406" s="185" t="s">
        <v>215</v>
      </c>
    </row>
    <row r="58407" spans="129:129" x14ac:dyDescent="0.2">
      <c r="DY58407" s="185" t="s">
        <v>215</v>
      </c>
    </row>
    <row r="58408" spans="129:129" x14ac:dyDescent="0.2">
      <c r="DY58408" s="185" t="s">
        <v>215</v>
      </c>
    </row>
    <row r="58409" spans="129:129" x14ac:dyDescent="0.2">
      <c r="DY58409" s="185" t="s">
        <v>215</v>
      </c>
    </row>
    <row r="58410" spans="129:129" x14ac:dyDescent="0.2">
      <c r="DY58410" s="185" t="s">
        <v>215</v>
      </c>
    </row>
    <row r="58411" spans="129:129" x14ac:dyDescent="0.2">
      <c r="DY58411" s="185" t="s">
        <v>215</v>
      </c>
    </row>
    <row r="58412" spans="129:129" x14ac:dyDescent="0.2">
      <c r="DY58412" s="185" t="s">
        <v>215</v>
      </c>
    </row>
    <row r="58413" spans="129:129" x14ac:dyDescent="0.2">
      <c r="DY58413" s="185" t="s">
        <v>215</v>
      </c>
    </row>
    <row r="58414" spans="129:129" x14ac:dyDescent="0.2">
      <c r="DY58414" s="185" t="s">
        <v>215</v>
      </c>
    </row>
    <row r="58415" spans="129:129" x14ac:dyDescent="0.2">
      <c r="DY58415" s="185" t="s">
        <v>215</v>
      </c>
    </row>
    <row r="58416" spans="129:129" x14ac:dyDescent="0.2">
      <c r="DY58416" s="185" t="s">
        <v>215</v>
      </c>
    </row>
    <row r="58417" spans="129:129" x14ac:dyDescent="0.2">
      <c r="DY58417" s="185" t="s">
        <v>215</v>
      </c>
    </row>
    <row r="58418" spans="129:129" x14ac:dyDescent="0.2">
      <c r="DY58418" s="185" t="s">
        <v>215</v>
      </c>
    </row>
    <row r="58419" spans="129:129" x14ac:dyDescent="0.2">
      <c r="DY58419" s="185" t="s">
        <v>215</v>
      </c>
    </row>
    <row r="58420" spans="129:129" x14ac:dyDescent="0.2">
      <c r="DY58420" s="185" t="s">
        <v>215</v>
      </c>
    </row>
    <row r="58421" spans="129:129" x14ac:dyDescent="0.2">
      <c r="DY58421" s="185" t="s">
        <v>215</v>
      </c>
    </row>
    <row r="58422" spans="129:129" x14ac:dyDescent="0.2">
      <c r="DY58422" s="185" t="s">
        <v>215</v>
      </c>
    </row>
    <row r="58423" spans="129:129" x14ac:dyDescent="0.2">
      <c r="DY58423" s="185" t="s">
        <v>215</v>
      </c>
    </row>
    <row r="58424" spans="129:129" x14ac:dyDescent="0.2">
      <c r="DY58424" s="185" t="s">
        <v>215</v>
      </c>
    </row>
    <row r="58425" spans="129:129" x14ac:dyDescent="0.2">
      <c r="DY58425" s="185" t="s">
        <v>215</v>
      </c>
    </row>
    <row r="58426" spans="129:129" x14ac:dyDescent="0.2">
      <c r="DY58426" s="185" t="s">
        <v>215</v>
      </c>
    </row>
    <row r="58427" spans="129:129" x14ac:dyDescent="0.2">
      <c r="DY58427" s="185" t="s">
        <v>215</v>
      </c>
    </row>
    <row r="58428" spans="129:129" x14ac:dyDescent="0.2">
      <c r="DY58428" s="185" t="s">
        <v>215</v>
      </c>
    </row>
    <row r="58429" spans="129:129" x14ac:dyDescent="0.2">
      <c r="DY58429" s="185" t="s">
        <v>215</v>
      </c>
    </row>
    <row r="58430" spans="129:129" x14ac:dyDescent="0.2">
      <c r="DY58430" s="185" t="s">
        <v>215</v>
      </c>
    </row>
    <row r="58431" spans="129:129" x14ac:dyDescent="0.2">
      <c r="DY58431" s="185" t="s">
        <v>215</v>
      </c>
    </row>
    <row r="58432" spans="129:129" x14ac:dyDescent="0.2">
      <c r="DY58432" s="185" t="s">
        <v>215</v>
      </c>
    </row>
    <row r="58433" spans="129:129" x14ac:dyDescent="0.2">
      <c r="DY58433" s="185" t="s">
        <v>215</v>
      </c>
    </row>
    <row r="58434" spans="129:129" x14ac:dyDescent="0.2">
      <c r="DY58434" s="185" t="s">
        <v>215</v>
      </c>
    </row>
    <row r="58435" spans="129:129" x14ac:dyDescent="0.2">
      <c r="DY58435" s="185" t="s">
        <v>215</v>
      </c>
    </row>
    <row r="58436" spans="129:129" x14ac:dyDescent="0.2">
      <c r="DY58436" s="185" t="s">
        <v>215</v>
      </c>
    </row>
    <row r="58437" spans="129:129" x14ac:dyDescent="0.2">
      <c r="DY58437" s="185" t="s">
        <v>215</v>
      </c>
    </row>
    <row r="58438" spans="129:129" x14ac:dyDescent="0.2">
      <c r="DY58438" s="185" t="s">
        <v>215</v>
      </c>
    </row>
    <row r="58439" spans="129:129" x14ac:dyDescent="0.2">
      <c r="DY58439" s="185" t="s">
        <v>215</v>
      </c>
    </row>
    <row r="58440" spans="129:129" x14ac:dyDescent="0.2">
      <c r="DY58440" s="185" t="s">
        <v>215</v>
      </c>
    </row>
    <row r="58441" spans="129:129" x14ac:dyDescent="0.2">
      <c r="DY58441" s="185" t="s">
        <v>215</v>
      </c>
    </row>
    <row r="58442" spans="129:129" x14ac:dyDescent="0.2">
      <c r="DY58442" s="185" t="s">
        <v>215</v>
      </c>
    </row>
    <row r="58443" spans="129:129" x14ac:dyDescent="0.2">
      <c r="DY58443" s="185" t="s">
        <v>215</v>
      </c>
    </row>
    <row r="58444" spans="129:129" x14ac:dyDescent="0.2">
      <c r="DY58444" s="185" t="s">
        <v>215</v>
      </c>
    </row>
    <row r="58445" spans="129:129" x14ac:dyDescent="0.2">
      <c r="DY58445" s="185" t="s">
        <v>215</v>
      </c>
    </row>
    <row r="58446" spans="129:129" x14ac:dyDescent="0.2">
      <c r="DY58446" s="185" t="s">
        <v>215</v>
      </c>
    </row>
    <row r="58447" spans="129:129" x14ac:dyDescent="0.2">
      <c r="DY58447" s="185" t="s">
        <v>215</v>
      </c>
    </row>
    <row r="58448" spans="129:129" x14ac:dyDescent="0.2">
      <c r="DY58448" s="185" t="s">
        <v>215</v>
      </c>
    </row>
    <row r="58449" spans="129:129" x14ac:dyDescent="0.2">
      <c r="DY58449" s="185" t="s">
        <v>215</v>
      </c>
    </row>
    <row r="58450" spans="129:129" x14ac:dyDescent="0.2">
      <c r="DY58450" s="185" t="s">
        <v>215</v>
      </c>
    </row>
    <row r="58451" spans="129:129" x14ac:dyDescent="0.2">
      <c r="DY58451" s="185" t="s">
        <v>215</v>
      </c>
    </row>
    <row r="58452" spans="129:129" x14ac:dyDescent="0.2">
      <c r="DY58452" s="185" t="s">
        <v>215</v>
      </c>
    </row>
    <row r="58453" spans="129:129" x14ac:dyDescent="0.2">
      <c r="DY58453" s="185" t="s">
        <v>215</v>
      </c>
    </row>
    <row r="58454" spans="129:129" x14ac:dyDescent="0.2">
      <c r="DY58454" s="185" t="s">
        <v>215</v>
      </c>
    </row>
    <row r="58455" spans="129:129" x14ac:dyDescent="0.2">
      <c r="DY58455" s="185" t="s">
        <v>215</v>
      </c>
    </row>
    <row r="58456" spans="129:129" x14ac:dyDescent="0.2">
      <c r="DY58456" s="185" t="s">
        <v>215</v>
      </c>
    </row>
    <row r="58457" spans="129:129" x14ac:dyDescent="0.2">
      <c r="DY58457" s="185" t="s">
        <v>215</v>
      </c>
    </row>
    <row r="58458" spans="129:129" x14ac:dyDescent="0.2">
      <c r="DY58458" s="185" t="s">
        <v>215</v>
      </c>
    </row>
    <row r="58459" spans="129:129" x14ac:dyDescent="0.2">
      <c r="DY58459" s="185" t="s">
        <v>215</v>
      </c>
    </row>
    <row r="58460" spans="129:129" x14ac:dyDescent="0.2">
      <c r="DY58460" s="185" t="s">
        <v>215</v>
      </c>
    </row>
    <row r="58461" spans="129:129" x14ac:dyDescent="0.2">
      <c r="DY58461" s="185" t="s">
        <v>215</v>
      </c>
    </row>
    <row r="58462" spans="129:129" x14ac:dyDescent="0.2">
      <c r="DY58462" s="185" t="s">
        <v>215</v>
      </c>
    </row>
    <row r="58463" spans="129:129" x14ac:dyDescent="0.2">
      <c r="DY58463" s="185" t="s">
        <v>215</v>
      </c>
    </row>
    <row r="58464" spans="129:129" x14ac:dyDescent="0.2">
      <c r="DY58464" s="185" t="s">
        <v>215</v>
      </c>
    </row>
    <row r="58465" spans="129:129" x14ac:dyDescent="0.2">
      <c r="DY58465" s="185" t="s">
        <v>215</v>
      </c>
    </row>
    <row r="58466" spans="129:129" x14ac:dyDescent="0.2">
      <c r="DY58466" s="185" t="s">
        <v>215</v>
      </c>
    </row>
    <row r="58467" spans="129:129" x14ac:dyDescent="0.2">
      <c r="DY58467" s="185" t="s">
        <v>215</v>
      </c>
    </row>
    <row r="58468" spans="129:129" x14ac:dyDescent="0.2">
      <c r="DY58468" s="185" t="s">
        <v>215</v>
      </c>
    </row>
    <row r="58469" spans="129:129" x14ac:dyDescent="0.2">
      <c r="DY58469" s="185" t="s">
        <v>215</v>
      </c>
    </row>
    <row r="58470" spans="129:129" x14ac:dyDescent="0.2">
      <c r="DY58470" s="185" t="s">
        <v>215</v>
      </c>
    </row>
    <row r="58471" spans="129:129" x14ac:dyDescent="0.2">
      <c r="DY58471" s="185" t="s">
        <v>215</v>
      </c>
    </row>
    <row r="58472" spans="129:129" x14ac:dyDescent="0.2">
      <c r="DY58472" s="185" t="s">
        <v>215</v>
      </c>
    </row>
    <row r="58473" spans="129:129" x14ac:dyDescent="0.2">
      <c r="DY58473" s="185" t="s">
        <v>215</v>
      </c>
    </row>
    <row r="58474" spans="129:129" x14ac:dyDescent="0.2">
      <c r="DY58474" s="185" t="s">
        <v>215</v>
      </c>
    </row>
    <row r="58475" spans="129:129" x14ac:dyDescent="0.2">
      <c r="DY58475" s="185" t="s">
        <v>215</v>
      </c>
    </row>
    <row r="58476" spans="129:129" x14ac:dyDescent="0.2">
      <c r="DY58476" s="185" t="s">
        <v>215</v>
      </c>
    </row>
    <row r="58477" spans="129:129" x14ac:dyDescent="0.2">
      <c r="DY58477" s="185" t="s">
        <v>215</v>
      </c>
    </row>
    <row r="58478" spans="129:129" x14ac:dyDescent="0.2">
      <c r="DY58478" s="185" t="s">
        <v>215</v>
      </c>
    </row>
    <row r="58479" spans="129:129" x14ac:dyDescent="0.2">
      <c r="DY58479" s="185" t="s">
        <v>215</v>
      </c>
    </row>
    <row r="58480" spans="129:129" x14ac:dyDescent="0.2">
      <c r="DY58480" s="185" t="s">
        <v>215</v>
      </c>
    </row>
    <row r="58481" spans="129:129" x14ac:dyDescent="0.2">
      <c r="DY58481" s="185" t="s">
        <v>215</v>
      </c>
    </row>
    <row r="58482" spans="129:129" x14ac:dyDescent="0.2">
      <c r="DY58482" s="185" t="s">
        <v>215</v>
      </c>
    </row>
    <row r="58483" spans="129:129" x14ac:dyDescent="0.2">
      <c r="DY58483" s="185" t="s">
        <v>215</v>
      </c>
    </row>
    <row r="58484" spans="129:129" x14ac:dyDescent="0.2">
      <c r="DY58484" s="185" t="s">
        <v>215</v>
      </c>
    </row>
    <row r="58485" spans="129:129" x14ac:dyDescent="0.2">
      <c r="DY58485" s="185" t="s">
        <v>215</v>
      </c>
    </row>
    <row r="58486" spans="129:129" x14ac:dyDescent="0.2">
      <c r="DY58486" s="185" t="s">
        <v>215</v>
      </c>
    </row>
    <row r="58487" spans="129:129" x14ac:dyDescent="0.2">
      <c r="DY58487" s="185" t="s">
        <v>215</v>
      </c>
    </row>
    <row r="58488" spans="129:129" x14ac:dyDescent="0.2">
      <c r="DY58488" s="185" t="s">
        <v>215</v>
      </c>
    </row>
    <row r="58489" spans="129:129" x14ac:dyDescent="0.2">
      <c r="DY58489" s="185" t="s">
        <v>215</v>
      </c>
    </row>
    <row r="58490" spans="129:129" x14ac:dyDescent="0.2">
      <c r="DY58490" s="185" t="s">
        <v>215</v>
      </c>
    </row>
    <row r="58491" spans="129:129" x14ac:dyDescent="0.2">
      <c r="DY58491" s="185" t="s">
        <v>215</v>
      </c>
    </row>
    <row r="58492" spans="129:129" x14ac:dyDescent="0.2">
      <c r="DY58492" s="185" t="s">
        <v>215</v>
      </c>
    </row>
    <row r="58493" spans="129:129" x14ac:dyDescent="0.2">
      <c r="DY58493" s="185" t="s">
        <v>215</v>
      </c>
    </row>
    <row r="58494" spans="129:129" x14ac:dyDescent="0.2">
      <c r="DY58494" s="185" t="s">
        <v>215</v>
      </c>
    </row>
    <row r="58495" spans="129:129" x14ac:dyDescent="0.2">
      <c r="DY58495" s="185" t="s">
        <v>215</v>
      </c>
    </row>
    <row r="58496" spans="129:129" x14ac:dyDescent="0.2">
      <c r="DY58496" s="185" t="s">
        <v>215</v>
      </c>
    </row>
    <row r="58497" spans="129:129" x14ac:dyDescent="0.2">
      <c r="DY58497" s="185" t="s">
        <v>215</v>
      </c>
    </row>
    <row r="58498" spans="129:129" x14ac:dyDescent="0.2">
      <c r="DY58498" s="185" t="s">
        <v>215</v>
      </c>
    </row>
    <row r="58499" spans="129:129" x14ac:dyDescent="0.2">
      <c r="DY58499" s="185" t="s">
        <v>215</v>
      </c>
    </row>
    <row r="58500" spans="129:129" x14ac:dyDescent="0.2">
      <c r="DY58500" s="185" t="s">
        <v>215</v>
      </c>
    </row>
    <row r="58501" spans="129:129" x14ac:dyDescent="0.2">
      <c r="DY58501" s="185" t="s">
        <v>215</v>
      </c>
    </row>
    <row r="58502" spans="129:129" x14ac:dyDescent="0.2">
      <c r="DY58502" s="185" t="s">
        <v>215</v>
      </c>
    </row>
    <row r="58503" spans="129:129" x14ac:dyDescent="0.2">
      <c r="DY58503" s="185" t="s">
        <v>215</v>
      </c>
    </row>
    <row r="58504" spans="129:129" x14ac:dyDescent="0.2">
      <c r="DY58504" s="185" t="s">
        <v>215</v>
      </c>
    </row>
    <row r="58505" spans="129:129" x14ac:dyDescent="0.2">
      <c r="DY58505" s="185" t="s">
        <v>215</v>
      </c>
    </row>
    <row r="58506" spans="129:129" x14ac:dyDescent="0.2">
      <c r="DY58506" s="185" t="s">
        <v>215</v>
      </c>
    </row>
    <row r="58507" spans="129:129" x14ac:dyDescent="0.2">
      <c r="DY58507" s="185" t="s">
        <v>215</v>
      </c>
    </row>
    <row r="58508" spans="129:129" x14ac:dyDescent="0.2">
      <c r="DY58508" s="185" t="s">
        <v>215</v>
      </c>
    </row>
    <row r="58509" spans="129:129" x14ac:dyDescent="0.2">
      <c r="DY58509" s="185" t="s">
        <v>215</v>
      </c>
    </row>
    <row r="58510" spans="129:129" x14ac:dyDescent="0.2">
      <c r="DY58510" s="185" t="s">
        <v>215</v>
      </c>
    </row>
    <row r="58511" spans="129:129" x14ac:dyDescent="0.2">
      <c r="DY58511" s="185" t="s">
        <v>215</v>
      </c>
    </row>
    <row r="58512" spans="129:129" x14ac:dyDescent="0.2">
      <c r="DY58512" s="185" t="s">
        <v>215</v>
      </c>
    </row>
    <row r="58513" spans="129:129" x14ac:dyDescent="0.2">
      <c r="DY58513" s="185" t="s">
        <v>215</v>
      </c>
    </row>
    <row r="58514" spans="129:129" x14ac:dyDescent="0.2">
      <c r="DY58514" s="185" t="s">
        <v>215</v>
      </c>
    </row>
    <row r="58515" spans="129:129" x14ac:dyDescent="0.2">
      <c r="DY58515" s="185" t="s">
        <v>215</v>
      </c>
    </row>
    <row r="58516" spans="129:129" x14ac:dyDescent="0.2">
      <c r="DY58516" s="185" t="s">
        <v>215</v>
      </c>
    </row>
    <row r="58517" spans="129:129" x14ac:dyDescent="0.2">
      <c r="DY58517" s="185" t="s">
        <v>215</v>
      </c>
    </row>
    <row r="58518" spans="129:129" x14ac:dyDescent="0.2">
      <c r="DY58518" s="185" t="s">
        <v>215</v>
      </c>
    </row>
    <row r="58519" spans="129:129" x14ac:dyDescent="0.2">
      <c r="DY58519" s="185" t="s">
        <v>215</v>
      </c>
    </row>
    <row r="58520" spans="129:129" x14ac:dyDescent="0.2">
      <c r="DY58520" s="185" t="s">
        <v>215</v>
      </c>
    </row>
    <row r="58521" spans="129:129" x14ac:dyDescent="0.2">
      <c r="DY58521" s="185" t="s">
        <v>215</v>
      </c>
    </row>
    <row r="58522" spans="129:129" x14ac:dyDescent="0.2">
      <c r="DY58522" s="185" t="s">
        <v>215</v>
      </c>
    </row>
    <row r="58523" spans="129:129" x14ac:dyDescent="0.2">
      <c r="DY58523" s="185" t="s">
        <v>215</v>
      </c>
    </row>
    <row r="58524" spans="129:129" x14ac:dyDescent="0.2">
      <c r="DY58524" s="185" t="s">
        <v>215</v>
      </c>
    </row>
    <row r="58525" spans="129:129" x14ac:dyDescent="0.2">
      <c r="DY58525" s="185" t="s">
        <v>215</v>
      </c>
    </row>
    <row r="58526" spans="129:129" x14ac:dyDescent="0.2">
      <c r="DY58526" s="185" t="s">
        <v>215</v>
      </c>
    </row>
    <row r="58527" spans="129:129" x14ac:dyDescent="0.2">
      <c r="DY58527" s="185" t="s">
        <v>215</v>
      </c>
    </row>
    <row r="58528" spans="129:129" x14ac:dyDescent="0.2">
      <c r="DY58528" s="185" t="s">
        <v>215</v>
      </c>
    </row>
    <row r="58529" spans="129:129" x14ac:dyDescent="0.2">
      <c r="DY58529" s="185" t="s">
        <v>215</v>
      </c>
    </row>
    <row r="58530" spans="129:129" x14ac:dyDescent="0.2">
      <c r="DY58530" s="185" t="s">
        <v>215</v>
      </c>
    </row>
    <row r="58531" spans="129:129" x14ac:dyDescent="0.2">
      <c r="DY58531" s="185" t="s">
        <v>215</v>
      </c>
    </row>
    <row r="58532" spans="129:129" x14ac:dyDescent="0.2">
      <c r="DY58532" s="185" t="s">
        <v>215</v>
      </c>
    </row>
    <row r="58533" spans="129:129" x14ac:dyDescent="0.2">
      <c r="DY58533" s="185" t="s">
        <v>215</v>
      </c>
    </row>
    <row r="58534" spans="129:129" x14ac:dyDescent="0.2">
      <c r="DY58534" s="185" t="s">
        <v>215</v>
      </c>
    </row>
    <row r="58535" spans="129:129" x14ac:dyDescent="0.2">
      <c r="DY58535" s="185" t="s">
        <v>215</v>
      </c>
    </row>
    <row r="58536" spans="129:129" x14ac:dyDescent="0.2">
      <c r="DY58536" s="185" t="s">
        <v>215</v>
      </c>
    </row>
    <row r="58537" spans="129:129" x14ac:dyDescent="0.2">
      <c r="DY58537" s="185" t="s">
        <v>215</v>
      </c>
    </row>
    <row r="58538" spans="129:129" x14ac:dyDescent="0.2">
      <c r="DY58538" s="185" t="s">
        <v>215</v>
      </c>
    </row>
    <row r="58539" spans="129:129" x14ac:dyDescent="0.2">
      <c r="DY58539" s="185" t="s">
        <v>215</v>
      </c>
    </row>
    <row r="58540" spans="129:129" x14ac:dyDescent="0.2">
      <c r="DY58540" s="185" t="s">
        <v>215</v>
      </c>
    </row>
    <row r="58541" spans="129:129" x14ac:dyDescent="0.2">
      <c r="DY58541" s="185" t="s">
        <v>215</v>
      </c>
    </row>
    <row r="58542" spans="129:129" x14ac:dyDescent="0.2">
      <c r="DY58542" s="185" t="s">
        <v>215</v>
      </c>
    </row>
    <row r="58543" spans="129:129" x14ac:dyDescent="0.2">
      <c r="DY58543" s="185" t="s">
        <v>215</v>
      </c>
    </row>
    <row r="58544" spans="129:129" x14ac:dyDescent="0.2">
      <c r="DY58544" s="185" t="s">
        <v>215</v>
      </c>
    </row>
    <row r="58545" spans="129:129" x14ac:dyDescent="0.2">
      <c r="DY58545" s="185" t="s">
        <v>215</v>
      </c>
    </row>
    <row r="58546" spans="129:129" x14ac:dyDescent="0.2">
      <c r="DY58546" s="185" t="s">
        <v>215</v>
      </c>
    </row>
    <row r="58547" spans="129:129" x14ac:dyDescent="0.2">
      <c r="DY58547" s="185" t="s">
        <v>215</v>
      </c>
    </row>
    <row r="58548" spans="129:129" x14ac:dyDescent="0.2">
      <c r="DY58548" s="185" t="s">
        <v>215</v>
      </c>
    </row>
    <row r="58549" spans="129:129" x14ac:dyDescent="0.2">
      <c r="DY58549" s="185" t="s">
        <v>215</v>
      </c>
    </row>
    <row r="58550" spans="129:129" x14ac:dyDescent="0.2">
      <c r="DY58550" s="185" t="s">
        <v>215</v>
      </c>
    </row>
    <row r="58551" spans="129:129" x14ac:dyDescent="0.2">
      <c r="DY58551" s="185" t="s">
        <v>215</v>
      </c>
    </row>
    <row r="58552" spans="129:129" x14ac:dyDescent="0.2">
      <c r="DY58552" s="185" t="s">
        <v>215</v>
      </c>
    </row>
    <row r="58553" spans="129:129" x14ac:dyDescent="0.2">
      <c r="DY58553" s="185" t="s">
        <v>215</v>
      </c>
    </row>
    <row r="58554" spans="129:129" x14ac:dyDescent="0.2">
      <c r="DY58554" s="185" t="s">
        <v>215</v>
      </c>
    </row>
    <row r="58555" spans="129:129" x14ac:dyDescent="0.2">
      <c r="DY58555" s="185" t="s">
        <v>215</v>
      </c>
    </row>
    <row r="58556" spans="129:129" x14ac:dyDescent="0.2">
      <c r="DY58556" s="185" t="s">
        <v>215</v>
      </c>
    </row>
    <row r="58557" spans="129:129" x14ac:dyDescent="0.2">
      <c r="DY58557" s="185" t="s">
        <v>215</v>
      </c>
    </row>
    <row r="58558" spans="129:129" x14ac:dyDescent="0.2">
      <c r="DY58558" s="185" t="s">
        <v>215</v>
      </c>
    </row>
    <row r="58559" spans="129:129" x14ac:dyDescent="0.2">
      <c r="DY58559" s="185" t="s">
        <v>215</v>
      </c>
    </row>
    <row r="58560" spans="129:129" x14ac:dyDescent="0.2">
      <c r="DY58560" s="185" t="s">
        <v>215</v>
      </c>
    </row>
    <row r="58561" spans="129:129" x14ac:dyDescent="0.2">
      <c r="DY58561" s="185" t="s">
        <v>215</v>
      </c>
    </row>
    <row r="58562" spans="129:129" x14ac:dyDescent="0.2">
      <c r="DY58562" s="185" t="s">
        <v>215</v>
      </c>
    </row>
    <row r="58563" spans="129:129" x14ac:dyDescent="0.2">
      <c r="DY58563" s="185" t="s">
        <v>215</v>
      </c>
    </row>
    <row r="58564" spans="129:129" x14ac:dyDescent="0.2">
      <c r="DY58564" s="185" t="s">
        <v>215</v>
      </c>
    </row>
    <row r="58565" spans="129:129" x14ac:dyDescent="0.2">
      <c r="DY58565" s="185" t="s">
        <v>215</v>
      </c>
    </row>
    <row r="58566" spans="129:129" x14ac:dyDescent="0.2">
      <c r="DY58566" s="185" t="s">
        <v>215</v>
      </c>
    </row>
    <row r="58567" spans="129:129" x14ac:dyDescent="0.2">
      <c r="DY58567" s="185" t="s">
        <v>215</v>
      </c>
    </row>
    <row r="58568" spans="129:129" x14ac:dyDescent="0.2">
      <c r="DY58568" s="185" t="s">
        <v>215</v>
      </c>
    </row>
    <row r="58569" spans="129:129" x14ac:dyDescent="0.2">
      <c r="DY58569" s="185" t="s">
        <v>215</v>
      </c>
    </row>
    <row r="58570" spans="129:129" x14ac:dyDescent="0.2">
      <c r="DY58570" s="185" t="s">
        <v>215</v>
      </c>
    </row>
    <row r="58571" spans="129:129" x14ac:dyDescent="0.2">
      <c r="DY58571" s="185" t="s">
        <v>215</v>
      </c>
    </row>
    <row r="58572" spans="129:129" x14ac:dyDescent="0.2">
      <c r="DY58572" s="185" t="s">
        <v>215</v>
      </c>
    </row>
    <row r="58573" spans="129:129" x14ac:dyDescent="0.2">
      <c r="DY58573" s="185" t="s">
        <v>215</v>
      </c>
    </row>
    <row r="58574" spans="129:129" x14ac:dyDescent="0.2">
      <c r="DY58574" s="185" t="s">
        <v>215</v>
      </c>
    </row>
    <row r="58575" spans="129:129" x14ac:dyDescent="0.2">
      <c r="DY58575" s="185" t="s">
        <v>215</v>
      </c>
    </row>
    <row r="58576" spans="129:129" x14ac:dyDescent="0.2">
      <c r="DY58576" s="185" t="s">
        <v>215</v>
      </c>
    </row>
    <row r="58577" spans="129:129" x14ac:dyDescent="0.2">
      <c r="DY58577" s="185" t="s">
        <v>215</v>
      </c>
    </row>
    <row r="58578" spans="129:129" x14ac:dyDescent="0.2">
      <c r="DY58578" s="185" t="s">
        <v>215</v>
      </c>
    </row>
    <row r="58579" spans="129:129" x14ac:dyDescent="0.2">
      <c r="DY58579" s="185" t="s">
        <v>215</v>
      </c>
    </row>
    <row r="58580" spans="129:129" x14ac:dyDescent="0.2">
      <c r="DY58580" s="185" t="s">
        <v>215</v>
      </c>
    </row>
    <row r="58581" spans="129:129" x14ac:dyDescent="0.2">
      <c r="DY58581" s="185" t="s">
        <v>215</v>
      </c>
    </row>
    <row r="58582" spans="129:129" x14ac:dyDescent="0.2">
      <c r="DY58582" s="185" t="s">
        <v>215</v>
      </c>
    </row>
    <row r="58583" spans="129:129" x14ac:dyDescent="0.2">
      <c r="DY58583" s="185" t="s">
        <v>215</v>
      </c>
    </row>
    <row r="58584" spans="129:129" x14ac:dyDescent="0.2">
      <c r="DY58584" s="185" t="s">
        <v>215</v>
      </c>
    </row>
    <row r="58585" spans="129:129" x14ac:dyDescent="0.2">
      <c r="DY58585" s="185" t="s">
        <v>215</v>
      </c>
    </row>
    <row r="58586" spans="129:129" x14ac:dyDescent="0.2">
      <c r="DY58586" s="185" t="s">
        <v>215</v>
      </c>
    </row>
    <row r="58587" spans="129:129" x14ac:dyDescent="0.2">
      <c r="DY58587" s="185" t="s">
        <v>215</v>
      </c>
    </row>
    <row r="58588" spans="129:129" x14ac:dyDescent="0.2">
      <c r="DY58588" s="185" t="s">
        <v>215</v>
      </c>
    </row>
    <row r="58589" spans="129:129" x14ac:dyDescent="0.2">
      <c r="DY58589" s="185" t="s">
        <v>215</v>
      </c>
    </row>
    <row r="58590" spans="129:129" x14ac:dyDescent="0.2">
      <c r="DY58590" s="185" t="s">
        <v>215</v>
      </c>
    </row>
    <row r="58591" spans="129:129" x14ac:dyDescent="0.2">
      <c r="DY58591" s="185" t="s">
        <v>215</v>
      </c>
    </row>
    <row r="58592" spans="129:129" x14ac:dyDescent="0.2">
      <c r="DY58592" s="185" t="s">
        <v>215</v>
      </c>
    </row>
    <row r="58593" spans="129:129" x14ac:dyDescent="0.2">
      <c r="DY58593" s="185" t="s">
        <v>215</v>
      </c>
    </row>
    <row r="58594" spans="129:129" x14ac:dyDescent="0.2">
      <c r="DY58594" s="185" t="s">
        <v>215</v>
      </c>
    </row>
    <row r="58595" spans="129:129" x14ac:dyDescent="0.2">
      <c r="DY58595" s="185" t="s">
        <v>215</v>
      </c>
    </row>
    <row r="58596" spans="129:129" x14ac:dyDescent="0.2">
      <c r="DY58596" s="185" t="s">
        <v>215</v>
      </c>
    </row>
    <row r="58597" spans="129:129" x14ac:dyDescent="0.2">
      <c r="DY58597" s="185" t="s">
        <v>215</v>
      </c>
    </row>
    <row r="58598" spans="129:129" x14ac:dyDescent="0.2">
      <c r="DY58598" s="185" t="s">
        <v>215</v>
      </c>
    </row>
    <row r="58599" spans="129:129" x14ac:dyDescent="0.2">
      <c r="DY58599" s="185" t="s">
        <v>215</v>
      </c>
    </row>
    <row r="58600" spans="129:129" x14ac:dyDescent="0.2">
      <c r="DY58600" s="185" t="s">
        <v>215</v>
      </c>
    </row>
    <row r="58601" spans="129:129" x14ac:dyDescent="0.2">
      <c r="DY58601" s="185" t="s">
        <v>215</v>
      </c>
    </row>
    <row r="58602" spans="129:129" x14ac:dyDescent="0.2">
      <c r="DY58602" s="185" t="s">
        <v>215</v>
      </c>
    </row>
    <row r="58603" spans="129:129" x14ac:dyDescent="0.2">
      <c r="DY58603" s="185" t="s">
        <v>215</v>
      </c>
    </row>
    <row r="58604" spans="129:129" x14ac:dyDescent="0.2">
      <c r="DY58604" s="185" t="s">
        <v>215</v>
      </c>
    </row>
    <row r="58605" spans="129:129" x14ac:dyDescent="0.2">
      <c r="DY58605" s="185" t="s">
        <v>215</v>
      </c>
    </row>
    <row r="58606" spans="129:129" x14ac:dyDescent="0.2">
      <c r="DY58606" s="185" t="s">
        <v>215</v>
      </c>
    </row>
    <row r="58607" spans="129:129" x14ac:dyDescent="0.2">
      <c r="DY58607" s="185" t="s">
        <v>215</v>
      </c>
    </row>
    <row r="58608" spans="129:129" x14ac:dyDescent="0.2">
      <c r="DY58608" s="185" t="s">
        <v>215</v>
      </c>
    </row>
    <row r="58609" spans="129:129" x14ac:dyDescent="0.2">
      <c r="DY58609" s="185" t="s">
        <v>215</v>
      </c>
    </row>
    <row r="58610" spans="129:129" x14ac:dyDescent="0.2">
      <c r="DY58610" s="185" t="s">
        <v>215</v>
      </c>
    </row>
    <row r="58611" spans="129:129" x14ac:dyDescent="0.2">
      <c r="DY58611" s="185" t="s">
        <v>215</v>
      </c>
    </row>
    <row r="58612" spans="129:129" x14ac:dyDescent="0.2">
      <c r="DY58612" s="185" t="s">
        <v>215</v>
      </c>
    </row>
    <row r="58613" spans="129:129" x14ac:dyDescent="0.2">
      <c r="DY58613" s="185" t="s">
        <v>215</v>
      </c>
    </row>
    <row r="58614" spans="129:129" x14ac:dyDescent="0.2">
      <c r="DY58614" s="185" t="s">
        <v>215</v>
      </c>
    </row>
    <row r="58615" spans="129:129" x14ac:dyDescent="0.2">
      <c r="DY58615" s="185" t="s">
        <v>215</v>
      </c>
    </row>
    <row r="58616" spans="129:129" x14ac:dyDescent="0.2">
      <c r="DY58616" s="185" t="s">
        <v>215</v>
      </c>
    </row>
    <row r="58617" spans="129:129" x14ac:dyDescent="0.2">
      <c r="DY58617" s="185" t="s">
        <v>215</v>
      </c>
    </row>
    <row r="58618" spans="129:129" x14ac:dyDescent="0.2">
      <c r="DY58618" s="185" t="s">
        <v>215</v>
      </c>
    </row>
    <row r="58619" spans="129:129" x14ac:dyDescent="0.2">
      <c r="DY58619" s="185" t="s">
        <v>215</v>
      </c>
    </row>
    <row r="58620" spans="129:129" x14ac:dyDescent="0.2">
      <c r="DY58620" s="185" t="s">
        <v>215</v>
      </c>
    </row>
    <row r="58621" spans="129:129" x14ac:dyDescent="0.2">
      <c r="DY58621" s="185" t="s">
        <v>215</v>
      </c>
    </row>
    <row r="58622" spans="129:129" x14ac:dyDescent="0.2">
      <c r="DY58622" s="185" t="s">
        <v>215</v>
      </c>
    </row>
    <row r="58623" spans="129:129" x14ac:dyDescent="0.2">
      <c r="DY58623" s="185" t="s">
        <v>215</v>
      </c>
    </row>
    <row r="58624" spans="129:129" x14ac:dyDescent="0.2">
      <c r="DY58624" s="185" t="s">
        <v>215</v>
      </c>
    </row>
    <row r="58625" spans="129:129" x14ac:dyDescent="0.2">
      <c r="DY58625" s="185" t="s">
        <v>215</v>
      </c>
    </row>
    <row r="58626" spans="129:129" x14ac:dyDescent="0.2">
      <c r="DY58626" s="185" t="s">
        <v>215</v>
      </c>
    </row>
    <row r="58627" spans="129:129" x14ac:dyDescent="0.2">
      <c r="DY58627" s="185" t="s">
        <v>215</v>
      </c>
    </row>
    <row r="58628" spans="129:129" x14ac:dyDescent="0.2">
      <c r="DY58628" s="185" t="s">
        <v>215</v>
      </c>
    </row>
    <row r="58629" spans="129:129" x14ac:dyDescent="0.2">
      <c r="DY58629" s="185" t="s">
        <v>215</v>
      </c>
    </row>
    <row r="58630" spans="129:129" x14ac:dyDescent="0.2">
      <c r="DY58630" s="185" t="s">
        <v>215</v>
      </c>
    </row>
    <row r="58631" spans="129:129" x14ac:dyDescent="0.2">
      <c r="DY58631" s="185" t="s">
        <v>215</v>
      </c>
    </row>
    <row r="58632" spans="129:129" x14ac:dyDescent="0.2">
      <c r="DY58632" s="185" t="s">
        <v>215</v>
      </c>
    </row>
    <row r="58633" spans="129:129" x14ac:dyDescent="0.2">
      <c r="DY58633" s="185" t="s">
        <v>215</v>
      </c>
    </row>
    <row r="58634" spans="129:129" x14ac:dyDescent="0.2">
      <c r="DY58634" s="185" t="s">
        <v>215</v>
      </c>
    </row>
    <row r="58635" spans="129:129" x14ac:dyDescent="0.2">
      <c r="DY58635" s="185" t="s">
        <v>215</v>
      </c>
    </row>
    <row r="58636" spans="129:129" x14ac:dyDescent="0.2">
      <c r="DY58636" s="185" t="s">
        <v>215</v>
      </c>
    </row>
    <row r="58637" spans="129:129" x14ac:dyDescent="0.2">
      <c r="DY58637" s="185" t="s">
        <v>215</v>
      </c>
    </row>
    <row r="58638" spans="129:129" x14ac:dyDescent="0.2">
      <c r="DY58638" s="185" t="s">
        <v>215</v>
      </c>
    </row>
    <row r="58639" spans="129:129" x14ac:dyDescent="0.2">
      <c r="DY58639" s="185" t="s">
        <v>215</v>
      </c>
    </row>
    <row r="58640" spans="129:129" x14ac:dyDescent="0.2">
      <c r="DY58640" s="185" t="s">
        <v>215</v>
      </c>
    </row>
    <row r="58641" spans="129:129" x14ac:dyDescent="0.2">
      <c r="DY58641" s="185" t="s">
        <v>215</v>
      </c>
    </row>
    <row r="58642" spans="129:129" x14ac:dyDescent="0.2">
      <c r="DY58642" s="185" t="s">
        <v>215</v>
      </c>
    </row>
    <row r="58643" spans="129:129" x14ac:dyDescent="0.2">
      <c r="DY58643" s="185" t="s">
        <v>215</v>
      </c>
    </row>
    <row r="58644" spans="129:129" x14ac:dyDescent="0.2">
      <c r="DY58644" s="185" t="s">
        <v>215</v>
      </c>
    </row>
    <row r="58645" spans="129:129" x14ac:dyDescent="0.2">
      <c r="DY58645" s="185" t="s">
        <v>215</v>
      </c>
    </row>
    <row r="58646" spans="129:129" x14ac:dyDescent="0.2">
      <c r="DY58646" s="185" t="s">
        <v>215</v>
      </c>
    </row>
    <row r="58647" spans="129:129" x14ac:dyDescent="0.2">
      <c r="DY58647" s="185" t="s">
        <v>215</v>
      </c>
    </row>
    <row r="58648" spans="129:129" x14ac:dyDescent="0.2">
      <c r="DY58648" s="185" t="s">
        <v>215</v>
      </c>
    </row>
    <row r="58649" spans="129:129" x14ac:dyDescent="0.2">
      <c r="DY58649" s="185" t="s">
        <v>215</v>
      </c>
    </row>
    <row r="58650" spans="129:129" x14ac:dyDescent="0.2">
      <c r="DY58650" s="185" t="s">
        <v>215</v>
      </c>
    </row>
    <row r="58651" spans="129:129" x14ac:dyDescent="0.2">
      <c r="DY58651" s="185" t="s">
        <v>215</v>
      </c>
    </row>
    <row r="58652" spans="129:129" x14ac:dyDescent="0.2">
      <c r="DY58652" s="185" t="s">
        <v>215</v>
      </c>
    </row>
    <row r="58653" spans="129:129" x14ac:dyDescent="0.2">
      <c r="DY58653" s="185" t="s">
        <v>215</v>
      </c>
    </row>
    <row r="58654" spans="129:129" x14ac:dyDescent="0.2">
      <c r="DY58654" s="185" t="s">
        <v>215</v>
      </c>
    </row>
    <row r="58655" spans="129:129" x14ac:dyDescent="0.2">
      <c r="DY58655" s="185" t="s">
        <v>215</v>
      </c>
    </row>
    <row r="58656" spans="129:129" x14ac:dyDescent="0.2">
      <c r="DY58656" s="185" t="s">
        <v>215</v>
      </c>
    </row>
    <row r="58657" spans="129:129" x14ac:dyDescent="0.2">
      <c r="DY58657" s="185" t="s">
        <v>215</v>
      </c>
    </row>
    <row r="58658" spans="129:129" x14ac:dyDescent="0.2">
      <c r="DY58658" s="185" t="s">
        <v>215</v>
      </c>
    </row>
    <row r="58659" spans="129:129" x14ac:dyDescent="0.2">
      <c r="DY58659" s="185" t="s">
        <v>215</v>
      </c>
    </row>
    <row r="58660" spans="129:129" x14ac:dyDescent="0.2">
      <c r="DY58660" s="185" t="s">
        <v>215</v>
      </c>
    </row>
    <row r="58661" spans="129:129" x14ac:dyDescent="0.2">
      <c r="DY58661" s="185" t="s">
        <v>215</v>
      </c>
    </row>
    <row r="58662" spans="129:129" x14ac:dyDescent="0.2">
      <c r="DY58662" s="185" t="s">
        <v>215</v>
      </c>
    </row>
    <row r="58663" spans="129:129" x14ac:dyDescent="0.2">
      <c r="DY58663" s="185" t="s">
        <v>215</v>
      </c>
    </row>
    <row r="58664" spans="129:129" x14ac:dyDescent="0.2">
      <c r="DY58664" s="185" t="s">
        <v>215</v>
      </c>
    </row>
    <row r="58665" spans="129:129" x14ac:dyDescent="0.2">
      <c r="DY58665" s="185" t="s">
        <v>215</v>
      </c>
    </row>
    <row r="58666" spans="129:129" x14ac:dyDescent="0.2">
      <c r="DY58666" s="185" t="s">
        <v>215</v>
      </c>
    </row>
    <row r="58667" spans="129:129" x14ac:dyDescent="0.2">
      <c r="DY58667" s="185" t="s">
        <v>215</v>
      </c>
    </row>
    <row r="58668" spans="129:129" x14ac:dyDescent="0.2">
      <c r="DY58668" s="185" t="s">
        <v>215</v>
      </c>
    </row>
    <row r="58669" spans="129:129" x14ac:dyDescent="0.2">
      <c r="DY58669" s="185" t="s">
        <v>215</v>
      </c>
    </row>
    <row r="58670" spans="129:129" x14ac:dyDescent="0.2">
      <c r="DY58670" s="185" t="s">
        <v>215</v>
      </c>
    </row>
    <row r="58671" spans="129:129" x14ac:dyDescent="0.2">
      <c r="DY58671" s="185" t="s">
        <v>215</v>
      </c>
    </row>
    <row r="58672" spans="129:129" x14ac:dyDescent="0.2">
      <c r="DY58672" s="185" t="s">
        <v>215</v>
      </c>
    </row>
    <row r="58673" spans="129:129" x14ac:dyDescent="0.2">
      <c r="DY58673" s="185" t="s">
        <v>215</v>
      </c>
    </row>
    <row r="58674" spans="129:129" x14ac:dyDescent="0.2">
      <c r="DY58674" s="185" t="s">
        <v>215</v>
      </c>
    </row>
    <row r="58675" spans="129:129" x14ac:dyDescent="0.2">
      <c r="DY58675" s="185" t="s">
        <v>215</v>
      </c>
    </row>
    <row r="58676" spans="129:129" x14ac:dyDescent="0.2">
      <c r="DY58676" s="185" t="s">
        <v>215</v>
      </c>
    </row>
    <row r="58677" spans="129:129" x14ac:dyDescent="0.2">
      <c r="DY58677" s="185" t="s">
        <v>215</v>
      </c>
    </row>
    <row r="58678" spans="129:129" x14ac:dyDescent="0.2">
      <c r="DY58678" s="185" t="s">
        <v>215</v>
      </c>
    </row>
    <row r="58679" spans="129:129" x14ac:dyDescent="0.2">
      <c r="DY58679" s="185" t="s">
        <v>215</v>
      </c>
    </row>
    <row r="58680" spans="129:129" x14ac:dyDescent="0.2">
      <c r="DY58680" s="185" t="s">
        <v>215</v>
      </c>
    </row>
    <row r="58681" spans="129:129" x14ac:dyDescent="0.2">
      <c r="DY58681" s="185" t="s">
        <v>215</v>
      </c>
    </row>
    <row r="58682" spans="129:129" x14ac:dyDescent="0.2">
      <c r="DY58682" s="185" t="s">
        <v>215</v>
      </c>
    </row>
    <row r="58683" spans="129:129" x14ac:dyDescent="0.2">
      <c r="DY58683" s="185" t="s">
        <v>215</v>
      </c>
    </row>
    <row r="58684" spans="129:129" x14ac:dyDescent="0.2">
      <c r="DY58684" s="185" t="s">
        <v>215</v>
      </c>
    </row>
    <row r="58685" spans="129:129" x14ac:dyDescent="0.2">
      <c r="DY58685" s="185" t="s">
        <v>215</v>
      </c>
    </row>
    <row r="58686" spans="129:129" x14ac:dyDescent="0.2">
      <c r="DY58686" s="185" t="s">
        <v>215</v>
      </c>
    </row>
    <row r="58687" spans="129:129" x14ac:dyDescent="0.2">
      <c r="DY58687" s="185" t="s">
        <v>215</v>
      </c>
    </row>
    <row r="58688" spans="129:129" x14ac:dyDescent="0.2">
      <c r="DY58688" s="185" t="s">
        <v>215</v>
      </c>
    </row>
    <row r="58689" spans="129:129" x14ac:dyDescent="0.2">
      <c r="DY58689" s="185" t="s">
        <v>215</v>
      </c>
    </row>
    <row r="58690" spans="129:129" x14ac:dyDescent="0.2">
      <c r="DY58690" s="185" t="s">
        <v>215</v>
      </c>
    </row>
    <row r="58691" spans="129:129" x14ac:dyDescent="0.2">
      <c r="DY58691" s="185" t="s">
        <v>215</v>
      </c>
    </row>
    <row r="58692" spans="129:129" x14ac:dyDescent="0.2">
      <c r="DY58692" s="185" t="s">
        <v>215</v>
      </c>
    </row>
    <row r="58693" spans="129:129" x14ac:dyDescent="0.2">
      <c r="DY58693" s="185" t="s">
        <v>215</v>
      </c>
    </row>
    <row r="58694" spans="129:129" x14ac:dyDescent="0.2">
      <c r="DY58694" s="185" t="s">
        <v>215</v>
      </c>
    </row>
    <row r="58695" spans="129:129" x14ac:dyDescent="0.2">
      <c r="DY58695" s="185" t="s">
        <v>215</v>
      </c>
    </row>
    <row r="58696" spans="129:129" x14ac:dyDescent="0.2">
      <c r="DY58696" s="185" t="s">
        <v>215</v>
      </c>
    </row>
    <row r="58697" spans="129:129" x14ac:dyDescent="0.2">
      <c r="DY58697" s="185" t="s">
        <v>215</v>
      </c>
    </row>
    <row r="58698" spans="129:129" x14ac:dyDescent="0.2">
      <c r="DY58698" s="185" t="s">
        <v>215</v>
      </c>
    </row>
    <row r="58699" spans="129:129" x14ac:dyDescent="0.2">
      <c r="DY58699" s="185" t="s">
        <v>215</v>
      </c>
    </row>
    <row r="58700" spans="129:129" x14ac:dyDescent="0.2">
      <c r="DY58700" s="185" t="s">
        <v>215</v>
      </c>
    </row>
    <row r="58701" spans="129:129" x14ac:dyDescent="0.2">
      <c r="DY58701" s="185" t="s">
        <v>215</v>
      </c>
    </row>
    <row r="58702" spans="129:129" x14ac:dyDescent="0.2">
      <c r="DY58702" s="185" t="s">
        <v>215</v>
      </c>
    </row>
    <row r="58703" spans="129:129" x14ac:dyDescent="0.2">
      <c r="DY58703" s="185" t="s">
        <v>215</v>
      </c>
    </row>
    <row r="58704" spans="129:129" x14ac:dyDescent="0.2">
      <c r="DY58704" s="185" t="s">
        <v>215</v>
      </c>
    </row>
    <row r="58705" spans="129:129" x14ac:dyDescent="0.2">
      <c r="DY58705" s="185" t="s">
        <v>215</v>
      </c>
    </row>
    <row r="58706" spans="129:129" x14ac:dyDescent="0.2">
      <c r="DY58706" s="185" t="s">
        <v>215</v>
      </c>
    </row>
    <row r="58707" spans="129:129" x14ac:dyDescent="0.2">
      <c r="DY58707" s="185" t="s">
        <v>215</v>
      </c>
    </row>
    <row r="58708" spans="129:129" x14ac:dyDescent="0.2">
      <c r="DY58708" s="185" t="s">
        <v>215</v>
      </c>
    </row>
    <row r="58709" spans="129:129" x14ac:dyDescent="0.2">
      <c r="DY58709" s="185" t="s">
        <v>215</v>
      </c>
    </row>
    <row r="58710" spans="129:129" x14ac:dyDescent="0.2">
      <c r="DY58710" s="185" t="s">
        <v>215</v>
      </c>
    </row>
    <row r="58711" spans="129:129" x14ac:dyDescent="0.2">
      <c r="DY58711" s="185" t="s">
        <v>215</v>
      </c>
    </row>
    <row r="58712" spans="129:129" x14ac:dyDescent="0.2">
      <c r="DY58712" s="185" t="s">
        <v>215</v>
      </c>
    </row>
    <row r="58713" spans="129:129" x14ac:dyDescent="0.2">
      <c r="DY58713" s="185" t="s">
        <v>215</v>
      </c>
    </row>
    <row r="58714" spans="129:129" x14ac:dyDescent="0.2">
      <c r="DY58714" s="185" t="s">
        <v>215</v>
      </c>
    </row>
    <row r="58715" spans="129:129" x14ac:dyDescent="0.2">
      <c r="DY58715" s="185" t="s">
        <v>215</v>
      </c>
    </row>
    <row r="58716" spans="129:129" x14ac:dyDescent="0.2">
      <c r="DY58716" s="185" t="s">
        <v>215</v>
      </c>
    </row>
    <row r="58717" spans="129:129" x14ac:dyDescent="0.2">
      <c r="DY58717" s="185" t="s">
        <v>215</v>
      </c>
    </row>
    <row r="58718" spans="129:129" x14ac:dyDescent="0.2">
      <c r="DY58718" s="185" t="s">
        <v>215</v>
      </c>
    </row>
    <row r="58719" spans="129:129" x14ac:dyDescent="0.2">
      <c r="DY58719" s="185" t="s">
        <v>215</v>
      </c>
    </row>
    <row r="58720" spans="129:129" x14ac:dyDescent="0.2">
      <c r="DY58720" s="185" t="s">
        <v>215</v>
      </c>
    </row>
    <row r="58721" spans="129:129" x14ac:dyDescent="0.2">
      <c r="DY58721" s="185" t="s">
        <v>215</v>
      </c>
    </row>
    <row r="58722" spans="129:129" x14ac:dyDescent="0.2">
      <c r="DY58722" s="185" t="s">
        <v>215</v>
      </c>
    </row>
    <row r="58723" spans="129:129" x14ac:dyDescent="0.2">
      <c r="DY58723" s="185" t="s">
        <v>215</v>
      </c>
    </row>
    <row r="58724" spans="129:129" x14ac:dyDescent="0.2">
      <c r="DY58724" s="185" t="s">
        <v>215</v>
      </c>
    </row>
    <row r="58725" spans="129:129" x14ac:dyDescent="0.2">
      <c r="DY58725" s="185" t="s">
        <v>215</v>
      </c>
    </row>
    <row r="58726" spans="129:129" x14ac:dyDescent="0.2">
      <c r="DY58726" s="185" t="s">
        <v>215</v>
      </c>
    </row>
    <row r="58727" spans="129:129" x14ac:dyDescent="0.2">
      <c r="DY58727" s="185" t="s">
        <v>215</v>
      </c>
    </row>
    <row r="58728" spans="129:129" x14ac:dyDescent="0.2">
      <c r="DY58728" s="185" t="s">
        <v>215</v>
      </c>
    </row>
    <row r="58729" spans="129:129" x14ac:dyDescent="0.2">
      <c r="DY58729" s="185" t="s">
        <v>215</v>
      </c>
    </row>
    <row r="58730" spans="129:129" x14ac:dyDescent="0.2">
      <c r="DY58730" s="185" t="s">
        <v>215</v>
      </c>
    </row>
    <row r="58731" spans="129:129" x14ac:dyDescent="0.2">
      <c r="DY58731" s="185" t="s">
        <v>215</v>
      </c>
    </row>
    <row r="58732" spans="129:129" x14ac:dyDescent="0.2">
      <c r="DY58732" s="185" t="s">
        <v>215</v>
      </c>
    </row>
    <row r="58733" spans="129:129" x14ac:dyDescent="0.2">
      <c r="DY58733" s="185" t="s">
        <v>215</v>
      </c>
    </row>
    <row r="58734" spans="129:129" x14ac:dyDescent="0.2">
      <c r="DY58734" s="185" t="s">
        <v>215</v>
      </c>
    </row>
    <row r="58735" spans="129:129" x14ac:dyDescent="0.2">
      <c r="DY58735" s="185" t="s">
        <v>215</v>
      </c>
    </row>
    <row r="58736" spans="129:129" x14ac:dyDescent="0.2">
      <c r="DY58736" s="185" t="s">
        <v>215</v>
      </c>
    </row>
    <row r="58737" spans="129:129" x14ac:dyDescent="0.2">
      <c r="DY58737" s="185" t="s">
        <v>215</v>
      </c>
    </row>
    <row r="58738" spans="129:129" x14ac:dyDescent="0.2">
      <c r="DY58738" s="185" t="s">
        <v>215</v>
      </c>
    </row>
    <row r="58739" spans="129:129" x14ac:dyDescent="0.2">
      <c r="DY58739" s="185" t="s">
        <v>215</v>
      </c>
    </row>
    <row r="58740" spans="129:129" x14ac:dyDescent="0.2">
      <c r="DY58740" s="185" t="s">
        <v>215</v>
      </c>
    </row>
    <row r="58741" spans="129:129" x14ac:dyDescent="0.2">
      <c r="DY58741" s="185" t="s">
        <v>215</v>
      </c>
    </row>
    <row r="58742" spans="129:129" x14ac:dyDescent="0.2">
      <c r="DY58742" s="185" t="s">
        <v>215</v>
      </c>
    </row>
    <row r="58743" spans="129:129" x14ac:dyDescent="0.2">
      <c r="DY58743" s="185" t="s">
        <v>215</v>
      </c>
    </row>
    <row r="58744" spans="129:129" x14ac:dyDescent="0.2">
      <c r="DY58744" s="185" t="s">
        <v>215</v>
      </c>
    </row>
    <row r="58745" spans="129:129" x14ac:dyDescent="0.2">
      <c r="DY58745" s="185" t="s">
        <v>215</v>
      </c>
    </row>
    <row r="58746" spans="129:129" x14ac:dyDescent="0.2">
      <c r="DY58746" s="185" t="s">
        <v>215</v>
      </c>
    </row>
    <row r="58747" spans="129:129" x14ac:dyDescent="0.2">
      <c r="DY58747" s="185" t="s">
        <v>215</v>
      </c>
    </row>
    <row r="58748" spans="129:129" x14ac:dyDescent="0.2">
      <c r="DY58748" s="185" t="s">
        <v>215</v>
      </c>
    </row>
    <row r="58749" spans="129:129" x14ac:dyDescent="0.2">
      <c r="DY58749" s="185" t="s">
        <v>215</v>
      </c>
    </row>
    <row r="58750" spans="129:129" x14ac:dyDescent="0.2">
      <c r="DY58750" s="185" t="s">
        <v>215</v>
      </c>
    </row>
    <row r="58751" spans="129:129" x14ac:dyDescent="0.2">
      <c r="DY58751" s="185" t="s">
        <v>215</v>
      </c>
    </row>
    <row r="58752" spans="129:129" x14ac:dyDescent="0.2">
      <c r="DY58752" s="185" t="s">
        <v>215</v>
      </c>
    </row>
    <row r="58753" spans="129:129" x14ac:dyDescent="0.2">
      <c r="DY58753" s="185" t="s">
        <v>215</v>
      </c>
    </row>
    <row r="58754" spans="129:129" x14ac:dyDescent="0.2">
      <c r="DY58754" s="185" t="s">
        <v>215</v>
      </c>
    </row>
    <row r="58755" spans="129:129" x14ac:dyDescent="0.2">
      <c r="DY58755" s="185" t="s">
        <v>215</v>
      </c>
    </row>
    <row r="58756" spans="129:129" x14ac:dyDescent="0.2">
      <c r="DY58756" s="185" t="s">
        <v>215</v>
      </c>
    </row>
    <row r="58757" spans="129:129" x14ac:dyDescent="0.2">
      <c r="DY58757" s="185" t="s">
        <v>215</v>
      </c>
    </row>
    <row r="58758" spans="129:129" x14ac:dyDescent="0.2">
      <c r="DY58758" s="185" t="s">
        <v>215</v>
      </c>
    </row>
    <row r="58759" spans="129:129" x14ac:dyDescent="0.2">
      <c r="DY58759" s="185" t="s">
        <v>215</v>
      </c>
    </row>
    <row r="58760" spans="129:129" x14ac:dyDescent="0.2">
      <c r="DY58760" s="185" t="s">
        <v>215</v>
      </c>
    </row>
    <row r="58761" spans="129:129" x14ac:dyDescent="0.2">
      <c r="DY58761" s="185" t="s">
        <v>215</v>
      </c>
    </row>
    <row r="58762" spans="129:129" x14ac:dyDescent="0.2">
      <c r="DY58762" s="185" t="s">
        <v>215</v>
      </c>
    </row>
    <row r="58763" spans="129:129" x14ac:dyDescent="0.2">
      <c r="DY58763" s="185" t="s">
        <v>215</v>
      </c>
    </row>
    <row r="58764" spans="129:129" x14ac:dyDescent="0.2">
      <c r="DY58764" s="185" t="s">
        <v>215</v>
      </c>
    </row>
    <row r="58765" spans="129:129" x14ac:dyDescent="0.2">
      <c r="DY58765" s="185" t="s">
        <v>215</v>
      </c>
    </row>
    <row r="58766" spans="129:129" x14ac:dyDescent="0.2">
      <c r="DY58766" s="185" t="s">
        <v>215</v>
      </c>
    </row>
    <row r="58767" spans="129:129" x14ac:dyDescent="0.2">
      <c r="DY58767" s="185" t="s">
        <v>215</v>
      </c>
    </row>
    <row r="58768" spans="129:129" x14ac:dyDescent="0.2">
      <c r="DY58768" s="185" t="s">
        <v>215</v>
      </c>
    </row>
    <row r="58769" spans="129:129" x14ac:dyDescent="0.2">
      <c r="DY58769" s="185" t="s">
        <v>215</v>
      </c>
    </row>
    <row r="58770" spans="129:129" x14ac:dyDescent="0.2">
      <c r="DY58770" s="185" t="s">
        <v>215</v>
      </c>
    </row>
    <row r="58771" spans="129:129" x14ac:dyDescent="0.2">
      <c r="DY58771" s="185" t="s">
        <v>215</v>
      </c>
    </row>
    <row r="58772" spans="129:129" x14ac:dyDescent="0.2">
      <c r="DY58772" s="185" t="s">
        <v>215</v>
      </c>
    </row>
    <row r="58773" spans="129:129" x14ac:dyDescent="0.2">
      <c r="DY58773" s="185" t="s">
        <v>215</v>
      </c>
    </row>
    <row r="58774" spans="129:129" x14ac:dyDescent="0.2">
      <c r="DY58774" s="185" t="s">
        <v>215</v>
      </c>
    </row>
    <row r="58775" spans="129:129" x14ac:dyDescent="0.2">
      <c r="DY58775" s="185" t="s">
        <v>215</v>
      </c>
    </row>
    <row r="58776" spans="129:129" x14ac:dyDescent="0.2">
      <c r="DY58776" s="185" t="s">
        <v>215</v>
      </c>
    </row>
    <row r="58777" spans="129:129" x14ac:dyDescent="0.2">
      <c r="DY58777" s="185" t="s">
        <v>215</v>
      </c>
    </row>
    <row r="58778" spans="129:129" x14ac:dyDescent="0.2">
      <c r="DY58778" s="185" t="s">
        <v>215</v>
      </c>
    </row>
    <row r="58779" spans="129:129" x14ac:dyDescent="0.2">
      <c r="DY58779" s="185" t="s">
        <v>215</v>
      </c>
    </row>
    <row r="58780" spans="129:129" x14ac:dyDescent="0.2">
      <c r="DY58780" s="185" t="s">
        <v>215</v>
      </c>
    </row>
    <row r="58781" spans="129:129" x14ac:dyDescent="0.2">
      <c r="DY58781" s="185" t="s">
        <v>215</v>
      </c>
    </row>
    <row r="58782" spans="129:129" x14ac:dyDescent="0.2">
      <c r="DY58782" s="185" t="s">
        <v>215</v>
      </c>
    </row>
    <row r="58783" spans="129:129" x14ac:dyDescent="0.2">
      <c r="DY58783" s="185" t="s">
        <v>215</v>
      </c>
    </row>
    <row r="58784" spans="129:129" x14ac:dyDescent="0.2">
      <c r="DY58784" s="185" t="s">
        <v>215</v>
      </c>
    </row>
    <row r="58785" spans="129:129" x14ac:dyDescent="0.2">
      <c r="DY58785" s="185" t="s">
        <v>215</v>
      </c>
    </row>
    <row r="58786" spans="129:129" x14ac:dyDescent="0.2">
      <c r="DY58786" s="185" t="s">
        <v>215</v>
      </c>
    </row>
    <row r="58787" spans="129:129" x14ac:dyDescent="0.2">
      <c r="DY58787" s="185" t="s">
        <v>215</v>
      </c>
    </row>
    <row r="58788" spans="129:129" x14ac:dyDescent="0.2">
      <c r="DY58788" s="185" t="s">
        <v>215</v>
      </c>
    </row>
    <row r="58789" spans="129:129" x14ac:dyDescent="0.2">
      <c r="DY58789" s="185" t="s">
        <v>215</v>
      </c>
    </row>
    <row r="58790" spans="129:129" x14ac:dyDescent="0.2">
      <c r="DY58790" s="185" t="s">
        <v>215</v>
      </c>
    </row>
    <row r="58791" spans="129:129" x14ac:dyDescent="0.2">
      <c r="DY58791" s="185" t="s">
        <v>215</v>
      </c>
    </row>
    <row r="58792" spans="129:129" x14ac:dyDescent="0.2">
      <c r="DY58792" s="185" t="s">
        <v>215</v>
      </c>
    </row>
    <row r="58793" spans="129:129" x14ac:dyDescent="0.2">
      <c r="DY58793" s="185" t="s">
        <v>215</v>
      </c>
    </row>
    <row r="58794" spans="129:129" x14ac:dyDescent="0.2">
      <c r="DY58794" s="185" t="s">
        <v>215</v>
      </c>
    </row>
    <row r="58795" spans="129:129" x14ac:dyDescent="0.2">
      <c r="DY58795" s="185" t="s">
        <v>215</v>
      </c>
    </row>
    <row r="58796" spans="129:129" x14ac:dyDescent="0.2">
      <c r="DY58796" s="185" t="s">
        <v>215</v>
      </c>
    </row>
    <row r="58797" spans="129:129" x14ac:dyDescent="0.2">
      <c r="DY58797" s="185" t="s">
        <v>215</v>
      </c>
    </row>
    <row r="58798" spans="129:129" x14ac:dyDescent="0.2">
      <c r="DY58798" s="185" t="s">
        <v>215</v>
      </c>
    </row>
    <row r="58799" spans="129:129" x14ac:dyDescent="0.2">
      <c r="DY58799" s="185" t="s">
        <v>215</v>
      </c>
    </row>
    <row r="58800" spans="129:129" x14ac:dyDescent="0.2">
      <c r="DY58800" s="185" t="s">
        <v>215</v>
      </c>
    </row>
    <row r="58801" spans="129:129" x14ac:dyDescent="0.2">
      <c r="DY58801" s="185" t="s">
        <v>215</v>
      </c>
    </row>
    <row r="58802" spans="129:129" x14ac:dyDescent="0.2">
      <c r="DY58802" s="185" t="s">
        <v>215</v>
      </c>
    </row>
    <row r="58803" spans="129:129" x14ac:dyDescent="0.2">
      <c r="DY58803" s="185" t="s">
        <v>215</v>
      </c>
    </row>
    <row r="58804" spans="129:129" x14ac:dyDescent="0.2">
      <c r="DY58804" s="185" t="s">
        <v>215</v>
      </c>
    </row>
    <row r="58805" spans="129:129" x14ac:dyDescent="0.2">
      <c r="DY58805" s="185" t="s">
        <v>215</v>
      </c>
    </row>
    <row r="58806" spans="129:129" x14ac:dyDescent="0.2">
      <c r="DY58806" s="185" t="s">
        <v>215</v>
      </c>
    </row>
    <row r="58807" spans="129:129" x14ac:dyDescent="0.2">
      <c r="DY58807" s="185" t="s">
        <v>215</v>
      </c>
    </row>
    <row r="58808" spans="129:129" x14ac:dyDescent="0.2">
      <c r="DY58808" s="185" t="s">
        <v>215</v>
      </c>
    </row>
    <row r="58809" spans="129:129" x14ac:dyDescent="0.2">
      <c r="DY58809" s="185" t="s">
        <v>215</v>
      </c>
    </row>
    <row r="58810" spans="129:129" x14ac:dyDescent="0.2">
      <c r="DY58810" s="185" t="s">
        <v>215</v>
      </c>
    </row>
    <row r="58811" spans="129:129" x14ac:dyDescent="0.2">
      <c r="DY58811" s="185" t="s">
        <v>215</v>
      </c>
    </row>
    <row r="58812" spans="129:129" x14ac:dyDescent="0.2">
      <c r="DY58812" s="185" t="s">
        <v>215</v>
      </c>
    </row>
    <row r="58813" spans="129:129" x14ac:dyDescent="0.2">
      <c r="DY58813" s="185" t="s">
        <v>215</v>
      </c>
    </row>
    <row r="58814" spans="129:129" x14ac:dyDescent="0.2">
      <c r="DY58814" s="185" t="s">
        <v>215</v>
      </c>
    </row>
    <row r="58815" spans="129:129" x14ac:dyDescent="0.2">
      <c r="DY58815" s="185" t="s">
        <v>215</v>
      </c>
    </row>
    <row r="58816" spans="129:129" x14ac:dyDescent="0.2">
      <c r="DY58816" s="185" t="s">
        <v>215</v>
      </c>
    </row>
    <row r="58817" spans="129:129" x14ac:dyDescent="0.2">
      <c r="DY58817" s="185" t="s">
        <v>215</v>
      </c>
    </row>
    <row r="58818" spans="129:129" x14ac:dyDescent="0.2">
      <c r="DY58818" s="185" t="s">
        <v>215</v>
      </c>
    </row>
    <row r="58819" spans="129:129" x14ac:dyDescent="0.2">
      <c r="DY58819" s="185" t="s">
        <v>215</v>
      </c>
    </row>
    <row r="58820" spans="129:129" x14ac:dyDescent="0.2">
      <c r="DY58820" s="185" t="s">
        <v>215</v>
      </c>
    </row>
    <row r="58821" spans="129:129" x14ac:dyDescent="0.2">
      <c r="DY58821" s="185" t="s">
        <v>215</v>
      </c>
    </row>
    <row r="58822" spans="129:129" x14ac:dyDescent="0.2">
      <c r="DY58822" s="185" t="s">
        <v>215</v>
      </c>
    </row>
    <row r="58823" spans="129:129" x14ac:dyDescent="0.2">
      <c r="DY58823" s="185" t="s">
        <v>215</v>
      </c>
    </row>
    <row r="58824" spans="129:129" x14ac:dyDescent="0.2">
      <c r="DY58824" s="185" t="s">
        <v>215</v>
      </c>
    </row>
    <row r="58825" spans="129:129" x14ac:dyDescent="0.2">
      <c r="DY58825" s="185" t="s">
        <v>215</v>
      </c>
    </row>
    <row r="58826" spans="129:129" x14ac:dyDescent="0.2">
      <c r="DY58826" s="185" t="s">
        <v>215</v>
      </c>
    </row>
    <row r="58827" spans="129:129" x14ac:dyDescent="0.2">
      <c r="DY58827" s="185" t="s">
        <v>215</v>
      </c>
    </row>
    <row r="58828" spans="129:129" x14ac:dyDescent="0.2">
      <c r="DY58828" s="185" t="s">
        <v>215</v>
      </c>
    </row>
    <row r="58829" spans="129:129" x14ac:dyDescent="0.2">
      <c r="DY58829" s="185" t="s">
        <v>215</v>
      </c>
    </row>
    <row r="58830" spans="129:129" x14ac:dyDescent="0.2">
      <c r="DY58830" s="185" t="s">
        <v>215</v>
      </c>
    </row>
    <row r="58831" spans="129:129" x14ac:dyDescent="0.2">
      <c r="DY58831" s="185" t="s">
        <v>215</v>
      </c>
    </row>
    <row r="58832" spans="129:129" x14ac:dyDescent="0.2">
      <c r="DY58832" s="185" t="s">
        <v>215</v>
      </c>
    </row>
    <row r="58833" spans="129:129" x14ac:dyDescent="0.2">
      <c r="DY58833" s="185" t="s">
        <v>215</v>
      </c>
    </row>
    <row r="58834" spans="129:129" x14ac:dyDescent="0.2">
      <c r="DY58834" s="185" t="s">
        <v>215</v>
      </c>
    </row>
    <row r="58835" spans="129:129" x14ac:dyDescent="0.2">
      <c r="DY58835" s="185" t="s">
        <v>215</v>
      </c>
    </row>
    <row r="58836" spans="129:129" x14ac:dyDescent="0.2">
      <c r="DY58836" s="185" t="s">
        <v>215</v>
      </c>
    </row>
    <row r="58837" spans="129:129" x14ac:dyDescent="0.2">
      <c r="DY58837" s="185" t="s">
        <v>215</v>
      </c>
    </row>
    <row r="58838" spans="129:129" x14ac:dyDescent="0.2">
      <c r="DY58838" s="185" t="s">
        <v>215</v>
      </c>
    </row>
    <row r="58839" spans="129:129" x14ac:dyDescent="0.2">
      <c r="DY58839" s="185" t="s">
        <v>215</v>
      </c>
    </row>
    <row r="58840" spans="129:129" x14ac:dyDescent="0.2">
      <c r="DY58840" s="185" t="s">
        <v>215</v>
      </c>
    </row>
    <row r="58841" spans="129:129" x14ac:dyDescent="0.2">
      <c r="DY58841" s="185" t="s">
        <v>215</v>
      </c>
    </row>
    <row r="58842" spans="129:129" x14ac:dyDescent="0.2">
      <c r="DY58842" s="185" t="s">
        <v>215</v>
      </c>
    </row>
    <row r="58843" spans="129:129" x14ac:dyDescent="0.2">
      <c r="DY58843" s="185" t="s">
        <v>215</v>
      </c>
    </row>
    <row r="58844" spans="129:129" x14ac:dyDescent="0.2">
      <c r="DY58844" s="185" t="s">
        <v>215</v>
      </c>
    </row>
    <row r="58845" spans="129:129" x14ac:dyDescent="0.2">
      <c r="DY58845" s="185" t="s">
        <v>215</v>
      </c>
    </row>
    <row r="58846" spans="129:129" x14ac:dyDescent="0.2">
      <c r="DY58846" s="185" t="s">
        <v>215</v>
      </c>
    </row>
    <row r="58847" spans="129:129" x14ac:dyDescent="0.2">
      <c r="DY58847" s="185" t="s">
        <v>215</v>
      </c>
    </row>
    <row r="58848" spans="129:129" x14ac:dyDescent="0.2">
      <c r="DY58848" s="185" t="s">
        <v>215</v>
      </c>
    </row>
    <row r="58849" spans="129:129" x14ac:dyDescent="0.2">
      <c r="DY58849" s="185" t="s">
        <v>215</v>
      </c>
    </row>
    <row r="58850" spans="129:129" x14ac:dyDescent="0.2">
      <c r="DY58850" s="185" t="s">
        <v>215</v>
      </c>
    </row>
    <row r="58851" spans="129:129" x14ac:dyDescent="0.2">
      <c r="DY58851" s="185" t="s">
        <v>215</v>
      </c>
    </row>
    <row r="58852" spans="129:129" x14ac:dyDescent="0.2">
      <c r="DY58852" s="185" t="s">
        <v>215</v>
      </c>
    </row>
    <row r="58853" spans="129:129" x14ac:dyDescent="0.2">
      <c r="DY58853" s="185" t="s">
        <v>215</v>
      </c>
    </row>
    <row r="58854" spans="129:129" x14ac:dyDescent="0.2">
      <c r="DY58854" s="185" t="s">
        <v>215</v>
      </c>
    </row>
    <row r="58855" spans="129:129" x14ac:dyDescent="0.2">
      <c r="DY58855" s="185" t="s">
        <v>215</v>
      </c>
    </row>
    <row r="58856" spans="129:129" x14ac:dyDescent="0.2">
      <c r="DY58856" s="185" t="s">
        <v>215</v>
      </c>
    </row>
    <row r="58857" spans="129:129" x14ac:dyDescent="0.2">
      <c r="DY58857" s="185" t="s">
        <v>215</v>
      </c>
    </row>
    <row r="58858" spans="129:129" x14ac:dyDescent="0.2">
      <c r="DY58858" s="185" t="s">
        <v>215</v>
      </c>
    </row>
    <row r="58859" spans="129:129" x14ac:dyDescent="0.2">
      <c r="DY58859" s="185" t="s">
        <v>215</v>
      </c>
    </row>
    <row r="58860" spans="129:129" x14ac:dyDescent="0.2">
      <c r="DY58860" s="185" t="s">
        <v>215</v>
      </c>
    </row>
    <row r="58861" spans="129:129" x14ac:dyDescent="0.2">
      <c r="DY58861" s="185" t="s">
        <v>215</v>
      </c>
    </row>
    <row r="58862" spans="129:129" x14ac:dyDescent="0.2">
      <c r="DY58862" s="185" t="s">
        <v>215</v>
      </c>
    </row>
    <row r="58863" spans="129:129" x14ac:dyDescent="0.2">
      <c r="DY58863" s="185" t="s">
        <v>215</v>
      </c>
    </row>
    <row r="58864" spans="129:129" x14ac:dyDescent="0.2">
      <c r="DY58864" s="185" t="s">
        <v>215</v>
      </c>
    </row>
    <row r="58865" spans="129:129" x14ac:dyDescent="0.2">
      <c r="DY58865" s="185" t="s">
        <v>215</v>
      </c>
    </row>
    <row r="58866" spans="129:129" x14ac:dyDescent="0.2">
      <c r="DY58866" s="185" t="s">
        <v>215</v>
      </c>
    </row>
    <row r="58867" spans="129:129" x14ac:dyDescent="0.2">
      <c r="DY58867" s="185" t="s">
        <v>215</v>
      </c>
    </row>
    <row r="58868" spans="129:129" x14ac:dyDescent="0.2">
      <c r="DY58868" s="185" t="s">
        <v>215</v>
      </c>
    </row>
    <row r="58869" spans="129:129" x14ac:dyDescent="0.2">
      <c r="DY58869" s="185" t="s">
        <v>215</v>
      </c>
    </row>
    <row r="58870" spans="129:129" x14ac:dyDescent="0.2">
      <c r="DY58870" s="185" t="s">
        <v>215</v>
      </c>
    </row>
    <row r="58871" spans="129:129" x14ac:dyDescent="0.2">
      <c r="DY58871" s="185" t="s">
        <v>215</v>
      </c>
    </row>
    <row r="58872" spans="129:129" x14ac:dyDescent="0.2">
      <c r="DY58872" s="185" t="s">
        <v>215</v>
      </c>
    </row>
    <row r="58873" spans="129:129" x14ac:dyDescent="0.2">
      <c r="DY58873" s="185" t="s">
        <v>215</v>
      </c>
    </row>
    <row r="58874" spans="129:129" x14ac:dyDescent="0.2">
      <c r="DY58874" s="185" t="s">
        <v>215</v>
      </c>
    </row>
    <row r="58875" spans="129:129" x14ac:dyDescent="0.2">
      <c r="DY58875" s="185" t="s">
        <v>215</v>
      </c>
    </row>
    <row r="58876" spans="129:129" x14ac:dyDescent="0.2">
      <c r="DY58876" s="185" t="s">
        <v>215</v>
      </c>
    </row>
    <row r="58877" spans="129:129" x14ac:dyDescent="0.2">
      <c r="DY58877" s="185" t="s">
        <v>215</v>
      </c>
    </row>
    <row r="58878" spans="129:129" x14ac:dyDescent="0.2">
      <c r="DY58878" s="185" t="s">
        <v>215</v>
      </c>
    </row>
    <row r="58879" spans="129:129" x14ac:dyDescent="0.2">
      <c r="DY58879" s="185" t="s">
        <v>215</v>
      </c>
    </row>
    <row r="58880" spans="129:129" x14ac:dyDescent="0.2">
      <c r="DY58880" s="185" t="s">
        <v>215</v>
      </c>
    </row>
    <row r="58881" spans="129:129" x14ac:dyDescent="0.2">
      <c r="DY58881" s="185" t="s">
        <v>215</v>
      </c>
    </row>
    <row r="58882" spans="129:129" x14ac:dyDescent="0.2">
      <c r="DY58882" s="185" t="s">
        <v>215</v>
      </c>
    </row>
    <row r="58883" spans="129:129" x14ac:dyDescent="0.2">
      <c r="DY58883" s="185" t="s">
        <v>215</v>
      </c>
    </row>
    <row r="58884" spans="129:129" x14ac:dyDescent="0.2">
      <c r="DY58884" s="185" t="s">
        <v>215</v>
      </c>
    </row>
    <row r="58885" spans="129:129" x14ac:dyDescent="0.2">
      <c r="DY58885" s="185" t="s">
        <v>215</v>
      </c>
    </row>
    <row r="58886" spans="129:129" x14ac:dyDescent="0.2">
      <c r="DY58886" s="185" t="s">
        <v>215</v>
      </c>
    </row>
    <row r="58887" spans="129:129" x14ac:dyDescent="0.2">
      <c r="DY58887" s="185" t="s">
        <v>215</v>
      </c>
    </row>
    <row r="58888" spans="129:129" x14ac:dyDescent="0.2">
      <c r="DY58888" s="185" t="s">
        <v>215</v>
      </c>
    </row>
    <row r="58889" spans="129:129" x14ac:dyDescent="0.2">
      <c r="DY58889" s="185" t="s">
        <v>215</v>
      </c>
    </row>
    <row r="58890" spans="129:129" x14ac:dyDescent="0.2">
      <c r="DY58890" s="185" t="s">
        <v>215</v>
      </c>
    </row>
    <row r="58891" spans="129:129" x14ac:dyDescent="0.2">
      <c r="DY58891" s="185" t="s">
        <v>215</v>
      </c>
    </row>
    <row r="58892" spans="129:129" x14ac:dyDescent="0.2">
      <c r="DY58892" s="185" t="s">
        <v>215</v>
      </c>
    </row>
    <row r="58893" spans="129:129" x14ac:dyDescent="0.2">
      <c r="DY58893" s="185" t="s">
        <v>215</v>
      </c>
    </row>
    <row r="58894" spans="129:129" x14ac:dyDescent="0.2">
      <c r="DY58894" s="185" t="s">
        <v>215</v>
      </c>
    </row>
    <row r="58895" spans="129:129" x14ac:dyDescent="0.2">
      <c r="DY58895" s="185" t="s">
        <v>215</v>
      </c>
    </row>
    <row r="58896" spans="129:129" x14ac:dyDescent="0.2">
      <c r="DY58896" s="185" t="s">
        <v>215</v>
      </c>
    </row>
    <row r="58897" spans="129:129" x14ac:dyDescent="0.2">
      <c r="DY58897" s="185" t="s">
        <v>215</v>
      </c>
    </row>
    <row r="58898" spans="129:129" x14ac:dyDescent="0.2">
      <c r="DY58898" s="185" t="s">
        <v>215</v>
      </c>
    </row>
    <row r="58899" spans="129:129" x14ac:dyDescent="0.2">
      <c r="DY58899" s="185" t="s">
        <v>215</v>
      </c>
    </row>
    <row r="58900" spans="129:129" x14ac:dyDescent="0.2">
      <c r="DY58900" s="185" t="s">
        <v>215</v>
      </c>
    </row>
    <row r="58901" spans="129:129" x14ac:dyDescent="0.2">
      <c r="DY58901" s="185" t="s">
        <v>215</v>
      </c>
    </row>
    <row r="58902" spans="129:129" x14ac:dyDescent="0.2">
      <c r="DY58902" s="185" t="s">
        <v>215</v>
      </c>
    </row>
    <row r="58903" spans="129:129" x14ac:dyDescent="0.2">
      <c r="DY58903" s="185" t="s">
        <v>215</v>
      </c>
    </row>
    <row r="58904" spans="129:129" x14ac:dyDescent="0.2">
      <c r="DY58904" s="185" t="s">
        <v>215</v>
      </c>
    </row>
    <row r="58905" spans="129:129" x14ac:dyDescent="0.2">
      <c r="DY58905" s="185" t="s">
        <v>215</v>
      </c>
    </row>
    <row r="58906" spans="129:129" x14ac:dyDescent="0.2">
      <c r="DY58906" s="185" t="s">
        <v>215</v>
      </c>
    </row>
    <row r="58907" spans="129:129" x14ac:dyDescent="0.2">
      <c r="DY58907" s="185" t="s">
        <v>215</v>
      </c>
    </row>
    <row r="58908" spans="129:129" x14ac:dyDescent="0.2">
      <c r="DY58908" s="185" t="s">
        <v>215</v>
      </c>
    </row>
    <row r="58909" spans="129:129" x14ac:dyDescent="0.2">
      <c r="DY58909" s="185" t="s">
        <v>215</v>
      </c>
    </row>
    <row r="58910" spans="129:129" x14ac:dyDescent="0.2">
      <c r="DY58910" s="185" t="s">
        <v>215</v>
      </c>
    </row>
    <row r="58911" spans="129:129" x14ac:dyDescent="0.2">
      <c r="DY58911" s="185" t="s">
        <v>215</v>
      </c>
    </row>
    <row r="58912" spans="129:129" x14ac:dyDescent="0.2">
      <c r="DY58912" s="185" t="s">
        <v>215</v>
      </c>
    </row>
    <row r="58913" spans="129:129" x14ac:dyDescent="0.2">
      <c r="DY58913" s="185" t="s">
        <v>215</v>
      </c>
    </row>
    <row r="58914" spans="129:129" x14ac:dyDescent="0.2">
      <c r="DY58914" s="185" t="s">
        <v>215</v>
      </c>
    </row>
    <row r="58915" spans="129:129" x14ac:dyDescent="0.2">
      <c r="DY58915" s="185" t="s">
        <v>215</v>
      </c>
    </row>
    <row r="58916" spans="129:129" x14ac:dyDescent="0.2">
      <c r="DY58916" s="185" t="s">
        <v>215</v>
      </c>
    </row>
    <row r="58917" spans="129:129" x14ac:dyDescent="0.2">
      <c r="DY58917" s="185" t="s">
        <v>215</v>
      </c>
    </row>
    <row r="58918" spans="129:129" x14ac:dyDescent="0.2">
      <c r="DY58918" s="185" t="s">
        <v>215</v>
      </c>
    </row>
    <row r="58919" spans="129:129" x14ac:dyDescent="0.2">
      <c r="DY58919" s="185" t="s">
        <v>215</v>
      </c>
    </row>
    <row r="58920" spans="129:129" x14ac:dyDescent="0.2">
      <c r="DY58920" s="185" t="s">
        <v>215</v>
      </c>
    </row>
    <row r="58921" spans="129:129" x14ac:dyDescent="0.2">
      <c r="DY58921" s="185" t="s">
        <v>215</v>
      </c>
    </row>
    <row r="58922" spans="129:129" x14ac:dyDescent="0.2">
      <c r="DY58922" s="185" t="s">
        <v>215</v>
      </c>
    </row>
    <row r="58923" spans="129:129" x14ac:dyDescent="0.2">
      <c r="DY58923" s="185" t="s">
        <v>215</v>
      </c>
    </row>
    <row r="58924" spans="129:129" x14ac:dyDescent="0.2">
      <c r="DY58924" s="185" t="s">
        <v>215</v>
      </c>
    </row>
    <row r="58925" spans="129:129" x14ac:dyDescent="0.2">
      <c r="DY58925" s="185" t="s">
        <v>215</v>
      </c>
    </row>
    <row r="58926" spans="129:129" x14ac:dyDescent="0.2">
      <c r="DY58926" s="185" t="s">
        <v>215</v>
      </c>
    </row>
    <row r="58927" spans="129:129" x14ac:dyDescent="0.2">
      <c r="DY58927" s="185" t="s">
        <v>215</v>
      </c>
    </row>
    <row r="58928" spans="129:129" x14ac:dyDescent="0.2">
      <c r="DY58928" s="185" t="s">
        <v>215</v>
      </c>
    </row>
    <row r="58929" spans="129:129" x14ac:dyDescent="0.2">
      <c r="DY58929" s="185" t="s">
        <v>215</v>
      </c>
    </row>
    <row r="58930" spans="129:129" x14ac:dyDescent="0.2">
      <c r="DY58930" s="185" t="s">
        <v>215</v>
      </c>
    </row>
    <row r="58931" spans="129:129" x14ac:dyDescent="0.2">
      <c r="DY58931" s="185" t="s">
        <v>215</v>
      </c>
    </row>
    <row r="58932" spans="129:129" x14ac:dyDescent="0.2">
      <c r="DY58932" s="185" t="s">
        <v>215</v>
      </c>
    </row>
    <row r="58933" spans="129:129" x14ac:dyDescent="0.2">
      <c r="DY58933" s="185" t="s">
        <v>215</v>
      </c>
    </row>
    <row r="58934" spans="129:129" x14ac:dyDescent="0.2">
      <c r="DY58934" s="185" t="s">
        <v>215</v>
      </c>
    </row>
    <row r="58935" spans="129:129" x14ac:dyDescent="0.2">
      <c r="DY58935" s="185" t="s">
        <v>215</v>
      </c>
    </row>
    <row r="58936" spans="129:129" x14ac:dyDescent="0.2">
      <c r="DY58936" s="185" t="s">
        <v>215</v>
      </c>
    </row>
    <row r="58937" spans="129:129" x14ac:dyDescent="0.2">
      <c r="DY58937" s="185" t="s">
        <v>215</v>
      </c>
    </row>
    <row r="58938" spans="129:129" x14ac:dyDescent="0.2">
      <c r="DY58938" s="185" t="s">
        <v>215</v>
      </c>
    </row>
    <row r="58939" spans="129:129" x14ac:dyDescent="0.2">
      <c r="DY58939" s="185" t="s">
        <v>215</v>
      </c>
    </row>
    <row r="58940" spans="129:129" x14ac:dyDescent="0.2">
      <c r="DY58940" s="185" t="s">
        <v>215</v>
      </c>
    </row>
    <row r="58941" spans="129:129" x14ac:dyDescent="0.2">
      <c r="DY58941" s="185" t="s">
        <v>215</v>
      </c>
    </row>
    <row r="58942" spans="129:129" x14ac:dyDescent="0.2">
      <c r="DY58942" s="185" t="s">
        <v>215</v>
      </c>
    </row>
    <row r="58943" spans="129:129" x14ac:dyDescent="0.2">
      <c r="DY58943" s="185" t="s">
        <v>215</v>
      </c>
    </row>
    <row r="58944" spans="129:129" x14ac:dyDescent="0.2">
      <c r="DY58944" s="185" t="s">
        <v>215</v>
      </c>
    </row>
    <row r="58945" spans="129:129" x14ac:dyDescent="0.2">
      <c r="DY58945" s="185" t="s">
        <v>215</v>
      </c>
    </row>
    <row r="58946" spans="129:129" x14ac:dyDescent="0.2">
      <c r="DY58946" s="185" t="s">
        <v>215</v>
      </c>
    </row>
    <row r="58947" spans="129:129" x14ac:dyDescent="0.2">
      <c r="DY58947" s="185" t="s">
        <v>215</v>
      </c>
    </row>
    <row r="58948" spans="129:129" x14ac:dyDescent="0.2">
      <c r="DY58948" s="185" t="s">
        <v>215</v>
      </c>
    </row>
    <row r="58949" spans="129:129" x14ac:dyDescent="0.2">
      <c r="DY58949" s="185" t="s">
        <v>215</v>
      </c>
    </row>
    <row r="58950" spans="129:129" x14ac:dyDescent="0.2">
      <c r="DY58950" s="185" t="s">
        <v>215</v>
      </c>
    </row>
    <row r="58951" spans="129:129" x14ac:dyDescent="0.2">
      <c r="DY58951" s="185" t="s">
        <v>215</v>
      </c>
    </row>
    <row r="58952" spans="129:129" x14ac:dyDescent="0.2">
      <c r="DY58952" s="185" t="s">
        <v>215</v>
      </c>
    </row>
    <row r="58953" spans="129:129" x14ac:dyDescent="0.2">
      <c r="DY58953" s="185" t="s">
        <v>215</v>
      </c>
    </row>
    <row r="58954" spans="129:129" x14ac:dyDescent="0.2">
      <c r="DY58954" s="185" t="s">
        <v>215</v>
      </c>
    </row>
    <row r="58955" spans="129:129" x14ac:dyDescent="0.2">
      <c r="DY58955" s="185" t="s">
        <v>215</v>
      </c>
    </row>
    <row r="58956" spans="129:129" x14ac:dyDescent="0.2">
      <c r="DY58956" s="185" t="s">
        <v>215</v>
      </c>
    </row>
    <row r="58957" spans="129:129" x14ac:dyDescent="0.2">
      <c r="DY58957" s="185" t="s">
        <v>215</v>
      </c>
    </row>
    <row r="58958" spans="129:129" x14ac:dyDescent="0.2">
      <c r="DY58958" s="185" t="s">
        <v>215</v>
      </c>
    </row>
    <row r="58959" spans="129:129" x14ac:dyDescent="0.2">
      <c r="DY58959" s="185" t="s">
        <v>215</v>
      </c>
    </row>
    <row r="58960" spans="129:129" x14ac:dyDescent="0.2">
      <c r="DY58960" s="185" t="s">
        <v>215</v>
      </c>
    </row>
    <row r="58961" spans="129:129" x14ac:dyDescent="0.2">
      <c r="DY58961" s="185" t="s">
        <v>215</v>
      </c>
    </row>
    <row r="58962" spans="129:129" x14ac:dyDescent="0.2">
      <c r="DY58962" s="185" t="s">
        <v>215</v>
      </c>
    </row>
    <row r="58963" spans="129:129" x14ac:dyDescent="0.2">
      <c r="DY58963" s="185" t="s">
        <v>215</v>
      </c>
    </row>
    <row r="58964" spans="129:129" x14ac:dyDescent="0.2">
      <c r="DY58964" s="185" t="s">
        <v>215</v>
      </c>
    </row>
    <row r="58965" spans="129:129" x14ac:dyDescent="0.2">
      <c r="DY58965" s="185" t="s">
        <v>215</v>
      </c>
    </row>
    <row r="58966" spans="129:129" x14ac:dyDescent="0.2">
      <c r="DY58966" s="185" t="s">
        <v>215</v>
      </c>
    </row>
    <row r="58967" spans="129:129" x14ac:dyDescent="0.2">
      <c r="DY58967" s="185" t="s">
        <v>215</v>
      </c>
    </row>
    <row r="58968" spans="129:129" x14ac:dyDescent="0.2">
      <c r="DY58968" s="185" t="s">
        <v>215</v>
      </c>
    </row>
    <row r="58969" spans="129:129" x14ac:dyDescent="0.2">
      <c r="DY58969" s="185" t="s">
        <v>215</v>
      </c>
    </row>
    <row r="58970" spans="129:129" x14ac:dyDescent="0.2">
      <c r="DY58970" s="185" t="s">
        <v>215</v>
      </c>
    </row>
    <row r="58971" spans="129:129" x14ac:dyDescent="0.2">
      <c r="DY58971" s="185" t="s">
        <v>215</v>
      </c>
    </row>
    <row r="58972" spans="129:129" x14ac:dyDescent="0.2">
      <c r="DY58972" s="185" t="s">
        <v>215</v>
      </c>
    </row>
    <row r="58973" spans="129:129" x14ac:dyDescent="0.2">
      <c r="DY58973" s="185" t="s">
        <v>215</v>
      </c>
    </row>
    <row r="58974" spans="129:129" x14ac:dyDescent="0.2">
      <c r="DY58974" s="185" t="s">
        <v>215</v>
      </c>
    </row>
    <row r="58975" spans="129:129" x14ac:dyDescent="0.2">
      <c r="DY58975" s="185" t="s">
        <v>215</v>
      </c>
    </row>
    <row r="58976" spans="129:129" x14ac:dyDescent="0.2">
      <c r="DY58976" s="185" t="s">
        <v>215</v>
      </c>
    </row>
    <row r="58977" spans="129:129" x14ac:dyDescent="0.2">
      <c r="DY58977" s="185" t="s">
        <v>215</v>
      </c>
    </row>
    <row r="58978" spans="129:129" x14ac:dyDescent="0.2">
      <c r="DY58978" s="185" t="s">
        <v>215</v>
      </c>
    </row>
    <row r="58979" spans="129:129" x14ac:dyDescent="0.2">
      <c r="DY58979" s="185" t="s">
        <v>215</v>
      </c>
    </row>
    <row r="58980" spans="129:129" x14ac:dyDescent="0.2">
      <c r="DY58980" s="185" t="s">
        <v>215</v>
      </c>
    </row>
    <row r="58981" spans="129:129" x14ac:dyDescent="0.2">
      <c r="DY58981" s="185" t="s">
        <v>215</v>
      </c>
    </row>
    <row r="58982" spans="129:129" x14ac:dyDescent="0.2">
      <c r="DY58982" s="185" t="s">
        <v>215</v>
      </c>
    </row>
    <row r="58983" spans="129:129" x14ac:dyDescent="0.2">
      <c r="DY58983" s="185" t="s">
        <v>215</v>
      </c>
    </row>
    <row r="58984" spans="129:129" x14ac:dyDescent="0.2">
      <c r="DY58984" s="185" t="s">
        <v>215</v>
      </c>
    </row>
    <row r="58985" spans="129:129" x14ac:dyDescent="0.2">
      <c r="DY58985" s="185" t="s">
        <v>215</v>
      </c>
    </row>
    <row r="58986" spans="129:129" x14ac:dyDescent="0.2">
      <c r="DY58986" s="185" t="s">
        <v>215</v>
      </c>
    </row>
    <row r="58987" spans="129:129" x14ac:dyDescent="0.2">
      <c r="DY58987" s="185" t="s">
        <v>215</v>
      </c>
    </row>
    <row r="58988" spans="129:129" x14ac:dyDescent="0.2">
      <c r="DY58988" s="185" t="s">
        <v>215</v>
      </c>
    </row>
    <row r="58989" spans="129:129" x14ac:dyDescent="0.2">
      <c r="DY58989" s="185" t="s">
        <v>215</v>
      </c>
    </row>
    <row r="58990" spans="129:129" x14ac:dyDescent="0.2">
      <c r="DY58990" s="185" t="s">
        <v>215</v>
      </c>
    </row>
    <row r="58991" spans="129:129" x14ac:dyDescent="0.2">
      <c r="DY58991" s="185" t="s">
        <v>215</v>
      </c>
    </row>
    <row r="58992" spans="129:129" x14ac:dyDescent="0.2">
      <c r="DY58992" s="185" t="s">
        <v>215</v>
      </c>
    </row>
    <row r="58993" spans="129:129" x14ac:dyDescent="0.2">
      <c r="DY58993" s="185" t="s">
        <v>215</v>
      </c>
    </row>
    <row r="58994" spans="129:129" x14ac:dyDescent="0.2">
      <c r="DY58994" s="185" t="s">
        <v>215</v>
      </c>
    </row>
    <row r="58995" spans="129:129" x14ac:dyDescent="0.2">
      <c r="DY58995" s="185" t="s">
        <v>215</v>
      </c>
    </row>
    <row r="58996" spans="129:129" x14ac:dyDescent="0.2">
      <c r="DY58996" s="185" t="s">
        <v>215</v>
      </c>
    </row>
    <row r="58997" spans="129:129" x14ac:dyDescent="0.2">
      <c r="DY58997" s="185" t="s">
        <v>215</v>
      </c>
    </row>
    <row r="58998" spans="129:129" x14ac:dyDescent="0.2">
      <c r="DY58998" s="185" t="s">
        <v>215</v>
      </c>
    </row>
    <row r="58999" spans="129:129" x14ac:dyDescent="0.2">
      <c r="DY58999" s="185" t="s">
        <v>215</v>
      </c>
    </row>
    <row r="59000" spans="129:129" x14ac:dyDescent="0.2">
      <c r="DY59000" s="185" t="s">
        <v>215</v>
      </c>
    </row>
    <row r="59001" spans="129:129" x14ac:dyDescent="0.2">
      <c r="DY59001" s="185" t="s">
        <v>215</v>
      </c>
    </row>
    <row r="59002" spans="129:129" x14ac:dyDescent="0.2">
      <c r="DY59002" s="185" t="s">
        <v>215</v>
      </c>
    </row>
    <row r="59003" spans="129:129" x14ac:dyDescent="0.2">
      <c r="DY59003" s="185" t="s">
        <v>215</v>
      </c>
    </row>
    <row r="59004" spans="129:129" x14ac:dyDescent="0.2">
      <c r="DY59004" s="185" t="s">
        <v>215</v>
      </c>
    </row>
    <row r="59005" spans="129:129" x14ac:dyDescent="0.2">
      <c r="DY59005" s="185" t="s">
        <v>215</v>
      </c>
    </row>
    <row r="59006" spans="129:129" x14ac:dyDescent="0.2">
      <c r="DY59006" s="185" t="s">
        <v>215</v>
      </c>
    </row>
    <row r="59007" spans="129:129" x14ac:dyDescent="0.2">
      <c r="DY59007" s="185" t="s">
        <v>215</v>
      </c>
    </row>
    <row r="59008" spans="129:129" x14ac:dyDescent="0.2">
      <c r="DY59008" s="185" t="s">
        <v>215</v>
      </c>
    </row>
    <row r="59009" spans="129:129" x14ac:dyDescent="0.2">
      <c r="DY59009" s="185" t="s">
        <v>215</v>
      </c>
    </row>
    <row r="59010" spans="129:129" x14ac:dyDescent="0.2">
      <c r="DY59010" s="185" t="s">
        <v>215</v>
      </c>
    </row>
    <row r="59011" spans="129:129" x14ac:dyDescent="0.2">
      <c r="DY59011" s="185" t="s">
        <v>215</v>
      </c>
    </row>
    <row r="59012" spans="129:129" x14ac:dyDescent="0.2">
      <c r="DY59012" s="185" t="s">
        <v>215</v>
      </c>
    </row>
    <row r="59013" spans="129:129" x14ac:dyDescent="0.2">
      <c r="DY59013" s="185" t="s">
        <v>215</v>
      </c>
    </row>
    <row r="59014" spans="129:129" x14ac:dyDescent="0.2">
      <c r="DY59014" s="185" t="s">
        <v>215</v>
      </c>
    </row>
    <row r="59015" spans="129:129" x14ac:dyDescent="0.2">
      <c r="DY59015" s="185" t="s">
        <v>215</v>
      </c>
    </row>
    <row r="59016" spans="129:129" x14ac:dyDescent="0.2">
      <c r="DY59016" s="185" t="s">
        <v>215</v>
      </c>
    </row>
    <row r="59017" spans="129:129" x14ac:dyDescent="0.2">
      <c r="DY59017" s="185" t="s">
        <v>215</v>
      </c>
    </row>
    <row r="59018" spans="129:129" x14ac:dyDescent="0.2">
      <c r="DY59018" s="185" t="s">
        <v>215</v>
      </c>
    </row>
    <row r="59019" spans="129:129" x14ac:dyDescent="0.2">
      <c r="DY59019" s="185" t="s">
        <v>215</v>
      </c>
    </row>
    <row r="59020" spans="129:129" x14ac:dyDescent="0.2">
      <c r="DY59020" s="185" t="s">
        <v>215</v>
      </c>
    </row>
    <row r="59021" spans="129:129" x14ac:dyDescent="0.2">
      <c r="DY59021" s="185" t="s">
        <v>215</v>
      </c>
    </row>
    <row r="59022" spans="129:129" x14ac:dyDescent="0.2">
      <c r="DY59022" s="185" t="s">
        <v>215</v>
      </c>
    </row>
    <row r="59023" spans="129:129" x14ac:dyDescent="0.2">
      <c r="DY59023" s="185" t="s">
        <v>215</v>
      </c>
    </row>
    <row r="59024" spans="129:129" x14ac:dyDescent="0.2">
      <c r="DY59024" s="185" t="s">
        <v>215</v>
      </c>
    </row>
    <row r="59025" spans="129:129" x14ac:dyDescent="0.2">
      <c r="DY59025" s="185" t="s">
        <v>215</v>
      </c>
    </row>
    <row r="59026" spans="129:129" x14ac:dyDescent="0.2">
      <c r="DY59026" s="185" t="s">
        <v>215</v>
      </c>
    </row>
    <row r="59027" spans="129:129" x14ac:dyDescent="0.2">
      <c r="DY59027" s="185" t="s">
        <v>215</v>
      </c>
    </row>
    <row r="59028" spans="129:129" x14ac:dyDescent="0.2">
      <c r="DY59028" s="185" t="s">
        <v>215</v>
      </c>
    </row>
    <row r="59029" spans="129:129" x14ac:dyDescent="0.2">
      <c r="DY59029" s="185" t="s">
        <v>215</v>
      </c>
    </row>
    <row r="59030" spans="129:129" x14ac:dyDescent="0.2">
      <c r="DY59030" s="185" t="s">
        <v>215</v>
      </c>
    </row>
    <row r="59031" spans="129:129" x14ac:dyDescent="0.2">
      <c r="DY59031" s="185" t="s">
        <v>215</v>
      </c>
    </row>
    <row r="59032" spans="129:129" x14ac:dyDescent="0.2">
      <c r="DY59032" s="185" t="s">
        <v>215</v>
      </c>
    </row>
    <row r="59033" spans="129:129" x14ac:dyDescent="0.2">
      <c r="DY59033" s="185" t="s">
        <v>215</v>
      </c>
    </row>
    <row r="59034" spans="129:129" x14ac:dyDescent="0.2">
      <c r="DY59034" s="185" t="s">
        <v>215</v>
      </c>
    </row>
    <row r="59035" spans="129:129" x14ac:dyDescent="0.2">
      <c r="DY59035" s="185" t="s">
        <v>215</v>
      </c>
    </row>
    <row r="59036" spans="129:129" x14ac:dyDescent="0.2">
      <c r="DY59036" s="185" t="s">
        <v>215</v>
      </c>
    </row>
    <row r="59037" spans="129:129" x14ac:dyDescent="0.2">
      <c r="DY59037" s="185" t="s">
        <v>215</v>
      </c>
    </row>
    <row r="59038" spans="129:129" x14ac:dyDescent="0.2">
      <c r="DY59038" s="185" t="s">
        <v>215</v>
      </c>
    </row>
    <row r="59039" spans="129:129" x14ac:dyDescent="0.2">
      <c r="DY59039" s="185" t="s">
        <v>215</v>
      </c>
    </row>
    <row r="59040" spans="129:129" x14ac:dyDescent="0.2">
      <c r="DY59040" s="185" t="s">
        <v>215</v>
      </c>
    </row>
    <row r="59041" spans="129:129" x14ac:dyDescent="0.2">
      <c r="DY59041" s="185" t="s">
        <v>215</v>
      </c>
    </row>
    <row r="59042" spans="129:129" x14ac:dyDescent="0.2">
      <c r="DY59042" s="185" t="s">
        <v>215</v>
      </c>
    </row>
    <row r="59043" spans="129:129" x14ac:dyDescent="0.2">
      <c r="DY59043" s="185" t="s">
        <v>215</v>
      </c>
    </row>
    <row r="59044" spans="129:129" x14ac:dyDescent="0.2">
      <c r="DY59044" s="185" t="s">
        <v>215</v>
      </c>
    </row>
    <row r="59045" spans="129:129" x14ac:dyDescent="0.2">
      <c r="DY59045" s="185" t="s">
        <v>215</v>
      </c>
    </row>
    <row r="59046" spans="129:129" x14ac:dyDescent="0.2">
      <c r="DY59046" s="185" t="s">
        <v>215</v>
      </c>
    </row>
    <row r="59047" spans="129:129" x14ac:dyDescent="0.2">
      <c r="DY59047" s="185" t="s">
        <v>215</v>
      </c>
    </row>
    <row r="59048" spans="129:129" x14ac:dyDescent="0.2">
      <c r="DY59048" s="185" t="s">
        <v>215</v>
      </c>
    </row>
    <row r="59049" spans="129:129" x14ac:dyDescent="0.2">
      <c r="DY59049" s="185" t="s">
        <v>215</v>
      </c>
    </row>
    <row r="59050" spans="129:129" x14ac:dyDescent="0.2">
      <c r="DY59050" s="185" t="s">
        <v>215</v>
      </c>
    </row>
    <row r="59051" spans="129:129" x14ac:dyDescent="0.2">
      <c r="DY59051" s="185" t="s">
        <v>215</v>
      </c>
    </row>
    <row r="59052" spans="129:129" x14ac:dyDescent="0.2">
      <c r="DY59052" s="185" t="s">
        <v>215</v>
      </c>
    </row>
    <row r="59053" spans="129:129" x14ac:dyDescent="0.2">
      <c r="DY59053" s="185" t="s">
        <v>215</v>
      </c>
    </row>
    <row r="59054" spans="129:129" x14ac:dyDescent="0.2">
      <c r="DY59054" s="185" t="s">
        <v>215</v>
      </c>
    </row>
    <row r="59055" spans="129:129" x14ac:dyDescent="0.2">
      <c r="DY59055" s="185" t="s">
        <v>215</v>
      </c>
    </row>
    <row r="59056" spans="129:129" x14ac:dyDescent="0.2">
      <c r="DY59056" s="185" t="s">
        <v>215</v>
      </c>
    </row>
    <row r="59057" spans="129:129" x14ac:dyDescent="0.2">
      <c r="DY59057" s="185" t="s">
        <v>215</v>
      </c>
    </row>
    <row r="59058" spans="129:129" x14ac:dyDescent="0.2">
      <c r="DY59058" s="185" t="s">
        <v>215</v>
      </c>
    </row>
    <row r="59059" spans="129:129" x14ac:dyDescent="0.2">
      <c r="DY59059" s="185" t="s">
        <v>215</v>
      </c>
    </row>
    <row r="59060" spans="129:129" x14ac:dyDescent="0.2">
      <c r="DY59060" s="185" t="s">
        <v>215</v>
      </c>
    </row>
    <row r="59061" spans="129:129" x14ac:dyDescent="0.2">
      <c r="DY59061" s="185" t="s">
        <v>215</v>
      </c>
    </row>
    <row r="59062" spans="129:129" x14ac:dyDescent="0.2">
      <c r="DY59062" s="185" t="s">
        <v>215</v>
      </c>
    </row>
    <row r="59063" spans="129:129" x14ac:dyDescent="0.2">
      <c r="DY59063" s="185" t="s">
        <v>215</v>
      </c>
    </row>
    <row r="59064" spans="129:129" x14ac:dyDescent="0.2">
      <c r="DY59064" s="185" t="s">
        <v>215</v>
      </c>
    </row>
    <row r="59065" spans="129:129" x14ac:dyDescent="0.2">
      <c r="DY59065" s="185" t="s">
        <v>215</v>
      </c>
    </row>
    <row r="59066" spans="129:129" x14ac:dyDescent="0.2">
      <c r="DY59066" s="185" t="s">
        <v>215</v>
      </c>
    </row>
    <row r="59067" spans="129:129" x14ac:dyDescent="0.2">
      <c r="DY59067" s="185" t="s">
        <v>215</v>
      </c>
    </row>
    <row r="59068" spans="129:129" x14ac:dyDescent="0.2">
      <c r="DY59068" s="185" t="s">
        <v>215</v>
      </c>
    </row>
    <row r="59069" spans="129:129" x14ac:dyDescent="0.2">
      <c r="DY59069" s="185" t="s">
        <v>215</v>
      </c>
    </row>
    <row r="59070" spans="129:129" x14ac:dyDescent="0.2">
      <c r="DY59070" s="185" t="s">
        <v>215</v>
      </c>
    </row>
    <row r="59071" spans="129:129" x14ac:dyDescent="0.2">
      <c r="DY59071" s="185" t="s">
        <v>215</v>
      </c>
    </row>
    <row r="59072" spans="129:129" x14ac:dyDescent="0.2">
      <c r="DY59072" s="185" t="s">
        <v>215</v>
      </c>
    </row>
    <row r="59073" spans="129:129" x14ac:dyDescent="0.2">
      <c r="DY59073" s="185" t="s">
        <v>215</v>
      </c>
    </row>
    <row r="59074" spans="129:129" x14ac:dyDescent="0.2">
      <c r="DY59074" s="185" t="s">
        <v>215</v>
      </c>
    </row>
    <row r="59075" spans="129:129" x14ac:dyDescent="0.2">
      <c r="DY59075" s="185" t="s">
        <v>215</v>
      </c>
    </row>
    <row r="59076" spans="129:129" x14ac:dyDescent="0.2">
      <c r="DY59076" s="185" t="s">
        <v>215</v>
      </c>
    </row>
    <row r="59077" spans="129:129" x14ac:dyDescent="0.2">
      <c r="DY59077" s="185" t="s">
        <v>215</v>
      </c>
    </row>
    <row r="59078" spans="129:129" x14ac:dyDescent="0.2">
      <c r="DY59078" s="185" t="s">
        <v>215</v>
      </c>
    </row>
    <row r="59079" spans="129:129" x14ac:dyDescent="0.2">
      <c r="DY59079" s="185" t="s">
        <v>215</v>
      </c>
    </row>
    <row r="59080" spans="129:129" x14ac:dyDescent="0.2">
      <c r="DY59080" s="185" t="s">
        <v>215</v>
      </c>
    </row>
    <row r="59081" spans="129:129" x14ac:dyDescent="0.2">
      <c r="DY59081" s="185" t="s">
        <v>215</v>
      </c>
    </row>
    <row r="59082" spans="129:129" x14ac:dyDescent="0.2">
      <c r="DY59082" s="185" t="s">
        <v>215</v>
      </c>
    </row>
    <row r="59083" spans="129:129" x14ac:dyDescent="0.2">
      <c r="DY59083" s="185" t="s">
        <v>215</v>
      </c>
    </row>
    <row r="59084" spans="129:129" x14ac:dyDescent="0.2">
      <c r="DY59084" s="185" t="s">
        <v>215</v>
      </c>
    </row>
    <row r="59085" spans="129:129" x14ac:dyDescent="0.2">
      <c r="DY59085" s="185" t="s">
        <v>215</v>
      </c>
    </row>
    <row r="59086" spans="129:129" x14ac:dyDescent="0.2">
      <c r="DY59086" s="185" t="s">
        <v>215</v>
      </c>
    </row>
    <row r="59087" spans="129:129" x14ac:dyDescent="0.2">
      <c r="DY59087" s="185" t="s">
        <v>215</v>
      </c>
    </row>
    <row r="59088" spans="129:129" x14ac:dyDescent="0.2">
      <c r="DY59088" s="185" t="s">
        <v>215</v>
      </c>
    </row>
    <row r="59089" spans="129:129" x14ac:dyDescent="0.2">
      <c r="DY59089" s="185" t="s">
        <v>215</v>
      </c>
    </row>
    <row r="59090" spans="129:129" x14ac:dyDescent="0.2">
      <c r="DY59090" s="185" t="s">
        <v>215</v>
      </c>
    </row>
    <row r="59091" spans="129:129" x14ac:dyDescent="0.2">
      <c r="DY59091" s="185" t="s">
        <v>215</v>
      </c>
    </row>
    <row r="59092" spans="129:129" x14ac:dyDescent="0.2">
      <c r="DY59092" s="185" t="s">
        <v>215</v>
      </c>
    </row>
    <row r="59093" spans="129:129" x14ac:dyDescent="0.2">
      <c r="DY59093" s="185" t="s">
        <v>215</v>
      </c>
    </row>
    <row r="59094" spans="129:129" x14ac:dyDescent="0.2">
      <c r="DY59094" s="185" t="s">
        <v>215</v>
      </c>
    </row>
    <row r="59095" spans="129:129" x14ac:dyDescent="0.2">
      <c r="DY59095" s="185" t="s">
        <v>215</v>
      </c>
    </row>
    <row r="59096" spans="129:129" x14ac:dyDescent="0.2">
      <c r="DY59096" s="185" t="s">
        <v>215</v>
      </c>
    </row>
    <row r="59097" spans="129:129" x14ac:dyDescent="0.2">
      <c r="DY59097" s="185" t="s">
        <v>215</v>
      </c>
    </row>
    <row r="59098" spans="129:129" x14ac:dyDescent="0.2">
      <c r="DY59098" s="185" t="s">
        <v>215</v>
      </c>
    </row>
    <row r="59099" spans="129:129" x14ac:dyDescent="0.2">
      <c r="DY59099" s="185" t="s">
        <v>215</v>
      </c>
    </row>
    <row r="59100" spans="129:129" x14ac:dyDescent="0.2">
      <c r="DY59100" s="185" t="s">
        <v>215</v>
      </c>
    </row>
    <row r="59101" spans="129:129" x14ac:dyDescent="0.2">
      <c r="DY59101" s="185" t="s">
        <v>215</v>
      </c>
    </row>
    <row r="59102" spans="129:129" x14ac:dyDescent="0.2">
      <c r="DY59102" s="185" t="s">
        <v>215</v>
      </c>
    </row>
    <row r="59103" spans="129:129" x14ac:dyDescent="0.2">
      <c r="DY59103" s="185" t="s">
        <v>215</v>
      </c>
    </row>
    <row r="59104" spans="129:129" x14ac:dyDescent="0.2">
      <c r="DY59104" s="185" t="s">
        <v>215</v>
      </c>
    </row>
    <row r="59105" spans="129:129" x14ac:dyDescent="0.2">
      <c r="DY59105" s="185" t="s">
        <v>215</v>
      </c>
    </row>
    <row r="59106" spans="129:129" x14ac:dyDescent="0.2">
      <c r="DY59106" s="185" t="s">
        <v>215</v>
      </c>
    </row>
    <row r="59107" spans="129:129" x14ac:dyDescent="0.2">
      <c r="DY59107" s="185" t="s">
        <v>215</v>
      </c>
    </row>
    <row r="59108" spans="129:129" x14ac:dyDescent="0.2">
      <c r="DY59108" s="185" t="s">
        <v>215</v>
      </c>
    </row>
    <row r="59109" spans="129:129" x14ac:dyDescent="0.2">
      <c r="DY59109" s="185" t="s">
        <v>215</v>
      </c>
    </row>
    <row r="59110" spans="129:129" x14ac:dyDescent="0.2">
      <c r="DY59110" s="185" t="s">
        <v>215</v>
      </c>
    </row>
    <row r="59111" spans="129:129" x14ac:dyDescent="0.2">
      <c r="DY59111" s="185" t="s">
        <v>215</v>
      </c>
    </row>
    <row r="59112" spans="129:129" x14ac:dyDescent="0.2">
      <c r="DY59112" s="185" t="s">
        <v>215</v>
      </c>
    </row>
    <row r="59113" spans="129:129" x14ac:dyDescent="0.2">
      <c r="DY59113" s="185" t="s">
        <v>215</v>
      </c>
    </row>
    <row r="59114" spans="129:129" x14ac:dyDescent="0.2">
      <c r="DY59114" s="185" t="s">
        <v>215</v>
      </c>
    </row>
    <row r="59115" spans="129:129" x14ac:dyDescent="0.2">
      <c r="DY59115" s="185" t="s">
        <v>215</v>
      </c>
    </row>
    <row r="59116" spans="129:129" x14ac:dyDescent="0.2">
      <c r="DY59116" s="185" t="s">
        <v>215</v>
      </c>
    </row>
    <row r="59117" spans="129:129" x14ac:dyDescent="0.2">
      <c r="DY59117" s="185" t="s">
        <v>215</v>
      </c>
    </row>
    <row r="59118" spans="129:129" x14ac:dyDescent="0.2">
      <c r="DY59118" s="185" t="s">
        <v>215</v>
      </c>
    </row>
    <row r="59119" spans="129:129" x14ac:dyDescent="0.2">
      <c r="DY59119" s="185" t="s">
        <v>215</v>
      </c>
    </row>
    <row r="59120" spans="129:129" x14ac:dyDescent="0.2">
      <c r="DY59120" s="185" t="s">
        <v>215</v>
      </c>
    </row>
    <row r="59121" spans="129:129" x14ac:dyDescent="0.2">
      <c r="DY59121" s="185" t="s">
        <v>215</v>
      </c>
    </row>
    <row r="59122" spans="129:129" x14ac:dyDescent="0.2">
      <c r="DY59122" s="185" t="s">
        <v>215</v>
      </c>
    </row>
    <row r="59123" spans="129:129" x14ac:dyDescent="0.2">
      <c r="DY59123" s="185" t="s">
        <v>215</v>
      </c>
    </row>
    <row r="59124" spans="129:129" x14ac:dyDescent="0.2">
      <c r="DY59124" s="185" t="s">
        <v>215</v>
      </c>
    </row>
    <row r="59125" spans="129:129" x14ac:dyDescent="0.2">
      <c r="DY59125" s="185" t="s">
        <v>215</v>
      </c>
    </row>
    <row r="59126" spans="129:129" x14ac:dyDescent="0.2">
      <c r="DY59126" s="185" t="s">
        <v>215</v>
      </c>
    </row>
    <row r="59127" spans="129:129" x14ac:dyDescent="0.2">
      <c r="DY59127" s="185" t="s">
        <v>215</v>
      </c>
    </row>
    <row r="59128" spans="129:129" x14ac:dyDescent="0.2">
      <c r="DY59128" s="185" t="s">
        <v>215</v>
      </c>
    </row>
    <row r="59129" spans="129:129" x14ac:dyDescent="0.2">
      <c r="DY59129" s="185" t="s">
        <v>215</v>
      </c>
    </row>
    <row r="59130" spans="129:129" x14ac:dyDescent="0.2">
      <c r="DY59130" s="185" t="s">
        <v>215</v>
      </c>
    </row>
    <row r="59131" spans="129:129" x14ac:dyDescent="0.2">
      <c r="DY59131" s="185" t="s">
        <v>215</v>
      </c>
    </row>
    <row r="59132" spans="129:129" x14ac:dyDescent="0.2">
      <c r="DY59132" s="185" t="s">
        <v>215</v>
      </c>
    </row>
    <row r="59133" spans="129:129" x14ac:dyDescent="0.2">
      <c r="DY59133" s="185" t="s">
        <v>215</v>
      </c>
    </row>
    <row r="59134" spans="129:129" x14ac:dyDescent="0.2">
      <c r="DY59134" s="185" t="s">
        <v>215</v>
      </c>
    </row>
    <row r="59135" spans="129:129" x14ac:dyDescent="0.2">
      <c r="DY59135" s="185" t="s">
        <v>215</v>
      </c>
    </row>
    <row r="59136" spans="129:129" x14ac:dyDescent="0.2">
      <c r="DY59136" s="185" t="s">
        <v>215</v>
      </c>
    </row>
    <row r="59137" spans="129:129" x14ac:dyDescent="0.2">
      <c r="DY59137" s="185" t="s">
        <v>215</v>
      </c>
    </row>
    <row r="59138" spans="129:129" x14ac:dyDescent="0.2">
      <c r="DY59138" s="185" t="s">
        <v>215</v>
      </c>
    </row>
    <row r="59139" spans="129:129" x14ac:dyDescent="0.2">
      <c r="DY59139" s="185" t="s">
        <v>215</v>
      </c>
    </row>
    <row r="59140" spans="129:129" x14ac:dyDescent="0.2">
      <c r="DY59140" s="185" t="s">
        <v>215</v>
      </c>
    </row>
    <row r="59141" spans="129:129" x14ac:dyDescent="0.2">
      <c r="DY59141" s="185" t="s">
        <v>215</v>
      </c>
    </row>
    <row r="59142" spans="129:129" x14ac:dyDescent="0.2">
      <c r="DY59142" s="185" t="s">
        <v>215</v>
      </c>
    </row>
    <row r="59143" spans="129:129" x14ac:dyDescent="0.2">
      <c r="DY59143" s="185" t="s">
        <v>215</v>
      </c>
    </row>
    <row r="59144" spans="129:129" x14ac:dyDescent="0.2">
      <c r="DY59144" s="185" t="s">
        <v>215</v>
      </c>
    </row>
    <row r="59145" spans="129:129" x14ac:dyDescent="0.2">
      <c r="DY59145" s="185" t="s">
        <v>215</v>
      </c>
    </row>
    <row r="59146" spans="129:129" x14ac:dyDescent="0.2">
      <c r="DY59146" s="185" t="s">
        <v>215</v>
      </c>
    </row>
    <row r="59147" spans="129:129" x14ac:dyDescent="0.2">
      <c r="DY59147" s="185" t="s">
        <v>215</v>
      </c>
    </row>
    <row r="59148" spans="129:129" x14ac:dyDescent="0.2">
      <c r="DY59148" s="185" t="s">
        <v>215</v>
      </c>
    </row>
    <row r="59149" spans="129:129" x14ac:dyDescent="0.2">
      <c r="DY59149" s="185" t="s">
        <v>215</v>
      </c>
    </row>
    <row r="59150" spans="129:129" x14ac:dyDescent="0.2">
      <c r="DY59150" s="185" t="s">
        <v>215</v>
      </c>
    </row>
    <row r="59151" spans="129:129" x14ac:dyDescent="0.2">
      <c r="DY59151" s="185" t="s">
        <v>215</v>
      </c>
    </row>
    <row r="59152" spans="129:129" x14ac:dyDescent="0.2">
      <c r="DY59152" s="185" t="s">
        <v>215</v>
      </c>
    </row>
    <row r="59153" spans="129:129" x14ac:dyDescent="0.2">
      <c r="DY59153" s="185" t="s">
        <v>215</v>
      </c>
    </row>
    <row r="59154" spans="129:129" x14ac:dyDescent="0.2">
      <c r="DY59154" s="185" t="s">
        <v>215</v>
      </c>
    </row>
    <row r="59155" spans="129:129" x14ac:dyDescent="0.2">
      <c r="DY59155" s="185" t="s">
        <v>215</v>
      </c>
    </row>
    <row r="59156" spans="129:129" x14ac:dyDescent="0.2">
      <c r="DY59156" s="185" t="s">
        <v>215</v>
      </c>
    </row>
    <row r="59157" spans="129:129" x14ac:dyDescent="0.2">
      <c r="DY59157" s="185" t="s">
        <v>215</v>
      </c>
    </row>
    <row r="59158" spans="129:129" x14ac:dyDescent="0.2">
      <c r="DY59158" s="185" t="s">
        <v>215</v>
      </c>
    </row>
    <row r="59159" spans="129:129" x14ac:dyDescent="0.2">
      <c r="DY59159" s="185" t="s">
        <v>215</v>
      </c>
    </row>
    <row r="59160" spans="129:129" x14ac:dyDescent="0.2">
      <c r="DY59160" s="185" t="s">
        <v>215</v>
      </c>
    </row>
    <row r="59161" spans="129:129" x14ac:dyDescent="0.2">
      <c r="DY59161" s="185" t="s">
        <v>215</v>
      </c>
    </row>
    <row r="59162" spans="129:129" x14ac:dyDescent="0.2">
      <c r="DY59162" s="185" t="s">
        <v>215</v>
      </c>
    </row>
    <row r="59163" spans="129:129" x14ac:dyDescent="0.2">
      <c r="DY59163" s="185" t="s">
        <v>215</v>
      </c>
    </row>
    <row r="59164" spans="129:129" x14ac:dyDescent="0.2">
      <c r="DY59164" s="185" t="s">
        <v>215</v>
      </c>
    </row>
    <row r="59165" spans="129:129" x14ac:dyDescent="0.2">
      <c r="DY59165" s="185" t="s">
        <v>215</v>
      </c>
    </row>
    <row r="59166" spans="129:129" x14ac:dyDescent="0.2">
      <c r="DY59166" s="185" t="s">
        <v>215</v>
      </c>
    </row>
    <row r="59167" spans="129:129" x14ac:dyDescent="0.2">
      <c r="DY59167" s="185" t="s">
        <v>215</v>
      </c>
    </row>
    <row r="59168" spans="129:129" x14ac:dyDescent="0.2">
      <c r="DY59168" s="185" t="s">
        <v>215</v>
      </c>
    </row>
    <row r="59169" spans="129:129" x14ac:dyDescent="0.2">
      <c r="DY59169" s="185" t="s">
        <v>215</v>
      </c>
    </row>
    <row r="59170" spans="129:129" x14ac:dyDescent="0.2">
      <c r="DY59170" s="185" t="s">
        <v>215</v>
      </c>
    </row>
    <row r="59171" spans="129:129" x14ac:dyDescent="0.2">
      <c r="DY59171" s="185" t="s">
        <v>215</v>
      </c>
    </row>
    <row r="59172" spans="129:129" x14ac:dyDescent="0.2">
      <c r="DY59172" s="185" t="s">
        <v>215</v>
      </c>
    </row>
    <row r="59173" spans="129:129" x14ac:dyDescent="0.2">
      <c r="DY59173" s="185" t="s">
        <v>215</v>
      </c>
    </row>
    <row r="59174" spans="129:129" x14ac:dyDescent="0.2">
      <c r="DY59174" s="185" t="s">
        <v>215</v>
      </c>
    </row>
    <row r="59175" spans="129:129" x14ac:dyDescent="0.2">
      <c r="DY59175" s="185" t="s">
        <v>215</v>
      </c>
    </row>
    <row r="59176" spans="129:129" x14ac:dyDescent="0.2">
      <c r="DY59176" s="185" t="s">
        <v>215</v>
      </c>
    </row>
    <row r="59177" spans="129:129" x14ac:dyDescent="0.2">
      <c r="DY59177" s="185" t="s">
        <v>215</v>
      </c>
    </row>
    <row r="59178" spans="129:129" x14ac:dyDescent="0.2">
      <c r="DY59178" s="185" t="s">
        <v>215</v>
      </c>
    </row>
    <row r="59179" spans="129:129" x14ac:dyDescent="0.2">
      <c r="DY59179" s="185" t="s">
        <v>215</v>
      </c>
    </row>
    <row r="59180" spans="129:129" x14ac:dyDescent="0.2">
      <c r="DY59180" s="185" t="s">
        <v>215</v>
      </c>
    </row>
    <row r="59181" spans="129:129" x14ac:dyDescent="0.2">
      <c r="DY59181" s="185" t="s">
        <v>215</v>
      </c>
    </row>
    <row r="59182" spans="129:129" x14ac:dyDescent="0.2">
      <c r="DY59182" s="185" t="s">
        <v>215</v>
      </c>
    </row>
    <row r="59183" spans="129:129" x14ac:dyDescent="0.2">
      <c r="DY59183" s="185" t="s">
        <v>215</v>
      </c>
    </row>
    <row r="59184" spans="129:129" x14ac:dyDescent="0.2">
      <c r="DY59184" s="185" t="s">
        <v>215</v>
      </c>
    </row>
    <row r="59185" spans="129:129" x14ac:dyDescent="0.2">
      <c r="DY59185" s="185" t="s">
        <v>215</v>
      </c>
    </row>
    <row r="59186" spans="129:129" x14ac:dyDescent="0.2">
      <c r="DY59186" s="185" t="s">
        <v>215</v>
      </c>
    </row>
    <row r="59187" spans="129:129" x14ac:dyDescent="0.2">
      <c r="DY59187" s="185" t="s">
        <v>215</v>
      </c>
    </row>
    <row r="59188" spans="129:129" x14ac:dyDescent="0.2">
      <c r="DY59188" s="185" t="s">
        <v>215</v>
      </c>
    </row>
    <row r="59189" spans="129:129" x14ac:dyDescent="0.2">
      <c r="DY59189" s="185" t="s">
        <v>215</v>
      </c>
    </row>
    <row r="59190" spans="129:129" x14ac:dyDescent="0.2">
      <c r="DY59190" s="185" t="s">
        <v>215</v>
      </c>
    </row>
    <row r="59191" spans="129:129" x14ac:dyDescent="0.2">
      <c r="DY59191" s="185" t="s">
        <v>215</v>
      </c>
    </row>
    <row r="59192" spans="129:129" x14ac:dyDescent="0.2">
      <c r="DY59192" s="185" t="s">
        <v>215</v>
      </c>
    </row>
    <row r="59193" spans="129:129" x14ac:dyDescent="0.2">
      <c r="DY59193" s="185" t="s">
        <v>215</v>
      </c>
    </row>
    <row r="59194" spans="129:129" x14ac:dyDescent="0.2">
      <c r="DY59194" s="185" t="s">
        <v>215</v>
      </c>
    </row>
    <row r="59195" spans="129:129" x14ac:dyDescent="0.2">
      <c r="DY59195" s="185" t="s">
        <v>215</v>
      </c>
    </row>
    <row r="59196" spans="129:129" x14ac:dyDescent="0.2">
      <c r="DY59196" s="185" t="s">
        <v>215</v>
      </c>
    </row>
    <row r="59197" spans="129:129" x14ac:dyDescent="0.2">
      <c r="DY59197" s="185" t="s">
        <v>215</v>
      </c>
    </row>
    <row r="59198" spans="129:129" x14ac:dyDescent="0.2">
      <c r="DY59198" s="185" t="s">
        <v>215</v>
      </c>
    </row>
    <row r="59199" spans="129:129" x14ac:dyDescent="0.2">
      <c r="DY59199" s="185" t="s">
        <v>215</v>
      </c>
    </row>
    <row r="59200" spans="129:129" x14ac:dyDescent="0.2">
      <c r="DY59200" s="185" t="s">
        <v>215</v>
      </c>
    </row>
    <row r="59201" spans="129:129" x14ac:dyDescent="0.2">
      <c r="DY59201" s="185" t="s">
        <v>215</v>
      </c>
    </row>
    <row r="59202" spans="129:129" x14ac:dyDescent="0.2">
      <c r="DY59202" s="185" t="s">
        <v>215</v>
      </c>
    </row>
    <row r="59203" spans="129:129" x14ac:dyDescent="0.2">
      <c r="DY59203" s="185" t="s">
        <v>215</v>
      </c>
    </row>
    <row r="59204" spans="129:129" x14ac:dyDescent="0.2">
      <c r="DY59204" s="185" t="s">
        <v>215</v>
      </c>
    </row>
    <row r="59205" spans="129:129" x14ac:dyDescent="0.2">
      <c r="DY59205" s="185" t="s">
        <v>215</v>
      </c>
    </row>
    <row r="59206" spans="129:129" x14ac:dyDescent="0.2">
      <c r="DY59206" s="185" t="s">
        <v>215</v>
      </c>
    </row>
    <row r="59207" spans="129:129" x14ac:dyDescent="0.2">
      <c r="DY59207" s="185" t="s">
        <v>215</v>
      </c>
    </row>
    <row r="59208" spans="129:129" x14ac:dyDescent="0.2">
      <c r="DY59208" s="185" t="s">
        <v>215</v>
      </c>
    </row>
    <row r="59209" spans="129:129" x14ac:dyDescent="0.2">
      <c r="DY59209" s="185" t="s">
        <v>215</v>
      </c>
    </row>
    <row r="59210" spans="129:129" x14ac:dyDescent="0.2">
      <c r="DY59210" s="185" t="s">
        <v>215</v>
      </c>
    </row>
    <row r="59211" spans="129:129" x14ac:dyDescent="0.2">
      <c r="DY59211" s="185" t="s">
        <v>215</v>
      </c>
    </row>
    <row r="59212" spans="129:129" x14ac:dyDescent="0.2">
      <c r="DY59212" s="185" t="s">
        <v>215</v>
      </c>
    </row>
    <row r="59213" spans="129:129" x14ac:dyDescent="0.2">
      <c r="DY59213" s="185" t="s">
        <v>215</v>
      </c>
    </row>
    <row r="59214" spans="129:129" x14ac:dyDescent="0.2">
      <c r="DY59214" s="185" t="s">
        <v>215</v>
      </c>
    </row>
    <row r="59215" spans="129:129" x14ac:dyDescent="0.2">
      <c r="DY59215" s="185" t="s">
        <v>215</v>
      </c>
    </row>
    <row r="59216" spans="129:129" x14ac:dyDescent="0.2">
      <c r="DY59216" s="185" t="s">
        <v>215</v>
      </c>
    </row>
    <row r="59217" spans="129:129" x14ac:dyDescent="0.2">
      <c r="DY59217" s="185" t="s">
        <v>215</v>
      </c>
    </row>
    <row r="59218" spans="129:129" x14ac:dyDescent="0.2">
      <c r="DY59218" s="185" t="s">
        <v>215</v>
      </c>
    </row>
    <row r="59219" spans="129:129" x14ac:dyDescent="0.2">
      <c r="DY59219" s="185" t="s">
        <v>215</v>
      </c>
    </row>
    <row r="59220" spans="129:129" x14ac:dyDescent="0.2">
      <c r="DY59220" s="185" t="s">
        <v>215</v>
      </c>
    </row>
    <row r="59221" spans="129:129" x14ac:dyDescent="0.2">
      <c r="DY59221" s="185" t="s">
        <v>215</v>
      </c>
    </row>
    <row r="59222" spans="129:129" x14ac:dyDescent="0.2">
      <c r="DY59222" s="185" t="s">
        <v>215</v>
      </c>
    </row>
    <row r="59223" spans="129:129" x14ac:dyDescent="0.2">
      <c r="DY59223" s="185" t="s">
        <v>215</v>
      </c>
    </row>
    <row r="59224" spans="129:129" x14ac:dyDescent="0.2">
      <c r="DY59224" s="185" t="s">
        <v>215</v>
      </c>
    </row>
    <row r="59225" spans="129:129" x14ac:dyDescent="0.2">
      <c r="DY59225" s="185" t="s">
        <v>215</v>
      </c>
    </row>
    <row r="59226" spans="129:129" x14ac:dyDescent="0.2">
      <c r="DY59226" s="185" t="s">
        <v>215</v>
      </c>
    </row>
    <row r="59227" spans="129:129" x14ac:dyDescent="0.2">
      <c r="DY59227" s="185" t="s">
        <v>215</v>
      </c>
    </row>
    <row r="59228" spans="129:129" x14ac:dyDescent="0.2">
      <c r="DY59228" s="185" t="s">
        <v>215</v>
      </c>
    </row>
    <row r="59229" spans="129:129" x14ac:dyDescent="0.2">
      <c r="DY59229" s="185" t="s">
        <v>215</v>
      </c>
    </row>
    <row r="59230" spans="129:129" x14ac:dyDescent="0.2">
      <c r="DY59230" s="185" t="s">
        <v>215</v>
      </c>
    </row>
    <row r="59231" spans="129:129" x14ac:dyDescent="0.2">
      <c r="DY59231" s="185" t="s">
        <v>215</v>
      </c>
    </row>
    <row r="59232" spans="129:129" x14ac:dyDescent="0.2">
      <c r="DY59232" s="185" t="s">
        <v>215</v>
      </c>
    </row>
    <row r="59233" spans="129:129" x14ac:dyDescent="0.2">
      <c r="DY59233" s="185" t="s">
        <v>215</v>
      </c>
    </row>
    <row r="59234" spans="129:129" x14ac:dyDescent="0.2">
      <c r="DY59234" s="185" t="s">
        <v>215</v>
      </c>
    </row>
    <row r="59235" spans="129:129" x14ac:dyDescent="0.2">
      <c r="DY59235" s="185" t="s">
        <v>215</v>
      </c>
    </row>
    <row r="59236" spans="129:129" x14ac:dyDescent="0.2">
      <c r="DY59236" s="185" t="s">
        <v>215</v>
      </c>
    </row>
    <row r="59237" spans="129:129" x14ac:dyDescent="0.2">
      <c r="DY59237" s="185" t="s">
        <v>215</v>
      </c>
    </row>
    <row r="59238" spans="129:129" x14ac:dyDescent="0.2">
      <c r="DY59238" s="185" t="s">
        <v>215</v>
      </c>
    </row>
    <row r="59239" spans="129:129" x14ac:dyDescent="0.2">
      <c r="DY59239" s="185" t="s">
        <v>215</v>
      </c>
    </row>
    <row r="59240" spans="129:129" x14ac:dyDescent="0.2">
      <c r="DY59240" s="185" t="s">
        <v>215</v>
      </c>
    </row>
    <row r="59241" spans="129:129" x14ac:dyDescent="0.2">
      <c r="DY59241" s="185" t="s">
        <v>215</v>
      </c>
    </row>
    <row r="59242" spans="129:129" x14ac:dyDescent="0.2">
      <c r="DY59242" s="185" t="s">
        <v>215</v>
      </c>
    </row>
    <row r="59243" spans="129:129" x14ac:dyDescent="0.2">
      <c r="DY59243" s="185" t="s">
        <v>215</v>
      </c>
    </row>
    <row r="59244" spans="129:129" x14ac:dyDescent="0.2">
      <c r="DY59244" s="185" t="s">
        <v>215</v>
      </c>
    </row>
    <row r="59245" spans="129:129" x14ac:dyDescent="0.2">
      <c r="DY59245" s="185" t="s">
        <v>215</v>
      </c>
    </row>
    <row r="59246" spans="129:129" x14ac:dyDescent="0.2">
      <c r="DY59246" s="185" t="s">
        <v>215</v>
      </c>
    </row>
    <row r="59247" spans="129:129" x14ac:dyDescent="0.2">
      <c r="DY59247" s="185" t="s">
        <v>215</v>
      </c>
    </row>
    <row r="59248" spans="129:129" x14ac:dyDescent="0.2">
      <c r="DY59248" s="185" t="s">
        <v>215</v>
      </c>
    </row>
    <row r="59249" spans="129:129" x14ac:dyDescent="0.2">
      <c r="DY59249" s="185" t="s">
        <v>215</v>
      </c>
    </row>
    <row r="59250" spans="129:129" x14ac:dyDescent="0.2">
      <c r="DY59250" s="185" t="s">
        <v>215</v>
      </c>
    </row>
    <row r="59251" spans="129:129" x14ac:dyDescent="0.2">
      <c r="DY59251" s="185" t="s">
        <v>215</v>
      </c>
    </row>
    <row r="59252" spans="129:129" x14ac:dyDescent="0.2">
      <c r="DY59252" s="185" t="s">
        <v>215</v>
      </c>
    </row>
    <row r="59253" spans="129:129" x14ac:dyDescent="0.2">
      <c r="DY59253" s="185" t="s">
        <v>215</v>
      </c>
    </row>
    <row r="59254" spans="129:129" x14ac:dyDescent="0.2">
      <c r="DY59254" s="185" t="s">
        <v>215</v>
      </c>
    </row>
    <row r="59255" spans="129:129" x14ac:dyDescent="0.2">
      <c r="DY59255" s="185" t="s">
        <v>215</v>
      </c>
    </row>
    <row r="59256" spans="129:129" x14ac:dyDescent="0.2">
      <c r="DY59256" s="185" t="s">
        <v>215</v>
      </c>
    </row>
    <row r="59257" spans="129:129" x14ac:dyDescent="0.2">
      <c r="DY59257" s="185" t="s">
        <v>215</v>
      </c>
    </row>
    <row r="59258" spans="129:129" x14ac:dyDescent="0.2">
      <c r="DY59258" s="185" t="s">
        <v>215</v>
      </c>
    </row>
    <row r="59259" spans="129:129" x14ac:dyDescent="0.2">
      <c r="DY59259" s="185" t="s">
        <v>215</v>
      </c>
    </row>
    <row r="59260" spans="129:129" x14ac:dyDescent="0.2">
      <c r="DY59260" s="185" t="s">
        <v>215</v>
      </c>
    </row>
    <row r="59261" spans="129:129" x14ac:dyDescent="0.2">
      <c r="DY59261" s="185" t="s">
        <v>215</v>
      </c>
    </row>
    <row r="59262" spans="129:129" x14ac:dyDescent="0.2">
      <c r="DY59262" s="185" t="s">
        <v>215</v>
      </c>
    </row>
    <row r="59263" spans="129:129" x14ac:dyDescent="0.2">
      <c r="DY59263" s="185" t="s">
        <v>215</v>
      </c>
    </row>
    <row r="59264" spans="129:129" x14ac:dyDescent="0.2">
      <c r="DY59264" s="185" t="s">
        <v>215</v>
      </c>
    </row>
    <row r="59265" spans="129:129" x14ac:dyDescent="0.2">
      <c r="DY59265" s="185" t="s">
        <v>215</v>
      </c>
    </row>
    <row r="59266" spans="129:129" x14ac:dyDescent="0.2">
      <c r="DY59266" s="185" t="s">
        <v>215</v>
      </c>
    </row>
    <row r="59267" spans="129:129" x14ac:dyDescent="0.2">
      <c r="DY59267" s="185" t="s">
        <v>215</v>
      </c>
    </row>
    <row r="59268" spans="129:129" x14ac:dyDescent="0.2">
      <c r="DY59268" s="185" t="s">
        <v>215</v>
      </c>
    </row>
    <row r="59269" spans="129:129" x14ac:dyDescent="0.2">
      <c r="DY59269" s="185" t="s">
        <v>215</v>
      </c>
    </row>
    <row r="59270" spans="129:129" x14ac:dyDescent="0.2">
      <c r="DY59270" s="185" t="s">
        <v>215</v>
      </c>
    </row>
    <row r="59271" spans="129:129" x14ac:dyDescent="0.2">
      <c r="DY59271" s="185" t="s">
        <v>215</v>
      </c>
    </row>
    <row r="59272" spans="129:129" x14ac:dyDescent="0.2">
      <c r="DY59272" s="185" t="s">
        <v>215</v>
      </c>
    </row>
    <row r="59273" spans="129:129" x14ac:dyDescent="0.2">
      <c r="DY59273" s="185" t="s">
        <v>215</v>
      </c>
    </row>
    <row r="59274" spans="129:129" x14ac:dyDescent="0.2">
      <c r="DY59274" s="185" t="s">
        <v>215</v>
      </c>
    </row>
    <row r="59275" spans="129:129" x14ac:dyDescent="0.2">
      <c r="DY59275" s="185" t="s">
        <v>215</v>
      </c>
    </row>
    <row r="59276" spans="129:129" x14ac:dyDescent="0.2">
      <c r="DY59276" s="185" t="s">
        <v>215</v>
      </c>
    </row>
    <row r="59277" spans="129:129" x14ac:dyDescent="0.2">
      <c r="DY59277" s="185" t="s">
        <v>215</v>
      </c>
    </row>
    <row r="59278" spans="129:129" x14ac:dyDescent="0.2">
      <c r="DY59278" s="185" t="s">
        <v>215</v>
      </c>
    </row>
    <row r="59279" spans="129:129" x14ac:dyDescent="0.2">
      <c r="DY59279" s="185" t="s">
        <v>215</v>
      </c>
    </row>
    <row r="59280" spans="129:129" x14ac:dyDescent="0.2">
      <c r="DY59280" s="185" t="s">
        <v>215</v>
      </c>
    </row>
    <row r="59281" spans="129:129" x14ac:dyDescent="0.2">
      <c r="DY59281" s="185" t="s">
        <v>215</v>
      </c>
    </row>
    <row r="59282" spans="129:129" x14ac:dyDescent="0.2">
      <c r="DY59282" s="185" t="s">
        <v>215</v>
      </c>
    </row>
    <row r="59283" spans="129:129" x14ac:dyDescent="0.2">
      <c r="DY59283" s="185" t="s">
        <v>215</v>
      </c>
    </row>
    <row r="59284" spans="129:129" x14ac:dyDescent="0.2">
      <c r="DY59284" s="185" t="s">
        <v>215</v>
      </c>
    </row>
    <row r="59285" spans="129:129" x14ac:dyDescent="0.2">
      <c r="DY59285" s="185" t="s">
        <v>215</v>
      </c>
    </row>
    <row r="59286" spans="129:129" x14ac:dyDescent="0.2">
      <c r="DY59286" s="185" t="s">
        <v>215</v>
      </c>
    </row>
    <row r="59287" spans="129:129" x14ac:dyDescent="0.2">
      <c r="DY59287" s="185" t="s">
        <v>215</v>
      </c>
    </row>
    <row r="59288" spans="129:129" x14ac:dyDescent="0.2">
      <c r="DY59288" s="185" t="s">
        <v>215</v>
      </c>
    </row>
    <row r="59289" spans="129:129" x14ac:dyDescent="0.2">
      <c r="DY59289" s="185" t="s">
        <v>215</v>
      </c>
    </row>
    <row r="59290" spans="129:129" x14ac:dyDescent="0.2">
      <c r="DY59290" s="185" t="s">
        <v>215</v>
      </c>
    </row>
    <row r="59291" spans="129:129" x14ac:dyDescent="0.2">
      <c r="DY59291" s="185" t="s">
        <v>215</v>
      </c>
    </row>
    <row r="59292" spans="129:129" x14ac:dyDescent="0.2">
      <c r="DY59292" s="185" t="s">
        <v>215</v>
      </c>
    </row>
    <row r="59293" spans="129:129" x14ac:dyDescent="0.2">
      <c r="DY59293" s="185" t="s">
        <v>215</v>
      </c>
    </row>
    <row r="59294" spans="129:129" x14ac:dyDescent="0.2">
      <c r="DY59294" s="185" t="s">
        <v>215</v>
      </c>
    </row>
    <row r="59295" spans="129:129" x14ac:dyDescent="0.2">
      <c r="DY59295" s="185" t="s">
        <v>215</v>
      </c>
    </row>
    <row r="59296" spans="129:129" x14ac:dyDescent="0.2">
      <c r="DY59296" s="185" t="s">
        <v>215</v>
      </c>
    </row>
    <row r="59297" spans="129:129" x14ac:dyDescent="0.2">
      <c r="DY59297" s="185" t="s">
        <v>215</v>
      </c>
    </row>
    <row r="59298" spans="129:129" x14ac:dyDescent="0.2">
      <c r="DY59298" s="185" t="s">
        <v>215</v>
      </c>
    </row>
    <row r="59299" spans="129:129" x14ac:dyDescent="0.2">
      <c r="DY59299" s="185" t="s">
        <v>215</v>
      </c>
    </row>
    <row r="59300" spans="129:129" x14ac:dyDescent="0.2">
      <c r="DY59300" s="185" t="s">
        <v>215</v>
      </c>
    </row>
    <row r="59301" spans="129:129" x14ac:dyDescent="0.2">
      <c r="DY59301" s="185" t="s">
        <v>215</v>
      </c>
    </row>
    <row r="59302" spans="129:129" x14ac:dyDescent="0.2">
      <c r="DY59302" s="185" t="s">
        <v>215</v>
      </c>
    </row>
    <row r="59303" spans="129:129" x14ac:dyDescent="0.2">
      <c r="DY59303" s="185" t="s">
        <v>215</v>
      </c>
    </row>
    <row r="59304" spans="129:129" x14ac:dyDescent="0.2">
      <c r="DY59304" s="185" t="s">
        <v>215</v>
      </c>
    </row>
    <row r="59305" spans="129:129" x14ac:dyDescent="0.2">
      <c r="DY59305" s="185" t="s">
        <v>215</v>
      </c>
    </row>
    <row r="59306" spans="129:129" x14ac:dyDescent="0.2">
      <c r="DY59306" s="185" t="s">
        <v>215</v>
      </c>
    </row>
    <row r="59307" spans="129:129" x14ac:dyDescent="0.2">
      <c r="DY59307" s="185" t="s">
        <v>215</v>
      </c>
    </row>
    <row r="59308" spans="129:129" x14ac:dyDescent="0.2">
      <c r="DY59308" s="185" t="s">
        <v>215</v>
      </c>
    </row>
    <row r="59309" spans="129:129" x14ac:dyDescent="0.2">
      <c r="DY59309" s="185" t="s">
        <v>215</v>
      </c>
    </row>
    <row r="59310" spans="129:129" x14ac:dyDescent="0.2">
      <c r="DY59310" s="185" t="s">
        <v>215</v>
      </c>
    </row>
    <row r="59311" spans="129:129" x14ac:dyDescent="0.2">
      <c r="DY59311" s="185" t="s">
        <v>215</v>
      </c>
    </row>
    <row r="59312" spans="129:129" x14ac:dyDescent="0.2">
      <c r="DY59312" s="185" t="s">
        <v>215</v>
      </c>
    </row>
    <row r="59313" spans="129:129" x14ac:dyDescent="0.2">
      <c r="DY59313" s="185" t="s">
        <v>215</v>
      </c>
    </row>
    <row r="59314" spans="129:129" x14ac:dyDescent="0.2">
      <c r="DY59314" s="185" t="s">
        <v>215</v>
      </c>
    </row>
    <row r="59315" spans="129:129" x14ac:dyDescent="0.2">
      <c r="DY59315" s="185" t="s">
        <v>215</v>
      </c>
    </row>
    <row r="59316" spans="129:129" x14ac:dyDescent="0.2">
      <c r="DY59316" s="185" t="s">
        <v>215</v>
      </c>
    </row>
    <row r="59317" spans="129:129" x14ac:dyDescent="0.2">
      <c r="DY59317" s="185" t="s">
        <v>215</v>
      </c>
    </row>
    <row r="59318" spans="129:129" x14ac:dyDescent="0.2">
      <c r="DY59318" s="185" t="s">
        <v>215</v>
      </c>
    </row>
    <row r="59319" spans="129:129" x14ac:dyDescent="0.2">
      <c r="DY59319" s="185" t="s">
        <v>215</v>
      </c>
    </row>
    <row r="59320" spans="129:129" x14ac:dyDescent="0.2">
      <c r="DY59320" s="185" t="s">
        <v>215</v>
      </c>
    </row>
    <row r="59321" spans="129:129" x14ac:dyDescent="0.2">
      <c r="DY59321" s="185" t="s">
        <v>215</v>
      </c>
    </row>
    <row r="59322" spans="129:129" x14ac:dyDescent="0.2">
      <c r="DY59322" s="185" t="s">
        <v>215</v>
      </c>
    </row>
    <row r="59323" spans="129:129" x14ac:dyDescent="0.2">
      <c r="DY59323" s="185" t="s">
        <v>215</v>
      </c>
    </row>
    <row r="59324" spans="129:129" x14ac:dyDescent="0.2">
      <c r="DY59324" s="185" t="s">
        <v>215</v>
      </c>
    </row>
    <row r="59325" spans="129:129" x14ac:dyDescent="0.2">
      <c r="DY59325" s="185" t="s">
        <v>215</v>
      </c>
    </row>
    <row r="59326" spans="129:129" x14ac:dyDescent="0.2">
      <c r="DY59326" s="185" t="s">
        <v>215</v>
      </c>
    </row>
    <row r="59327" spans="129:129" x14ac:dyDescent="0.2">
      <c r="DY59327" s="185" t="s">
        <v>215</v>
      </c>
    </row>
    <row r="59328" spans="129:129" x14ac:dyDescent="0.2">
      <c r="DY59328" s="185" t="s">
        <v>215</v>
      </c>
    </row>
    <row r="59329" spans="129:129" x14ac:dyDescent="0.2">
      <c r="DY59329" s="185" t="s">
        <v>215</v>
      </c>
    </row>
    <row r="59330" spans="129:129" x14ac:dyDescent="0.2">
      <c r="DY59330" s="185" t="s">
        <v>215</v>
      </c>
    </row>
    <row r="59331" spans="129:129" x14ac:dyDescent="0.2">
      <c r="DY59331" s="185" t="s">
        <v>215</v>
      </c>
    </row>
    <row r="59332" spans="129:129" x14ac:dyDescent="0.2">
      <c r="DY59332" s="185" t="s">
        <v>215</v>
      </c>
    </row>
    <row r="59333" spans="129:129" x14ac:dyDescent="0.2">
      <c r="DY59333" s="185" t="s">
        <v>215</v>
      </c>
    </row>
    <row r="59334" spans="129:129" x14ac:dyDescent="0.2">
      <c r="DY59334" s="185" t="s">
        <v>215</v>
      </c>
    </row>
    <row r="59335" spans="129:129" x14ac:dyDescent="0.2">
      <c r="DY59335" s="185" t="s">
        <v>215</v>
      </c>
    </row>
    <row r="59336" spans="129:129" x14ac:dyDescent="0.2">
      <c r="DY59336" s="185" t="s">
        <v>215</v>
      </c>
    </row>
    <row r="59337" spans="129:129" x14ac:dyDescent="0.2">
      <c r="DY59337" s="185" t="s">
        <v>215</v>
      </c>
    </row>
    <row r="59338" spans="129:129" x14ac:dyDescent="0.2">
      <c r="DY59338" s="185" t="s">
        <v>215</v>
      </c>
    </row>
    <row r="59339" spans="129:129" x14ac:dyDescent="0.2">
      <c r="DY59339" s="185" t="s">
        <v>215</v>
      </c>
    </row>
    <row r="59340" spans="129:129" x14ac:dyDescent="0.2">
      <c r="DY59340" s="185" t="s">
        <v>215</v>
      </c>
    </row>
    <row r="59341" spans="129:129" x14ac:dyDescent="0.2">
      <c r="DY59341" s="185" t="s">
        <v>215</v>
      </c>
    </row>
    <row r="59342" spans="129:129" x14ac:dyDescent="0.2">
      <c r="DY59342" s="185" t="s">
        <v>215</v>
      </c>
    </row>
    <row r="59343" spans="129:129" x14ac:dyDescent="0.2">
      <c r="DY59343" s="185" t="s">
        <v>215</v>
      </c>
    </row>
    <row r="59344" spans="129:129" x14ac:dyDescent="0.2">
      <c r="DY59344" s="185" t="s">
        <v>215</v>
      </c>
    </row>
    <row r="59345" spans="129:129" x14ac:dyDescent="0.2">
      <c r="DY59345" s="185" t="s">
        <v>215</v>
      </c>
    </row>
    <row r="59346" spans="129:129" x14ac:dyDescent="0.2">
      <c r="DY59346" s="185" t="s">
        <v>215</v>
      </c>
    </row>
    <row r="59347" spans="129:129" x14ac:dyDescent="0.2">
      <c r="DY59347" s="185" t="s">
        <v>215</v>
      </c>
    </row>
    <row r="59348" spans="129:129" x14ac:dyDescent="0.2">
      <c r="DY59348" s="185" t="s">
        <v>215</v>
      </c>
    </row>
    <row r="59349" spans="129:129" x14ac:dyDescent="0.2">
      <c r="DY59349" s="185" t="s">
        <v>215</v>
      </c>
    </row>
    <row r="59350" spans="129:129" x14ac:dyDescent="0.2">
      <c r="DY59350" s="185" t="s">
        <v>215</v>
      </c>
    </row>
    <row r="59351" spans="129:129" x14ac:dyDescent="0.2">
      <c r="DY59351" s="185" t="s">
        <v>215</v>
      </c>
    </row>
    <row r="59352" spans="129:129" x14ac:dyDescent="0.2">
      <c r="DY59352" s="185" t="s">
        <v>215</v>
      </c>
    </row>
    <row r="59353" spans="129:129" x14ac:dyDescent="0.2">
      <c r="DY59353" s="185" t="s">
        <v>215</v>
      </c>
    </row>
    <row r="59354" spans="129:129" x14ac:dyDescent="0.2">
      <c r="DY59354" s="185" t="s">
        <v>215</v>
      </c>
    </row>
    <row r="59355" spans="129:129" x14ac:dyDescent="0.2">
      <c r="DY59355" s="185" t="s">
        <v>215</v>
      </c>
    </row>
    <row r="59356" spans="129:129" x14ac:dyDescent="0.2">
      <c r="DY59356" s="185" t="s">
        <v>215</v>
      </c>
    </row>
    <row r="59357" spans="129:129" x14ac:dyDescent="0.2">
      <c r="DY59357" s="185" t="s">
        <v>215</v>
      </c>
    </row>
    <row r="59358" spans="129:129" x14ac:dyDescent="0.2">
      <c r="DY59358" s="185" t="s">
        <v>215</v>
      </c>
    </row>
    <row r="59359" spans="129:129" x14ac:dyDescent="0.2">
      <c r="DY59359" s="185" t="s">
        <v>215</v>
      </c>
    </row>
    <row r="59360" spans="129:129" x14ac:dyDescent="0.2">
      <c r="DY59360" s="185" t="s">
        <v>215</v>
      </c>
    </row>
    <row r="59361" spans="129:129" x14ac:dyDescent="0.2">
      <c r="DY59361" s="185" t="s">
        <v>215</v>
      </c>
    </row>
    <row r="59362" spans="129:129" x14ac:dyDescent="0.2">
      <c r="DY59362" s="185" t="s">
        <v>215</v>
      </c>
    </row>
    <row r="59363" spans="129:129" x14ac:dyDescent="0.2">
      <c r="DY59363" s="185" t="s">
        <v>215</v>
      </c>
    </row>
    <row r="59364" spans="129:129" x14ac:dyDescent="0.2">
      <c r="DY59364" s="185" t="s">
        <v>215</v>
      </c>
    </row>
    <row r="59365" spans="129:129" x14ac:dyDescent="0.2">
      <c r="DY59365" s="185" t="s">
        <v>215</v>
      </c>
    </row>
    <row r="59366" spans="129:129" x14ac:dyDescent="0.2">
      <c r="DY59366" s="185" t="s">
        <v>215</v>
      </c>
    </row>
    <row r="59367" spans="129:129" x14ac:dyDescent="0.2">
      <c r="DY59367" s="185" t="s">
        <v>215</v>
      </c>
    </row>
    <row r="59368" spans="129:129" x14ac:dyDescent="0.2">
      <c r="DY59368" s="185" t="s">
        <v>215</v>
      </c>
    </row>
    <row r="59369" spans="129:129" x14ac:dyDescent="0.2">
      <c r="DY59369" s="185" t="s">
        <v>215</v>
      </c>
    </row>
    <row r="59370" spans="129:129" x14ac:dyDescent="0.2">
      <c r="DY59370" s="185" t="s">
        <v>215</v>
      </c>
    </row>
    <row r="59371" spans="129:129" x14ac:dyDescent="0.2">
      <c r="DY59371" s="185" t="s">
        <v>215</v>
      </c>
    </row>
    <row r="59372" spans="129:129" x14ac:dyDescent="0.2">
      <c r="DY59372" s="185" t="s">
        <v>215</v>
      </c>
    </row>
    <row r="59373" spans="129:129" x14ac:dyDescent="0.2">
      <c r="DY59373" s="185" t="s">
        <v>215</v>
      </c>
    </row>
    <row r="59374" spans="129:129" x14ac:dyDescent="0.2">
      <c r="DY59374" s="185" t="s">
        <v>215</v>
      </c>
    </row>
    <row r="59375" spans="129:129" x14ac:dyDescent="0.2">
      <c r="DY59375" s="185" t="s">
        <v>215</v>
      </c>
    </row>
    <row r="59376" spans="129:129" x14ac:dyDescent="0.2">
      <c r="DY59376" s="185" t="s">
        <v>215</v>
      </c>
    </row>
    <row r="59377" spans="129:129" x14ac:dyDescent="0.2">
      <c r="DY59377" s="185" t="s">
        <v>215</v>
      </c>
    </row>
    <row r="59378" spans="129:129" x14ac:dyDescent="0.2">
      <c r="DY59378" s="185" t="s">
        <v>215</v>
      </c>
    </row>
    <row r="59379" spans="129:129" x14ac:dyDescent="0.2">
      <c r="DY59379" s="185" t="s">
        <v>215</v>
      </c>
    </row>
    <row r="59380" spans="129:129" x14ac:dyDescent="0.2">
      <c r="DY59380" s="185" t="s">
        <v>215</v>
      </c>
    </row>
    <row r="59381" spans="129:129" x14ac:dyDescent="0.2">
      <c r="DY59381" s="185" t="s">
        <v>215</v>
      </c>
    </row>
    <row r="59382" spans="129:129" x14ac:dyDescent="0.2">
      <c r="DY59382" s="185" t="s">
        <v>215</v>
      </c>
    </row>
    <row r="59383" spans="129:129" x14ac:dyDescent="0.2">
      <c r="DY59383" s="185" t="s">
        <v>215</v>
      </c>
    </row>
    <row r="59384" spans="129:129" x14ac:dyDescent="0.2">
      <c r="DY59384" s="185" t="s">
        <v>215</v>
      </c>
    </row>
    <row r="59385" spans="129:129" x14ac:dyDescent="0.2">
      <c r="DY59385" s="185" t="s">
        <v>215</v>
      </c>
    </row>
    <row r="59386" spans="129:129" x14ac:dyDescent="0.2">
      <c r="DY59386" s="185" t="s">
        <v>215</v>
      </c>
    </row>
    <row r="59387" spans="129:129" x14ac:dyDescent="0.2">
      <c r="DY59387" s="185" t="s">
        <v>215</v>
      </c>
    </row>
    <row r="59388" spans="129:129" x14ac:dyDescent="0.2">
      <c r="DY59388" s="185" t="s">
        <v>215</v>
      </c>
    </row>
    <row r="59389" spans="129:129" x14ac:dyDescent="0.2">
      <c r="DY59389" s="185" t="s">
        <v>215</v>
      </c>
    </row>
    <row r="59390" spans="129:129" x14ac:dyDescent="0.2">
      <c r="DY59390" s="185" t="s">
        <v>215</v>
      </c>
    </row>
    <row r="59391" spans="129:129" x14ac:dyDescent="0.2">
      <c r="DY59391" s="185" t="s">
        <v>215</v>
      </c>
    </row>
    <row r="59392" spans="129:129" x14ac:dyDescent="0.2">
      <c r="DY59392" s="185" t="s">
        <v>215</v>
      </c>
    </row>
    <row r="59393" spans="129:129" x14ac:dyDescent="0.2">
      <c r="DY59393" s="185" t="s">
        <v>215</v>
      </c>
    </row>
    <row r="59394" spans="129:129" x14ac:dyDescent="0.2">
      <c r="DY59394" s="185" t="s">
        <v>215</v>
      </c>
    </row>
    <row r="59395" spans="129:129" x14ac:dyDescent="0.2">
      <c r="DY59395" s="185" t="s">
        <v>215</v>
      </c>
    </row>
    <row r="59396" spans="129:129" x14ac:dyDescent="0.2">
      <c r="DY59396" s="185" t="s">
        <v>215</v>
      </c>
    </row>
    <row r="59397" spans="129:129" x14ac:dyDescent="0.2">
      <c r="DY59397" s="185" t="s">
        <v>215</v>
      </c>
    </row>
    <row r="59398" spans="129:129" x14ac:dyDescent="0.2">
      <c r="DY59398" s="185" t="s">
        <v>215</v>
      </c>
    </row>
    <row r="59399" spans="129:129" x14ac:dyDescent="0.2">
      <c r="DY59399" s="185" t="s">
        <v>215</v>
      </c>
    </row>
    <row r="59400" spans="129:129" x14ac:dyDescent="0.2">
      <c r="DY59400" s="185" t="s">
        <v>215</v>
      </c>
    </row>
    <row r="59401" spans="129:129" x14ac:dyDescent="0.2">
      <c r="DY59401" s="185" t="s">
        <v>215</v>
      </c>
    </row>
    <row r="59402" spans="129:129" x14ac:dyDescent="0.2">
      <c r="DY59402" s="185" t="s">
        <v>215</v>
      </c>
    </row>
    <row r="59403" spans="129:129" x14ac:dyDescent="0.2">
      <c r="DY59403" s="185" t="s">
        <v>215</v>
      </c>
    </row>
    <row r="59404" spans="129:129" x14ac:dyDescent="0.2">
      <c r="DY59404" s="185" t="s">
        <v>215</v>
      </c>
    </row>
    <row r="59405" spans="129:129" x14ac:dyDescent="0.2">
      <c r="DY59405" s="185" t="s">
        <v>215</v>
      </c>
    </row>
    <row r="59406" spans="129:129" x14ac:dyDescent="0.2">
      <c r="DY59406" s="185" t="s">
        <v>215</v>
      </c>
    </row>
    <row r="59407" spans="129:129" x14ac:dyDescent="0.2">
      <c r="DY59407" s="185" t="s">
        <v>215</v>
      </c>
    </row>
    <row r="59408" spans="129:129" x14ac:dyDescent="0.2">
      <c r="DY59408" s="185" t="s">
        <v>215</v>
      </c>
    </row>
    <row r="59409" spans="129:129" x14ac:dyDescent="0.2">
      <c r="DY59409" s="185" t="s">
        <v>215</v>
      </c>
    </row>
    <row r="59410" spans="129:129" x14ac:dyDescent="0.2">
      <c r="DY59410" s="185" t="s">
        <v>215</v>
      </c>
    </row>
    <row r="59411" spans="129:129" x14ac:dyDescent="0.2">
      <c r="DY59411" s="185" t="s">
        <v>215</v>
      </c>
    </row>
    <row r="59412" spans="129:129" x14ac:dyDescent="0.2">
      <c r="DY59412" s="185" t="s">
        <v>215</v>
      </c>
    </row>
    <row r="59413" spans="129:129" x14ac:dyDescent="0.2">
      <c r="DY59413" s="185" t="s">
        <v>215</v>
      </c>
    </row>
    <row r="59414" spans="129:129" x14ac:dyDescent="0.2">
      <c r="DY59414" s="185" t="s">
        <v>215</v>
      </c>
    </row>
    <row r="59415" spans="129:129" x14ac:dyDescent="0.2">
      <c r="DY59415" s="185" t="s">
        <v>215</v>
      </c>
    </row>
    <row r="59416" spans="129:129" x14ac:dyDescent="0.2">
      <c r="DY59416" s="185" t="s">
        <v>215</v>
      </c>
    </row>
    <row r="59417" spans="129:129" x14ac:dyDescent="0.2">
      <c r="DY59417" s="185" t="s">
        <v>215</v>
      </c>
    </row>
    <row r="59418" spans="129:129" x14ac:dyDescent="0.2">
      <c r="DY59418" s="185" t="s">
        <v>215</v>
      </c>
    </row>
    <row r="59419" spans="129:129" x14ac:dyDescent="0.2">
      <c r="DY59419" s="185" t="s">
        <v>215</v>
      </c>
    </row>
    <row r="59420" spans="129:129" x14ac:dyDescent="0.2">
      <c r="DY59420" s="185" t="s">
        <v>215</v>
      </c>
    </row>
    <row r="59421" spans="129:129" x14ac:dyDescent="0.2">
      <c r="DY59421" s="185" t="s">
        <v>215</v>
      </c>
    </row>
    <row r="59422" spans="129:129" x14ac:dyDescent="0.2">
      <c r="DY59422" s="185" t="s">
        <v>215</v>
      </c>
    </row>
    <row r="59423" spans="129:129" x14ac:dyDescent="0.2">
      <c r="DY59423" s="185" t="s">
        <v>215</v>
      </c>
    </row>
    <row r="59424" spans="129:129" x14ac:dyDescent="0.2">
      <c r="DY59424" s="185" t="s">
        <v>215</v>
      </c>
    </row>
    <row r="59425" spans="129:129" x14ac:dyDescent="0.2">
      <c r="DY59425" s="185" t="s">
        <v>215</v>
      </c>
    </row>
    <row r="59426" spans="129:129" x14ac:dyDescent="0.2">
      <c r="DY59426" s="185" t="s">
        <v>215</v>
      </c>
    </row>
    <row r="59427" spans="129:129" x14ac:dyDescent="0.2">
      <c r="DY59427" s="185" t="s">
        <v>215</v>
      </c>
    </row>
    <row r="59428" spans="129:129" x14ac:dyDescent="0.2">
      <c r="DY59428" s="185" t="s">
        <v>215</v>
      </c>
    </row>
    <row r="59429" spans="129:129" x14ac:dyDescent="0.2">
      <c r="DY59429" s="185" t="s">
        <v>215</v>
      </c>
    </row>
    <row r="59430" spans="129:129" x14ac:dyDescent="0.2">
      <c r="DY59430" s="185" t="s">
        <v>215</v>
      </c>
    </row>
    <row r="59431" spans="129:129" x14ac:dyDescent="0.2">
      <c r="DY59431" s="185" t="s">
        <v>215</v>
      </c>
    </row>
    <row r="59432" spans="129:129" x14ac:dyDescent="0.2">
      <c r="DY59432" s="185" t="s">
        <v>215</v>
      </c>
    </row>
    <row r="59433" spans="129:129" x14ac:dyDescent="0.2">
      <c r="DY59433" s="185" t="s">
        <v>215</v>
      </c>
    </row>
    <row r="59434" spans="129:129" x14ac:dyDescent="0.2">
      <c r="DY59434" s="185" t="s">
        <v>215</v>
      </c>
    </row>
    <row r="59435" spans="129:129" x14ac:dyDescent="0.2">
      <c r="DY59435" s="185" t="s">
        <v>215</v>
      </c>
    </row>
    <row r="59436" spans="129:129" x14ac:dyDescent="0.2">
      <c r="DY59436" s="185" t="s">
        <v>215</v>
      </c>
    </row>
    <row r="59437" spans="129:129" x14ac:dyDescent="0.2">
      <c r="DY59437" s="185" t="s">
        <v>215</v>
      </c>
    </row>
    <row r="59438" spans="129:129" x14ac:dyDescent="0.2">
      <c r="DY59438" s="185" t="s">
        <v>215</v>
      </c>
    </row>
    <row r="59439" spans="129:129" x14ac:dyDescent="0.2">
      <c r="DY59439" s="185" t="s">
        <v>215</v>
      </c>
    </row>
    <row r="59440" spans="129:129" x14ac:dyDescent="0.2">
      <c r="DY59440" s="185" t="s">
        <v>215</v>
      </c>
    </row>
    <row r="59441" spans="129:129" x14ac:dyDescent="0.2">
      <c r="DY59441" s="185" t="s">
        <v>215</v>
      </c>
    </row>
    <row r="59442" spans="129:129" x14ac:dyDescent="0.2">
      <c r="DY59442" s="185" t="s">
        <v>215</v>
      </c>
    </row>
    <row r="59443" spans="129:129" x14ac:dyDescent="0.2">
      <c r="DY59443" s="185" t="s">
        <v>215</v>
      </c>
    </row>
    <row r="59444" spans="129:129" x14ac:dyDescent="0.2">
      <c r="DY59444" s="185" t="s">
        <v>215</v>
      </c>
    </row>
    <row r="59445" spans="129:129" x14ac:dyDescent="0.2">
      <c r="DY59445" s="185" t="s">
        <v>215</v>
      </c>
    </row>
    <row r="59446" spans="129:129" x14ac:dyDescent="0.2">
      <c r="DY59446" s="185" t="s">
        <v>215</v>
      </c>
    </row>
    <row r="59447" spans="129:129" x14ac:dyDescent="0.2">
      <c r="DY59447" s="185" t="s">
        <v>215</v>
      </c>
    </row>
    <row r="59448" spans="129:129" x14ac:dyDescent="0.2">
      <c r="DY59448" s="185" t="s">
        <v>215</v>
      </c>
    </row>
    <row r="59449" spans="129:129" x14ac:dyDescent="0.2">
      <c r="DY59449" s="185" t="s">
        <v>215</v>
      </c>
    </row>
    <row r="59450" spans="129:129" x14ac:dyDescent="0.2">
      <c r="DY59450" s="185" t="s">
        <v>215</v>
      </c>
    </row>
    <row r="59451" spans="129:129" x14ac:dyDescent="0.2">
      <c r="DY59451" s="185" t="s">
        <v>215</v>
      </c>
    </row>
    <row r="59452" spans="129:129" x14ac:dyDescent="0.2">
      <c r="DY59452" s="185" t="s">
        <v>215</v>
      </c>
    </row>
    <row r="59453" spans="129:129" x14ac:dyDescent="0.2">
      <c r="DY59453" s="185" t="s">
        <v>215</v>
      </c>
    </row>
    <row r="59454" spans="129:129" x14ac:dyDescent="0.2">
      <c r="DY59454" s="185" t="s">
        <v>215</v>
      </c>
    </row>
    <row r="59455" spans="129:129" x14ac:dyDescent="0.2">
      <c r="DY59455" s="185" t="s">
        <v>215</v>
      </c>
    </row>
    <row r="59456" spans="129:129" x14ac:dyDescent="0.2">
      <c r="DY59456" s="185" t="s">
        <v>215</v>
      </c>
    </row>
    <row r="59457" spans="129:129" x14ac:dyDescent="0.2">
      <c r="DY59457" s="185" t="s">
        <v>215</v>
      </c>
    </row>
    <row r="59458" spans="129:129" x14ac:dyDescent="0.2">
      <c r="DY59458" s="185" t="s">
        <v>215</v>
      </c>
    </row>
    <row r="59459" spans="129:129" x14ac:dyDescent="0.2">
      <c r="DY59459" s="185" t="s">
        <v>215</v>
      </c>
    </row>
    <row r="59460" spans="129:129" x14ac:dyDescent="0.2">
      <c r="DY59460" s="185" t="s">
        <v>215</v>
      </c>
    </row>
    <row r="59461" spans="129:129" x14ac:dyDescent="0.2">
      <c r="DY59461" s="185" t="s">
        <v>215</v>
      </c>
    </row>
    <row r="59462" spans="129:129" x14ac:dyDescent="0.2">
      <c r="DY59462" s="185" t="s">
        <v>215</v>
      </c>
    </row>
    <row r="59463" spans="129:129" x14ac:dyDescent="0.2">
      <c r="DY59463" s="185" t="s">
        <v>215</v>
      </c>
    </row>
    <row r="59464" spans="129:129" x14ac:dyDescent="0.2">
      <c r="DY59464" s="185" t="s">
        <v>215</v>
      </c>
    </row>
    <row r="59465" spans="129:129" x14ac:dyDescent="0.2">
      <c r="DY59465" s="185" t="s">
        <v>215</v>
      </c>
    </row>
    <row r="59466" spans="129:129" x14ac:dyDescent="0.2">
      <c r="DY59466" s="185" t="s">
        <v>215</v>
      </c>
    </row>
    <row r="59467" spans="129:129" x14ac:dyDescent="0.2">
      <c r="DY59467" s="185" t="s">
        <v>215</v>
      </c>
    </row>
    <row r="59468" spans="129:129" x14ac:dyDescent="0.2">
      <c r="DY59468" s="185" t="s">
        <v>215</v>
      </c>
    </row>
    <row r="59469" spans="129:129" x14ac:dyDescent="0.2">
      <c r="DY59469" s="185" t="s">
        <v>215</v>
      </c>
    </row>
    <row r="59470" spans="129:129" x14ac:dyDescent="0.2">
      <c r="DY59470" s="185" t="s">
        <v>215</v>
      </c>
    </row>
    <row r="59471" spans="129:129" x14ac:dyDescent="0.2">
      <c r="DY59471" s="185" t="s">
        <v>215</v>
      </c>
    </row>
    <row r="59472" spans="129:129" x14ac:dyDescent="0.2">
      <c r="DY59472" s="185" t="s">
        <v>215</v>
      </c>
    </row>
    <row r="59473" spans="129:129" x14ac:dyDescent="0.2">
      <c r="DY59473" s="185" t="s">
        <v>215</v>
      </c>
    </row>
    <row r="59474" spans="129:129" x14ac:dyDescent="0.2">
      <c r="DY59474" s="185" t="s">
        <v>215</v>
      </c>
    </row>
    <row r="59475" spans="129:129" x14ac:dyDescent="0.2">
      <c r="DY59475" s="185" t="s">
        <v>215</v>
      </c>
    </row>
    <row r="59476" spans="129:129" x14ac:dyDescent="0.2">
      <c r="DY59476" s="185" t="s">
        <v>215</v>
      </c>
    </row>
    <row r="59477" spans="129:129" x14ac:dyDescent="0.2">
      <c r="DY59477" s="185" t="s">
        <v>215</v>
      </c>
    </row>
    <row r="59478" spans="129:129" x14ac:dyDescent="0.2">
      <c r="DY59478" s="185" t="s">
        <v>215</v>
      </c>
    </row>
    <row r="59479" spans="129:129" x14ac:dyDescent="0.2">
      <c r="DY59479" s="185" t="s">
        <v>215</v>
      </c>
    </row>
    <row r="59480" spans="129:129" x14ac:dyDescent="0.2">
      <c r="DY59480" s="185" t="s">
        <v>215</v>
      </c>
    </row>
    <row r="59481" spans="129:129" x14ac:dyDescent="0.2">
      <c r="DY59481" s="185" t="s">
        <v>215</v>
      </c>
    </row>
    <row r="59482" spans="129:129" x14ac:dyDescent="0.2">
      <c r="DY59482" s="185" t="s">
        <v>215</v>
      </c>
    </row>
    <row r="59483" spans="129:129" x14ac:dyDescent="0.2">
      <c r="DY59483" s="185" t="s">
        <v>215</v>
      </c>
    </row>
    <row r="59484" spans="129:129" x14ac:dyDescent="0.2">
      <c r="DY59484" s="185" t="s">
        <v>215</v>
      </c>
    </row>
    <row r="59485" spans="129:129" x14ac:dyDescent="0.2">
      <c r="DY59485" s="185" t="s">
        <v>215</v>
      </c>
    </row>
    <row r="59486" spans="129:129" x14ac:dyDescent="0.2">
      <c r="DY59486" s="185" t="s">
        <v>215</v>
      </c>
    </row>
    <row r="59487" spans="129:129" x14ac:dyDescent="0.2">
      <c r="DY59487" s="185" t="s">
        <v>215</v>
      </c>
    </row>
    <row r="59488" spans="129:129" x14ac:dyDescent="0.2">
      <c r="DY59488" s="185" t="s">
        <v>215</v>
      </c>
    </row>
    <row r="59489" spans="129:129" x14ac:dyDescent="0.2">
      <c r="DY59489" s="185" t="s">
        <v>215</v>
      </c>
    </row>
    <row r="59490" spans="129:129" x14ac:dyDescent="0.2">
      <c r="DY59490" s="185" t="s">
        <v>215</v>
      </c>
    </row>
    <row r="59491" spans="129:129" x14ac:dyDescent="0.2">
      <c r="DY59491" s="185" t="s">
        <v>215</v>
      </c>
    </row>
    <row r="59492" spans="129:129" x14ac:dyDescent="0.2">
      <c r="DY59492" s="185" t="s">
        <v>215</v>
      </c>
    </row>
    <row r="59493" spans="129:129" x14ac:dyDescent="0.2">
      <c r="DY59493" s="185" t="s">
        <v>215</v>
      </c>
    </row>
    <row r="59494" spans="129:129" x14ac:dyDescent="0.2">
      <c r="DY59494" s="185" t="s">
        <v>215</v>
      </c>
    </row>
    <row r="59495" spans="129:129" x14ac:dyDescent="0.2">
      <c r="DY59495" s="185" t="s">
        <v>215</v>
      </c>
    </row>
    <row r="59496" spans="129:129" x14ac:dyDescent="0.2">
      <c r="DY59496" s="185" t="s">
        <v>215</v>
      </c>
    </row>
    <row r="59497" spans="129:129" x14ac:dyDescent="0.2">
      <c r="DY59497" s="185" t="s">
        <v>215</v>
      </c>
    </row>
    <row r="59498" spans="129:129" x14ac:dyDescent="0.2">
      <c r="DY59498" s="185" t="s">
        <v>215</v>
      </c>
    </row>
    <row r="59499" spans="129:129" x14ac:dyDescent="0.2">
      <c r="DY59499" s="185" t="s">
        <v>215</v>
      </c>
    </row>
    <row r="59500" spans="129:129" x14ac:dyDescent="0.2">
      <c r="DY59500" s="185" t="s">
        <v>215</v>
      </c>
    </row>
    <row r="59501" spans="129:129" x14ac:dyDescent="0.2">
      <c r="DY59501" s="185" t="s">
        <v>215</v>
      </c>
    </row>
    <row r="59502" spans="129:129" x14ac:dyDescent="0.2">
      <c r="DY59502" s="185" t="s">
        <v>215</v>
      </c>
    </row>
    <row r="59503" spans="129:129" x14ac:dyDescent="0.2">
      <c r="DY59503" s="185" t="s">
        <v>215</v>
      </c>
    </row>
    <row r="59504" spans="129:129" x14ac:dyDescent="0.2">
      <c r="DY59504" s="185" t="s">
        <v>215</v>
      </c>
    </row>
    <row r="59505" spans="129:129" x14ac:dyDescent="0.2">
      <c r="DY59505" s="185" t="s">
        <v>215</v>
      </c>
    </row>
    <row r="59506" spans="129:129" x14ac:dyDescent="0.2">
      <c r="DY59506" s="185" t="s">
        <v>215</v>
      </c>
    </row>
    <row r="59507" spans="129:129" x14ac:dyDescent="0.2">
      <c r="DY59507" s="185" t="s">
        <v>215</v>
      </c>
    </row>
    <row r="59508" spans="129:129" x14ac:dyDescent="0.2">
      <c r="DY59508" s="185" t="s">
        <v>215</v>
      </c>
    </row>
    <row r="59509" spans="129:129" x14ac:dyDescent="0.2">
      <c r="DY59509" s="185" t="s">
        <v>215</v>
      </c>
    </row>
    <row r="59510" spans="129:129" x14ac:dyDescent="0.2">
      <c r="DY59510" s="185" t="s">
        <v>215</v>
      </c>
    </row>
    <row r="59511" spans="129:129" x14ac:dyDescent="0.2">
      <c r="DY59511" s="185" t="s">
        <v>215</v>
      </c>
    </row>
    <row r="59512" spans="129:129" x14ac:dyDescent="0.2">
      <c r="DY59512" s="185" t="s">
        <v>215</v>
      </c>
    </row>
    <row r="59513" spans="129:129" x14ac:dyDescent="0.2">
      <c r="DY59513" s="185" t="s">
        <v>215</v>
      </c>
    </row>
    <row r="59514" spans="129:129" x14ac:dyDescent="0.2">
      <c r="DY59514" s="185" t="s">
        <v>215</v>
      </c>
    </row>
    <row r="59515" spans="129:129" x14ac:dyDescent="0.2">
      <c r="DY59515" s="185" t="s">
        <v>215</v>
      </c>
    </row>
    <row r="59516" spans="129:129" x14ac:dyDescent="0.2">
      <c r="DY59516" s="185" t="s">
        <v>215</v>
      </c>
    </row>
    <row r="59517" spans="129:129" x14ac:dyDescent="0.2">
      <c r="DY59517" s="185" t="s">
        <v>215</v>
      </c>
    </row>
    <row r="59518" spans="129:129" x14ac:dyDescent="0.2">
      <c r="DY59518" s="185" t="s">
        <v>215</v>
      </c>
    </row>
    <row r="59519" spans="129:129" x14ac:dyDescent="0.2">
      <c r="DY59519" s="185" t="s">
        <v>215</v>
      </c>
    </row>
    <row r="59520" spans="129:129" x14ac:dyDescent="0.2">
      <c r="DY59520" s="185" t="s">
        <v>215</v>
      </c>
    </row>
    <row r="59521" spans="129:129" x14ac:dyDescent="0.2">
      <c r="DY59521" s="185" t="s">
        <v>215</v>
      </c>
    </row>
    <row r="59522" spans="129:129" x14ac:dyDescent="0.2">
      <c r="DY59522" s="185" t="s">
        <v>215</v>
      </c>
    </row>
    <row r="59523" spans="129:129" x14ac:dyDescent="0.2">
      <c r="DY59523" s="185" t="s">
        <v>215</v>
      </c>
    </row>
    <row r="59524" spans="129:129" x14ac:dyDescent="0.2">
      <c r="DY59524" s="185" t="s">
        <v>215</v>
      </c>
    </row>
    <row r="59525" spans="129:129" x14ac:dyDescent="0.2">
      <c r="DY59525" s="185" t="s">
        <v>215</v>
      </c>
    </row>
    <row r="59526" spans="129:129" x14ac:dyDescent="0.2">
      <c r="DY59526" s="185" t="s">
        <v>215</v>
      </c>
    </row>
    <row r="59527" spans="129:129" x14ac:dyDescent="0.2">
      <c r="DY59527" s="185" t="s">
        <v>215</v>
      </c>
    </row>
    <row r="59528" spans="129:129" x14ac:dyDescent="0.2">
      <c r="DY59528" s="185" t="s">
        <v>215</v>
      </c>
    </row>
    <row r="59529" spans="129:129" x14ac:dyDescent="0.2">
      <c r="DY59529" s="185" t="s">
        <v>215</v>
      </c>
    </row>
    <row r="59530" spans="129:129" x14ac:dyDescent="0.2">
      <c r="DY59530" s="185" t="s">
        <v>215</v>
      </c>
    </row>
    <row r="59531" spans="129:129" x14ac:dyDescent="0.2">
      <c r="DY59531" s="185" t="s">
        <v>215</v>
      </c>
    </row>
    <row r="59532" spans="129:129" x14ac:dyDescent="0.2">
      <c r="DY59532" s="185" t="s">
        <v>215</v>
      </c>
    </row>
    <row r="59533" spans="129:129" x14ac:dyDescent="0.2">
      <c r="DY59533" s="185" t="s">
        <v>215</v>
      </c>
    </row>
    <row r="59534" spans="129:129" x14ac:dyDescent="0.2">
      <c r="DY59534" s="185" t="s">
        <v>215</v>
      </c>
    </row>
    <row r="59535" spans="129:129" x14ac:dyDescent="0.2">
      <c r="DY59535" s="185" t="s">
        <v>215</v>
      </c>
    </row>
    <row r="59536" spans="129:129" x14ac:dyDescent="0.2">
      <c r="DY59536" s="185" t="s">
        <v>215</v>
      </c>
    </row>
    <row r="59537" spans="129:129" x14ac:dyDescent="0.2">
      <c r="DY59537" s="185" t="s">
        <v>215</v>
      </c>
    </row>
    <row r="59538" spans="129:129" x14ac:dyDescent="0.2">
      <c r="DY59538" s="185" t="s">
        <v>215</v>
      </c>
    </row>
    <row r="59539" spans="129:129" x14ac:dyDescent="0.2">
      <c r="DY59539" s="185" t="s">
        <v>215</v>
      </c>
    </row>
    <row r="59540" spans="129:129" x14ac:dyDescent="0.2">
      <c r="DY59540" s="185" t="s">
        <v>215</v>
      </c>
    </row>
    <row r="59541" spans="129:129" x14ac:dyDescent="0.2">
      <c r="DY59541" s="185" t="s">
        <v>215</v>
      </c>
    </row>
    <row r="59542" spans="129:129" x14ac:dyDescent="0.2">
      <c r="DY59542" s="185" t="s">
        <v>215</v>
      </c>
    </row>
    <row r="59543" spans="129:129" x14ac:dyDescent="0.2">
      <c r="DY59543" s="185" t="s">
        <v>215</v>
      </c>
    </row>
    <row r="59544" spans="129:129" x14ac:dyDescent="0.2">
      <c r="DY59544" s="185" t="s">
        <v>215</v>
      </c>
    </row>
    <row r="59545" spans="129:129" x14ac:dyDescent="0.2">
      <c r="DY59545" s="185" t="s">
        <v>215</v>
      </c>
    </row>
    <row r="59546" spans="129:129" x14ac:dyDescent="0.2">
      <c r="DY59546" s="185" t="s">
        <v>215</v>
      </c>
    </row>
    <row r="59547" spans="129:129" x14ac:dyDescent="0.2">
      <c r="DY59547" s="185" t="s">
        <v>215</v>
      </c>
    </row>
    <row r="59548" spans="129:129" x14ac:dyDescent="0.2">
      <c r="DY59548" s="185" t="s">
        <v>215</v>
      </c>
    </row>
    <row r="59549" spans="129:129" x14ac:dyDescent="0.2">
      <c r="DY59549" s="185" t="s">
        <v>215</v>
      </c>
    </row>
    <row r="59550" spans="129:129" x14ac:dyDescent="0.2">
      <c r="DY59550" s="185" t="s">
        <v>215</v>
      </c>
    </row>
    <row r="59551" spans="129:129" x14ac:dyDescent="0.2">
      <c r="DY59551" s="185" t="s">
        <v>215</v>
      </c>
    </row>
    <row r="59552" spans="129:129" x14ac:dyDescent="0.2">
      <c r="DY59552" s="185" t="s">
        <v>215</v>
      </c>
    </row>
    <row r="59553" spans="129:129" x14ac:dyDescent="0.2">
      <c r="DY59553" s="185" t="s">
        <v>215</v>
      </c>
    </row>
    <row r="59554" spans="129:129" x14ac:dyDescent="0.2">
      <c r="DY59554" s="185" t="s">
        <v>215</v>
      </c>
    </row>
    <row r="59555" spans="129:129" x14ac:dyDescent="0.2">
      <c r="DY59555" s="185" t="s">
        <v>215</v>
      </c>
    </row>
    <row r="59556" spans="129:129" x14ac:dyDescent="0.2">
      <c r="DY59556" s="185" t="s">
        <v>215</v>
      </c>
    </row>
    <row r="59557" spans="129:129" x14ac:dyDescent="0.2">
      <c r="DY59557" s="185" t="s">
        <v>215</v>
      </c>
    </row>
    <row r="59558" spans="129:129" x14ac:dyDescent="0.2">
      <c r="DY59558" s="185" t="s">
        <v>215</v>
      </c>
    </row>
    <row r="59559" spans="129:129" x14ac:dyDescent="0.2">
      <c r="DY59559" s="185" t="s">
        <v>215</v>
      </c>
    </row>
    <row r="59560" spans="129:129" x14ac:dyDescent="0.2">
      <c r="DY59560" s="185" t="s">
        <v>215</v>
      </c>
    </row>
    <row r="59561" spans="129:129" x14ac:dyDescent="0.2">
      <c r="DY59561" s="185" t="s">
        <v>215</v>
      </c>
    </row>
    <row r="59562" spans="129:129" x14ac:dyDescent="0.2">
      <c r="DY59562" s="185" t="s">
        <v>215</v>
      </c>
    </row>
    <row r="59563" spans="129:129" x14ac:dyDescent="0.2">
      <c r="DY59563" s="185" t="s">
        <v>215</v>
      </c>
    </row>
    <row r="59564" spans="129:129" x14ac:dyDescent="0.2">
      <c r="DY59564" s="185" t="s">
        <v>215</v>
      </c>
    </row>
    <row r="59565" spans="129:129" x14ac:dyDescent="0.2">
      <c r="DY59565" s="185" t="s">
        <v>215</v>
      </c>
    </row>
    <row r="59566" spans="129:129" x14ac:dyDescent="0.2">
      <c r="DY59566" s="185" t="s">
        <v>215</v>
      </c>
    </row>
    <row r="59567" spans="129:129" x14ac:dyDescent="0.2">
      <c r="DY59567" s="185" t="s">
        <v>215</v>
      </c>
    </row>
    <row r="59568" spans="129:129" x14ac:dyDescent="0.2">
      <c r="DY59568" s="185" t="s">
        <v>215</v>
      </c>
    </row>
    <row r="59569" spans="129:129" x14ac:dyDescent="0.2">
      <c r="DY59569" s="185" t="s">
        <v>215</v>
      </c>
    </row>
    <row r="59570" spans="129:129" x14ac:dyDescent="0.2">
      <c r="DY59570" s="185" t="s">
        <v>215</v>
      </c>
    </row>
    <row r="59571" spans="129:129" x14ac:dyDescent="0.2">
      <c r="DY59571" s="185" t="s">
        <v>215</v>
      </c>
    </row>
    <row r="59572" spans="129:129" x14ac:dyDescent="0.2">
      <c r="DY59572" s="185" t="s">
        <v>215</v>
      </c>
    </row>
    <row r="59573" spans="129:129" x14ac:dyDescent="0.2">
      <c r="DY59573" s="185" t="s">
        <v>215</v>
      </c>
    </row>
    <row r="59574" spans="129:129" x14ac:dyDescent="0.2">
      <c r="DY59574" s="185" t="s">
        <v>215</v>
      </c>
    </row>
    <row r="59575" spans="129:129" x14ac:dyDescent="0.2">
      <c r="DY59575" s="185" t="s">
        <v>215</v>
      </c>
    </row>
    <row r="59576" spans="129:129" x14ac:dyDescent="0.2">
      <c r="DY59576" s="185" t="s">
        <v>215</v>
      </c>
    </row>
    <row r="59577" spans="129:129" x14ac:dyDescent="0.2">
      <c r="DY59577" s="185" t="s">
        <v>215</v>
      </c>
    </row>
    <row r="59578" spans="129:129" x14ac:dyDescent="0.2">
      <c r="DY59578" s="185" t="s">
        <v>215</v>
      </c>
    </row>
    <row r="59579" spans="129:129" x14ac:dyDescent="0.2">
      <c r="DY59579" s="185" t="s">
        <v>215</v>
      </c>
    </row>
    <row r="59580" spans="129:129" x14ac:dyDescent="0.2">
      <c r="DY59580" s="185" t="s">
        <v>215</v>
      </c>
    </row>
    <row r="59581" spans="129:129" x14ac:dyDescent="0.2">
      <c r="DY59581" s="185" t="s">
        <v>215</v>
      </c>
    </row>
    <row r="59582" spans="129:129" x14ac:dyDescent="0.2">
      <c r="DY59582" s="185" t="s">
        <v>215</v>
      </c>
    </row>
    <row r="59583" spans="129:129" x14ac:dyDescent="0.2">
      <c r="DY59583" s="185" t="s">
        <v>215</v>
      </c>
    </row>
    <row r="59584" spans="129:129" x14ac:dyDescent="0.2">
      <c r="DY59584" s="185" t="s">
        <v>215</v>
      </c>
    </row>
    <row r="59585" spans="129:129" x14ac:dyDescent="0.2">
      <c r="DY59585" s="185" t="s">
        <v>215</v>
      </c>
    </row>
    <row r="59586" spans="129:129" x14ac:dyDescent="0.2">
      <c r="DY59586" s="185" t="s">
        <v>215</v>
      </c>
    </row>
    <row r="59587" spans="129:129" x14ac:dyDescent="0.2">
      <c r="DY59587" s="185" t="s">
        <v>215</v>
      </c>
    </row>
    <row r="59588" spans="129:129" x14ac:dyDescent="0.2">
      <c r="DY59588" s="185" t="s">
        <v>215</v>
      </c>
    </row>
    <row r="59589" spans="129:129" x14ac:dyDescent="0.2">
      <c r="DY59589" s="185" t="s">
        <v>215</v>
      </c>
    </row>
    <row r="59590" spans="129:129" x14ac:dyDescent="0.2">
      <c r="DY59590" s="185" t="s">
        <v>215</v>
      </c>
    </row>
    <row r="59591" spans="129:129" x14ac:dyDescent="0.2">
      <c r="DY59591" s="185" t="s">
        <v>215</v>
      </c>
    </row>
    <row r="59592" spans="129:129" x14ac:dyDescent="0.2">
      <c r="DY59592" s="185" t="s">
        <v>215</v>
      </c>
    </row>
    <row r="59593" spans="129:129" x14ac:dyDescent="0.2">
      <c r="DY59593" s="185" t="s">
        <v>215</v>
      </c>
    </row>
    <row r="59594" spans="129:129" x14ac:dyDescent="0.2">
      <c r="DY59594" s="185" t="s">
        <v>215</v>
      </c>
    </row>
    <row r="59595" spans="129:129" x14ac:dyDescent="0.2">
      <c r="DY59595" s="185" t="s">
        <v>215</v>
      </c>
    </row>
    <row r="59596" spans="129:129" x14ac:dyDescent="0.2">
      <c r="DY59596" s="185" t="s">
        <v>215</v>
      </c>
    </row>
    <row r="59597" spans="129:129" x14ac:dyDescent="0.2">
      <c r="DY59597" s="185" t="s">
        <v>215</v>
      </c>
    </row>
    <row r="59598" spans="129:129" x14ac:dyDescent="0.2">
      <c r="DY59598" s="185" t="s">
        <v>215</v>
      </c>
    </row>
    <row r="59599" spans="129:129" x14ac:dyDescent="0.2">
      <c r="DY59599" s="185" t="s">
        <v>215</v>
      </c>
    </row>
    <row r="59600" spans="129:129" x14ac:dyDescent="0.2">
      <c r="DY59600" s="185" t="s">
        <v>215</v>
      </c>
    </row>
    <row r="59601" spans="129:129" x14ac:dyDescent="0.2">
      <c r="DY59601" s="185" t="s">
        <v>215</v>
      </c>
    </row>
    <row r="59602" spans="129:129" x14ac:dyDescent="0.2">
      <c r="DY59602" s="185" t="s">
        <v>215</v>
      </c>
    </row>
    <row r="59603" spans="129:129" x14ac:dyDescent="0.2">
      <c r="DY59603" s="185" t="s">
        <v>215</v>
      </c>
    </row>
    <row r="59604" spans="129:129" x14ac:dyDescent="0.2">
      <c r="DY59604" s="185" t="s">
        <v>215</v>
      </c>
    </row>
    <row r="59605" spans="129:129" x14ac:dyDescent="0.2">
      <c r="DY59605" s="185" t="s">
        <v>215</v>
      </c>
    </row>
    <row r="59606" spans="129:129" x14ac:dyDescent="0.2">
      <c r="DY59606" s="185" t="s">
        <v>215</v>
      </c>
    </row>
    <row r="59607" spans="129:129" x14ac:dyDescent="0.2">
      <c r="DY59607" s="185" t="s">
        <v>215</v>
      </c>
    </row>
    <row r="59608" spans="129:129" x14ac:dyDescent="0.2">
      <c r="DY59608" s="185" t="s">
        <v>215</v>
      </c>
    </row>
    <row r="59609" spans="129:129" x14ac:dyDescent="0.2">
      <c r="DY59609" s="185" t="s">
        <v>215</v>
      </c>
    </row>
    <row r="59610" spans="129:129" x14ac:dyDescent="0.2">
      <c r="DY59610" s="185" t="s">
        <v>215</v>
      </c>
    </row>
    <row r="59611" spans="129:129" x14ac:dyDescent="0.2">
      <c r="DY59611" s="185" t="s">
        <v>215</v>
      </c>
    </row>
    <row r="59612" spans="129:129" x14ac:dyDescent="0.2">
      <c r="DY59612" s="185" t="s">
        <v>215</v>
      </c>
    </row>
    <row r="59613" spans="129:129" x14ac:dyDescent="0.2">
      <c r="DY59613" s="185" t="s">
        <v>215</v>
      </c>
    </row>
    <row r="59614" spans="129:129" x14ac:dyDescent="0.2">
      <c r="DY59614" s="185" t="s">
        <v>215</v>
      </c>
    </row>
    <row r="59615" spans="129:129" x14ac:dyDescent="0.2">
      <c r="DY59615" s="185" t="s">
        <v>215</v>
      </c>
    </row>
    <row r="59616" spans="129:129" x14ac:dyDescent="0.2">
      <c r="DY59616" s="185" t="s">
        <v>215</v>
      </c>
    </row>
    <row r="59617" spans="129:129" x14ac:dyDescent="0.2">
      <c r="DY59617" s="185" t="s">
        <v>215</v>
      </c>
    </row>
    <row r="59618" spans="129:129" x14ac:dyDescent="0.2">
      <c r="DY59618" s="185" t="s">
        <v>215</v>
      </c>
    </row>
    <row r="59619" spans="129:129" x14ac:dyDescent="0.2">
      <c r="DY59619" s="185" t="s">
        <v>215</v>
      </c>
    </row>
    <row r="59620" spans="129:129" x14ac:dyDescent="0.2">
      <c r="DY59620" s="185" t="s">
        <v>215</v>
      </c>
    </row>
    <row r="59621" spans="129:129" x14ac:dyDescent="0.2">
      <c r="DY59621" s="185" t="s">
        <v>215</v>
      </c>
    </row>
    <row r="59622" spans="129:129" x14ac:dyDescent="0.2">
      <c r="DY59622" s="185" t="s">
        <v>215</v>
      </c>
    </row>
    <row r="59623" spans="129:129" x14ac:dyDescent="0.2">
      <c r="DY59623" s="185" t="s">
        <v>215</v>
      </c>
    </row>
    <row r="59624" spans="129:129" x14ac:dyDescent="0.2">
      <c r="DY59624" s="185" t="s">
        <v>215</v>
      </c>
    </row>
    <row r="59625" spans="129:129" x14ac:dyDescent="0.2">
      <c r="DY59625" s="185" t="s">
        <v>215</v>
      </c>
    </row>
    <row r="59626" spans="129:129" x14ac:dyDescent="0.2">
      <c r="DY59626" s="185" t="s">
        <v>215</v>
      </c>
    </row>
    <row r="59627" spans="129:129" x14ac:dyDescent="0.2">
      <c r="DY59627" s="185" t="s">
        <v>215</v>
      </c>
    </row>
    <row r="59628" spans="129:129" x14ac:dyDescent="0.2">
      <c r="DY59628" s="185" t="s">
        <v>215</v>
      </c>
    </row>
    <row r="59629" spans="129:129" x14ac:dyDescent="0.2">
      <c r="DY59629" s="185" t="s">
        <v>215</v>
      </c>
    </row>
    <row r="59630" spans="129:129" x14ac:dyDescent="0.2">
      <c r="DY59630" s="185" t="s">
        <v>215</v>
      </c>
    </row>
    <row r="59631" spans="129:129" x14ac:dyDescent="0.2">
      <c r="DY59631" s="185" t="s">
        <v>215</v>
      </c>
    </row>
    <row r="59632" spans="129:129" x14ac:dyDescent="0.2">
      <c r="DY59632" s="185" t="s">
        <v>215</v>
      </c>
    </row>
    <row r="59633" spans="129:129" x14ac:dyDescent="0.2">
      <c r="DY59633" s="185" t="s">
        <v>215</v>
      </c>
    </row>
    <row r="59634" spans="129:129" x14ac:dyDescent="0.2">
      <c r="DY59634" s="185" t="s">
        <v>215</v>
      </c>
    </row>
    <row r="59635" spans="129:129" x14ac:dyDescent="0.2">
      <c r="DY59635" s="185" t="s">
        <v>215</v>
      </c>
    </row>
    <row r="59636" spans="129:129" x14ac:dyDescent="0.2">
      <c r="DY59636" s="185" t="s">
        <v>215</v>
      </c>
    </row>
    <row r="59637" spans="129:129" x14ac:dyDescent="0.2">
      <c r="DY59637" s="185" t="s">
        <v>215</v>
      </c>
    </row>
    <row r="59638" spans="129:129" x14ac:dyDescent="0.2">
      <c r="DY59638" s="185" t="s">
        <v>215</v>
      </c>
    </row>
    <row r="59639" spans="129:129" x14ac:dyDescent="0.2">
      <c r="DY59639" s="185" t="s">
        <v>215</v>
      </c>
    </row>
    <row r="59640" spans="129:129" x14ac:dyDescent="0.2">
      <c r="DY59640" s="185" t="s">
        <v>215</v>
      </c>
    </row>
    <row r="59641" spans="129:129" x14ac:dyDescent="0.2">
      <c r="DY59641" s="185" t="s">
        <v>215</v>
      </c>
    </row>
    <row r="59642" spans="129:129" x14ac:dyDescent="0.2">
      <c r="DY59642" s="185" t="s">
        <v>215</v>
      </c>
    </row>
    <row r="59643" spans="129:129" x14ac:dyDescent="0.2">
      <c r="DY59643" s="185" t="s">
        <v>215</v>
      </c>
    </row>
    <row r="59644" spans="129:129" x14ac:dyDescent="0.2">
      <c r="DY59644" s="185" t="s">
        <v>215</v>
      </c>
    </row>
    <row r="59645" spans="129:129" x14ac:dyDescent="0.2">
      <c r="DY59645" s="185" t="s">
        <v>215</v>
      </c>
    </row>
    <row r="59646" spans="129:129" x14ac:dyDescent="0.2">
      <c r="DY59646" s="185" t="s">
        <v>215</v>
      </c>
    </row>
    <row r="59647" spans="129:129" x14ac:dyDescent="0.2">
      <c r="DY59647" s="185" t="s">
        <v>215</v>
      </c>
    </row>
    <row r="59648" spans="129:129" x14ac:dyDescent="0.2">
      <c r="DY59648" s="185" t="s">
        <v>215</v>
      </c>
    </row>
    <row r="59649" spans="129:129" x14ac:dyDescent="0.2">
      <c r="DY59649" s="185" t="s">
        <v>215</v>
      </c>
    </row>
    <row r="59650" spans="129:129" x14ac:dyDescent="0.2">
      <c r="DY59650" s="185" t="s">
        <v>215</v>
      </c>
    </row>
    <row r="59651" spans="129:129" x14ac:dyDescent="0.2">
      <c r="DY59651" s="185" t="s">
        <v>215</v>
      </c>
    </row>
    <row r="59652" spans="129:129" x14ac:dyDescent="0.2">
      <c r="DY59652" s="185" t="s">
        <v>215</v>
      </c>
    </row>
    <row r="59653" spans="129:129" x14ac:dyDescent="0.2">
      <c r="DY59653" s="185" t="s">
        <v>215</v>
      </c>
    </row>
    <row r="59654" spans="129:129" x14ac:dyDescent="0.2">
      <c r="DY59654" s="185" t="s">
        <v>215</v>
      </c>
    </row>
    <row r="59655" spans="129:129" x14ac:dyDescent="0.2">
      <c r="DY59655" s="185" t="s">
        <v>215</v>
      </c>
    </row>
    <row r="59656" spans="129:129" x14ac:dyDescent="0.2">
      <c r="DY59656" s="185" t="s">
        <v>215</v>
      </c>
    </row>
    <row r="59657" spans="129:129" x14ac:dyDescent="0.2">
      <c r="DY59657" s="185" t="s">
        <v>215</v>
      </c>
    </row>
    <row r="59658" spans="129:129" x14ac:dyDescent="0.2">
      <c r="DY59658" s="185" t="s">
        <v>215</v>
      </c>
    </row>
    <row r="59659" spans="129:129" x14ac:dyDescent="0.2">
      <c r="DY59659" s="185" t="s">
        <v>215</v>
      </c>
    </row>
    <row r="59660" spans="129:129" x14ac:dyDescent="0.2">
      <c r="DY59660" s="185" t="s">
        <v>215</v>
      </c>
    </row>
    <row r="59661" spans="129:129" x14ac:dyDescent="0.2">
      <c r="DY59661" s="185" t="s">
        <v>215</v>
      </c>
    </row>
    <row r="59662" spans="129:129" x14ac:dyDescent="0.2">
      <c r="DY59662" s="185" t="s">
        <v>215</v>
      </c>
    </row>
    <row r="59663" spans="129:129" x14ac:dyDescent="0.2">
      <c r="DY59663" s="185" t="s">
        <v>215</v>
      </c>
    </row>
    <row r="59664" spans="129:129" x14ac:dyDescent="0.2">
      <c r="DY59664" s="185" t="s">
        <v>215</v>
      </c>
    </row>
    <row r="59665" spans="129:129" x14ac:dyDescent="0.2">
      <c r="DY59665" s="185" t="s">
        <v>215</v>
      </c>
    </row>
    <row r="59666" spans="129:129" x14ac:dyDescent="0.2">
      <c r="DY59666" s="185" t="s">
        <v>215</v>
      </c>
    </row>
    <row r="59667" spans="129:129" x14ac:dyDescent="0.2">
      <c r="DY59667" s="185" t="s">
        <v>215</v>
      </c>
    </row>
    <row r="59668" spans="129:129" x14ac:dyDescent="0.2">
      <c r="DY59668" s="185" t="s">
        <v>215</v>
      </c>
    </row>
    <row r="59669" spans="129:129" x14ac:dyDescent="0.2">
      <c r="DY59669" s="185" t="s">
        <v>215</v>
      </c>
    </row>
    <row r="59670" spans="129:129" x14ac:dyDescent="0.2">
      <c r="DY59670" s="185" t="s">
        <v>215</v>
      </c>
    </row>
    <row r="59671" spans="129:129" x14ac:dyDescent="0.2">
      <c r="DY59671" s="185" t="s">
        <v>215</v>
      </c>
    </row>
    <row r="59672" spans="129:129" x14ac:dyDescent="0.2">
      <c r="DY59672" s="185" t="s">
        <v>215</v>
      </c>
    </row>
    <row r="59673" spans="129:129" x14ac:dyDescent="0.2">
      <c r="DY59673" s="185" t="s">
        <v>215</v>
      </c>
    </row>
    <row r="59674" spans="129:129" x14ac:dyDescent="0.2">
      <c r="DY59674" s="185" t="s">
        <v>215</v>
      </c>
    </row>
    <row r="59675" spans="129:129" x14ac:dyDescent="0.2">
      <c r="DY59675" s="185" t="s">
        <v>215</v>
      </c>
    </row>
    <row r="59676" spans="129:129" x14ac:dyDescent="0.2">
      <c r="DY59676" s="185" t="s">
        <v>215</v>
      </c>
    </row>
    <row r="59677" spans="129:129" x14ac:dyDescent="0.2">
      <c r="DY59677" s="185" t="s">
        <v>215</v>
      </c>
    </row>
    <row r="59678" spans="129:129" x14ac:dyDescent="0.2">
      <c r="DY59678" s="185" t="s">
        <v>215</v>
      </c>
    </row>
    <row r="59679" spans="129:129" x14ac:dyDescent="0.2">
      <c r="DY59679" s="185" t="s">
        <v>215</v>
      </c>
    </row>
    <row r="59680" spans="129:129" x14ac:dyDescent="0.2">
      <c r="DY59680" s="185" t="s">
        <v>215</v>
      </c>
    </row>
    <row r="59681" spans="129:129" x14ac:dyDescent="0.2">
      <c r="DY59681" s="185" t="s">
        <v>215</v>
      </c>
    </row>
    <row r="59682" spans="129:129" x14ac:dyDescent="0.2">
      <c r="DY59682" s="185" t="s">
        <v>215</v>
      </c>
    </row>
    <row r="59683" spans="129:129" x14ac:dyDescent="0.2">
      <c r="DY59683" s="185" t="s">
        <v>215</v>
      </c>
    </row>
    <row r="59684" spans="129:129" x14ac:dyDescent="0.2">
      <c r="DY59684" s="185" t="s">
        <v>215</v>
      </c>
    </row>
    <row r="59685" spans="129:129" x14ac:dyDescent="0.2">
      <c r="DY59685" s="185" t="s">
        <v>215</v>
      </c>
    </row>
    <row r="59686" spans="129:129" x14ac:dyDescent="0.2">
      <c r="DY59686" s="185" t="s">
        <v>215</v>
      </c>
    </row>
    <row r="59687" spans="129:129" x14ac:dyDescent="0.2">
      <c r="DY59687" s="185" t="s">
        <v>215</v>
      </c>
    </row>
    <row r="59688" spans="129:129" x14ac:dyDescent="0.2">
      <c r="DY59688" s="185" t="s">
        <v>215</v>
      </c>
    </row>
    <row r="59689" spans="129:129" x14ac:dyDescent="0.2">
      <c r="DY59689" s="185" t="s">
        <v>215</v>
      </c>
    </row>
    <row r="59690" spans="129:129" x14ac:dyDescent="0.2">
      <c r="DY59690" s="185" t="s">
        <v>215</v>
      </c>
    </row>
    <row r="59691" spans="129:129" x14ac:dyDescent="0.2">
      <c r="DY59691" s="185" t="s">
        <v>215</v>
      </c>
    </row>
    <row r="59692" spans="129:129" x14ac:dyDescent="0.2">
      <c r="DY59692" s="185" t="s">
        <v>215</v>
      </c>
    </row>
    <row r="59693" spans="129:129" x14ac:dyDescent="0.2">
      <c r="DY59693" s="185" t="s">
        <v>215</v>
      </c>
    </row>
    <row r="59694" spans="129:129" x14ac:dyDescent="0.2">
      <c r="DY59694" s="185" t="s">
        <v>215</v>
      </c>
    </row>
    <row r="59695" spans="129:129" x14ac:dyDescent="0.2">
      <c r="DY59695" s="185" t="s">
        <v>215</v>
      </c>
    </row>
    <row r="59696" spans="129:129" x14ac:dyDescent="0.2">
      <c r="DY59696" s="185" t="s">
        <v>215</v>
      </c>
    </row>
    <row r="59697" spans="129:129" x14ac:dyDescent="0.2">
      <c r="DY59697" s="185" t="s">
        <v>215</v>
      </c>
    </row>
    <row r="59698" spans="129:129" x14ac:dyDescent="0.2">
      <c r="DY59698" s="185" t="s">
        <v>215</v>
      </c>
    </row>
    <row r="59699" spans="129:129" x14ac:dyDescent="0.2">
      <c r="DY59699" s="185" t="s">
        <v>215</v>
      </c>
    </row>
    <row r="59700" spans="129:129" x14ac:dyDescent="0.2">
      <c r="DY59700" s="185" t="s">
        <v>215</v>
      </c>
    </row>
    <row r="59701" spans="129:129" x14ac:dyDescent="0.2">
      <c r="DY59701" s="185" t="s">
        <v>215</v>
      </c>
    </row>
    <row r="59702" spans="129:129" x14ac:dyDescent="0.2">
      <c r="DY59702" s="185" t="s">
        <v>215</v>
      </c>
    </row>
    <row r="59703" spans="129:129" x14ac:dyDescent="0.2">
      <c r="DY59703" s="185" t="s">
        <v>215</v>
      </c>
    </row>
    <row r="59704" spans="129:129" x14ac:dyDescent="0.2">
      <c r="DY59704" s="185" t="s">
        <v>215</v>
      </c>
    </row>
    <row r="59705" spans="129:129" x14ac:dyDescent="0.2">
      <c r="DY59705" s="185" t="s">
        <v>215</v>
      </c>
    </row>
    <row r="59706" spans="129:129" x14ac:dyDescent="0.2">
      <c r="DY59706" s="185" t="s">
        <v>215</v>
      </c>
    </row>
    <row r="59707" spans="129:129" x14ac:dyDescent="0.2">
      <c r="DY59707" s="185" t="s">
        <v>215</v>
      </c>
    </row>
    <row r="59708" spans="129:129" x14ac:dyDescent="0.2">
      <c r="DY59708" s="185" t="s">
        <v>215</v>
      </c>
    </row>
    <row r="59709" spans="129:129" x14ac:dyDescent="0.2">
      <c r="DY59709" s="185" t="s">
        <v>215</v>
      </c>
    </row>
    <row r="59710" spans="129:129" x14ac:dyDescent="0.2">
      <c r="DY59710" s="185" t="s">
        <v>215</v>
      </c>
    </row>
    <row r="59711" spans="129:129" x14ac:dyDescent="0.2">
      <c r="DY59711" s="185" t="s">
        <v>215</v>
      </c>
    </row>
    <row r="59712" spans="129:129" x14ac:dyDescent="0.2">
      <c r="DY59712" s="185" t="s">
        <v>215</v>
      </c>
    </row>
    <row r="59713" spans="129:129" x14ac:dyDescent="0.2">
      <c r="DY59713" s="185" t="s">
        <v>215</v>
      </c>
    </row>
    <row r="59714" spans="129:129" x14ac:dyDescent="0.2">
      <c r="DY59714" s="185" t="s">
        <v>215</v>
      </c>
    </row>
    <row r="59715" spans="129:129" x14ac:dyDescent="0.2">
      <c r="DY59715" s="185" t="s">
        <v>215</v>
      </c>
    </row>
    <row r="59716" spans="129:129" x14ac:dyDescent="0.2">
      <c r="DY59716" s="185" t="s">
        <v>215</v>
      </c>
    </row>
    <row r="59717" spans="129:129" x14ac:dyDescent="0.2">
      <c r="DY59717" s="185" t="s">
        <v>215</v>
      </c>
    </row>
    <row r="59718" spans="129:129" x14ac:dyDescent="0.2">
      <c r="DY59718" s="185" t="s">
        <v>215</v>
      </c>
    </row>
    <row r="59719" spans="129:129" x14ac:dyDescent="0.2">
      <c r="DY59719" s="185" t="s">
        <v>215</v>
      </c>
    </row>
    <row r="59720" spans="129:129" x14ac:dyDescent="0.2">
      <c r="DY59720" s="185" t="s">
        <v>215</v>
      </c>
    </row>
    <row r="59721" spans="129:129" x14ac:dyDescent="0.2">
      <c r="DY59721" s="185" t="s">
        <v>215</v>
      </c>
    </row>
    <row r="59722" spans="129:129" x14ac:dyDescent="0.2">
      <c r="DY59722" s="185" t="s">
        <v>215</v>
      </c>
    </row>
    <row r="59723" spans="129:129" x14ac:dyDescent="0.2">
      <c r="DY59723" s="185" t="s">
        <v>215</v>
      </c>
    </row>
    <row r="59724" spans="129:129" x14ac:dyDescent="0.2">
      <c r="DY59724" s="185" t="s">
        <v>215</v>
      </c>
    </row>
    <row r="59725" spans="129:129" x14ac:dyDescent="0.2">
      <c r="DY59725" s="185" t="s">
        <v>215</v>
      </c>
    </row>
    <row r="59726" spans="129:129" x14ac:dyDescent="0.2">
      <c r="DY59726" s="185" t="s">
        <v>215</v>
      </c>
    </row>
    <row r="59727" spans="129:129" x14ac:dyDescent="0.2">
      <c r="DY59727" s="185" t="s">
        <v>215</v>
      </c>
    </row>
    <row r="59728" spans="129:129" x14ac:dyDescent="0.2">
      <c r="DY59728" s="185" t="s">
        <v>215</v>
      </c>
    </row>
    <row r="59729" spans="129:129" x14ac:dyDescent="0.2">
      <c r="DY59729" s="185" t="s">
        <v>215</v>
      </c>
    </row>
    <row r="59730" spans="129:129" x14ac:dyDescent="0.2">
      <c r="DY59730" s="185" t="s">
        <v>215</v>
      </c>
    </row>
    <row r="59731" spans="129:129" x14ac:dyDescent="0.2">
      <c r="DY59731" s="185" t="s">
        <v>215</v>
      </c>
    </row>
    <row r="59732" spans="129:129" x14ac:dyDescent="0.2">
      <c r="DY59732" s="185" t="s">
        <v>215</v>
      </c>
    </row>
    <row r="59733" spans="129:129" x14ac:dyDescent="0.2">
      <c r="DY59733" s="185" t="s">
        <v>215</v>
      </c>
    </row>
    <row r="59734" spans="129:129" x14ac:dyDescent="0.2">
      <c r="DY59734" s="185" t="s">
        <v>215</v>
      </c>
    </row>
    <row r="59735" spans="129:129" x14ac:dyDescent="0.2">
      <c r="DY59735" s="185" t="s">
        <v>215</v>
      </c>
    </row>
    <row r="59736" spans="129:129" x14ac:dyDescent="0.2">
      <c r="DY59736" s="185" t="s">
        <v>215</v>
      </c>
    </row>
    <row r="59737" spans="129:129" x14ac:dyDescent="0.2">
      <c r="DY59737" s="185" t="s">
        <v>215</v>
      </c>
    </row>
    <row r="59738" spans="129:129" x14ac:dyDescent="0.2">
      <c r="DY59738" s="185" t="s">
        <v>215</v>
      </c>
    </row>
    <row r="59739" spans="129:129" x14ac:dyDescent="0.2">
      <c r="DY59739" s="185" t="s">
        <v>215</v>
      </c>
    </row>
    <row r="59740" spans="129:129" x14ac:dyDescent="0.2">
      <c r="DY59740" s="185" t="s">
        <v>215</v>
      </c>
    </row>
    <row r="59741" spans="129:129" x14ac:dyDescent="0.2">
      <c r="DY59741" s="185" t="s">
        <v>215</v>
      </c>
    </row>
    <row r="59742" spans="129:129" x14ac:dyDescent="0.2">
      <c r="DY59742" s="185" t="s">
        <v>215</v>
      </c>
    </row>
    <row r="59743" spans="129:129" x14ac:dyDescent="0.2">
      <c r="DY59743" s="185" t="s">
        <v>215</v>
      </c>
    </row>
    <row r="59744" spans="129:129" x14ac:dyDescent="0.2">
      <c r="DY59744" s="185" t="s">
        <v>215</v>
      </c>
    </row>
    <row r="59745" spans="129:129" x14ac:dyDescent="0.2">
      <c r="DY59745" s="185" t="s">
        <v>215</v>
      </c>
    </row>
    <row r="59746" spans="129:129" x14ac:dyDescent="0.2">
      <c r="DY59746" s="185" t="s">
        <v>215</v>
      </c>
    </row>
    <row r="59747" spans="129:129" x14ac:dyDescent="0.2">
      <c r="DY59747" s="185" t="s">
        <v>215</v>
      </c>
    </row>
    <row r="59748" spans="129:129" x14ac:dyDescent="0.2">
      <c r="DY59748" s="185" t="s">
        <v>215</v>
      </c>
    </row>
    <row r="59749" spans="129:129" x14ac:dyDescent="0.2">
      <c r="DY59749" s="185" t="s">
        <v>215</v>
      </c>
    </row>
    <row r="59750" spans="129:129" x14ac:dyDescent="0.2">
      <c r="DY59750" s="185" t="s">
        <v>215</v>
      </c>
    </row>
    <row r="59751" spans="129:129" x14ac:dyDescent="0.2">
      <c r="DY59751" s="185" t="s">
        <v>215</v>
      </c>
    </row>
    <row r="59752" spans="129:129" x14ac:dyDescent="0.2">
      <c r="DY59752" s="185" t="s">
        <v>215</v>
      </c>
    </row>
    <row r="59753" spans="129:129" x14ac:dyDescent="0.2">
      <c r="DY59753" s="185" t="s">
        <v>215</v>
      </c>
    </row>
    <row r="59754" spans="129:129" x14ac:dyDescent="0.2">
      <c r="DY59754" s="185" t="s">
        <v>215</v>
      </c>
    </row>
    <row r="59755" spans="129:129" x14ac:dyDescent="0.2">
      <c r="DY59755" s="185" t="s">
        <v>215</v>
      </c>
    </row>
    <row r="59756" spans="129:129" x14ac:dyDescent="0.2">
      <c r="DY59756" s="185" t="s">
        <v>215</v>
      </c>
    </row>
    <row r="59757" spans="129:129" x14ac:dyDescent="0.2">
      <c r="DY59757" s="185" t="s">
        <v>215</v>
      </c>
    </row>
    <row r="59758" spans="129:129" x14ac:dyDescent="0.2">
      <c r="DY59758" s="185" t="s">
        <v>215</v>
      </c>
    </row>
    <row r="59759" spans="129:129" x14ac:dyDescent="0.2">
      <c r="DY59759" s="185" t="s">
        <v>215</v>
      </c>
    </row>
    <row r="59760" spans="129:129" x14ac:dyDescent="0.2">
      <c r="DY59760" s="185" t="s">
        <v>215</v>
      </c>
    </row>
    <row r="59761" spans="129:129" x14ac:dyDescent="0.2">
      <c r="DY59761" s="185" t="s">
        <v>215</v>
      </c>
    </row>
    <row r="59762" spans="129:129" x14ac:dyDescent="0.2">
      <c r="DY59762" s="185" t="s">
        <v>215</v>
      </c>
    </row>
    <row r="59763" spans="129:129" x14ac:dyDescent="0.2">
      <c r="DY59763" s="185" t="s">
        <v>215</v>
      </c>
    </row>
    <row r="59764" spans="129:129" x14ac:dyDescent="0.2">
      <c r="DY59764" s="185" t="s">
        <v>215</v>
      </c>
    </row>
    <row r="59765" spans="129:129" x14ac:dyDescent="0.2">
      <c r="DY59765" s="185" t="s">
        <v>215</v>
      </c>
    </row>
    <row r="59766" spans="129:129" x14ac:dyDescent="0.2">
      <c r="DY59766" s="185" t="s">
        <v>215</v>
      </c>
    </row>
    <row r="59767" spans="129:129" x14ac:dyDescent="0.2">
      <c r="DY59767" s="185" t="s">
        <v>215</v>
      </c>
    </row>
    <row r="59768" spans="129:129" x14ac:dyDescent="0.2">
      <c r="DY59768" s="185" t="s">
        <v>215</v>
      </c>
    </row>
    <row r="59769" spans="129:129" x14ac:dyDescent="0.2">
      <c r="DY59769" s="185" t="s">
        <v>215</v>
      </c>
    </row>
    <row r="59770" spans="129:129" x14ac:dyDescent="0.2">
      <c r="DY59770" s="185" t="s">
        <v>215</v>
      </c>
    </row>
    <row r="59771" spans="129:129" x14ac:dyDescent="0.2">
      <c r="DY59771" s="185" t="s">
        <v>215</v>
      </c>
    </row>
    <row r="59772" spans="129:129" x14ac:dyDescent="0.2">
      <c r="DY59772" s="185" t="s">
        <v>215</v>
      </c>
    </row>
    <row r="59773" spans="129:129" x14ac:dyDescent="0.2">
      <c r="DY59773" s="185" t="s">
        <v>215</v>
      </c>
    </row>
    <row r="59774" spans="129:129" x14ac:dyDescent="0.2">
      <c r="DY59774" s="185" t="s">
        <v>215</v>
      </c>
    </row>
    <row r="59775" spans="129:129" x14ac:dyDescent="0.2">
      <c r="DY59775" s="185" t="s">
        <v>215</v>
      </c>
    </row>
    <row r="59776" spans="129:129" x14ac:dyDescent="0.2">
      <c r="DY59776" s="185" t="s">
        <v>215</v>
      </c>
    </row>
    <row r="59777" spans="129:129" x14ac:dyDescent="0.2">
      <c r="DY59777" s="185" t="s">
        <v>215</v>
      </c>
    </row>
    <row r="59778" spans="129:129" x14ac:dyDescent="0.2">
      <c r="DY59778" s="185" t="s">
        <v>215</v>
      </c>
    </row>
    <row r="59779" spans="129:129" x14ac:dyDescent="0.2">
      <c r="DY59779" s="185" t="s">
        <v>215</v>
      </c>
    </row>
    <row r="59780" spans="129:129" x14ac:dyDescent="0.2">
      <c r="DY59780" s="185" t="s">
        <v>215</v>
      </c>
    </row>
    <row r="59781" spans="129:129" x14ac:dyDescent="0.2">
      <c r="DY59781" s="185" t="s">
        <v>215</v>
      </c>
    </row>
    <row r="59782" spans="129:129" x14ac:dyDescent="0.2">
      <c r="DY59782" s="185" t="s">
        <v>215</v>
      </c>
    </row>
    <row r="59783" spans="129:129" x14ac:dyDescent="0.2">
      <c r="DY59783" s="185" t="s">
        <v>215</v>
      </c>
    </row>
    <row r="59784" spans="129:129" x14ac:dyDescent="0.2">
      <c r="DY59784" s="185" t="s">
        <v>215</v>
      </c>
    </row>
    <row r="59785" spans="129:129" x14ac:dyDescent="0.2">
      <c r="DY59785" s="185" t="s">
        <v>215</v>
      </c>
    </row>
    <row r="59786" spans="129:129" x14ac:dyDescent="0.2">
      <c r="DY59786" s="185" t="s">
        <v>215</v>
      </c>
    </row>
    <row r="59787" spans="129:129" x14ac:dyDescent="0.2">
      <c r="DY59787" s="185" t="s">
        <v>215</v>
      </c>
    </row>
    <row r="59788" spans="129:129" x14ac:dyDescent="0.2">
      <c r="DY59788" s="185" t="s">
        <v>215</v>
      </c>
    </row>
    <row r="59789" spans="129:129" x14ac:dyDescent="0.2">
      <c r="DY59789" s="185" t="s">
        <v>215</v>
      </c>
    </row>
    <row r="59790" spans="129:129" x14ac:dyDescent="0.2">
      <c r="DY59790" s="185" t="s">
        <v>215</v>
      </c>
    </row>
    <row r="59791" spans="129:129" x14ac:dyDescent="0.2">
      <c r="DY59791" s="185" t="s">
        <v>215</v>
      </c>
    </row>
    <row r="59792" spans="129:129" x14ac:dyDescent="0.2">
      <c r="DY59792" s="185" t="s">
        <v>215</v>
      </c>
    </row>
    <row r="59793" spans="129:129" x14ac:dyDescent="0.2">
      <c r="DY59793" s="185" t="s">
        <v>215</v>
      </c>
    </row>
    <row r="59794" spans="129:129" x14ac:dyDescent="0.2">
      <c r="DY59794" s="185" t="s">
        <v>215</v>
      </c>
    </row>
    <row r="59795" spans="129:129" x14ac:dyDescent="0.2">
      <c r="DY59795" s="185" t="s">
        <v>215</v>
      </c>
    </row>
    <row r="59796" spans="129:129" x14ac:dyDescent="0.2">
      <c r="DY59796" s="185" t="s">
        <v>215</v>
      </c>
    </row>
    <row r="59797" spans="129:129" x14ac:dyDescent="0.2">
      <c r="DY59797" s="185" t="s">
        <v>215</v>
      </c>
    </row>
    <row r="59798" spans="129:129" x14ac:dyDescent="0.2">
      <c r="DY59798" s="185" t="s">
        <v>215</v>
      </c>
    </row>
    <row r="59799" spans="129:129" x14ac:dyDescent="0.2">
      <c r="DY59799" s="185" t="s">
        <v>215</v>
      </c>
    </row>
    <row r="59800" spans="129:129" x14ac:dyDescent="0.2">
      <c r="DY59800" s="185" t="s">
        <v>215</v>
      </c>
    </row>
    <row r="59801" spans="129:129" x14ac:dyDescent="0.2">
      <c r="DY59801" s="185" t="s">
        <v>215</v>
      </c>
    </row>
    <row r="59802" spans="129:129" x14ac:dyDescent="0.2">
      <c r="DY59802" s="185" t="s">
        <v>215</v>
      </c>
    </row>
    <row r="59803" spans="129:129" x14ac:dyDescent="0.2">
      <c r="DY59803" s="185" t="s">
        <v>215</v>
      </c>
    </row>
    <row r="59804" spans="129:129" x14ac:dyDescent="0.2">
      <c r="DY59804" s="185" t="s">
        <v>215</v>
      </c>
    </row>
    <row r="59805" spans="129:129" x14ac:dyDescent="0.2">
      <c r="DY59805" s="185" t="s">
        <v>215</v>
      </c>
    </row>
    <row r="59806" spans="129:129" x14ac:dyDescent="0.2">
      <c r="DY59806" s="185" t="s">
        <v>215</v>
      </c>
    </row>
    <row r="59807" spans="129:129" x14ac:dyDescent="0.2">
      <c r="DY59807" s="185" t="s">
        <v>215</v>
      </c>
    </row>
    <row r="59808" spans="129:129" x14ac:dyDescent="0.2">
      <c r="DY59808" s="185" t="s">
        <v>215</v>
      </c>
    </row>
    <row r="59809" spans="129:129" x14ac:dyDescent="0.2">
      <c r="DY59809" s="185" t="s">
        <v>215</v>
      </c>
    </row>
    <row r="59810" spans="129:129" x14ac:dyDescent="0.2">
      <c r="DY59810" s="185" t="s">
        <v>215</v>
      </c>
    </row>
    <row r="59811" spans="129:129" x14ac:dyDescent="0.2">
      <c r="DY59811" s="185" t="s">
        <v>215</v>
      </c>
    </row>
    <row r="59812" spans="129:129" x14ac:dyDescent="0.2">
      <c r="DY59812" s="185" t="s">
        <v>215</v>
      </c>
    </row>
    <row r="59813" spans="129:129" x14ac:dyDescent="0.2">
      <c r="DY59813" s="185" t="s">
        <v>215</v>
      </c>
    </row>
    <row r="59814" spans="129:129" x14ac:dyDescent="0.2">
      <c r="DY59814" s="185" t="s">
        <v>215</v>
      </c>
    </row>
    <row r="59815" spans="129:129" x14ac:dyDescent="0.2">
      <c r="DY59815" s="185" t="s">
        <v>215</v>
      </c>
    </row>
    <row r="59816" spans="129:129" x14ac:dyDescent="0.2">
      <c r="DY59816" s="185" t="s">
        <v>215</v>
      </c>
    </row>
    <row r="59817" spans="129:129" x14ac:dyDescent="0.2">
      <c r="DY59817" s="185" t="s">
        <v>215</v>
      </c>
    </row>
    <row r="59818" spans="129:129" x14ac:dyDescent="0.2">
      <c r="DY59818" s="185" t="s">
        <v>215</v>
      </c>
    </row>
    <row r="59819" spans="129:129" x14ac:dyDescent="0.2">
      <c r="DY59819" s="185" t="s">
        <v>215</v>
      </c>
    </row>
    <row r="59820" spans="129:129" x14ac:dyDescent="0.2">
      <c r="DY59820" s="185" t="s">
        <v>215</v>
      </c>
    </row>
    <row r="59821" spans="129:129" x14ac:dyDescent="0.2">
      <c r="DY59821" s="185" t="s">
        <v>215</v>
      </c>
    </row>
    <row r="59822" spans="129:129" x14ac:dyDescent="0.2">
      <c r="DY59822" s="185" t="s">
        <v>215</v>
      </c>
    </row>
    <row r="59823" spans="129:129" x14ac:dyDescent="0.2">
      <c r="DY59823" s="185" t="s">
        <v>215</v>
      </c>
    </row>
    <row r="59824" spans="129:129" x14ac:dyDescent="0.2">
      <c r="DY59824" s="185" t="s">
        <v>215</v>
      </c>
    </row>
    <row r="59825" spans="129:129" x14ac:dyDescent="0.2">
      <c r="DY59825" s="185" t="s">
        <v>215</v>
      </c>
    </row>
    <row r="59826" spans="129:129" x14ac:dyDescent="0.2">
      <c r="DY59826" s="185" t="s">
        <v>215</v>
      </c>
    </row>
    <row r="59827" spans="129:129" x14ac:dyDescent="0.2">
      <c r="DY59827" s="185" t="s">
        <v>215</v>
      </c>
    </row>
    <row r="59828" spans="129:129" x14ac:dyDescent="0.2">
      <c r="DY59828" s="185" t="s">
        <v>215</v>
      </c>
    </row>
    <row r="59829" spans="129:129" x14ac:dyDescent="0.2">
      <c r="DY59829" s="185" t="s">
        <v>215</v>
      </c>
    </row>
    <row r="59830" spans="129:129" x14ac:dyDescent="0.2">
      <c r="DY59830" s="185" t="s">
        <v>215</v>
      </c>
    </row>
    <row r="59831" spans="129:129" x14ac:dyDescent="0.2">
      <c r="DY59831" s="185" t="s">
        <v>215</v>
      </c>
    </row>
    <row r="59832" spans="129:129" x14ac:dyDescent="0.2">
      <c r="DY59832" s="185" t="s">
        <v>215</v>
      </c>
    </row>
    <row r="59833" spans="129:129" x14ac:dyDescent="0.2">
      <c r="DY59833" s="185" t="s">
        <v>215</v>
      </c>
    </row>
    <row r="59834" spans="129:129" x14ac:dyDescent="0.2">
      <c r="DY59834" s="185" t="s">
        <v>215</v>
      </c>
    </row>
    <row r="59835" spans="129:129" x14ac:dyDescent="0.2">
      <c r="DY59835" s="185" t="s">
        <v>215</v>
      </c>
    </row>
    <row r="59836" spans="129:129" x14ac:dyDescent="0.2">
      <c r="DY59836" s="185" t="s">
        <v>215</v>
      </c>
    </row>
    <row r="59837" spans="129:129" x14ac:dyDescent="0.2">
      <c r="DY59837" s="185" t="s">
        <v>215</v>
      </c>
    </row>
    <row r="59838" spans="129:129" x14ac:dyDescent="0.2">
      <c r="DY59838" s="185" t="s">
        <v>215</v>
      </c>
    </row>
    <row r="59839" spans="129:129" x14ac:dyDescent="0.2">
      <c r="DY59839" s="185" t="s">
        <v>215</v>
      </c>
    </row>
    <row r="59840" spans="129:129" x14ac:dyDescent="0.2">
      <c r="DY59840" s="185" t="s">
        <v>215</v>
      </c>
    </row>
    <row r="59841" spans="129:129" x14ac:dyDescent="0.2">
      <c r="DY59841" s="185" t="s">
        <v>215</v>
      </c>
    </row>
    <row r="59842" spans="129:129" x14ac:dyDescent="0.2">
      <c r="DY59842" s="185" t="s">
        <v>215</v>
      </c>
    </row>
    <row r="59843" spans="129:129" x14ac:dyDescent="0.2">
      <c r="DY59843" s="185" t="s">
        <v>215</v>
      </c>
    </row>
    <row r="59844" spans="129:129" x14ac:dyDescent="0.2">
      <c r="DY59844" s="185" t="s">
        <v>215</v>
      </c>
    </row>
    <row r="59845" spans="129:129" x14ac:dyDescent="0.2">
      <c r="DY59845" s="185" t="s">
        <v>215</v>
      </c>
    </row>
    <row r="59846" spans="129:129" x14ac:dyDescent="0.2">
      <c r="DY59846" s="185" t="s">
        <v>215</v>
      </c>
    </row>
    <row r="59847" spans="129:129" x14ac:dyDescent="0.2">
      <c r="DY59847" s="185" t="s">
        <v>215</v>
      </c>
    </row>
    <row r="59848" spans="129:129" x14ac:dyDescent="0.2">
      <c r="DY59848" s="185" t="s">
        <v>215</v>
      </c>
    </row>
    <row r="59849" spans="129:129" x14ac:dyDescent="0.2">
      <c r="DY59849" s="185" t="s">
        <v>215</v>
      </c>
    </row>
    <row r="59850" spans="129:129" x14ac:dyDescent="0.2">
      <c r="DY59850" s="185" t="s">
        <v>215</v>
      </c>
    </row>
    <row r="59851" spans="129:129" x14ac:dyDescent="0.2">
      <c r="DY59851" s="185" t="s">
        <v>215</v>
      </c>
    </row>
    <row r="59852" spans="129:129" x14ac:dyDescent="0.2">
      <c r="DY59852" s="185" t="s">
        <v>215</v>
      </c>
    </row>
    <row r="59853" spans="129:129" x14ac:dyDescent="0.2">
      <c r="DY59853" s="185" t="s">
        <v>215</v>
      </c>
    </row>
    <row r="59854" spans="129:129" x14ac:dyDescent="0.2">
      <c r="DY59854" s="185" t="s">
        <v>215</v>
      </c>
    </row>
    <row r="59855" spans="129:129" x14ac:dyDescent="0.2">
      <c r="DY59855" s="185" t="s">
        <v>215</v>
      </c>
    </row>
    <row r="59856" spans="129:129" x14ac:dyDescent="0.2">
      <c r="DY59856" s="185" t="s">
        <v>215</v>
      </c>
    </row>
    <row r="59857" spans="129:129" x14ac:dyDescent="0.2">
      <c r="DY59857" s="185" t="s">
        <v>215</v>
      </c>
    </row>
    <row r="59858" spans="129:129" x14ac:dyDescent="0.2">
      <c r="DY59858" s="185" t="s">
        <v>215</v>
      </c>
    </row>
    <row r="59859" spans="129:129" x14ac:dyDescent="0.2">
      <c r="DY59859" s="185" t="s">
        <v>215</v>
      </c>
    </row>
    <row r="59860" spans="129:129" x14ac:dyDescent="0.2">
      <c r="DY59860" s="185" t="s">
        <v>215</v>
      </c>
    </row>
    <row r="59861" spans="129:129" x14ac:dyDescent="0.2">
      <c r="DY59861" s="185" t="s">
        <v>215</v>
      </c>
    </row>
    <row r="59862" spans="129:129" x14ac:dyDescent="0.2">
      <c r="DY59862" s="185" t="s">
        <v>215</v>
      </c>
    </row>
    <row r="59863" spans="129:129" x14ac:dyDescent="0.2">
      <c r="DY59863" s="185" t="s">
        <v>215</v>
      </c>
    </row>
    <row r="59864" spans="129:129" x14ac:dyDescent="0.2">
      <c r="DY59864" s="185" t="s">
        <v>215</v>
      </c>
    </row>
    <row r="59865" spans="129:129" x14ac:dyDescent="0.2">
      <c r="DY59865" s="185" t="s">
        <v>215</v>
      </c>
    </row>
    <row r="59866" spans="129:129" x14ac:dyDescent="0.2">
      <c r="DY59866" s="185" t="s">
        <v>215</v>
      </c>
    </row>
    <row r="59867" spans="129:129" x14ac:dyDescent="0.2">
      <c r="DY59867" s="185" t="s">
        <v>215</v>
      </c>
    </row>
    <row r="59868" spans="129:129" x14ac:dyDescent="0.2">
      <c r="DY59868" s="185" t="s">
        <v>215</v>
      </c>
    </row>
    <row r="59869" spans="129:129" x14ac:dyDescent="0.2">
      <c r="DY59869" s="185" t="s">
        <v>215</v>
      </c>
    </row>
    <row r="59870" spans="129:129" x14ac:dyDescent="0.2">
      <c r="DY59870" s="185" t="s">
        <v>215</v>
      </c>
    </row>
    <row r="59871" spans="129:129" x14ac:dyDescent="0.2">
      <c r="DY59871" s="185" t="s">
        <v>215</v>
      </c>
    </row>
    <row r="59872" spans="129:129" x14ac:dyDescent="0.2">
      <c r="DY59872" s="185" t="s">
        <v>215</v>
      </c>
    </row>
    <row r="59873" spans="129:129" x14ac:dyDescent="0.2">
      <c r="DY59873" s="185" t="s">
        <v>215</v>
      </c>
    </row>
    <row r="59874" spans="129:129" x14ac:dyDescent="0.2">
      <c r="DY59874" s="185" t="s">
        <v>215</v>
      </c>
    </row>
    <row r="59875" spans="129:129" x14ac:dyDescent="0.2">
      <c r="DY59875" s="185" t="s">
        <v>215</v>
      </c>
    </row>
    <row r="59876" spans="129:129" x14ac:dyDescent="0.2">
      <c r="DY59876" s="185" t="s">
        <v>215</v>
      </c>
    </row>
    <row r="59877" spans="129:129" x14ac:dyDescent="0.2">
      <c r="DY59877" s="185" t="s">
        <v>215</v>
      </c>
    </row>
    <row r="59878" spans="129:129" x14ac:dyDescent="0.2">
      <c r="DY59878" s="185" t="s">
        <v>215</v>
      </c>
    </row>
    <row r="59879" spans="129:129" x14ac:dyDescent="0.2">
      <c r="DY59879" s="185" t="s">
        <v>215</v>
      </c>
    </row>
    <row r="59880" spans="129:129" x14ac:dyDescent="0.2">
      <c r="DY59880" s="185" t="s">
        <v>215</v>
      </c>
    </row>
    <row r="59881" spans="129:129" x14ac:dyDescent="0.2">
      <c r="DY59881" s="185" t="s">
        <v>215</v>
      </c>
    </row>
    <row r="59882" spans="129:129" x14ac:dyDescent="0.2">
      <c r="DY59882" s="185" t="s">
        <v>215</v>
      </c>
    </row>
    <row r="59883" spans="129:129" x14ac:dyDescent="0.2">
      <c r="DY59883" s="185" t="s">
        <v>215</v>
      </c>
    </row>
    <row r="59884" spans="129:129" x14ac:dyDescent="0.2">
      <c r="DY59884" s="185" t="s">
        <v>215</v>
      </c>
    </row>
    <row r="59885" spans="129:129" x14ac:dyDescent="0.2">
      <c r="DY59885" s="185" t="s">
        <v>215</v>
      </c>
    </row>
    <row r="59886" spans="129:129" x14ac:dyDescent="0.2">
      <c r="DY59886" s="185" t="s">
        <v>215</v>
      </c>
    </row>
    <row r="59887" spans="129:129" x14ac:dyDescent="0.2">
      <c r="DY59887" s="185" t="s">
        <v>215</v>
      </c>
    </row>
    <row r="59888" spans="129:129" x14ac:dyDescent="0.2">
      <c r="DY59888" s="185" t="s">
        <v>215</v>
      </c>
    </row>
    <row r="59889" spans="129:129" x14ac:dyDescent="0.2">
      <c r="DY59889" s="185" t="s">
        <v>215</v>
      </c>
    </row>
    <row r="59890" spans="129:129" x14ac:dyDescent="0.2">
      <c r="DY59890" s="185" t="s">
        <v>215</v>
      </c>
    </row>
    <row r="59891" spans="129:129" x14ac:dyDescent="0.2">
      <c r="DY59891" s="185" t="s">
        <v>215</v>
      </c>
    </row>
    <row r="59892" spans="129:129" x14ac:dyDescent="0.2">
      <c r="DY59892" s="185" t="s">
        <v>215</v>
      </c>
    </row>
    <row r="59893" spans="129:129" x14ac:dyDescent="0.2">
      <c r="DY59893" s="185" t="s">
        <v>215</v>
      </c>
    </row>
    <row r="59894" spans="129:129" x14ac:dyDescent="0.2">
      <c r="DY59894" s="185" t="s">
        <v>215</v>
      </c>
    </row>
    <row r="59895" spans="129:129" x14ac:dyDescent="0.2">
      <c r="DY59895" s="185" t="s">
        <v>215</v>
      </c>
    </row>
    <row r="59896" spans="129:129" x14ac:dyDescent="0.2">
      <c r="DY59896" s="185" t="s">
        <v>215</v>
      </c>
    </row>
    <row r="59897" spans="129:129" x14ac:dyDescent="0.2">
      <c r="DY59897" s="185" t="s">
        <v>215</v>
      </c>
    </row>
    <row r="59898" spans="129:129" x14ac:dyDescent="0.2">
      <c r="DY59898" s="185" t="s">
        <v>215</v>
      </c>
    </row>
    <row r="59899" spans="129:129" x14ac:dyDescent="0.2">
      <c r="DY59899" s="185" t="s">
        <v>215</v>
      </c>
    </row>
    <row r="59900" spans="129:129" x14ac:dyDescent="0.2">
      <c r="DY59900" s="185" t="s">
        <v>215</v>
      </c>
    </row>
    <row r="59901" spans="129:129" x14ac:dyDescent="0.2">
      <c r="DY59901" s="185" t="s">
        <v>215</v>
      </c>
    </row>
    <row r="59902" spans="129:129" x14ac:dyDescent="0.2">
      <c r="DY59902" s="185" t="s">
        <v>215</v>
      </c>
    </row>
    <row r="59903" spans="129:129" x14ac:dyDescent="0.2">
      <c r="DY59903" s="185" t="s">
        <v>215</v>
      </c>
    </row>
    <row r="59904" spans="129:129" x14ac:dyDescent="0.2">
      <c r="DY59904" s="185" t="s">
        <v>215</v>
      </c>
    </row>
    <row r="59905" spans="129:129" x14ac:dyDescent="0.2">
      <c r="DY59905" s="185" t="s">
        <v>215</v>
      </c>
    </row>
    <row r="59906" spans="129:129" x14ac:dyDescent="0.2">
      <c r="DY59906" s="185" t="s">
        <v>215</v>
      </c>
    </row>
    <row r="59907" spans="129:129" x14ac:dyDescent="0.2">
      <c r="DY59907" s="185" t="s">
        <v>215</v>
      </c>
    </row>
    <row r="59908" spans="129:129" x14ac:dyDescent="0.2">
      <c r="DY59908" s="185" t="s">
        <v>215</v>
      </c>
    </row>
    <row r="59909" spans="129:129" x14ac:dyDescent="0.2">
      <c r="DY59909" s="185" t="s">
        <v>215</v>
      </c>
    </row>
    <row r="59910" spans="129:129" x14ac:dyDescent="0.2">
      <c r="DY59910" s="185" t="s">
        <v>215</v>
      </c>
    </row>
    <row r="59911" spans="129:129" x14ac:dyDescent="0.2">
      <c r="DY59911" s="185" t="s">
        <v>215</v>
      </c>
    </row>
    <row r="59912" spans="129:129" x14ac:dyDescent="0.2">
      <c r="DY59912" s="185" t="s">
        <v>215</v>
      </c>
    </row>
    <row r="59913" spans="129:129" x14ac:dyDescent="0.2">
      <c r="DY59913" s="185" t="s">
        <v>215</v>
      </c>
    </row>
    <row r="59914" spans="129:129" x14ac:dyDescent="0.2">
      <c r="DY59914" s="185" t="s">
        <v>215</v>
      </c>
    </row>
    <row r="59915" spans="129:129" x14ac:dyDescent="0.2">
      <c r="DY59915" s="185" t="s">
        <v>215</v>
      </c>
    </row>
    <row r="59916" spans="129:129" x14ac:dyDescent="0.2">
      <c r="DY59916" s="185" t="s">
        <v>215</v>
      </c>
    </row>
    <row r="59917" spans="129:129" x14ac:dyDescent="0.2">
      <c r="DY59917" s="185" t="s">
        <v>215</v>
      </c>
    </row>
    <row r="59918" spans="129:129" x14ac:dyDescent="0.2">
      <c r="DY59918" s="185" t="s">
        <v>215</v>
      </c>
    </row>
    <row r="59919" spans="129:129" x14ac:dyDescent="0.2">
      <c r="DY59919" s="185" t="s">
        <v>215</v>
      </c>
    </row>
    <row r="59920" spans="129:129" x14ac:dyDescent="0.2">
      <c r="DY59920" s="185" t="s">
        <v>215</v>
      </c>
    </row>
    <row r="59921" spans="129:129" x14ac:dyDescent="0.2">
      <c r="DY59921" s="185" t="s">
        <v>215</v>
      </c>
    </row>
    <row r="59922" spans="129:129" x14ac:dyDescent="0.2">
      <c r="DY59922" s="185" t="s">
        <v>215</v>
      </c>
    </row>
    <row r="59923" spans="129:129" x14ac:dyDescent="0.2">
      <c r="DY59923" s="185" t="s">
        <v>215</v>
      </c>
    </row>
    <row r="59924" spans="129:129" x14ac:dyDescent="0.2">
      <c r="DY59924" s="185" t="s">
        <v>215</v>
      </c>
    </row>
    <row r="59925" spans="129:129" x14ac:dyDescent="0.2">
      <c r="DY59925" s="185" t="s">
        <v>215</v>
      </c>
    </row>
    <row r="59926" spans="129:129" x14ac:dyDescent="0.2">
      <c r="DY59926" s="185" t="s">
        <v>215</v>
      </c>
    </row>
    <row r="59927" spans="129:129" x14ac:dyDescent="0.2">
      <c r="DY59927" s="185" t="s">
        <v>215</v>
      </c>
    </row>
    <row r="59928" spans="129:129" x14ac:dyDescent="0.2">
      <c r="DY59928" s="185" t="s">
        <v>215</v>
      </c>
    </row>
    <row r="59929" spans="129:129" x14ac:dyDescent="0.2">
      <c r="DY59929" s="185" t="s">
        <v>215</v>
      </c>
    </row>
    <row r="59930" spans="129:129" x14ac:dyDescent="0.2">
      <c r="DY59930" s="185" t="s">
        <v>215</v>
      </c>
    </row>
    <row r="59931" spans="129:129" x14ac:dyDescent="0.2">
      <c r="DY59931" s="185" t="s">
        <v>215</v>
      </c>
    </row>
    <row r="59932" spans="129:129" x14ac:dyDescent="0.2">
      <c r="DY59932" s="185" t="s">
        <v>215</v>
      </c>
    </row>
    <row r="59933" spans="129:129" x14ac:dyDescent="0.2">
      <c r="DY59933" s="185" t="s">
        <v>215</v>
      </c>
    </row>
    <row r="59934" spans="129:129" x14ac:dyDescent="0.2">
      <c r="DY59934" s="185" t="s">
        <v>215</v>
      </c>
    </row>
    <row r="59935" spans="129:129" x14ac:dyDescent="0.2">
      <c r="DY59935" s="185" t="s">
        <v>215</v>
      </c>
    </row>
    <row r="59936" spans="129:129" x14ac:dyDescent="0.2">
      <c r="DY59936" s="185" t="s">
        <v>215</v>
      </c>
    </row>
    <row r="59937" spans="129:129" x14ac:dyDescent="0.2">
      <c r="DY59937" s="185" t="s">
        <v>215</v>
      </c>
    </row>
    <row r="59938" spans="129:129" x14ac:dyDescent="0.2">
      <c r="DY59938" s="185" t="s">
        <v>215</v>
      </c>
    </row>
    <row r="59939" spans="129:129" x14ac:dyDescent="0.2">
      <c r="DY59939" s="185" t="s">
        <v>215</v>
      </c>
    </row>
    <row r="59940" spans="129:129" x14ac:dyDescent="0.2">
      <c r="DY59940" s="185" t="s">
        <v>215</v>
      </c>
    </row>
    <row r="59941" spans="129:129" x14ac:dyDescent="0.2">
      <c r="DY59941" s="185" t="s">
        <v>215</v>
      </c>
    </row>
    <row r="59942" spans="129:129" x14ac:dyDescent="0.2">
      <c r="DY59942" s="185" t="s">
        <v>215</v>
      </c>
    </row>
    <row r="59943" spans="129:129" x14ac:dyDescent="0.2">
      <c r="DY59943" s="185" t="s">
        <v>215</v>
      </c>
    </row>
    <row r="59944" spans="129:129" x14ac:dyDescent="0.2">
      <c r="DY59944" s="185" t="s">
        <v>215</v>
      </c>
    </row>
    <row r="59945" spans="129:129" x14ac:dyDescent="0.2">
      <c r="DY59945" s="185" t="s">
        <v>215</v>
      </c>
    </row>
    <row r="59946" spans="129:129" x14ac:dyDescent="0.2">
      <c r="DY59946" s="185" t="s">
        <v>215</v>
      </c>
    </row>
    <row r="59947" spans="129:129" x14ac:dyDescent="0.2">
      <c r="DY59947" s="185" t="s">
        <v>215</v>
      </c>
    </row>
    <row r="59948" spans="129:129" x14ac:dyDescent="0.2">
      <c r="DY59948" s="185" t="s">
        <v>215</v>
      </c>
    </row>
    <row r="59949" spans="129:129" x14ac:dyDescent="0.2">
      <c r="DY59949" s="185" t="s">
        <v>215</v>
      </c>
    </row>
    <row r="59950" spans="129:129" x14ac:dyDescent="0.2">
      <c r="DY59950" s="185" t="s">
        <v>215</v>
      </c>
    </row>
    <row r="59951" spans="129:129" x14ac:dyDescent="0.2">
      <c r="DY59951" s="185" t="s">
        <v>215</v>
      </c>
    </row>
    <row r="59952" spans="129:129" x14ac:dyDescent="0.2">
      <c r="DY59952" s="185" t="s">
        <v>215</v>
      </c>
    </row>
    <row r="59953" spans="129:129" x14ac:dyDescent="0.2">
      <c r="DY59953" s="185" t="s">
        <v>215</v>
      </c>
    </row>
    <row r="59954" spans="129:129" x14ac:dyDescent="0.2">
      <c r="DY59954" s="185" t="s">
        <v>215</v>
      </c>
    </row>
    <row r="59955" spans="129:129" x14ac:dyDescent="0.2">
      <c r="DY59955" s="185" t="s">
        <v>215</v>
      </c>
    </row>
    <row r="59956" spans="129:129" x14ac:dyDescent="0.2">
      <c r="DY59956" s="185" t="s">
        <v>215</v>
      </c>
    </row>
    <row r="59957" spans="129:129" x14ac:dyDescent="0.2">
      <c r="DY59957" s="185" t="s">
        <v>215</v>
      </c>
    </row>
    <row r="59958" spans="129:129" x14ac:dyDescent="0.2">
      <c r="DY59958" s="185" t="s">
        <v>215</v>
      </c>
    </row>
    <row r="59959" spans="129:129" x14ac:dyDescent="0.2">
      <c r="DY59959" s="185" t="s">
        <v>215</v>
      </c>
    </row>
    <row r="59960" spans="129:129" x14ac:dyDescent="0.2">
      <c r="DY59960" s="185" t="s">
        <v>215</v>
      </c>
    </row>
    <row r="59961" spans="129:129" x14ac:dyDescent="0.2">
      <c r="DY59961" s="185" t="s">
        <v>215</v>
      </c>
    </row>
    <row r="59962" spans="129:129" x14ac:dyDescent="0.2">
      <c r="DY59962" s="185" t="s">
        <v>215</v>
      </c>
    </row>
    <row r="59963" spans="129:129" x14ac:dyDescent="0.2">
      <c r="DY59963" s="185" t="s">
        <v>215</v>
      </c>
    </row>
    <row r="59964" spans="129:129" x14ac:dyDescent="0.2">
      <c r="DY59964" s="185" t="s">
        <v>215</v>
      </c>
    </row>
    <row r="59965" spans="129:129" x14ac:dyDescent="0.2">
      <c r="DY59965" s="185" t="s">
        <v>215</v>
      </c>
    </row>
    <row r="59966" spans="129:129" x14ac:dyDescent="0.2">
      <c r="DY59966" s="185" t="s">
        <v>215</v>
      </c>
    </row>
    <row r="59967" spans="129:129" x14ac:dyDescent="0.2">
      <c r="DY59967" s="185" t="s">
        <v>215</v>
      </c>
    </row>
    <row r="59968" spans="129:129" x14ac:dyDescent="0.2">
      <c r="DY59968" s="185" t="s">
        <v>215</v>
      </c>
    </row>
    <row r="59969" spans="129:129" x14ac:dyDescent="0.2">
      <c r="DY59969" s="185" t="s">
        <v>215</v>
      </c>
    </row>
    <row r="59970" spans="129:129" x14ac:dyDescent="0.2">
      <c r="DY59970" s="185" t="s">
        <v>215</v>
      </c>
    </row>
    <row r="59971" spans="129:129" x14ac:dyDescent="0.2">
      <c r="DY59971" s="185" t="s">
        <v>215</v>
      </c>
    </row>
    <row r="59972" spans="129:129" x14ac:dyDescent="0.2">
      <c r="DY59972" s="185" t="s">
        <v>215</v>
      </c>
    </row>
    <row r="59973" spans="129:129" x14ac:dyDescent="0.2">
      <c r="DY59973" s="185" t="s">
        <v>215</v>
      </c>
    </row>
    <row r="59974" spans="129:129" x14ac:dyDescent="0.2">
      <c r="DY59974" s="185" t="s">
        <v>215</v>
      </c>
    </row>
    <row r="59975" spans="129:129" x14ac:dyDescent="0.2">
      <c r="DY59975" s="185" t="s">
        <v>215</v>
      </c>
    </row>
    <row r="59976" spans="129:129" x14ac:dyDescent="0.2">
      <c r="DY59976" s="185" t="s">
        <v>215</v>
      </c>
    </row>
    <row r="59977" spans="129:129" x14ac:dyDescent="0.2">
      <c r="DY59977" s="185" t="s">
        <v>215</v>
      </c>
    </row>
    <row r="59978" spans="129:129" x14ac:dyDescent="0.2">
      <c r="DY59978" s="185" t="s">
        <v>215</v>
      </c>
    </row>
    <row r="59979" spans="129:129" x14ac:dyDescent="0.2">
      <c r="DY59979" s="185" t="s">
        <v>215</v>
      </c>
    </row>
    <row r="59980" spans="129:129" x14ac:dyDescent="0.2">
      <c r="DY59980" s="185" t="s">
        <v>215</v>
      </c>
    </row>
    <row r="59981" spans="129:129" x14ac:dyDescent="0.2">
      <c r="DY59981" s="185" t="s">
        <v>215</v>
      </c>
    </row>
    <row r="59982" spans="129:129" x14ac:dyDescent="0.2">
      <c r="DY59982" s="185" t="s">
        <v>215</v>
      </c>
    </row>
    <row r="59983" spans="129:129" x14ac:dyDescent="0.2">
      <c r="DY59983" s="185" t="s">
        <v>215</v>
      </c>
    </row>
    <row r="59984" spans="129:129" x14ac:dyDescent="0.2">
      <c r="DY59984" s="185" t="s">
        <v>215</v>
      </c>
    </row>
    <row r="59985" spans="129:129" x14ac:dyDescent="0.2">
      <c r="DY59985" s="185" t="s">
        <v>215</v>
      </c>
    </row>
    <row r="59986" spans="129:129" x14ac:dyDescent="0.2">
      <c r="DY59986" s="185" t="s">
        <v>215</v>
      </c>
    </row>
    <row r="59987" spans="129:129" x14ac:dyDescent="0.2">
      <c r="DY59987" s="185" t="s">
        <v>215</v>
      </c>
    </row>
    <row r="59988" spans="129:129" x14ac:dyDescent="0.2">
      <c r="DY59988" s="185" t="s">
        <v>215</v>
      </c>
    </row>
    <row r="59989" spans="129:129" x14ac:dyDescent="0.2">
      <c r="DY59989" s="185" t="s">
        <v>215</v>
      </c>
    </row>
    <row r="59990" spans="129:129" x14ac:dyDescent="0.2">
      <c r="DY59990" s="185" t="s">
        <v>215</v>
      </c>
    </row>
    <row r="59991" spans="129:129" x14ac:dyDescent="0.2">
      <c r="DY59991" s="185" t="s">
        <v>215</v>
      </c>
    </row>
    <row r="59992" spans="129:129" x14ac:dyDescent="0.2">
      <c r="DY59992" s="185" t="s">
        <v>215</v>
      </c>
    </row>
    <row r="59993" spans="129:129" x14ac:dyDescent="0.2">
      <c r="DY59993" s="185" t="s">
        <v>215</v>
      </c>
    </row>
    <row r="59994" spans="129:129" x14ac:dyDescent="0.2">
      <c r="DY59994" s="185" t="s">
        <v>215</v>
      </c>
    </row>
    <row r="59995" spans="129:129" x14ac:dyDescent="0.2">
      <c r="DY59995" s="185" t="s">
        <v>215</v>
      </c>
    </row>
    <row r="59996" spans="129:129" x14ac:dyDescent="0.2">
      <c r="DY59996" s="185" t="s">
        <v>215</v>
      </c>
    </row>
    <row r="59997" spans="129:129" x14ac:dyDescent="0.2">
      <c r="DY59997" s="185" t="s">
        <v>215</v>
      </c>
    </row>
    <row r="59998" spans="129:129" x14ac:dyDescent="0.2">
      <c r="DY59998" s="185" t="s">
        <v>215</v>
      </c>
    </row>
    <row r="59999" spans="129:129" x14ac:dyDescent="0.2">
      <c r="DY59999" s="185" t="s">
        <v>215</v>
      </c>
    </row>
    <row r="60000" spans="129:129" x14ac:dyDescent="0.2">
      <c r="DY60000" s="185" t="s">
        <v>215</v>
      </c>
    </row>
    <row r="60001" spans="129:129" x14ac:dyDescent="0.2">
      <c r="DY60001" s="185" t="s">
        <v>215</v>
      </c>
    </row>
    <row r="60002" spans="129:129" x14ac:dyDescent="0.2">
      <c r="DY60002" s="185" t="s">
        <v>215</v>
      </c>
    </row>
    <row r="60003" spans="129:129" x14ac:dyDescent="0.2">
      <c r="DY60003" s="185" t="s">
        <v>215</v>
      </c>
    </row>
    <row r="60004" spans="129:129" x14ac:dyDescent="0.2">
      <c r="DY60004" s="185" t="s">
        <v>215</v>
      </c>
    </row>
    <row r="60005" spans="129:129" x14ac:dyDescent="0.2">
      <c r="DY60005" s="185" t="s">
        <v>215</v>
      </c>
    </row>
    <row r="60006" spans="129:129" x14ac:dyDescent="0.2">
      <c r="DY60006" s="185" t="s">
        <v>215</v>
      </c>
    </row>
    <row r="60007" spans="129:129" x14ac:dyDescent="0.2">
      <c r="DY60007" s="185" t="s">
        <v>215</v>
      </c>
    </row>
    <row r="60008" spans="129:129" x14ac:dyDescent="0.2">
      <c r="DY60008" s="185" t="s">
        <v>215</v>
      </c>
    </row>
    <row r="60009" spans="129:129" x14ac:dyDescent="0.2">
      <c r="DY60009" s="185" t="s">
        <v>215</v>
      </c>
    </row>
    <row r="60010" spans="129:129" x14ac:dyDescent="0.2">
      <c r="DY60010" s="185" t="s">
        <v>215</v>
      </c>
    </row>
    <row r="60011" spans="129:129" x14ac:dyDescent="0.2">
      <c r="DY60011" s="185" t="s">
        <v>215</v>
      </c>
    </row>
    <row r="60012" spans="129:129" x14ac:dyDescent="0.2">
      <c r="DY60012" s="185" t="s">
        <v>215</v>
      </c>
    </row>
    <row r="60013" spans="129:129" x14ac:dyDescent="0.2">
      <c r="DY60013" s="185" t="s">
        <v>215</v>
      </c>
    </row>
    <row r="60014" spans="129:129" x14ac:dyDescent="0.2">
      <c r="DY60014" s="185" t="s">
        <v>215</v>
      </c>
    </row>
    <row r="60015" spans="129:129" x14ac:dyDescent="0.2">
      <c r="DY60015" s="185" t="s">
        <v>215</v>
      </c>
    </row>
    <row r="60016" spans="129:129" x14ac:dyDescent="0.2">
      <c r="DY60016" s="185" t="s">
        <v>215</v>
      </c>
    </row>
    <row r="60017" spans="129:129" x14ac:dyDescent="0.2">
      <c r="DY60017" s="185" t="s">
        <v>215</v>
      </c>
    </row>
    <row r="60018" spans="129:129" x14ac:dyDescent="0.2">
      <c r="DY60018" s="185" t="s">
        <v>215</v>
      </c>
    </row>
    <row r="60019" spans="129:129" x14ac:dyDescent="0.2">
      <c r="DY60019" s="185" t="s">
        <v>215</v>
      </c>
    </row>
    <row r="60020" spans="129:129" x14ac:dyDescent="0.2">
      <c r="DY60020" s="185" t="s">
        <v>215</v>
      </c>
    </row>
    <row r="60021" spans="129:129" x14ac:dyDescent="0.2">
      <c r="DY60021" s="185" t="s">
        <v>215</v>
      </c>
    </row>
    <row r="60022" spans="129:129" x14ac:dyDescent="0.2">
      <c r="DY60022" s="185" t="s">
        <v>215</v>
      </c>
    </row>
    <row r="60023" spans="129:129" x14ac:dyDescent="0.2">
      <c r="DY60023" s="185" t="s">
        <v>215</v>
      </c>
    </row>
    <row r="60024" spans="129:129" x14ac:dyDescent="0.2">
      <c r="DY60024" s="185" t="s">
        <v>215</v>
      </c>
    </row>
    <row r="60025" spans="129:129" x14ac:dyDescent="0.2">
      <c r="DY60025" s="185" t="s">
        <v>215</v>
      </c>
    </row>
    <row r="60026" spans="129:129" x14ac:dyDescent="0.2">
      <c r="DY60026" s="185" t="s">
        <v>215</v>
      </c>
    </row>
    <row r="60027" spans="129:129" x14ac:dyDescent="0.2">
      <c r="DY60027" s="185" t="s">
        <v>215</v>
      </c>
    </row>
    <row r="60028" spans="129:129" x14ac:dyDescent="0.2">
      <c r="DY60028" s="185" t="s">
        <v>215</v>
      </c>
    </row>
    <row r="60029" spans="129:129" x14ac:dyDescent="0.2">
      <c r="DY60029" s="185" t="s">
        <v>215</v>
      </c>
    </row>
    <row r="60030" spans="129:129" x14ac:dyDescent="0.2">
      <c r="DY60030" s="185" t="s">
        <v>215</v>
      </c>
    </row>
    <row r="60031" spans="129:129" x14ac:dyDescent="0.2">
      <c r="DY60031" s="185" t="s">
        <v>215</v>
      </c>
    </row>
    <row r="60032" spans="129:129" x14ac:dyDescent="0.2">
      <c r="DY60032" s="185" t="s">
        <v>215</v>
      </c>
    </row>
    <row r="60033" spans="129:129" x14ac:dyDescent="0.2">
      <c r="DY60033" s="185" t="s">
        <v>215</v>
      </c>
    </row>
    <row r="60034" spans="129:129" x14ac:dyDescent="0.2">
      <c r="DY60034" s="185" t="s">
        <v>215</v>
      </c>
    </row>
    <row r="60035" spans="129:129" x14ac:dyDescent="0.2">
      <c r="DY60035" s="185" t="s">
        <v>215</v>
      </c>
    </row>
    <row r="60036" spans="129:129" x14ac:dyDescent="0.2">
      <c r="DY60036" s="185" t="s">
        <v>215</v>
      </c>
    </row>
    <row r="60037" spans="129:129" x14ac:dyDescent="0.2">
      <c r="DY60037" s="185" t="s">
        <v>215</v>
      </c>
    </row>
    <row r="60038" spans="129:129" x14ac:dyDescent="0.2">
      <c r="DY60038" s="185" t="s">
        <v>215</v>
      </c>
    </row>
    <row r="60039" spans="129:129" x14ac:dyDescent="0.2">
      <c r="DY60039" s="185" t="s">
        <v>215</v>
      </c>
    </row>
    <row r="60040" spans="129:129" x14ac:dyDescent="0.2">
      <c r="DY60040" s="185" t="s">
        <v>215</v>
      </c>
    </row>
    <row r="60041" spans="129:129" x14ac:dyDescent="0.2">
      <c r="DY60041" s="185" t="s">
        <v>215</v>
      </c>
    </row>
    <row r="60042" spans="129:129" x14ac:dyDescent="0.2">
      <c r="DY60042" s="185" t="s">
        <v>215</v>
      </c>
    </row>
    <row r="60043" spans="129:129" x14ac:dyDescent="0.2">
      <c r="DY60043" s="185" t="s">
        <v>215</v>
      </c>
    </row>
    <row r="60044" spans="129:129" x14ac:dyDescent="0.2">
      <c r="DY60044" s="185" t="s">
        <v>215</v>
      </c>
    </row>
    <row r="60045" spans="129:129" x14ac:dyDescent="0.2">
      <c r="DY60045" s="185" t="s">
        <v>215</v>
      </c>
    </row>
    <row r="60046" spans="129:129" x14ac:dyDescent="0.2">
      <c r="DY60046" s="185" t="s">
        <v>215</v>
      </c>
    </row>
    <row r="60047" spans="129:129" x14ac:dyDescent="0.2">
      <c r="DY60047" s="185" t="s">
        <v>215</v>
      </c>
    </row>
    <row r="60048" spans="129:129" x14ac:dyDescent="0.2">
      <c r="DY60048" s="185" t="s">
        <v>215</v>
      </c>
    </row>
    <row r="60049" spans="129:129" x14ac:dyDescent="0.2">
      <c r="DY60049" s="185" t="s">
        <v>215</v>
      </c>
    </row>
    <row r="60050" spans="129:129" x14ac:dyDescent="0.2">
      <c r="DY60050" s="185" t="s">
        <v>215</v>
      </c>
    </row>
    <row r="60051" spans="129:129" x14ac:dyDescent="0.2">
      <c r="DY60051" s="185" t="s">
        <v>215</v>
      </c>
    </row>
    <row r="60052" spans="129:129" x14ac:dyDescent="0.2">
      <c r="DY60052" s="185" t="s">
        <v>215</v>
      </c>
    </row>
    <row r="60053" spans="129:129" x14ac:dyDescent="0.2">
      <c r="DY60053" s="185" t="s">
        <v>215</v>
      </c>
    </row>
    <row r="60054" spans="129:129" x14ac:dyDescent="0.2">
      <c r="DY60054" s="185" t="s">
        <v>215</v>
      </c>
    </row>
    <row r="60055" spans="129:129" x14ac:dyDescent="0.2">
      <c r="DY60055" s="185" t="s">
        <v>215</v>
      </c>
    </row>
    <row r="60056" spans="129:129" x14ac:dyDescent="0.2">
      <c r="DY60056" s="185" t="s">
        <v>215</v>
      </c>
    </row>
    <row r="60057" spans="129:129" x14ac:dyDescent="0.2">
      <c r="DY60057" s="185" t="s">
        <v>215</v>
      </c>
    </row>
    <row r="60058" spans="129:129" x14ac:dyDescent="0.2">
      <c r="DY60058" s="185" t="s">
        <v>215</v>
      </c>
    </row>
    <row r="60059" spans="129:129" x14ac:dyDescent="0.2">
      <c r="DY60059" s="185" t="s">
        <v>215</v>
      </c>
    </row>
    <row r="60060" spans="129:129" x14ac:dyDescent="0.2">
      <c r="DY60060" s="185" t="s">
        <v>215</v>
      </c>
    </row>
    <row r="60061" spans="129:129" x14ac:dyDescent="0.2">
      <c r="DY60061" s="185" t="s">
        <v>215</v>
      </c>
    </row>
    <row r="60062" spans="129:129" x14ac:dyDescent="0.2">
      <c r="DY60062" s="185" t="s">
        <v>215</v>
      </c>
    </row>
    <row r="60063" spans="129:129" x14ac:dyDescent="0.2">
      <c r="DY60063" s="185" t="s">
        <v>215</v>
      </c>
    </row>
    <row r="60064" spans="129:129" x14ac:dyDescent="0.2">
      <c r="DY60064" s="185" t="s">
        <v>215</v>
      </c>
    </row>
    <row r="60065" spans="129:129" x14ac:dyDescent="0.2">
      <c r="DY60065" s="185" t="s">
        <v>215</v>
      </c>
    </row>
    <row r="60066" spans="129:129" x14ac:dyDescent="0.2">
      <c r="DY60066" s="185" t="s">
        <v>215</v>
      </c>
    </row>
    <row r="60067" spans="129:129" x14ac:dyDescent="0.2">
      <c r="DY60067" s="185" t="s">
        <v>215</v>
      </c>
    </row>
    <row r="60068" spans="129:129" x14ac:dyDescent="0.2">
      <c r="DY60068" s="185" t="s">
        <v>215</v>
      </c>
    </row>
    <row r="60069" spans="129:129" x14ac:dyDescent="0.2">
      <c r="DY60069" s="185" t="s">
        <v>215</v>
      </c>
    </row>
    <row r="60070" spans="129:129" x14ac:dyDescent="0.2">
      <c r="DY60070" s="185" t="s">
        <v>215</v>
      </c>
    </row>
    <row r="60071" spans="129:129" x14ac:dyDescent="0.2">
      <c r="DY60071" s="185" t="s">
        <v>215</v>
      </c>
    </row>
    <row r="60072" spans="129:129" x14ac:dyDescent="0.2">
      <c r="DY60072" s="185" t="s">
        <v>215</v>
      </c>
    </row>
    <row r="60073" spans="129:129" x14ac:dyDescent="0.2">
      <c r="DY60073" s="185" t="s">
        <v>215</v>
      </c>
    </row>
    <row r="60074" spans="129:129" x14ac:dyDescent="0.2">
      <c r="DY60074" s="185" t="s">
        <v>215</v>
      </c>
    </row>
    <row r="60075" spans="129:129" x14ac:dyDescent="0.2">
      <c r="DY60075" s="185" t="s">
        <v>215</v>
      </c>
    </row>
    <row r="60076" spans="129:129" x14ac:dyDescent="0.2">
      <c r="DY60076" s="185" t="s">
        <v>215</v>
      </c>
    </row>
    <row r="60077" spans="129:129" x14ac:dyDescent="0.2">
      <c r="DY60077" s="185" t="s">
        <v>215</v>
      </c>
    </row>
    <row r="60078" spans="129:129" x14ac:dyDescent="0.2">
      <c r="DY60078" s="185" t="s">
        <v>215</v>
      </c>
    </row>
    <row r="60079" spans="129:129" x14ac:dyDescent="0.2">
      <c r="DY60079" s="185" t="s">
        <v>215</v>
      </c>
    </row>
    <row r="60080" spans="129:129" x14ac:dyDescent="0.2">
      <c r="DY60080" s="185" t="s">
        <v>215</v>
      </c>
    </row>
    <row r="60081" spans="129:129" x14ac:dyDescent="0.2">
      <c r="DY60081" s="185" t="s">
        <v>215</v>
      </c>
    </row>
    <row r="60082" spans="129:129" x14ac:dyDescent="0.2">
      <c r="DY60082" s="185" t="s">
        <v>215</v>
      </c>
    </row>
    <row r="60083" spans="129:129" x14ac:dyDescent="0.2">
      <c r="DY60083" s="185" t="s">
        <v>215</v>
      </c>
    </row>
    <row r="60084" spans="129:129" x14ac:dyDescent="0.2">
      <c r="DY60084" s="185" t="s">
        <v>215</v>
      </c>
    </row>
    <row r="60085" spans="129:129" x14ac:dyDescent="0.2">
      <c r="DY60085" s="185" t="s">
        <v>215</v>
      </c>
    </row>
    <row r="60086" spans="129:129" x14ac:dyDescent="0.2">
      <c r="DY60086" s="185" t="s">
        <v>215</v>
      </c>
    </row>
    <row r="60087" spans="129:129" x14ac:dyDescent="0.2">
      <c r="DY60087" s="185" t="s">
        <v>215</v>
      </c>
    </row>
    <row r="60088" spans="129:129" x14ac:dyDescent="0.2">
      <c r="DY60088" s="185" t="s">
        <v>215</v>
      </c>
    </row>
    <row r="60089" spans="129:129" x14ac:dyDescent="0.2">
      <c r="DY60089" s="185" t="s">
        <v>215</v>
      </c>
    </row>
    <row r="60090" spans="129:129" x14ac:dyDescent="0.2">
      <c r="DY60090" s="185" t="s">
        <v>215</v>
      </c>
    </row>
    <row r="60091" spans="129:129" x14ac:dyDescent="0.2">
      <c r="DY60091" s="185" t="s">
        <v>215</v>
      </c>
    </row>
    <row r="60092" spans="129:129" x14ac:dyDescent="0.2">
      <c r="DY60092" s="185" t="s">
        <v>215</v>
      </c>
    </row>
    <row r="60093" spans="129:129" x14ac:dyDescent="0.2">
      <c r="DY60093" s="185" t="s">
        <v>215</v>
      </c>
    </row>
    <row r="60094" spans="129:129" x14ac:dyDescent="0.2">
      <c r="DY60094" s="185" t="s">
        <v>215</v>
      </c>
    </row>
    <row r="60095" spans="129:129" x14ac:dyDescent="0.2">
      <c r="DY60095" s="185" t="s">
        <v>215</v>
      </c>
    </row>
    <row r="60096" spans="129:129" x14ac:dyDescent="0.2">
      <c r="DY60096" s="185" t="s">
        <v>215</v>
      </c>
    </row>
    <row r="60097" spans="129:129" x14ac:dyDescent="0.2">
      <c r="DY60097" s="185" t="s">
        <v>215</v>
      </c>
    </row>
    <row r="60098" spans="129:129" x14ac:dyDescent="0.2">
      <c r="DY60098" s="185" t="s">
        <v>215</v>
      </c>
    </row>
    <row r="60099" spans="129:129" x14ac:dyDescent="0.2">
      <c r="DY60099" s="185" t="s">
        <v>215</v>
      </c>
    </row>
    <row r="60100" spans="129:129" x14ac:dyDescent="0.2">
      <c r="DY60100" s="185" t="s">
        <v>215</v>
      </c>
    </row>
    <row r="60101" spans="129:129" x14ac:dyDescent="0.2">
      <c r="DY60101" s="185" t="s">
        <v>215</v>
      </c>
    </row>
    <row r="60102" spans="129:129" x14ac:dyDescent="0.2">
      <c r="DY60102" s="185" t="s">
        <v>215</v>
      </c>
    </row>
    <row r="60103" spans="129:129" x14ac:dyDescent="0.2">
      <c r="DY60103" s="185" t="s">
        <v>215</v>
      </c>
    </row>
    <row r="60104" spans="129:129" x14ac:dyDescent="0.2">
      <c r="DY60104" s="185" t="s">
        <v>215</v>
      </c>
    </row>
    <row r="60105" spans="129:129" x14ac:dyDescent="0.2">
      <c r="DY60105" s="185" t="s">
        <v>215</v>
      </c>
    </row>
    <row r="60106" spans="129:129" x14ac:dyDescent="0.2">
      <c r="DY60106" s="185" t="s">
        <v>215</v>
      </c>
    </row>
    <row r="60107" spans="129:129" x14ac:dyDescent="0.2">
      <c r="DY60107" s="185" t="s">
        <v>215</v>
      </c>
    </row>
    <row r="60108" spans="129:129" x14ac:dyDescent="0.2">
      <c r="DY60108" s="185" t="s">
        <v>215</v>
      </c>
    </row>
    <row r="60109" spans="129:129" x14ac:dyDescent="0.2">
      <c r="DY60109" s="185" t="s">
        <v>215</v>
      </c>
    </row>
    <row r="60110" spans="129:129" x14ac:dyDescent="0.2">
      <c r="DY60110" s="185" t="s">
        <v>215</v>
      </c>
    </row>
    <row r="60111" spans="129:129" x14ac:dyDescent="0.2">
      <c r="DY60111" s="185" t="s">
        <v>215</v>
      </c>
    </row>
    <row r="60112" spans="129:129" x14ac:dyDescent="0.2">
      <c r="DY60112" s="185" t="s">
        <v>215</v>
      </c>
    </row>
    <row r="60113" spans="129:129" x14ac:dyDescent="0.2">
      <c r="DY60113" s="185" t="s">
        <v>215</v>
      </c>
    </row>
    <row r="60114" spans="129:129" x14ac:dyDescent="0.2">
      <c r="DY60114" s="185" t="s">
        <v>215</v>
      </c>
    </row>
    <row r="60115" spans="129:129" x14ac:dyDescent="0.2">
      <c r="DY60115" s="185" t="s">
        <v>215</v>
      </c>
    </row>
    <row r="60116" spans="129:129" x14ac:dyDescent="0.2">
      <c r="DY60116" s="185" t="s">
        <v>215</v>
      </c>
    </row>
    <row r="60117" spans="129:129" x14ac:dyDescent="0.2">
      <c r="DY60117" s="185" t="s">
        <v>215</v>
      </c>
    </row>
    <row r="60118" spans="129:129" x14ac:dyDescent="0.2">
      <c r="DY60118" s="185" t="s">
        <v>215</v>
      </c>
    </row>
    <row r="60119" spans="129:129" x14ac:dyDescent="0.2">
      <c r="DY60119" s="185" t="s">
        <v>215</v>
      </c>
    </row>
    <row r="60120" spans="129:129" x14ac:dyDescent="0.2">
      <c r="DY60120" s="185" t="s">
        <v>215</v>
      </c>
    </row>
    <row r="60121" spans="129:129" x14ac:dyDescent="0.2">
      <c r="DY60121" s="185" t="s">
        <v>215</v>
      </c>
    </row>
    <row r="60122" spans="129:129" x14ac:dyDescent="0.2">
      <c r="DY60122" s="185" t="s">
        <v>215</v>
      </c>
    </row>
    <row r="60123" spans="129:129" x14ac:dyDescent="0.2">
      <c r="DY60123" s="185" t="s">
        <v>215</v>
      </c>
    </row>
    <row r="60124" spans="129:129" x14ac:dyDescent="0.2">
      <c r="DY60124" s="185" t="s">
        <v>215</v>
      </c>
    </row>
    <row r="60125" spans="129:129" x14ac:dyDescent="0.2">
      <c r="DY60125" s="185" t="s">
        <v>215</v>
      </c>
    </row>
    <row r="60126" spans="129:129" x14ac:dyDescent="0.2">
      <c r="DY60126" s="185" t="s">
        <v>215</v>
      </c>
    </row>
    <row r="60127" spans="129:129" x14ac:dyDescent="0.2">
      <c r="DY60127" s="185" t="s">
        <v>215</v>
      </c>
    </row>
    <row r="60128" spans="129:129" x14ac:dyDescent="0.2">
      <c r="DY60128" s="185" t="s">
        <v>215</v>
      </c>
    </row>
    <row r="60129" spans="129:129" x14ac:dyDescent="0.2">
      <c r="DY60129" s="185" t="s">
        <v>215</v>
      </c>
    </row>
    <row r="60130" spans="129:129" x14ac:dyDescent="0.2">
      <c r="DY60130" s="185" t="s">
        <v>215</v>
      </c>
    </row>
    <row r="60131" spans="129:129" x14ac:dyDescent="0.2">
      <c r="DY60131" s="185" t="s">
        <v>215</v>
      </c>
    </row>
    <row r="60132" spans="129:129" x14ac:dyDescent="0.2">
      <c r="DY60132" s="185" t="s">
        <v>215</v>
      </c>
    </row>
    <row r="60133" spans="129:129" x14ac:dyDescent="0.2">
      <c r="DY60133" s="185" t="s">
        <v>215</v>
      </c>
    </row>
    <row r="60134" spans="129:129" x14ac:dyDescent="0.2">
      <c r="DY60134" s="185" t="s">
        <v>215</v>
      </c>
    </row>
    <row r="60135" spans="129:129" x14ac:dyDescent="0.2">
      <c r="DY60135" s="185" t="s">
        <v>215</v>
      </c>
    </row>
    <row r="60136" spans="129:129" x14ac:dyDescent="0.2">
      <c r="DY60136" s="185" t="s">
        <v>215</v>
      </c>
    </row>
    <row r="60137" spans="129:129" x14ac:dyDescent="0.2">
      <c r="DY60137" s="185" t="s">
        <v>215</v>
      </c>
    </row>
    <row r="60138" spans="129:129" x14ac:dyDescent="0.2">
      <c r="DY60138" s="185" t="s">
        <v>215</v>
      </c>
    </row>
    <row r="60139" spans="129:129" x14ac:dyDescent="0.2">
      <c r="DY60139" s="185" t="s">
        <v>215</v>
      </c>
    </row>
    <row r="60140" spans="129:129" x14ac:dyDescent="0.2">
      <c r="DY60140" s="185" t="s">
        <v>215</v>
      </c>
    </row>
    <row r="60141" spans="129:129" x14ac:dyDescent="0.2">
      <c r="DY60141" s="185" t="s">
        <v>215</v>
      </c>
    </row>
    <row r="60142" spans="129:129" x14ac:dyDescent="0.2">
      <c r="DY60142" s="185" t="s">
        <v>215</v>
      </c>
    </row>
    <row r="60143" spans="129:129" x14ac:dyDescent="0.2">
      <c r="DY60143" s="185" t="s">
        <v>215</v>
      </c>
    </row>
    <row r="60144" spans="129:129" x14ac:dyDescent="0.2">
      <c r="DY60144" s="185" t="s">
        <v>215</v>
      </c>
    </row>
    <row r="60145" spans="129:129" x14ac:dyDescent="0.2">
      <c r="DY60145" s="185" t="s">
        <v>215</v>
      </c>
    </row>
    <row r="60146" spans="129:129" x14ac:dyDescent="0.2">
      <c r="DY60146" s="185" t="s">
        <v>215</v>
      </c>
    </row>
    <row r="60147" spans="129:129" x14ac:dyDescent="0.2">
      <c r="DY60147" s="185" t="s">
        <v>215</v>
      </c>
    </row>
    <row r="60148" spans="129:129" x14ac:dyDescent="0.2">
      <c r="DY60148" s="185" t="s">
        <v>215</v>
      </c>
    </row>
    <row r="60149" spans="129:129" x14ac:dyDescent="0.2">
      <c r="DY60149" s="185" t="s">
        <v>215</v>
      </c>
    </row>
    <row r="60150" spans="129:129" x14ac:dyDescent="0.2">
      <c r="DY60150" s="185" t="s">
        <v>215</v>
      </c>
    </row>
    <row r="60151" spans="129:129" x14ac:dyDescent="0.2">
      <c r="DY60151" s="185" t="s">
        <v>215</v>
      </c>
    </row>
    <row r="60152" spans="129:129" x14ac:dyDescent="0.2">
      <c r="DY60152" s="185" t="s">
        <v>215</v>
      </c>
    </row>
    <row r="60153" spans="129:129" x14ac:dyDescent="0.2">
      <c r="DY60153" s="185" t="s">
        <v>215</v>
      </c>
    </row>
    <row r="60154" spans="129:129" x14ac:dyDescent="0.2">
      <c r="DY60154" s="185" t="s">
        <v>215</v>
      </c>
    </row>
    <row r="60155" spans="129:129" x14ac:dyDescent="0.2">
      <c r="DY60155" s="185" t="s">
        <v>215</v>
      </c>
    </row>
    <row r="60156" spans="129:129" x14ac:dyDescent="0.2">
      <c r="DY60156" s="185" t="s">
        <v>215</v>
      </c>
    </row>
    <row r="60157" spans="129:129" x14ac:dyDescent="0.2">
      <c r="DY60157" s="185" t="s">
        <v>215</v>
      </c>
    </row>
    <row r="60158" spans="129:129" x14ac:dyDescent="0.2">
      <c r="DY60158" s="185" t="s">
        <v>215</v>
      </c>
    </row>
    <row r="60159" spans="129:129" x14ac:dyDescent="0.2">
      <c r="DY60159" s="185" t="s">
        <v>215</v>
      </c>
    </row>
    <row r="60160" spans="129:129" x14ac:dyDescent="0.2">
      <c r="DY60160" s="185" t="s">
        <v>215</v>
      </c>
    </row>
    <row r="60161" spans="129:129" x14ac:dyDescent="0.2">
      <c r="DY60161" s="185" t="s">
        <v>215</v>
      </c>
    </row>
    <row r="60162" spans="129:129" x14ac:dyDescent="0.2">
      <c r="DY60162" s="185" t="s">
        <v>215</v>
      </c>
    </row>
    <row r="60163" spans="129:129" x14ac:dyDescent="0.2">
      <c r="DY60163" s="185" t="s">
        <v>215</v>
      </c>
    </row>
    <row r="60164" spans="129:129" x14ac:dyDescent="0.2">
      <c r="DY60164" s="185" t="s">
        <v>215</v>
      </c>
    </row>
    <row r="60165" spans="129:129" x14ac:dyDescent="0.2">
      <c r="DY60165" s="185" t="s">
        <v>215</v>
      </c>
    </row>
    <row r="60166" spans="129:129" x14ac:dyDescent="0.2">
      <c r="DY60166" s="185" t="s">
        <v>215</v>
      </c>
    </row>
    <row r="60167" spans="129:129" x14ac:dyDescent="0.2">
      <c r="DY60167" s="185" t="s">
        <v>215</v>
      </c>
    </row>
    <row r="60168" spans="129:129" x14ac:dyDescent="0.2">
      <c r="DY60168" s="185" t="s">
        <v>215</v>
      </c>
    </row>
    <row r="60169" spans="129:129" x14ac:dyDescent="0.2">
      <c r="DY60169" s="185" t="s">
        <v>215</v>
      </c>
    </row>
    <row r="60170" spans="129:129" x14ac:dyDescent="0.2">
      <c r="DY60170" s="185" t="s">
        <v>215</v>
      </c>
    </row>
    <row r="60171" spans="129:129" x14ac:dyDescent="0.2">
      <c r="DY60171" s="185" t="s">
        <v>215</v>
      </c>
    </row>
    <row r="60172" spans="129:129" x14ac:dyDescent="0.2">
      <c r="DY60172" s="185" t="s">
        <v>215</v>
      </c>
    </row>
    <row r="60173" spans="129:129" x14ac:dyDescent="0.2">
      <c r="DY60173" s="185" t="s">
        <v>215</v>
      </c>
    </row>
    <row r="60174" spans="129:129" x14ac:dyDescent="0.2">
      <c r="DY60174" s="185" t="s">
        <v>215</v>
      </c>
    </row>
    <row r="60175" spans="129:129" x14ac:dyDescent="0.2">
      <c r="DY60175" s="185" t="s">
        <v>215</v>
      </c>
    </row>
    <row r="60176" spans="129:129" x14ac:dyDescent="0.2">
      <c r="DY60176" s="185" t="s">
        <v>215</v>
      </c>
    </row>
    <row r="60177" spans="129:129" x14ac:dyDescent="0.2">
      <c r="DY60177" s="185" t="s">
        <v>215</v>
      </c>
    </row>
    <row r="60178" spans="129:129" x14ac:dyDescent="0.2">
      <c r="DY60178" s="185" t="s">
        <v>215</v>
      </c>
    </row>
    <row r="60179" spans="129:129" x14ac:dyDescent="0.2">
      <c r="DY60179" s="185" t="s">
        <v>215</v>
      </c>
    </row>
    <row r="60180" spans="129:129" x14ac:dyDescent="0.2">
      <c r="DY60180" s="185" t="s">
        <v>215</v>
      </c>
    </row>
    <row r="60181" spans="129:129" x14ac:dyDescent="0.2">
      <c r="DY60181" s="185" t="s">
        <v>215</v>
      </c>
    </row>
    <row r="60182" spans="129:129" x14ac:dyDescent="0.2">
      <c r="DY60182" s="185" t="s">
        <v>215</v>
      </c>
    </row>
    <row r="60183" spans="129:129" x14ac:dyDescent="0.2">
      <c r="DY60183" s="185" t="s">
        <v>215</v>
      </c>
    </row>
    <row r="60184" spans="129:129" x14ac:dyDescent="0.2">
      <c r="DY60184" s="185" t="s">
        <v>215</v>
      </c>
    </row>
    <row r="60185" spans="129:129" x14ac:dyDescent="0.2">
      <c r="DY60185" s="185" t="s">
        <v>215</v>
      </c>
    </row>
    <row r="60186" spans="129:129" x14ac:dyDescent="0.2">
      <c r="DY60186" s="185" t="s">
        <v>215</v>
      </c>
    </row>
    <row r="60187" spans="129:129" x14ac:dyDescent="0.2">
      <c r="DY60187" s="185" t="s">
        <v>215</v>
      </c>
    </row>
    <row r="60188" spans="129:129" x14ac:dyDescent="0.2">
      <c r="DY60188" s="185" t="s">
        <v>215</v>
      </c>
    </row>
    <row r="60189" spans="129:129" x14ac:dyDescent="0.2">
      <c r="DY60189" s="185" t="s">
        <v>215</v>
      </c>
    </row>
    <row r="60190" spans="129:129" x14ac:dyDescent="0.2">
      <c r="DY60190" s="185" t="s">
        <v>215</v>
      </c>
    </row>
    <row r="60191" spans="129:129" x14ac:dyDescent="0.2">
      <c r="DY60191" s="185" t="s">
        <v>215</v>
      </c>
    </row>
    <row r="60192" spans="129:129" x14ac:dyDescent="0.2">
      <c r="DY60192" s="185" t="s">
        <v>215</v>
      </c>
    </row>
    <row r="60193" spans="129:129" x14ac:dyDescent="0.2">
      <c r="DY60193" s="185" t="s">
        <v>215</v>
      </c>
    </row>
    <row r="60194" spans="129:129" x14ac:dyDescent="0.2">
      <c r="DY60194" s="185" t="s">
        <v>215</v>
      </c>
    </row>
    <row r="60195" spans="129:129" x14ac:dyDescent="0.2">
      <c r="DY60195" s="185" t="s">
        <v>215</v>
      </c>
    </row>
    <row r="60196" spans="129:129" x14ac:dyDescent="0.2">
      <c r="DY60196" s="185" t="s">
        <v>215</v>
      </c>
    </row>
    <row r="60197" spans="129:129" x14ac:dyDescent="0.2">
      <c r="DY60197" s="185" t="s">
        <v>215</v>
      </c>
    </row>
    <row r="60198" spans="129:129" x14ac:dyDescent="0.2">
      <c r="DY60198" s="185" t="s">
        <v>215</v>
      </c>
    </row>
    <row r="60199" spans="129:129" x14ac:dyDescent="0.2">
      <c r="DY60199" s="185" t="s">
        <v>215</v>
      </c>
    </row>
    <row r="60200" spans="129:129" x14ac:dyDescent="0.2">
      <c r="DY60200" s="185" t="s">
        <v>215</v>
      </c>
    </row>
    <row r="60201" spans="129:129" x14ac:dyDescent="0.2">
      <c r="DY60201" s="185" t="s">
        <v>215</v>
      </c>
    </row>
    <row r="60202" spans="129:129" x14ac:dyDescent="0.2">
      <c r="DY60202" s="185" t="s">
        <v>215</v>
      </c>
    </row>
    <row r="60203" spans="129:129" x14ac:dyDescent="0.2">
      <c r="DY60203" s="185" t="s">
        <v>215</v>
      </c>
    </row>
    <row r="60204" spans="129:129" x14ac:dyDescent="0.2">
      <c r="DY60204" s="185" t="s">
        <v>215</v>
      </c>
    </row>
    <row r="60205" spans="129:129" x14ac:dyDescent="0.2">
      <c r="DY60205" s="185" t="s">
        <v>215</v>
      </c>
    </row>
    <row r="60206" spans="129:129" x14ac:dyDescent="0.2">
      <c r="DY60206" s="185" t="s">
        <v>215</v>
      </c>
    </row>
    <row r="60207" spans="129:129" x14ac:dyDescent="0.2">
      <c r="DY60207" s="185" t="s">
        <v>215</v>
      </c>
    </row>
    <row r="60208" spans="129:129" x14ac:dyDescent="0.2">
      <c r="DY60208" s="185" t="s">
        <v>215</v>
      </c>
    </row>
    <row r="60209" spans="129:129" x14ac:dyDescent="0.2">
      <c r="DY60209" s="185" t="s">
        <v>215</v>
      </c>
    </row>
    <row r="60210" spans="129:129" x14ac:dyDescent="0.2">
      <c r="DY60210" s="185" t="s">
        <v>215</v>
      </c>
    </row>
    <row r="60211" spans="129:129" x14ac:dyDescent="0.2">
      <c r="DY60211" s="185" t="s">
        <v>215</v>
      </c>
    </row>
    <row r="60212" spans="129:129" x14ac:dyDescent="0.2">
      <c r="DY60212" s="185" t="s">
        <v>215</v>
      </c>
    </row>
    <row r="60213" spans="129:129" x14ac:dyDescent="0.2">
      <c r="DY60213" s="185" t="s">
        <v>215</v>
      </c>
    </row>
    <row r="60214" spans="129:129" x14ac:dyDescent="0.2">
      <c r="DY60214" s="185" t="s">
        <v>215</v>
      </c>
    </row>
    <row r="60215" spans="129:129" x14ac:dyDescent="0.2">
      <c r="DY60215" s="185" t="s">
        <v>215</v>
      </c>
    </row>
    <row r="60216" spans="129:129" x14ac:dyDescent="0.2">
      <c r="DY60216" s="185" t="s">
        <v>215</v>
      </c>
    </row>
    <row r="60217" spans="129:129" x14ac:dyDescent="0.2">
      <c r="DY60217" s="185" t="s">
        <v>215</v>
      </c>
    </row>
    <row r="60218" spans="129:129" x14ac:dyDescent="0.2">
      <c r="DY60218" s="185" t="s">
        <v>215</v>
      </c>
    </row>
    <row r="60219" spans="129:129" x14ac:dyDescent="0.2">
      <c r="DY60219" s="185" t="s">
        <v>215</v>
      </c>
    </row>
    <row r="60220" spans="129:129" x14ac:dyDescent="0.2">
      <c r="DY60220" s="185" t="s">
        <v>215</v>
      </c>
    </row>
    <row r="60221" spans="129:129" x14ac:dyDescent="0.2">
      <c r="DY60221" s="185" t="s">
        <v>215</v>
      </c>
    </row>
    <row r="60222" spans="129:129" x14ac:dyDescent="0.2">
      <c r="DY60222" s="185" t="s">
        <v>215</v>
      </c>
    </row>
    <row r="60223" spans="129:129" x14ac:dyDescent="0.2">
      <c r="DY60223" s="185" t="s">
        <v>215</v>
      </c>
    </row>
    <row r="60224" spans="129:129" x14ac:dyDescent="0.2">
      <c r="DY60224" s="185" t="s">
        <v>215</v>
      </c>
    </row>
    <row r="60225" spans="129:129" x14ac:dyDescent="0.2">
      <c r="DY60225" s="185" t="s">
        <v>215</v>
      </c>
    </row>
    <row r="60226" spans="129:129" x14ac:dyDescent="0.2">
      <c r="DY60226" s="185" t="s">
        <v>215</v>
      </c>
    </row>
    <row r="60227" spans="129:129" x14ac:dyDescent="0.2">
      <c r="DY60227" s="185" t="s">
        <v>215</v>
      </c>
    </row>
    <row r="60228" spans="129:129" x14ac:dyDescent="0.2">
      <c r="DY60228" s="185" t="s">
        <v>215</v>
      </c>
    </row>
    <row r="60229" spans="129:129" x14ac:dyDescent="0.2">
      <c r="DY60229" s="185" t="s">
        <v>215</v>
      </c>
    </row>
    <row r="60230" spans="129:129" x14ac:dyDescent="0.2">
      <c r="DY60230" s="185" t="s">
        <v>215</v>
      </c>
    </row>
    <row r="60231" spans="129:129" x14ac:dyDescent="0.2">
      <c r="DY60231" s="185" t="s">
        <v>215</v>
      </c>
    </row>
    <row r="60232" spans="129:129" x14ac:dyDescent="0.2">
      <c r="DY60232" s="185" t="s">
        <v>215</v>
      </c>
    </row>
    <row r="60233" spans="129:129" x14ac:dyDescent="0.2">
      <c r="DY60233" s="185" t="s">
        <v>215</v>
      </c>
    </row>
    <row r="60234" spans="129:129" x14ac:dyDescent="0.2">
      <c r="DY60234" s="185" t="s">
        <v>215</v>
      </c>
    </row>
    <row r="60235" spans="129:129" x14ac:dyDescent="0.2">
      <c r="DY60235" s="185" t="s">
        <v>215</v>
      </c>
    </row>
    <row r="60236" spans="129:129" x14ac:dyDescent="0.2">
      <c r="DY60236" s="185" t="s">
        <v>215</v>
      </c>
    </row>
    <row r="60237" spans="129:129" x14ac:dyDescent="0.2">
      <c r="DY60237" s="185" t="s">
        <v>215</v>
      </c>
    </row>
    <row r="60238" spans="129:129" x14ac:dyDescent="0.2">
      <c r="DY60238" s="185" t="s">
        <v>215</v>
      </c>
    </row>
    <row r="60239" spans="129:129" x14ac:dyDescent="0.2">
      <c r="DY60239" s="185" t="s">
        <v>215</v>
      </c>
    </row>
    <row r="60240" spans="129:129" x14ac:dyDescent="0.2">
      <c r="DY60240" s="185" t="s">
        <v>215</v>
      </c>
    </row>
    <row r="60241" spans="129:129" x14ac:dyDescent="0.2">
      <c r="DY60241" s="185" t="s">
        <v>215</v>
      </c>
    </row>
    <row r="60242" spans="129:129" x14ac:dyDescent="0.2">
      <c r="DY60242" s="185" t="s">
        <v>215</v>
      </c>
    </row>
    <row r="60243" spans="129:129" x14ac:dyDescent="0.2">
      <c r="DY60243" s="185" t="s">
        <v>215</v>
      </c>
    </row>
    <row r="60244" spans="129:129" x14ac:dyDescent="0.2">
      <c r="DY60244" s="185" t="s">
        <v>215</v>
      </c>
    </row>
    <row r="60245" spans="129:129" x14ac:dyDescent="0.2">
      <c r="DY60245" s="185" t="s">
        <v>215</v>
      </c>
    </row>
    <row r="60246" spans="129:129" x14ac:dyDescent="0.2">
      <c r="DY60246" s="185" t="s">
        <v>215</v>
      </c>
    </row>
    <row r="60247" spans="129:129" x14ac:dyDescent="0.2">
      <c r="DY60247" s="185" t="s">
        <v>215</v>
      </c>
    </row>
    <row r="60248" spans="129:129" x14ac:dyDescent="0.2">
      <c r="DY60248" s="185" t="s">
        <v>215</v>
      </c>
    </row>
    <row r="60249" spans="129:129" x14ac:dyDescent="0.2">
      <c r="DY60249" s="185" t="s">
        <v>215</v>
      </c>
    </row>
    <row r="60250" spans="129:129" x14ac:dyDescent="0.2">
      <c r="DY60250" s="185" t="s">
        <v>215</v>
      </c>
    </row>
    <row r="60251" spans="129:129" x14ac:dyDescent="0.2">
      <c r="DY60251" s="185" t="s">
        <v>215</v>
      </c>
    </row>
    <row r="60252" spans="129:129" x14ac:dyDescent="0.2">
      <c r="DY60252" s="185" t="s">
        <v>215</v>
      </c>
    </row>
    <row r="60253" spans="129:129" x14ac:dyDescent="0.2">
      <c r="DY60253" s="185" t="s">
        <v>215</v>
      </c>
    </row>
    <row r="60254" spans="129:129" x14ac:dyDescent="0.2">
      <c r="DY60254" s="185" t="s">
        <v>215</v>
      </c>
    </row>
    <row r="60255" spans="129:129" x14ac:dyDescent="0.2">
      <c r="DY60255" s="185" t="s">
        <v>215</v>
      </c>
    </row>
    <row r="60256" spans="129:129" x14ac:dyDescent="0.2">
      <c r="DY60256" s="185" t="s">
        <v>215</v>
      </c>
    </row>
    <row r="60257" spans="129:129" x14ac:dyDescent="0.2">
      <c r="DY60257" s="185" t="s">
        <v>215</v>
      </c>
    </row>
    <row r="60258" spans="129:129" x14ac:dyDescent="0.2">
      <c r="DY60258" s="185" t="s">
        <v>215</v>
      </c>
    </row>
    <row r="60259" spans="129:129" x14ac:dyDescent="0.2">
      <c r="DY60259" s="185" t="s">
        <v>215</v>
      </c>
    </row>
    <row r="60260" spans="129:129" x14ac:dyDescent="0.2">
      <c r="DY60260" s="185" t="s">
        <v>215</v>
      </c>
    </row>
    <row r="60261" spans="129:129" x14ac:dyDescent="0.2">
      <c r="DY60261" s="185" t="s">
        <v>215</v>
      </c>
    </row>
    <row r="60262" spans="129:129" x14ac:dyDescent="0.2">
      <c r="DY60262" s="185" t="s">
        <v>215</v>
      </c>
    </row>
    <row r="60263" spans="129:129" x14ac:dyDescent="0.2">
      <c r="DY60263" s="185" t="s">
        <v>215</v>
      </c>
    </row>
    <row r="60264" spans="129:129" x14ac:dyDescent="0.2">
      <c r="DY60264" s="185" t="s">
        <v>215</v>
      </c>
    </row>
    <row r="60265" spans="129:129" x14ac:dyDescent="0.2">
      <c r="DY60265" s="185" t="s">
        <v>215</v>
      </c>
    </row>
    <row r="60266" spans="129:129" x14ac:dyDescent="0.2">
      <c r="DY60266" s="185" t="s">
        <v>215</v>
      </c>
    </row>
    <row r="60267" spans="129:129" x14ac:dyDescent="0.2">
      <c r="DY60267" s="185" t="s">
        <v>215</v>
      </c>
    </row>
    <row r="60268" spans="129:129" x14ac:dyDescent="0.2">
      <c r="DY60268" s="185" t="s">
        <v>215</v>
      </c>
    </row>
    <row r="60269" spans="129:129" x14ac:dyDescent="0.2">
      <c r="DY60269" s="185" t="s">
        <v>215</v>
      </c>
    </row>
    <row r="60270" spans="129:129" x14ac:dyDescent="0.2">
      <c r="DY60270" s="185" t="s">
        <v>215</v>
      </c>
    </row>
    <row r="60271" spans="129:129" x14ac:dyDescent="0.2">
      <c r="DY60271" s="185" t="s">
        <v>215</v>
      </c>
    </row>
    <row r="60272" spans="129:129" x14ac:dyDescent="0.2">
      <c r="DY60272" s="185" t="s">
        <v>215</v>
      </c>
    </row>
    <row r="60273" spans="129:129" x14ac:dyDescent="0.2">
      <c r="DY60273" s="185" t="s">
        <v>215</v>
      </c>
    </row>
    <row r="60274" spans="129:129" x14ac:dyDescent="0.2">
      <c r="DY60274" s="185" t="s">
        <v>215</v>
      </c>
    </row>
    <row r="60275" spans="129:129" x14ac:dyDescent="0.2">
      <c r="DY60275" s="185" t="s">
        <v>215</v>
      </c>
    </row>
    <row r="60276" spans="129:129" x14ac:dyDescent="0.2">
      <c r="DY60276" s="185" t="s">
        <v>215</v>
      </c>
    </row>
    <row r="60277" spans="129:129" x14ac:dyDescent="0.2">
      <c r="DY60277" s="185" t="s">
        <v>215</v>
      </c>
    </row>
    <row r="60278" spans="129:129" x14ac:dyDescent="0.2">
      <c r="DY60278" s="185" t="s">
        <v>215</v>
      </c>
    </row>
    <row r="60279" spans="129:129" x14ac:dyDescent="0.2">
      <c r="DY60279" s="185" t="s">
        <v>215</v>
      </c>
    </row>
    <row r="60280" spans="129:129" x14ac:dyDescent="0.2">
      <c r="DY60280" s="185" t="s">
        <v>215</v>
      </c>
    </row>
    <row r="60281" spans="129:129" x14ac:dyDescent="0.2">
      <c r="DY60281" s="185" t="s">
        <v>215</v>
      </c>
    </row>
    <row r="60282" spans="129:129" x14ac:dyDescent="0.2">
      <c r="DY60282" s="185" t="s">
        <v>215</v>
      </c>
    </row>
    <row r="60283" spans="129:129" x14ac:dyDescent="0.2">
      <c r="DY60283" s="185" t="s">
        <v>215</v>
      </c>
    </row>
    <row r="60284" spans="129:129" x14ac:dyDescent="0.2">
      <c r="DY60284" s="185" t="s">
        <v>215</v>
      </c>
    </row>
    <row r="60285" spans="129:129" x14ac:dyDescent="0.2">
      <c r="DY60285" s="185" t="s">
        <v>215</v>
      </c>
    </row>
    <row r="60286" spans="129:129" x14ac:dyDescent="0.2">
      <c r="DY60286" s="185" t="s">
        <v>215</v>
      </c>
    </row>
    <row r="60287" spans="129:129" x14ac:dyDescent="0.2">
      <c r="DY60287" s="185" t="s">
        <v>215</v>
      </c>
    </row>
    <row r="60288" spans="129:129" x14ac:dyDescent="0.2">
      <c r="DY60288" s="185" t="s">
        <v>215</v>
      </c>
    </row>
    <row r="60289" spans="129:129" x14ac:dyDescent="0.2">
      <c r="DY60289" s="185" t="s">
        <v>215</v>
      </c>
    </row>
    <row r="60290" spans="129:129" x14ac:dyDescent="0.2">
      <c r="DY60290" s="185" t="s">
        <v>215</v>
      </c>
    </row>
    <row r="60291" spans="129:129" x14ac:dyDescent="0.2">
      <c r="DY60291" s="185" t="s">
        <v>215</v>
      </c>
    </row>
    <row r="60292" spans="129:129" x14ac:dyDescent="0.2">
      <c r="DY60292" s="185" t="s">
        <v>215</v>
      </c>
    </row>
    <row r="60293" spans="129:129" x14ac:dyDescent="0.2">
      <c r="DY60293" s="185" t="s">
        <v>215</v>
      </c>
    </row>
    <row r="60294" spans="129:129" x14ac:dyDescent="0.2">
      <c r="DY60294" s="185" t="s">
        <v>215</v>
      </c>
    </row>
    <row r="60295" spans="129:129" x14ac:dyDescent="0.2">
      <c r="DY60295" s="185" t="s">
        <v>215</v>
      </c>
    </row>
    <row r="60296" spans="129:129" x14ac:dyDescent="0.2">
      <c r="DY60296" s="185" t="s">
        <v>215</v>
      </c>
    </row>
    <row r="60297" spans="129:129" x14ac:dyDescent="0.2">
      <c r="DY60297" s="185" t="s">
        <v>215</v>
      </c>
    </row>
    <row r="60298" spans="129:129" x14ac:dyDescent="0.2">
      <c r="DY60298" s="185" t="s">
        <v>215</v>
      </c>
    </row>
    <row r="60299" spans="129:129" x14ac:dyDescent="0.2">
      <c r="DY60299" s="185" t="s">
        <v>215</v>
      </c>
    </row>
    <row r="60300" spans="129:129" x14ac:dyDescent="0.2">
      <c r="DY60300" s="185" t="s">
        <v>215</v>
      </c>
    </row>
    <row r="60301" spans="129:129" x14ac:dyDescent="0.2">
      <c r="DY60301" s="185" t="s">
        <v>215</v>
      </c>
    </row>
    <row r="60302" spans="129:129" x14ac:dyDescent="0.2">
      <c r="DY60302" s="185" t="s">
        <v>215</v>
      </c>
    </row>
    <row r="60303" spans="129:129" x14ac:dyDescent="0.2">
      <c r="DY60303" s="185" t="s">
        <v>215</v>
      </c>
    </row>
    <row r="60304" spans="129:129" x14ac:dyDescent="0.2">
      <c r="DY60304" s="185" t="s">
        <v>215</v>
      </c>
    </row>
    <row r="60305" spans="129:129" x14ac:dyDescent="0.2">
      <c r="DY60305" s="185" t="s">
        <v>215</v>
      </c>
    </row>
    <row r="60306" spans="129:129" x14ac:dyDescent="0.2">
      <c r="DY60306" s="185" t="s">
        <v>215</v>
      </c>
    </row>
    <row r="60307" spans="129:129" x14ac:dyDescent="0.2">
      <c r="DY60307" s="185" t="s">
        <v>215</v>
      </c>
    </row>
    <row r="60308" spans="129:129" x14ac:dyDescent="0.2">
      <c r="DY60308" s="185" t="s">
        <v>215</v>
      </c>
    </row>
    <row r="60309" spans="129:129" x14ac:dyDescent="0.2">
      <c r="DY60309" s="185" t="s">
        <v>215</v>
      </c>
    </row>
    <row r="60310" spans="129:129" x14ac:dyDescent="0.2">
      <c r="DY60310" s="185" t="s">
        <v>215</v>
      </c>
    </row>
    <row r="60311" spans="129:129" x14ac:dyDescent="0.2">
      <c r="DY60311" s="185" t="s">
        <v>215</v>
      </c>
    </row>
    <row r="60312" spans="129:129" x14ac:dyDescent="0.2">
      <c r="DY60312" s="185" t="s">
        <v>215</v>
      </c>
    </row>
    <row r="60313" spans="129:129" x14ac:dyDescent="0.2">
      <c r="DY60313" s="185" t="s">
        <v>215</v>
      </c>
    </row>
    <row r="60314" spans="129:129" x14ac:dyDescent="0.2">
      <c r="DY60314" s="185" t="s">
        <v>215</v>
      </c>
    </row>
    <row r="60315" spans="129:129" x14ac:dyDescent="0.2">
      <c r="DY60315" s="185" t="s">
        <v>215</v>
      </c>
    </row>
    <row r="60316" spans="129:129" x14ac:dyDescent="0.2">
      <c r="DY60316" s="185" t="s">
        <v>215</v>
      </c>
    </row>
    <row r="60317" spans="129:129" x14ac:dyDescent="0.2">
      <c r="DY60317" s="185" t="s">
        <v>215</v>
      </c>
    </row>
    <row r="60318" spans="129:129" x14ac:dyDescent="0.2">
      <c r="DY60318" s="185" t="s">
        <v>215</v>
      </c>
    </row>
    <row r="60319" spans="129:129" x14ac:dyDescent="0.2">
      <c r="DY60319" s="185" t="s">
        <v>215</v>
      </c>
    </row>
    <row r="60320" spans="129:129" x14ac:dyDescent="0.2">
      <c r="DY60320" s="185" t="s">
        <v>215</v>
      </c>
    </row>
    <row r="60321" spans="129:129" x14ac:dyDescent="0.2">
      <c r="DY60321" s="185" t="s">
        <v>215</v>
      </c>
    </row>
    <row r="60322" spans="129:129" x14ac:dyDescent="0.2">
      <c r="DY60322" s="185" t="s">
        <v>215</v>
      </c>
    </row>
    <row r="60323" spans="129:129" x14ac:dyDescent="0.2">
      <c r="DY60323" s="185" t="s">
        <v>215</v>
      </c>
    </row>
    <row r="60324" spans="129:129" x14ac:dyDescent="0.2">
      <c r="DY60324" s="185" t="s">
        <v>215</v>
      </c>
    </row>
    <row r="60325" spans="129:129" x14ac:dyDescent="0.2">
      <c r="DY60325" s="185" t="s">
        <v>215</v>
      </c>
    </row>
    <row r="60326" spans="129:129" x14ac:dyDescent="0.2">
      <c r="DY60326" s="185" t="s">
        <v>215</v>
      </c>
    </row>
    <row r="60327" spans="129:129" x14ac:dyDescent="0.2">
      <c r="DY60327" s="185" t="s">
        <v>215</v>
      </c>
    </row>
    <row r="60328" spans="129:129" x14ac:dyDescent="0.2">
      <c r="DY60328" s="185" t="s">
        <v>215</v>
      </c>
    </row>
    <row r="60329" spans="129:129" x14ac:dyDescent="0.2">
      <c r="DY60329" s="185" t="s">
        <v>215</v>
      </c>
    </row>
    <row r="60330" spans="129:129" x14ac:dyDescent="0.2">
      <c r="DY60330" s="185" t="s">
        <v>215</v>
      </c>
    </row>
    <row r="60331" spans="129:129" x14ac:dyDescent="0.2">
      <c r="DY60331" s="185" t="s">
        <v>215</v>
      </c>
    </row>
    <row r="60332" spans="129:129" x14ac:dyDescent="0.2">
      <c r="DY60332" s="185" t="s">
        <v>215</v>
      </c>
    </row>
    <row r="60333" spans="129:129" x14ac:dyDescent="0.2">
      <c r="DY60333" s="185" t="s">
        <v>215</v>
      </c>
    </row>
    <row r="60334" spans="129:129" x14ac:dyDescent="0.2">
      <c r="DY60334" s="185" t="s">
        <v>215</v>
      </c>
    </row>
    <row r="60335" spans="129:129" x14ac:dyDescent="0.2">
      <c r="DY60335" s="185" t="s">
        <v>215</v>
      </c>
    </row>
    <row r="60336" spans="129:129" x14ac:dyDescent="0.2">
      <c r="DY60336" s="185" t="s">
        <v>215</v>
      </c>
    </row>
    <row r="60337" spans="129:129" x14ac:dyDescent="0.2">
      <c r="DY60337" s="185" t="s">
        <v>215</v>
      </c>
    </row>
    <row r="60338" spans="129:129" x14ac:dyDescent="0.2">
      <c r="DY60338" s="185" t="s">
        <v>215</v>
      </c>
    </row>
    <row r="60339" spans="129:129" x14ac:dyDescent="0.2">
      <c r="DY60339" s="185" t="s">
        <v>215</v>
      </c>
    </row>
    <row r="60340" spans="129:129" x14ac:dyDescent="0.2">
      <c r="DY60340" s="185" t="s">
        <v>215</v>
      </c>
    </row>
    <row r="60341" spans="129:129" x14ac:dyDescent="0.2">
      <c r="DY60341" s="185" t="s">
        <v>215</v>
      </c>
    </row>
    <row r="60342" spans="129:129" x14ac:dyDescent="0.2">
      <c r="DY60342" s="185" t="s">
        <v>215</v>
      </c>
    </row>
    <row r="60343" spans="129:129" x14ac:dyDescent="0.2">
      <c r="DY60343" s="185" t="s">
        <v>215</v>
      </c>
    </row>
    <row r="60344" spans="129:129" x14ac:dyDescent="0.2">
      <c r="DY60344" s="185" t="s">
        <v>215</v>
      </c>
    </row>
    <row r="60345" spans="129:129" x14ac:dyDescent="0.2">
      <c r="DY60345" s="185" t="s">
        <v>215</v>
      </c>
    </row>
    <row r="60346" spans="129:129" x14ac:dyDescent="0.2">
      <c r="DY60346" s="185" t="s">
        <v>215</v>
      </c>
    </row>
    <row r="60347" spans="129:129" x14ac:dyDescent="0.2">
      <c r="DY60347" s="185" t="s">
        <v>215</v>
      </c>
    </row>
    <row r="60348" spans="129:129" x14ac:dyDescent="0.2">
      <c r="DY60348" s="185" t="s">
        <v>215</v>
      </c>
    </row>
    <row r="60349" spans="129:129" x14ac:dyDescent="0.2">
      <c r="DY60349" s="185" t="s">
        <v>215</v>
      </c>
    </row>
    <row r="60350" spans="129:129" x14ac:dyDescent="0.2">
      <c r="DY60350" s="185" t="s">
        <v>215</v>
      </c>
    </row>
    <row r="60351" spans="129:129" x14ac:dyDescent="0.2">
      <c r="DY60351" s="185" t="s">
        <v>215</v>
      </c>
    </row>
    <row r="60352" spans="129:129" x14ac:dyDescent="0.2">
      <c r="DY60352" s="185" t="s">
        <v>215</v>
      </c>
    </row>
    <row r="60353" spans="129:129" x14ac:dyDescent="0.2">
      <c r="DY60353" s="185" t="s">
        <v>215</v>
      </c>
    </row>
    <row r="60354" spans="129:129" x14ac:dyDescent="0.2">
      <c r="DY60354" s="185" t="s">
        <v>215</v>
      </c>
    </row>
    <row r="60355" spans="129:129" x14ac:dyDescent="0.2">
      <c r="DY60355" s="185" t="s">
        <v>215</v>
      </c>
    </row>
    <row r="60356" spans="129:129" x14ac:dyDescent="0.2">
      <c r="DY60356" s="185" t="s">
        <v>215</v>
      </c>
    </row>
    <row r="60357" spans="129:129" x14ac:dyDescent="0.2">
      <c r="DY60357" s="185" t="s">
        <v>215</v>
      </c>
    </row>
    <row r="60358" spans="129:129" x14ac:dyDescent="0.2">
      <c r="DY60358" s="185" t="s">
        <v>215</v>
      </c>
    </row>
    <row r="60359" spans="129:129" x14ac:dyDescent="0.2">
      <c r="DY60359" s="185" t="s">
        <v>215</v>
      </c>
    </row>
    <row r="60360" spans="129:129" x14ac:dyDescent="0.2">
      <c r="DY60360" s="185" t="s">
        <v>215</v>
      </c>
    </row>
    <row r="60361" spans="129:129" x14ac:dyDescent="0.2">
      <c r="DY60361" s="185" t="s">
        <v>215</v>
      </c>
    </row>
    <row r="60362" spans="129:129" x14ac:dyDescent="0.2">
      <c r="DY60362" s="185" t="s">
        <v>215</v>
      </c>
    </row>
    <row r="60363" spans="129:129" x14ac:dyDescent="0.2">
      <c r="DY60363" s="185" t="s">
        <v>215</v>
      </c>
    </row>
    <row r="60364" spans="129:129" x14ac:dyDescent="0.2">
      <c r="DY60364" s="185" t="s">
        <v>215</v>
      </c>
    </row>
    <row r="60365" spans="129:129" x14ac:dyDescent="0.2">
      <c r="DY60365" s="185" t="s">
        <v>215</v>
      </c>
    </row>
    <row r="60366" spans="129:129" x14ac:dyDescent="0.2">
      <c r="DY60366" s="185" t="s">
        <v>215</v>
      </c>
    </row>
    <row r="60367" spans="129:129" x14ac:dyDescent="0.2">
      <c r="DY60367" s="185" t="s">
        <v>215</v>
      </c>
    </row>
    <row r="60368" spans="129:129" x14ac:dyDescent="0.2">
      <c r="DY60368" s="185" t="s">
        <v>215</v>
      </c>
    </row>
    <row r="60369" spans="129:129" x14ac:dyDescent="0.2">
      <c r="DY60369" s="185" t="s">
        <v>215</v>
      </c>
    </row>
    <row r="60370" spans="129:129" x14ac:dyDescent="0.2">
      <c r="DY60370" s="185" t="s">
        <v>215</v>
      </c>
    </row>
    <row r="60371" spans="129:129" x14ac:dyDescent="0.2">
      <c r="DY60371" s="185" t="s">
        <v>215</v>
      </c>
    </row>
    <row r="60372" spans="129:129" x14ac:dyDescent="0.2">
      <c r="DY60372" s="185" t="s">
        <v>215</v>
      </c>
    </row>
    <row r="60373" spans="129:129" x14ac:dyDescent="0.2">
      <c r="DY60373" s="185" t="s">
        <v>215</v>
      </c>
    </row>
    <row r="60374" spans="129:129" x14ac:dyDescent="0.2">
      <c r="DY60374" s="185" t="s">
        <v>215</v>
      </c>
    </row>
    <row r="60375" spans="129:129" x14ac:dyDescent="0.2">
      <c r="DY60375" s="185" t="s">
        <v>215</v>
      </c>
    </row>
    <row r="60376" spans="129:129" x14ac:dyDescent="0.2">
      <c r="DY60376" s="185" t="s">
        <v>215</v>
      </c>
    </row>
    <row r="60377" spans="129:129" x14ac:dyDescent="0.2">
      <c r="DY60377" s="185" t="s">
        <v>215</v>
      </c>
    </row>
    <row r="60378" spans="129:129" x14ac:dyDescent="0.2">
      <c r="DY60378" s="185" t="s">
        <v>215</v>
      </c>
    </row>
    <row r="60379" spans="129:129" x14ac:dyDescent="0.2">
      <c r="DY60379" s="185" t="s">
        <v>215</v>
      </c>
    </row>
    <row r="60380" spans="129:129" x14ac:dyDescent="0.2">
      <c r="DY60380" s="185" t="s">
        <v>215</v>
      </c>
    </row>
    <row r="60381" spans="129:129" x14ac:dyDescent="0.2">
      <c r="DY60381" s="185" t="s">
        <v>215</v>
      </c>
    </row>
    <row r="60382" spans="129:129" x14ac:dyDescent="0.2">
      <c r="DY60382" s="185" t="s">
        <v>215</v>
      </c>
    </row>
    <row r="60383" spans="129:129" x14ac:dyDescent="0.2">
      <c r="DY60383" s="185" t="s">
        <v>215</v>
      </c>
    </row>
    <row r="60384" spans="129:129" x14ac:dyDescent="0.2">
      <c r="DY60384" s="185" t="s">
        <v>215</v>
      </c>
    </row>
    <row r="60385" spans="129:129" x14ac:dyDescent="0.2">
      <c r="DY60385" s="185" t="s">
        <v>215</v>
      </c>
    </row>
    <row r="60386" spans="129:129" x14ac:dyDescent="0.2">
      <c r="DY60386" s="185" t="s">
        <v>215</v>
      </c>
    </row>
    <row r="60387" spans="129:129" x14ac:dyDescent="0.2">
      <c r="DY60387" s="185" t="s">
        <v>215</v>
      </c>
    </row>
    <row r="60388" spans="129:129" x14ac:dyDescent="0.2">
      <c r="DY60388" s="185" t="s">
        <v>215</v>
      </c>
    </row>
    <row r="60389" spans="129:129" x14ac:dyDescent="0.2">
      <c r="DY60389" s="185" t="s">
        <v>215</v>
      </c>
    </row>
    <row r="60390" spans="129:129" x14ac:dyDescent="0.2">
      <c r="DY60390" s="185" t="s">
        <v>215</v>
      </c>
    </row>
    <row r="60391" spans="129:129" x14ac:dyDescent="0.2">
      <c r="DY60391" s="185" t="s">
        <v>215</v>
      </c>
    </row>
    <row r="60392" spans="129:129" x14ac:dyDescent="0.2">
      <c r="DY60392" s="185" t="s">
        <v>215</v>
      </c>
    </row>
    <row r="60393" spans="129:129" x14ac:dyDescent="0.2">
      <c r="DY60393" s="185" t="s">
        <v>215</v>
      </c>
    </row>
    <row r="60394" spans="129:129" x14ac:dyDescent="0.2">
      <c r="DY60394" s="185" t="s">
        <v>215</v>
      </c>
    </row>
    <row r="60395" spans="129:129" x14ac:dyDescent="0.2">
      <c r="DY60395" s="185" t="s">
        <v>215</v>
      </c>
    </row>
    <row r="60396" spans="129:129" x14ac:dyDescent="0.2">
      <c r="DY60396" s="185" t="s">
        <v>215</v>
      </c>
    </row>
    <row r="60397" spans="129:129" x14ac:dyDescent="0.2">
      <c r="DY60397" s="185" t="s">
        <v>215</v>
      </c>
    </row>
    <row r="60398" spans="129:129" x14ac:dyDescent="0.2">
      <c r="DY60398" s="185" t="s">
        <v>215</v>
      </c>
    </row>
    <row r="60399" spans="129:129" x14ac:dyDescent="0.2">
      <c r="DY60399" s="185" t="s">
        <v>215</v>
      </c>
    </row>
    <row r="60400" spans="129:129" x14ac:dyDescent="0.2">
      <c r="DY60400" s="185" t="s">
        <v>215</v>
      </c>
    </row>
    <row r="60401" spans="129:129" x14ac:dyDescent="0.2">
      <c r="DY60401" s="185" t="s">
        <v>215</v>
      </c>
    </row>
    <row r="60402" spans="129:129" x14ac:dyDescent="0.2">
      <c r="DY60402" s="185" t="s">
        <v>215</v>
      </c>
    </row>
    <row r="60403" spans="129:129" x14ac:dyDescent="0.2">
      <c r="DY60403" s="185" t="s">
        <v>215</v>
      </c>
    </row>
    <row r="60404" spans="129:129" x14ac:dyDescent="0.2">
      <c r="DY60404" s="185" t="s">
        <v>215</v>
      </c>
    </row>
    <row r="60405" spans="129:129" x14ac:dyDescent="0.2">
      <c r="DY60405" s="185" t="s">
        <v>215</v>
      </c>
    </row>
    <row r="60406" spans="129:129" x14ac:dyDescent="0.2">
      <c r="DY60406" s="185" t="s">
        <v>215</v>
      </c>
    </row>
    <row r="60407" spans="129:129" x14ac:dyDescent="0.2">
      <c r="DY60407" s="185" t="s">
        <v>215</v>
      </c>
    </row>
    <row r="60408" spans="129:129" x14ac:dyDescent="0.2">
      <c r="DY60408" s="185" t="s">
        <v>215</v>
      </c>
    </row>
    <row r="60409" spans="129:129" x14ac:dyDescent="0.2">
      <c r="DY60409" s="185" t="s">
        <v>215</v>
      </c>
    </row>
    <row r="60410" spans="129:129" x14ac:dyDescent="0.2">
      <c r="DY60410" s="185" t="s">
        <v>215</v>
      </c>
    </row>
    <row r="60411" spans="129:129" x14ac:dyDescent="0.2">
      <c r="DY60411" s="185" t="s">
        <v>215</v>
      </c>
    </row>
    <row r="60412" spans="129:129" x14ac:dyDescent="0.2">
      <c r="DY60412" s="185" t="s">
        <v>215</v>
      </c>
    </row>
    <row r="60413" spans="129:129" x14ac:dyDescent="0.2">
      <c r="DY60413" s="185" t="s">
        <v>215</v>
      </c>
    </row>
    <row r="60414" spans="129:129" x14ac:dyDescent="0.2">
      <c r="DY60414" s="185" t="s">
        <v>215</v>
      </c>
    </row>
    <row r="60415" spans="129:129" x14ac:dyDescent="0.2">
      <c r="DY60415" s="185" t="s">
        <v>215</v>
      </c>
    </row>
    <row r="60416" spans="129:129" x14ac:dyDescent="0.2">
      <c r="DY60416" s="185" t="s">
        <v>215</v>
      </c>
    </row>
    <row r="60417" spans="129:129" x14ac:dyDescent="0.2">
      <c r="DY60417" s="185" t="s">
        <v>215</v>
      </c>
    </row>
    <row r="60418" spans="129:129" x14ac:dyDescent="0.2">
      <c r="DY60418" s="185" t="s">
        <v>215</v>
      </c>
    </row>
    <row r="60419" spans="129:129" x14ac:dyDescent="0.2">
      <c r="DY60419" s="185" t="s">
        <v>215</v>
      </c>
    </row>
    <row r="60420" spans="129:129" x14ac:dyDescent="0.2">
      <c r="DY60420" s="185" t="s">
        <v>215</v>
      </c>
    </row>
    <row r="60421" spans="129:129" x14ac:dyDescent="0.2">
      <c r="DY60421" s="185" t="s">
        <v>215</v>
      </c>
    </row>
    <row r="60422" spans="129:129" x14ac:dyDescent="0.2">
      <c r="DY60422" s="185" t="s">
        <v>215</v>
      </c>
    </row>
    <row r="60423" spans="129:129" x14ac:dyDescent="0.2">
      <c r="DY60423" s="185" t="s">
        <v>215</v>
      </c>
    </row>
    <row r="60424" spans="129:129" x14ac:dyDescent="0.2">
      <c r="DY60424" s="185" t="s">
        <v>215</v>
      </c>
    </row>
    <row r="60425" spans="129:129" x14ac:dyDescent="0.2">
      <c r="DY60425" s="185" t="s">
        <v>215</v>
      </c>
    </row>
    <row r="60426" spans="129:129" x14ac:dyDescent="0.2">
      <c r="DY60426" s="185" t="s">
        <v>215</v>
      </c>
    </row>
    <row r="60427" spans="129:129" x14ac:dyDescent="0.2">
      <c r="DY60427" s="185" t="s">
        <v>215</v>
      </c>
    </row>
    <row r="60428" spans="129:129" x14ac:dyDescent="0.2">
      <c r="DY60428" s="185" t="s">
        <v>215</v>
      </c>
    </row>
    <row r="60429" spans="129:129" x14ac:dyDescent="0.2">
      <c r="DY60429" s="185" t="s">
        <v>215</v>
      </c>
    </row>
    <row r="60430" spans="129:129" x14ac:dyDescent="0.2">
      <c r="DY60430" s="185" t="s">
        <v>215</v>
      </c>
    </row>
    <row r="60431" spans="129:129" x14ac:dyDescent="0.2">
      <c r="DY60431" s="185" t="s">
        <v>215</v>
      </c>
    </row>
    <row r="60432" spans="129:129" x14ac:dyDescent="0.2">
      <c r="DY60432" s="185" t="s">
        <v>215</v>
      </c>
    </row>
    <row r="60433" spans="129:129" x14ac:dyDescent="0.2">
      <c r="DY60433" s="185" t="s">
        <v>215</v>
      </c>
    </row>
    <row r="60434" spans="129:129" x14ac:dyDescent="0.2">
      <c r="DY60434" s="185" t="s">
        <v>215</v>
      </c>
    </row>
    <row r="60435" spans="129:129" x14ac:dyDescent="0.2">
      <c r="DY60435" s="185" t="s">
        <v>215</v>
      </c>
    </row>
    <row r="60436" spans="129:129" x14ac:dyDescent="0.2">
      <c r="DY60436" s="185" t="s">
        <v>215</v>
      </c>
    </row>
    <row r="60437" spans="129:129" x14ac:dyDescent="0.2">
      <c r="DY60437" s="185" t="s">
        <v>215</v>
      </c>
    </row>
    <row r="60438" spans="129:129" x14ac:dyDescent="0.2">
      <c r="DY60438" s="185" t="s">
        <v>215</v>
      </c>
    </row>
    <row r="60439" spans="129:129" x14ac:dyDescent="0.2">
      <c r="DY60439" s="185" t="s">
        <v>215</v>
      </c>
    </row>
    <row r="60440" spans="129:129" x14ac:dyDescent="0.2">
      <c r="DY60440" s="185" t="s">
        <v>215</v>
      </c>
    </row>
    <row r="60441" spans="129:129" x14ac:dyDescent="0.2">
      <c r="DY60441" s="185" t="s">
        <v>215</v>
      </c>
    </row>
    <row r="60442" spans="129:129" x14ac:dyDescent="0.2">
      <c r="DY60442" s="185" t="s">
        <v>215</v>
      </c>
    </row>
    <row r="60443" spans="129:129" x14ac:dyDescent="0.2">
      <c r="DY60443" s="185" t="s">
        <v>215</v>
      </c>
    </row>
    <row r="60444" spans="129:129" x14ac:dyDescent="0.2">
      <c r="DY60444" s="185" t="s">
        <v>215</v>
      </c>
    </row>
    <row r="60445" spans="129:129" x14ac:dyDescent="0.2">
      <c r="DY60445" s="185" t="s">
        <v>215</v>
      </c>
    </row>
    <row r="60446" spans="129:129" x14ac:dyDescent="0.2">
      <c r="DY60446" s="185" t="s">
        <v>215</v>
      </c>
    </row>
    <row r="60447" spans="129:129" x14ac:dyDescent="0.2">
      <c r="DY60447" s="185" t="s">
        <v>215</v>
      </c>
    </row>
    <row r="60448" spans="129:129" x14ac:dyDescent="0.2">
      <c r="DY60448" s="185" t="s">
        <v>215</v>
      </c>
    </row>
    <row r="60449" spans="129:129" x14ac:dyDescent="0.2">
      <c r="DY60449" s="185" t="s">
        <v>215</v>
      </c>
    </row>
    <row r="60450" spans="129:129" x14ac:dyDescent="0.2">
      <c r="DY60450" s="185" t="s">
        <v>215</v>
      </c>
    </row>
    <row r="60451" spans="129:129" x14ac:dyDescent="0.2">
      <c r="DY60451" s="185" t="s">
        <v>215</v>
      </c>
    </row>
    <row r="60452" spans="129:129" x14ac:dyDescent="0.2">
      <c r="DY60452" s="185" t="s">
        <v>215</v>
      </c>
    </row>
    <row r="60453" spans="129:129" x14ac:dyDescent="0.2">
      <c r="DY60453" s="185" t="s">
        <v>215</v>
      </c>
    </row>
    <row r="60454" spans="129:129" x14ac:dyDescent="0.2">
      <c r="DY60454" s="185" t="s">
        <v>215</v>
      </c>
    </row>
    <row r="60455" spans="129:129" x14ac:dyDescent="0.2">
      <c r="DY60455" s="185" t="s">
        <v>215</v>
      </c>
    </row>
    <row r="60456" spans="129:129" x14ac:dyDescent="0.2">
      <c r="DY60456" s="185" t="s">
        <v>215</v>
      </c>
    </row>
    <row r="60457" spans="129:129" x14ac:dyDescent="0.2">
      <c r="DY60457" s="185" t="s">
        <v>215</v>
      </c>
    </row>
    <row r="60458" spans="129:129" x14ac:dyDescent="0.2">
      <c r="DY60458" s="185" t="s">
        <v>215</v>
      </c>
    </row>
    <row r="60459" spans="129:129" x14ac:dyDescent="0.2">
      <c r="DY60459" s="185" t="s">
        <v>215</v>
      </c>
    </row>
    <row r="60460" spans="129:129" x14ac:dyDescent="0.2">
      <c r="DY60460" s="185" t="s">
        <v>215</v>
      </c>
    </row>
    <row r="60461" spans="129:129" x14ac:dyDescent="0.2">
      <c r="DY60461" s="185" t="s">
        <v>215</v>
      </c>
    </row>
    <row r="60462" spans="129:129" x14ac:dyDescent="0.2">
      <c r="DY60462" s="185" t="s">
        <v>215</v>
      </c>
    </row>
    <row r="60463" spans="129:129" x14ac:dyDescent="0.2">
      <c r="DY60463" s="185" t="s">
        <v>215</v>
      </c>
    </row>
    <row r="60464" spans="129:129" x14ac:dyDescent="0.2">
      <c r="DY60464" s="185" t="s">
        <v>215</v>
      </c>
    </row>
    <row r="60465" spans="129:129" x14ac:dyDescent="0.2">
      <c r="DY60465" s="185" t="s">
        <v>215</v>
      </c>
    </row>
    <row r="60466" spans="129:129" x14ac:dyDescent="0.2">
      <c r="DY60466" s="185" t="s">
        <v>215</v>
      </c>
    </row>
    <row r="60467" spans="129:129" x14ac:dyDescent="0.2">
      <c r="DY60467" s="185" t="s">
        <v>215</v>
      </c>
    </row>
    <row r="60468" spans="129:129" x14ac:dyDescent="0.2">
      <c r="DY60468" s="185" t="s">
        <v>215</v>
      </c>
    </row>
    <row r="60469" spans="129:129" x14ac:dyDescent="0.2">
      <c r="DY60469" s="185" t="s">
        <v>215</v>
      </c>
    </row>
    <row r="60470" spans="129:129" x14ac:dyDescent="0.2">
      <c r="DY60470" s="185" t="s">
        <v>215</v>
      </c>
    </row>
    <row r="60471" spans="129:129" x14ac:dyDescent="0.2">
      <c r="DY60471" s="185" t="s">
        <v>215</v>
      </c>
    </row>
    <row r="60472" spans="129:129" x14ac:dyDescent="0.2">
      <c r="DY60472" s="185" t="s">
        <v>215</v>
      </c>
    </row>
    <row r="60473" spans="129:129" x14ac:dyDescent="0.2">
      <c r="DY60473" s="185" t="s">
        <v>215</v>
      </c>
    </row>
    <row r="60474" spans="129:129" x14ac:dyDescent="0.2">
      <c r="DY60474" s="185" t="s">
        <v>215</v>
      </c>
    </row>
    <row r="60475" spans="129:129" x14ac:dyDescent="0.2">
      <c r="DY60475" s="185" t="s">
        <v>215</v>
      </c>
    </row>
    <row r="60476" spans="129:129" x14ac:dyDescent="0.2">
      <c r="DY60476" s="185" t="s">
        <v>215</v>
      </c>
    </row>
    <row r="60477" spans="129:129" x14ac:dyDescent="0.2">
      <c r="DY60477" s="185" t="s">
        <v>215</v>
      </c>
    </row>
    <row r="60478" spans="129:129" x14ac:dyDescent="0.2">
      <c r="DY60478" s="185" t="s">
        <v>215</v>
      </c>
    </row>
    <row r="60479" spans="129:129" x14ac:dyDescent="0.2">
      <c r="DY60479" s="185" t="s">
        <v>215</v>
      </c>
    </row>
    <row r="60480" spans="129:129" x14ac:dyDescent="0.2">
      <c r="DY60480" s="185" t="s">
        <v>215</v>
      </c>
    </row>
    <row r="60481" spans="129:129" x14ac:dyDescent="0.2">
      <c r="DY60481" s="185" t="s">
        <v>215</v>
      </c>
    </row>
    <row r="60482" spans="129:129" x14ac:dyDescent="0.2">
      <c r="DY60482" s="185" t="s">
        <v>215</v>
      </c>
    </row>
    <row r="60483" spans="129:129" x14ac:dyDescent="0.2">
      <c r="DY60483" s="185" t="s">
        <v>215</v>
      </c>
    </row>
    <row r="60484" spans="129:129" x14ac:dyDescent="0.2">
      <c r="DY60484" s="185" t="s">
        <v>215</v>
      </c>
    </row>
    <row r="60485" spans="129:129" x14ac:dyDescent="0.2">
      <c r="DY60485" s="185" t="s">
        <v>215</v>
      </c>
    </row>
    <row r="60486" spans="129:129" x14ac:dyDescent="0.2">
      <c r="DY60486" s="185" t="s">
        <v>215</v>
      </c>
    </row>
    <row r="60487" spans="129:129" x14ac:dyDescent="0.2">
      <c r="DY60487" s="185" t="s">
        <v>215</v>
      </c>
    </row>
    <row r="60488" spans="129:129" x14ac:dyDescent="0.2">
      <c r="DY60488" s="185" t="s">
        <v>215</v>
      </c>
    </row>
    <row r="60489" spans="129:129" x14ac:dyDescent="0.2">
      <c r="DY60489" s="185" t="s">
        <v>215</v>
      </c>
    </row>
    <row r="60490" spans="129:129" x14ac:dyDescent="0.2">
      <c r="DY60490" s="185" t="s">
        <v>215</v>
      </c>
    </row>
    <row r="60491" spans="129:129" x14ac:dyDescent="0.2">
      <c r="DY60491" s="185" t="s">
        <v>215</v>
      </c>
    </row>
    <row r="60492" spans="129:129" x14ac:dyDescent="0.2">
      <c r="DY60492" s="185" t="s">
        <v>215</v>
      </c>
    </row>
    <row r="60493" spans="129:129" x14ac:dyDescent="0.2">
      <c r="DY60493" s="185" t="s">
        <v>215</v>
      </c>
    </row>
    <row r="60494" spans="129:129" x14ac:dyDescent="0.2">
      <c r="DY60494" s="185" t="s">
        <v>215</v>
      </c>
    </row>
    <row r="60495" spans="129:129" x14ac:dyDescent="0.2">
      <c r="DY60495" s="185" t="s">
        <v>215</v>
      </c>
    </row>
    <row r="60496" spans="129:129" x14ac:dyDescent="0.2">
      <c r="DY60496" s="185" t="s">
        <v>215</v>
      </c>
    </row>
    <row r="60497" spans="129:129" x14ac:dyDescent="0.2">
      <c r="DY60497" s="185" t="s">
        <v>215</v>
      </c>
    </row>
    <row r="60498" spans="129:129" x14ac:dyDescent="0.2">
      <c r="DY60498" s="185" t="s">
        <v>215</v>
      </c>
    </row>
    <row r="60499" spans="129:129" x14ac:dyDescent="0.2">
      <c r="DY60499" s="185" t="s">
        <v>215</v>
      </c>
    </row>
    <row r="60500" spans="129:129" x14ac:dyDescent="0.2">
      <c r="DY60500" s="185" t="s">
        <v>215</v>
      </c>
    </row>
    <row r="60501" spans="129:129" x14ac:dyDescent="0.2">
      <c r="DY60501" s="185" t="s">
        <v>215</v>
      </c>
    </row>
    <row r="60502" spans="129:129" x14ac:dyDescent="0.2">
      <c r="DY60502" s="185" t="s">
        <v>215</v>
      </c>
    </row>
    <row r="60503" spans="129:129" x14ac:dyDescent="0.2">
      <c r="DY60503" s="185" t="s">
        <v>215</v>
      </c>
    </row>
    <row r="60504" spans="129:129" x14ac:dyDescent="0.2">
      <c r="DY60504" s="185" t="s">
        <v>215</v>
      </c>
    </row>
    <row r="60505" spans="129:129" x14ac:dyDescent="0.2">
      <c r="DY60505" s="185" t="s">
        <v>215</v>
      </c>
    </row>
    <row r="60506" spans="129:129" x14ac:dyDescent="0.2">
      <c r="DY60506" s="185" t="s">
        <v>215</v>
      </c>
    </row>
    <row r="60507" spans="129:129" x14ac:dyDescent="0.2">
      <c r="DY60507" s="185" t="s">
        <v>215</v>
      </c>
    </row>
    <row r="60508" spans="129:129" x14ac:dyDescent="0.2">
      <c r="DY60508" s="185" t="s">
        <v>215</v>
      </c>
    </row>
    <row r="60509" spans="129:129" x14ac:dyDescent="0.2">
      <c r="DY60509" s="185" t="s">
        <v>215</v>
      </c>
    </row>
    <row r="60510" spans="129:129" x14ac:dyDescent="0.2">
      <c r="DY60510" s="185" t="s">
        <v>215</v>
      </c>
    </row>
    <row r="60511" spans="129:129" x14ac:dyDescent="0.2">
      <c r="DY60511" s="185" t="s">
        <v>215</v>
      </c>
    </row>
    <row r="60512" spans="129:129" x14ac:dyDescent="0.2">
      <c r="DY60512" s="185" t="s">
        <v>215</v>
      </c>
    </row>
    <row r="60513" spans="129:129" x14ac:dyDescent="0.2">
      <c r="DY60513" s="185" t="s">
        <v>215</v>
      </c>
    </row>
    <row r="60514" spans="129:129" x14ac:dyDescent="0.2">
      <c r="DY60514" s="185" t="s">
        <v>215</v>
      </c>
    </row>
    <row r="60515" spans="129:129" x14ac:dyDescent="0.2">
      <c r="DY60515" s="185" t="s">
        <v>215</v>
      </c>
    </row>
    <row r="60516" spans="129:129" x14ac:dyDescent="0.2">
      <c r="DY60516" s="185" t="s">
        <v>215</v>
      </c>
    </row>
    <row r="60517" spans="129:129" x14ac:dyDescent="0.2">
      <c r="DY60517" s="185" t="s">
        <v>215</v>
      </c>
    </row>
    <row r="60518" spans="129:129" x14ac:dyDescent="0.2">
      <c r="DY60518" s="185" t="s">
        <v>215</v>
      </c>
    </row>
    <row r="60519" spans="129:129" x14ac:dyDescent="0.2">
      <c r="DY60519" s="185" t="s">
        <v>215</v>
      </c>
    </row>
    <row r="60520" spans="129:129" x14ac:dyDescent="0.2">
      <c r="DY60520" s="185" t="s">
        <v>215</v>
      </c>
    </row>
    <row r="60521" spans="129:129" x14ac:dyDescent="0.2">
      <c r="DY60521" s="185" t="s">
        <v>215</v>
      </c>
    </row>
    <row r="60522" spans="129:129" x14ac:dyDescent="0.2">
      <c r="DY60522" s="185" t="s">
        <v>215</v>
      </c>
    </row>
    <row r="60523" spans="129:129" x14ac:dyDescent="0.2">
      <c r="DY60523" s="185" t="s">
        <v>215</v>
      </c>
    </row>
    <row r="60524" spans="129:129" x14ac:dyDescent="0.2">
      <c r="DY60524" s="185" t="s">
        <v>215</v>
      </c>
    </row>
    <row r="60525" spans="129:129" x14ac:dyDescent="0.2">
      <c r="DY60525" s="185" t="s">
        <v>215</v>
      </c>
    </row>
    <row r="60526" spans="129:129" x14ac:dyDescent="0.2">
      <c r="DY60526" s="185" t="s">
        <v>215</v>
      </c>
    </row>
    <row r="60527" spans="129:129" x14ac:dyDescent="0.2">
      <c r="DY60527" s="185" t="s">
        <v>215</v>
      </c>
    </row>
    <row r="60528" spans="129:129" x14ac:dyDescent="0.2">
      <c r="DY60528" s="185" t="s">
        <v>215</v>
      </c>
    </row>
    <row r="60529" spans="129:129" x14ac:dyDescent="0.2">
      <c r="DY60529" s="185" t="s">
        <v>215</v>
      </c>
    </row>
    <row r="60530" spans="129:129" x14ac:dyDescent="0.2">
      <c r="DY60530" s="185" t="s">
        <v>215</v>
      </c>
    </row>
    <row r="60531" spans="129:129" x14ac:dyDescent="0.2">
      <c r="DY60531" s="185" t="s">
        <v>215</v>
      </c>
    </row>
    <row r="60532" spans="129:129" x14ac:dyDescent="0.2">
      <c r="DY60532" s="185" t="s">
        <v>215</v>
      </c>
    </row>
    <row r="60533" spans="129:129" x14ac:dyDescent="0.2">
      <c r="DY60533" s="185" t="s">
        <v>215</v>
      </c>
    </row>
    <row r="60534" spans="129:129" x14ac:dyDescent="0.2">
      <c r="DY60534" s="185" t="s">
        <v>215</v>
      </c>
    </row>
    <row r="60535" spans="129:129" x14ac:dyDescent="0.2">
      <c r="DY60535" s="185" t="s">
        <v>215</v>
      </c>
    </row>
    <row r="60536" spans="129:129" x14ac:dyDescent="0.2">
      <c r="DY60536" s="185" t="s">
        <v>215</v>
      </c>
    </row>
    <row r="60537" spans="129:129" x14ac:dyDescent="0.2">
      <c r="DY60537" s="185" t="s">
        <v>215</v>
      </c>
    </row>
    <row r="60538" spans="129:129" x14ac:dyDescent="0.2">
      <c r="DY60538" s="185" t="s">
        <v>215</v>
      </c>
    </row>
    <row r="60539" spans="129:129" x14ac:dyDescent="0.2">
      <c r="DY60539" s="185" t="s">
        <v>215</v>
      </c>
    </row>
    <row r="60540" spans="129:129" x14ac:dyDescent="0.2">
      <c r="DY60540" s="185" t="s">
        <v>215</v>
      </c>
    </row>
    <row r="60541" spans="129:129" x14ac:dyDescent="0.2">
      <c r="DY60541" s="185" t="s">
        <v>215</v>
      </c>
    </row>
    <row r="60542" spans="129:129" x14ac:dyDescent="0.2">
      <c r="DY60542" s="185" t="s">
        <v>215</v>
      </c>
    </row>
    <row r="60543" spans="129:129" x14ac:dyDescent="0.2">
      <c r="DY60543" s="185" t="s">
        <v>215</v>
      </c>
    </row>
    <row r="60544" spans="129:129" x14ac:dyDescent="0.2">
      <c r="DY60544" s="185" t="s">
        <v>215</v>
      </c>
    </row>
    <row r="60545" spans="129:129" x14ac:dyDescent="0.2">
      <c r="DY60545" s="185" t="s">
        <v>215</v>
      </c>
    </row>
    <row r="60546" spans="129:129" x14ac:dyDescent="0.2">
      <c r="DY60546" s="185" t="s">
        <v>215</v>
      </c>
    </row>
    <row r="60547" spans="129:129" x14ac:dyDescent="0.2">
      <c r="DY60547" s="185" t="s">
        <v>215</v>
      </c>
    </row>
    <row r="60548" spans="129:129" x14ac:dyDescent="0.2">
      <c r="DY60548" s="185" t="s">
        <v>215</v>
      </c>
    </row>
    <row r="60549" spans="129:129" x14ac:dyDescent="0.2">
      <c r="DY60549" s="185" t="s">
        <v>215</v>
      </c>
    </row>
    <row r="60550" spans="129:129" x14ac:dyDescent="0.2">
      <c r="DY60550" s="185" t="s">
        <v>215</v>
      </c>
    </row>
    <row r="60551" spans="129:129" x14ac:dyDescent="0.2">
      <c r="DY60551" s="185" t="s">
        <v>215</v>
      </c>
    </row>
    <row r="60552" spans="129:129" x14ac:dyDescent="0.2">
      <c r="DY60552" s="185" t="s">
        <v>215</v>
      </c>
    </row>
    <row r="60553" spans="129:129" x14ac:dyDescent="0.2">
      <c r="DY60553" s="185" t="s">
        <v>215</v>
      </c>
    </row>
    <row r="60554" spans="129:129" x14ac:dyDescent="0.2">
      <c r="DY60554" s="185" t="s">
        <v>215</v>
      </c>
    </row>
    <row r="60555" spans="129:129" x14ac:dyDescent="0.2">
      <c r="DY60555" s="185" t="s">
        <v>215</v>
      </c>
    </row>
    <row r="60556" spans="129:129" x14ac:dyDescent="0.2">
      <c r="DY60556" s="185" t="s">
        <v>215</v>
      </c>
    </row>
    <row r="60557" spans="129:129" x14ac:dyDescent="0.2">
      <c r="DY60557" s="185" t="s">
        <v>215</v>
      </c>
    </row>
    <row r="60558" spans="129:129" x14ac:dyDescent="0.2">
      <c r="DY60558" s="185" t="s">
        <v>215</v>
      </c>
    </row>
    <row r="60559" spans="129:129" x14ac:dyDescent="0.2">
      <c r="DY60559" s="185" t="s">
        <v>215</v>
      </c>
    </row>
    <row r="60560" spans="129:129" x14ac:dyDescent="0.2">
      <c r="DY60560" s="185" t="s">
        <v>215</v>
      </c>
    </row>
    <row r="60561" spans="129:129" x14ac:dyDescent="0.2">
      <c r="DY60561" s="185" t="s">
        <v>215</v>
      </c>
    </row>
    <row r="60562" spans="129:129" x14ac:dyDescent="0.2">
      <c r="DY60562" s="185" t="s">
        <v>215</v>
      </c>
    </row>
    <row r="60563" spans="129:129" x14ac:dyDescent="0.2">
      <c r="DY60563" s="185" t="s">
        <v>215</v>
      </c>
    </row>
    <row r="60564" spans="129:129" x14ac:dyDescent="0.2">
      <c r="DY60564" s="185" t="s">
        <v>215</v>
      </c>
    </row>
    <row r="60565" spans="129:129" x14ac:dyDescent="0.2">
      <c r="DY60565" s="185" t="s">
        <v>215</v>
      </c>
    </row>
    <row r="60566" spans="129:129" x14ac:dyDescent="0.2">
      <c r="DY60566" s="185" t="s">
        <v>215</v>
      </c>
    </row>
    <row r="60567" spans="129:129" x14ac:dyDescent="0.2">
      <c r="DY60567" s="185" t="s">
        <v>215</v>
      </c>
    </row>
    <row r="60568" spans="129:129" x14ac:dyDescent="0.2">
      <c r="DY60568" s="185" t="s">
        <v>215</v>
      </c>
    </row>
    <row r="60569" spans="129:129" x14ac:dyDescent="0.2">
      <c r="DY60569" s="185" t="s">
        <v>215</v>
      </c>
    </row>
    <row r="60570" spans="129:129" x14ac:dyDescent="0.2">
      <c r="DY60570" s="185" t="s">
        <v>215</v>
      </c>
    </row>
    <row r="60571" spans="129:129" x14ac:dyDescent="0.2">
      <c r="DY60571" s="185" t="s">
        <v>215</v>
      </c>
    </row>
    <row r="60572" spans="129:129" x14ac:dyDescent="0.2">
      <c r="DY60572" s="185" t="s">
        <v>215</v>
      </c>
    </row>
    <row r="60573" spans="129:129" x14ac:dyDescent="0.2">
      <c r="DY60573" s="185" t="s">
        <v>215</v>
      </c>
    </row>
    <row r="60574" spans="129:129" x14ac:dyDescent="0.2">
      <c r="DY60574" s="185" t="s">
        <v>215</v>
      </c>
    </row>
    <row r="60575" spans="129:129" x14ac:dyDescent="0.2">
      <c r="DY60575" s="185" t="s">
        <v>215</v>
      </c>
    </row>
    <row r="60576" spans="129:129" x14ac:dyDescent="0.2">
      <c r="DY60576" s="185" t="s">
        <v>215</v>
      </c>
    </row>
    <row r="60577" spans="129:129" x14ac:dyDescent="0.2">
      <c r="DY60577" s="185" t="s">
        <v>215</v>
      </c>
    </row>
    <row r="60578" spans="129:129" x14ac:dyDescent="0.2">
      <c r="DY60578" s="185" t="s">
        <v>215</v>
      </c>
    </row>
    <row r="60579" spans="129:129" x14ac:dyDescent="0.2">
      <c r="DY60579" s="185" t="s">
        <v>215</v>
      </c>
    </row>
    <row r="60580" spans="129:129" x14ac:dyDescent="0.2">
      <c r="DY60580" s="185" t="s">
        <v>215</v>
      </c>
    </row>
    <row r="60581" spans="129:129" x14ac:dyDescent="0.2">
      <c r="DY60581" s="185" t="s">
        <v>215</v>
      </c>
    </row>
    <row r="60582" spans="129:129" x14ac:dyDescent="0.2">
      <c r="DY60582" s="185" t="s">
        <v>215</v>
      </c>
    </row>
    <row r="60583" spans="129:129" x14ac:dyDescent="0.2">
      <c r="DY60583" s="185" t="s">
        <v>215</v>
      </c>
    </row>
    <row r="60584" spans="129:129" x14ac:dyDescent="0.2">
      <c r="DY60584" s="185" t="s">
        <v>215</v>
      </c>
    </row>
    <row r="60585" spans="129:129" x14ac:dyDescent="0.2">
      <c r="DY60585" s="185" t="s">
        <v>215</v>
      </c>
    </row>
    <row r="60586" spans="129:129" x14ac:dyDescent="0.2">
      <c r="DY60586" s="185" t="s">
        <v>215</v>
      </c>
    </row>
    <row r="60587" spans="129:129" x14ac:dyDescent="0.2">
      <c r="DY60587" s="185" t="s">
        <v>215</v>
      </c>
    </row>
    <row r="60588" spans="129:129" x14ac:dyDescent="0.2">
      <c r="DY60588" s="185" t="s">
        <v>215</v>
      </c>
    </row>
    <row r="60589" spans="129:129" x14ac:dyDescent="0.2">
      <c r="DY60589" s="185" t="s">
        <v>215</v>
      </c>
    </row>
    <row r="60590" spans="129:129" x14ac:dyDescent="0.2">
      <c r="DY60590" s="185" t="s">
        <v>215</v>
      </c>
    </row>
    <row r="60591" spans="129:129" x14ac:dyDescent="0.2">
      <c r="DY60591" s="185" t="s">
        <v>215</v>
      </c>
    </row>
    <row r="60592" spans="129:129" x14ac:dyDescent="0.2">
      <c r="DY60592" s="185" t="s">
        <v>215</v>
      </c>
    </row>
    <row r="60593" spans="129:129" x14ac:dyDescent="0.2">
      <c r="DY60593" s="185" t="s">
        <v>215</v>
      </c>
    </row>
    <row r="60594" spans="129:129" x14ac:dyDescent="0.2">
      <c r="DY60594" s="185" t="s">
        <v>215</v>
      </c>
    </row>
    <row r="60595" spans="129:129" x14ac:dyDescent="0.2">
      <c r="DY60595" s="185" t="s">
        <v>215</v>
      </c>
    </row>
    <row r="60596" spans="129:129" x14ac:dyDescent="0.2">
      <c r="DY60596" s="185" t="s">
        <v>215</v>
      </c>
    </row>
    <row r="60597" spans="129:129" x14ac:dyDescent="0.2">
      <c r="DY60597" s="185" t="s">
        <v>215</v>
      </c>
    </row>
    <row r="60598" spans="129:129" x14ac:dyDescent="0.2">
      <c r="DY60598" s="185" t="s">
        <v>215</v>
      </c>
    </row>
    <row r="60599" spans="129:129" x14ac:dyDescent="0.2">
      <c r="DY60599" s="185" t="s">
        <v>215</v>
      </c>
    </row>
    <row r="60600" spans="129:129" x14ac:dyDescent="0.2">
      <c r="DY60600" s="185" t="s">
        <v>215</v>
      </c>
    </row>
    <row r="60601" spans="129:129" x14ac:dyDescent="0.2">
      <c r="DY60601" s="185" t="s">
        <v>215</v>
      </c>
    </row>
    <row r="60602" spans="129:129" x14ac:dyDescent="0.2">
      <c r="DY60602" s="185" t="s">
        <v>215</v>
      </c>
    </row>
    <row r="60603" spans="129:129" x14ac:dyDescent="0.2">
      <c r="DY60603" s="185" t="s">
        <v>215</v>
      </c>
    </row>
    <row r="60604" spans="129:129" x14ac:dyDescent="0.2">
      <c r="DY60604" s="185" t="s">
        <v>215</v>
      </c>
    </row>
    <row r="60605" spans="129:129" x14ac:dyDescent="0.2">
      <c r="DY60605" s="185" t="s">
        <v>215</v>
      </c>
    </row>
    <row r="60606" spans="129:129" x14ac:dyDescent="0.2">
      <c r="DY60606" s="185" t="s">
        <v>215</v>
      </c>
    </row>
    <row r="60607" spans="129:129" x14ac:dyDescent="0.2">
      <c r="DY60607" s="185" t="s">
        <v>215</v>
      </c>
    </row>
    <row r="60608" spans="129:129" x14ac:dyDescent="0.2">
      <c r="DY60608" s="185" t="s">
        <v>215</v>
      </c>
    </row>
    <row r="60609" spans="129:129" x14ac:dyDescent="0.2">
      <c r="DY60609" s="185" t="s">
        <v>215</v>
      </c>
    </row>
    <row r="60610" spans="129:129" x14ac:dyDescent="0.2">
      <c r="DY60610" s="185" t="s">
        <v>215</v>
      </c>
    </row>
    <row r="60611" spans="129:129" x14ac:dyDescent="0.2">
      <c r="DY60611" s="185" t="s">
        <v>215</v>
      </c>
    </row>
    <row r="60612" spans="129:129" x14ac:dyDescent="0.2">
      <c r="DY60612" s="185" t="s">
        <v>215</v>
      </c>
    </row>
    <row r="60613" spans="129:129" x14ac:dyDescent="0.2">
      <c r="DY60613" s="185" t="s">
        <v>215</v>
      </c>
    </row>
    <row r="60614" spans="129:129" x14ac:dyDescent="0.2">
      <c r="DY60614" s="185" t="s">
        <v>215</v>
      </c>
    </row>
    <row r="60615" spans="129:129" x14ac:dyDescent="0.2">
      <c r="DY60615" s="185" t="s">
        <v>215</v>
      </c>
    </row>
    <row r="60616" spans="129:129" x14ac:dyDescent="0.2">
      <c r="DY60616" s="185" t="s">
        <v>215</v>
      </c>
    </row>
    <row r="60617" spans="129:129" x14ac:dyDescent="0.2">
      <c r="DY60617" s="185" t="s">
        <v>215</v>
      </c>
    </row>
    <row r="60618" spans="129:129" x14ac:dyDescent="0.2">
      <c r="DY60618" s="185" t="s">
        <v>215</v>
      </c>
    </row>
    <row r="60619" spans="129:129" x14ac:dyDescent="0.2">
      <c r="DY60619" s="185" t="s">
        <v>215</v>
      </c>
    </row>
    <row r="60620" spans="129:129" x14ac:dyDescent="0.2">
      <c r="DY60620" s="185" t="s">
        <v>215</v>
      </c>
    </row>
    <row r="60621" spans="129:129" x14ac:dyDescent="0.2">
      <c r="DY60621" s="185" t="s">
        <v>215</v>
      </c>
    </row>
    <row r="60622" spans="129:129" x14ac:dyDescent="0.2">
      <c r="DY60622" s="185" t="s">
        <v>215</v>
      </c>
    </row>
    <row r="60623" spans="129:129" x14ac:dyDescent="0.2">
      <c r="DY60623" s="185" t="s">
        <v>215</v>
      </c>
    </row>
    <row r="60624" spans="129:129" x14ac:dyDescent="0.2">
      <c r="DY60624" s="185" t="s">
        <v>215</v>
      </c>
    </row>
    <row r="60625" spans="129:129" x14ac:dyDescent="0.2">
      <c r="DY60625" s="185" t="s">
        <v>215</v>
      </c>
    </row>
    <row r="60626" spans="129:129" x14ac:dyDescent="0.2">
      <c r="DY60626" s="185" t="s">
        <v>215</v>
      </c>
    </row>
    <row r="60627" spans="129:129" x14ac:dyDescent="0.2">
      <c r="DY60627" s="185" t="s">
        <v>215</v>
      </c>
    </row>
    <row r="60628" spans="129:129" x14ac:dyDescent="0.2">
      <c r="DY60628" s="185" t="s">
        <v>215</v>
      </c>
    </row>
    <row r="60629" spans="129:129" x14ac:dyDescent="0.2">
      <c r="DY60629" s="185" t="s">
        <v>215</v>
      </c>
    </row>
    <row r="60630" spans="129:129" x14ac:dyDescent="0.2">
      <c r="DY60630" s="185" t="s">
        <v>215</v>
      </c>
    </row>
    <row r="60631" spans="129:129" x14ac:dyDescent="0.2">
      <c r="DY60631" s="185" t="s">
        <v>215</v>
      </c>
    </row>
    <row r="60632" spans="129:129" x14ac:dyDescent="0.2">
      <c r="DY60632" s="185" t="s">
        <v>215</v>
      </c>
    </row>
    <row r="60633" spans="129:129" x14ac:dyDescent="0.2">
      <c r="DY60633" s="185" t="s">
        <v>215</v>
      </c>
    </row>
    <row r="60634" spans="129:129" x14ac:dyDescent="0.2">
      <c r="DY60634" s="185" t="s">
        <v>215</v>
      </c>
    </row>
    <row r="60635" spans="129:129" x14ac:dyDescent="0.2">
      <c r="DY60635" s="185" t="s">
        <v>215</v>
      </c>
    </row>
    <row r="60636" spans="129:129" x14ac:dyDescent="0.2">
      <c r="DY60636" s="185" t="s">
        <v>215</v>
      </c>
    </row>
    <row r="60637" spans="129:129" x14ac:dyDescent="0.2">
      <c r="DY60637" s="185" t="s">
        <v>215</v>
      </c>
    </row>
    <row r="60638" spans="129:129" x14ac:dyDescent="0.2">
      <c r="DY60638" s="185" t="s">
        <v>215</v>
      </c>
    </row>
    <row r="60639" spans="129:129" x14ac:dyDescent="0.2">
      <c r="DY60639" s="185" t="s">
        <v>215</v>
      </c>
    </row>
    <row r="60640" spans="129:129" x14ac:dyDescent="0.2">
      <c r="DY60640" s="185" t="s">
        <v>215</v>
      </c>
    </row>
    <row r="60641" spans="129:129" x14ac:dyDescent="0.2">
      <c r="DY60641" s="185" t="s">
        <v>215</v>
      </c>
    </row>
    <row r="60642" spans="129:129" x14ac:dyDescent="0.2">
      <c r="DY60642" s="185" t="s">
        <v>215</v>
      </c>
    </row>
    <row r="60643" spans="129:129" x14ac:dyDescent="0.2">
      <c r="DY60643" s="185" t="s">
        <v>215</v>
      </c>
    </row>
    <row r="60644" spans="129:129" x14ac:dyDescent="0.2">
      <c r="DY60644" s="185" t="s">
        <v>215</v>
      </c>
    </row>
    <row r="60645" spans="129:129" x14ac:dyDescent="0.2">
      <c r="DY60645" s="185" t="s">
        <v>215</v>
      </c>
    </row>
    <row r="60646" spans="129:129" x14ac:dyDescent="0.2">
      <c r="DY60646" s="185" t="s">
        <v>215</v>
      </c>
    </row>
    <row r="60647" spans="129:129" x14ac:dyDescent="0.2">
      <c r="DY60647" s="185" t="s">
        <v>215</v>
      </c>
    </row>
    <row r="60648" spans="129:129" x14ac:dyDescent="0.2">
      <c r="DY60648" s="185" t="s">
        <v>215</v>
      </c>
    </row>
    <row r="60649" spans="129:129" x14ac:dyDescent="0.2">
      <c r="DY60649" s="185" t="s">
        <v>215</v>
      </c>
    </row>
    <row r="60650" spans="129:129" x14ac:dyDescent="0.2">
      <c r="DY60650" s="185" t="s">
        <v>215</v>
      </c>
    </row>
    <row r="60651" spans="129:129" x14ac:dyDescent="0.2">
      <c r="DY60651" s="185" t="s">
        <v>215</v>
      </c>
    </row>
    <row r="60652" spans="129:129" x14ac:dyDescent="0.2">
      <c r="DY60652" s="185" t="s">
        <v>215</v>
      </c>
    </row>
    <row r="60653" spans="129:129" x14ac:dyDescent="0.2">
      <c r="DY60653" s="185" t="s">
        <v>215</v>
      </c>
    </row>
    <row r="60654" spans="129:129" x14ac:dyDescent="0.2">
      <c r="DY60654" s="185" t="s">
        <v>215</v>
      </c>
    </row>
    <row r="60655" spans="129:129" x14ac:dyDescent="0.2">
      <c r="DY60655" s="185" t="s">
        <v>215</v>
      </c>
    </row>
    <row r="60656" spans="129:129" x14ac:dyDescent="0.2">
      <c r="DY60656" s="185" t="s">
        <v>215</v>
      </c>
    </row>
    <row r="60657" spans="129:129" x14ac:dyDescent="0.2">
      <c r="DY60657" s="185" t="s">
        <v>215</v>
      </c>
    </row>
    <row r="60658" spans="129:129" x14ac:dyDescent="0.2">
      <c r="DY60658" s="185" t="s">
        <v>215</v>
      </c>
    </row>
    <row r="60659" spans="129:129" x14ac:dyDescent="0.2">
      <c r="DY60659" s="185" t="s">
        <v>215</v>
      </c>
    </row>
    <row r="60660" spans="129:129" x14ac:dyDescent="0.2">
      <c r="DY60660" s="185" t="s">
        <v>215</v>
      </c>
    </row>
    <row r="60661" spans="129:129" x14ac:dyDescent="0.2">
      <c r="DY60661" s="185" t="s">
        <v>215</v>
      </c>
    </row>
    <row r="60662" spans="129:129" x14ac:dyDescent="0.2">
      <c r="DY60662" s="185" t="s">
        <v>215</v>
      </c>
    </row>
    <row r="60663" spans="129:129" x14ac:dyDescent="0.2">
      <c r="DY60663" s="185" t="s">
        <v>215</v>
      </c>
    </row>
    <row r="60664" spans="129:129" x14ac:dyDescent="0.2">
      <c r="DY60664" s="185" t="s">
        <v>215</v>
      </c>
    </row>
    <row r="60665" spans="129:129" x14ac:dyDescent="0.2">
      <c r="DY60665" s="185" t="s">
        <v>215</v>
      </c>
    </row>
    <row r="60666" spans="129:129" x14ac:dyDescent="0.2">
      <c r="DY60666" s="185" t="s">
        <v>215</v>
      </c>
    </row>
    <row r="60667" spans="129:129" x14ac:dyDescent="0.2">
      <c r="DY60667" s="185" t="s">
        <v>215</v>
      </c>
    </row>
    <row r="60668" spans="129:129" x14ac:dyDescent="0.2">
      <c r="DY60668" s="185" t="s">
        <v>215</v>
      </c>
    </row>
    <row r="60669" spans="129:129" x14ac:dyDescent="0.2">
      <c r="DY60669" s="185" t="s">
        <v>215</v>
      </c>
    </row>
    <row r="60670" spans="129:129" x14ac:dyDescent="0.2">
      <c r="DY60670" s="185" t="s">
        <v>215</v>
      </c>
    </row>
    <row r="60671" spans="129:129" x14ac:dyDescent="0.2">
      <c r="DY60671" s="185" t="s">
        <v>215</v>
      </c>
    </row>
    <row r="60672" spans="129:129" x14ac:dyDescent="0.2">
      <c r="DY60672" s="185" t="s">
        <v>215</v>
      </c>
    </row>
    <row r="60673" spans="129:129" x14ac:dyDescent="0.2">
      <c r="DY60673" s="185" t="s">
        <v>215</v>
      </c>
    </row>
    <row r="60674" spans="129:129" x14ac:dyDescent="0.2">
      <c r="DY60674" s="185" t="s">
        <v>215</v>
      </c>
    </row>
    <row r="60675" spans="129:129" x14ac:dyDescent="0.2">
      <c r="DY60675" s="185" t="s">
        <v>215</v>
      </c>
    </row>
    <row r="60676" spans="129:129" x14ac:dyDescent="0.2">
      <c r="DY60676" s="185" t="s">
        <v>215</v>
      </c>
    </row>
    <row r="60677" spans="129:129" x14ac:dyDescent="0.2">
      <c r="DY60677" s="185" t="s">
        <v>215</v>
      </c>
    </row>
    <row r="60678" spans="129:129" x14ac:dyDescent="0.2">
      <c r="DY60678" s="185" t="s">
        <v>215</v>
      </c>
    </row>
    <row r="60679" spans="129:129" x14ac:dyDescent="0.2">
      <c r="DY60679" s="185" t="s">
        <v>215</v>
      </c>
    </row>
    <row r="60680" spans="129:129" x14ac:dyDescent="0.2">
      <c r="DY60680" s="185" t="s">
        <v>215</v>
      </c>
    </row>
    <row r="60681" spans="129:129" x14ac:dyDescent="0.2">
      <c r="DY60681" s="185" t="s">
        <v>215</v>
      </c>
    </row>
    <row r="60682" spans="129:129" x14ac:dyDescent="0.2">
      <c r="DY60682" s="185" t="s">
        <v>215</v>
      </c>
    </row>
    <row r="60683" spans="129:129" x14ac:dyDescent="0.2">
      <c r="DY60683" s="185" t="s">
        <v>215</v>
      </c>
    </row>
    <row r="60684" spans="129:129" x14ac:dyDescent="0.2">
      <c r="DY60684" s="185" t="s">
        <v>215</v>
      </c>
    </row>
    <row r="60685" spans="129:129" x14ac:dyDescent="0.2">
      <c r="DY60685" s="185" t="s">
        <v>215</v>
      </c>
    </row>
    <row r="60686" spans="129:129" x14ac:dyDescent="0.2">
      <c r="DY60686" s="185" t="s">
        <v>215</v>
      </c>
    </row>
    <row r="60687" spans="129:129" x14ac:dyDescent="0.2">
      <c r="DY60687" s="185" t="s">
        <v>215</v>
      </c>
    </row>
    <row r="60688" spans="129:129" x14ac:dyDescent="0.2">
      <c r="DY60688" s="185" t="s">
        <v>215</v>
      </c>
    </row>
    <row r="60689" spans="129:129" x14ac:dyDescent="0.2">
      <c r="DY60689" s="185" t="s">
        <v>215</v>
      </c>
    </row>
    <row r="60690" spans="129:129" x14ac:dyDescent="0.2">
      <c r="DY60690" s="185" t="s">
        <v>215</v>
      </c>
    </row>
    <row r="60691" spans="129:129" x14ac:dyDescent="0.2">
      <c r="DY60691" s="185" t="s">
        <v>215</v>
      </c>
    </row>
    <row r="60692" spans="129:129" x14ac:dyDescent="0.2">
      <c r="DY60692" s="185" t="s">
        <v>215</v>
      </c>
    </row>
    <row r="60693" spans="129:129" x14ac:dyDescent="0.2">
      <c r="DY60693" s="185" t="s">
        <v>215</v>
      </c>
    </row>
    <row r="60694" spans="129:129" x14ac:dyDescent="0.2">
      <c r="DY60694" s="185" t="s">
        <v>215</v>
      </c>
    </row>
    <row r="60695" spans="129:129" x14ac:dyDescent="0.2">
      <c r="DY60695" s="185" t="s">
        <v>215</v>
      </c>
    </row>
    <row r="60696" spans="129:129" x14ac:dyDescent="0.2">
      <c r="DY60696" s="185" t="s">
        <v>215</v>
      </c>
    </row>
    <row r="60697" spans="129:129" x14ac:dyDescent="0.2">
      <c r="DY60697" s="185" t="s">
        <v>215</v>
      </c>
    </row>
    <row r="60698" spans="129:129" x14ac:dyDescent="0.2">
      <c r="DY60698" s="185" t="s">
        <v>215</v>
      </c>
    </row>
    <row r="60699" spans="129:129" x14ac:dyDescent="0.2">
      <c r="DY60699" s="185" t="s">
        <v>215</v>
      </c>
    </row>
    <row r="60700" spans="129:129" x14ac:dyDescent="0.2">
      <c r="DY60700" s="185" t="s">
        <v>215</v>
      </c>
    </row>
    <row r="60701" spans="129:129" x14ac:dyDescent="0.2">
      <c r="DY60701" s="185" t="s">
        <v>215</v>
      </c>
    </row>
    <row r="60702" spans="129:129" x14ac:dyDescent="0.2">
      <c r="DY60702" s="185" t="s">
        <v>215</v>
      </c>
    </row>
    <row r="60703" spans="129:129" x14ac:dyDescent="0.2">
      <c r="DY60703" s="185" t="s">
        <v>215</v>
      </c>
    </row>
    <row r="60704" spans="129:129" x14ac:dyDescent="0.2">
      <c r="DY60704" s="185" t="s">
        <v>215</v>
      </c>
    </row>
    <row r="60705" spans="129:129" x14ac:dyDescent="0.2">
      <c r="DY60705" s="185" t="s">
        <v>215</v>
      </c>
    </row>
    <row r="60706" spans="129:129" x14ac:dyDescent="0.2">
      <c r="DY60706" s="185" t="s">
        <v>215</v>
      </c>
    </row>
    <row r="60707" spans="129:129" x14ac:dyDescent="0.2">
      <c r="DY60707" s="185" t="s">
        <v>215</v>
      </c>
    </row>
    <row r="60708" spans="129:129" x14ac:dyDescent="0.2">
      <c r="DY60708" s="185" t="s">
        <v>215</v>
      </c>
    </row>
    <row r="60709" spans="129:129" x14ac:dyDescent="0.2">
      <c r="DY60709" s="185" t="s">
        <v>215</v>
      </c>
    </row>
    <row r="60710" spans="129:129" x14ac:dyDescent="0.2">
      <c r="DY60710" s="185" t="s">
        <v>215</v>
      </c>
    </row>
    <row r="60711" spans="129:129" x14ac:dyDescent="0.2">
      <c r="DY60711" s="185" t="s">
        <v>215</v>
      </c>
    </row>
    <row r="60712" spans="129:129" x14ac:dyDescent="0.2">
      <c r="DY60712" s="185" t="s">
        <v>215</v>
      </c>
    </row>
    <row r="60713" spans="129:129" x14ac:dyDescent="0.2">
      <c r="DY60713" s="185" t="s">
        <v>215</v>
      </c>
    </row>
    <row r="60714" spans="129:129" x14ac:dyDescent="0.2">
      <c r="DY60714" s="185" t="s">
        <v>215</v>
      </c>
    </row>
    <row r="60715" spans="129:129" x14ac:dyDescent="0.2">
      <c r="DY60715" s="185" t="s">
        <v>215</v>
      </c>
    </row>
    <row r="60716" spans="129:129" x14ac:dyDescent="0.2">
      <c r="DY60716" s="185" t="s">
        <v>215</v>
      </c>
    </row>
    <row r="60717" spans="129:129" x14ac:dyDescent="0.2">
      <c r="DY60717" s="185" t="s">
        <v>215</v>
      </c>
    </row>
    <row r="60718" spans="129:129" x14ac:dyDescent="0.2">
      <c r="DY60718" s="185" t="s">
        <v>215</v>
      </c>
    </row>
    <row r="60719" spans="129:129" x14ac:dyDescent="0.2">
      <c r="DY60719" s="185" t="s">
        <v>215</v>
      </c>
    </row>
    <row r="60720" spans="129:129" x14ac:dyDescent="0.2">
      <c r="DY60720" s="185" t="s">
        <v>215</v>
      </c>
    </row>
    <row r="60721" spans="129:129" x14ac:dyDescent="0.2">
      <c r="DY60721" s="185" t="s">
        <v>215</v>
      </c>
    </row>
    <row r="60722" spans="129:129" x14ac:dyDescent="0.2">
      <c r="DY60722" s="185" t="s">
        <v>215</v>
      </c>
    </row>
    <row r="60723" spans="129:129" x14ac:dyDescent="0.2">
      <c r="DY60723" s="185" t="s">
        <v>215</v>
      </c>
    </row>
    <row r="60724" spans="129:129" x14ac:dyDescent="0.2">
      <c r="DY60724" s="185" t="s">
        <v>215</v>
      </c>
    </row>
    <row r="60725" spans="129:129" x14ac:dyDescent="0.2">
      <c r="DY60725" s="185" t="s">
        <v>215</v>
      </c>
    </row>
    <row r="60726" spans="129:129" x14ac:dyDescent="0.2">
      <c r="DY60726" s="185" t="s">
        <v>215</v>
      </c>
    </row>
    <row r="60727" spans="129:129" x14ac:dyDescent="0.2">
      <c r="DY60727" s="185" t="s">
        <v>215</v>
      </c>
    </row>
    <row r="60728" spans="129:129" x14ac:dyDescent="0.2">
      <c r="DY60728" s="185" t="s">
        <v>215</v>
      </c>
    </row>
    <row r="60729" spans="129:129" x14ac:dyDescent="0.2">
      <c r="DY60729" s="185" t="s">
        <v>215</v>
      </c>
    </row>
    <row r="60730" spans="129:129" x14ac:dyDescent="0.2">
      <c r="DY60730" s="185" t="s">
        <v>215</v>
      </c>
    </row>
    <row r="60731" spans="129:129" x14ac:dyDescent="0.2">
      <c r="DY60731" s="185" t="s">
        <v>215</v>
      </c>
    </row>
    <row r="60732" spans="129:129" x14ac:dyDescent="0.2">
      <c r="DY60732" s="185" t="s">
        <v>215</v>
      </c>
    </row>
    <row r="60733" spans="129:129" x14ac:dyDescent="0.2">
      <c r="DY60733" s="185" t="s">
        <v>215</v>
      </c>
    </row>
    <row r="60734" spans="129:129" x14ac:dyDescent="0.2">
      <c r="DY60734" s="185" t="s">
        <v>215</v>
      </c>
    </row>
    <row r="60735" spans="129:129" x14ac:dyDescent="0.2">
      <c r="DY60735" s="185" t="s">
        <v>215</v>
      </c>
    </row>
    <row r="60736" spans="129:129" x14ac:dyDescent="0.2">
      <c r="DY60736" s="185" t="s">
        <v>215</v>
      </c>
    </row>
    <row r="60737" spans="129:129" x14ac:dyDescent="0.2">
      <c r="DY60737" s="185" t="s">
        <v>215</v>
      </c>
    </row>
    <row r="60738" spans="129:129" x14ac:dyDescent="0.2">
      <c r="DY60738" s="185" t="s">
        <v>215</v>
      </c>
    </row>
    <row r="60739" spans="129:129" x14ac:dyDescent="0.2">
      <c r="DY60739" s="185" t="s">
        <v>215</v>
      </c>
    </row>
    <row r="60740" spans="129:129" x14ac:dyDescent="0.2">
      <c r="DY60740" s="185" t="s">
        <v>215</v>
      </c>
    </row>
    <row r="60741" spans="129:129" x14ac:dyDescent="0.2">
      <c r="DY60741" s="185" t="s">
        <v>215</v>
      </c>
    </row>
    <row r="60742" spans="129:129" x14ac:dyDescent="0.2">
      <c r="DY60742" s="185" t="s">
        <v>215</v>
      </c>
    </row>
    <row r="60743" spans="129:129" x14ac:dyDescent="0.2">
      <c r="DY60743" s="185" t="s">
        <v>215</v>
      </c>
    </row>
    <row r="60744" spans="129:129" x14ac:dyDescent="0.2">
      <c r="DY60744" s="185" t="s">
        <v>215</v>
      </c>
    </row>
    <row r="60745" spans="129:129" x14ac:dyDescent="0.2">
      <c r="DY60745" s="185" t="s">
        <v>215</v>
      </c>
    </row>
    <row r="60746" spans="129:129" x14ac:dyDescent="0.2">
      <c r="DY60746" s="185" t="s">
        <v>215</v>
      </c>
    </row>
    <row r="60747" spans="129:129" x14ac:dyDescent="0.2">
      <c r="DY60747" s="185" t="s">
        <v>215</v>
      </c>
    </row>
    <row r="60748" spans="129:129" x14ac:dyDescent="0.2">
      <c r="DY60748" s="185" t="s">
        <v>215</v>
      </c>
    </row>
    <row r="60749" spans="129:129" x14ac:dyDescent="0.2">
      <c r="DY60749" s="185" t="s">
        <v>215</v>
      </c>
    </row>
    <row r="60750" spans="129:129" x14ac:dyDescent="0.2">
      <c r="DY60750" s="185" t="s">
        <v>215</v>
      </c>
    </row>
    <row r="60751" spans="129:129" x14ac:dyDescent="0.2">
      <c r="DY60751" s="185" t="s">
        <v>215</v>
      </c>
    </row>
    <row r="60752" spans="129:129" x14ac:dyDescent="0.2">
      <c r="DY60752" s="185" t="s">
        <v>215</v>
      </c>
    </row>
    <row r="60753" spans="129:129" x14ac:dyDescent="0.2">
      <c r="DY60753" s="185" t="s">
        <v>215</v>
      </c>
    </row>
    <row r="60754" spans="129:129" x14ac:dyDescent="0.2">
      <c r="DY60754" s="185" t="s">
        <v>215</v>
      </c>
    </row>
    <row r="60755" spans="129:129" x14ac:dyDescent="0.2">
      <c r="DY60755" s="185" t="s">
        <v>215</v>
      </c>
    </row>
    <row r="60756" spans="129:129" x14ac:dyDescent="0.2">
      <c r="DY60756" s="185" t="s">
        <v>215</v>
      </c>
    </row>
    <row r="60757" spans="129:129" x14ac:dyDescent="0.2">
      <c r="DY60757" s="185" t="s">
        <v>215</v>
      </c>
    </row>
    <row r="60758" spans="129:129" x14ac:dyDescent="0.2">
      <c r="DY60758" s="185" t="s">
        <v>215</v>
      </c>
    </row>
    <row r="60759" spans="129:129" x14ac:dyDescent="0.2">
      <c r="DY60759" s="185" t="s">
        <v>215</v>
      </c>
    </row>
    <row r="60760" spans="129:129" x14ac:dyDescent="0.2">
      <c r="DY60760" s="185" t="s">
        <v>215</v>
      </c>
    </row>
    <row r="60761" spans="129:129" x14ac:dyDescent="0.2">
      <c r="DY60761" s="185" t="s">
        <v>215</v>
      </c>
    </row>
    <row r="60762" spans="129:129" x14ac:dyDescent="0.2">
      <c r="DY60762" s="185" t="s">
        <v>215</v>
      </c>
    </row>
    <row r="60763" spans="129:129" x14ac:dyDescent="0.2">
      <c r="DY60763" s="185" t="s">
        <v>215</v>
      </c>
    </row>
    <row r="60764" spans="129:129" x14ac:dyDescent="0.2">
      <c r="DY60764" s="185" t="s">
        <v>215</v>
      </c>
    </row>
    <row r="60765" spans="129:129" x14ac:dyDescent="0.2">
      <c r="DY60765" s="185" t="s">
        <v>215</v>
      </c>
    </row>
    <row r="60766" spans="129:129" x14ac:dyDescent="0.2">
      <c r="DY60766" s="185" t="s">
        <v>215</v>
      </c>
    </row>
    <row r="60767" spans="129:129" x14ac:dyDescent="0.2">
      <c r="DY60767" s="185" t="s">
        <v>215</v>
      </c>
    </row>
    <row r="60768" spans="129:129" x14ac:dyDescent="0.2">
      <c r="DY60768" s="185" t="s">
        <v>215</v>
      </c>
    </row>
    <row r="60769" spans="129:129" x14ac:dyDescent="0.2">
      <c r="DY60769" s="185" t="s">
        <v>215</v>
      </c>
    </row>
    <row r="60770" spans="129:129" x14ac:dyDescent="0.2">
      <c r="DY60770" s="185" t="s">
        <v>215</v>
      </c>
    </row>
    <row r="60771" spans="129:129" x14ac:dyDescent="0.2">
      <c r="DY60771" s="185" t="s">
        <v>215</v>
      </c>
    </row>
    <row r="60772" spans="129:129" x14ac:dyDescent="0.2">
      <c r="DY60772" s="185" t="s">
        <v>215</v>
      </c>
    </row>
    <row r="60773" spans="129:129" x14ac:dyDescent="0.2">
      <c r="DY60773" s="185" t="s">
        <v>215</v>
      </c>
    </row>
    <row r="60774" spans="129:129" x14ac:dyDescent="0.2">
      <c r="DY60774" s="185" t="s">
        <v>215</v>
      </c>
    </row>
    <row r="60775" spans="129:129" x14ac:dyDescent="0.2">
      <c r="DY60775" s="185" t="s">
        <v>215</v>
      </c>
    </row>
    <row r="60776" spans="129:129" x14ac:dyDescent="0.2">
      <c r="DY60776" s="185" t="s">
        <v>215</v>
      </c>
    </row>
    <row r="60777" spans="129:129" x14ac:dyDescent="0.2">
      <c r="DY60777" s="185" t="s">
        <v>215</v>
      </c>
    </row>
    <row r="60778" spans="129:129" x14ac:dyDescent="0.2">
      <c r="DY60778" s="185" t="s">
        <v>215</v>
      </c>
    </row>
    <row r="60779" spans="129:129" x14ac:dyDescent="0.2">
      <c r="DY60779" s="185" t="s">
        <v>215</v>
      </c>
    </row>
    <row r="60780" spans="129:129" x14ac:dyDescent="0.2">
      <c r="DY60780" s="185" t="s">
        <v>215</v>
      </c>
    </row>
    <row r="60781" spans="129:129" x14ac:dyDescent="0.2">
      <c r="DY60781" s="185" t="s">
        <v>215</v>
      </c>
    </row>
    <row r="60782" spans="129:129" x14ac:dyDescent="0.2">
      <c r="DY60782" s="185" t="s">
        <v>215</v>
      </c>
    </row>
    <row r="60783" spans="129:129" x14ac:dyDescent="0.2">
      <c r="DY60783" s="185" t="s">
        <v>215</v>
      </c>
    </row>
    <row r="60784" spans="129:129" x14ac:dyDescent="0.2">
      <c r="DY60784" s="185" t="s">
        <v>215</v>
      </c>
    </row>
    <row r="60785" spans="129:129" x14ac:dyDescent="0.2">
      <c r="DY60785" s="185" t="s">
        <v>215</v>
      </c>
    </row>
    <row r="60786" spans="129:129" x14ac:dyDescent="0.2">
      <c r="DY60786" s="185" t="s">
        <v>215</v>
      </c>
    </row>
    <row r="60787" spans="129:129" x14ac:dyDescent="0.2">
      <c r="DY60787" s="185" t="s">
        <v>215</v>
      </c>
    </row>
    <row r="60788" spans="129:129" x14ac:dyDescent="0.2">
      <c r="DY60788" s="185" t="s">
        <v>215</v>
      </c>
    </row>
    <row r="60789" spans="129:129" x14ac:dyDescent="0.2">
      <c r="DY60789" s="185" t="s">
        <v>215</v>
      </c>
    </row>
    <row r="60790" spans="129:129" x14ac:dyDescent="0.2">
      <c r="DY60790" s="185" t="s">
        <v>215</v>
      </c>
    </row>
    <row r="60791" spans="129:129" x14ac:dyDescent="0.2">
      <c r="DY60791" s="185" t="s">
        <v>215</v>
      </c>
    </row>
    <row r="60792" spans="129:129" x14ac:dyDescent="0.2">
      <c r="DY60792" s="185" t="s">
        <v>215</v>
      </c>
    </row>
    <row r="60793" spans="129:129" x14ac:dyDescent="0.2">
      <c r="DY60793" s="185" t="s">
        <v>215</v>
      </c>
    </row>
    <row r="60794" spans="129:129" x14ac:dyDescent="0.2">
      <c r="DY60794" s="185" t="s">
        <v>215</v>
      </c>
    </row>
    <row r="60795" spans="129:129" x14ac:dyDescent="0.2">
      <c r="DY60795" s="185" t="s">
        <v>215</v>
      </c>
    </row>
    <row r="60796" spans="129:129" x14ac:dyDescent="0.2">
      <c r="DY60796" s="185" t="s">
        <v>215</v>
      </c>
    </row>
    <row r="60797" spans="129:129" x14ac:dyDescent="0.2">
      <c r="DY60797" s="185" t="s">
        <v>215</v>
      </c>
    </row>
    <row r="60798" spans="129:129" x14ac:dyDescent="0.2">
      <c r="DY60798" s="185" t="s">
        <v>215</v>
      </c>
    </row>
    <row r="60799" spans="129:129" x14ac:dyDescent="0.2">
      <c r="DY60799" s="185" t="s">
        <v>215</v>
      </c>
    </row>
    <row r="60800" spans="129:129" x14ac:dyDescent="0.2">
      <c r="DY60800" s="185" t="s">
        <v>215</v>
      </c>
    </row>
    <row r="60801" spans="129:129" x14ac:dyDescent="0.2">
      <c r="DY60801" s="185" t="s">
        <v>215</v>
      </c>
    </row>
    <row r="60802" spans="129:129" x14ac:dyDescent="0.2">
      <c r="DY60802" s="185" t="s">
        <v>215</v>
      </c>
    </row>
    <row r="60803" spans="129:129" x14ac:dyDescent="0.2">
      <c r="DY60803" s="185" t="s">
        <v>215</v>
      </c>
    </row>
    <row r="60804" spans="129:129" x14ac:dyDescent="0.2">
      <c r="DY60804" s="185" t="s">
        <v>215</v>
      </c>
    </row>
    <row r="60805" spans="129:129" x14ac:dyDescent="0.2">
      <c r="DY60805" s="185" t="s">
        <v>215</v>
      </c>
    </row>
    <row r="60806" spans="129:129" x14ac:dyDescent="0.2">
      <c r="DY60806" s="185" t="s">
        <v>215</v>
      </c>
    </row>
    <row r="60807" spans="129:129" x14ac:dyDescent="0.2">
      <c r="DY60807" s="185" t="s">
        <v>215</v>
      </c>
    </row>
    <row r="60808" spans="129:129" x14ac:dyDescent="0.2">
      <c r="DY60808" s="185" t="s">
        <v>215</v>
      </c>
    </row>
    <row r="60809" spans="129:129" x14ac:dyDescent="0.2">
      <c r="DY60809" s="185" t="s">
        <v>215</v>
      </c>
    </row>
    <row r="60810" spans="129:129" x14ac:dyDescent="0.2">
      <c r="DY60810" s="185" t="s">
        <v>215</v>
      </c>
    </row>
    <row r="60811" spans="129:129" x14ac:dyDescent="0.2">
      <c r="DY60811" s="185" t="s">
        <v>215</v>
      </c>
    </row>
    <row r="60812" spans="129:129" x14ac:dyDescent="0.2">
      <c r="DY60812" s="185" t="s">
        <v>215</v>
      </c>
    </row>
    <row r="60813" spans="129:129" x14ac:dyDescent="0.2">
      <c r="DY60813" s="185" t="s">
        <v>215</v>
      </c>
    </row>
    <row r="60814" spans="129:129" x14ac:dyDescent="0.2">
      <c r="DY60814" s="185" t="s">
        <v>215</v>
      </c>
    </row>
    <row r="60815" spans="129:129" x14ac:dyDescent="0.2">
      <c r="DY60815" s="185" t="s">
        <v>215</v>
      </c>
    </row>
    <row r="60816" spans="129:129" x14ac:dyDescent="0.2">
      <c r="DY60816" s="185" t="s">
        <v>215</v>
      </c>
    </row>
    <row r="60817" spans="129:129" x14ac:dyDescent="0.2">
      <c r="DY60817" s="185" t="s">
        <v>215</v>
      </c>
    </row>
    <row r="60818" spans="129:129" x14ac:dyDescent="0.2">
      <c r="DY60818" s="185" t="s">
        <v>215</v>
      </c>
    </row>
    <row r="60819" spans="129:129" x14ac:dyDescent="0.2">
      <c r="DY60819" s="185" t="s">
        <v>215</v>
      </c>
    </row>
    <row r="60820" spans="129:129" x14ac:dyDescent="0.2">
      <c r="DY60820" s="185" t="s">
        <v>215</v>
      </c>
    </row>
    <row r="60821" spans="129:129" x14ac:dyDescent="0.2">
      <c r="DY60821" s="185" t="s">
        <v>215</v>
      </c>
    </row>
    <row r="60822" spans="129:129" x14ac:dyDescent="0.2">
      <c r="DY60822" s="185" t="s">
        <v>215</v>
      </c>
    </row>
    <row r="60823" spans="129:129" x14ac:dyDescent="0.2">
      <c r="DY60823" s="185" t="s">
        <v>215</v>
      </c>
    </row>
    <row r="60824" spans="129:129" x14ac:dyDescent="0.2">
      <c r="DY60824" s="185" t="s">
        <v>215</v>
      </c>
    </row>
    <row r="60825" spans="129:129" x14ac:dyDescent="0.2">
      <c r="DY60825" s="185" t="s">
        <v>215</v>
      </c>
    </row>
    <row r="60826" spans="129:129" x14ac:dyDescent="0.2">
      <c r="DY60826" s="185" t="s">
        <v>215</v>
      </c>
    </row>
    <row r="60827" spans="129:129" x14ac:dyDescent="0.2">
      <c r="DY60827" s="185" t="s">
        <v>215</v>
      </c>
    </row>
    <row r="60828" spans="129:129" x14ac:dyDescent="0.2">
      <c r="DY60828" s="185" t="s">
        <v>215</v>
      </c>
    </row>
    <row r="60829" spans="129:129" x14ac:dyDescent="0.2">
      <c r="DY60829" s="185" t="s">
        <v>215</v>
      </c>
    </row>
    <row r="60830" spans="129:129" x14ac:dyDescent="0.2">
      <c r="DY60830" s="185" t="s">
        <v>215</v>
      </c>
    </row>
    <row r="60831" spans="129:129" x14ac:dyDescent="0.2">
      <c r="DY60831" s="185" t="s">
        <v>215</v>
      </c>
    </row>
    <row r="60832" spans="129:129" x14ac:dyDescent="0.2">
      <c r="DY60832" s="185" t="s">
        <v>215</v>
      </c>
    </row>
    <row r="60833" spans="129:129" x14ac:dyDescent="0.2">
      <c r="DY60833" s="185" t="s">
        <v>215</v>
      </c>
    </row>
    <row r="60834" spans="129:129" x14ac:dyDescent="0.2">
      <c r="DY60834" s="185" t="s">
        <v>215</v>
      </c>
    </row>
    <row r="60835" spans="129:129" x14ac:dyDescent="0.2">
      <c r="DY60835" s="185" t="s">
        <v>215</v>
      </c>
    </row>
    <row r="60836" spans="129:129" x14ac:dyDescent="0.2">
      <c r="DY60836" s="185" t="s">
        <v>215</v>
      </c>
    </row>
    <row r="60837" spans="129:129" x14ac:dyDescent="0.2">
      <c r="DY60837" s="185" t="s">
        <v>215</v>
      </c>
    </row>
    <row r="60838" spans="129:129" x14ac:dyDescent="0.2">
      <c r="DY60838" s="185" t="s">
        <v>215</v>
      </c>
    </row>
    <row r="60839" spans="129:129" x14ac:dyDescent="0.2">
      <c r="DY60839" s="185" t="s">
        <v>215</v>
      </c>
    </row>
    <row r="60840" spans="129:129" x14ac:dyDescent="0.2">
      <c r="DY60840" s="185" t="s">
        <v>215</v>
      </c>
    </row>
    <row r="60841" spans="129:129" x14ac:dyDescent="0.2">
      <c r="DY60841" s="185" t="s">
        <v>215</v>
      </c>
    </row>
    <row r="60842" spans="129:129" x14ac:dyDescent="0.2">
      <c r="DY60842" s="185" t="s">
        <v>215</v>
      </c>
    </row>
    <row r="60843" spans="129:129" x14ac:dyDescent="0.2">
      <c r="DY60843" s="185" t="s">
        <v>215</v>
      </c>
    </row>
    <row r="60844" spans="129:129" x14ac:dyDescent="0.2">
      <c r="DY60844" s="185" t="s">
        <v>215</v>
      </c>
    </row>
    <row r="60845" spans="129:129" x14ac:dyDescent="0.2">
      <c r="DY60845" s="185" t="s">
        <v>215</v>
      </c>
    </row>
    <row r="60846" spans="129:129" x14ac:dyDescent="0.2">
      <c r="DY60846" s="185" t="s">
        <v>215</v>
      </c>
    </row>
    <row r="60847" spans="129:129" x14ac:dyDescent="0.2">
      <c r="DY60847" s="185" t="s">
        <v>215</v>
      </c>
    </row>
    <row r="60848" spans="129:129" x14ac:dyDescent="0.2">
      <c r="DY60848" s="185" t="s">
        <v>215</v>
      </c>
    </row>
    <row r="60849" spans="129:129" x14ac:dyDescent="0.2">
      <c r="DY60849" s="185" t="s">
        <v>215</v>
      </c>
    </row>
    <row r="60850" spans="129:129" x14ac:dyDescent="0.2">
      <c r="DY60850" s="185" t="s">
        <v>215</v>
      </c>
    </row>
    <row r="60851" spans="129:129" x14ac:dyDescent="0.2">
      <c r="DY60851" s="185" t="s">
        <v>215</v>
      </c>
    </row>
    <row r="60852" spans="129:129" x14ac:dyDescent="0.2">
      <c r="DY60852" s="185" t="s">
        <v>215</v>
      </c>
    </row>
    <row r="60853" spans="129:129" x14ac:dyDescent="0.2">
      <c r="DY60853" s="185" t="s">
        <v>215</v>
      </c>
    </row>
    <row r="60854" spans="129:129" x14ac:dyDescent="0.2">
      <c r="DY60854" s="185" t="s">
        <v>215</v>
      </c>
    </row>
    <row r="60855" spans="129:129" x14ac:dyDescent="0.2">
      <c r="DY60855" s="185" t="s">
        <v>215</v>
      </c>
    </row>
    <row r="60856" spans="129:129" x14ac:dyDescent="0.2">
      <c r="DY60856" s="185" t="s">
        <v>215</v>
      </c>
    </row>
    <row r="60857" spans="129:129" x14ac:dyDescent="0.2">
      <c r="DY60857" s="185" t="s">
        <v>215</v>
      </c>
    </row>
    <row r="60858" spans="129:129" x14ac:dyDescent="0.2">
      <c r="DY60858" s="185" t="s">
        <v>215</v>
      </c>
    </row>
    <row r="60859" spans="129:129" x14ac:dyDescent="0.2">
      <c r="DY60859" s="185" t="s">
        <v>215</v>
      </c>
    </row>
    <row r="60860" spans="129:129" x14ac:dyDescent="0.2">
      <c r="DY60860" s="185" t="s">
        <v>215</v>
      </c>
    </row>
    <row r="60861" spans="129:129" x14ac:dyDescent="0.2">
      <c r="DY60861" s="185" t="s">
        <v>215</v>
      </c>
    </row>
    <row r="60862" spans="129:129" x14ac:dyDescent="0.2">
      <c r="DY60862" s="185" t="s">
        <v>215</v>
      </c>
    </row>
    <row r="60863" spans="129:129" x14ac:dyDescent="0.2">
      <c r="DY60863" s="185" t="s">
        <v>215</v>
      </c>
    </row>
    <row r="60864" spans="129:129" x14ac:dyDescent="0.2">
      <c r="DY60864" s="185" t="s">
        <v>215</v>
      </c>
    </row>
    <row r="60865" spans="129:129" x14ac:dyDescent="0.2">
      <c r="DY60865" s="185" t="s">
        <v>215</v>
      </c>
    </row>
    <row r="60866" spans="129:129" x14ac:dyDescent="0.2">
      <c r="DY60866" s="185" t="s">
        <v>215</v>
      </c>
    </row>
    <row r="60867" spans="129:129" x14ac:dyDescent="0.2">
      <c r="DY60867" s="185" t="s">
        <v>215</v>
      </c>
    </row>
    <row r="60868" spans="129:129" x14ac:dyDescent="0.2">
      <c r="DY60868" s="185" t="s">
        <v>215</v>
      </c>
    </row>
    <row r="60869" spans="129:129" x14ac:dyDescent="0.2">
      <c r="DY60869" s="185" t="s">
        <v>215</v>
      </c>
    </row>
    <row r="60870" spans="129:129" x14ac:dyDescent="0.2">
      <c r="DY60870" s="185" t="s">
        <v>215</v>
      </c>
    </row>
    <row r="60871" spans="129:129" x14ac:dyDescent="0.2">
      <c r="DY60871" s="185" t="s">
        <v>215</v>
      </c>
    </row>
    <row r="60872" spans="129:129" x14ac:dyDescent="0.2">
      <c r="DY60872" s="185" t="s">
        <v>215</v>
      </c>
    </row>
    <row r="60873" spans="129:129" x14ac:dyDescent="0.2">
      <c r="DY60873" s="185" t="s">
        <v>215</v>
      </c>
    </row>
    <row r="60874" spans="129:129" x14ac:dyDescent="0.2">
      <c r="DY60874" s="185" t="s">
        <v>215</v>
      </c>
    </row>
    <row r="60875" spans="129:129" x14ac:dyDescent="0.2">
      <c r="DY60875" s="185" t="s">
        <v>215</v>
      </c>
    </row>
    <row r="60876" spans="129:129" x14ac:dyDescent="0.2">
      <c r="DY60876" s="185" t="s">
        <v>215</v>
      </c>
    </row>
    <row r="60877" spans="129:129" x14ac:dyDescent="0.2">
      <c r="DY60877" s="185" t="s">
        <v>215</v>
      </c>
    </row>
    <row r="60878" spans="129:129" x14ac:dyDescent="0.2">
      <c r="DY60878" s="185" t="s">
        <v>215</v>
      </c>
    </row>
    <row r="60879" spans="129:129" x14ac:dyDescent="0.2">
      <c r="DY60879" s="185" t="s">
        <v>215</v>
      </c>
    </row>
    <row r="60880" spans="129:129" x14ac:dyDescent="0.2">
      <c r="DY60880" s="185" t="s">
        <v>215</v>
      </c>
    </row>
    <row r="60881" spans="129:129" x14ac:dyDescent="0.2">
      <c r="DY60881" s="185" t="s">
        <v>215</v>
      </c>
    </row>
    <row r="60882" spans="129:129" x14ac:dyDescent="0.2">
      <c r="DY60882" s="185" t="s">
        <v>215</v>
      </c>
    </row>
    <row r="60883" spans="129:129" x14ac:dyDescent="0.2">
      <c r="DY60883" s="185" t="s">
        <v>215</v>
      </c>
    </row>
    <row r="60884" spans="129:129" x14ac:dyDescent="0.2">
      <c r="DY60884" s="185" t="s">
        <v>215</v>
      </c>
    </row>
    <row r="60885" spans="129:129" x14ac:dyDescent="0.2">
      <c r="DY60885" s="185" t="s">
        <v>215</v>
      </c>
    </row>
    <row r="60886" spans="129:129" x14ac:dyDescent="0.2">
      <c r="DY60886" s="185" t="s">
        <v>215</v>
      </c>
    </row>
    <row r="60887" spans="129:129" x14ac:dyDescent="0.2">
      <c r="DY60887" s="185" t="s">
        <v>215</v>
      </c>
    </row>
    <row r="60888" spans="129:129" x14ac:dyDescent="0.2">
      <c r="DY60888" s="185" t="s">
        <v>215</v>
      </c>
    </row>
    <row r="60889" spans="129:129" x14ac:dyDescent="0.2">
      <c r="DY60889" s="185" t="s">
        <v>215</v>
      </c>
    </row>
    <row r="60890" spans="129:129" x14ac:dyDescent="0.2">
      <c r="DY60890" s="185" t="s">
        <v>215</v>
      </c>
    </row>
    <row r="60891" spans="129:129" x14ac:dyDescent="0.2">
      <c r="DY60891" s="185" t="s">
        <v>215</v>
      </c>
    </row>
    <row r="60892" spans="129:129" x14ac:dyDescent="0.2">
      <c r="DY60892" s="185" t="s">
        <v>215</v>
      </c>
    </row>
    <row r="60893" spans="129:129" x14ac:dyDescent="0.2">
      <c r="DY60893" s="185" t="s">
        <v>215</v>
      </c>
    </row>
    <row r="60894" spans="129:129" x14ac:dyDescent="0.2">
      <c r="DY60894" s="185" t="s">
        <v>215</v>
      </c>
    </row>
    <row r="60895" spans="129:129" x14ac:dyDescent="0.2">
      <c r="DY60895" s="185" t="s">
        <v>215</v>
      </c>
    </row>
    <row r="60896" spans="129:129" x14ac:dyDescent="0.2">
      <c r="DY60896" s="185" t="s">
        <v>215</v>
      </c>
    </row>
    <row r="60897" spans="129:129" x14ac:dyDescent="0.2">
      <c r="DY60897" s="185" t="s">
        <v>215</v>
      </c>
    </row>
    <row r="60898" spans="129:129" x14ac:dyDescent="0.2">
      <c r="DY60898" s="185" t="s">
        <v>215</v>
      </c>
    </row>
    <row r="60899" spans="129:129" x14ac:dyDescent="0.2">
      <c r="DY60899" s="185" t="s">
        <v>215</v>
      </c>
    </row>
    <row r="60900" spans="129:129" x14ac:dyDescent="0.2">
      <c r="DY60900" s="185" t="s">
        <v>215</v>
      </c>
    </row>
    <row r="60901" spans="129:129" x14ac:dyDescent="0.2">
      <c r="DY60901" s="185" t="s">
        <v>215</v>
      </c>
    </row>
    <row r="60902" spans="129:129" x14ac:dyDescent="0.2">
      <c r="DY60902" s="185" t="s">
        <v>215</v>
      </c>
    </row>
    <row r="60903" spans="129:129" x14ac:dyDescent="0.2">
      <c r="DY60903" s="185" t="s">
        <v>215</v>
      </c>
    </row>
    <row r="60904" spans="129:129" x14ac:dyDescent="0.2">
      <c r="DY60904" s="185" t="s">
        <v>215</v>
      </c>
    </row>
    <row r="60905" spans="129:129" x14ac:dyDescent="0.2">
      <c r="DY60905" s="185" t="s">
        <v>215</v>
      </c>
    </row>
    <row r="60906" spans="129:129" x14ac:dyDescent="0.2">
      <c r="DY60906" s="185" t="s">
        <v>215</v>
      </c>
    </row>
    <row r="60907" spans="129:129" x14ac:dyDescent="0.2">
      <c r="DY60907" s="185" t="s">
        <v>215</v>
      </c>
    </row>
    <row r="60908" spans="129:129" x14ac:dyDescent="0.2">
      <c r="DY60908" s="185" t="s">
        <v>215</v>
      </c>
    </row>
    <row r="60909" spans="129:129" x14ac:dyDescent="0.2">
      <c r="DY60909" s="185" t="s">
        <v>215</v>
      </c>
    </row>
    <row r="60910" spans="129:129" x14ac:dyDescent="0.2">
      <c r="DY60910" s="185" t="s">
        <v>215</v>
      </c>
    </row>
    <row r="60911" spans="129:129" x14ac:dyDescent="0.2">
      <c r="DY60911" s="185" t="s">
        <v>215</v>
      </c>
    </row>
    <row r="60912" spans="129:129" x14ac:dyDescent="0.2">
      <c r="DY60912" s="185" t="s">
        <v>215</v>
      </c>
    </row>
    <row r="60913" spans="129:129" x14ac:dyDescent="0.2">
      <c r="DY60913" s="185" t="s">
        <v>215</v>
      </c>
    </row>
    <row r="60914" spans="129:129" x14ac:dyDescent="0.2">
      <c r="DY60914" s="185" t="s">
        <v>215</v>
      </c>
    </row>
    <row r="60915" spans="129:129" x14ac:dyDescent="0.2">
      <c r="DY60915" s="185" t="s">
        <v>215</v>
      </c>
    </row>
    <row r="60916" spans="129:129" x14ac:dyDescent="0.2">
      <c r="DY60916" s="185" t="s">
        <v>215</v>
      </c>
    </row>
    <row r="60917" spans="129:129" x14ac:dyDescent="0.2">
      <c r="DY60917" s="185" t="s">
        <v>215</v>
      </c>
    </row>
    <row r="60918" spans="129:129" x14ac:dyDescent="0.2">
      <c r="DY60918" s="185" t="s">
        <v>215</v>
      </c>
    </row>
    <row r="60919" spans="129:129" x14ac:dyDescent="0.2">
      <c r="DY60919" s="185" t="s">
        <v>215</v>
      </c>
    </row>
    <row r="60920" spans="129:129" x14ac:dyDescent="0.2">
      <c r="DY60920" s="185" t="s">
        <v>215</v>
      </c>
    </row>
    <row r="60921" spans="129:129" x14ac:dyDescent="0.2">
      <c r="DY60921" s="185" t="s">
        <v>215</v>
      </c>
    </row>
    <row r="60922" spans="129:129" x14ac:dyDescent="0.2">
      <c r="DY60922" s="185" t="s">
        <v>215</v>
      </c>
    </row>
    <row r="60923" spans="129:129" x14ac:dyDescent="0.2">
      <c r="DY60923" s="185" t="s">
        <v>215</v>
      </c>
    </row>
    <row r="60924" spans="129:129" x14ac:dyDescent="0.2">
      <c r="DY60924" s="185" t="s">
        <v>215</v>
      </c>
    </row>
    <row r="60925" spans="129:129" x14ac:dyDescent="0.2">
      <c r="DY60925" s="185" t="s">
        <v>215</v>
      </c>
    </row>
    <row r="60926" spans="129:129" x14ac:dyDescent="0.2">
      <c r="DY60926" s="185" t="s">
        <v>215</v>
      </c>
    </row>
    <row r="60927" spans="129:129" x14ac:dyDescent="0.2">
      <c r="DY60927" s="185" t="s">
        <v>215</v>
      </c>
    </row>
    <row r="60928" spans="129:129" x14ac:dyDescent="0.2">
      <c r="DY60928" s="185" t="s">
        <v>215</v>
      </c>
    </row>
    <row r="60929" spans="129:129" x14ac:dyDescent="0.2">
      <c r="DY60929" s="185" t="s">
        <v>215</v>
      </c>
    </row>
    <row r="60930" spans="129:129" x14ac:dyDescent="0.2">
      <c r="DY60930" s="185" t="s">
        <v>215</v>
      </c>
    </row>
    <row r="60931" spans="129:129" x14ac:dyDescent="0.2">
      <c r="DY60931" s="185" t="s">
        <v>215</v>
      </c>
    </row>
    <row r="60932" spans="129:129" x14ac:dyDescent="0.2">
      <c r="DY60932" s="185" t="s">
        <v>215</v>
      </c>
    </row>
    <row r="60933" spans="129:129" x14ac:dyDescent="0.2">
      <c r="DY60933" s="185" t="s">
        <v>215</v>
      </c>
    </row>
    <row r="60934" spans="129:129" x14ac:dyDescent="0.2">
      <c r="DY60934" s="185" t="s">
        <v>215</v>
      </c>
    </row>
    <row r="60935" spans="129:129" x14ac:dyDescent="0.2">
      <c r="DY60935" s="185" t="s">
        <v>215</v>
      </c>
    </row>
    <row r="60936" spans="129:129" x14ac:dyDescent="0.2">
      <c r="DY60936" s="185" t="s">
        <v>215</v>
      </c>
    </row>
    <row r="60937" spans="129:129" x14ac:dyDescent="0.2">
      <c r="DY60937" s="185" t="s">
        <v>215</v>
      </c>
    </row>
    <row r="60938" spans="129:129" x14ac:dyDescent="0.2">
      <c r="DY60938" s="185" t="s">
        <v>215</v>
      </c>
    </row>
    <row r="60939" spans="129:129" x14ac:dyDescent="0.2">
      <c r="DY60939" s="185" t="s">
        <v>215</v>
      </c>
    </row>
    <row r="60940" spans="129:129" x14ac:dyDescent="0.2">
      <c r="DY60940" s="185" t="s">
        <v>215</v>
      </c>
    </row>
    <row r="60941" spans="129:129" x14ac:dyDescent="0.2">
      <c r="DY60941" s="185" t="s">
        <v>215</v>
      </c>
    </row>
    <row r="60942" spans="129:129" x14ac:dyDescent="0.2">
      <c r="DY60942" s="185" t="s">
        <v>215</v>
      </c>
    </row>
    <row r="60943" spans="129:129" x14ac:dyDescent="0.2">
      <c r="DY60943" s="185" t="s">
        <v>215</v>
      </c>
    </row>
    <row r="60944" spans="129:129" x14ac:dyDescent="0.2">
      <c r="DY60944" s="185" t="s">
        <v>215</v>
      </c>
    </row>
    <row r="60945" spans="129:129" x14ac:dyDescent="0.2">
      <c r="DY60945" s="185" t="s">
        <v>215</v>
      </c>
    </row>
    <row r="60946" spans="129:129" x14ac:dyDescent="0.2">
      <c r="DY60946" s="185" t="s">
        <v>215</v>
      </c>
    </row>
    <row r="60947" spans="129:129" x14ac:dyDescent="0.2">
      <c r="DY60947" s="185" t="s">
        <v>215</v>
      </c>
    </row>
    <row r="60948" spans="129:129" x14ac:dyDescent="0.2">
      <c r="DY60948" s="185" t="s">
        <v>215</v>
      </c>
    </row>
    <row r="60949" spans="129:129" x14ac:dyDescent="0.2">
      <c r="DY60949" s="185" t="s">
        <v>215</v>
      </c>
    </row>
    <row r="60950" spans="129:129" x14ac:dyDescent="0.2">
      <c r="DY60950" s="185" t="s">
        <v>215</v>
      </c>
    </row>
    <row r="60951" spans="129:129" x14ac:dyDescent="0.2">
      <c r="DY60951" s="185" t="s">
        <v>215</v>
      </c>
    </row>
    <row r="60952" spans="129:129" x14ac:dyDescent="0.2">
      <c r="DY60952" s="185" t="s">
        <v>215</v>
      </c>
    </row>
    <row r="60953" spans="129:129" x14ac:dyDescent="0.2">
      <c r="DY60953" s="185" t="s">
        <v>215</v>
      </c>
    </row>
    <row r="60954" spans="129:129" x14ac:dyDescent="0.2">
      <c r="DY60954" s="185" t="s">
        <v>215</v>
      </c>
    </row>
    <row r="60955" spans="129:129" x14ac:dyDescent="0.2">
      <c r="DY60955" s="185" t="s">
        <v>215</v>
      </c>
    </row>
    <row r="60956" spans="129:129" x14ac:dyDescent="0.2">
      <c r="DY60956" s="185" t="s">
        <v>215</v>
      </c>
    </row>
    <row r="60957" spans="129:129" x14ac:dyDescent="0.2">
      <c r="DY60957" s="185" t="s">
        <v>215</v>
      </c>
    </row>
    <row r="60958" spans="129:129" x14ac:dyDescent="0.2">
      <c r="DY60958" s="185" t="s">
        <v>215</v>
      </c>
    </row>
    <row r="60959" spans="129:129" x14ac:dyDescent="0.2">
      <c r="DY60959" s="185" t="s">
        <v>215</v>
      </c>
    </row>
    <row r="60960" spans="129:129" x14ac:dyDescent="0.2">
      <c r="DY60960" s="185" t="s">
        <v>215</v>
      </c>
    </row>
    <row r="60961" spans="129:129" x14ac:dyDescent="0.2">
      <c r="DY60961" s="185" t="s">
        <v>215</v>
      </c>
    </row>
    <row r="60962" spans="129:129" x14ac:dyDescent="0.2">
      <c r="DY60962" s="185" t="s">
        <v>215</v>
      </c>
    </row>
    <row r="60963" spans="129:129" x14ac:dyDescent="0.2">
      <c r="DY60963" s="185" t="s">
        <v>215</v>
      </c>
    </row>
    <row r="60964" spans="129:129" x14ac:dyDescent="0.2">
      <c r="DY60964" s="185" t="s">
        <v>215</v>
      </c>
    </row>
    <row r="60965" spans="129:129" x14ac:dyDescent="0.2">
      <c r="DY60965" s="185" t="s">
        <v>215</v>
      </c>
    </row>
    <row r="60966" spans="129:129" x14ac:dyDescent="0.2">
      <c r="DY60966" s="185" t="s">
        <v>215</v>
      </c>
    </row>
    <row r="60967" spans="129:129" x14ac:dyDescent="0.2">
      <c r="DY60967" s="185" t="s">
        <v>215</v>
      </c>
    </row>
    <row r="60968" spans="129:129" x14ac:dyDescent="0.2">
      <c r="DY60968" s="185" t="s">
        <v>215</v>
      </c>
    </row>
    <row r="60969" spans="129:129" x14ac:dyDescent="0.2">
      <c r="DY60969" s="185" t="s">
        <v>215</v>
      </c>
    </row>
    <row r="60970" spans="129:129" x14ac:dyDescent="0.2">
      <c r="DY60970" s="185" t="s">
        <v>215</v>
      </c>
    </row>
    <row r="60971" spans="129:129" x14ac:dyDescent="0.2">
      <c r="DY60971" s="185" t="s">
        <v>215</v>
      </c>
    </row>
    <row r="60972" spans="129:129" x14ac:dyDescent="0.2">
      <c r="DY60972" s="185" t="s">
        <v>215</v>
      </c>
    </row>
    <row r="60973" spans="129:129" x14ac:dyDescent="0.2">
      <c r="DY60973" s="185" t="s">
        <v>215</v>
      </c>
    </row>
    <row r="60974" spans="129:129" x14ac:dyDescent="0.2">
      <c r="DY60974" s="185" t="s">
        <v>215</v>
      </c>
    </row>
    <row r="60975" spans="129:129" x14ac:dyDescent="0.2">
      <c r="DY60975" s="185" t="s">
        <v>215</v>
      </c>
    </row>
    <row r="60976" spans="129:129" x14ac:dyDescent="0.2">
      <c r="DY60976" s="185" t="s">
        <v>215</v>
      </c>
    </row>
    <row r="60977" spans="129:129" x14ac:dyDescent="0.2">
      <c r="DY60977" s="185" t="s">
        <v>215</v>
      </c>
    </row>
    <row r="60978" spans="129:129" x14ac:dyDescent="0.2">
      <c r="DY60978" s="185" t="s">
        <v>215</v>
      </c>
    </row>
    <row r="60979" spans="129:129" x14ac:dyDescent="0.2">
      <c r="DY60979" s="185" t="s">
        <v>215</v>
      </c>
    </row>
    <row r="60980" spans="129:129" x14ac:dyDescent="0.2">
      <c r="DY60980" s="185" t="s">
        <v>215</v>
      </c>
    </row>
    <row r="60981" spans="129:129" x14ac:dyDescent="0.2">
      <c r="DY60981" s="185" t="s">
        <v>215</v>
      </c>
    </row>
    <row r="60982" spans="129:129" x14ac:dyDescent="0.2">
      <c r="DY60982" s="185" t="s">
        <v>215</v>
      </c>
    </row>
    <row r="60983" spans="129:129" x14ac:dyDescent="0.2">
      <c r="DY60983" s="185" t="s">
        <v>215</v>
      </c>
    </row>
    <row r="60984" spans="129:129" x14ac:dyDescent="0.2">
      <c r="DY60984" s="185" t="s">
        <v>215</v>
      </c>
    </row>
    <row r="60985" spans="129:129" x14ac:dyDescent="0.2">
      <c r="DY60985" s="185" t="s">
        <v>215</v>
      </c>
    </row>
    <row r="60986" spans="129:129" x14ac:dyDescent="0.2">
      <c r="DY60986" s="185" t="s">
        <v>215</v>
      </c>
    </row>
    <row r="60987" spans="129:129" x14ac:dyDescent="0.2">
      <c r="DY60987" s="185" t="s">
        <v>215</v>
      </c>
    </row>
    <row r="60988" spans="129:129" x14ac:dyDescent="0.2">
      <c r="DY60988" s="185" t="s">
        <v>215</v>
      </c>
    </row>
    <row r="60989" spans="129:129" x14ac:dyDescent="0.2">
      <c r="DY60989" s="185" t="s">
        <v>215</v>
      </c>
    </row>
    <row r="60990" spans="129:129" x14ac:dyDescent="0.2">
      <c r="DY60990" s="185" t="s">
        <v>215</v>
      </c>
    </row>
    <row r="60991" spans="129:129" x14ac:dyDescent="0.2">
      <c r="DY60991" s="185" t="s">
        <v>215</v>
      </c>
    </row>
    <row r="60992" spans="129:129" x14ac:dyDescent="0.2">
      <c r="DY60992" s="185" t="s">
        <v>215</v>
      </c>
    </row>
    <row r="60993" spans="129:129" x14ac:dyDescent="0.2">
      <c r="DY60993" s="185" t="s">
        <v>215</v>
      </c>
    </row>
    <row r="60994" spans="129:129" x14ac:dyDescent="0.2">
      <c r="DY60994" s="185" t="s">
        <v>215</v>
      </c>
    </row>
    <row r="60995" spans="129:129" x14ac:dyDescent="0.2">
      <c r="DY60995" s="185" t="s">
        <v>215</v>
      </c>
    </row>
    <row r="60996" spans="129:129" x14ac:dyDescent="0.2">
      <c r="DY60996" s="185" t="s">
        <v>215</v>
      </c>
    </row>
    <row r="60997" spans="129:129" x14ac:dyDescent="0.2">
      <c r="DY60997" s="185" t="s">
        <v>215</v>
      </c>
    </row>
    <row r="60998" spans="129:129" x14ac:dyDescent="0.2">
      <c r="DY60998" s="185" t="s">
        <v>215</v>
      </c>
    </row>
    <row r="60999" spans="129:129" x14ac:dyDescent="0.2">
      <c r="DY60999" s="185" t="s">
        <v>215</v>
      </c>
    </row>
    <row r="61000" spans="129:129" x14ac:dyDescent="0.2">
      <c r="DY61000" s="185" t="s">
        <v>215</v>
      </c>
    </row>
    <row r="61001" spans="129:129" x14ac:dyDescent="0.2">
      <c r="DY61001" s="185" t="s">
        <v>215</v>
      </c>
    </row>
    <row r="61002" spans="129:129" x14ac:dyDescent="0.2">
      <c r="DY61002" s="185" t="s">
        <v>215</v>
      </c>
    </row>
    <row r="61003" spans="129:129" x14ac:dyDescent="0.2">
      <c r="DY61003" s="185" t="s">
        <v>215</v>
      </c>
    </row>
    <row r="61004" spans="129:129" x14ac:dyDescent="0.2">
      <c r="DY61004" s="185" t="s">
        <v>215</v>
      </c>
    </row>
    <row r="61005" spans="129:129" x14ac:dyDescent="0.2">
      <c r="DY61005" s="185" t="s">
        <v>215</v>
      </c>
    </row>
    <row r="61006" spans="129:129" x14ac:dyDescent="0.2">
      <c r="DY61006" s="185" t="s">
        <v>215</v>
      </c>
    </row>
    <row r="61007" spans="129:129" x14ac:dyDescent="0.2">
      <c r="DY61007" s="185" t="s">
        <v>215</v>
      </c>
    </row>
    <row r="61008" spans="129:129" x14ac:dyDescent="0.2">
      <c r="DY61008" s="185" t="s">
        <v>215</v>
      </c>
    </row>
    <row r="61009" spans="129:129" x14ac:dyDescent="0.2">
      <c r="DY61009" s="185" t="s">
        <v>215</v>
      </c>
    </row>
    <row r="61010" spans="129:129" x14ac:dyDescent="0.2">
      <c r="DY61010" s="185" t="s">
        <v>215</v>
      </c>
    </row>
    <row r="61011" spans="129:129" x14ac:dyDescent="0.2">
      <c r="DY61011" s="185" t="s">
        <v>215</v>
      </c>
    </row>
    <row r="61012" spans="129:129" x14ac:dyDescent="0.2">
      <c r="DY61012" s="185" t="s">
        <v>215</v>
      </c>
    </row>
    <row r="61013" spans="129:129" x14ac:dyDescent="0.2">
      <c r="DY61013" s="185" t="s">
        <v>215</v>
      </c>
    </row>
    <row r="61014" spans="129:129" x14ac:dyDescent="0.2">
      <c r="DY61014" s="185" t="s">
        <v>215</v>
      </c>
    </row>
    <row r="61015" spans="129:129" x14ac:dyDescent="0.2">
      <c r="DY61015" s="185" t="s">
        <v>215</v>
      </c>
    </row>
    <row r="61016" spans="129:129" x14ac:dyDescent="0.2">
      <c r="DY61016" s="185" t="s">
        <v>215</v>
      </c>
    </row>
    <row r="61017" spans="129:129" x14ac:dyDescent="0.2">
      <c r="DY61017" s="185" t="s">
        <v>215</v>
      </c>
    </row>
    <row r="61018" spans="129:129" x14ac:dyDescent="0.2">
      <c r="DY61018" s="185" t="s">
        <v>215</v>
      </c>
    </row>
    <row r="61019" spans="129:129" x14ac:dyDescent="0.2">
      <c r="DY61019" s="185" t="s">
        <v>215</v>
      </c>
    </row>
    <row r="61020" spans="129:129" x14ac:dyDescent="0.2">
      <c r="DY61020" s="185" t="s">
        <v>215</v>
      </c>
    </row>
    <row r="61021" spans="129:129" x14ac:dyDescent="0.2">
      <c r="DY61021" s="185" t="s">
        <v>215</v>
      </c>
    </row>
    <row r="61022" spans="129:129" x14ac:dyDescent="0.2">
      <c r="DY61022" s="185" t="s">
        <v>215</v>
      </c>
    </row>
    <row r="61023" spans="129:129" x14ac:dyDescent="0.2">
      <c r="DY61023" s="185" t="s">
        <v>215</v>
      </c>
    </row>
    <row r="61024" spans="129:129" x14ac:dyDescent="0.2">
      <c r="DY61024" s="185" t="s">
        <v>215</v>
      </c>
    </row>
    <row r="61025" spans="129:129" x14ac:dyDescent="0.2">
      <c r="DY61025" s="185" t="s">
        <v>215</v>
      </c>
    </row>
    <row r="61026" spans="129:129" x14ac:dyDescent="0.2">
      <c r="DY61026" s="185" t="s">
        <v>215</v>
      </c>
    </row>
    <row r="61027" spans="129:129" x14ac:dyDescent="0.2">
      <c r="DY61027" s="185" t="s">
        <v>215</v>
      </c>
    </row>
    <row r="61028" spans="129:129" x14ac:dyDescent="0.2">
      <c r="DY61028" s="185" t="s">
        <v>215</v>
      </c>
    </row>
    <row r="61029" spans="129:129" x14ac:dyDescent="0.2">
      <c r="DY61029" s="185" t="s">
        <v>215</v>
      </c>
    </row>
    <row r="61030" spans="129:129" x14ac:dyDescent="0.2">
      <c r="DY61030" s="185" t="s">
        <v>215</v>
      </c>
    </row>
    <row r="61031" spans="129:129" x14ac:dyDescent="0.2">
      <c r="DY61031" s="185" t="s">
        <v>215</v>
      </c>
    </row>
    <row r="61032" spans="129:129" x14ac:dyDescent="0.2">
      <c r="DY61032" s="185" t="s">
        <v>215</v>
      </c>
    </row>
    <row r="61033" spans="129:129" x14ac:dyDescent="0.2">
      <c r="DY61033" s="185" t="s">
        <v>215</v>
      </c>
    </row>
    <row r="61034" spans="129:129" x14ac:dyDescent="0.2">
      <c r="DY61034" s="185" t="s">
        <v>215</v>
      </c>
    </row>
    <row r="61035" spans="129:129" x14ac:dyDescent="0.2">
      <c r="DY61035" s="185" t="s">
        <v>215</v>
      </c>
    </row>
    <row r="61036" spans="129:129" x14ac:dyDescent="0.2">
      <c r="DY61036" s="185" t="s">
        <v>215</v>
      </c>
    </row>
    <row r="61037" spans="129:129" x14ac:dyDescent="0.2">
      <c r="DY61037" s="185" t="s">
        <v>215</v>
      </c>
    </row>
    <row r="61038" spans="129:129" x14ac:dyDescent="0.2">
      <c r="DY61038" s="185" t="s">
        <v>215</v>
      </c>
    </row>
    <row r="61039" spans="129:129" x14ac:dyDescent="0.2">
      <c r="DY61039" s="185" t="s">
        <v>215</v>
      </c>
    </row>
    <row r="61040" spans="129:129" x14ac:dyDescent="0.2">
      <c r="DY61040" s="185" t="s">
        <v>215</v>
      </c>
    </row>
    <row r="61041" spans="129:129" x14ac:dyDescent="0.2">
      <c r="DY61041" s="185" t="s">
        <v>215</v>
      </c>
    </row>
    <row r="61042" spans="129:129" x14ac:dyDescent="0.2">
      <c r="DY61042" s="185" t="s">
        <v>215</v>
      </c>
    </row>
    <row r="61043" spans="129:129" x14ac:dyDescent="0.2">
      <c r="DY61043" s="185" t="s">
        <v>215</v>
      </c>
    </row>
    <row r="61044" spans="129:129" x14ac:dyDescent="0.2">
      <c r="DY61044" s="185" t="s">
        <v>215</v>
      </c>
    </row>
    <row r="61045" spans="129:129" x14ac:dyDescent="0.2">
      <c r="DY61045" s="185" t="s">
        <v>215</v>
      </c>
    </row>
    <row r="61046" spans="129:129" x14ac:dyDescent="0.2">
      <c r="DY61046" s="185" t="s">
        <v>215</v>
      </c>
    </row>
    <row r="61047" spans="129:129" x14ac:dyDescent="0.2">
      <c r="DY61047" s="185" t="s">
        <v>215</v>
      </c>
    </row>
    <row r="61048" spans="129:129" x14ac:dyDescent="0.2">
      <c r="DY61048" s="185" t="s">
        <v>215</v>
      </c>
    </row>
    <row r="61049" spans="129:129" x14ac:dyDescent="0.2">
      <c r="DY61049" s="185" t="s">
        <v>215</v>
      </c>
    </row>
    <row r="61050" spans="129:129" x14ac:dyDescent="0.2">
      <c r="DY61050" s="185" t="s">
        <v>215</v>
      </c>
    </row>
    <row r="61051" spans="129:129" x14ac:dyDescent="0.2">
      <c r="DY61051" s="185" t="s">
        <v>215</v>
      </c>
    </row>
    <row r="61052" spans="129:129" x14ac:dyDescent="0.2">
      <c r="DY61052" s="185" t="s">
        <v>215</v>
      </c>
    </row>
    <row r="61053" spans="129:129" x14ac:dyDescent="0.2">
      <c r="DY61053" s="185" t="s">
        <v>215</v>
      </c>
    </row>
    <row r="61054" spans="129:129" x14ac:dyDescent="0.2">
      <c r="DY61054" s="185" t="s">
        <v>215</v>
      </c>
    </row>
    <row r="61055" spans="129:129" x14ac:dyDescent="0.2">
      <c r="DY61055" s="185" t="s">
        <v>215</v>
      </c>
    </row>
    <row r="61056" spans="129:129" x14ac:dyDescent="0.2">
      <c r="DY61056" s="185" t="s">
        <v>215</v>
      </c>
    </row>
    <row r="61057" spans="129:129" x14ac:dyDescent="0.2">
      <c r="DY61057" s="185" t="s">
        <v>215</v>
      </c>
    </row>
    <row r="61058" spans="129:129" x14ac:dyDescent="0.2">
      <c r="DY61058" s="185" t="s">
        <v>215</v>
      </c>
    </row>
    <row r="61059" spans="129:129" x14ac:dyDescent="0.2">
      <c r="DY61059" s="185" t="s">
        <v>215</v>
      </c>
    </row>
    <row r="61060" spans="129:129" x14ac:dyDescent="0.2">
      <c r="DY61060" s="185" t="s">
        <v>215</v>
      </c>
    </row>
    <row r="61061" spans="129:129" x14ac:dyDescent="0.2">
      <c r="DY61061" s="185" t="s">
        <v>215</v>
      </c>
    </row>
    <row r="61062" spans="129:129" x14ac:dyDescent="0.2">
      <c r="DY61062" s="185" t="s">
        <v>215</v>
      </c>
    </row>
    <row r="61063" spans="129:129" x14ac:dyDescent="0.2">
      <c r="DY61063" s="185" t="s">
        <v>215</v>
      </c>
    </row>
    <row r="61064" spans="129:129" x14ac:dyDescent="0.2">
      <c r="DY61064" s="185" t="s">
        <v>215</v>
      </c>
    </row>
    <row r="61065" spans="129:129" x14ac:dyDescent="0.2">
      <c r="DY61065" s="185" t="s">
        <v>215</v>
      </c>
    </row>
    <row r="61066" spans="129:129" x14ac:dyDescent="0.2">
      <c r="DY61066" s="185" t="s">
        <v>215</v>
      </c>
    </row>
    <row r="61067" spans="129:129" x14ac:dyDescent="0.2">
      <c r="DY61067" s="185" t="s">
        <v>215</v>
      </c>
    </row>
    <row r="61068" spans="129:129" x14ac:dyDescent="0.2">
      <c r="DY61068" s="185" t="s">
        <v>215</v>
      </c>
    </row>
    <row r="61069" spans="129:129" x14ac:dyDescent="0.2">
      <c r="DY61069" s="185" t="s">
        <v>215</v>
      </c>
    </row>
    <row r="61070" spans="129:129" x14ac:dyDescent="0.2">
      <c r="DY61070" s="185" t="s">
        <v>215</v>
      </c>
    </row>
    <row r="61071" spans="129:129" x14ac:dyDescent="0.2">
      <c r="DY61071" s="185" t="s">
        <v>215</v>
      </c>
    </row>
    <row r="61072" spans="129:129" x14ac:dyDescent="0.2">
      <c r="DY61072" s="185" t="s">
        <v>215</v>
      </c>
    </row>
    <row r="61073" spans="129:129" x14ac:dyDescent="0.2">
      <c r="DY61073" s="185" t="s">
        <v>215</v>
      </c>
    </row>
    <row r="61074" spans="129:129" x14ac:dyDescent="0.2">
      <c r="DY61074" s="185" t="s">
        <v>215</v>
      </c>
    </row>
    <row r="61075" spans="129:129" x14ac:dyDescent="0.2">
      <c r="DY61075" s="185" t="s">
        <v>215</v>
      </c>
    </row>
    <row r="61076" spans="129:129" x14ac:dyDescent="0.2">
      <c r="DY61076" s="185" t="s">
        <v>215</v>
      </c>
    </row>
    <row r="61077" spans="129:129" x14ac:dyDescent="0.2">
      <c r="DY61077" s="185" t="s">
        <v>215</v>
      </c>
    </row>
    <row r="61078" spans="129:129" x14ac:dyDescent="0.2">
      <c r="DY61078" s="185" t="s">
        <v>215</v>
      </c>
    </row>
    <row r="61079" spans="129:129" x14ac:dyDescent="0.2">
      <c r="DY61079" s="185" t="s">
        <v>215</v>
      </c>
    </row>
    <row r="61080" spans="129:129" x14ac:dyDescent="0.2">
      <c r="DY61080" s="185" t="s">
        <v>215</v>
      </c>
    </row>
    <row r="61081" spans="129:129" x14ac:dyDescent="0.2">
      <c r="DY61081" s="185" t="s">
        <v>215</v>
      </c>
    </row>
    <row r="61082" spans="129:129" x14ac:dyDescent="0.2">
      <c r="DY61082" s="185" t="s">
        <v>215</v>
      </c>
    </row>
    <row r="61083" spans="129:129" x14ac:dyDescent="0.2">
      <c r="DY61083" s="185" t="s">
        <v>215</v>
      </c>
    </row>
    <row r="61084" spans="129:129" x14ac:dyDescent="0.2">
      <c r="DY61084" s="185" t="s">
        <v>215</v>
      </c>
    </row>
    <row r="61085" spans="129:129" x14ac:dyDescent="0.2">
      <c r="DY61085" s="185" t="s">
        <v>215</v>
      </c>
    </row>
    <row r="61086" spans="129:129" x14ac:dyDescent="0.2">
      <c r="DY61086" s="185" t="s">
        <v>215</v>
      </c>
    </row>
    <row r="61087" spans="129:129" x14ac:dyDescent="0.2">
      <c r="DY61087" s="185" t="s">
        <v>215</v>
      </c>
    </row>
    <row r="61088" spans="129:129" x14ac:dyDescent="0.2">
      <c r="DY61088" s="185" t="s">
        <v>215</v>
      </c>
    </row>
    <row r="61089" spans="129:129" x14ac:dyDescent="0.2">
      <c r="DY61089" s="185" t="s">
        <v>215</v>
      </c>
    </row>
    <row r="61090" spans="129:129" x14ac:dyDescent="0.2">
      <c r="DY61090" s="185" t="s">
        <v>215</v>
      </c>
    </row>
    <row r="61091" spans="129:129" x14ac:dyDescent="0.2">
      <c r="DY61091" s="185" t="s">
        <v>215</v>
      </c>
    </row>
    <row r="61092" spans="129:129" x14ac:dyDescent="0.2">
      <c r="DY61092" s="185" t="s">
        <v>215</v>
      </c>
    </row>
    <row r="61093" spans="129:129" x14ac:dyDescent="0.2">
      <c r="DY61093" s="185" t="s">
        <v>215</v>
      </c>
    </row>
    <row r="61094" spans="129:129" x14ac:dyDescent="0.2">
      <c r="DY61094" s="185" t="s">
        <v>215</v>
      </c>
    </row>
    <row r="61095" spans="129:129" x14ac:dyDescent="0.2">
      <c r="DY61095" s="185" t="s">
        <v>215</v>
      </c>
    </row>
    <row r="61096" spans="129:129" x14ac:dyDescent="0.2">
      <c r="DY61096" s="185" t="s">
        <v>215</v>
      </c>
    </row>
    <row r="61097" spans="129:129" x14ac:dyDescent="0.2">
      <c r="DY61097" s="185" t="s">
        <v>215</v>
      </c>
    </row>
    <row r="61098" spans="129:129" x14ac:dyDescent="0.2">
      <c r="DY61098" s="185" t="s">
        <v>215</v>
      </c>
    </row>
    <row r="61099" spans="129:129" x14ac:dyDescent="0.2">
      <c r="DY61099" s="185" t="s">
        <v>215</v>
      </c>
    </row>
    <row r="61100" spans="129:129" x14ac:dyDescent="0.2">
      <c r="DY61100" s="185" t="s">
        <v>215</v>
      </c>
    </row>
    <row r="61101" spans="129:129" x14ac:dyDescent="0.2">
      <c r="DY61101" s="185" t="s">
        <v>215</v>
      </c>
    </row>
    <row r="61102" spans="129:129" x14ac:dyDescent="0.2">
      <c r="DY61102" s="185" t="s">
        <v>215</v>
      </c>
    </row>
    <row r="61103" spans="129:129" x14ac:dyDescent="0.2">
      <c r="DY61103" s="185" t="s">
        <v>215</v>
      </c>
    </row>
    <row r="61104" spans="129:129" x14ac:dyDescent="0.2">
      <c r="DY61104" s="185" t="s">
        <v>215</v>
      </c>
    </row>
    <row r="61105" spans="129:129" x14ac:dyDescent="0.2">
      <c r="DY61105" s="185" t="s">
        <v>215</v>
      </c>
    </row>
    <row r="61106" spans="129:129" x14ac:dyDescent="0.2">
      <c r="DY61106" s="185" t="s">
        <v>215</v>
      </c>
    </row>
    <row r="61107" spans="129:129" x14ac:dyDescent="0.2">
      <c r="DY61107" s="185" t="s">
        <v>215</v>
      </c>
    </row>
    <row r="61108" spans="129:129" x14ac:dyDescent="0.2">
      <c r="DY61108" s="185" t="s">
        <v>215</v>
      </c>
    </row>
    <row r="61109" spans="129:129" x14ac:dyDescent="0.2">
      <c r="DY61109" s="185" t="s">
        <v>215</v>
      </c>
    </row>
    <row r="61110" spans="129:129" x14ac:dyDescent="0.2">
      <c r="DY61110" s="185" t="s">
        <v>215</v>
      </c>
    </row>
    <row r="61111" spans="129:129" x14ac:dyDescent="0.2">
      <c r="DY61111" s="185" t="s">
        <v>215</v>
      </c>
    </row>
    <row r="61112" spans="129:129" x14ac:dyDescent="0.2">
      <c r="DY61112" s="185" t="s">
        <v>215</v>
      </c>
    </row>
    <row r="61113" spans="129:129" x14ac:dyDescent="0.2">
      <c r="DY61113" s="185" t="s">
        <v>215</v>
      </c>
    </row>
    <row r="61114" spans="129:129" x14ac:dyDescent="0.2">
      <c r="DY61114" s="185" t="s">
        <v>215</v>
      </c>
    </row>
    <row r="61115" spans="129:129" x14ac:dyDescent="0.2">
      <c r="DY61115" s="185" t="s">
        <v>215</v>
      </c>
    </row>
    <row r="61116" spans="129:129" x14ac:dyDescent="0.2">
      <c r="DY61116" s="185" t="s">
        <v>215</v>
      </c>
    </row>
    <row r="61117" spans="129:129" x14ac:dyDescent="0.2">
      <c r="DY61117" s="185" t="s">
        <v>215</v>
      </c>
    </row>
    <row r="61118" spans="129:129" x14ac:dyDescent="0.2">
      <c r="DY61118" s="185" t="s">
        <v>215</v>
      </c>
    </row>
    <row r="61119" spans="129:129" x14ac:dyDescent="0.2">
      <c r="DY61119" s="185" t="s">
        <v>215</v>
      </c>
    </row>
    <row r="61120" spans="129:129" x14ac:dyDescent="0.2">
      <c r="DY61120" s="185" t="s">
        <v>215</v>
      </c>
    </row>
    <row r="61121" spans="129:129" x14ac:dyDescent="0.2">
      <c r="DY61121" s="185" t="s">
        <v>215</v>
      </c>
    </row>
    <row r="61122" spans="129:129" x14ac:dyDescent="0.2">
      <c r="DY61122" s="185" t="s">
        <v>215</v>
      </c>
    </row>
    <row r="61123" spans="129:129" x14ac:dyDescent="0.2">
      <c r="DY61123" s="185" t="s">
        <v>215</v>
      </c>
    </row>
    <row r="61124" spans="129:129" x14ac:dyDescent="0.2">
      <c r="DY61124" s="185" t="s">
        <v>215</v>
      </c>
    </row>
    <row r="61125" spans="129:129" x14ac:dyDescent="0.2">
      <c r="DY61125" s="185" t="s">
        <v>215</v>
      </c>
    </row>
    <row r="61126" spans="129:129" x14ac:dyDescent="0.2">
      <c r="DY61126" s="185" t="s">
        <v>215</v>
      </c>
    </row>
    <row r="61127" spans="129:129" x14ac:dyDescent="0.2">
      <c r="DY61127" s="185" t="s">
        <v>215</v>
      </c>
    </row>
    <row r="61128" spans="129:129" x14ac:dyDescent="0.2">
      <c r="DY61128" s="185" t="s">
        <v>215</v>
      </c>
    </row>
    <row r="61129" spans="129:129" x14ac:dyDescent="0.2">
      <c r="DY61129" s="185" t="s">
        <v>215</v>
      </c>
    </row>
    <row r="61130" spans="129:129" x14ac:dyDescent="0.2">
      <c r="DY61130" s="185" t="s">
        <v>215</v>
      </c>
    </row>
    <row r="61131" spans="129:129" x14ac:dyDescent="0.2">
      <c r="DY61131" s="185" t="s">
        <v>215</v>
      </c>
    </row>
    <row r="61132" spans="129:129" x14ac:dyDescent="0.2">
      <c r="DY61132" s="185" t="s">
        <v>215</v>
      </c>
    </row>
    <row r="61133" spans="129:129" x14ac:dyDescent="0.2">
      <c r="DY61133" s="185" t="s">
        <v>215</v>
      </c>
    </row>
    <row r="61134" spans="129:129" x14ac:dyDescent="0.2">
      <c r="DY61134" s="185" t="s">
        <v>215</v>
      </c>
    </row>
    <row r="61135" spans="129:129" x14ac:dyDescent="0.2">
      <c r="DY61135" s="185" t="s">
        <v>215</v>
      </c>
    </row>
    <row r="61136" spans="129:129" x14ac:dyDescent="0.2">
      <c r="DY61136" s="185" t="s">
        <v>215</v>
      </c>
    </row>
    <row r="61137" spans="129:129" x14ac:dyDescent="0.2">
      <c r="DY61137" s="185" t="s">
        <v>215</v>
      </c>
    </row>
    <row r="61138" spans="129:129" x14ac:dyDescent="0.2">
      <c r="DY61138" s="185" t="s">
        <v>215</v>
      </c>
    </row>
    <row r="61139" spans="129:129" x14ac:dyDescent="0.2">
      <c r="DY61139" s="185" t="s">
        <v>215</v>
      </c>
    </row>
    <row r="61140" spans="129:129" x14ac:dyDescent="0.2">
      <c r="DY61140" s="185" t="s">
        <v>215</v>
      </c>
    </row>
    <row r="61141" spans="129:129" x14ac:dyDescent="0.2">
      <c r="DY61141" s="185" t="s">
        <v>215</v>
      </c>
    </row>
    <row r="61142" spans="129:129" x14ac:dyDescent="0.2">
      <c r="DY61142" s="185" t="s">
        <v>215</v>
      </c>
    </row>
    <row r="61143" spans="129:129" x14ac:dyDescent="0.2">
      <c r="DY61143" s="185" t="s">
        <v>215</v>
      </c>
    </row>
    <row r="61144" spans="129:129" x14ac:dyDescent="0.2">
      <c r="DY61144" s="185" t="s">
        <v>215</v>
      </c>
    </row>
    <row r="61145" spans="129:129" x14ac:dyDescent="0.2">
      <c r="DY61145" s="185" t="s">
        <v>215</v>
      </c>
    </row>
    <row r="61146" spans="129:129" x14ac:dyDescent="0.2">
      <c r="DY61146" s="185" t="s">
        <v>215</v>
      </c>
    </row>
    <row r="61147" spans="129:129" x14ac:dyDescent="0.2">
      <c r="DY61147" s="185" t="s">
        <v>215</v>
      </c>
    </row>
    <row r="61148" spans="129:129" x14ac:dyDescent="0.2">
      <c r="DY61148" s="185" t="s">
        <v>215</v>
      </c>
    </row>
    <row r="61149" spans="129:129" x14ac:dyDescent="0.2">
      <c r="DY61149" s="185" t="s">
        <v>215</v>
      </c>
    </row>
    <row r="61150" spans="129:129" x14ac:dyDescent="0.2">
      <c r="DY61150" s="185" t="s">
        <v>215</v>
      </c>
    </row>
    <row r="61151" spans="129:129" x14ac:dyDescent="0.2">
      <c r="DY61151" s="185" t="s">
        <v>215</v>
      </c>
    </row>
    <row r="61152" spans="129:129" x14ac:dyDescent="0.2">
      <c r="DY61152" s="185" t="s">
        <v>215</v>
      </c>
    </row>
    <row r="61153" spans="129:129" x14ac:dyDescent="0.2">
      <c r="DY61153" s="185" t="s">
        <v>215</v>
      </c>
    </row>
    <row r="61154" spans="129:129" x14ac:dyDescent="0.2">
      <c r="DY61154" s="185" t="s">
        <v>215</v>
      </c>
    </row>
    <row r="61155" spans="129:129" x14ac:dyDescent="0.2">
      <c r="DY61155" s="185" t="s">
        <v>215</v>
      </c>
    </row>
    <row r="61156" spans="129:129" x14ac:dyDescent="0.2">
      <c r="DY61156" s="185" t="s">
        <v>215</v>
      </c>
    </row>
    <row r="61157" spans="129:129" x14ac:dyDescent="0.2">
      <c r="DY61157" s="185" t="s">
        <v>215</v>
      </c>
    </row>
    <row r="61158" spans="129:129" x14ac:dyDescent="0.2">
      <c r="DY61158" s="185" t="s">
        <v>215</v>
      </c>
    </row>
    <row r="61159" spans="129:129" x14ac:dyDescent="0.2">
      <c r="DY61159" s="185" t="s">
        <v>215</v>
      </c>
    </row>
    <row r="61160" spans="129:129" x14ac:dyDescent="0.2">
      <c r="DY61160" s="185" t="s">
        <v>215</v>
      </c>
    </row>
    <row r="61161" spans="129:129" x14ac:dyDescent="0.2">
      <c r="DY61161" s="185" t="s">
        <v>215</v>
      </c>
    </row>
    <row r="61162" spans="129:129" x14ac:dyDescent="0.2">
      <c r="DY61162" s="185" t="s">
        <v>215</v>
      </c>
    </row>
    <row r="61163" spans="129:129" x14ac:dyDescent="0.2">
      <c r="DY61163" s="185" t="s">
        <v>215</v>
      </c>
    </row>
    <row r="61164" spans="129:129" x14ac:dyDescent="0.2">
      <c r="DY61164" s="185" t="s">
        <v>215</v>
      </c>
    </row>
    <row r="61165" spans="129:129" x14ac:dyDescent="0.2">
      <c r="DY61165" s="185" t="s">
        <v>215</v>
      </c>
    </row>
    <row r="61166" spans="129:129" x14ac:dyDescent="0.2">
      <c r="DY61166" s="185" t="s">
        <v>215</v>
      </c>
    </row>
    <row r="61167" spans="129:129" x14ac:dyDescent="0.2">
      <c r="DY61167" s="185" t="s">
        <v>215</v>
      </c>
    </row>
    <row r="61168" spans="129:129" x14ac:dyDescent="0.2">
      <c r="DY61168" s="185" t="s">
        <v>215</v>
      </c>
    </row>
    <row r="61169" spans="129:129" x14ac:dyDescent="0.2">
      <c r="DY61169" s="185" t="s">
        <v>215</v>
      </c>
    </row>
    <row r="61170" spans="129:129" x14ac:dyDescent="0.2">
      <c r="DY61170" s="185" t="s">
        <v>215</v>
      </c>
    </row>
    <row r="61171" spans="129:129" x14ac:dyDescent="0.2">
      <c r="DY61171" s="185" t="s">
        <v>215</v>
      </c>
    </row>
    <row r="61172" spans="129:129" x14ac:dyDescent="0.2">
      <c r="DY61172" s="185" t="s">
        <v>215</v>
      </c>
    </row>
    <row r="61173" spans="129:129" x14ac:dyDescent="0.2">
      <c r="DY61173" s="185" t="s">
        <v>215</v>
      </c>
    </row>
    <row r="61174" spans="129:129" x14ac:dyDescent="0.2">
      <c r="DY61174" s="185" t="s">
        <v>215</v>
      </c>
    </row>
    <row r="61175" spans="129:129" x14ac:dyDescent="0.2">
      <c r="DY61175" s="185" t="s">
        <v>215</v>
      </c>
    </row>
    <row r="61176" spans="129:129" x14ac:dyDescent="0.2">
      <c r="DY61176" s="185" t="s">
        <v>215</v>
      </c>
    </row>
    <row r="61177" spans="129:129" x14ac:dyDescent="0.2">
      <c r="DY61177" s="185" t="s">
        <v>215</v>
      </c>
    </row>
    <row r="61178" spans="129:129" x14ac:dyDescent="0.2">
      <c r="DY61178" s="185" t="s">
        <v>215</v>
      </c>
    </row>
    <row r="61179" spans="129:129" x14ac:dyDescent="0.2">
      <c r="DY61179" s="185" t="s">
        <v>215</v>
      </c>
    </row>
    <row r="61180" spans="129:129" x14ac:dyDescent="0.2">
      <c r="DY61180" s="185" t="s">
        <v>215</v>
      </c>
    </row>
    <row r="61181" spans="129:129" x14ac:dyDescent="0.2">
      <c r="DY61181" s="185" t="s">
        <v>215</v>
      </c>
    </row>
    <row r="61182" spans="129:129" x14ac:dyDescent="0.2">
      <c r="DY61182" s="185" t="s">
        <v>215</v>
      </c>
    </row>
    <row r="61183" spans="129:129" x14ac:dyDescent="0.2">
      <c r="DY61183" s="185" t="s">
        <v>215</v>
      </c>
    </row>
    <row r="61184" spans="129:129" x14ac:dyDescent="0.2">
      <c r="DY61184" s="185" t="s">
        <v>215</v>
      </c>
    </row>
    <row r="61185" spans="129:129" x14ac:dyDescent="0.2">
      <c r="DY61185" s="185" t="s">
        <v>215</v>
      </c>
    </row>
    <row r="61186" spans="129:129" x14ac:dyDescent="0.2">
      <c r="DY61186" s="185" t="s">
        <v>215</v>
      </c>
    </row>
    <row r="61187" spans="129:129" x14ac:dyDescent="0.2">
      <c r="DY61187" s="185" t="s">
        <v>215</v>
      </c>
    </row>
    <row r="61188" spans="129:129" x14ac:dyDescent="0.2">
      <c r="DY61188" s="185" t="s">
        <v>215</v>
      </c>
    </row>
    <row r="61189" spans="129:129" x14ac:dyDescent="0.2">
      <c r="DY61189" s="185" t="s">
        <v>215</v>
      </c>
    </row>
    <row r="61190" spans="129:129" x14ac:dyDescent="0.2">
      <c r="DY61190" s="185" t="s">
        <v>215</v>
      </c>
    </row>
    <row r="61191" spans="129:129" x14ac:dyDescent="0.2">
      <c r="DY61191" s="185" t="s">
        <v>215</v>
      </c>
    </row>
    <row r="61192" spans="129:129" x14ac:dyDescent="0.2">
      <c r="DY61192" s="185" t="s">
        <v>215</v>
      </c>
    </row>
    <row r="61193" spans="129:129" x14ac:dyDescent="0.2">
      <c r="DY61193" s="185" t="s">
        <v>215</v>
      </c>
    </row>
    <row r="61194" spans="129:129" x14ac:dyDescent="0.2">
      <c r="DY61194" s="185" t="s">
        <v>215</v>
      </c>
    </row>
    <row r="61195" spans="129:129" x14ac:dyDescent="0.2">
      <c r="DY61195" s="185" t="s">
        <v>215</v>
      </c>
    </row>
    <row r="61196" spans="129:129" x14ac:dyDescent="0.2">
      <c r="DY61196" s="185" t="s">
        <v>215</v>
      </c>
    </row>
    <row r="61197" spans="129:129" x14ac:dyDescent="0.2">
      <c r="DY61197" s="185" t="s">
        <v>215</v>
      </c>
    </row>
    <row r="61198" spans="129:129" x14ac:dyDescent="0.2">
      <c r="DY61198" s="185" t="s">
        <v>215</v>
      </c>
    </row>
    <row r="61199" spans="129:129" x14ac:dyDescent="0.2">
      <c r="DY61199" s="185" t="s">
        <v>215</v>
      </c>
    </row>
    <row r="61200" spans="129:129" x14ac:dyDescent="0.2">
      <c r="DY61200" s="185" t="s">
        <v>215</v>
      </c>
    </row>
    <row r="61201" spans="129:129" x14ac:dyDescent="0.2">
      <c r="DY61201" s="185" t="s">
        <v>215</v>
      </c>
    </row>
    <row r="61202" spans="129:129" x14ac:dyDescent="0.2">
      <c r="DY61202" s="185" t="s">
        <v>215</v>
      </c>
    </row>
    <row r="61203" spans="129:129" x14ac:dyDescent="0.2">
      <c r="DY61203" s="185" t="s">
        <v>215</v>
      </c>
    </row>
    <row r="61204" spans="129:129" x14ac:dyDescent="0.2">
      <c r="DY61204" s="185" t="s">
        <v>215</v>
      </c>
    </row>
    <row r="61205" spans="129:129" x14ac:dyDescent="0.2">
      <c r="DY61205" s="185" t="s">
        <v>215</v>
      </c>
    </row>
    <row r="61206" spans="129:129" x14ac:dyDescent="0.2">
      <c r="DY61206" s="185" t="s">
        <v>215</v>
      </c>
    </row>
    <row r="61207" spans="129:129" x14ac:dyDescent="0.2">
      <c r="DY61207" s="185" t="s">
        <v>215</v>
      </c>
    </row>
    <row r="61208" spans="129:129" x14ac:dyDescent="0.2">
      <c r="DY61208" s="185" t="s">
        <v>215</v>
      </c>
    </row>
    <row r="61209" spans="129:129" x14ac:dyDescent="0.2">
      <c r="DY61209" s="185" t="s">
        <v>215</v>
      </c>
    </row>
    <row r="61210" spans="129:129" x14ac:dyDescent="0.2">
      <c r="DY61210" s="185" t="s">
        <v>215</v>
      </c>
    </row>
    <row r="61211" spans="129:129" x14ac:dyDescent="0.2">
      <c r="DY61211" s="185" t="s">
        <v>215</v>
      </c>
    </row>
    <row r="61212" spans="129:129" x14ac:dyDescent="0.2">
      <c r="DY61212" s="185" t="s">
        <v>215</v>
      </c>
    </row>
    <row r="61213" spans="129:129" x14ac:dyDescent="0.2">
      <c r="DY61213" s="185" t="s">
        <v>215</v>
      </c>
    </row>
    <row r="61214" spans="129:129" x14ac:dyDescent="0.2">
      <c r="DY61214" s="185" t="s">
        <v>215</v>
      </c>
    </row>
    <row r="61215" spans="129:129" x14ac:dyDescent="0.2">
      <c r="DY61215" s="185" t="s">
        <v>215</v>
      </c>
    </row>
    <row r="61216" spans="129:129" x14ac:dyDescent="0.2">
      <c r="DY61216" s="185" t="s">
        <v>215</v>
      </c>
    </row>
    <row r="61217" spans="129:129" x14ac:dyDescent="0.2">
      <c r="DY61217" s="185" t="s">
        <v>215</v>
      </c>
    </row>
    <row r="61218" spans="129:129" x14ac:dyDescent="0.2">
      <c r="DY61218" s="185" t="s">
        <v>215</v>
      </c>
    </row>
    <row r="61219" spans="129:129" x14ac:dyDescent="0.2">
      <c r="DY61219" s="185" t="s">
        <v>215</v>
      </c>
    </row>
    <row r="61220" spans="129:129" x14ac:dyDescent="0.2">
      <c r="DY61220" s="185" t="s">
        <v>215</v>
      </c>
    </row>
    <row r="61221" spans="129:129" x14ac:dyDescent="0.2">
      <c r="DY61221" s="185" t="s">
        <v>215</v>
      </c>
    </row>
    <row r="61222" spans="129:129" x14ac:dyDescent="0.2">
      <c r="DY61222" s="185" t="s">
        <v>215</v>
      </c>
    </row>
    <row r="61223" spans="129:129" x14ac:dyDescent="0.2">
      <c r="DY61223" s="185" t="s">
        <v>215</v>
      </c>
    </row>
    <row r="61224" spans="129:129" x14ac:dyDescent="0.2">
      <c r="DY61224" s="185" t="s">
        <v>215</v>
      </c>
    </row>
    <row r="61225" spans="129:129" x14ac:dyDescent="0.2">
      <c r="DY61225" s="185" t="s">
        <v>215</v>
      </c>
    </row>
    <row r="61226" spans="129:129" x14ac:dyDescent="0.2">
      <c r="DY61226" s="185" t="s">
        <v>215</v>
      </c>
    </row>
    <row r="61227" spans="129:129" x14ac:dyDescent="0.2">
      <c r="DY61227" s="185" t="s">
        <v>215</v>
      </c>
    </row>
    <row r="61228" spans="129:129" x14ac:dyDescent="0.2">
      <c r="DY61228" s="185" t="s">
        <v>215</v>
      </c>
    </row>
    <row r="61229" spans="129:129" x14ac:dyDescent="0.2">
      <c r="DY61229" s="185" t="s">
        <v>215</v>
      </c>
    </row>
    <row r="61230" spans="129:129" x14ac:dyDescent="0.2">
      <c r="DY61230" s="185" t="s">
        <v>215</v>
      </c>
    </row>
    <row r="61231" spans="129:129" x14ac:dyDescent="0.2">
      <c r="DY61231" s="185" t="s">
        <v>215</v>
      </c>
    </row>
    <row r="61232" spans="129:129" x14ac:dyDescent="0.2">
      <c r="DY61232" s="185" t="s">
        <v>215</v>
      </c>
    </row>
    <row r="61233" spans="129:129" x14ac:dyDescent="0.2">
      <c r="DY61233" s="185" t="s">
        <v>215</v>
      </c>
    </row>
    <row r="61234" spans="129:129" x14ac:dyDescent="0.2">
      <c r="DY61234" s="185" t="s">
        <v>215</v>
      </c>
    </row>
    <row r="61235" spans="129:129" x14ac:dyDescent="0.2">
      <c r="DY61235" s="185" t="s">
        <v>215</v>
      </c>
    </row>
    <row r="61236" spans="129:129" x14ac:dyDescent="0.2">
      <c r="DY61236" s="185" t="s">
        <v>215</v>
      </c>
    </row>
    <row r="61237" spans="129:129" x14ac:dyDescent="0.2">
      <c r="DY61237" s="185" t="s">
        <v>215</v>
      </c>
    </row>
    <row r="61238" spans="129:129" x14ac:dyDescent="0.2">
      <c r="DY61238" s="185" t="s">
        <v>215</v>
      </c>
    </row>
    <row r="61239" spans="129:129" x14ac:dyDescent="0.2">
      <c r="DY61239" s="185" t="s">
        <v>215</v>
      </c>
    </row>
    <row r="61240" spans="129:129" x14ac:dyDescent="0.2">
      <c r="DY61240" s="185" t="s">
        <v>215</v>
      </c>
    </row>
    <row r="61241" spans="129:129" x14ac:dyDescent="0.2">
      <c r="DY61241" s="185" t="s">
        <v>215</v>
      </c>
    </row>
    <row r="61242" spans="129:129" x14ac:dyDescent="0.2">
      <c r="DY61242" s="185" t="s">
        <v>215</v>
      </c>
    </row>
    <row r="61243" spans="129:129" x14ac:dyDescent="0.2">
      <c r="DY61243" s="185" t="s">
        <v>215</v>
      </c>
    </row>
    <row r="61244" spans="129:129" x14ac:dyDescent="0.2">
      <c r="DY61244" s="185" t="s">
        <v>215</v>
      </c>
    </row>
    <row r="61245" spans="129:129" x14ac:dyDescent="0.2">
      <c r="DY61245" s="185" t="s">
        <v>215</v>
      </c>
    </row>
    <row r="61246" spans="129:129" x14ac:dyDescent="0.2">
      <c r="DY61246" s="185" t="s">
        <v>215</v>
      </c>
    </row>
    <row r="61247" spans="129:129" x14ac:dyDescent="0.2">
      <c r="DY61247" s="185" t="s">
        <v>215</v>
      </c>
    </row>
    <row r="61248" spans="129:129" x14ac:dyDescent="0.2">
      <c r="DY61248" s="185" t="s">
        <v>215</v>
      </c>
    </row>
    <row r="61249" spans="129:129" x14ac:dyDescent="0.2">
      <c r="DY61249" s="185" t="s">
        <v>215</v>
      </c>
    </row>
    <row r="61250" spans="129:129" x14ac:dyDescent="0.2">
      <c r="DY61250" s="185" t="s">
        <v>215</v>
      </c>
    </row>
    <row r="61251" spans="129:129" x14ac:dyDescent="0.2">
      <c r="DY61251" s="185" t="s">
        <v>215</v>
      </c>
    </row>
    <row r="61252" spans="129:129" x14ac:dyDescent="0.2">
      <c r="DY61252" s="185" t="s">
        <v>215</v>
      </c>
    </row>
    <row r="61253" spans="129:129" x14ac:dyDescent="0.2">
      <c r="DY61253" s="185" t="s">
        <v>215</v>
      </c>
    </row>
    <row r="61254" spans="129:129" x14ac:dyDescent="0.2">
      <c r="DY61254" s="185" t="s">
        <v>215</v>
      </c>
    </row>
    <row r="61255" spans="129:129" x14ac:dyDescent="0.2">
      <c r="DY61255" s="185" t="s">
        <v>215</v>
      </c>
    </row>
    <row r="61256" spans="129:129" x14ac:dyDescent="0.2">
      <c r="DY61256" s="185" t="s">
        <v>215</v>
      </c>
    </row>
    <row r="61257" spans="129:129" x14ac:dyDescent="0.2">
      <c r="DY61257" s="185" t="s">
        <v>215</v>
      </c>
    </row>
    <row r="61258" spans="129:129" x14ac:dyDescent="0.2">
      <c r="DY61258" s="185" t="s">
        <v>215</v>
      </c>
    </row>
    <row r="61259" spans="129:129" x14ac:dyDescent="0.2">
      <c r="DY61259" s="185" t="s">
        <v>215</v>
      </c>
    </row>
    <row r="61260" spans="129:129" x14ac:dyDescent="0.2">
      <c r="DY61260" s="185" t="s">
        <v>215</v>
      </c>
    </row>
    <row r="61261" spans="129:129" x14ac:dyDescent="0.2">
      <c r="DY61261" s="185" t="s">
        <v>215</v>
      </c>
    </row>
    <row r="61262" spans="129:129" x14ac:dyDescent="0.2">
      <c r="DY61262" s="185" t="s">
        <v>215</v>
      </c>
    </row>
    <row r="61263" spans="129:129" x14ac:dyDescent="0.2">
      <c r="DY61263" s="185" t="s">
        <v>215</v>
      </c>
    </row>
    <row r="61264" spans="129:129" x14ac:dyDescent="0.2">
      <c r="DY61264" s="185" t="s">
        <v>215</v>
      </c>
    </row>
    <row r="61265" spans="129:129" x14ac:dyDescent="0.2">
      <c r="DY61265" s="185" t="s">
        <v>215</v>
      </c>
    </row>
    <row r="61266" spans="129:129" x14ac:dyDescent="0.2">
      <c r="DY61266" s="185" t="s">
        <v>215</v>
      </c>
    </row>
    <row r="61267" spans="129:129" x14ac:dyDescent="0.2">
      <c r="DY61267" s="185" t="s">
        <v>215</v>
      </c>
    </row>
    <row r="61268" spans="129:129" x14ac:dyDescent="0.2">
      <c r="DY61268" s="185" t="s">
        <v>215</v>
      </c>
    </row>
    <row r="61269" spans="129:129" x14ac:dyDescent="0.2">
      <c r="DY61269" s="185" t="s">
        <v>215</v>
      </c>
    </row>
    <row r="61270" spans="129:129" x14ac:dyDescent="0.2">
      <c r="DY61270" s="185" t="s">
        <v>215</v>
      </c>
    </row>
    <row r="61271" spans="129:129" x14ac:dyDescent="0.2">
      <c r="DY61271" s="185" t="s">
        <v>215</v>
      </c>
    </row>
    <row r="61272" spans="129:129" x14ac:dyDescent="0.2">
      <c r="DY61272" s="185" t="s">
        <v>215</v>
      </c>
    </row>
    <row r="61273" spans="129:129" x14ac:dyDescent="0.2">
      <c r="DY61273" s="185" t="s">
        <v>215</v>
      </c>
    </row>
    <row r="61274" spans="129:129" x14ac:dyDescent="0.2">
      <c r="DY61274" s="185" t="s">
        <v>215</v>
      </c>
    </row>
    <row r="61275" spans="129:129" x14ac:dyDescent="0.2">
      <c r="DY61275" s="185" t="s">
        <v>215</v>
      </c>
    </row>
    <row r="61276" spans="129:129" x14ac:dyDescent="0.2">
      <c r="DY61276" s="185" t="s">
        <v>215</v>
      </c>
    </row>
    <row r="61277" spans="129:129" x14ac:dyDescent="0.2">
      <c r="DY61277" s="185" t="s">
        <v>215</v>
      </c>
    </row>
    <row r="61278" spans="129:129" x14ac:dyDescent="0.2">
      <c r="DY61278" s="185" t="s">
        <v>215</v>
      </c>
    </row>
    <row r="61279" spans="129:129" x14ac:dyDescent="0.2">
      <c r="DY61279" s="185" t="s">
        <v>215</v>
      </c>
    </row>
    <row r="61280" spans="129:129" x14ac:dyDescent="0.2">
      <c r="DY61280" s="185" t="s">
        <v>215</v>
      </c>
    </row>
    <row r="61281" spans="129:129" x14ac:dyDescent="0.2">
      <c r="DY61281" s="185" t="s">
        <v>215</v>
      </c>
    </row>
    <row r="61282" spans="129:129" x14ac:dyDescent="0.2">
      <c r="DY61282" s="185" t="s">
        <v>215</v>
      </c>
    </row>
    <row r="61283" spans="129:129" x14ac:dyDescent="0.2">
      <c r="DY61283" s="185" t="s">
        <v>215</v>
      </c>
    </row>
    <row r="61284" spans="129:129" x14ac:dyDescent="0.2">
      <c r="DY61284" s="185" t="s">
        <v>215</v>
      </c>
    </row>
    <row r="61285" spans="129:129" x14ac:dyDescent="0.2">
      <c r="DY61285" s="185" t="s">
        <v>215</v>
      </c>
    </row>
    <row r="61286" spans="129:129" x14ac:dyDescent="0.2">
      <c r="DY61286" s="185" t="s">
        <v>215</v>
      </c>
    </row>
    <row r="61287" spans="129:129" x14ac:dyDescent="0.2">
      <c r="DY61287" s="185" t="s">
        <v>215</v>
      </c>
    </row>
    <row r="61288" spans="129:129" x14ac:dyDescent="0.2">
      <c r="DY61288" s="185" t="s">
        <v>215</v>
      </c>
    </row>
    <row r="61289" spans="129:129" x14ac:dyDescent="0.2">
      <c r="DY61289" s="185" t="s">
        <v>215</v>
      </c>
    </row>
    <row r="61290" spans="129:129" x14ac:dyDescent="0.2">
      <c r="DY61290" s="185" t="s">
        <v>215</v>
      </c>
    </row>
    <row r="61291" spans="129:129" x14ac:dyDescent="0.2">
      <c r="DY61291" s="185" t="s">
        <v>215</v>
      </c>
    </row>
    <row r="61292" spans="129:129" x14ac:dyDescent="0.2">
      <c r="DY61292" s="185" t="s">
        <v>215</v>
      </c>
    </row>
    <row r="61293" spans="129:129" x14ac:dyDescent="0.2">
      <c r="DY61293" s="185" t="s">
        <v>215</v>
      </c>
    </row>
    <row r="61294" spans="129:129" x14ac:dyDescent="0.2">
      <c r="DY61294" s="185" t="s">
        <v>215</v>
      </c>
    </row>
    <row r="61295" spans="129:129" x14ac:dyDescent="0.2">
      <c r="DY61295" s="185" t="s">
        <v>215</v>
      </c>
    </row>
    <row r="61296" spans="129:129" x14ac:dyDescent="0.2">
      <c r="DY61296" s="185" t="s">
        <v>215</v>
      </c>
    </row>
    <row r="61297" spans="129:129" x14ac:dyDescent="0.2">
      <c r="DY61297" s="185" t="s">
        <v>215</v>
      </c>
    </row>
    <row r="61298" spans="129:129" x14ac:dyDescent="0.2">
      <c r="DY61298" s="185" t="s">
        <v>215</v>
      </c>
    </row>
    <row r="61299" spans="129:129" x14ac:dyDescent="0.2">
      <c r="DY61299" s="185" t="s">
        <v>215</v>
      </c>
    </row>
    <row r="61300" spans="129:129" x14ac:dyDescent="0.2">
      <c r="DY61300" s="185" t="s">
        <v>215</v>
      </c>
    </row>
    <row r="61301" spans="129:129" x14ac:dyDescent="0.2">
      <c r="DY61301" s="185" t="s">
        <v>215</v>
      </c>
    </row>
    <row r="61302" spans="129:129" x14ac:dyDescent="0.2">
      <c r="DY61302" s="185" t="s">
        <v>215</v>
      </c>
    </row>
    <row r="61303" spans="129:129" x14ac:dyDescent="0.2">
      <c r="DY61303" s="185" t="s">
        <v>215</v>
      </c>
    </row>
    <row r="61304" spans="129:129" x14ac:dyDescent="0.2">
      <c r="DY61304" s="185" t="s">
        <v>215</v>
      </c>
    </row>
    <row r="61305" spans="129:129" x14ac:dyDescent="0.2">
      <c r="DY61305" s="185" t="s">
        <v>215</v>
      </c>
    </row>
    <row r="61306" spans="129:129" x14ac:dyDescent="0.2">
      <c r="DY61306" s="185" t="s">
        <v>215</v>
      </c>
    </row>
    <row r="61307" spans="129:129" x14ac:dyDescent="0.2">
      <c r="DY61307" s="185" t="s">
        <v>215</v>
      </c>
    </row>
    <row r="61308" spans="129:129" x14ac:dyDescent="0.2">
      <c r="DY61308" s="185" t="s">
        <v>215</v>
      </c>
    </row>
    <row r="61309" spans="129:129" x14ac:dyDescent="0.2">
      <c r="DY61309" s="185" t="s">
        <v>215</v>
      </c>
    </row>
    <row r="61310" spans="129:129" x14ac:dyDescent="0.2">
      <c r="DY61310" s="185" t="s">
        <v>215</v>
      </c>
    </row>
    <row r="61311" spans="129:129" x14ac:dyDescent="0.2">
      <c r="DY61311" s="185" t="s">
        <v>215</v>
      </c>
    </row>
    <row r="61312" spans="129:129" x14ac:dyDescent="0.2">
      <c r="DY61312" s="185" t="s">
        <v>215</v>
      </c>
    </row>
    <row r="61313" spans="129:129" x14ac:dyDescent="0.2">
      <c r="DY61313" s="185" t="s">
        <v>215</v>
      </c>
    </row>
    <row r="61314" spans="129:129" x14ac:dyDescent="0.2">
      <c r="DY61314" s="185" t="s">
        <v>215</v>
      </c>
    </row>
    <row r="61315" spans="129:129" x14ac:dyDescent="0.2">
      <c r="DY61315" s="185" t="s">
        <v>215</v>
      </c>
    </row>
    <row r="61316" spans="129:129" x14ac:dyDescent="0.2">
      <c r="DY61316" s="185" t="s">
        <v>215</v>
      </c>
    </row>
    <row r="61317" spans="129:129" x14ac:dyDescent="0.2">
      <c r="DY61317" s="185" t="s">
        <v>215</v>
      </c>
    </row>
    <row r="61318" spans="129:129" x14ac:dyDescent="0.2">
      <c r="DY61318" s="185" t="s">
        <v>215</v>
      </c>
    </row>
    <row r="61319" spans="129:129" x14ac:dyDescent="0.2">
      <c r="DY61319" s="185" t="s">
        <v>215</v>
      </c>
    </row>
    <row r="61320" spans="129:129" x14ac:dyDescent="0.2">
      <c r="DY61320" s="185" t="s">
        <v>215</v>
      </c>
    </row>
    <row r="61321" spans="129:129" x14ac:dyDescent="0.2">
      <c r="DY61321" s="185" t="s">
        <v>215</v>
      </c>
    </row>
    <row r="61322" spans="129:129" x14ac:dyDescent="0.2">
      <c r="DY61322" s="185" t="s">
        <v>215</v>
      </c>
    </row>
    <row r="61323" spans="129:129" x14ac:dyDescent="0.2">
      <c r="DY61323" s="185" t="s">
        <v>215</v>
      </c>
    </row>
    <row r="61324" spans="129:129" x14ac:dyDescent="0.2">
      <c r="DY61324" s="185" t="s">
        <v>215</v>
      </c>
    </row>
    <row r="61325" spans="129:129" x14ac:dyDescent="0.2">
      <c r="DY61325" s="185" t="s">
        <v>215</v>
      </c>
    </row>
    <row r="61326" spans="129:129" x14ac:dyDescent="0.2">
      <c r="DY61326" s="185" t="s">
        <v>215</v>
      </c>
    </row>
    <row r="61327" spans="129:129" x14ac:dyDescent="0.2">
      <c r="DY61327" s="185" t="s">
        <v>215</v>
      </c>
    </row>
    <row r="61328" spans="129:129" x14ac:dyDescent="0.2">
      <c r="DY61328" s="185" t="s">
        <v>215</v>
      </c>
    </row>
    <row r="61329" spans="129:129" x14ac:dyDescent="0.2">
      <c r="DY61329" s="185" t="s">
        <v>215</v>
      </c>
    </row>
    <row r="61330" spans="129:129" x14ac:dyDescent="0.2">
      <c r="DY61330" s="185" t="s">
        <v>215</v>
      </c>
    </row>
    <row r="61331" spans="129:129" x14ac:dyDescent="0.2">
      <c r="DY61331" s="185" t="s">
        <v>215</v>
      </c>
    </row>
    <row r="61332" spans="129:129" x14ac:dyDescent="0.2">
      <c r="DY61332" s="185" t="s">
        <v>215</v>
      </c>
    </row>
    <row r="61333" spans="129:129" x14ac:dyDescent="0.2">
      <c r="DY61333" s="185" t="s">
        <v>215</v>
      </c>
    </row>
    <row r="61334" spans="129:129" x14ac:dyDescent="0.2">
      <c r="DY61334" s="185" t="s">
        <v>215</v>
      </c>
    </row>
    <row r="61335" spans="129:129" x14ac:dyDescent="0.2">
      <c r="DY61335" s="185" t="s">
        <v>215</v>
      </c>
    </row>
    <row r="61336" spans="129:129" x14ac:dyDescent="0.2">
      <c r="DY61336" s="185" t="s">
        <v>215</v>
      </c>
    </row>
    <row r="61337" spans="129:129" x14ac:dyDescent="0.2">
      <c r="DY61337" s="185" t="s">
        <v>215</v>
      </c>
    </row>
    <row r="61338" spans="129:129" x14ac:dyDescent="0.2">
      <c r="DY61338" s="185" t="s">
        <v>215</v>
      </c>
    </row>
    <row r="61339" spans="129:129" x14ac:dyDescent="0.2">
      <c r="DY61339" s="185" t="s">
        <v>215</v>
      </c>
    </row>
    <row r="61340" spans="129:129" x14ac:dyDescent="0.2">
      <c r="DY61340" s="185" t="s">
        <v>215</v>
      </c>
    </row>
    <row r="61341" spans="129:129" x14ac:dyDescent="0.2">
      <c r="DY61341" s="185" t="s">
        <v>215</v>
      </c>
    </row>
    <row r="61342" spans="129:129" x14ac:dyDescent="0.2">
      <c r="DY61342" s="185" t="s">
        <v>215</v>
      </c>
    </row>
    <row r="61343" spans="129:129" x14ac:dyDescent="0.2">
      <c r="DY61343" s="185" t="s">
        <v>215</v>
      </c>
    </row>
    <row r="61344" spans="129:129" x14ac:dyDescent="0.2">
      <c r="DY61344" s="185" t="s">
        <v>215</v>
      </c>
    </row>
    <row r="61345" spans="129:129" x14ac:dyDescent="0.2">
      <c r="DY61345" s="185" t="s">
        <v>215</v>
      </c>
    </row>
    <row r="61346" spans="129:129" x14ac:dyDescent="0.2">
      <c r="DY61346" s="185" t="s">
        <v>215</v>
      </c>
    </row>
    <row r="61347" spans="129:129" x14ac:dyDescent="0.2">
      <c r="DY61347" s="185" t="s">
        <v>215</v>
      </c>
    </row>
    <row r="61348" spans="129:129" x14ac:dyDescent="0.2">
      <c r="DY61348" s="185" t="s">
        <v>215</v>
      </c>
    </row>
    <row r="61349" spans="129:129" x14ac:dyDescent="0.2">
      <c r="DY61349" s="185" t="s">
        <v>215</v>
      </c>
    </row>
    <row r="61350" spans="129:129" x14ac:dyDescent="0.2">
      <c r="DY61350" s="185" t="s">
        <v>215</v>
      </c>
    </row>
    <row r="61351" spans="129:129" x14ac:dyDescent="0.2">
      <c r="DY61351" s="185" t="s">
        <v>215</v>
      </c>
    </row>
    <row r="61352" spans="129:129" x14ac:dyDescent="0.2">
      <c r="DY61352" s="185" t="s">
        <v>215</v>
      </c>
    </row>
    <row r="61353" spans="129:129" x14ac:dyDescent="0.2">
      <c r="DY61353" s="185" t="s">
        <v>215</v>
      </c>
    </row>
    <row r="61354" spans="129:129" x14ac:dyDescent="0.2">
      <c r="DY61354" s="185" t="s">
        <v>215</v>
      </c>
    </row>
    <row r="61355" spans="129:129" x14ac:dyDescent="0.2">
      <c r="DY61355" s="185" t="s">
        <v>215</v>
      </c>
    </row>
    <row r="61356" spans="129:129" x14ac:dyDescent="0.2">
      <c r="DY61356" s="185" t="s">
        <v>215</v>
      </c>
    </row>
    <row r="61357" spans="129:129" x14ac:dyDescent="0.2">
      <c r="DY61357" s="185" t="s">
        <v>215</v>
      </c>
    </row>
    <row r="61358" spans="129:129" x14ac:dyDescent="0.2">
      <c r="DY61358" s="185" t="s">
        <v>215</v>
      </c>
    </row>
    <row r="61359" spans="129:129" x14ac:dyDescent="0.2">
      <c r="DY61359" s="185" t="s">
        <v>215</v>
      </c>
    </row>
    <row r="61360" spans="129:129" x14ac:dyDescent="0.2">
      <c r="DY61360" s="185" t="s">
        <v>215</v>
      </c>
    </row>
    <row r="61361" spans="129:129" x14ac:dyDescent="0.2">
      <c r="DY61361" s="185" t="s">
        <v>215</v>
      </c>
    </row>
    <row r="61362" spans="129:129" x14ac:dyDescent="0.2">
      <c r="DY61362" s="185" t="s">
        <v>215</v>
      </c>
    </row>
    <row r="61363" spans="129:129" x14ac:dyDescent="0.2">
      <c r="DY61363" s="185" t="s">
        <v>215</v>
      </c>
    </row>
    <row r="61364" spans="129:129" x14ac:dyDescent="0.2">
      <c r="DY61364" s="185" t="s">
        <v>215</v>
      </c>
    </row>
    <row r="61365" spans="129:129" x14ac:dyDescent="0.2">
      <c r="DY61365" s="185" t="s">
        <v>215</v>
      </c>
    </row>
    <row r="61366" spans="129:129" x14ac:dyDescent="0.2">
      <c r="DY61366" s="185" t="s">
        <v>215</v>
      </c>
    </row>
    <row r="61367" spans="129:129" x14ac:dyDescent="0.2">
      <c r="DY61367" s="185" t="s">
        <v>215</v>
      </c>
    </row>
    <row r="61368" spans="129:129" x14ac:dyDescent="0.2">
      <c r="DY61368" s="185" t="s">
        <v>215</v>
      </c>
    </row>
    <row r="61369" spans="129:129" x14ac:dyDescent="0.2">
      <c r="DY61369" s="185" t="s">
        <v>215</v>
      </c>
    </row>
    <row r="61370" spans="129:129" x14ac:dyDescent="0.2">
      <c r="DY61370" s="185" t="s">
        <v>215</v>
      </c>
    </row>
    <row r="61371" spans="129:129" x14ac:dyDescent="0.2">
      <c r="DY61371" s="185" t="s">
        <v>215</v>
      </c>
    </row>
    <row r="61372" spans="129:129" x14ac:dyDescent="0.2">
      <c r="DY61372" s="185" t="s">
        <v>215</v>
      </c>
    </row>
    <row r="61373" spans="129:129" x14ac:dyDescent="0.2">
      <c r="DY61373" s="185" t="s">
        <v>215</v>
      </c>
    </row>
    <row r="61374" spans="129:129" x14ac:dyDescent="0.2">
      <c r="DY61374" s="185" t="s">
        <v>215</v>
      </c>
    </row>
    <row r="61375" spans="129:129" x14ac:dyDescent="0.2">
      <c r="DY61375" s="185" t="s">
        <v>215</v>
      </c>
    </row>
    <row r="61376" spans="129:129" x14ac:dyDescent="0.2">
      <c r="DY61376" s="185" t="s">
        <v>215</v>
      </c>
    </row>
    <row r="61377" spans="129:129" x14ac:dyDescent="0.2">
      <c r="DY61377" s="185" t="s">
        <v>215</v>
      </c>
    </row>
    <row r="61378" spans="129:129" x14ac:dyDescent="0.2">
      <c r="DY61378" s="185" t="s">
        <v>215</v>
      </c>
    </row>
    <row r="61379" spans="129:129" x14ac:dyDescent="0.2">
      <c r="DY61379" s="185" t="s">
        <v>215</v>
      </c>
    </row>
    <row r="61380" spans="129:129" x14ac:dyDescent="0.2">
      <c r="DY61380" s="185" t="s">
        <v>215</v>
      </c>
    </row>
    <row r="61381" spans="129:129" x14ac:dyDescent="0.2">
      <c r="DY61381" s="185" t="s">
        <v>215</v>
      </c>
    </row>
    <row r="61382" spans="129:129" x14ac:dyDescent="0.2">
      <c r="DY61382" s="185" t="s">
        <v>215</v>
      </c>
    </row>
    <row r="61383" spans="129:129" x14ac:dyDescent="0.2">
      <c r="DY61383" s="185" t="s">
        <v>215</v>
      </c>
    </row>
    <row r="61384" spans="129:129" x14ac:dyDescent="0.2">
      <c r="DY61384" s="185" t="s">
        <v>215</v>
      </c>
    </row>
    <row r="61385" spans="129:129" x14ac:dyDescent="0.2">
      <c r="DY61385" s="185" t="s">
        <v>215</v>
      </c>
    </row>
    <row r="61386" spans="129:129" x14ac:dyDescent="0.2">
      <c r="DY61386" s="185" t="s">
        <v>215</v>
      </c>
    </row>
    <row r="61387" spans="129:129" x14ac:dyDescent="0.2">
      <c r="DY61387" s="185" t="s">
        <v>215</v>
      </c>
    </row>
    <row r="61388" spans="129:129" x14ac:dyDescent="0.2">
      <c r="DY61388" s="185" t="s">
        <v>215</v>
      </c>
    </row>
    <row r="61389" spans="129:129" x14ac:dyDescent="0.2">
      <c r="DY61389" s="185" t="s">
        <v>215</v>
      </c>
    </row>
    <row r="61390" spans="129:129" x14ac:dyDescent="0.2">
      <c r="DY61390" s="185" t="s">
        <v>215</v>
      </c>
    </row>
    <row r="61391" spans="129:129" x14ac:dyDescent="0.2">
      <c r="DY61391" s="185" t="s">
        <v>215</v>
      </c>
    </row>
    <row r="61392" spans="129:129" x14ac:dyDescent="0.2">
      <c r="DY61392" s="185" t="s">
        <v>215</v>
      </c>
    </row>
    <row r="61393" spans="129:129" x14ac:dyDescent="0.2">
      <c r="DY61393" s="185" t="s">
        <v>215</v>
      </c>
    </row>
    <row r="61394" spans="129:129" x14ac:dyDescent="0.2">
      <c r="DY61394" s="185" t="s">
        <v>215</v>
      </c>
    </row>
    <row r="61395" spans="129:129" x14ac:dyDescent="0.2">
      <c r="DY61395" s="185" t="s">
        <v>215</v>
      </c>
    </row>
    <row r="61396" spans="129:129" x14ac:dyDescent="0.2">
      <c r="DY61396" s="185" t="s">
        <v>215</v>
      </c>
    </row>
    <row r="61397" spans="129:129" x14ac:dyDescent="0.2">
      <c r="DY61397" s="185" t="s">
        <v>215</v>
      </c>
    </row>
    <row r="61398" spans="129:129" x14ac:dyDescent="0.2">
      <c r="DY61398" s="185" t="s">
        <v>215</v>
      </c>
    </row>
    <row r="61399" spans="129:129" x14ac:dyDescent="0.2">
      <c r="DY61399" s="185" t="s">
        <v>215</v>
      </c>
    </row>
    <row r="61400" spans="129:129" x14ac:dyDescent="0.2">
      <c r="DY61400" s="185" t="s">
        <v>215</v>
      </c>
    </row>
    <row r="61401" spans="129:129" x14ac:dyDescent="0.2">
      <c r="DY61401" s="185" t="s">
        <v>215</v>
      </c>
    </row>
    <row r="61402" spans="129:129" x14ac:dyDescent="0.2">
      <c r="DY61402" s="185" t="s">
        <v>215</v>
      </c>
    </row>
    <row r="61403" spans="129:129" x14ac:dyDescent="0.2">
      <c r="DY61403" s="185" t="s">
        <v>215</v>
      </c>
    </row>
    <row r="61404" spans="129:129" x14ac:dyDescent="0.2">
      <c r="DY61404" s="185" t="s">
        <v>215</v>
      </c>
    </row>
    <row r="61405" spans="129:129" x14ac:dyDescent="0.2">
      <c r="DY61405" s="185" t="s">
        <v>215</v>
      </c>
    </row>
    <row r="61406" spans="129:129" x14ac:dyDescent="0.2">
      <c r="DY61406" s="185" t="s">
        <v>215</v>
      </c>
    </row>
    <row r="61407" spans="129:129" x14ac:dyDescent="0.2">
      <c r="DY61407" s="185" t="s">
        <v>215</v>
      </c>
    </row>
    <row r="61408" spans="129:129" x14ac:dyDescent="0.2">
      <c r="DY61408" s="185" t="s">
        <v>215</v>
      </c>
    </row>
    <row r="61409" spans="129:129" x14ac:dyDescent="0.2">
      <c r="DY61409" s="185" t="s">
        <v>215</v>
      </c>
    </row>
    <row r="61410" spans="129:129" x14ac:dyDescent="0.2">
      <c r="DY61410" s="185" t="s">
        <v>215</v>
      </c>
    </row>
    <row r="61411" spans="129:129" x14ac:dyDescent="0.2">
      <c r="DY61411" s="185" t="s">
        <v>215</v>
      </c>
    </row>
    <row r="61412" spans="129:129" x14ac:dyDescent="0.2">
      <c r="DY61412" s="185" t="s">
        <v>215</v>
      </c>
    </row>
    <row r="61413" spans="129:129" x14ac:dyDescent="0.2">
      <c r="DY61413" s="185" t="s">
        <v>215</v>
      </c>
    </row>
    <row r="61414" spans="129:129" x14ac:dyDescent="0.2">
      <c r="DY61414" s="185" t="s">
        <v>215</v>
      </c>
    </row>
    <row r="61415" spans="129:129" x14ac:dyDescent="0.2">
      <c r="DY61415" s="185" t="s">
        <v>215</v>
      </c>
    </row>
    <row r="61416" spans="129:129" x14ac:dyDescent="0.2">
      <c r="DY61416" s="185" t="s">
        <v>215</v>
      </c>
    </row>
    <row r="61417" spans="129:129" x14ac:dyDescent="0.2">
      <c r="DY61417" s="185" t="s">
        <v>215</v>
      </c>
    </row>
    <row r="61418" spans="129:129" x14ac:dyDescent="0.2">
      <c r="DY61418" s="185" t="s">
        <v>215</v>
      </c>
    </row>
    <row r="61419" spans="129:129" x14ac:dyDescent="0.2">
      <c r="DY61419" s="185" t="s">
        <v>215</v>
      </c>
    </row>
    <row r="61420" spans="129:129" x14ac:dyDescent="0.2">
      <c r="DY61420" s="185" t="s">
        <v>215</v>
      </c>
    </row>
    <row r="61421" spans="129:129" x14ac:dyDescent="0.2">
      <c r="DY61421" s="185" t="s">
        <v>215</v>
      </c>
    </row>
    <row r="61422" spans="129:129" x14ac:dyDescent="0.2">
      <c r="DY61422" s="185" t="s">
        <v>215</v>
      </c>
    </row>
    <row r="61423" spans="129:129" x14ac:dyDescent="0.2">
      <c r="DY61423" s="185" t="s">
        <v>215</v>
      </c>
    </row>
    <row r="61424" spans="129:129" x14ac:dyDescent="0.2">
      <c r="DY61424" s="185" t="s">
        <v>215</v>
      </c>
    </row>
    <row r="61425" spans="129:129" x14ac:dyDescent="0.2">
      <c r="DY61425" s="185" t="s">
        <v>215</v>
      </c>
    </row>
    <row r="61426" spans="129:129" x14ac:dyDescent="0.2">
      <c r="DY61426" s="185" t="s">
        <v>215</v>
      </c>
    </row>
    <row r="61427" spans="129:129" x14ac:dyDescent="0.2">
      <c r="DY61427" s="185" t="s">
        <v>215</v>
      </c>
    </row>
    <row r="61428" spans="129:129" x14ac:dyDescent="0.2">
      <c r="DY61428" s="185" t="s">
        <v>215</v>
      </c>
    </row>
    <row r="61429" spans="129:129" x14ac:dyDescent="0.2">
      <c r="DY61429" s="185" t="s">
        <v>215</v>
      </c>
    </row>
    <row r="61430" spans="129:129" x14ac:dyDescent="0.2">
      <c r="DY61430" s="185" t="s">
        <v>215</v>
      </c>
    </row>
    <row r="61431" spans="129:129" x14ac:dyDescent="0.2">
      <c r="DY61431" s="185" t="s">
        <v>215</v>
      </c>
    </row>
    <row r="61432" spans="129:129" x14ac:dyDescent="0.2">
      <c r="DY61432" s="185" t="s">
        <v>215</v>
      </c>
    </row>
    <row r="61433" spans="129:129" x14ac:dyDescent="0.2">
      <c r="DY61433" s="185" t="s">
        <v>215</v>
      </c>
    </row>
    <row r="61434" spans="129:129" x14ac:dyDescent="0.2">
      <c r="DY61434" s="185" t="s">
        <v>215</v>
      </c>
    </row>
    <row r="61435" spans="129:129" x14ac:dyDescent="0.2">
      <c r="DY61435" s="185" t="s">
        <v>215</v>
      </c>
    </row>
    <row r="61436" spans="129:129" x14ac:dyDescent="0.2">
      <c r="DY61436" s="185" t="s">
        <v>215</v>
      </c>
    </row>
    <row r="61437" spans="129:129" x14ac:dyDescent="0.2">
      <c r="DY61437" s="185" t="s">
        <v>215</v>
      </c>
    </row>
    <row r="61438" spans="129:129" x14ac:dyDescent="0.2">
      <c r="DY61438" s="185" t="s">
        <v>215</v>
      </c>
    </row>
    <row r="61439" spans="129:129" x14ac:dyDescent="0.2">
      <c r="DY61439" s="185" t="s">
        <v>215</v>
      </c>
    </row>
    <row r="61440" spans="129:129" x14ac:dyDescent="0.2">
      <c r="DY61440" s="185" t="s">
        <v>215</v>
      </c>
    </row>
    <row r="61441" spans="129:129" x14ac:dyDescent="0.2">
      <c r="DY61441" s="185" t="s">
        <v>215</v>
      </c>
    </row>
    <row r="61442" spans="129:129" x14ac:dyDescent="0.2">
      <c r="DY61442" s="185" t="s">
        <v>215</v>
      </c>
    </row>
    <row r="61443" spans="129:129" x14ac:dyDescent="0.2">
      <c r="DY61443" s="185" t="s">
        <v>215</v>
      </c>
    </row>
    <row r="61444" spans="129:129" x14ac:dyDescent="0.2">
      <c r="DY61444" s="185" t="s">
        <v>215</v>
      </c>
    </row>
    <row r="61445" spans="129:129" x14ac:dyDescent="0.2">
      <c r="DY61445" s="185" t="s">
        <v>215</v>
      </c>
    </row>
    <row r="61446" spans="129:129" x14ac:dyDescent="0.2">
      <c r="DY61446" s="185" t="s">
        <v>215</v>
      </c>
    </row>
    <row r="61447" spans="129:129" x14ac:dyDescent="0.2">
      <c r="DY61447" s="185" t="s">
        <v>215</v>
      </c>
    </row>
    <row r="61448" spans="129:129" x14ac:dyDescent="0.2">
      <c r="DY61448" s="185" t="s">
        <v>215</v>
      </c>
    </row>
    <row r="61449" spans="129:129" x14ac:dyDescent="0.2">
      <c r="DY61449" s="185" t="s">
        <v>215</v>
      </c>
    </row>
    <row r="61450" spans="129:129" x14ac:dyDescent="0.2">
      <c r="DY61450" s="185" t="s">
        <v>215</v>
      </c>
    </row>
    <row r="61451" spans="129:129" x14ac:dyDescent="0.2">
      <c r="DY61451" s="185" t="s">
        <v>215</v>
      </c>
    </row>
    <row r="61452" spans="129:129" x14ac:dyDescent="0.2">
      <c r="DY61452" s="185" t="s">
        <v>215</v>
      </c>
    </row>
    <row r="61453" spans="129:129" x14ac:dyDescent="0.2">
      <c r="DY61453" s="185" t="s">
        <v>215</v>
      </c>
    </row>
    <row r="61454" spans="129:129" x14ac:dyDescent="0.2">
      <c r="DY61454" s="185" t="s">
        <v>215</v>
      </c>
    </row>
    <row r="61455" spans="129:129" x14ac:dyDescent="0.2">
      <c r="DY61455" s="185" t="s">
        <v>215</v>
      </c>
    </row>
    <row r="61456" spans="129:129" x14ac:dyDescent="0.2">
      <c r="DY61456" s="185" t="s">
        <v>215</v>
      </c>
    </row>
    <row r="61457" spans="129:129" x14ac:dyDescent="0.2">
      <c r="DY61457" s="185" t="s">
        <v>215</v>
      </c>
    </row>
    <row r="61458" spans="129:129" x14ac:dyDescent="0.2">
      <c r="DY61458" s="185" t="s">
        <v>215</v>
      </c>
    </row>
    <row r="61459" spans="129:129" x14ac:dyDescent="0.2">
      <c r="DY61459" s="185" t="s">
        <v>215</v>
      </c>
    </row>
    <row r="61460" spans="129:129" x14ac:dyDescent="0.2">
      <c r="DY61460" s="185" t="s">
        <v>215</v>
      </c>
    </row>
    <row r="61461" spans="129:129" x14ac:dyDescent="0.2">
      <c r="DY61461" s="185" t="s">
        <v>215</v>
      </c>
    </row>
    <row r="61462" spans="129:129" x14ac:dyDescent="0.2">
      <c r="DY61462" s="185" t="s">
        <v>215</v>
      </c>
    </row>
    <row r="61463" spans="129:129" x14ac:dyDescent="0.2">
      <c r="DY61463" s="185" t="s">
        <v>215</v>
      </c>
    </row>
    <row r="61464" spans="129:129" x14ac:dyDescent="0.2">
      <c r="DY61464" s="185" t="s">
        <v>215</v>
      </c>
    </row>
    <row r="61465" spans="129:129" x14ac:dyDescent="0.2">
      <c r="DY61465" s="185" t="s">
        <v>215</v>
      </c>
    </row>
    <row r="61466" spans="129:129" x14ac:dyDescent="0.2">
      <c r="DY61466" s="185" t="s">
        <v>215</v>
      </c>
    </row>
    <row r="61467" spans="129:129" x14ac:dyDescent="0.2">
      <c r="DY61467" s="185" t="s">
        <v>215</v>
      </c>
    </row>
    <row r="61468" spans="129:129" x14ac:dyDescent="0.2">
      <c r="DY61468" s="185" t="s">
        <v>215</v>
      </c>
    </row>
    <row r="61469" spans="129:129" x14ac:dyDescent="0.2">
      <c r="DY61469" s="185" t="s">
        <v>215</v>
      </c>
    </row>
    <row r="61470" spans="129:129" x14ac:dyDescent="0.2">
      <c r="DY61470" s="185" t="s">
        <v>215</v>
      </c>
    </row>
    <row r="61471" spans="129:129" x14ac:dyDescent="0.2">
      <c r="DY61471" s="185" t="s">
        <v>215</v>
      </c>
    </row>
    <row r="61472" spans="129:129" x14ac:dyDescent="0.2">
      <c r="DY61472" s="185" t="s">
        <v>215</v>
      </c>
    </row>
    <row r="61473" spans="129:129" x14ac:dyDescent="0.2">
      <c r="DY61473" s="185" t="s">
        <v>215</v>
      </c>
    </row>
    <row r="61474" spans="129:129" x14ac:dyDescent="0.2">
      <c r="DY61474" s="185" t="s">
        <v>215</v>
      </c>
    </row>
    <row r="61475" spans="129:129" x14ac:dyDescent="0.2">
      <c r="DY61475" s="185" t="s">
        <v>215</v>
      </c>
    </row>
    <row r="61476" spans="129:129" x14ac:dyDescent="0.2">
      <c r="DY61476" s="185" t="s">
        <v>215</v>
      </c>
    </row>
    <row r="61477" spans="129:129" x14ac:dyDescent="0.2">
      <c r="DY61477" s="185" t="s">
        <v>215</v>
      </c>
    </row>
    <row r="61478" spans="129:129" x14ac:dyDescent="0.2">
      <c r="DY61478" s="185" t="s">
        <v>215</v>
      </c>
    </row>
    <row r="61479" spans="129:129" x14ac:dyDescent="0.2">
      <c r="DY61479" s="185" t="s">
        <v>215</v>
      </c>
    </row>
    <row r="61480" spans="129:129" x14ac:dyDescent="0.2">
      <c r="DY61480" s="185" t="s">
        <v>215</v>
      </c>
    </row>
    <row r="61481" spans="129:129" x14ac:dyDescent="0.2">
      <c r="DY61481" s="185" t="s">
        <v>215</v>
      </c>
    </row>
    <row r="61482" spans="129:129" x14ac:dyDescent="0.2">
      <c r="DY61482" s="185" t="s">
        <v>215</v>
      </c>
    </row>
    <row r="61483" spans="129:129" x14ac:dyDescent="0.2">
      <c r="DY61483" s="185" t="s">
        <v>215</v>
      </c>
    </row>
    <row r="61484" spans="129:129" x14ac:dyDescent="0.2">
      <c r="DY61484" s="185" t="s">
        <v>215</v>
      </c>
    </row>
    <row r="61485" spans="129:129" x14ac:dyDescent="0.2">
      <c r="DY61485" s="185" t="s">
        <v>215</v>
      </c>
    </row>
    <row r="61486" spans="129:129" x14ac:dyDescent="0.2">
      <c r="DY61486" s="185" t="s">
        <v>215</v>
      </c>
    </row>
    <row r="61487" spans="129:129" x14ac:dyDescent="0.2">
      <c r="DY61487" s="185" t="s">
        <v>215</v>
      </c>
    </row>
    <row r="61488" spans="129:129" x14ac:dyDescent="0.2">
      <c r="DY61488" s="185" t="s">
        <v>215</v>
      </c>
    </row>
    <row r="61489" spans="129:129" x14ac:dyDescent="0.2">
      <c r="DY61489" s="185" t="s">
        <v>215</v>
      </c>
    </row>
    <row r="61490" spans="129:129" x14ac:dyDescent="0.2">
      <c r="DY61490" s="185" t="s">
        <v>215</v>
      </c>
    </row>
    <row r="61491" spans="129:129" x14ac:dyDescent="0.2">
      <c r="DY61491" s="185" t="s">
        <v>215</v>
      </c>
    </row>
    <row r="61492" spans="129:129" x14ac:dyDescent="0.2">
      <c r="DY61492" s="185" t="s">
        <v>215</v>
      </c>
    </row>
    <row r="61493" spans="129:129" x14ac:dyDescent="0.2">
      <c r="DY61493" s="185" t="s">
        <v>215</v>
      </c>
    </row>
    <row r="61494" spans="129:129" x14ac:dyDescent="0.2">
      <c r="DY61494" s="185" t="s">
        <v>215</v>
      </c>
    </row>
    <row r="61495" spans="129:129" x14ac:dyDescent="0.2">
      <c r="DY61495" s="185" t="s">
        <v>215</v>
      </c>
    </row>
    <row r="61496" spans="129:129" x14ac:dyDescent="0.2">
      <c r="DY61496" s="185" t="s">
        <v>215</v>
      </c>
    </row>
    <row r="61497" spans="129:129" x14ac:dyDescent="0.2">
      <c r="DY61497" s="185" t="s">
        <v>215</v>
      </c>
    </row>
    <row r="61498" spans="129:129" x14ac:dyDescent="0.2">
      <c r="DY61498" s="185" t="s">
        <v>215</v>
      </c>
    </row>
    <row r="61499" spans="129:129" x14ac:dyDescent="0.2">
      <c r="DY61499" s="185" t="s">
        <v>215</v>
      </c>
    </row>
    <row r="61500" spans="129:129" x14ac:dyDescent="0.2">
      <c r="DY61500" s="185" t="s">
        <v>215</v>
      </c>
    </row>
    <row r="61501" spans="129:129" x14ac:dyDescent="0.2">
      <c r="DY61501" s="185" t="s">
        <v>215</v>
      </c>
    </row>
    <row r="61502" spans="129:129" x14ac:dyDescent="0.2">
      <c r="DY61502" s="185" t="s">
        <v>215</v>
      </c>
    </row>
    <row r="61503" spans="129:129" x14ac:dyDescent="0.2">
      <c r="DY61503" s="185" t="s">
        <v>215</v>
      </c>
    </row>
    <row r="61504" spans="129:129" x14ac:dyDescent="0.2">
      <c r="DY61504" s="185" t="s">
        <v>215</v>
      </c>
    </row>
    <row r="61505" spans="129:129" x14ac:dyDescent="0.2">
      <c r="DY61505" s="185" t="s">
        <v>215</v>
      </c>
    </row>
    <row r="61506" spans="129:129" x14ac:dyDescent="0.2">
      <c r="DY61506" s="185" t="s">
        <v>215</v>
      </c>
    </row>
    <row r="61507" spans="129:129" x14ac:dyDescent="0.2">
      <c r="DY61507" s="185" t="s">
        <v>215</v>
      </c>
    </row>
    <row r="61508" spans="129:129" x14ac:dyDescent="0.2">
      <c r="DY61508" s="185" t="s">
        <v>215</v>
      </c>
    </row>
    <row r="61509" spans="129:129" x14ac:dyDescent="0.2">
      <c r="DY61509" s="185" t="s">
        <v>215</v>
      </c>
    </row>
    <row r="61510" spans="129:129" x14ac:dyDescent="0.2">
      <c r="DY61510" s="185" t="s">
        <v>215</v>
      </c>
    </row>
    <row r="61511" spans="129:129" x14ac:dyDescent="0.2">
      <c r="DY61511" s="185" t="s">
        <v>215</v>
      </c>
    </row>
    <row r="61512" spans="129:129" x14ac:dyDescent="0.2">
      <c r="DY61512" s="185" t="s">
        <v>215</v>
      </c>
    </row>
    <row r="61513" spans="129:129" x14ac:dyDescent="0.2">
      <c r="DY61513" s="185" t="s">
        <v>215</v>
      </c>
    </row>
    <row r="61514" spans="129:129" x14ac:dyDescent="0.2">
      <c r="DY61514" s="185" t="s">
        <v>215</v>
      </c>
    </row>
    <row r="61515" spans="129:129" x14ac:dyDescent="0.2">
      <c r="DY61515" s="185" t="s">
        <v>215</v>
      </c>
    </row>
    <row r="61516" spans="129:129" x14ac:dyDescent="0.2">
      <c r="DY61516" s="185" t="s">
        <v>215</v>
      </c>
    </row>
    <row r="61517" spans="129:129" x14ac:dyDescent="0.2">
      <c r="DY61517" s="185" t="s">
        <v>215</v>
      </c>
    </row>
    <row r="61518" spans="129:129" x14ac:dyDescent="0.2">
      <c r="DY61518" s="185" t="s">
        <v>215</v>
      </c>
    </row>
    <row r="61519" spans="129:129" x14ac:dyDescent="0.2">
      <c r="DY61519" s="185" t="s">
        <v>215</v>
      </c>
    </row>
    <row r="61520" spans="129:129" x14ac:dyDescent="0.2">
      <c r="DY61520" s="185" t="s">
        <v>215</v>
      </c>
    </row>
    <row r="61521" spans="129:129" x14ac:dyDescent="0.2">
      <c r="DY61521" s="185" t="s">
        <v>215</v>
      </c>
    </row>
    <row r="61522" spans="129:129" x14ac:dyDescent="0.2">
      <c r="DY61522" s="185" t="s">
        <v>215</v>
      </c>
    </row>
    <row r="61523" spans="129:129" x14ac:dyDescent="0.2">
      <c r="DY61523" s="185" t="s">
        <v>215</v>
      </c>
    </row>
    <row r="61524" spans="129:129" x14ac:dyDescent="0.2">
      <c r="DY61524" s="185" t="s">
        <v>215</v>
      </c>
    </row>
    <row r="61525" spans="129:129" x14ac:dyDescent="0.2">
      <c r="DY61525" s="185" t="s">
        <v>215</v>
      </c>
    </row>
    <row r="61526" spans="129:129" x14ac:dyDescent="0.2">
      <c r="DY61526" s="185" t="s">
        <v>215</v>
      </c>
    </row>
    <row r="61527" spans="129:129" x14ac:dyDescent="0.2">
      <c r="DY61527" s="185" t="s">
        <v>215</v>
      </c>
    </row>
    <row r="61528" spans="129:129" x14ac:dyDescent="0.2">
      <c r="DY61528" s="185" t="s">
        <v>215</v>
      </c>
    </row>
    <row r="61529" spans="129:129" x14ac:dyDescent="0.2">
      <c r="DY61529" s="185" t="s">
        <v>215</v>
      </c>
    </row>
    <row r="61530" spans="129:129" x14ac:dyDescent="0.2">
      <c r="DY61530" s="185" t="s">
        <v>215</v>
      </c>
    </row>
    <row r="61531" spans="129:129" x14ac:dyDescent="0.2">
      <c r="DY61531" s="185" t="s">
        <v>215</v>
      </c>
    </row>
    <row r="61532" spans="129:129" x14ac:dyDescent="0.2">
      <c r="DY61532" s="185" t="s">
        <v>215</v>
      </c>
    </row>
    <row r="61533" spans="129:129" x14ac:dyDescent="0.2">
      <c r="DY61533" s="185" t="s">
        <v>215</v>
      </c>
    </row>
    <row r="61534" spans="129:129" x14ac:dyDescent="0.2">
      <c r="DY61534" s="185" t="s">
        <v>215</v>
      </c>
    </row>
    <row r="61535" spans="129:129" x14ac:dyDescent="0.2">
      <c r="DY61535" s="185" t="s">
        <v>215</v>
      </c>
    </row>
    <row r="61536" spans="129:129" x14ac:dyDescent="0.2">
      <c r="DY61536" s="185" t="s">
        <v>215</v>
      </c>
    </row>
    <row r="61537" spans="129:129" x14ac:dyDescent="0.2">
      <c r="DY61537" s="185" t="s">
        <v>215</v>
      </c>
    </row>
    <row r="61538" spans="129:129" x14ac:dyDescent="0.2">
      <c r="DY61538" s="185" t="s">
        <v>215</v>
      </c>
    </row>
    <row r="61539" spans="129:129" x14ac:dyDescent="0.2">
      <c r="DY61539" s="185" t="s">
        <v>215</v>
      </c>
    </row>
    <row r="61540" spans="129:129" x14ac:dyDescent="0.2">
      <c r="DY61540" s="185" t="s">
        <v>215</v>
      </c>
    </row>
    <row r="61541" spans="129:129" x14ac:dyDescent="0.2">
      <c r="DY61541" s="185" t="s">
        <v>215</v>
      </c>
    </row>
    <row r="61542" spans="129:129" x14ac:dyDescent="0.2">
      <c r="DY61542" s="185" t="s">
        <v>215</v>
      </c>
    </row>
    <row r="61543" spans="129:129" x14ac:dyDescent="0.2">
      <c r="DY61543" s="185" t="s">
        <v>215</v>
      </c>
    </row>
    <row r="61544" spans="129:129" x14ac:dyDescent="0.2">
      <c r="DY61544" s="185" t="s">
        <v>215</v>
      </c>
    </row>
    <row r="61545" spans="129:129" x14ac:dyDescent="0.2">
      <c r="DY61545" s="185" t="s">
        <v>215</v>
      </c>
    </row>
    <row r="61546" spans="129:129" x14ac:dyDescent="0.2">
      <c r="DY61546" s="185" t="s">
        <v>215</v>
      </c>
    </row>
    <row r="61547" spans="129:129" x14ac:dyDescent="0.2">
      <c r="DY61547" s="185" t="s">
        <v>215</v>
      </c>
    </row>
    <row r="61548" spans="129:129" x14ac:dyDescent="0.2">
      <c r="DY61548" s="185" t="s">
        <v>215</v>
      </c>
    </row>
    <row r="61549" spans="129:129" x14ac:dyDescent="0.2">
      <c r="DY61549" s="185" t="s">
        <v>215</v>
      </c>
    </row>
    <row r="61550" spans="129:129" x14ac:dyDescent="0.2">
      <c r="DY61550" s="185" t="s">
        <v>215</v>
      </c>
    </row>
    <row r="61551" spans="129:129" x14ac:dyDescent="0.2">
      <c r="DY61551" s="185" t="s">
        <v>215</v>
      </c>
    </row>
    <row r="61552" spans="129:129" x14ac:dyDescent="0.2">
      <c r="DY61552" s="185" t="s">
        <v>215</v>
      </c>
    </row>
    <row r="61553" spans="129:129" x14ac:dyDescent="0.2">
      <c r="DY61553" s="185" t="s">
        <v>215</v>
      </c>
    </row>
    <row r="61554" spans="129:129" x14ac:dyDescent="0.2">
      <c r="DY61554" s="185" t="s">
        <v>215</v>
      </c>
    </row>
    <row r="61555" spans="129:129" x14ac:dyDescent="0.2">
      <c r="DY61555" s="185" t="s">
        <v>215</v>
      </c>
    </row>
    <row r="61556" spans="129:129" x14ac:dyDescent="0.2">
      <c r="DY61556" s="185" t="s">
        <v>215</v>
      </c>
    </row>
    <row r="61557" spans="129:129" x14ac:dyDescent="0.2">
      <c r="DY61557" s="185" t="s">
        <v>215</v>
      </c>
    </row>
    <row r="61558" spans="129:129" x14ac:dyDescent="0.2">
      <c r="DY61558" s="185" t="s">
        <v>215</v>
      </c>
    </row>
    <row r="61559" spans="129:129" x14ac:dyDescent="0.2">
      <c r="DY61559" s="185" t="s">
        <v>215</v>
      </c>
    </row>
    <row r="61560" spans="129:129" x14ac:dyDescent="0.2">
      <c r="DY61560" s="185" t="s">
        <v>215</v>
      </c>
    </row>
    <row r="61561" spans="129:129" x14ac:dyDescent="0.2">
      <c r="DY61561" s="185" t="s">
        <v>215</v>
      </c>
    </row>
    <row r="61562" spans="129:129" x14ac:dyDescent="0.2">
      <c r="DY61562" s="185" t="s">
        <v>215</v>
      </c>
    </row>
    <row r="61563" spans="129:129" x14ac:dyDescent="0.2">
      <c r="DY61563" s="185" t="s">
        <v>215</v>
      </c>
    </row>
    <row r="61564" spans="129:129" x14ac:dyDescent="0.2">
      <c r="DY61564" s="185" t="s">
        <v>215</v>
      </c>
    </row>
    <row r="61565" spans="129:129" x14ac:dyDescent="0.2">
      <c r="DY61565" s="185" t="s">
        <v>215</v>
      </c>
    </row>
    <row r="61566" spans="129:129" x14ac:dyDescent="0.2">
      <c r="DY61566" s="185" t="s">
        <v>215</v>
      </c>
    </row>
    <row r="61567" spans="129:129" x14ac:dyDescent="0.2">
      <c r="DY61567" s="185" t="s">
        <v>215</v>
      </c>
    </row>
    <row r="61568" spans="129:129" x14ac:dyDescent="0.2">
      <c r="DY61568" s="185" t="s">
        <v>215</v>
      </c>
    </row>
    <row r="61569" spans="129:129" x14ac:dyDescent="0.2">
      <c r="DY61569" s="185" t="s">
        <v>215</v>
      </c>
    </row>
    <row r="61570" spans="129:129" x14ac:dyDescent="0.2">
      <c r="DY61570" s="185" t="s">
        <v>215</v>
      </c>
    </row>
    <row r="61571" spans="129:129" x14ac:dyDescent="0.2">
      <c r="DY61571" s="185" t="s">
        <v>215</v>
      </c>
    </row>
    <row r="61572" spans="129:129" x14ac:dyDescent="0.2">
      <c r="DY61572" s="185" t="s">
        <v>215</v>
      </c>
    </row>
    <row r="61573" spans="129:129" x14ac:dyDescent="0.2">
      <c r="DY61573" s="185" t="s">
        <v>215</v>
      </c>
    </row>
    <row r="61574" spans="129:129" x14ac:dyDescent="0.2">
      <c r="DY61574" s="185" t="s">
        <v>215</v>
      </c>
    </row>
    <row r="61575" spans="129:129" x14ac:dyDescent="0.2">
      <c r="DY61575" s="185" t="s">
        <v>215</v>
      </c>
    </row>
    <row r="61576" spans="129:129" x14ac:dyDescent="0.2">
      <c r="DY61576" s="185" t="s">
        <v>215</v>
      </c>
    </row>
    <row r="61577" spans="129:129" x14ac:dyDescent="0.2">
      <c r="DY61577" s="185" t="s">
        <v>215</v>
      </c>
    </row>
    <row r="61578" spans="129:129" x14ac:dyDescent="0.2">
      <c r="DY61578" s="185" t="s">
        <v>215</v>
      </c>
    </row>
    <row r="61579" spans="129:129" x14ac:dyDescent="0.2">
      <c r="DY61579" s="185" t="s">
        <v>215</v>
      </c>
    </row>
    <row r="61580" spans="129:129" x14ac:dyDescent="0.2">
      <c r="DY61580" s="185" t="s">
        <v>215</v>
      </c>
    </row>
    <row r="61581" spans="129:129" x14ac:dyDescent="0.2">
      <c r="DY61581" s="185" t="s">
        <v>215</v>
      </c>
    </row>
    <row r="61582" spans="129:129" x14ac:dyDescent="0.2">
      <c r="DY61582" s="185" t="s">
        <v>215</v>
      </c>
    </row>
    <row r="61583" spans="129:129" x14ac:dyDescent="0.2">
      <c r="DY61583" s="185" t="s">
        <v>215</v>
      </c>
    </row>
    <row r="61584" spans="129:129" x14ac:dyDescent="0.2">
      <c r="DY61584" s="185" t="s">
        <v>215</v>
      </c>
    </row>
    <row r="61585" spans="129:129" x14ac:dyDescent="0.2">
      <c r="DY61585" s="185" t="s">
        <v>215</v>
      </c>
    </row>
    <row r="61586" spans="129:129" x14ac:dyDescent="0.2">
      <c r="DY61586" s="185" t="s">
        <v>215</v>
      </c>
    </row>
    <row r="61587" spans="129:129" x14ac:dyDescent="0.2">
      <c r="DY61587" s="185" t="s">
        <v>215</v>
      </c>
    </row>
    <row r="61588" spans="129:129" x14ac:dyDescent="0.2">
      <c r="DY61588" s="185" t="s">
        <v>215</v>
      </c>
    </row>
    <row r="61589" spans="129:129" x14ac:dyDescent="0.2">
      <c r="DY61589" s="185" t="s">
        <v>215</v>
      </c>
    </row>
    <row r="61590" spans="129:129" x14ac:dyDescent="0.2">
      <c r="DY61590" s="185" t="s">
        <v>215</v>
      </c>
    </row>
    <row r="61591" spans="129:129" x14ac:dyDescent="0.2">
      <c r="DY61591" s="185" t="s">
        <v>215</v>
      </c>
    </row>
    <row r="61592" spans="129:129" x14ac:dyDescent="0.2">
      <c r="DY61592" s="185" t="s">
        <v>215</v>
      </c>
    </row>
    <row r="61593" spans="129:129" x14ac:dyDescent="0.2">
      <c r="DY61593" s="185" t="s">
        <v>215</v>
      </c>
    </row>
    <row r="61594" spans="129:129" x14ac:dyDescent="0.2">
      <c r="DY61594" s="185" t="s">
        <v>215</v>
      </c>
    </row>
    <row r="61595" spans="129:129" x14ac:dyDescent="0.2">
      <c r="DY61595" s="185" t="s">
        <v>215</v>
      </c>
    </row>
    <row r="61596" spans="129:129" x14ac:dyDescent="0.2">
      <c r="DY61596" s="185" t="s">
        <v>215</v>
      </c>
    </row>
    <row r="61597" spans="129:129" x14ac:dyDescent="0.2">
      <c r="DY61597" s="185" t="s">
        <v>215</v>
      </c>
    </row>
    <row r="61598" spans="129:129" x14ac:dyDescent="0.2">
      <c r="DY61598" s="185" t="s">
        <v>215</v>
      </c>
    </row>
    <row r="61599" spans="129:129" x14ac:dyDescent="0.2">
      <c r="DY61599" s="185" t="s">
        <v>215</v>
      </c>
    </row>
    <row r="61600" spans="129:129" x14ac:dyDescent="0.2">
      <c r="DY61600" s="185" t="s">
        <v>215</v>
      </c>
    </row>
    <row r="61601" spans="129:129" x14ac:dyDescent="0.2">
      <c r="DY61601" s="185" t="s">
        <v>215</v>
      </c>
    </row>
    <row r="61602" spans="129:129" x14ac:dyDescent="0.2">
      <c r="DY61602" s="185" t="s">
        <v>215</v>
      </c>
    </row>
    <row r="61603" spans="129:129" x14ac:dyDescent="0.2">
      <c r="DY61603" s="185" t="s">
        <v>215</v>
      </c>
    </row>
    <row r="61604" spans="129:129" x14ac:dyDescent="0.2">
      <c r="DY61604" s="185" t="s">
        <v>215</v>
      </c>
    </row>
    <row r="61605" spans="129:129" x14ac:dyDescent="0.2">
      <c r="DY61605" s="185" t="s">
        <v>215</v>
      </c>
    </row>
    <row r="61606" spans="129:129" x14ac:dyDescent="0.2">
      <c r="DY61606" s="185" t="s">
        <v>215</v>
      </c>
    </row>
    <row r="61607" spans="129:129" x14ac:dyDescent="0.2">
      <c r="DY61607" s="185" t="s">
        <v>215</v>
      </c>
    </row>
    <row r="61608" spans="129:129" x14ac:dyDescent="0.2">
      <c r="DY61608" s="185" t="s">
        <v>215</v>
      </c>
    </row>
    <row r="61609" spans="129:129" x14ac:dyDescent="0.2">
      <c r="DY61609" s="185" t="s">
        <v>215</v>
      </c>
    </row>
    <row r="61610" spans="129:129" x14ac:dyDescent="0.2">
      <c r="DY61610" s="185" t="s">
        <v>215</v>
      </c>
    </row>
    <row r="61611" spans="129:129" x14ac:dyDescent="0.2">
      <c r="DY61611" s="185" t="s">
        <v>215</v>
      </c>
    </row>
    <row r="61612" spans="129:129" x14ac:dyDescent="0.2">
      <c r="DY61612" s="185" t="s">
        <v>215</v>
      </c>
    </row>
    <row r="61613" spans="129:129" x14ac:dyDescent="0.2">
      <c r="DY61613" s="185" t="s">
        <v>215</v>
      </c>
    </row>
    <row r="61614" spans="129:129" x14ac:dyDescent="0.2">
      <c r="DY61614" s="185" t="s">
        <v>215</v>
      </c>
    </row>
    <row r="61615" spans="129:129" x14ac:dyDescent="0.2">
      <c r="DY61615" s="185" t="s">
        <v>215</v>
      </c>
    </row>
    <row r="61616" spans="129:129" x14ac:dyDescent="0.2">
      <c r="DY61616" s="185" t="s">
        <v>215</v>
      </c>
    </row>
    <row r="61617" spans="129:129" x14ac:dyDescent="0.2">
      <c r="DY61617" s="185" t="s">
        <v>215</v>
      </c>
    </row>
    <row r="61618" spans="129:129" x14ac:dyDescent="0.2">
      <c r="DY61618" s="185" t="s">
        <v>215</v>
      </c>
    </row>
    <row r="61619" spans="129:129" x14ac:dyDescent="0.2">
      <c r="DY61619" s="185" t="s">
        <v>215</v>
      </c>
    </row>
    <row r="61620" spans="129:129" x14ac:dyDescent="0.2">
      <c r="DY61620" s="185" t="s">
        <v>215</v>
      </c>
    </row>
    <row r="61621" spans="129:129" x14ac:dyDescent="0.2">
      <c r="DY61621" s="185" t="s">
        <v>215</v>
      </c>
    </row>
    <row r="61622" spans="129:129" x14ac:dyDescent="0.2">
      <c r="DY61622" s="185" t="s">
        <v>215</v>
      </c>
    </row>
    <row r="61623" spans="129:129" x14ac:dyDescent="0.2">
      <c r="DY61623" s="185" t="s">
        <v>215</v>
      </c>
    </row>
    <row r="61624" spans="129:129" x14ac:dyDescent="0.2">
      <c r="DY61624" s="185" t="s">
        <v>215</v>
      </c>
    </row>
    <row r="61625" spans="129:129" x14ac:dyDescent="0.2">
      <c r="DY61625" s="185" t="s">
        <v>215</v>
      </c>
    </row>
    <row r="61626" spans="129:129" x14ac:dyDescent="0.2">
      <c r="DY61626" s="185" t="s">
        <v>215</v>
      </c>
    </row>
    <row r="61627" spans="129:129" x14ac:dyDescent="0.2">
      <c r="DY61627" s="185" t="s">
        <v>215</v>
      </c>
    </row>
    <row r="61628" spans="129:129" x14ac:dyDescent="0.2">
      <c r="DY61628" s="185" t="s">
        <v>215</v>
      </c>
    </row>
    <row r="61629" spans="129:129" x14ac:dyDescent="0.2">
      <c r="DY61629" s="185" t="s">
        <v>215</v>
      </c>
    </row>
    <row r="61630" spans="129:129" x14ac:dyDescent="0.2">
      <c r="DY61630" s="185" t="s">
        <v>215</v>
      </c>
    </row>
    <row r="61631" spans="129:129" x14ac:dyDescent="0.2">
      <c r="DY61631" s="185" t="s">
        <v>215</v>
      </c>
    </row>
    <row r="61632" spans="129:129" x14ac:dyDescent="0.2">
      <c r="DY61632" s="185" t="s">
        <v>215</v>
      </c>
    </row>
    <row r="61633" spans="129:129" x14ac:dyDescent="0.2">
      <c r="DY61633" s="185" t="s">
        <v>215</v>
      </c>
    </row>
    <row r="61634" spans="129:129" x14ac:dyDescent="0.2">
      <c r="DY61634" s="185" t="s">
        <v>215</v>
      </c>
    </row>
    <row r="61635" spans="129:129" x14ac:dyDescent="0.2">
      <c r="DY61635" s="185" t="s">
        <v>215</v>
      </c>
    </row>
    <row r="61636" spans="129:129" x14ac:dyDescent="0.2">
      <c r="DY61636" s="185" t="s">
        <v>215</v>
      </c>
    </row>
    <row r="61637" spans="129:129" x14ac:dyDescent="0.2">
      <c r="DY61637" s="185" t="s">
        <v>215</v>
      </c>
    </row>
    <row r="61638" spans="129:129" x14ac:dyDescent="0.2">
      <c r="DY61638" s="185" t="s">
        <v>215</v>
      </c>
    </row>
    <row r="61639" spans="129:129" x14ac:dyDescent="0.2">
      <c r="DY61639" s="185" t="s">
        <v>215</v>
      </c>
    </row>
    <row r="61640" spans="129:129" x14ac:dyDescent="0.2">
      <c r="DY61640" s="185" t="s">
        <v>215</v>
      </c>
    </row>
    <row r="61641" spans="129:129" x14ac:dyDescent="0.2">
      <c r="DY61641" s="185" t="s">
        <v>215</v>
      </c>
    </row>
    <row r="61642" spans="129:129" x14ac:dyDescent="0.2">
      <c r="DY61642" s="185" t="s">
        <v>215</v>
      </c>
    </row>
    <row r="61643" spans="129:129" x14ac:dyDescent="0.2">
      <c r="DY61643" s="185" t="s">
        <v>215</v>
      </c>
    </row>
    <row r="61644" spans="129:129" x14ac:dyDescent="0.2">
      <c r="DY61644" s="185" t="s">
        <v>215</v>
      </c>
    </row>
    <row r="61645" spans="129:129" x14ac:dyDescent="0.2">
      <c r="DY61645" s="185" t="s">
        <v>215</v>
      </c>
    </row>
    <row r="61646" spans="129:129" x14ac:dyDescent="0.2">
      <c r="DY61646" s="185" t="s">
        <v>215</v>
      </c>
    </row>
    <row r="61647" spans="129:129" x14ac:dyDescent="0.2">
      <c r="DY61647" s="185" t="s">
        <v>215</v>
      </c>
    </row>
    <row r="61648" spans="129:129" x14ac:dyDescent="0.2">
      <c r="DY61648" s="185" t="s">
        <v>215</v>
      </c>
    </row>
    <row r="61649" spans="129:129" x14ac:dyDescent="0.2">
      <c r="DY61649" s="185" t="s">
        <v>215</v>
      </c>
    </row>
    <row r="61650" spans="129:129" x14ac:dyDescent="0.2">
      <c r="DY61650" s="185" t="s">
        <v>215</v>
      </c>
    </row>
    <row r="61651" spans="129:129" x14ac:dyDescent="0.2">
      <c r="DY61651" s="185" t="s">
        <v>215</v>
      </c>
    </row>
    <row r="61652" spans="129:129" x14ac:dyDescent="0.2">
      <c r="DY61652" s="185" t="s">
        <v>215</v>
      </c>
    </row>
    <row r="61653" spans="129:129" x14ac:dyDescent="0.2">
      <c r="DY61653" s="185" t="s">
        <v>215</v>
      </c>
    </row>
    <row r="61654" spans="129:129" x14ac:dyDescent="0.2">
      <c r="DY61654" s="185" t="s">
        <v>215</v>
      </c>
    </row>
    <row r="61655" spans="129:129" x14ac:dyDescent="0.2">
      <c r="DY61655" s="185" t="s">
        <v>215</v>
      </c>
    </row>
    <row r="61656" spans="129:129" x14ac:dyDescent="0.2">
      <c r="DY61656" s="185" t="s">
        <v>215</v>
      </c>
    </row>
    <row r="61657" spans="129:129" x14ac:dyDescent="0.2">
      <c r="DY61657" s="185" t="s">
        <v>215</v>
      </c>
    </row>
    <row r="61658" spans="129:129" x14ac:dyDescent="0.2">
      <c r="DY61658" s="185" t="s">
        <v>215</v>
      </c>
    </row>
    <row r="61659" spans="129:129" x14ac:dyDescent="0.2">
      <c r="DY61659" s="185" t="s">
        <v>215</v>
      </c>
    </row>
    <row r="61660" spans="129:129" x14ac:dyDescent="0.2">
      <c r="DY61660" s="185" t="s">
        <v>215</v>
      </c>
    </row>
    <row r="61661" spans="129:129" x14ac:dyDescent="0.2">
      <c r="DY61661" s="185" t="s">
        <v>215</v>
      </c>
    </row>
    <row r="61662" spans="129:129" x14ac:dyDescent="0.2">
      <c r="DY61662" s="185" t="s">
        <v>215</v>
      </c>
    </row>
    <row r="61663" spans="129:129" x14ac:dyDescent="0.2">
      <c r="DY61663" s="185" t="s">
        <v>215</v>
      </c>
    </row>
    <row r="61664" spans="129:129" x14ac:dyDescent="0.2">
      <c r="DY61664" s="185" t="s">
        <v>215</v>
      </c>
    </row>
    <row r="61665" spans="129:129" x14ac:dyDescent="0.2">
      <c r="DY61665" s="185" t="s">
        <v>215</v>
      </c>
    </row>
    <row r="61666" spans="129:129" x14ac:dyDescent="0.2">
      <c r="DY61666" s="185" t="s">
        <v>215</v>
      </c>
    </row>
    <row r="61667" spans="129:129" x14ac:dyDescent="0.2">
      <c r="DY61667" s="185" t="s">
        <v>215</v>
      </c>
    </row>
    <row r="61668" spans="129:129" x14ac:dyDescent="0.2">
      <c r="DY61668" s="185" t="s">
        <v>215</v>
      </c>
    </row>
    <row r="61669" spans="129:129" x14ac:dyDescent="0.2">
      <c r="DY61669" s="185" t="s">
        <v>215</v>
      </c>
    </row>
    <row r="61670" spans="129:129" x14ac:dyDescent="0.2">
      <c r="DY61670" s="185" t="s">
        <v>215</v>
      </c>
    </row>
    <row r="61671" spans="129:129" x14ac:dyDescent="0.2">
      <c r="DY61671" s="185" t="s">
        <v>215</v>
      </c>
    </row>
    <row r="61672" spans="129:129" x14ac:dyDescent="0.2">
      <c r="DY61672" s="185" t="s">
        <v>215</v>
      </c>
    </row>
    <row r="61673" spans="129:129" x14ac:dyDescent="0.2">
      <c r="DY61673" s="185" t="s">
        <v>215</v>
      </c>
    </row>
    <row r="61674" spans="129:129" x14ac:dyDescent="0.2">
      <c r="DY61674" s="185" t="s">
        <v>215</v>
      </c>
    </row>
    <row r="61675" spans="129:129" x14ac:dyDescent="0.2">
      <c r="DY61675" s="185" t="s">
        <v>215</v>
      </c>
    </row>
    <row r="61676" spans="129:129" x14ac:dyDescent="0.2">
      <c r="DY61676" s="185" t="s">
        <v>215</v>
      </c>
    </row>
    <row r="61677" spans="129:129" x14ac:dyDescent="0.2">
      <c r="DY61677" s="185" t="s">
        <v>215</v>
      </c>
    </row>
    <row r="61678" spans="129:129" x14ac:dyDescent="0.2">
      <c r="DY61678" s="185" t="s">
        <v>215</v>
      </c>
    </row>
    <row r="61679" spans="129:129" x14ac:dyDescent="0.2">
      <c r="DY61679" s="185" t="s">
        <v>215</v>
      </c>
    </row>
    <row r="61680" spans="129:129" x14ac:dyDescent="0.2">
      <c r="DY61680" s="185" t="s">
        <v>215</v>
      </c>
    </row>
    <row r="61681" spans="129:129" x14ac:dyDescent="0.2">
      <c r="DY61681" s="185" t="s">
        <v>215</v>
      </c>
    </row>
    <row r="61682" spans="129:129" x14ac:dyDescent="0.2">
      <c r="DY61682" s="185" t="s">
        <v>215</v>
      </c>
    </row>
    <row r="61683" spans="129:129" x14ac:dyDescent="0.2">
      <c r="DY61683" s="185" t="s">
        <v>215</v>
      </c>
    </row>
    <row r="61684" spans="129:129" x14ac:dyDescent="0.2">
      <c r="DY61684" s="185" t="s">
        <v>215</v>
      </c>
    </row>
    <row r="61685" spans="129:129" x14ac:dyDescent="0.2">
      <c r="DY61685" s="185" t="s">
        <v>215</v>
      </c>
    </row>
    <row r="61686" spans="129:129" x14ac:dyDescent="0.2">
      <c r="DY61686" s="185" t="s">
        <v>215</v>
      </c>
    </row>
    <row r="61687" spans="129:129" x14ac:dyDescent="0.2">
      <c r="DY61687" s="185" t="s">
        <v>215</v>
      </c>
    </row>
    <row r="61688" spans="129:129" x14ac:dyDescent="0.2">
      <c r="DY61688" s="185" t="s">
        <v>215</v>
      </c>
    </row>
    <row r="61689" spans="129:129" x14ac:dyDescent="0.2">
      <c r="DY61689" s="185" t="s">
        <v>215</v>
      </c>
    </row>
    <row r="61690" spans="129:129" x14ac:dyDescent="0.2">
      <c r="DY61690" s="185" t="s">
        <v>215</v>
      </c>
    </row>
    <row r="61691" spans="129:129" x14ac:dyDescent="0.2">
      <c r="DY61691" s="185" t="s">
        <v>215</v>
      </c>
    </row>
    <row r="61692" spans="129:129" x14ac:dyDescent="0.2">
      <c r="DY61692" s="185" t="s">
        <v>215</v>
      </c>
    </row>
    <row r="61693" spans="129:129" x14ac:dyDescent="0.2">
      <c r="DY61693" s="185" t="s">
        <v>215</v>
      </c>
    </row>
    <row r="61694" spans="129:129" x14ac:dyDescent="0.2">
      <c r="DY61694" s="185" t="s">
        <v>215</v>
      </c>
    </row>
    <row r="61695" spans="129:129" x14ac:dyDescent="0.2">
      <c r="DY61695" s="185" t="s">
        <v>215</v>
      </c>
    </row>
    <row r="61696" spans="129:129" x14ac:dyDescent="0.2">
      <c r="DY61696" s="185" t="s">
        <v>215</v>
      </c>
    </row>
    <row r="61697" spans="129:129" x14ac:dyDescent="0.2">
      <c r="DY61697" s="185" t="s">
        <v>215</v>
      </c>
    </row>
    <row r="61698" spans="129:129" x14ac:dyDescent="0.2">
      <c r="DY61698" s="185" t="s">
        <v>215</v>
      </c>
    </row>
    <row r="61699" spans="129:129" x14ac:dyDescent="0.2">
      <c r="DY61699" s="185" t="s">
        <v>215</v>
      </c>
    </row>
    <row r="61700" spans="129:129" x14ac:dyDescent="0.2">
      <c r="DY61700" s="185" t="s">
        <v>215</v>
      </c>
    </row>
    <row r="61701" spans="129:129" x14ac:dyDescent="0.2">
      <c r="DY61701" s="185" t="s">
        <v>215</v>
      </c>
    </row>
    <row r="61702" spans="129:129" x14ac:dyDescent="0.2">
      <c r="DY61702" s="185" t="s">
        <v>215</v>
      </c>
    </row>
    <row r="61703" spans="129:129" x14ac:dyDescent="0.2">
      <c r="DY61703" s="185" t="s">
        <v>215</v>
      </c>
    </row>
    <row r="61704" spans="129:129" x14ac:dyDescent="0.2">
      <c r="DY61704" s="185" t="s">
        <v>215</v>
      </c>
    </row>
    <row r="61705" spans="129:129" x14ac:dyDescent="0.2">
      <c r="DY61705" s="185" t="s">
        <v>215</v>
      </c>
    </row>
    <row r="61706" spans="129:129" x14ac:dyDescent="0.2">
      <c r="DY61706" s="185" t="s">
        <v>215</v>
      </c>
    </row>
    <row r="61707" spans="129:129" x14ac:dyDescent="0.2">
      <c r="DY61707" s="185" t="s">
        <v>215</v>
      </c>
    </row>
    <row r="61708" spans="129:129" x14ac:dyDescent="0.2">
      <c r="DY61708" s="185" t="s">
        <v>215</v>
      </c>
    </row>
    <row r="61709" spans="129:129" x14ac:dyDescent="0.2">
      <c r="DY61709" s="185" t="s">
        <v>215</v>
      </c>
    </row>
    <row r="61710" spans="129:129" x14ac:dyDescent="0.2">
      <c r="DY61710" s="185" t="s">
        <v>215</v>
      </c>
    </row>
    <row r="61711" spans="129:129" x14ac:dyDescent="0.2">
      <c r="DY61711" s="185" t="s">
        <v>215</v>
      </c>
    </row>
    <row r="61712" spans="129:129" x14ac:dyDescent="0.2">
      <c r="DY61712" s="185" t="s">
        <v>215</v>
      </c>
    </row>
    <row r="61713" spans="129:129" x14ac:dyDescent="0.2">
      <c r="DY61713" s="185" t="s">
        <v>215</v>
      </c>
    </row>
    <row r="61714" spans="129:129" x14ac:dyDescent="0.2">
      <c r="DY61714" s="185" t="s">
        <v>215</v>
      </c>
    </row>
    <row r="61715" spans="129:129" x14ac:dyDescent="0.2">
      <c r="DY61715" s="185" t="s">
        <v>215</v>
      </c>
    </row>
    <row r="61716" spans="129:129" x14ac:dyDescent="0.2">
      <c r="DY61716" s="185" t="s">
        <v>215</v>
      </c>
    </row>
    <row r="61717" spans="129:129" x14ac:dyDescent="0.2">
      <c r="DY61717" s="185" t="s">
        <v>215</v>
      </c>
    </row>
    <row r="61718" spans="129:129" x14ac:dyDescent="0.2">
      <c r="DY61718" s="185" t="s">
        <v>215</v>
      </c>
    </row>
    <row r="61719" spans="129:129" x14ac:dyDescent="0.2">
      <c r="DY61719" s="185" t="s">
        <v>215</v>
      </c>
    </row>
    <row r="61720" spans="129:129" x14ac:dyDescent="0.2">
      <c r="DY61720" s="185" t="s">
        <v>215</v>
      </c>
    </row>
    <row r="61721" spans="129:129" x14ac:dyDescent="0.2">
      <c r="DY61721" s="185" t="s">
        <v>215</v>
      </c>
    </row>
    <row r="61722" spans="129:129" x14ac:dyDescent="0.2">
      <c r="DY61722" s="185" t="s">
        <v>215</v>
      </c>
    </row>
    <row r="61723" spans="129:129" x14ac:dyDescent="0.2">
      <c r="DY61723" s="185" t="s">
        <v>215</v>
      </c>
    </row>
    <row r="61724" spans="129:129" x14ac:dyDescent="0.2">
      <c r="DY61724" s="185" t="s">
        <v>215</v>
      </c>
    </row>
    <row r="61725" spans="129:129" x14ac:dyDescent="0.2">
      <c r="DY61725" s="185" t="s">
        <v>215</v>
      </c>
    </row>
    <row r="61726" spans="129:129" x14ac:dyDescent="0.2">
      <c r="DY61726" s="185" t="s">
        <v>215</v>
      </c>
    </row>
    <row r="61727" spans="129:129" x14ac:dyDescent="0.2">
      <c r="DY61727" s="185" t="s">
        <v>215</v>
      </c>
    </row>
    <row r="61728" spans="129:129" x14ac:dyDescent="0.2">
      <c r="DY61728" s="185" t="s">
        <v>215</v>
      </c>
    </row>
    <row r="61729" spans="129:129" x14ac:dyDescent="0.2">
      <c r="DY61729" s="185" t="s">
        <v>215</v>
      </c>
    </row>
    <row r="61730" spans="129:129" x14ac:dyDescent="0.2">
      <c r="DY61730" s="185" t="s">
        <v>215</v>
      </c>
    </row>
    <row r="61731" spans="129:129" x14ac:dyDescent="0.2">
      <c r="DY61731" s="185" t="s">
        <v>215</v>
      </c>
    </row>
    <row r="61732" spans="129:129" x14ac:dyDescent="0.2">
      <c r="DY61732" s="185" t="s">
        <v>215</v>
      </c>
    </row>
    <row r="61733" spans="129:129" x14ac:dyDescent="0.2">
      <c r="DY61733" s="185" t="s">
        <v>215</v>
      </c>
    </row>
    <row r="61734" spans="129:129" x14ac:dyDescent="0.2">
      <c r="DY61734" s="185" t="s">
        <v>215</v>
      </c>
    </row>
    <row r="61735" spans="129:129" x14ac:dyDescent="0.2">
      <c r="DY61735" s="185" t="s">
        <v>215</v>
      </c>
    </row>
    <row r="61736" spans="129:129" x14ac:dyDescent="0.2">
      <c r="DY61736" s="185" t="s">
        <v>215</v>
      </c>
    </row>
    <row r="61737" spans="129:129" x14ac:dyDescent="0.2">
      <c r="DY61737" s="185" t="s">
        <v>215</v>
      </c>
    </row>
    <row r="61738" spans="129:129" x14ac:dyDescent="0.2">
      <c r="DY61738" s="185" t="s">
        <v>215</v>
      </c>
    </row>
    <row r="61739" spans="129:129" x14ac:dyDescent="0.2">
      <c r="DY61739" s="185" t="s">
        <v>215</v>
      </c>
    </row>
    <row r="61740" spans="129:129" x14ac:dyDescent="0.2">
      <c r="DY61740" s="185" t="s">
        <v>215</v>
      </c>
    </row>
    <row r="61741" spans="129:129" x14ac:dyDescent="0.2">
      <c r="DY61741" s="185" t="s">
        <v>215</v>
      </c>
    </row>
    <row r="61742" spans="129:129" x14ac:dyDescent="0.2">
      <c r="DY61742" s="185" t="s">
        <v>215</v>
      </c>
    </row>
    <row r="61743" spans="129:129" x14ac:dyDescent="0.2">
      <c r="DY61743" s="185" t="s">
        <v>215</v>
      </c>
    </row>
    <row r="61744" spans="129:129" x14ac:dyDescent="0.2">
      <c r="DY61744" s="185" t="s">
        <v>215</v>
      </c>
    </row>
    <row r="61745" spans="129:129" x14ac:dyDescent="0.2">
      <c r="DY61745" s="185" t="s">
        <v>215</v>
      </c>
    </row>
    <row r="61746" spans="129:129" x14ac:dyDescent="0.2">
      <c r="DY61746" s="185" t="s">
        <v>215</v>
      </c>
    </row>
    <row r="61747" spans="129:129" x14ac:dyDescent="0.2">
      <c r="DY61747" s="185" t="s">
        <v>215</v>
      </c>
    </row>
    <row r="61748" spans="129:129" x14ac:dyDescent="0.2">
      <c r="DY61748" s="185" t="s">
        <v>215</v>
      </c>
    </row>
    <row r="61749" spans="129:129" x14ac:dyDescent="0.2">
      <c r="DY61749" s="185" t="s">
        <v>215</v>
      </c>
    </row>
    <row r="61750" spans="129:129" x14ac:dyDescent="0.2">
      <c r="DY61750" s="185" t="s">
        <v>215</v>
      </c>
    </row>
    <row r="61751" spans="129:129" x14ac:dyDescent="0.2">
      <c r="DY61751" s="185" t="s">
        <v>215</v>
      </c>
    </row>
    <row r="61752" spans="129:129" x14ac:dyDescent="0.2">
      <c r="DY61752" s="185" t="s">
        <v>215</v>
      </c>
    </row>
    <row r="61753" spans="129:129" x14ac:dyDescent="0.2">
      <c r="DY61753" s="185" t="s">
        <v>215</v>
      </c>
    </row>
    <row r="61754" spans="129:129" x14ac:dyDescent="0.2">
      <c r="DY61754" s="185" t="s">
        <v>215</v>
      </c>
    </row>
    <row r="61755" spans="129:129" x14ac:dyDescent="0.2">
      <c r="DY61755" s="185" t="s">
        <v>215</v>
      </c>
    </row>
    <row r="61756" spans="129:129" x14ac:dyDescent="0.2">
      <c r="DY61756" s="185" t="s">
        <v>215</v>
      </c>
    </row>
    <row r="61757" spans="129:129" x14ac:dyDescent="0.2">
      <c r="DY61757" s="185" t="s">
        <v>215</v>
      </c>
    </row>
    <row r="61758" spans="129:129" x14ac:dyDescent="0.2">
      <c r="DY61758" s="185" t="s">
        <v>215</v>
      </c>
    </row>
    <row r="61759" spans="129:129" x14ac:dyDescent="0.2">
      <c r="DY61759" s="185" t="s">
        <v>215</v>
      </c>
    </row>
    <row r="61760" spans="129:129" x14ac:dyDescent="0.2">
      <c r="DY61760" s="185" t="s">
        <v>215</v>
      </c>
    </row>
    <row r="61761" spans="129:129" x14ac:dyDescent="0.2">
      <c r="DY61761" s="185" t="s">
        <v>215</v>
      </c>
    </row>
    <row r="61762" spans="129:129" x14ac:dyDescent="0.2">
      <c r="DY61762" s="185" t="s">
        <v>215</v>
      </c>
    </row>
    <row r="61763" spans="129:129" x14ac:dyDescent="0.2">
      <c r="DY61763" s="185" t="s">
        <v>215</v>
      </c>
    </row>
    <row r="61764" spans="129:129" x14ac:dyDescent="0.2">
      <c r="DY61764" s="185" t="s">
        <v>215</v>
      </c>
    </row>
    <row r="61765" spans="129:129" x14ac:dyDescent="0.2">
      <c r="DY61765" s="185" t="s">
        <v>215</v>
      </c>
    </row>
    <row r="61766" spans="129:129" x14ac:dyDescent="0.2">
      <c r="DY61766" s="185" t="s">
        <v>215</v>
      </c>
    </row>
    <row r="61767" spans="129:129" x14ac:dyDescent="0.2">
      <c r="DY61767" s="185" t="s">
        <v>215</v>
      </c>
    </row>
    <row r="61768" spans="129:129" x14ac:dyDescent="0.2">
      <c r="DY61768" s="185" t="s">
        <v>215</v>
      </c>
    </row>
    <row r="61769" spans="129:129" x14ac:dyDescent="0.2">
      <c r="DY61769" s="185" t="s">
        <v>215</v>
      </c>
    </row>
    <row r="61770" spans="129:129" x14ac:dyDescent="0.2">
      <c r="DY61770" s="185" t="s">
        <v>215</v>
      </c>
    </row>
    <row r="61771" spans="129:129" x14ac:dyDescent="0.2">
      <c r="DY61771" s="185" t="s">
        <v>215</v>
      </c>
    </row>
    <row r="61772" spans="129:129" x14ac:dyDescent="0.2">
      <c r="DY61772" s="185" t="s">
        <v>215</v>
      </c>
    </row>
    <row r="61773" spans="129:129" x14ac:dyDescent="0.2">
      <c r="DY61773" s="185" t="s">
        <v>215</v>
      </c>
    </row>
    <row r="61774" spans="129:129" x14ac:dyDescent="0.2">
      <c r="DY61774" s="185" t="s">
        <v>215</v>
      </c>
    </row>
    <row r="61775" spans="129:129" x14ac:dyDescent="0.2">
      <c r="DY61775" s="185" t="s">
        <v>215</v>
      </c>
    </row>
    <row r="61776" spans="129:129" x14ac:dyDescent="0.2">
      <c r="DY61776" s="185" t="s">
        <v>215</v>
      </c>
    </row>
    <row r="61777" spans="129:129" x14ac:dyDescent="0.2">
      <c r="DY61777" s="185" t="s">
        <v>215</v>
      </c>
    </row>
    <row r="61778" spans="129:129" x14ac:dyDescent="0.2">
      <c r="DY61778" s="185" t="s">
        <v>215</v>
      </c>
    </row>
    <row r="61779" spans="129:129" x14ac:dyDescent="0.2">
      <c r="DY61779" s="185" t="s">
        <v>215</v>
      </c>
    </row>
    <row r="61780" spans="129:129" x14ac:dyDescent="0.2">
      <c r="DY61780" s="185" t="s">
        <v>215</v>
      </c>
    </row>
    <row r="61781" spans="129:129" x14ac:dyDescent="0.2">
      <c r="DY61781" s="185" t="s">
        <v>215</v>
      </c>
    </row>
    <row r="61782" spans="129:129" x14ac:dyDescent="0.2">
      <c r="DY61782" s="185" t="s">
        <v>215</v>
      </c>
    </row>
    <row r="61783" spans="129:129" x14ac:dyDescent="0.2">
      <c r="DY61783" s="185" t="s">
        <v>215</v>
      </c>
    </row>
    <row r="61784" spans="129:129" x14ac:dyDescent="0.2">
      <c r="DY61784" s="185" t="s">
        <v>215</v>
      </c>
    </row>
    <row r="61785" spans="129:129" x14ac:dyDescent="0.2">
      <c r="DY61785" s="185" t="s">
        <v>215</v>
      </c>
    </row>
    <row r="61786" spans="129:129" x14ac:dyDescent="0.2">
      <c r="DY61786" s="185" t="s">
        <v>215</v>
      </c>
    </row>
    <row r="61787" spans="129:129" x14ac:dyDescent="0.2">
      <c r="DY61787" s="185" t="s">
        <v>215</v>
      </c>
    </row>
    <row r="61788" spans="129:129" x14ac:dyDescent="0.2">
      <c r="DY61788" s="185" t="s">
        <v>215</v>
      </c>
    </row>
    <row r="61789" spans="129:129" x14ac:dyDescent="0.2">
      <c r="DY61789" s="185" t="s">
        <v>215</v>
      </c>
    </row>
    <row r="61790" spans="129:129" x14ac:dyDescent="0.2">
      <c r="DY61790" s="185" t="s">
        <v>215</v>
      </c>
    </row>
    <row r="61791" spans="129:129" x14ac:dyDescent="0.2">
      <c r="DY61791" s="185" t="s">
        <v>215</v>
      </c>
    </row>
    <row r="61792" spans="129:129" x14ac:dyDescent="0.2">
      <c r="DY61792" s="185" t="s">
        <v>215</v>
      </c>
    </row>
    <row r="61793" spans="129:129" x14ac:dyDescent="0.2">
      <c r="DY61793" s="185" t="s">
        <v>215</v>
      </c>
    </row>
    <row r="61794" spans="129:129" x14ac:dyDescent="0.2">
      <c r="DY61794" s="185" t="s">
        <v>215</v>
      </c>
    </row>
    <row r="61795" spans="129:129" x14ac:dyDescent="0.2">
      <c r="DY61795" s="185" t="s">
        <v>215</v>
      </c>
    </row>
    <row r="61796" spans="129:129" x14ac:dyDescent="0.2">
      <c r="DY61796" s="185" t="s">
        <v>215</v>
      </c>
    </row>
    <row r="61797" spans="129:129" x14ac:dyDescent="0.2">
      <c r="DY61797" s="185" t="s">
        <v>215</v>
      </c>
    </row>
    <row r="61798" spans="129:129" x14ac:dyDescent="0.2">
      <c r="DY61798" s="185" t="s">
        <v>215</v>
      </c>
    </row>
    <row r="61799" spans="129:129" x14ac:dyDescent="0.2">
      <c r="DY61799" s="185" t="s">
        <v>215</v>
      </c>
    </row>
    <row r="61800" spans="129:129" x14ac:dyDescent="0.2">
      <c r="DY61800" s="185" t="s">
        <v>215</v>
      </c>
    </row>
    <row r="61801" spans="129:129" x14ac:dyDescent="0.2">
      <c r="DY61801" s="185" t="s">
        <v>215</v>
      </c>
    </row>
    <row r="61802" spans="129:129" x14ac:dyDescent="0.2">
      <c r="DY61802" s="185" t="s">
        <v>215</v>
      </c>
    </row>
    <row r="61803" spans="129:129" x14ac:dyDescent="0.2">
      <c r="DY61803" s="185" t="s">
        <v>215</v>
      </c>
    </row>
    <row r="61804" spans="129:129" x14ac:dyDescent="0.2">
      <c r="DY61804" s="185" t="s">
        <v>215</v>
      </c>
    </row>
    <row r="61805" spans="129:129" x14ac:dyDescent="0.2">
      <c r="DY61805" s="185" t="s">
        <v>215</v>
      </c>
    </row>
    <row r="61806" spans="129:129" x14ac:dyDescent="0.2">
      <c r="DY61806" s="185" t="s">
        <v>215</v>
      </c>
    </row>
    <row r="61807" spans="129:129" x14ac:dyDescent="0.2">
      <c r="DY61807" s="185" t="s">
        <v>215</v>
      </c>
    </row>
    <row r="61808" spans="129:129" x14ac:dyDescent="0.2">
      <c r="DY61808" s="185" t="s">
        <v>215</v>
      </c>
    </row>
    <row r="61809" spans="129:129" x14ac:dyDescent="0.2">
      <c r="DY61809" s="185" t="s">
        <v>215</v>
      </c>
    </row>
    <row r="61810" spans="129:129" x14ac:dyDescent="0.2">
      <c r="DY61810" s="185" t="s">
        <v>215</v>
      </c>
    </row>
    <row r="61811" spans="129:129" x14ac:dyDescent="0.2">
      <c r="DY61811" s="185" t="s">
        <v>215</v>
      </c>
    </row>
    <row r="61812" spans="129:129" x14ac:dyDescent="0.2">
      <c r="DY61812" s="185" t="s">
        <v>215</v>
      </c>
    </row>
    <row r="61813" spans="129:129" x14ac:dyDescent="0.2">
      <c r="DY61813" s="185" t="s">
        <v>215</v>
      </c>
    </row>
    <row r="61814" spans="129:129" x14ac:dyDescent="0.2">
      <c r="DY61814" s="185" t="s">
        <v>215</v>
      </c>
    </row>
    <row r="61815" spans="129:129" x14ac:dyDescent="0.2">
      <c r="DY61815" s="185" t="s">
        <v>215</v>
      </c>
    </row>
    <row r="61816" spans="129:129" x14ac:dyDescent="0.2">
      <c r="DY61816" s="185" t="s">
        <v>215</v>
      </c>
    </row>
    <row r="61817" spans="129:129" x14ac:dyDescent="0.2">
      <c r="DY61817" s="185" t="s">
        <v>215</v>
      </c>
    </row>
    <row r="61818" spans="129:129" x14ac:dyDescent="0.2">
      <c r="DY61818" s="185" t="s">
        <v>215</v>
      </c>
    </row>
    <row r="61819" spans="129:129" x14ac:dyDescent="0.2">
      <c r="DY61819" s="185" t="s">
        <v>215</v>
      </c>
    </row>
    <row r="61820" spans="129:129" x14ac:dyDescent="0.2">
      <c r="DY61820" s="185" t="s">
        <v>215</v>
      </c>
    </row>
    <row r="61821" spans="129:129" x14ac:dyDescent="0.2">
      <c r="DY61821" s="185" t="s">
        <v>215</v>
      </c>
    </row>
    <row r="61822" spans="129:129" x14ac:dyDescent="0.2">
      <c r="DY61822" s="185" t="s">
        <v>215</v>
      </c>
    </row>
    <row r="61823" spans="129:129" x14ac:dyDescent="0.2">
      <c r="DY61823" s="185" t="s">
        <v>215</v>
      </c>
    </row>
    <row r="61824" spans="129:129" x14ac:dyDescent="0.2">
      <c r="DY61824" s="185" t="s">
        <v>215</v>
      </c>
    </row>
    <row r="61825" spans="129:129" x14ac:dyDescent="0.2">
      <c r="DY61825" s="185" t="s">
        <v>215</v>
      </c>
    </row>
    <row r="61826" spans="129:129" x14ac:dyDescent="0.2">
      <c r="DY61826" s="185" t="s">
        <v>215</v>
      </c>
    </row>
    <row r="61827" spans="129:129" x14ac:dyDescent="0.2">
      <c r="DY61827" s="185" t="s">
        <v>215</v>
      </c>
    </row>
    <row r="61828" spans="129:129" x14ac:dyDescent="0.2">
      <c r="DY61828" s="185" t="s">
        <v>215</v>
      </c>
    </row>
    <row r="61829" spans="129:129" x14ac:dyDescent="0.2">
      <c r="DY61829" s="185" t="s">
        <v>215</v>
      </c>
    </row>
    <row r="61830" spans="129:129" x14ac:dyDescent="0.2">
      <c r="DY61830" s="185" t="s">
        <v>215</v>
      </c>
    </row>
    <row r="61831" spans="129:129" x14ac:dyDescent="0.2">
      <c r="DY61831" s="185" t="s">
        <v>215</v>
      </c>
    </row>
    <row r="61832" spans="129:129" x14ac:dyDescent="0.2">
      <c r="DY61832" s="185" t="s">
        <v>215</v>
      </c>
    </row>
    <row r="61833" spans="129:129" x14ac:dyDescent="0.2">
      <c r="DY61833" s="185" t="s">
        <v>215</v>
      </c>
    </row>
    <row r="61834" spans="129:129" x14ac:dyDescent="0.2">
      <c r="DY61834" s="185" t="s">
        <v>215</v>
      </c>
    </row>
    <row r="61835" spans="129:129" x14ac:dyDescent="0.2">
      <c r="DY61835" s="185" t="s">
        <v>215</v>
      </c>
    </row>
    <row r="61836" spans="129:129" x14ac:dyDescent="0.2">
      <c r="DY61836" s="185" t="s">
        <v>215</v>
      </c>
    </row>
    <row r="61837" spans="129:129" x14ac:dyDescent="0.2">
      <c r="DY61837" s="185" t="s">
        <v>215</v>
      </c>
    </row>
    <row r="61838" spans="129:129" x14ac:dyDescent="0.2">
      <c r="DY61838" s="185" t="s">
        <v>215</v>
      </c>
    </row>
    <row r="61839" spans="129:129" x14ac:dyDescent="0.2">
      <c r="DY61839" s="185" t="s">
        <v>215</v>
      </c>
    </row>
    <row r="61840" spans="129:129" x14ac:dyDescent="0.2">
      <c r="DY61840" s="185" t="s">
        <v>215</v>
      </c>
    </row>
    <row r="61841" spans="129:129" x14ac:dyDescent="0.2">
      <c r="DY61841" s="185" t="s">
        <v>215</v>
      </c>
    </row>
    <row r="61842" spans="129:129" x14ac:dyDescent="0.2">
      <c r="DY61842" s="185" t="s">
        <v>215</v>
      </c>
    </row>
    <row r="61843" spans="129:129" x14ac:dyDescent="0.2">
      <c r="DY61843" s="185" t="s">
        <v>215</v>
      </c>
    </row>
    <row r="61844" spans="129:129" x14ac:dyDescent="0.2">
      <c r="DY61844" s="185" t="s">
        <v>215</v>
      </c>
    </row>
    <row r="61845" spans="129:129" x14ac:dyDescent="0.2">
      <c r="DY61845" s="185" t="s">
        <v>215</v>
      </c>
    </row>
    <row r="61846" spans="129:129" x14ac:dyDescent="0.2">
      <c r="DY61846" s="185" t="s">
        <v>215</v>
      </c>
    </row>
    <row r="61847" spans="129:129" x14ac:dyDescent="0.2">
      <c r="DY61847" s="185" t="s">
        <v>215</v>
      </c>
    </row>
    <row r="61848" spans="129:129" x14ac:dyDescent="0.2">
      <c r="DY61848" s="185" t="s">
        <v>215</v>
      </c>
    </row>
    <row r="61849" spans="129:129" x14ac:dyDescent="0.2">
      <c r="DY61849" s="185" t="s">
        <v>215</v>
      </c>
    </row>
    <row r="61850" spans="129:129" x14ac:dyDescent="0.2">
      <c r="DY61850" s="185" t="s">
        <v>215</v>
      </c>
    </row>
    <row r="61851" spans="129:129" x14ac:dyDescent="0.2">
      <c r="DY61851" s="185" t="s">
        <v>215</v>
      </c>
    </row>
    <row r="61852" spans="129:129" x14ac:dyDescent="0.2">
      <c r="DY61852" s="185" t="s">
        <v>215</v>
      </c>
    </row>
    <row r="61853" spans="129:129" x14ac:dyDescent="0.2">
      <c r="DY61853" s="185" t="s">
        <v>215</v>
      </c>
    </row>
    <row r="61854" spans="129:129" x14ac:dyDescent="0.2">
      <c r="DY61854" s="185" t="s">
        <v>215</v>
      </c>
    </row>
    <row r="61855" spans="129:129" x14ac:dyDescent="0.2">
      <c r="DY61855" s="185" t="s">
        <v>215</v>
      </c>
    </row>
    <row r="61856" spans="129:129" x14ac:dyDescent="0.2">
      <c r="DY61856" s="185" t="s">
        <v>215</v>
      </c>
    </row>
    <row r="61857" spans="129:129" x14ac:dyDescent="0.2">
      <c r="DY61857" s="185" t="s">
        <v>215</v>
      </c>
    </row>
    <row r="61858" spans="129:129" x14ac:dyDescent="0.2">
      <c r="DY61858" s="185" t="s">
        <v>215</v>
      </c>
    </row>
    <row r="61859" spans="129:129" x14ac:dyDescent="0.2">
      <c r="DY61859" s="185" t="s">
        <v>215</v>
      </c>
    </row>
    <row r="61860" spans="129:129" x14ac:dyDescent="0.2">
      <c r="DY61860" s="185" t="s">
        <v>215</v>
      </c>
    </row>
    <row r="61861" spans="129:129" x14ac:dyDescent="0.2">
      <c r="DY61861" s="185" t="s">
        <v>215</v>
      </c>
    </row>
    <row r="61862" spans="129:129" x14ac:dyDescent="0.2">
      <c r="DY61862" s="185" t="s">
        <v>215</v>
      </c>
    </row>
    <row r="61863" spans="129:129" x14ac:dyDescent="0.2">
      <c r="DY61863" s="185" t="s">
        <v>215</v>
      </c>
    </row>
    <row r="61864" spans="129:129" x14ac:dyDescent="0.2">
      <c r="DY61864" s="185" t="s">
        <v>215</v>
      </c>
    </row>
    <row r="61865" spans="129:129" x14ac:dyDescent="0.2">
      <c r="DY61865" s="185" t="s">
        <v>215</v>
      </c>
    </row>
    <row r="61866" spans="129:129" x14ac:dyDescent="0.2">
      <c r="DY61866" s="185" t="s">
        <v>215</v>
      </c>
    </row>
    <row r="61867" spans="129:129" x14ac:dyDescent="0.2">
      <c r="DY61867" s="185" t="s">
        <v>215</v>
      </c>
    </row>
    <row r="61868" spans="129:129" x14ac:dyDescent="0.2">
      <c r="DY61868" s="185" t="s">
        <v>215</v>
      </c>
    </row>
    <row r="61869" spans="129:129" x14ac:dyDescent="0.2">
      <c r="DY61869" s="185" t="s">
        <v>215</v>
      </c>
    </row>
    <row r="61870" spans="129:129" x14ac:dyDescent="0.2">
      <c r="DY61870" s="185" t="s">
        <v>215</v>
      </c>
    </row>
    <row r="61871" spans="129:129" x14ac:dyDescent="0.2">
      <c r="DY61871" s="185" t="s">
        <v>215</v>
      </c>
    </row>
    <row r="61872" spans="129:129" x14ac:dyDescent="0.2">
      <c r="DY61872" s="185" t="s">
        <v>215</v>
      </c>
    </row>
    <row r="61873" spans="129:129" x14ac:dyDescent="0.2">
      <c r="DY61873" s="185" t="s">
        <v>215</v>
      </c>
    </row>
    <row r="61874" spans="129:129" x14ac:dyDescent="0.2">
      <c r="DY61874" s="185" t="s">
        <v>215</v>
      </c>
    </row>
    <row r="61875" spans="129:129" x14ac:dyDescent="0.2">
      <c r="DY61875" s="185" t="s">
        <v>215</v>
      </c>
    </row>
    <row r="61876" spans="129:129" x14ac:dyDescent="0.2">
      <c r="DY61876" s="185" t="s">
        <v>215</v>
      </c>
    </row>
    <row r="61877" spans="129:129" x14ac:dyDescent="0.2">
      <c r="DY61877" s="185" t="s">
        <v>215</v>
      </c>
    </row>
    <row r="61878" spans="129:129" x14ac:dyDescent="0.2">
      <c r="DY61878" s="185" t="s">
        <v>215</v>
      </c>
    </row>
    <row r="61879" spans="129:129" x14ac:dyDescent="0.2">
      <c r="DY61879" s="185" t="s">
        <v>215</v>
      </c>
    </row>
    <row r="61880" spans="129:129" x14ac:dyDescent="0.2">
      <c r="DY61880" s="185" t="s">
        <v>215</v>
      </c>
    </row>
    <row r="61881" spans="129:129" x14ac:dyDescent="0.2">
      <c r="DY61881" s="185" t="s">
        <v>215</v>
      </c>
    </row>
    <row r="61882" spans="129:129" x14ac:dyDescent="0.2">
      <c r="DY61882" s="185" t="s">
        <v>215</v>
      </c>
    </row>
    <row r="61883" spans="129:129" x14ac:dyDescent="0.2">
      <c r="DY61883" s="185" t="s">
        <v>215</v>
      </c>
    </row>
    <row r="61884" spans="129:129" x14ac:dyDescent="0.2">
      <c r="DY61884" s="185" t="s">
        <v>215</v>
      </c>
    </row>
    <row r="61885" spans="129:129" x14ac:dyDescent="0.2">
      <c r="DY61885" s="185" t="s">
        <v>215</v>
      </c>
    </row>
    <row r="61886" spans="129:129" x14ac:dyDescent="0.2">
      <c r="DY61886" s="185" t="s">
        <v>215</v>
      </c>
    </row>
    <row r="61887" spans="129:129" x14ac:dyDescent="0.2">
      <c r="DY61887" s="185" t="s">
        <v>215</v>
      </c>
    </row>
    <row r="61888" spans="129:129" x14ac:dyDescent="0.2">
      <c r="DY61888" s="185" t="s">
        <v>215</v>
      </c>
    </row>
    <row r="61889" spans="129:129" x14ac:dyDescent="0.2">
      <c r="DY61889" s="185" t="s">
        <v>215</v>
      </c>
    </row>
    <row r="61890" spans="129:129" x14ac:dyDescent="0.2">
      <c r="DY61890" s="185" t="s">
        <v>215</v>
      </c>
    </row>
    <row r="61891" spans="129:129" x14ac:dyDescent="0.2">
      <c r="DY61891" s="185" t="s">
        <v>215</v>
      </c>
    </row>
    <row r="61892" spans="129:129" x14ac:dyDescent="0.2">
      <c r="DY61892" s="185" t="s">
        <v>215</v>
      </c>
    </row>
    <row r="61893" spans="129:129" x14ac:dyDescent="0.2">
      <c r="DY61893" s="185" t="s">
        <v>215</v>
      </c>
    </row>
    <row r="61894" spans="129:129" x14ac:dyDescent="0.2">
      <c r="DY61894" s="185" t="s">
        <v>215</v>
      </c>
    </row>
    <row r="61895" spans="129:129" x14ac:dyDescent="0.2">
      <c r="DY61895" s="185" t="s">
        <v>215</v>
      </c>
    </row>
    <row r="61896" spans="129:129" x14ac:dyDescent="0.2">
      <c r="DY61896" s="185" t="s">
        <v>215</v>
      </c>
    </row>
    <row r="61897" spans="129:129" x14ac:dyDescent="0.2">
      <c r="DY61897" s="185" t="s">
        <v>215</v>
      </c>
    </row>
    <row r="61898" spans="129:129" x14ac:dyDescent="0.2">
      <c r="DY61898" s="185" t="s">
        <v>215</v>
      </c>
    </row>
    <row r="61899" spans="129:129" x14ac:dyDescent="0.2">
      <c r="DY61899" s="185" t="s">
        <v>215</v>
      </c>
    </row>
    <row r="61900" spans="129:129" x14ac:dyDescent="0.2">
      <c r="DY61900" s="185" t="s">
        <v>215</v>
      </c>
    </row>
    <row r="61901" spans="129:129" x14ac:dyDescent="0.2">
      <c r="DY61901" s="185" t="s">
        <v>215</v>
      </c>
    </row>
    <row r="61902" spans="129:129" x14ac:dyDescent="0.2">
      <c r="DY61902" s="185" t="s">
        <v>215</v>
      </c>
    </row>
    <row r="61903" spans="129:129" x14ac:dyDescent="0.2">
      <c r="DY61903" s="185" t="s">
        <v>215</v>
      </c>
    </row>
    <row r="61904" spans="129:129" x14ac:dyDescent="0.2">
      <c r="DY61904" s="185" t="s">
        <v>215</v>
      </c>
    </row>
    <row r="61905" spans="129:129" x14ac:dyDescent="0.2">
      <c r="DY61905" s="185" t="s">
        <v>215</v>
      </c>
    </row>
    <row r="61906" spans="129:129" x14ac:dyDescent="0.2">
      <c r="DY61906" s="185" t="s">
        <v>215</v>
      </c>
    </row>
    <row r="61907" spans="129:129" x14ac:dyDescent="0.2">
      <c r="DY61907" s="185" t="s">
        <v>215</v>
      </c>
    </row>
    <row r="61908" spans="129:129" x14ac:dyDescent="0.2">
      <c r="DY61908" s="185" t="s">
        <v>215</v>
      </c>
    </row>
    <row r="61909" spans="129:129" x14ac:dyDescent="0.2">
      <c r="DY61909" s="185" t="s">
        <v>215</v>
      </c>
    </row>
    <row r="61910" spans="129:129" x14ac:dyDescent="0.2">
      <c r="DY61910" s="185" t="s">
        <v>215</v>
      </c>
    </row>
    <row r="61911" spans="129:129" x14ac:dyDescent="0.2">
      <c r="DY61911" s="185" t="s">
        <v>215</v>
      </c>
    </row>
    <row r="61912" spans="129:129" x14ac:dyDescent="0.2">
      <c r="DY61912" s="185" t="s">
        <v>215</v>
      </c>
    </row>
    <row r="61913" spans="129:129" x14ac:dyDescent="0.2">
      <c r="DY61913" s="185" t="s">
        <v>215</v>
      </c>
    </row>
    <row r="61914" spans="129:129" x14ac:dyDescent="0.2">
      <c r="DY61914" s="185" t="s">
        <v>215</v>
      </c>
    </row>
    <row r="61915" spans="129:129" x14ac:dyDescent="0.2">
      <c r="DY61915" s="185" t="s">
        <v>215</v>
      </c>
    </row>
    <row r="61916" spans="129:129" x14ac:dyDescent="0.2">
      <c r="DY61916" s="185" t="s">
        <v>215</v>
      </c>
    </row>
    <row r="61917" spans="129:129" x14ac:dyDescent="0.2">
      <c r="DY61917" s="185" t="s">
        <v>215</v>
      </c>
    </row>
    <row r="61918" spans="129:129" x14ac:dyDescent="0.2">
      <c r="DY61918" s="185" t="s">
        <v>215</v>
      </c>
    </row>
    <row r="61919" spans="129:129" x14ac:dyDescent="0.2">
      <c r="DY61919" s="185" t="s">
        <v>215</v>
      </c>
    </row>
    <row r="61920" spans="129:129" x14ac:dyDescent="0.2">
      <c r="DY61920" s="185" t="s">
        <v>215</v>
      </c>
    </row>
    <row r="61921" spans="129:129" x14ac:dyDescent="0.2">
      <c r="DY61921" s="185" t="s">
        <v>215</v>
      </c>
    </row>
    <row r="61922" spans="129:129" x14ac:dyDescent="0.2">
      <c r="DY61922" s="185" t="s">
        <v>215</v>
      </c>
    </row>
    <row r="61923" spans="129:129" x14ac:dyDescent="0.2">
      <c r="DY61923" s="185" t="s">
        <v>215</v>
      </c>
    </row>
    <row r="61924" spans="129:129" x14ac:dyDescent="0.2">
      <c r="DY61924" s="185" t="s">
        <v>215</v>
      </c>
    </row>
    <row r="61925" spans="129:129" x14ac:dyDescent="0.2">
      <c r="DY61925" s="185" t="s">
        <v>215</v>
      </c>
    </row>
    <row r="61926" spans="129:129" x14ac:dyDescent="0.2">
      <c r="DY61926" s="185" t="s">
        <v>215</v>
      </c>
    </row>
    <row r="61927" spans="129:129" x14ac:dyDescent="0.2">
      <c r="DY61927" s="185" t="s">
        <v>215</v>
      </c>
    </row>
    <row r="61928" spans="129:129" x14ac:dyDescent="0.2">
      <c r="DY61928" s="185" t="s">
        <v>215</v>
      </c>
    </row>
    <row r="61929" spans="129:129" x14ac:dyDescent="0.2">
      <c r="DY61929" s="185" t="s">
        <v>215</v>
      </c>
    </row>
    <row r="61930" spans="129:129" x14ac:dyDescent="0.2">
      <c r="DY61930" s="185" t="s">
        <v>215</v>
      </c>
    </row>
    <row r="61931" spans="129:129" x14ac:dyDescent="0.2">
      <c r="DY61931" s="185" t="s">
        <v>215</v>
      </c>
    </row>
    <row r="61932" spans="129:129" x14ac:dyDescent="0.2">
      <c r="DY61932" s="185" t="s">
        <v>215</v>
      </c>
    </row>
    <row r="61933" spans="129:129" x14ac:dyDescent="0.2">
      <c r="DY61933" s="185" t="s">
        <v>215</v>
      </c>
    </row>
    <row r="61934" spans="129:129" x14ac:dyDescent="0.2">
      <c r="DY61934" s="185" t="s">
        <v>215</v>
      </c>
    </row>
    <row r="61935" spans="129:129" x14ac:dyDescent="0.2">
      <c r="DY61935" s="185" t="s">
        <v>215</v>
      </c>
    </row>
    <row r="61936" spans="129:129" x14ac:dyDescent="0.2">
      <c r="DY61936" s="185" t="s">
        <v>215</v>
      </c>
    </row>
    <row r="61937" spans="129:129" x14ac:dyDescent="0.2">
      <c r="DY61937" s="185" t="s">
        <v>215</v>
      </c>
    </row>
    <row r="61938" spans="129:129" x14ac:dyDescent="0.2">
      <c r="DY61938" s="185" t="s">
        <v>215</v>
      </c>
    </row>
    <row r="61939" spans="129:129" x14ac:dyDescent="0.2">
      <c r="DY61939" s="185" t="s">
        <v>215</v>
      </c>
    </row>
    <row r="61940" spans="129:129" x14ac:dyDescent="0.2">
      <c r="DY61940" s="185" t="s">
        <v>215</v>
      </c>
    </row>
    <row r="61941" spans="129:129" x14ac:dyDescent="0.2">
      <c r="DY61941" s="185" t="s">
        <v>215</v>
      </c>
    </row>
    <row r="61942" spans="129:129" x14ac:dyDescent="0.2">
      <c r="DY61942" s="185" t="s">
        <v>215</v>
      </c>
    </row>
    <row r="61943" spans="129:129" x14ac:dyDescent="0.2">
      <c r="DY61943" s="185" t="s">
        <v>215</v>
      </c>
    </row>
    <row r="61944" spans="129:129" x14ac:dyDescent="0.2">
      <c r="DY61944" s="185" t="s">
        <v>215</v>
      </c>
    </row>
    <row r="61945" spans="129:129" x14ac:dyDescent="0.2">
      <c r="DY61945" s="185" t="s">
        <v>215</v>
      </c>
    </row>
    <row r="61946" spans="129:129" x14ac:dyDescent="0.2">
      <c r="DY61946" s="185" t="s">
        <v>215</v>
      </c>
    </row>
    <row r="61947" spans="129:129" x14ac:dyDescent="0.2">
      <c r="DY61947" s="185" t="s">
        <v>215</v>
      </c>
    </row>
    <row r="61948" spans="129:129" x14ac:dyDescent="0.2">
      <c r="DY61948" s="185" t="s">
        <v>215</v>
      </c>
    </row>
    <row r="61949" spans="129:129" x14ac:dyDescent="0.2">
      <c r="DY61949" s="185" t="s">
        <v>215</v>
      </c>
    </row>
    <row r="61950" spans="129:129" x14ac:dyDescent="0.2">
      <c r="DY61950" s="185" t="s">
        <v>215</v>
      </c>
    </row>
    <row r="61951" spans="129:129" x14ac:dyDescent="0.2">
      <c r="DY61951" s="185" t="s">
        <v>215</v>
      </c>
    </row>
    <row r="61952" spans="129:129" x14ac:dyDescent="0.2">
      <c r="DY61952" s="185" t="s">
        <v>215</v>
      </c>
    </row>
    <row r="61953" spans="129:129" x14ac:dyDescent="0.2">
      <c r="DY61953" s="185" t="s">
        <v>215</v>
      </c>
    </row>
    <row r="61954" spans="129:129" x14ac:dyDescent="0.2">
      <c r="DY61954" s="185" t="s">
        <v>215</v>
      </c>
    </row>
    <row r="61955" spans="129:129" x14ac:dyDescent="0.2">
      <c r="DY61955" s="185" t="s">
        <v>215</v>
      </c>
    </row>
    <row r="61956" spans="129:129" x14ac:dyDescent="0.2">
      <c r="DY61956" s="185" t="s">
        <v>215</v>
      </c>
    </row>
    <row r="61957" spans="129:129" x14ac:dyDescent="0.2">
      <c r="DY61957" s="185" t="s">
        <v>215</v>
      </c>
    </row>
    <row r="61958" spans="129:129" x14ac:dyDescent="0.2">
      <c r="DY61958" s="185" t="s">
        <v>215</v>
      </c>
    </row>
    <row r="61959" spans="129:129" x14ac:dyDescent="0.2">
      <c r="DY61959" s="185" t="s">
        <v>215</v>
      </c>
    </row>
    <row r="61960" spans="129:129" x14ac:dyDescent="0.2">
      <c r="DY61960" s="185" t="s">
        <v>215</v>
      </c>
    </row>
    <row r="61961" spans="129:129" x14ac:dyDescent="0.2">
      <c r="DY61961" s="185" t="s">
        <v>215</v>
      </c>
    </row>
    <row r="61962" spans="129:129" x14ac:dyDescent="0.2">
      <c r="DY61962" s="185" t="s">
        <v>215</v>
      </c>
    </row>
    <row r="61963" spans="129:129" x14ac:dyDescent="0.2">
      <c r="DY61963" s="185" t="s">
        <v>215</v>
      </c>
    </row>
    <row r="61964" spans="129:129" x14ac:dyDescent="0.2">
      <c r="DY61964" s="185" t="s">
        <v>215</v>
      </c>
    </row>
    <row r="61965" spans="129:129" x14ac:dyDescent="0.2">
      <c r="DY61965" s="185" t="s">
        <v>215</v>
      </c>
    </row>
    <row r="61966" spans="129:129" x14ac:dyDescent="0.2">
      <c r="DY61966" s="185" t="s">
        <v>215</v>
      </c>
    </row>
    <row r="61967" spans="129:129" x14ac:dyDescent="0.2">
      <c r="DY61967" s="185" t="s">
        <v>215</v>
      </c>
    </row>
    <row r="61968" spans="129:129" x14ac:dyDescent="0.2">
      <c r="DY61968" s="185" t="s">
        <v>215</v>
      </c>
    </row>
    <row r="61969" spans="129:129" x14ac:dyDescent="0.2">
      <c r="DY61969" s="185" t="s">
        <v>215</v>
      </c>
    </row>
    <row r="61970" spans="129:129" x14ac:dyDescent="0.2">
      <c r="DY61970" s="185" t="s">
        <v>215</v>
      </c>
    </row>
    <row r="61971" spans="129:129" x14ac:dyDescent="0.2">
      <c r="DY61971" s="185" t="s">
        <v>215</v>
      </c>
    </row>
    <row r="61972" spans="129:129" x14ac:dyDescent="0.2">
      <c r="DY61972" s="185" t="s">
        <v>215</v>
      </c>
    </row>
    <row r="61973" spans="129:129" x14ac:dyDescent="0.2">
      <c r="DY61973" s="185" t="s">
        <v>215</v>
      </c>
    </row>
    <row r="61974" spans="129:129" x14ac:dyDescent="0.2">
      <c r="DY61974" s="185" t="s">
        <v>215</v>
      </c>
    </row>
    <row r="61975" spans="129:129" x14ac:dyDescent="0.2">
      <c r="DY61975" s="185" t="s">
        <v>215</v>
      </c>
    </row>
    <row r="61976" spans="129:129" x14ac:dyDescent="0.2">
      <c r="DY61976" s="185" t="s">
        <v>215</v>
      </c>
    </row>
    <row r="61977" spans="129:129" x14ac:dyDescent="0.2">
      <c r="DY61977" s="185" t="s">
        <v>215</v>
      </c>
    </row>
    <row r="61978" spans="129:129" x14ac:dyDescent="0.2">
      <c r="DY61978" s="185" t="s">
        <v>215</v>
      </c>
    </row>
    <row r="61979" spans="129:129" x14ac:dyDescent="0.2">
      <c r="DY61979" s="185" t="s">
        <v>215</v>
      </c>
    </row>
    <row r="61980" spans="129:129" x14ac:dyDescent="0.2">
      <c r="DY61980" s="185" t="s">
        <v>215</v>
      </c>
    </row>
    <row r="61981" spans="129:129" x14ac:dyDescent="0.2">
      <c r="DY61981" s="185" t="s">
        <v>215</v>
      </c>
    </row>
    <row r="61982" spans="129:129" x14ac:dyDescent="0.2">
      <c r="DY61982" s="185" t="s">
        <v>215</v>
      </c>
    </row>
    <row r="61983" spans="129:129" x14ac:dyDescent="0.2">
      <c r="DY61983" s="185" t="s">
        <v>215</v>
      </c>
    </row>
    <row r="61984" spans="129:129" x14ac:dyDescent="0.2">
      <c r="DY61984" s="185" t="s">
        <v>215</v>
      </c>
    </row>
    <row r="61985" spans="129:129" x14ac:dyDescent="0.2">
      <c r="DY61985" s="185" t="s">
        <v>215</v>
      </c>
    </row>
    <row r="61986" spans="129:129" x14ac:dyDescent="0.2">
      <c r="DY61986" s="185" t="s">
        <v>215</v>
      </c>
    </row>
    <row r="61987" spans="129:129" x14ac:dyDescent="0.2">
      <c r="DY61987" s="185" t="s">
        <v>215</v>
      </c>
    </row>
    <row r="61988" spans="129:129" x14ac:dyDescent="0.2">
      <c r="DY61988" s="185" t="s">
        <v>215</v>
      </c>
    </row>
    <row r="61989" spans="129:129" x14ac:dyDescent="0.2">
      <c r="DY61989" s="185" t="s">
        <v>215</v>
      </c>
    </row>
    <row r="61990" spans="129:129" x14ac:dyDescent="0.2">
      <c r="DY61990" s="185" t="s">
        <v>215</v>
      </c>
    </row>
    <row r="61991" spans="129:129" x14ac:dyDescent="0.2">
      <c r="DY61991" s="185" t="s">
        <v>215</v>
      </c>
    </row>
    <row r="61992" spans="129:129" x14ac:dyDescent="0.2">
      <c r="DY61992" s="185" t="s">
        <v>215</v>
      </c>
    </row>
    <row r="61993" spans="129:129" x14ac:dyDescent="0.2">
      <c r="DY61993" s="185" t="s">
        <v>215</v>
      </c>
    </row>
    <row r="61994" spans="129:129" x14ac:dyDescent="0.2">
      <c r="DY61994" s="185" t="s">
        <v>215</v>
      </c>
    </row>
    <row r="61995" spans="129:129" x14ac:dyDescent="0.2">
      <c r="DY61995" s="185" t="s">
        <v>215</v>
      </c>
    </row>
    <row r="61996" spans="129:129" x14ac:dyDescent="0.2">
      <c r="DY61996" s="185" t="s">
        <v>215</v>
      </c>
    </row>
    <row r="61997" spans="129:129" x14ac:dyDescent="0.2">
      <c r="DY61997" s="185" t="s">
        <v>215</v>
      </c>
    </row>
    <row r="61998" spans="129:129" x14ac:dyDescent="0.2">
      <c r="DY61998" s="185" t="s">
        <v>215</v>
      </c>
    </row>
    <row r="61999" spans="129:129" x14ac:dyDescent="0.2">
      <c r="DY61999" s="185" t="s">
        <v>215</v>
      </c>
    </row>
    <row r="62000" spans="129:129" x14ac:dyDescent="0.2">
      <c r="DY62000" s="185" t="s">
        <v>215</v>
      </c>
    </row>
    <row r="62001" spans="129:129" x14ac:dyDescent="0.2">
      <c r="DY62001" s="185" t="s">
        <v>215</v>
      </c>
    </row>
    <row r="62002" spans="129:129" x14ac:dyDescent="0.2">
      <c r="DY62002" s="185" t="s">
        <v>215</v>
      </c>
    </row>
    <row r="62003" spans="129:129" x14ac:dyDescent="0.2">
      <c r="DY62003" s="185" t="s">
        <v>215</v>
      </c>
    </row>
    <row r="62004" spans="129:129" x14ac:dyDescent="0.2">
      <c r="DY62004" s="185" t="s">
        <v>215</v>
      </c>
    </row>
    <row r="62005" spans="129:129" x14ac:dyDescent="0.2">
      <c r="DY62005" s="185" t="s">
        <v>215</v>
      </c>
    </row>
    <row r="62006" spans="129:129" x14ac:dyDescent="0.2">
      <c r="DY62006" s="185" t="s">
        <v>215</v>
      </c>
    </row>
    <row r="62007" spans="129:129" x14ac:dyDescent="0.2">
      <c r="DY62007" s="185" t="s">
        <v>215</v>
      </c>
    </row>
    <row r="62008" spans="129:129" x14ac:dyDescent="0.2">
      <c r="DY62008" s="185" t="s">
        <v>215</v>
      </c>
    </row>
    <row r="62009" spans="129:129" x14ac:dyDescent="0.2">
      <c r="DY62009" s="185" t="s">
        <v>215</v>
      </c>
    </row>
    <row r="62010" spans="129:129" x14ac:dyDescent="0.2">
      <c r="DY62010" s="185" t="s">
        <v>215</v>
      </c>
    </row>
    <row r="62011" spans="129:129" x14ac:dyDescent="0.2">
      <c r="DY62011" s="185" t="s">
        <v>215</v>
      </c>
    </row>
    <row r="62012" spans="129:129" x14ac:dyDescent="0.2">
      <c r="DY62012" s="185" t="s">
        <v>215</v>
      </c>
    </row>
    <row r="62013" spans="129:129" x14ac:dyDescent="0.2">
      <c r="DY62013" s="185" t="s">
        <v>215</v>
      </c>
    </row>
    <row r="62014" spans="129:129" x14ac:dyDescent="0.2">
      <c r="DY62014" s="185" t="s">
        <v>215</v>
      </c>
    </row>
    <row r="62015" spans="129:129" x14ac:dyDescent="0.2">
      <c r="DY62015" s="185" t="s">
        <v>215</v>
      </c>
    </row>
    <row r="62016" spans="129:129" x14ac:dyDescent="0.2">
      <c r="DY62016" s="185" t="s">
        <v>215</v>
      </c>
    </row>
    <row r="62017" spans="129:129" x14ac:dyDescent="0.2">
      <c r="DY62017" s="185" t="s">
        <v>215</v>
      </c>
    </row>
    <row r="62018" spans="129:129" x14ac:dyDescent="0.2">
      <c r="DY62018" s="185" t="s">
        <v>215</v>
      </c>
    </row>
    <row r="62019" spans="129:129" x14ac:dyDescent="0.2">
      <c r="DY62019" s="185" t="s">
        <v>215</v>
      </c>
    </row>
    <row r="62020" spans="129:129" x14ac:dyDescent="0.2">
      <c r="DY62020" s="185" t="s">
        <v>215</v>
      </c>
    </row>
    <row r="62021" spans="129:129" x14ac:dyDescent="0.2">
      <c r="DY62021" s="185" t="s">
        <v>215</v>
      </c>
    </row>
    <row r="62022" spans="129:129" x14ac:dyDescent="0.2">
      <c r="DY62022" s="185" t="s">
        <v>215</v>
      </c>
    </row>
    <row r="62023" spans="129:129" x14ac:dyDescent="0.2">
      <c r="DY62023" s="185" t="s">
        <v>215</v>
      </c>
    </row>
    <row r="62024" spans="129:129" x14ac:dyDescent="0.2">
      <c r="DY62024" s="185" t="s">
        <v>215</v>
      </c>
    </row>
    <row r="62025" spans="129:129" x14ac:dyDescent="0.2">
      <c r="DY62025" s="185" t="s">
        <v>215</v>
      </c>
    </row>
    <row r="62026" spans="129:129" x14ac:dyDescent="0.2">
      <c r="DY62026" s="185" t="s">
        <v>215</v>
      </c>
    </row>
    <row r="62027" spans="129:129" x14ac:dyDescent="0.2">
      <c r="DY62027" s="185" t="s">
        <v>215</v>
      </c>
    </row>
    <row r="62028" spans="129:129" x14ac:dyDescent="0.2">
      <c r="DY62028" s="185" t="s">
        <v>215</v>
      </c>
    </row>
    <row r="62029" spans="129:129" x14ac:dyDescent="0.2">
      <c r="DY62029" s="185" t="s">
        <v>215</v>
      </c>
    </row>
    <row r="62030" spans="129:129" x14ac:dyDescent="0.2">
      <c r="DY62030" s="185" t="s">
        <v>215</v>
      </c>
    </row>
    <row r="62031" spans="129:129" x14ac:dyDescent="0.2">
      <c r="DY62031" s="185" t="s">
        <v>215</v>
      </c>
    </row>
    <row r="62032" spans="129:129" x14ac:dyDescent="0.2">
      <c r="DY62032" s="185" t="s">
        <v>215</v>
      </c>
    </row>
    <row r="62033" spans="129:129" x14ac:dyDescent="0.2">
      <c r="DY62033" s="185" t="s">
        <v>215</v>
      </c>
    </row>
    <row r="62034" spans="129:129" x14ac:dyDescent="0.2">
      <c r="DY62034" s="185" t="s">
        <v>215</v>
      </c>
    </row>
    <row r="62035" spans="129:129" x14ac:dyDescent="0.2">
      <c r="DY62035" s="185" t="s">
        <v>215</v>
      </c>
    </row>
    <row r="62036" spans="129:129" x14ac:dyDescent="0.2">
      <c r="DY62036" s="185" t="s">
        <v>215</v>
      </c>
    </row>
    <row r="62037" spans="129:129" x14ac:dyDescent="0.2">
      <c r="DY62037" s="185" t="s">
        <v>215</v>
      </c>
    </row>
    <row r="62038" spans="129:129" x14ac:dyDescent="0.2">
      <c r="DY62038" s="185" t="s">
        <v>215</v>
      </c>
    </row>
    <row r="62039" spans="129:129" x14ac:dyDescent="0.2">
      <c r="DY62039" s="185" t="s">
        <v>215</v>
      </c>
    </row>
    <row r="62040" spans="129:129" x14ac:dyDescent="0.2">
      <c r="DY62040" s="185" t="s">
        <v>215</v>
      </c>
    </row>
    <row r="62041" spans="129:129" x14ac:dyDescent="0.2">
      <c r="DY62041" s="185" t="s">
        <v>215</v>
      </c>
    </row>
    <row r="62042" spans="129:129" x14ac:dyDescent="0.2">
      <c r="DY62042" s="185" t="s">
        <v>215</v>
      </c>
    </row>
    <row r="62043" spans="129:129" x14ac:dyDescent="0.2">
      <c r="DY62043" s="185" t="s">
        <v>215</v>
      </c>
    </row>
    <row r="62044" spans="129:129" x14ac:dyDescent="0.2">
      <c r="DY62044" s="185" t="s">
        <v>215</v>
      </c>
    </row>
    <row r="62045" spans="129:129" x14ac:dyDescent="0.2">
      <c r="DY62045" s="185" t="s">
        <v>215</v>
      </c>
    </row>
    <row r="62046" spans="129:129" x14ac:dyDescent="0.2">
      <c r="DY62046" s="185" t="s">
        <v>215</v>
      </c>
    </row>
    <row r="62047" spans="129:129" x14ac:dyDescent="0.2">
      <c r="DY62047" s="185" t="s">
        <v>215</v>
      </c>
    </row>
    <row r="62048" spans="129:129" x14ac:dyDescent="0.2">
      <c r="DY62048" s="185" t="s">
        <v>215</v>
      </c>
    </row>
    <row r="62049" spans="129:129" x14ac:dyDescent="0.2">
      <c r="DY62049" s="185" t="s">
        <v>215</v>
      </c>
    </row>
    <row r="62050" spans="129:129" x14ac:dyDescent="0.2">
      <c r="DY62050" s="185" t="s">
        <v>215</v>
      </c>
    </row>
    <row r="62051" spans="129:129" x14ac:dyDescent="0.2">
      <c r="DY62051" s="185" t="s">
        <v>215</v>
      </c>
    </row>
    <row r="62052" spans="129:129" x14ac:dyDescent="0.2">
      <c r="DY62052" s="185" t="s">
        <v>215</v>
      </c>
    </row>
    <row r="62053" spans="129:129" x14ac:dyDescent="0.2">
      <c r="DY62053" s="185" t="s">
        <v>215</v>
      </c>
    </row>
    <row r="62054" spans="129:129" x14ac:dyDescent="0.2">
      <c r="DY62054" s="185" t="s">
        <v>215</v>
      </c>
    </row>
    <row r="62055" spans="129:129" x14ac:dyDescent="0.2">
      <c r="DY62055" s="185" t="s">
        <v>215</v>
      </c>
    </row>
    <row r="62056" spans="129:129" x14ac:dyDescent="0.2">
      <c r="DY62056" s="185" t="s">
        <v>215</v>
      </c>
    </row>
    <row r="62057" spans="129:129" x14ac:dyDescent="0.2">
      <c r="DY62057" s="185" t="s">
        <v>215</v>
      </c>
    </row>
    <row r="62058" spans="129:129" x14ac:dyDescent="0.2">
      <c r="DY62058" s="185" t="s">
        <v>215</v>
      </c>
    </row>
    <row r="62059" spans="129:129" x14ac:dyDescent="0.2">
      <c r="DY62059" s="185" t="s">
        <v>215</v>
      </c>
    </row>
    <row r="62060" spans="129:129" x14ac:dyDescent="0.2">
      <c r="DY62060" s="185" t="s">
        <v>215</v>
      </c>
    </row>
    <row r="62061" spans="129:129" x14ac:dyDescent="0.2">
      <c r="DY62061" s="185" t="s">
        <v>215</v>
      </c>
    </row>
    <row r="62062" spans="129:129" x14ac:dyDescent="0.2">
      <c r="DY62062" s="185" t="s">
        <v>215</v>
      </c>
    </row>
    <row r="62063" spans="129:129" x14ac:dyDescent="0.2">
      <c r="DY62063" s="185" t="s">
        <v>215</v>
      </c>
    </row>
    <row r="62064" spans="129:129" x14ac:dyDescent="0.2">
      <c r="DY62064" s="185" t="s">
        <v>215</v>
      </c>
    </row>
    <row r="62065" spans="129:129" x14ac:dyDescent="0.2">
      <c r="DY62065" s="185" t="s">
        <v>215</v>
      </c>
    </row>
    <row r="62066" spans="129:129" x14ac:dyDescent="0.2">
      <c r="DY62066" s="185" t="s">
        <v>215</v>
      </c>
    </row>
    <row r="62067" spans="129:129" x14ac:dyDescent="0.2">
      <c r="DY62067" s="185" t="s">
        <v>215</v>
      </c>
    </row>
    <row r="62068" spans="129:129" x14ac:dyDescent="0.2">
      <c r="DY62068" s="185" t="s">
        <v>215</v>
      </c>
    </row>
    <row r="62069" spans="129:129" x14ac:dyDescent="0.2">
      <c r="DY62069" s="185" t="s">
        <v>215</v>
      </c>
    </row>
    <row r="62070" spans="129:129" x14ac:dyDescent="0.2">
      <c r="DY62070" s="185" t="s">
        <v>215</v>
      </c>
    </row>
    <row r="62071" spans="129:129" x14ac:dyDescent="0.2">
      <c r="DY62071" s="185" t="s">
        <v>215</v>
      </c>
    </row>
    <row r="62072" spans="129:129" x14ac:dyDescent="0.2">
      <c r="DY62072" s="185" t="s">
        <v>215</v>
      </c>
    </row>
    <row r="62073" spans="129:129" x14ac:dyDescent="0.2">
      <c r="DY62073" s="185" t="s">
        <v>215</v>
      </c>
    </row>
    <row r="62074" spans="129:129" x14ac:dyDescent="0.2">
      <c r="DY62074" s="185" t="s">
        <v>215</v>
      </c>
    </row>
    <row r="62075" spans="129:129" x14ac:dyDescent="0.2">
      <c r="DY62075" s="185" t="s">
        <v>215</v>
      </c>
    </row>
    <row r="62076" spans="129:129" x14ac:dyDescent="0.2">
      <c r="DY62076" s="185" t="s">
        <v>215</v>
      </c>
    </row>
    <row r="62077" spans="129:129" x14ac:dyDescent="0.2">
      <c r="DY62077" s="185" t="s">
        <v>215</v>
      </c>
    </row>
    <row r="62078" spans="129:129" x14ac:dyDescent="0.2">
      <c r="DY62078" s="185" t="s">
        <v>215</v>
      </c>
    </row>
    <row r="62079" spans="129:129" x14ac:dyDescent="0.2">
      <c r="DY62079" s="185" t="s">
        <v>215</v>
      </c>
    </row>
    <row r="62080" spans="129:129" x14ac:dyDescent="0.2">
      <c r="DY62080" s="185" t="s">
        <v>215</v>
      </c>
    </row>
    <row r="62081" spans="129:129" x14ac:dyDescent="0.2">
      <c r="DY62081" s="185" t="s">
        <v>215</v>
      </c>
    </row>
    <row r="62082" spans="129:129" x14ac:dyDescent="0.2">
      <c r="DY62082" s="185" t="s">
        <v>215</v>
      </c>
    </row>
    <row r="62083" spans="129:129" x14ac:dyDescent="0.2">
      <c r="DY62083" s="185" t="s">
        <v>215</v>
      </c>
    </row>
    <row r="62084" spans="129:129" x14ac:dyDescent="0.2">
      <c r="DY62084" s="185" t="s">
        <v>215</v>
      </c>
    </row>
    <row r="62085" spans="129:129" x14ac:dyDescent="0.2">
      <c r="DY62085" s="185" t="s">
        <v>215</v>
      </c>
    </row>
    <row r="62086" spans="129:129" x14ac:dyDescent="0.2">
      <c r="DY62086" s="185" t="s">
        <v>215</v>
      </c>
    </row>
    <row r="62087" spans="129:129" x14ac:dyDescent="0.2">
      <c r="DY62087" s="185" t="s">
        <v>215</v>
      </c>
    </row>
    <row r="62088" spans="129:129" x14ac:dyDescent="0.2">
      <c r="DY62088" s="185" t="s">
        <v>215</v>
      </c>
    </row>
    <row r="62089" spans="129:129" x14ac:dyDescent="0.2">
      <c r="DY62089" s="185" t="s">
        <v>215</v>
      </c>
    </row>
    <row r="62090" spans="129:129" x14ac:dyDescent="0.2">
      <c r="DY62090" s="185" t="s">
        <v>215</v>
      </c>
    </row>
    <row r="62091" spans="129:129" x14ac:dyDescent="0.2">
      <c r="DY62091" s="185" t="s">
        <v>215</v>
      </c>
    </row>
    <row r="62092" spans="129:129" x14ac:dyDescent="0.2">
      <c r="DY62092" s="185" t="s">
        <v>215</v>
      </c>
    </row>
    <row r="62093" spans="129:129" x14ac:dyDescent="0.2">
      <c r="DY62093" s="185" t="s">
        <v>215</v>
      </c>
    </row>
    <row r="62094" spans="129:129" x14ac:dyDescent="0.2">
      <c r="DY62094" s="185" t="s">
        <v>215</v>
      </c>
    </row>
    <row r="62095" spans="129:129" x14ac:dyDescent="0.2">
      <c r="DY62095" s="185" t="s">
        <v>215</v>
      </c>
    </row>
    <row r="62096" spans="129:129" x14ac:dyDescent="0.2">
      <c r="DY62096" s="185" t="s">
        <v>215</v>
      </c>
    </row>
    <row r="62097" spans="129:129" x14ac:dyDescent="0.2">
      <c r="DY62097" s="185" t="s">
        <v>215</v>
      </c>
    </row>
    <row r="62098" spans="129:129" x14ac:dyDescent="0.2">
      <c r="DY62098" s="185" t="s">
        <v>215</v>
      </c>
    </row>
    <row r="62099" spans="129:129" x14ac:dyDescent="0.2">
      <c r="DY62099" s="185" t="s">
        <v>215</v>
      </c>
    </row>
    <row r="62100" spans="129:129" x14ac:dyDescent="0.2">
      <c r="DY62100" s="185" t="s">
        <v>215</v>
      </c>
    </row>
    <row r="62101" spans="129:129" x14ac:dyDescent="0.2">
      <c r="DY62101" s="185" t="s">
        <v>215</v>
      </c>
    </row>
    <row r="62102" spans="129:129" x14ac:dyDescent="0.2">
      <c r="DY62102" s="185" t="s">
        <v>215</v>
      </c>
    </row>
    <row r="62103" spans="129:129" x14ac:dyDescent="0.2">
      <c r="DY62103" s="185" t="s">
        <v>215</v>
      </c>
    </row>
    <row r="62104" spans="129:129" x14ac:dyDescent="0.2">
      <c r="DY62104" s="185" t="s">
        <v>215</v>
      </c>
    </row>
    <row r="62105" spans="129:129" x14ac:dyDescent="0.2">
      <c r="DY62105" s="185" t="s">
        <v>215</v>
      </c>
    </row>
    <row r="62106" spans="129:129" x14ac:dyDescent="0.2">
      <c r="DY62106" s="185" t="s">
        <v>215</v>
      </c>
    </row>
    <row r="62107" spans="129:129" x14ac:dyDescent="0.2">
      <c r="DY62107" s="185" t="s">
        <v>215</v>
      </c>
    </row>
    <row r="62108" spans="129:129" x14ac:dyDescent="0.2">
      <c r="DY62108" s="185" t="s">
        <v>215</v>
      </c>
    </row>
    <row r="62109" spans="129:129" x14ac:dyDescent="0.2">
      <c r="DY62109" s="185" t="s">
        <v>215</v>
      </c>
    </row>
    <row r="62110" spans="129:129" x14ac:dyDescent="0.2">
      <c r="DY62110" s="185" t="s">
        <v>215</v>
      </c>
    </row>
    <row r="62111" spans="129:129" x14ac:dyDescent="0.2">
      <c r="DY62111" s="185" t="s">
        <v>215</v>
      </c>
    </row>
    <row r="62112" spans="129:129" x14ac:dyDescent="0.2">
      <c r="DY62112" s="185" t="s">
        <v>215</v>
      </c>
    </row>
    <row r="62113" spans="129:129" x14ac:dyDescent="0.2">
      <c r="DY62113" s="185" t="s">
        <v>215</v>
      </c>
    </row>
    <row r="62114" spans="129:129" x14ac:dyDescent="0.2">
      <c r="DY62114" s="185" t="s">
        <v>215</v>
      </c>
    </row>
    <row r="62115" spans="129:129" x14ac:dyDescent="0.2">
      <c r="DY62115" s="185" t="s">
        <v>215</v>
      </c>
    </row>
    <row r="62116" spans="129:129" x14ac:dyDescent="0.2">
      <c r="DY62116" s="185" t="s">
        <v>215</v>
      </c>
    </row>
    <row r="62117" spans="129:129" x14ac:dyDescent="0.2">
      <c r="DY62117" s="185" t="s">
        <v>215</v>
      </c>
    </row>
    <row r="62118" spans="129:129" x14ac:dyDescent="0.2">
      <c r="DY62118" s="185" t="s">
        <v>215</v>
      </c>
    </row>
    <row r="62119" spans="129:129" x14ac:dyDescent="0.2">
      <c r="DY62119" s="185" t="s">
        <v>215</v>
      </c>
    </row>
    <row r="62120" spans="129:129" x14ac:dyDescent="0.2">
      <c r="DY62120" s="185" t="s">
        <v>215</v>
      </c>
    </row>
    <row r="62121" spans="129:129" x14ac:dyDescent="0.2">
      <c r="DY62121" s="185" t="s">
        <v>215</v>
      </c>
    </row>
    <row r="62122" spans="129:129" x14ac:dyDescent="0.2">
      <c r="DY62122" s="185" t="s">
        <v>215</v>
      </c>
    </row>
    <row r="62123" spans="129:129" x14ac:dyDescent="0.2">
      <c r="DY62123" s="185" t="s">
        <v>215</v>
      </c>
    </row>
    <row r="62124" spans="129:129" x14ac:dyDescent="0.2">
      <c r="DY62124" s="185" t="s">
        <v>215</v>
      </c>
    </row>
    <row r="62125" spans="129:129" x14ac:dyDescent="0.2">
      <c r="DY62125" s="185" t="s">
        <v>215</v>
      </c>
    </row>
    <row r="62126" spans="129:129" x14ac:dyDescent="0.2">
      <c r="DY62126" s="185" t="s">
        <v>215</v>
      </c>
    </row>
    <row r="62127" spans="129:129" x14ac:dyDescent="0.2">
      <c r="DY62127" s="185" t="s">
        <v>215</v>
      </c>
    </row>
    <row r="62128" spans="129:129" x14ac:dyDescent="0.2">
      <c r="DY62128" s="185" t="s">
        <v>215</v>
      </c>
    </row>
    <row r="62129" spans="129:129" x14ac:dyDescent="0.2">
      <c r="DY62129" s="185" t="s">
        <v>215</v>
      </c>
    </row>
    <row r="62130" spans="129:129" x14ac:dyDescent="0.2">
      <c r="DY62130" s="185" t="s">
        <v>215</v>
      </c>
    </row>
    <row r="62131" spans="129:129" x14ac:dyDescent="0.2">
      <c r="DY62131" s="185" t="s">
        <v>215</v>
      </c>
    </row>
    <row r="62132" spans="129:129" x14ac:dyDescent="0.2">
      <c r="DY62132" s="185" t="s">
        <v>215</v>
      </c>
    </row>
    <row r="62133" spans="129:129" x14ac:dyDescent="0.2">
      <c r="DY62133" s="185" t="s">
        <v>215</v>
      </c>
    </row>
    <row r="62134" spans="129:129" x14ac:dyDescent="0.2">
      <c r="DY62134" s="185" t="s">
        <v>215</v>
      </c>
    </row>
    <row r="62135" spans="129:129" x14ac:dyDescent="0.2">
      <c r="DY62135" s="185" t="s">
        <v>215</v>
      </c>
    </row>
    <row r="62136" spans="129:129" x14ac:dyDescent="0.2">
      <c r="DY62136" s="185" t="s">
        <v>215</v>
      </c>
    </row>
    <row r="62137" spans="129:129" x14ac:dyDescent="0.2">
      <c r="DY62137" s="185" t="s">
        <v>215</v>
      </c>
    </row>
    <row r="62138" spans="129:129" x14ac:dyDescent="0.2">
      <c r="DY62138" s="185" t="s">
        <v>215</v>
      </c>
    </row>
    <row r="62139" spans="129:129" x14ac:dyDescent="0.2">
      <c r="DY62139" s="185" t="s">
        <v>215</v>
      </c>
    </row>
    <row r="62140" spans="129:129" x14ac:dyDescent="0.2">
      <c r="DY62140" s="185" t="s">
        <v>215</v>
      </c>
    </row>
    <row r="62141" spans="129:129" x14ac:dyDescent="0.2">
      <c r="DY62141" s="185" t="s">
        <v>215</v>
      </c>
    </row>
    <row r="62142" spans="129:129" x14ac:dyDescent="0.2">
      <c r="DY62142" s="185" t="s">
        <v>215</v>
      </c>
    </row>
    <row r="62143" spans="129:129" x14ac:dyDescent="0.2">
      <c r="DY62143" s="185" t="s">
        <v>215</v>
      </c>
    </row>
    <row r="62144" spans="129:129" x14ac:dyDescent="0.2">
      <c r="DY62144" s="185" t="s">
        <v>215</v>
      </c>
    </row>
    <row r="62145" spans="129:129" x14ac:dyDescent="0.2">
      <c r="DY62145" s="185" t="s">
        <v>215</v>
      </c>
    </row>
    <row r="62146" spans="129:129" x14ac:dyDescent="0.2">
      <c r="DY62146" s="185" t="s">
        <v>215</v>
      </c>
    </row>
    <row r="62147" spans="129:129" x14ac:dyDescent="0.2">
      <c r="DY62147" s="185" t="s">
        <v>215</v>
      </c>
    </row>
    <row r="62148" spans="129:129" x14ac:dyDescent="0.2">
      <c r="DY62148" s="185" t="s">
        <v>215</v>
      </c>
    </row>
    <row r="62149" spans="129:129" x14ac:dyDescent="0.2">
      <c r="DY62149" s="185" t="s">
        <v>215</v>
      </c>
    </row>
    <row r="62150" spans="129:129" x14ac:dyDescent="0.2">
      <c r="DY62150" s="185" t="s">
        <v>215</v>
      </c>
    </row>
    <row r="62151" spans="129:129" x14ac:dyDescent="0.2">
      <c r="DY62151" s="185" t="s">
        <v>215</v>
      </c>
    </row>
    <row r="62152" spans="129:129" x14ac:dyDescent="0.2">
      <c r="DY62152" s="185" t="s">
        <v>215</v>
      </c>
    </row>
    <row r="62153" spans="129:129" x14ac:dyDescent="0.2">
      <c r="DY62153" s="185" t="s">
        <v>215</v>
      </c>
    </row>
    <row r="62154" spans="129:129" x14ac:dyDescent="0.2">
      <c r="DY62154" s="185" t="s">
        <v>215</v>
      </c>
    </row>
    <row r="62155" spans="129:129" x14ac:dyDescent="0.2">
      <c r="DY62155" s="185" t="s">
        <v>215</v>
      </c>
    </row>
    <row r="62156" spans="129:129" x14ac:dyDescent="0.2">
      <c r="DY62156" s="185" t="s">
        <v>215</v>
      </c>
    </row>
    <row r="62157" spans="129:129" x14ac:dyDescent="0.2">
      <c r="DY62157" s="185" t="s">
        <v>215</v>
      </c>
    </row>
    <row r="62158" spans="129:129" x14ac:dyDescent="0.2">
      <c r="DY62158" s="185" t="s">
        <v>215</v>
      </c>
    </row>
    <row r="62159" spans="129:129" x14ac:dyDescent="0.2">
      <c r="DY62159" s="185" t="s">
        <v>215</v>
      </c>
    </row>
    <row r="62160" spans="129:129" x14ac:dyDescent="0.2">
      <c r="DY62160" s="185" t="s">
        <v>215</v>
      </c>
    </row>
    <row r="62161" spans="129:129" x14ac:dyDescent="0.2">
      <c r="DY62161" s="185" t="s">
        <v>215</v>
      </c>
    </row>
    <row r="62162" spans="129:129" x14ac:dyDescent="0.2">
      <c r="DY62162" s="185" t="s">
        <v>215</v>
      </c>
    </row>
    <row r="62163" spans="129:129" x14ac:dyDescent="0.2">
      <c r="DY62163" s="185" t="s">
        <v>215</v>
      </c>
    </row>
    <row r="62164" spans="129:129" x14ac:dyDescent="0.2">
      <c r="DY62164" s="185" t="s">
        <v>215</v>
      </c>
    </row>
    <row r="62165" spans="129:129" x14ac:dyDescent="0.2">
      <c r="DY62165" s="185" t="s">
        <v>215</v>
      </c>
    </row>
    <row r="62166" spans="129:129" x14ac:dyDescent="0.2">
      <c r="DY62166" s="185" t="s">
        <v>215</v>
      </c>
    </row>
    <row r="62167" spans="129:129" x14ac:dyDescent="0.2">
      <c r="DY62167" s="185" t="s">
        <v>215</v>
      </c>
    </row>
    <row r="62168" spans="129:129" x14ac:dyDescent="0.2">
      <c r="DY62168" s="185" t="s">
        <v>215</v>
      </c>
    </row>
    <row r="62169" spans="129:129" x14ac:dyDescent="0.2">
      <c r="DY62169" s="185" t="s">
        <v>215</v>
      </c>
    </row>
    <row r="62170" spans="129:129" x14ac:dyDescent="0.2">
      <c r="DY62170" s="185" t="s">
        <v>215</v>
      </c>
    </row>
    <row r="62171" spans="129:129" x14ac:dyDescent="0.2">
      <c r="DY62171" s="185" t="s">
        <v>215</v>
      </c>
    </row>
    <row r="62172" spans="129:129" x14ac:dyDescent="0.2">
      <c r="DY62172" s="185" t="s">
        <v>215</v>
      </c>
    </row>
    <row r="62173" spans="129:129" x14ac:dyDescent="0.2">
      <c r="DY62173" s="185" t="s">
        <v>215</v>
      </c>
    </row>
    <row r="62174" spans="129:129" x14ac:dyDescent="0.2">
      <c r="DY62174" s="185" t="s">
        <v>215</v>
      </c>
    </row>
    <row r="62175" spans="129:129" x14ac:dyDescent="0.2">
      <c r="DY62175" s="185" t="s">
        <v>215</v>
      </c>
    </row>
    <row r="62176" spans="129:129" x14ac:dyDescent="0.2">
      <c r="DY62176" s="185" t="s">
        <v>215</v>
      </c>
    </row>
    <row r="62177" spans="129:129" x14ac:dyDescent="0.2">
      <c r="DY62177" s="185" t="s">
        <v>215</v>
      </c>
    </row>
    <row r="62178" spans="129:129" x14ac:dyDescent="0.2">
      <c r="DY62178" s="185" t="s">
        <v>215</v>
      </c>
    </row>
    <row r="62179" spans="129:129" x14ac:dyDescent="0.2">
      <c r="DY62179" s="185" t="s">
        <v>215</v>
      </c>
    </row>
    <row r="62180" spans="129:129" x14ac:dyDescent="0.2">
      <c r="DY62180" s="185" t="s">
        <v>215</v>
      </c>
    </row>
    <row r="62181" spans="129:129" x14ac:dyDescent="0.2">
      <c r="DY62181" s="185" t="s">
        <v>215</v>
      </c>
    </row>
    <row r="62182" spans="129:129" x14ac:dyDescent="0.2">
      <c r="DY62182" s="185" t="s">
        <v>215</v>
      </c>
    </row>
    <row r="62183" spans="129:129" x14ac:dyDescent="0.2">
      <c r="DY62183" s="185" t="s">
        <v>215</v>
      </c>
    </row>
    <row r="62184" spans="129:129" x14ac:dyDescent="0.2">
      <c r="DY62184" s="185" t="s">
        <v>215</v>
      </c>
    </row>
    <row r="62185" spans="129:129" x14ac:dyDescent="0.2">
      <c r="DY62185" s="185" t="s">
        <v>215</v>
      </c>
    </row>
    <row r="62186" spans="129:129" x14ac:dyDescent="0.2">
      <c r="DY62186" s="185" t="s">
        <v>215</v>
      </c>
    </row>
    <row r="62187" spans="129:129" x14ac:dyDescent="0.2">
      <c r="DY62187" s="185" t="s">
        <v>215</v>
      </c>
    </row>
    <row r="62188" spans="129:129" x14ac:dyDescent="0.2">
      <c r="DY62188" s="185" t="s">
        <v>215</v>
      </c>
    </row>
    <row r="62189" spans="129:129" x14ac:dyDescent="0.2">
      <c r="DY62189" s="185" t="s">
        <v>215</v>
      </c>
    </row>
    <row r="62190" spans="129:129" x14ac:dyDescent="0.2">
      <c r="DY62190" s="185" t="s">
        <v>215</v>
      </c>
    </row>
    <row r="62191" spans="129:129" x14ac:dyDescent="0.2">
      <c r="DY62191" s="185" t="s">
        <v>215</v>
      </c>
    </row>
    <row r="62192" spans="129:129" x14ac:dyDescent="0.2">
      <c r="DY62192" s="185" t="s">
        <v>215</v>
      </c>
    </row>
    <row r="62193" spans="129:129" x14ac:dyDescent="0.2">
      <c r="DY62193" s="185" t="s">
        <v>215</v>
      </c>
    </row>
    <row r="62194" spans="129:129" x14ac:dyDescent="0.2">
      <c r="DY62194" s="185" t="s">
        <v>215</v>
      </c>
    </row>
    <row r="62195" spans="129:129" x14ac:dyDescent="0.2">
      <c r="DY62195" s="185" t="s">
        <v>215</v>
      </c>
    </row>
    <row r="62196" spans="129:129" x14ac:dyDescent="0.2">
      <c r="DY62196" s="185" t="s">
        <v>215</v>
      </c>
    </row>
    <row r="62197" spans="129:129" x14ac:dyDescent="0.2">
      <c r="DY62197" s="185" t="s">
        <v>215</v>
      </c>
    </row>
    <row r="62198" spans="129:129" x14ac:dyDescent="0.2">
      <c r="DY62198" s="185" t="s">
        <v>215</v>
      </c>
    </row>
    <row r="62199" spans="129:129" x14ac:dyDescent="0.2">
      <c r="DY62199" s="185" t="s">
        <v>215</v>
      </c>
    </row>
    <row r="62200" spans="129:129" x14ac:dyDescent="0.2">
      <c r="DY62200" s="185" t="s">
        <v>215</v>
      </c>
    </row>
    <row r="62201" spans="129:129" x14ac:dyDescent="0.2">
      <c r="DY62201" s="185" t="s">
        <v>215</v>
      </c>
    </row>
    <row r="62202" spans="129:129" x14ac:dyDescent="0.2">
      <c r="DY62202" s="185" t="s">
        <v>215</v>
      </c>
    </row>
    <row r="62203" spans="129:129" x14ac:dyDescent="0.2">
      <c r="DY62203" s="185" t="s">
        <v>215</v>
      </c>
    </row>
    <row r="62204" spans="129:129" x14ac:dyDescent="0.2">
      <c r="DY62204" s="185" t="s">
        <v>215</v>
      </c>
    </row>
    <row r="62205" spans="129:129" x14ac:dyDescent="0.2">
      <c r="DY62205" s="185" t="s">
        <v>215</v>
      </c>
    </row>
    <row r="62206" spans="129:129" x14ac:dyDescent="0.2">
      <c r="DY62206" s="185" t="s">
        <v>215</v>
      </c>
    </row>
    <row r="62207" spans="129:129" x14ac:dyDescent="0.2">
      <c r="DY62207" s="185" t="s">
        <v>215</v>
      </c>
    </row>
    <row r="62208" spans="129:129" x14ac:dyDescent="0.2">
      <c r="DY62208" s="185" t="s">
        <v>215</v>
      </c>
    </row>
    <row r="62209" spans="129:129" x14ac:dyDescent="0.2">
      <c r="DY62209" s="185" t="s">
        <v>215</v>
      </c>
    </row>
    <row r="62210" spans="129:129" x14ac:dyDescent="0.2">
      <c r="DY62210" s="185" t="s">
        <v>215</v>
      </c>
    </row>
    <row r="62211" spans="129:129" x14ac:dyDescent="0.2">
      <c r="DY62211" s="185" t="s">
        <v>215</v>
      </c>
    </row>
    <row r="62212" spans="129:129" x14ac:dyDescent="0.2">
      <c r="DY62212" s="185" t="s">
        <v>215</v>
      </c>
    </row>
    <row r="62213" spans="129:129" x14ac:dyDescent="0.2">
      <c r="DY62213" s="185" t="s">
        <v>215</v>
      </c>
    </row>
    <row r="62214" spans="129:129" x14ac:dyDescent="0.2">
      <c r="DY62214" s="185" t="s">
        <v>215</v>
      </c>
    </row>
    <row r="62215" spans="129:129" x14ac:dyDescent="0.2">
      <c r="DY62215" s="185" t="s">
        <v>215</v>
      </c>
    </row>
    <row r="62216" spans="129:129" x14ac:dyDescent="0.2">
      <c r="DY62216" s="185" t="s">
        <v>215</v>
      </c>
    </row>
    <row r="62217" spans="129:129" x14ac:dyDescent="0.2">
      <c r="DY62217" s="185" t="s">
        <v>215</v>
      </c>
    </row>
    <row r="62218" spans="129:129" x14ac:dyDescent="0.2">
      <c r="DY62218" s="185" t="s">
        <v>215</v>
      </c>
    </row>
    <row r="62219" spans="129:129" x14ac:dyDescent="0.2">
      <c r="DY62219" s="185" t="s">
        <v>215</v>
      </c>
    </row>
    <row r="62220" spans="129:129" x14ac:dyDescent="0.2">
      <c r="DY62220" s="185" t="s">
        <v>215</v>
      </c>
    </row>
    <row r="62221" spans="129:129" x14ac:dyDescent="0.2">
      <c r="DY62221" s="185" t="s">
        <v>215</v>
      </c>
    </row>
    <row r="62222" spans="129:129" x14ac:dyDescent="0.2">
      <c r="DY62222" s="185" t="s">
        <v>215</v>
      </c>
    </row>
    <row r="62223" spans="129:129" x14ac:dyDescent="0.2">
      <c r="DY62223" s="185" t="s">
        <v>215</v>
      </c>
    </row>
    <row r="62224" spans="129:129" x14ac:dyDescent="0.2">
      <c r="DY62224" s="185" t="s">
        <v>215</v>
      </c>
    </row>
    <row r="62225" spans="129:129" x14ac:dyDescent="0.2">
      <c r="DY62225" s="185" t="s">
        <v>215</v>
      </c>
    </row>
    <row r="62226" spans="129:129" x14ac:dyDescent="0.2">
      <c r="DY62226" s="185" t="s">
        <v>215</v>
      </c>
    </row>
    <row r="62227" spans="129:129" x14ac:dyDescent="0.2">
      <c r="DY62227" s="185" t="s">
        <v>215</v>
      </c>
    </row>
    <row r="62228" spans="129:129" x14ac:dyDescent="0.2">
      <c r="DY62228" s="185" t="s">
        <v>215</v>
      </c>
    </row>
    <row r="62229" spans="129:129" x14ac:dyDescent="0.2">
      <c r="DY62229" s="185" t="s">
        <v>215</v>
      </c>
    </row>
    <row r="62230" spans="129:129" x14ac:dyDescent="0.2">
      <c r="DY62230" s="185" t="s">
        <v>215</v>
      </c>
    </row>
    <row r="62231" spans="129:129" x14ac:dyDescent="0.2">
      <c r="DY62231" s="185" t="s">
        <v>215</v>
      </c>
    </row>
    <row r="62232" spans="129:129" x14ac:dyDescent="0.2">
      <c r="DY62232" s="185" t="s">
        <v>215</v>
      </c>
    </row>
    <row r="62233" spans="129:129" x14ac:dyDescent="0.2">
      <c r="DY62233" s="185" t="s">
        <v>215</v>
      </c>
    </row>
    <row r="62234" spans="129:129" x14ac:dyDescent="0.2">
      <c r="DY62234" s="185" t="s">
        <v>215</v>
      </c>
    </row>
    <row r="62235" spans="129:129" x14ac:dyDescent="0.2">
      <c r="DY62235" s="185" t="s">
        <v>215</v>
      </c>
    </row>
    <row r="62236" spans="129:129" x14ac:dyDescent="0.2">
      <c r="DY62236" s="185" t="s">
        <v>215</v>
      </c>
    </row>
    <row r="62237" spans="129:129" x14ac:dyDescent="0.2">
      <c r="DY62237" s="185" t="s">
        <v>215</v>
      </c>
    </row>
    <row r="62238" spans="129:129" x14ac:dyDescent="0.2">
      <c r="DY62238" s="185" t="s">
        <v>215</v>
      </c>
    </row>
    <row r="62239" spans="129:129" x14ac:dyDescent="0.2">
      <c r="DY62239" s="185" t="s">
        <v>215</v>
      </c>
    </row>
    <row r="62240" spans="129:129" x14ac:dyDescent="0.2">
      <c r="DY62240" s="185" t="s">
        <v>215</v>
      </c>
    </row>
    <row r="62241" spans="129:129" x14ac:dyDescent="0.2">
      <c r="DY62241" s="185" t="s">
        <v>215</v>
      </c>
    </row>
    <row r="62242" spans="129:129" x14ac:dyDescent="0.2">
      <c r="DY62242" s="185" t="s">
        <v>215</v>
      </c>
    </row>
    <row r="62243" spans="129:129" x14ac:dyDescent="0.2">
      <c r="DY62243" s="185" t="s">
        <v>215</v>
      </c>
    </row>
    <row r="62244" spans="129:129" x14ac:dyDescent="0.2">
      <c r="DY62244" s="185" t="s">
        <v>215</v>
      </c>
    </row>
    <row r="62245" spans="129:129" x14ac:dyDescent="0.2">
      <c r="DY62245" s="185" t="s">
        <v>215</v>
      </c>
    </row>
    <row r="62246" spans="129:129" x14ac:dyDescent="0.2">
      <c r="DY62246" s="185" t="s">
        <v>215</v>
      </c>
    </row>
    <row r="62247" spans="129:129" x14ac:dyDescent="0.2">
      <c r="DY62247" s="185" t="s">
        <v>215</v>
      </c>
    </row>
    <row r="62248" spans="129:129" x14ac:dyDescent="0.2">
      <c r="DY62248" s="185" t="s">
        <v>215</v>
      </c>
    </row>
    <row r="62249" spans="129:129" x14ac:dyDescent="0.2">
      <c r="DY62249" s="185" t="s">
        <v>215</v>
      </c>
    </row>
    <row r="62250" spans="129:129" x14ac:dyDescent="0.2">
      <c r="DY62250" s="185" t="s">
        <v>215</v>
      </c>
    </row>
    <row r="62251" spans="129:129" x14ac:dyDescent="0.2">
      <c r="DY62251" s="185" t="s">
        <v>215</v>
      </c>
    </row>
    <row r="62252" spans="129:129" x14ac:dyDescent="0.2">
      <c r="DY62252" s="185" t="s">
        <v>215</v>
      </c>
    </row>
    <row r="62253" spans="129:129" x14ac:dyDescent="0.2">
      <c r="DY62253" s="185" t="s">
        <v>215</v>
      </c>
    </row>
    <row r="62254" spans="129:129" x14ac:dyDescent="0.2">
      <c r="DY62254" s="185" t="s">
        <v>215</v>
      </c>
    </row>
    <row r="62255" spans="129:129" x14ac:dyDescent="0.2">
      <c r="DY62255" s="185" t="s">
        <v>215</v>
      </c>
    </row>
    <row r="62256" spans="129:129" x14ac:dyDescent="0.2">
      <c r="DY62256" s="185" t="s">
        <v>215</v>
      </c>
    </row>
    <row r="62257" spans="129:129" x14ac:dyDescent="0.2">
      <c r="DY62257" s="185" t="s">
        <v>215</v>
      </c>
    </row>
    <row r="62258" spans="129:129" x14ac:dyDescent="0.2">
      <c r="DY62258" s="185" t="s">
        <v>215</v>
      </c>
    </row>
    <row r="62259" spans="129:129" x14ac:dyDescent="0.2">
      <c r="DY62259" s="185" t="s">
        <v>215</v>
      </c>
    </row>
    <row r="62260" spans="129:129" x14ac:dyDescent="0.2">
      <c r="DY62260" s="185" t="s">
        <v>215</v>
      </c>
    </row>
    <row r="62261" spans="129:129" x14ac:dyDescent="0.2">
      <c r="DY62261" s="185" t="s">
        <v>215</v>
      </c>
    </row>
    <row r="62262" spans="129:129" x14ac:dyDescent="0.2">
      <c r="DY62262" s="185" t="s">
        <v>215</v>
      </c>
    </row>
    <row r="62263" spans="129:129" x14ac:dyDescent="0.2">
      <c r="DY62263" s="185" t="s">
        <v>215</v>
      </c>
    </row>
    <row r="62264" spans="129:129" x14ac:dyDescent="0.2">
      <c r="DY62264" s="185" t="s">
        <v>215</v>
      </c>
    </row>
    <row r="62265" spans="129:129" x14ac:dyDescent="0.2">
      <c r="DY62265" s="185" t="s">
        <v>215</v>
      </c>
    </row>
    <row r="62266" spans="129:129" x14ac:dyDescent="0.2">
      <c r="DY62266" s="185" t="s">
        <v>215</v>
      </c>
    </row>
    <row r="62267" spans="129:129" x14ac:dyDescent="0.2">
      <c r="DY62267" s="185" t="s">
        <v>215</v>
      </c>
    </row>
    <row r="62268" spans="129:129" x14ac:dyDescent="0.2">
      <c r="DY62268" s="185" t="s">
        <v>215</v>
      </c>
    </row>
    <row r="62269" spans="129:129" x14ac:dyDescent="0.2">
      <c r="DY62269" s="185" t="s">
        <v>215</v>
      </c>
    </row>
    <row r="62270" spans="129:129" x14ac:dyDescent="0.2">
      <c r="DY62270" s="185" t="s">
        <v>215</v>
      </c>
    </row>
    <row r="62271" spans="129:129" x14ac:dyDescent="0.2">
      <c r="DY62271" s="185" t="s">
        <v>215</v>
      </c>
    </row>
    <row r="62272" spans="129:129" x14ac:dyDescent="0.2">
      <c r="DY62272" s="185" t="s">
        <v>215</v>
      </c>
    </row>
    <row r="62273" spans="129:129" x14ac:dyDescent="0.2">
      <c r="DY62273" s="185" t="s">
        <v>215</v>
      </c>
    </row>
    <row r="62274" spans="129:129" x14ac:dyDescent="0.2">
      <c r="DY62274" s="185" t="s">
        <v>215</v>
      </c>
    </row>
    <row r="62275" spans="129:129" x14ac:dyDescent="0.2">
      <c r="DY62275" s="185" t="s">
        <v>215</v>
      </c>
    </row>
    <row r="62276" spans="129:129" x14ac:dyDescent="0.2">
      <c r="DY62276" s="185" t="s">
        <v>215</v>
      </c>
    </row>
    <row r="62277" spans="129:129" x14ac:dyDescent="0.2">
      <c r="DY62277" s="185" t="s">
        <v>215</v>
      </c>
    </row>
    <row r="62278" spans="129:129" x14ac:dyDescent="0.2">
      <c r="DY62278" s="185" t="s">
        <v>215</v>
      </c>
    </row>
    <row r="62279" spans="129:129" x14ac:dyDescent="0.2">
      <c r="DY62279" s="185" t="s">
        <v>215</v>
      </c>
    </row>
    <row r="62280" spans="129:129" x14ac:dyDescent="0.2">
      <c r="DY62280" s="185" t="s">
        <v>215</v>
      </c>
    </row>
    <row r="62281" spans="129:129" x14ac:dyDescent="0.2">
      <c r="DY62281" s="185" t="s">
        <v>215</v>
      </c>
    </row>
    <row r="62282" spans="129:129" x14ac:dyDescent="0.2">
      <c r="DY62282" s="185" t="s">
        <v>215</v>
      </c>
    </row>
    <row r="62283" spans="129:129" x14ac:dyDescent="0.2">
      <c r="DY62283" s="185" t="s">
        <v>215</v>
      </c>
    </row>
    <row r="62284" spans="129:129" x14ac:dyDescent="0.2">
      <c r="DY62284" s="185" t="s">
        <v>215</v>
      </c>
    </row>
    <row r="62285" spans="129:129" x14ac:dyDescent="0.2">
      <c r="DY62285" s="185" t="s">
        <v>215</v>
      </c>
    </row>
    <row r="62286" spans="129:129" x14ac:dyDescent="0.2">
      <c r="DY62286" s="185" t="s">
        <v>215</v>
      </c>
    </row>
    <row r="62287" spans="129:129" x14ac:dyDescent="0.2">
      <c r="DY62287" s="185" t="s">
        <v>215</v>
      </c>
    </row>
    <row r="62288" spans="129:129" x14ac:dyDescent="0.2">
      <c r="DY62288" s="185" t="s">
        <v>215</v>
      </c>
    </row>
    <row r="62289" spans="129:129" x14ac:dyDescent="0.2">
      <c r="DY62289" s="185" t="s">
        <v>215</v>
      </c>
    </row>
    <row r="62290" spans="129:129" x14ac:dyDescent="0.2">
      <c r="DY62290" s="185" t="s">
        <v>215</v>
      </c>
    </row>
    <row r="62291" spans="129:129" x14ac:dyDescent="0.2">
      <c r="DY62291" s="185" t="s">
        <v>215</v>
      </c>
    </row>
    <row r="62292" spans="129:129" x14ac:dyDescent="0.2">
      <c r="DY62292" s="185" t="s">
        <v>215</v>
      </c>
    </row>
    <row r="62293" spans="129:129" x14ac:dyDescent="0.2">
      <c r="DY62293" s="185" t="s">
        <v>215</v>
      </c>
    </row>
    <row r="62294" spans="129:129" x14ac:dyDescent="0.2">
      <c r="DY62294" s="185" t="s">
        <v>215</v>
      </c>
    </row>
    <row r="62295" spans="129:129" x14ac:dyDescent="0.2">
      <c r="DY62295" s="185" t="s">
        <v>215</v>
      </c>
    </row>
    <row r="62296" spans="129:129" x14ac:dyDescent="0.2">
      <c r="DY62296" s="185" t="s">
        <v>215</v>
      </c>
    </row>
    <row r="62297" spans="129:129" x14ac:dyDescent="0.2">
      <c r="DY62297" s="185" t="s">
        <v>215</v>
      </c>
    </row>
    <row r="62298" spans="129:129" x14ac:dyDescent="0.2">
      <c r="DY62298" s="185" t="s">
        <v>215</v>
      </c>
    </row>
    <row r="62299" spans="129:129" x14ac:dyDescent="0.2">
      <c r="DY62299" s="185" t="s">
        <v>215</v>
      </c>
    </row>
    <row r="62300" spans="129:129" x14ac:dyDescent="0.2">
      <c r="DY62300" s="185" t="s">
        <v>215</v>
      </c>
    </row>
    <row r="62301" spans="129:129" x14ac:dyDescent="0.2">
      <c r="DY62301" s="185" t="s">
        <v>215</v>
      </c>
    </row>
    <row r="62302" spans="129:129" x14ac:dyDescent="0.2">
      <c r="DY62302" s="185" t="s">
        <v>215</v>
      </c>
    </row>
    <row r="62303" spans="129:129" x14ac:dyDescent="0.2">
      <c r="DY62303" s="185" t="s">
        <v>215</v>
      </c>
    </row>
    <row r="62304" spans="129:129" x14ac:dyDescent="0.2">
      <c r="DY62304" s="185" t="s">
        <v>215</v>
      </c>
    </row>
    <row r="62305" spans="129:129" x14ac:dyDescent="0.2">
      <c r="DY62305" s="185" t="s">
        <v>215</v>
      </c>
    </row>
    <row r="62306" spans="129:129" x14ac:dyDescent="0.2">
      <c r="DY62306" s="185" t="s">
        <v>215</v>
      </c>
    </row>
    <row r="62307" spans="129:129" x14ac:dyDescent="0.2">
      <c r="DY62307" s="185" t="s">
        <v>215</v>
      </c>
    </row>
    <row r="62308" spans="129:129" x14ac:dyDescent="0.2">
      <c r="DY62308" s="185" t="s">
        <v>215</v>
      </c>
    </row>
    <row r="62309" spans="129:129" x14ac:dyDescent="0.2">
      <c r="DY62309" s="185" t="s">
        <v>215</v>
      </c>
    </row>
    <row r="62310" spans="129:129" x14ac:dyDescent="0.2">
      <c r="DY62310" s="185" t="s">
        <v>215</v>
      </c>
    </row>
    <row r="62311" spans="129:129" x14ac:dyDescent="0.2">
      <c r="DY62311" s="185" t="s">
        <v>215</v>
      </c>
    </row>
    <row r="62312" spans="129:129" x14ac:dyDescent="0.2">
      <c r="DY62312" s="185" t="s">
        <v>215</v>
      </c>
    </row>
    <row r="62313" spans="129:129" x14ac:dyDescent="0.2">
      <c r="DY62313" s="185" t="s">
        <v>215</v>
      </c>
    </row>
    <row r="62314" spans="129:129" x14ac:dyDescent="0.2">
      <c r="DY62314" s="185" t="s">
        <v>215</v>
      </c>
    </row>
    <row r="62315" spans="129:129" x14ac:dyDescent="0.2">
      <c r="DY62315" s="185" t="s">
        <v>215</v>
      </c>
    </row>
    <row r="62316" spans="129:129" x14ac:dyDescent="0.2">
      <c r="DY62316" s="185" t="s">
        <v>215</v>
      </c>
    </row>
    <row r="62317" spans="129:129" x14ac:dyDescent="0.2">
      <c r="DY62317" s="185" t="s">
        <v>215</v>
      </c>
    </row>
    <row r="62318" spans="129:129" x14ac:dyDescent="0.2">
      <c r="DY62318" s="185" t="s">
        <v>215</v>
      </c>
    </row>
    <row r="62319" spans="129:129" x14ac:dyDescent="0.2">
      <c r="DY62319" s="185" t="s">
        <v>215</v>
      </c>
    </row>
    <row r="62320" spans="129:129" x14ac:dyDescent="0.2">
      <c r="DY62320" s="185" t="s">
        <v>215</v>
      </c>
    </row>
    <row r="62321" spans="129:129" x14ac:dyDescent="0.2">
      <c r="DY62321" s="185" t="s">
        <v>215</v>
      </c>
    </row>
    <row r="62322" spans="129:129" x14ac:dyDescent="0.2">
      <c r="DY62322" s="185" t="s">
        <v>215</v>
      </c>
    </row>
    <row r="62323" spans="129:129" x14ac:dyDescent="0.2">
      <c r="DY62323" s="185" t="s">
        <v>215</v>
      </c>
    </row>
    <row r="62324" spans="129:129" x14ac:dyDescent="0.2">
      <c r="DY62324" s="185" t="s">
        <v>215</v>
      </c>
    </row>
    <row r="62325" spans="129:129" x14ac:dyDescent="0.2">
      <c r="DY62325" s="185" t="s">
        <v>215</v>
      </c>
    </row>
    <row r="62326" spans="129:129" x14ac:dyDescent="0.2">
      <c r="DY62326" s="185" t="s">
        <v>215</v>
      </c>
    </row>
    <row r="62327" spans="129:129" x14ac:dyDescent="0.2">
      <c r="DY62327" s="185" t="s">
        <v>215</v>
      </c>
    </row>
    <row r="62328" spans="129:129" x14ac:dyDescent="0.2">
      <c r="DY62328" s="185" t="s">
        <v>215</v>
      </c>
    </row>
    <row r="62329" spans="129:129" x14ac:dyDescent="0.2">
      <c r="DY62329" s="185" t="s">
        <v>215</v>
      </c>
    </row>
    <row r="62330" spans="129:129" x14ac:dyDescent="0.2">
      <c r="DY62330" s="185" t="s">
        <v>215</v>
      </c>
    </row>
    <row r="62331" spans="129:129" x14ac:dyDescent="0.2">
      <c r="DY62331" s="185" t="s">
        <v>215</v>
      </c>
    </row>
    <row r="62332" spans="129:129" x14ac:dyDescent="0.2">
      <c r="DY62332" s="185" t="s">
        <v>215</v>
      </c>
    </row>
    <row r="62333" spans="129:129" x14ac:dyDescent="0.2">
      <c r="DY62333" s="185" t="s">
        <v>215</v>
      </c>
    </row>
    <row r="62334" spans="129:129" x14ac:dyDescent="0.2">
      <c r="DY62334" s="185" t="s">
        <v>215</v>
      </c>
    </row>
    <row r="62335" spans="129:129" x14ac:dyDescent="0.2">
      <c r="DY62335" s="185" t="s">
        <v>215</v>
      </c>
    </row>
    <row r="62336" spans="129:129" x14ac:dyDescent="0.2">
      <c r="DY62336" s="185" t="s">
        <v>215</v>
      </c>
    </row>
    <row r="62337" spans="129:129" x14ac:dyDescent="0.2">
      <c r="DY62337" s="185" t="s">
        <v>215</v>
      </c>
    </row>
    <row r="62338" spans="129:129" x14ac:dyDescent="0.2">
      <c r="DY62338" s="185" t="s">
        <v>215</v>
      </c>
    </row>
    <row r="62339" spans="129:129" x14ac:dyDescent="0.2">
      <c r="DY62339" s="185" t="s">
        <v>215</v>
      </c>
    </row>
    <row r="62340" spans="129:129" x14ac:dyDescent="0.2">
      <c r="DY62340" s="185" t="s">
        <v>215</v>
      </c>
    </row>
    <row r="62341" spans="129:129" x14ac:dyDescent="0.2">
      <c r="DY62341" s="185" t="s">
        <v>215</v>
      </c>
    </row>
    <row r="62342" spans="129:129" x14ac:dyDescent="0.2">
      <c r="DY62342" s="185" t="s">
        <v>215</v>
      </c>
    </row>
    <row r="62343" spans="129:129" x14ac:dyDescent="0.2">
      <c r="DY62343" s="185" t="s">
        <v>215</v>
      </c>
    </row>
    <row r="62344" spans="129:129" x14ac:dyDescent="0.2">
      <c r="DY62344" s="185" t="s">
        <v>215</v>
      </c>
    </row>
    <row r="62345" spans="129:129" x14ac:dyDescent="0.2">
      <c r="DY62345" s="185" t="s">
        <v>215</v>
      </c>
    </row>
    <row r="62346" spans="129:129" x14ac:dyDescent="0.2">
      <c r="DY62346" s="185" t="s">
        <v>215</v>
      </c>
    </row>
    <row r="62347" spans="129:129" x14ac:dyDescent="0.2">
      <c r="DY62347" s="185" t="s">
        <v>215</v>
      </c>
    </row>
    <row r="62348" spans="129:129" x14ac:dyDescent="0.2">
      <c r="DY62348" s="185" t="s">
        <v>215</v>
      </c>
    </row>
    <row r="62349" spans="129:129" x14ac:dyDescent="0.2">
      <c r="DY62349" s="185" t="s">
        <v>215</v>
      </c>
    </row>
    <row r="62350" spans="129:129" x14ac:dyDescent="0.2">
      <c r="DY62350" s="185" t="s">
        <v>215</v>
      </c>
    </row>
    <row r="62351" spans="129:129" x14ac:dyDescent="0.2">
      <c r="DY62351" s="185" t="s">
        <v>215</v>
      </c>
    </row>
    <row r="62352" spans="129:129" x14ac:dyDescent="0.2">
      <c r="DY62352" s="185" t="s">
        <v>215</v>
      </c>
    </row>
    <row r="62353" spans="129:129" x14ac:dyDescent="0.2">
      <c r="DY62353" s="185" t="s">
        <v>215</v>
      </c>
    </row>
    <row r="62354" spans="129:129" x14ac:dyDescent="0.2">
      <c r="DY62354" s="185" t="s">
        <v>215</v>
      </c>
    </row>
    <row r="62355" spans="129:129" x14ac:dyDescent="0.2">
      <c r="DY62355" s="185" t="s">
        <v>215</v>
      </c>
    </row>
    <row r="62356" spans="129:129" x14ac:dyDescent="0.2">
      <c r="DY62356" s="185" t="s">
        <v>215</v>
      </c>
    </row>
    <row r="62357" spans="129:129" x14ac:dyDescent="0.2">
      <c r="DY62357" s="185" t="s">
        <v>215</v>
      </c>
    </row>
    <row r="62358" spans="129:129" x14ac:dyDescent="0.2">
      <c r="DY62358" s="185" t="s">
        <v>215</v>
      </c>
    </row>
    <row r="62359" spans="129:129" x14ac:dyDescent="0.2">
      <c r="DY62359" s="185" t="s">
        <v>215</v>
      </c>
    </row>
    <row r="62360" spans="129:129" x14ac:dyDescent="0.2">
      <c r="DY62360" s="185" t="s">
        <v>215</v>
      </c>
    </row>
    <row r="62361" spans="129:129" x14ac:dyDescent="0.2">
      <c r="DY62361" s="185" t="s">
        <v>215</v>
      </c>
    </row>
    <row r="62362" spans="129:129" x14ac:dyDescent="0.2">
      <c r="DY62362" s="185" t="s">
        <v>215</v>
      </c>
    </row>
    <row r="62363" spans="129:129" x14ac:dyDescent="0.2">
      <c r="DY62363" s="185" t="s">
        <v>215</v>
      </c>
    </row>
    <row r="62364" spans="129:129" x14ac:dyDescent="0.2">
      <c r="DY62364" s="185" t="s">
        <v>215</v>
      </c>
    </row>
    <row r="62365" spans="129:129" x14ac:dyDescent="0.2">
      <c r="DY62365" s="185" t="s">
        <v>215</v>
      </c>
    </row>
    <row r="62366" spans="129:129" x14ac:dyDescent="0.2">
      <c r="DY62366" s="185" t="s">
        <v>215</v>
      </c>
    </row>
    <row r="62367" spans="129:129" x14ac:dyDescent="0.2">
      <c r="DY62367" s="185" t="s">
        <v>215</v>
      </c>
    </row>
    <row r="62368" spans="129:129" x14ac:dyDescent="0.2">
      <c r="DY62368" s="185" t="s">
        <v>215</v>
      </c>
    </row>
    <row r="62369" spans="129:129" x14ac:dyDescent="0.2">
      <c r="DY62369" s="185" t="s">
        <v>215</v>
      </c>
    </row>
    <row r="62370" spans="129:129" x14ac:dyDescent="0.2">
      <c r="DY62370" s="185" t="s">
        <v>215</v>
      </c>
    </row>
    <row r="62371" spans="129:129" x14ac:dyDescent="0.2">
      <c r="DY62371" s="185" t="s">
        <v>215</v>
      </c>
    </row>
    <row r="62372" spans="129:129" x14ac:dyDescent="0.2">
      <c r="DY62372" s="185" t="s">
        <v>215</v>
      </c>
    </row>
    <row r="62373" spans="129:129" x14ac:dyDescent="0.2">
      <c r="DY62373" s="185" t="s">
        <v>215</v>
      </c>
    </row>
    <row r="62374" spans="129:129" x14ac:dyDescent="0.2">
      <c r="DY62374" s="185" t="s">
        <v>215</v>
      </c>
    </row>
    <row r="62375" spans="129:129" x14ac:dyDescent="0.2">
      <c r="DY62375" s="185" t="s">
        <v>215</v>
      </c>
    </row>
    <row r="62376" spans="129:129" x14ac:dyDescent="0.2">
      <c r="DY62376" s="185" t="s">
        <v>215</v>
      </c>
    </row>
    <row r="62377" spans="129:129" x14ac:dyDescent="0.2">
      <c r="DY62377" s="185" t="s">
        <v>215</v>
      </c>
    </row>
    <row r="62378" spans="129:129" x14ac:dyDescent="0.2">
      <c r="DY62378" s="185" t="s">
        <v>215</v>
      </c>
    </row>
    <row r="62379" spans="129:129" x14ac:dyDescent="0.2">
      <c r="DY62379" s="185" t="s">
        <v>215</v>
      </c>
    </row>
    <row r="62380" spans="129:129" x14ac:dyDescent="0.2">
      <c r="DY62380" s="185" t="s">
        <v>215</v>
      </c>
    </row>
    <row r="62381" spans="129:129" x14ac:dyDescent="0.2">
      <c r="DY62381" s="185" t="s">
        <v>215</v>
      </c>
    </row>
    <row r="62382" spans="129:129" x14ac:dyDescent="0.2">
      <c r="DY62382" s="185" t="s">
        <v>215</v>
      </c>
    </row>
    <row r="62383" spans="129:129" x14ac:dyDescent="0.2">
      <c r="DY62383" s="185" t="s">
        <v>215</v>
      </c>
    </row>
    <row r="62384" spans="129:129" x14ac:dyDescent="0.2">
      <c r="DY62384" s="185" t="s">
        <v>215</v>
      </c>
    </row>
    <row r="62385" spans="129:129" x14ac:dyDescent="0.2">
      <c r="DY62385" s="185" t="s">
        <v>215</v>
      </c>
    </row>
    <row r="62386" spans="129:129" x14ac:dyDescent="0.2">
      <c r="DY62386" s="185" t="s">
        <v>215</v>
      </c>
    </row>
    <row r="62387" spans="129:129" x14ac:dyDescent="0.2">
      <c r="DY62387" s="185" t="s">
        <v>215</v>
      </c>
    </row>
    <row r="62388" spans="129:129" x14ac:dyDescent="0.2">
      <c r="DY62388" s="185" t="s">
        <v>215</v>
      </c>
    </row>
    <row r="62389" spans="129:129" x14ac:dyDescent="0.2">
      <c r="DY62389" s="185" t="s">
        <v>215</v>
      </c>
    </row>
    <row r="62390" spans="129:129" x14ac:dyDescent="0.2">
      <c r="DY62390" s="185" t="s">
        <v>215</v>
      </c>
    </row>
    <row r="62391" spans="129:129" x14ac:dyDescent="0.2">
      <c r="DY62391" s="185" t="s">
        <v>215</v>
      </c>
    </row>
    <row r="62392" spans="129:129" x14ac:dyDescent="0.2">
      <c r="DY62392" s="185" t="s">
        <v>215</v>
      </c>
    </row>
    <row r="62393" spans="129:129" x14ac:dyDescent="0.2">
      <c r="DY62393" s="185" t="s">
        <v>215</v>
      </c>
    </row>
    <row r="62394" spans="129:129" x14ac:dyDescent="0.2">
      <c r="DY62394" s="185" t="s">
        <v>215</v>
      </c>
    </row>
    <row r="62395" spans="129:129" x14ac:dyDescent="0.2">
      <c r="DY62395" s="185" t="s">
        <v>215</v>
      </c>
    </row>
    <row r="62396" spans="129:129" x14ac:dyDescent="0.2">
      <c r="DY62396" s="185" t="s">
        <v>215</v>
      </c>
    </row>
    <row r="62397" spans="129:129" x14ac:dyDescent="0.2">
      <c r="DY62397" s="185" t="s">
        <v>215</v>
      </c>
    </row>
    <row r="62398" spans="129:129" x14ac:dyDescent="0.2">
      <c r="DY62398" s="185" t="s">
        <v>215</v>
      </c>
    </row>
    <row r="62399" spans="129:129" x14ac:dyDescent="0.2">
      <c r="DY62399" s="185" t="s">
        <v>215</v>
      </c>
    </row>
    <row r="62400" spans="129:129" x14ac:dyDescent="0.2">
      <c r="DY62400" s="185" t="s">
        <v>215</v>
      </c>
    </row>
    <row r="62401" spans="129:129" x14ac:dyDescent="0.2">
      <c r="DY62401" s="185" t="s">
        <v>215</v>
      </c>
    </row>
    <row r="62402" spans="129:129" x14ac:dyDescent="0.2">
      <c r="DY62402" s="185" t="s">
        <v>215</v>
      </c>
    </row>
    <row r="62403" spans="129:129" x14ac:dyDescent="0.2">
      <c r="DY62403" s="185" t="s">
        <v>215</v>
      </c>
    </row>
    <row r="62404" spans="129:129" x14ac:dyDescent="0.2">
      <c r="DY62404" s="185" t="s">
        <v>215</v>
      </c>
    </row>
    <row r="62405" spans="129:129" x14ac:dyDescent="0.2">
      <c r="DY62405" s="185" t="s">
        <v>215</v>
      </c>
    </row>
    <row r="62406" spans="129:129" x14ac:dyDescent="0.2">
      <c r="DY62406" s="185" t="s">
        <v>215</v>
      </c>
    </row>
    <row r="62407" spans="129:129" x14ac:dyDescent="0.2">
      <c r="DY62407" s="185" t="s">
        <v>215</v>
      </c>
    </row>
    <row r="62408" spans="129:129" x14ac:dyDescent="0.2">
      <c r="DY62408" s="185" t="s">
        <v>215</v>
      </c>
    </row>
    <row r="62409" spans="129:129" x14ac:dyDescent="0.2">
      <c r="DY62409" s="185" t="s">
        <v>215</v>
      </c>
    </row>
    <row r="62410" spans="129:129" x14ac:dyDescent="0.2">
      <c r="DY62410" s="185" t="s">
        <v>215</v>
      </c>
    </row>
    <row r="62411" spans="129:129" x14ac:dyDescent="0.2">
      <c r="DY62411" s="185" t="s">
        <v>215</v>
      </c>
    </row>
    <row r="62412" spans="129:129" x14ac:dyDescent="0.2">
      <c r="DY62412" s="185" t="s">
        <v>215</v>
      </c>
    </row>
    <row r="62413" spans="129:129" x14ac:dyDescent="0.2">
      <c r="DY62413" s="185" t="s">
        <v>215</v>
      </c>
    </row>
    <row r="62414" spans="129:129" x14ac:dyDescent="0.2">
      <c r="DY62414" s="185" t="s">
        <v>215</v>
      </c>
    </row>
    <row r="62415" spans="129:129" x14ac:dyDescent="0.2">
      <c r="DY62415" s="185" t="s">
        <v>215</v>
      </c>
    </row>
    <row r="62416" spans="129:129" x14ac:dyDescent="0.2">
      <c r="DY62416" s="185" t="s">
        <v>215</v>
      </c>
    </row>
    <row r="62417" spans="129:129" x14ac:dyDescent="0.2">
      <c r="DY62417" s="185" t="s">
        <v>215</v>
      </c>
    </row>
    <row r="62418" spans="129:129" x14ac:dyDescent="0.2">
      <c r="DY62418" s="185" t="s">
        <v>215</v>
      </c>
    </row>
    <row r="62419" spans="129:129" x14ac:dyDescent="0.2">
      <c r="DY62419" s="185" t="s">
        <v>215</v>
      </c>
    </row>
    <row r="62420" spans="129:129" x14ac:dyDescent="0.2">
      <c r="DY62420" s="185" t="s">
        <v>215</v>
      </c>
    </row>
    <row r="62421" spans="129:129" x14ac:dyDescent="0.2">
      <c r="DY62421" s="185" t="s">
        <v>215</v>
      </c>
    </row>
    <row r="62422" spans="129:129" x14ac:dyDescent="0.2">
      <c r="DY62422" s="185" t="s">
        <v>215</v>
      </c>
    </row>
    <row r="62423" spans="129:129" x14ac:dyDescent="0.2">
      <c r="DY62423" s="185" t="s">
        <v>215</v>
      </c>
    </row>
    <row r="62424" spans="129:129" x14ac:dyDescent="0.2">
      <c r="DY62424" s="185" t="s">
        <v>215</v>
      </c>
    </row>
    <row r="62425" spans="129:129" x14ac:dyDescent="0.2">
      <c r="DY62425" s="185" t="s">
        <v>215</v>
      </c>
    </row>
    <row r="62426" spans="129:129" x14ac:dyDescent="0.2">
      <c r="DY62426" s="185" t="s">
        <v>215</v>
      </c>
    </row>
    <row r="62427" spans="129:129" x14ac:dyDescent="0.2">
      <c r="DY62427" s="185" t="s">
        <v>215</v>
      </c>
    </row>
    <row r="62428" spans="129:129" x14ac:dyDescent="0.2">
      <c r="DY62428" s="185" t="s">
        <v>215</v>
      </c>
    </row>
    <row r="62429" spans="129:129" x14ac:dyDescent="0.2">
      <c r="DY62429" s="185" t="s">
        <v>215</v>
      </c>
    </row>
    <row r="62430" spans="129:129" x14ac:dyDescent="0.2">
      <c r="DY62430" s="185" t="s">
        <v>215</v>
      </c>
    </row>
    <row r="62431" spans="129:129" x14ac:dyDescent="0.2">
      <c r="DY62431" s="185" t="s">
        <v>215</v>
      </c>
    </row>
    <row r="62432" spans="129:129" x14ac:dyDescent="0.2">
      <c r="DY62432" s="185" t="s">
        <v>215</v>
      </c>
    </row>
    <row r="62433" spans="129:129" x14ac:dyDescent="0.2">
      <c r="DY62433" s="185" t="s">
        <v>215</v>
      </c>
    </row>
    <row r="62434" spans="129:129" x14ac:dyDescent="0.2">
      <c r="DY62434" s="185" t="s">
        <v>215</v>
      </c>
    </row>
    <row r="62435" spans="129:129" x14ac:dyDescent="0.2">
      <c r="DY62435" s="185" t="s">
        <v>215</v>
      </c>
    </row>
    <row r="62436" spans="129:129" x14ac:dyDescent="0.2">
      <c r="DY62436" s="185" t="s">
        <v>215</v>
      </c>
    </row>
    <row r="62437" spans="129:129" x14ac:dyDescent="0.2">
      <c r="DY62437" s="185" t="s">
        <v>215</v>
      </c>
    </row>
    <row r="62438" spans="129:129" x14ac:dyDescent="0.2">
      <c r="DY62438" s="185" t="s">
        <v>215</v>
      </c>
    </row>
    <row r="62439" spans="129:129" x14ac:dyDescent="0.2">
      <c r="DY62439" s="185" t="s">
        <v>215</v>
      </c>
    </row>
    <row r="62440" spans="129:129" x14ac:dyDescent="0.2">
      <c r="DY62440" s="185" t="s">
        <v>215</v>
      </c>
    </row>
    <row r="62441" spans="129:129" x14ac:dyDescent="0.2">
      <c r="DY62441" s="185" t="s">
        <v>215</v>
      </c>
    </row>
    <row r="62442" spans="129:129" x14ac:dyDescent="0.2">
      <c r="DY62442" s="185" t="s">
        <v>215</v>
      </c>
    </row>
    <row r="62443" spans="129:129" x14ac:dyDescent="0.2">
      <c r="DY62443" s="185" t="s">
        <v>215</v>
      </c>
    </row>
    <row r="62444" spans="129:129" x14ac:dyDescent="0.2">
      <c r="DY62444" s="185" t="s">
        <v>215</v>
      </c>
    </row>
    <row r="62445" spans="129:129" x14ac:dyDescent="0.2">
      <c r="DY62445" s="185" t="s">
        <v>215</v>
      </c>
    </row>
    <row r="62446" spans="129:129" x14ac:dyDescent="0.2">
      <c r="DY62446" s="185" t="s">
        <v>215</v>
      </c>
    </row>
    <row r="62447" spans="129:129" x14ac:dyDescent="0.2">
      <c r="DY62447" s="185" t="s">
        <v>215</v>
      </c>
    </row>
    <row r="62448" spans="129:129" x14ac:dyDescent="0.2">
      <c r="DY62448" s="185" t="s">
        <v>215</v>
      </c>
    </row>
    <row r="62449" spans="129:129" x14ac:dyDescent="0.2">
      <c r="DY62449" s="185" t="s">
        <v>215</v>
      </c>
    </row>
    <row r="62450" spans="129:129" x14ac:dyDescent="0.2">
      <c r="DY62450" s="185" t="s">
        <v>215</v>
      </c>
    </row>
    <row r="62451" spans="129:129" x14ac:dyDescent="0.2">
      <c r="DY62451" s="185" t="s">
        <v>215</v>
      </c>
    </row>
    <row r="62452" spans="129:129" x14ac:dyDescent="0.2">
      <c r="DY62452" s="185" t="s">
        <v>215</v>
      </c>
    </row>
    <row r="62453" spans="129:129" x14ac:dyDescent="0.2">
      <c r="DY62453" s="185" t="s">
        <v>215</v>
      </c>
    </row>
    <row r="62454" spans="129:129" x14ac:dyDescent="0.2">
      <c r="DY62454" s="185" t="s">
        <v>215</v>
      </c>
    </row>
    <row r="62455" spans="129:129" x14ac:dyDescent="0.2">
      <c r="DY62455" s="185" t="s">
        <v>215</v>
      </c>
    </row>
    <row r="62456" spans="129:129" x14ac:dyDescent="0.2">
      <c r="DY62456" s="185" t="s">
        <v>215</v>
      </c>
    </row>
    <row r="62457" spans="129:129" x14ac:dyDescent="0.2">
      <c r="DY62457" s="185" t="s">
        <v>215</v>
      </c>
    </row>
    <row r="62458" spans="129:129" x14ac:dyDescent="0.2">
      <c r="DY62458" s="185" t="s">
        <v>215</v>
      </c>
    </row>
    <row r="62459" spans="129:129" x14ac:dyDescent="0.2">
      <c r="DY62459" s="185" t="s">
        <v>215</v>
      </c>
    </row>
    <row r="62460" spans="129:129" x14ac:dyDescent="0.2">
      <c r="DY62460" s="185" t="s">
        <v>215</v>
      </c>
    </row>
    <row r="62461" spans="129:129" x14ac:dyDescent="0.2">
      <c r="DY62461" s="185" t="s">
        <v>215</v>
      </c>
    </row>
    <row r="62462" spans="129:129" x14ac:dyDescent="0.2">
      <c r="DY62462" s="185" t="s">
        <v>215</v>
      </c>
    </row>
    <row r="62463" spans="129:129" x14ac:dyDescent="0.2">
      <c r="DY62463" s="185" t="s">
        <v>215</v>
      </c>
    </row>
    <row r="62464" spans="129:129" x14ac:dyDescent="0.2">
      <c r="DY62464" s="185" t="s">
        <v>215</v>
      </c>
    </row>
    <row r="62465" spans="129:129" x14ac:dyDescent="0.2">
      <c r="DY62465" s="185" t="s">
        <v>215</v>
      </c>
    </row>
    <row r="62466" spans="129:129" x14ac:dyDescent="0.2">
      <c r="DY62466" s="185" t="s">
        <v>215</v>
      </c>
    </row>
    <row r="62467" spans="129:129" x14ac:dyDescent="0.2">
      <c r="DY62467" s="185" t="s">
        <v>215</v>
      </c>
    </row>
    <row r="62468" spans="129:129" x14ac:dyDescent="0.2">
      <c r="DY62468" s="185" t="s">
        <v>215</v>
      </c>
    </row>
    <row r="62469" spans="129:129" x14ac:dyDescent="0.2">
      <c r="DY62469" s="185" t="s">
        <v>215</v>
      </c>
    </row>
    <row r="62470" spans="129:129" x14ac:dyDescent="0.2">
      <c r="DY62470" s="185" t="s">
        <v>215</v>
      </c>
    </row>
    <row r="62471" spans="129:129" x14ac:dyDescent="0.2">
      <c r="DY62471" s="185" t="s">
        <v>215</v>
      </c>
    </row>
    <row r="62472" spans="129:129" x14ac:dyDescent="0.2">
      <c r="DY62472" s="185" t="s">
        <v>215</v>
      </c>
    </row>
    <row r="62473" spans="129:129" x14ac:dyDescent="0.2">
      <c r="DY62473" s="185" t="s">
        <v>215</v>
      </c>
    </row>
    <row r="62474" spans="129:129" x14ac:dyDescent="0.2">
      <c r="DY62474" s="185" t="s">
        <v>215</v>
      </c>
    </row>
    <row r="62475" spans="129:129" x14ac:dyDescent="0.2">
      <c r="DY62475" s="185" t="s">
        <v>215</v>
      </c>
    </row>
    <row r="62476" spans="129:129" x14ac:dyDescent="0.2">
      <c r="DY62476" s="185" t="s">
        <v>215</v>
      </c>
    </row>
    <row r="62477" spans="129:129" x14ac:dyDescent="0.2">
      <c r="DY62477" s="185" t="s">
        <v>215</v>
      </c>
    </row>
    <row r="62478" spans="129:129" x14ac:dyDescent="0.2">
      <c r="DY62478" s="185" t="s">
        <v>215</v>
      </c>
    </row>
    <row r="62479" spans="129:129" x14ac:dyDescent="0.2">
      <c r="DY62479" s="185" t="s">
        <v>215</v>
      </c>
    </row>
    <row r="62480" spans="129:129" x14ac:dyDescent="0.2">
      <c r="DY62480" s="185" t="s">
        <v>215</v>
      </c>
    </row>
    <row r="62481" spans="129:129" x14ac:dyDescent="0.2">
      <c r="DY62481" s="185" t="s">
        <v>215</v>
      </c>
    </row>
    <row r="62482" spans="129:129" x14ac:dyDescent="0.2">
      <c r="DY62482" s="185" t="s">
        <v>215</v>
      </c>
    </row>
    <row r="62483" spans="129:129" x14ac:dyDescent="0.2">
      <c r="DY62483" s="185" t="s">
        <v>215</v>
      </c>
    </row>
    <row r="62484" spans="129:129" x14ac:dyDescent="0.2">
      <c r="DY62484" s="185" t="s">
        <v>215</v>
      </c>
    </row>
    <row r="62485" spans="129:129" x14ac:dyDescent="0.2">
      <c r="DY62485" s="185" t="s">
        <v>215</v>
      </c>
    </row>
    <row r="62486" spans="129:129" x14ac:dyDescent="0.2">
      <c r="DY62486" s="185" t="s">
        <v>215</v>
      </c>
    </row>
    <row r="62487" spans="129:129" x14ac:dyDescent="0.2">
      <c r="DY62487" s="185" t="s">
        <v>215</v>
      </c>
    </row>
    <row r="62488" spans="129:129" x14ac:dyDescent="0.2">
      <c r="DY62488" s="185" t="s">
        <v>215</v>
      </c>
    </row>
    <row r="62489" spans="129:129" x14ac:dyDescent="0.2">
      <c r="DY62489" s="185" t="s">
        <v>215</v>
      </c>
    </row>
    <row r="62490" spans="129:129" x14ac:dyDescent="0.2">
      <c r="DY62490" s="185" t="s">
        <v>215</v>
      </c>
    </row>
    <row r="62491" spans="129:129" x14ac:dyDescent="0.2">
      <c r="DY62491" s="185" t="s">
        <v>215</v>
      </c>
    </row>
    <row r="62492" spans="129:129" x14ac:dyDescent="0.2">
      <c r="DY62492" s="185" t="s">
        <v>215</v>
      </c>
    </row>
    <row r="62493" spans="129:129" x14ac:dyDescent="0.2">
      <c r="DY62493" s="185" t="s">
        <v>215</v>
      </c>
    </row>
    <row r="62494" spans="129:129" x14ac:dyDescent="0.2">
      <c r="DY62494" s="185" t="s">
        <v>215</v>
      </c>
    </row>
    <row r="62495" spans="129:129" x14ac:dyDescent="0.2">
      <c r="DY62495" s="185" t="s">
        <v>215</v>
      </c>
    </row>
    <row r="62496" spans="129:129" x14ac:dyDescent="0.2">
      <c r="DY62496" s="185" t="s">
        <v>215</v>
      </c>
    </row>
    <row r="62497" spans="129:129" x14ac:dyDescent="0.2">
      <c r="DY62497" s="185" t="s">
        <v>215</v>
      </c>
    </row>
    <row r="62498" spans="129:129" x14ac:dyDescent="0.2">
      <c r="DY62498" s="185" t="s">
        <v>215</v>
      </c>
    </row>
    <row r="62499" spans="129:129" x14ac:dyDescent="0.2">
      <c r="DY62499" s="185" t="s">
        <v>215</v>
      </c>
    </row>
    <row r="62500" spans="129:129" x14ac:dyDescent="0.2">
      <c r="DY62500" s="185" t="s">
        <v>215</v>
      </c>
    </row>
    <row r="62501" spans="129:129" x14ac:dyDescent="0.2">
      <c r="DY62501" s="185" t="s">
        <v>215</v>
      </c>
    </row>
    <row r="62502" spans="129:129" x14ac:dyDescent="0.2">
      <c r="DY62502" s="185" t="s">
        <v>215</v>
      </c>
    </row>
    <row r="62503" spans="129:129" x14ac:dyDescent="0.2">
      <c r="DY62503" s="185" t="s">
        <v>215</v>
      </c>
    </row>
    <row r="62504" spans="129:129" x14ac:dyDescent="0.2">
      <c r="DY62504" s="185" t="s">
        <v>215</v>
      </c>
    </row>
    <row r="62505" spans="129:129" x14ac:dyDescent="0.2">
      <c r="DY62505" s="185" t="s">
        <v>215</v>
      </c>
    </row>
    <row r="62506" spans="129:129" x14ac:dyDescent="0.2">
      <c r="DY62506" s="185" t="s">
        <v>215</v>
      </c>
    </row>
    <row r="62507" spans="129:129" x14ac:dyDescent="0.2">
      <c r="DY62507" s="185" t="s">
        <v>215</v>
      </c>
    </row>
    <row r="62508" spans="129:129" x14ac:dyDescent="0.2">
      <c r="DY62508" s="185" t="s">
        <v>215</v>
      </c>
    </row>
    <row r="62509" spans="129:129" x14ac:dyDescent="0.2">
      <c r="DY62509" s="185" t="s">
        <v>215</v>
      </c>
    </row>
    <row r="62510" spans="129:129" x14ac:dyDescent="0.2">
      <c r="DY62510" s="185" t="s">
        <v>215</v>
      </c>
    </row>
    <row r="62511" spans="129:129" x14ac:dyDescent="0.2">
      <c r="DY62511" s="185" t="s">
        <v>215</v>
      </c>
    </row>
    <row r="62512" spans="129:129" x14ac:dyDescent="0.2">
      <c r="DY62512" s="185" t="s">
        <v>215</v>
      </c>
    </row>
    <row r="62513" spans="129:129" x14ac:dyDescent="0.2">
      <c r="DY62513" s="185" t="s">
        <v>215</v>
      </c>
    </row>
    <row r="62514" spans="129:129" x14ac:dyDescent="0.2">
      <c r="DY62514" s="185" t="s">
        <v>215</v>
      </c>
    </row>
    <row r="62515" spans="129:129" x14ac:dyDescent="0.2">
      <c r="DY62515" s="185" t="s">
        <v>215</v>
      </c>
    </row>
    <row r="62516" spans="129:129" x14ac:dyDescent="0.2">
      <c r="DY62516" s="185" t="s">
        <v>215</v>
      </c>
    </row>
    <row r="62517" spans="129:129" x14ac:dyDescent="0.2">
      <c r="DY62517" s="185" t="s">
        <v>215</v>
      </c>
    </row>
    <row r="62518" spans="129:129" x14ac:dyDescent="0.2">
      <c r="DY62518" s="185" t="s">
        <v>215</v>
      </c>
    </row>
    <row r="62519" spans="129:129" x14ac:dyDescent="0.2">
      <c r="DY62519" s="185" t="s">
        <v>215</v>
      </c>
    </row>
    <row r="62520" spans="129:129" x14ac:dyDescent="0.2">
      <c r="DY62520" s="185" t="s">
        <v>215</v>
      </c>
    </row>
    <row r="62521" spans="129:129" x14ac:dyDescent="0.2">
      <c r="DY62521" s="185" t="s">
        <v>215</v>
      </c>
    </row>
    <row r="62522" spans="129:129" x14ac:dyDescent="0.2">
      <c r="DY62522" s="185" t="s">
        <v>215</v>
      </c>
    </row>
    <row r="62523" spans="129:129" x14ac:dyDescent="0.2">
      <c r="DY62523" s="185" t="s">
        <v>215</v>
      </c>
    </row>
    <row r="62524" spans="129:129" x14ac:dyDescent="0.2">
      <c r="DY62524" s="185" t="s">
        <v>215</v>
      </c>
    </row>
    <row r="62525" spans="129:129" x14ac:dyDescent="0.2">
      <c r="DY62525" s="185" t="s">
        <v>215</v>
      </c>
    </row>
    <row r="62526" spans="129:129" x14ac:dyDescent="0.2">
      <c r="DY62526" s="185" t="s">
        <v>215</v>
      </c>
    </row>
    <row r="62527" spans="129:129" x14ac:dyDescent="0.2">
      <c r="DY62527" s="185" t="s">
        <v>215</v>
      </c>
    </row>
    <row r="62528" spans="129:129" x14ac:dyDescent="0.2">
      <c r="DY62528" s="185" t="s">
        <v>215</v>
      </c>
    </row>
    <row r="62529" spans="129:129" x14ac:dyDescent="0.2">
      <c r="DY62529" s="185" t="s">
        <v>215</v>
      </c>
    </row>
    <row r="62530" spans="129:129" x14ac:dyDescent="0.2">
      <c r="DY62530" s="185" t="s">
        <v>215</v>
      </c>
    </row>
    <row r="62531" spans="129:129" x14ac:dyDescent="0.2">
      <c r="DY62531" s="185" t="s">
        <v>215</v>
      </c>
    </row>
    <row r="62532" spans="129:129" x14ac:dyDescent="0.2">
      <c r="DY62532" s="185" t="s">
        <v>215</v>
      </c>
    </row>
    <row r="62533" spans="129:129" x14ac:dyDescent="0.2">
      <c r="DY62533" s="185" t="s">
        <v>215</v>
      </c>
    </row>
    <row r="62534" spans="129:129" x14ac:dyDescent="0.2">
      <c r="DY62534" s="185" t="s">
        <v>215</v>
      </c>
    </row>
    <row r="62535" spans="129:129" x14ac:dyDescent="0.2">
      <c r="DY62535" s="185" t="s">
        <v>215</v>
      </c>
    </row>
    <row r="62536" spans="129:129" x14ac:dyDescent="0.2">
      <c r="DY62536" s="185" t="s">
        <v>215</v>
      </c>
    </row>
    <row r="62537" spans="129:129" x14ac:dyDescent="0.2">
      <c r="DY62537" s="185" t="s">
        <v>215</v>
      </c>
    </row>
    <row r="62538" spans="129:129" x14ac:dyDescent="0.2">
      <c r="DY62538" s="185" t="s">
        <v>215</v>
      </c>
    </row>
    <row r="62539" spans="129:129" x14ac:dyDescent="0.2">
      <c r="DY62539" s="185" t="s">
        <v>215</v>
      </c>
    </row>
    <row r="62540" spans="129:129" x14ac:dyDescent="0.2">
      <c r="DY62540" s="185" t="s">
        <v>215</v>
      </c>
    </row>
    <row r="62541" spans="129:129" x14ac:dyDescent="0.2">
      <c r="DY62541" s="185" t="s">
        <v>215</v>
      </c>
    </row>
    <row r="62542" spans="129:129" x14ac:dyDescent="0.2">
      <c r="DY62542" s="185" t="s">
        <v>215</v>
      </c>
    </row>
    <row r="62543" spans="129:129" x14ac:dyDescent="0.2">
      <c r="DY62543" s="185" t="s">
        <v>215</v>
      </c>
    </row>
    <row r="62544" spans="129:129" x14ac:dyDescent="0.2">
      <c r="DY62544" s="185" t="s">
        <v>215</v>
      </c>
    </row>
    <row r="62545" spans="129:129" x14ac:dyDescent="0.2">
      <c r="DY62545" s="185" t="s">
        <v>215</v>
      </c>
    </row>
    <row r="62546" spans="129:129" x14ac:dyDescent="0.2">
      <c r="DY62546" s="185" t="s">
        <v>215</v>
      </c>
    </row>
    <row r="62547" spans="129:129" x14ac:dyDescent="0.2">
      <c r="DY62547" s="185" t="s">
        <v>215</v>
      </c>
    </row>
    <row r="62548" spans="129:129" x14ac:dyDescent="0.2">
      <c r="DY62548" s="185" t="s">
        <v>215</v>
      </c>
    </row>
    <row r="62549" spans="129:129" x14ac:dyDescent="0.2">
      <c r="DY62549" s="185" t="s">
        <v>215</v>
      </c>
    </row>
    <row r="62550" spans="129:129" x14ac:dyDescent="0.2">
      <c r="DY62550" s="185" t="s">
        <v>215</v>
      </c>
    </row>
    <row r="62551" spans="129:129" x14ac:dyDescent="0.2">
      <c r="DY62551" s="185" t="s">
        <v>215</v>
      </c>
    </row>
    <row r="62552" spans="129:129" x14ac:dyDescent="0.2">
      <c r="DY62552" s="185" t="s">
        <v>215</v>
      </c>
    </row>
    <row r="62553" spans="129:129" x14ac:dyDescent="0.2">
      <c r="DY62553" s="185" t="s">
        <v>215</v>
      </c>
    </row>
    <row r="62554" spans="129:129" x14ac:dyDescent="0.2">
      <c r="DY62554" s="185" t="s">
        <v>215</v>
      </c>
    </row>
    <row r="62555" spans="129:129" x14ac:dyDescent="0.2">
      <c r="DY62555" s="185" t="s">
        <v>215</v>
      </c>
    </row>
    <row r="62556" spans="129:129" x14ac:dyDescent="0.2">
      <c r="DY62556" s="185" t="s">
        <v>215</v>
      </c>
    </row>
    <row r="62557" spans="129:129" x14ac:dyDescent="0.2">
      <c r="DY62557" s="185" t="s">
        <v>215</v>
      </c>
    </row>
    <row r="62558" spans="129:129" x14ac:dyDescent="0.2">
      <c r="DY62558" s="185" t="s">
        <v>215</v>
      </c>
    </row>
    <row r="62559" spans="129:129" x14ac:dyDescent="0.2">
      <c r="DY62559" s="185" t="s">
        <v>215</v>
      </c>
    </row>
    <row r="62560" spans="129:129" x14ac:dyDescent="0.2">
      <c r="DY62560" s="185" t="s">
        <v>215</v>
      </c>
    </row>
    <row r="62561" spans="129:129" x14ac:dyDescent="0.2">
      <c r="DY62561" s="185" t="s">
        <v>215</v>
      </c>
    </row>
    <row r="62562" spans="129:129" x14ac:dyDescent="0.2">
      <c r="DY62562" s="185" t="s">
        <v>215</v>
      </c>
    </row>
    <row r="62563" spans="129:129" x14ac:dyDescent="0.2">
      <c r="DY62563" s="185" t="s">
        <v>215</v>
      </c>
    </row>
    <row r="62564" spans="129:129" x14ac:dyDescent="0.2">
      <c r="DY62564" s="185" t="s">
        <v>215</v>
      </c>
    </row>
    <row r="62565" spans="129:129" x14ac:dyDescent="0.2">
      <c r="DY62565" s="185" t="s">
        <v>215</v>
      </c>
    </row>
    <row r="62566" spans="129:129" x14ac:dyDescent="0.2">
      <c r="DY62566" s="185" t="s">
        <v>215</v>
      </c>
    </row>
    <row r="62567" spans="129:129" x14ac:dyDescent="0.2">
      <c r="DY62567" s="185" t="s">
        <v>215</v>
      </c>
    </row>
    <row r="62568" spans="129:129" x14ac:dyDescent="0.2">
      <c r="DY62568" s="185" t="s">
        <v>215</v>
      </c>
    </row>
    <row r="62569" spans="129:129" x14ac:dyDescent="0.2">
      <c r="DY62569" s="185" t="s">
        <v>215</v>
      </c>
    </row>
    <row r="62570" spans="129:129" x14ac:dyDescent="0.2">
      <c r="DY62570" s="185" t="s">
        <v>215</v>
      </c>
    </row>
    <row r="62571" spans="129:129" x14ac:dyDescent="0.2">
      <c r="DY62571" s="185" t="s">
        <v>215</v>
      </c>
    </row>
    <row r="62572" spans="129:129" x14ac:dyDescent="0.2">
      <c r="DY62572" s="185" t="s">
        <v>215</v>
      </c>
    </row>
    <row r="62573" spans="129:129" x14ac:dyDescent="0.2">
      <c r="DY62573" s="185" t="s">
        <v>215</v>
      </c>
    </row>
    <row r="62574" spans="129:129" x14ac:dyDescent="0.2">
      <c r="DY62574" s="185" t="s">
        <v>215</v>
      </c>
    </row>
    <row r="62575" spans="129:129" x14ac:dyDescent="0.2">
      <c r="DY62575" s="185" t="s">
        <v>215</v>
      </c>
    </row>
    <row r="62576" spans="129:129" x14ac:dyDescent="0.2">
      <c r="DY62576" s="185" t="s">
        <v>215</v>
      </c>
    </row>
    <row r="62577" spans="129:129" x14ac:dyDescent="0.2">
      <c r="DY62577" s="185" t="s">
        <v>215</v>
      </c>
    </row>
    <row r="62578" spans="129:129" x14ac:dyDescent="0.2">
      <c r="DY62578" s="185" t="s">
        <v>215</v>
      </c>
    </row>
    <row r="62579" spans="129:129" x14ac:dyDescent="0.2">
      <c r="DY62579" s="185" t="s">
        <v>215</v>
      </c>
    </row>
    <row r="62580" spans="129:129" x14ac:dyDescent="0.2">
      <c r="DY62580" s="185" t="s">
        <v>215</v>
      </c>
    </row>
    <row r="62581" spans="129:129" x14ac:dyDescent="0.2">
      <c r="DY62581" s="185" t="s">
        <v>215</v>
      </c>
    </row>
    <row r="62582" spans="129:129" x14ac:dyDescent="0.2">
      <c r="DY62582" s="185" t="s">
        <v>215</v>
      </c>
    </row>
    <row r="62583" spans="129:129" x14ac:dyDescent="0.2">
      <c r="DY62583" s="185" t="s">
        <v>215</v>
      </c>
    </row>
    <row r="62584" spans="129:129" x14ac:dyDescent="0.2">
      <c r="DY62584" s="185" t="s">
        <v>215</v>
      </c>
    </row>
    <row r="62585" spans="129:129" x14ac:dyDescent="0.2">
      <c r="DY62585" s="185" t="s">
        <v>215</v>
      </c>
    </row>
    <row r="62586" spans="129:129" x14ac:dyDescent="0.2">
      <c r="DY62586" s="185" t="s">
        <v>215</v>
      </c>
    </row>
    <row r="62587" spans="129:129" x14ac:dyDescent="0.2">
      <c r="DY62587" s="185" t="s">
        <v>215</v>
      </c>
    </row>
    <row r="62588" spans="129:129" x14ac:dyDescent="0.2">
      <c r="DY62588" s="185" t="s">
        <v>215</v>
      </c>
    </row>
    <row r="62589" spans="129:129" x14ac:dyDescent="0.2">
      <c r="DY62589" s="185" t="s">
        <v>215</v>
      </c>
    </row>
    <row r="62590" spans="129:129" x14ac:dyDescent="0.2">
      <c r="DY62590" s="185" t="s">
        <v>215</v>
      </c>
    </row>
    <row r="62591" spans="129:129" x14ac:dyDescent="0.2">
      <c r="DY62591" s="185" t="s">
        <v>215</v>
      </c>
    </row>
    <row r="62592" spans="129:129" x14ac:dyDescent="0.2">
      <c r="DY62592" s="185" t="s">
        <v>215</v>
      </c>
    </row>
    <row r="62593" spans="129:129" x14ac:dyDescent="0.2">
      <c r="DY62593" s="185" t="s">
        <v>215</v>
      </c>
    </row>
    <row r="62594" spans="129:129" x14ac:dyDescent="0.2">
      <c r="DY62594" s="185" t="s">
        <v>215</v>
      </c>
    </row>
    <row r="62595" spans="129:129" x14ac:dyDescent="0.2">
      <c r="DY62595" s="185" t="s">
        <v>215</v>
      </c>
    </row>
    <row r="62596" spans="129:129" x14ac:dyDescent="0.2">
      <c r="DY62596" s="185" t="s">
        <v>215</v>
      </c>
    </row>
    <row r="62597" spans="129:129" x14ac:dyDescent="0.2">
      <c r="DY62597" s="185" t="s">
        <v>215</v>
      </c>
    </row>
    <row r="62598" spans="129:129" x14ac:dyDescent="0.2">
      <c r="DY62598" s="185" t="s">
        <v>215</v>
      </c>
    </row>
    <row r="62599" spans="129:129" x14ac:dyDescent="0.2">
      <c r="DY62599" s="185" t="s">
        <v>215</v>
      </c>
    </row>
    <row r="62600" spans="129:129" x14ac:dyDescent="0.2">
      <c r="DY62600" s="185" t="s">
        <v>215</v>
      </c>
    </row>
    <row r="62601" spans="129:129" x14ac:dyDescent="0.2">
      <c r="DY62601" s="185" t="s">
        <v>215</v>
      </c>
    </row>
    <row r="62602" spans="129:129" x14ac:dyDescent="0.2">
      <c r="DY62602" s="185" t="s">
        <v>215</v>
      </c>
    </row>
    <row r="62603" spans="129:129" x14ac:dyDescent="0.2">
      <c r="DY62603" s="185" t="s">
        <v>215</v>
      </c>
    </row>
    <row r="62604" spans="129:129" x14ac:dyDescent="0.2">
      <c r="DY62604" s="185" t="s">
        <v>215</v>
      </c>
    </row>
    <row r="62605" spans="129:129" x14ac:dyDescent="0.2">
      <c r="DY62605" s="185" t="s">
        <v>215</v>
      </c>
    </row>
    <row r="62606" spans="129:129" x14ac:dyDescent="0.2">
      <c r="DY62606" s="185" t="s">
        <v>215</v>
      </c>
    </row>
    <row r="62607" spans="129:129" x14ac:dyDescent="0.2">
      <c r="DY62607" s="185" t="s">
        <v>215</v>
      </c>
    </row>
    <row r="62608" spans="129:129" x14ac:dyDescent="0.2">
      <c r="DY62608" s="185" t="s">
        <v>215</v>
      </c>
    </row>
    <row r="62609" spans="129:129" x14ac:dyDescent="0.2">
      <c r="DY62609" s="185" t="s">
        <v>215</v>
      </c>
    </row>
    <row r="62610" spans="129:129" x14ac:dyDescent="0.2">
      <c r="DY62610" s="185" t="s">
        <v>215</v>
      </c>
    </row>
    <row r="62611" spans="129:129" x14ac:dyDescent="0.2">
      <c r="DY62611" s="185" t="s">
        <v>215</v>
      </c>
    </row>
    <row r="62612" spans="129:129" x14ac:dyDescent="0.2">
      <c r="DY62612" s="185" t="s">
        <v>215</v>
      </c>
    </row>
    <row r="62613" spans="129:129" x14ac:dyDescent="0.2">
      <c r="DY62613" s="185" t="s">
        <v>215</v>
      </c>
    </row>
    <row r="62614" spans="129:129" x14ac:dyDescent="0.2">
      <c r="DY62614" s="185" t="s">
        <v>215</v>
      </c>
    </row>
    <row r="62615" spans="129:129" x14ac:dyDescent="0.2">
      <c r="DY62615" s="185" t="s">
        <v>215</v>
      </c>
    </row>
    <row r="62616" spans="129:129" x14ac:dyDescent="0.2">
      <c r="DY62616" s="185" t="s">
        <v>215</v>
      </c>
    </row>
    <row r="62617" spans="129:129" x14ac:dyDescent="0.2">
      <c r="DY62617" s="185" t="s">
        <v>215</v>
      </c>
    </row>
    <row r="62618" spans="129:129" x14ac:dyDescent="0.2">
      <c r="DY62618" s="185" t="s">
        <v>215</v>
      </c>
    </row>
    <row r="62619" spans="129:129" x14ac:dyDescent="0.2">
      <c r="DY62619" s="185" t="s">
        <v>215</v>
      </c>
    </row>
    <row r="62620" spans="129:129" x14ac:dyDescent="0.2">
      <c r="DY62620" s="185" t="s">
        <v>215</v>
      </c>
    </row>
    <row r="62621" spans="129:129" x14ac:dyDescent="0.2">
      <c r="DY62621" s="185" t="s">
        <v>215</v>
      </c>
    </row>
    <row r="62622" spans="129:129" x14ac:dyDescent="0.2">
      <c r="DY62622" s="185" t="s">
        <v>215</v>
      </c>
    </row>
    <row r="62623" spans="129:129" x14ac:dyDescent="0.2">
      <c r="DY62623" s="185" t="s">
        <v>215</v>
      </c>
    </row>
    <row r="62624" spans="129:129" x14ac:dyDescent="0.2">
      <c r="DY62624" s="185" t="s">
        <v>215</v>
      </c>
    </row>
    <row r="62625" spans="129:129" x14ac:dyDescent="0.2">
      <c r="DY62625" s="185" t="s">
        <v>215</v>
      </c>
    </row>
    <row r="62626" spans="129:129" x14ac:dyDescent="0.2">
      <c r="DY62626" s="185" t="s">
        <v>215</v>
      </c>
    </row>
    <row r="62627" spans="129:129" x14ac:dyDescent="0.2">
      <c r="DY62627" s="185" t="s">
        <v>215</v>
      </c>
    </row>
    <row r="62628" spans="129:129" x14ac:dyDescent="0.2">
      <c r="DY62628" s="185" t="s">
        <v>215</v>
      </c>
    </row>
    <row r="62629" spans="129:129" x14ac:dyDescent="0.2">
      <c r="DY62629" s="185" t="s">
        <v>215</v>
      </c>
    </row>
    <row r="62630" spans="129:129" x14ac:dyDescent="0.2">
      <c r="DY62630" s="185" t="s">
        <v>215</v>
      </c>
    </row>
    <row r="62631" spans="129:129" x14ac:dyDescent="0.2">
      <c r="DY62631" s="185" t="s">
        <v>215</v>
      </c>
    </row>
    <row r="62632" spans="129:129" x14ac:dyDescent="0.2">
      <c r="DY62632" s="185" t="s">
        <v>215</v>
      </c>
    </row>
    <row r="62633" spans="129:129" x14ac:dyDescent="0.2">
      <c r="DY62633" s="185" t="s">
        <v>215</v>
      </c>
    </row>
    <row r="62634" spans="129:129" x14ac:dyDescent="0.2">
      <c r="DY62634" s="185" t="s">
        <v>215</v>
      </c>
    </row>
    <row r="62635" spans="129:129" x14ac:dyDescent="0.2">
      <c r="DY62635" s="185" t="s">
        <v>215</v>
      </c>
    </row>
    <row r="62636" spans="129:129" x14ac:dyDescent="0.2">
      <c r="DY62636" s="185" t="s">
        <v>215</v>
      </c>
    </row>
    <row r="62637" spans="129:129" x14ac:dyDescent="0.2">
      <c r="DY62637" s="185" t="s">
        <v>215</v>
      </c>
    </row>
    <row r="62638" spans="129:129" x14ac:dyDescent="0.2">
      <c r="DY62638" s="185" t="s">
        <v>215</v>
      </c>
    </row>
    <row r="62639" spans="129:129" x14ac:dyDescent="0.2">
      <c r="DY62639" s="185" t="s">
        <v>215</v>
      </c>
    </row>
    <row r="62640" spans="129:129" x14ac:dyDescent="0.2">
      <c r="DY62640" s="185" t="s">
        <v>215</v>
      </c>
    </row>
    <row r="62641" spans="129:129" x14ac:dyDescent="0.2">
      <c r="DY62641" s="185" t="s">
        <v>215</v>
      </c>
    </row>
    <row r="62642" spans="129:129" x14ac:dyDescent="0.2">
      <c r="DY62642" s="185" t="s">
        <v>215</v>
      </c>
    </row>
    <row r="62643" spans="129:129" x14ac:dyDescent="0.2">
      <c r="DY62643" s="185" t="s">
        <v>215</v>
      </c>
    </row>
    <row r="62644" spans="129:129" x14ac:dyDescent="0.2">
      <c r="DY62644" s="185" t="s">
        <v>215</v>
      </c>
    </row>
    <row r="62645" spans="129:129" x14ac:dyDescent="0.2">
      <c r="DY62645" s="185" t="s">
        <v>215</v>
      </c>
    </row>
    <row r="62646" spans="129:129" x14ac:dyDescent="0.2">
      <c r="DY62646" s="185" t="s">
        <v>215</v>
      </c>
    </row>
    <row r="62647" spans="129:129" x14ac:dyDescent="0.2">
      <c r="DY62647" s="185" t="s">
        <v>215</v>
      </c>
    </row>
    <row r="62648" spans="129:129" x14ac:dyDescent="0.2">
      <c r="DY62648" s="185" t="s">
        <v>215</v>
      </c>
    </row>
    <row r="62649" spans="129:129" x14ac:dyDescent="0.2">
      <c r="DY62649" s="185" t="s">
        <v>215</v>
      </c>
    </row>
    <row r="62650" spans="129:129" x14ac:dyDescent="0.2">
      <c r="DY62650" s="185" t="s">
        <v>215</v>
      </c>
    </row>
    <row r="62651" spans="129:129" x14ac:dyDescent="0.2">
      <c r="DY62651" s="185" t="s">
        <v>215</v>
      </c>
    </row>
    <row r="62652" spans="129:129" x14ac:dyDescent="0.2">
      <c r="DY62652" s="185" t="s">
        <v>215</v>
      </c>
    </row>
    <row r="62653" spans="129:129" x14ac:dyDescent="0.2">
      <c r="DY62653" s="185" t="s">
        <v>215</v>
      </c>
    </row>
    <row r="62654" spans="129:129" x14ac:dyDescent="0.2">
      <c r="DY62654" s="185" t="s">
        <v>215</v>
      </c>
    </row>
    <row r="62655" spans="129:129" x14ac:dyDescent="0.2">
      <c r="DY62655" s="185" t="s">
        <v>215</v>
      </c>
    </row>
    <row r="62656" spans="129:129" x14ac:dyDescent="0.2">
      <c r="DY62656" s="185" t="s">
        <v>215</v>
      </c>
    </row>
    <row r="62657" spans="129:129" x14ac:dyDescent="0.2">
      <c r="DY62657" s="185" t="s">
        <v>215</v>
      </c>
    </row>
    <row r="62658" spans="129:129" x14ac:dyDescent="0.2">
      <c r="DY62658" s="185" t="s">
        <v>215</v>
      </c>
    </row>
    <row r="62659" spans="129:129" x14ac:dyDescent="0.2">
      <c r="DY62659" s="185" t="s">
        <v>215</v>
      </c>
    </row>
    <row r="62660" spans="129:129" x14ac:dyDescent="0.2">
      <c r="DY62660" s="185" t="s">
        <v>215</v>
      </c>
    </row>
    <row r="62661" spans="129:129" x14ac:dyDescent="0.2">
      <c r="DY62661" s="185" t="s">
        <v>215</v>
      </c>
    </row>
    <row r="62662" spans="129:129" x14ac:dyDescent="0.2">
      <c r="DY62662" s="185" t="s">
        <v>215</v>
      </c>
    </row>
    <row r="62663" spans="129:129" x14ac:dyDescent="0.2">
      <c r="DY62663" s="185" t="s">
        <v>215</v>
      </c>
    </row>
    <row r="62664" spans="129:129" x14ac:dyDescent="0.2">
      <c r="DY62664" s="185" t="s">
        <v>215</v>
      </c>
    </row>
    <row r="62665" spans="129:129" x14ac:dyDescent="0.2">
      <c r="DY62665" s="185" t="s">
        <v>215</v>
      </c>
    </row>
    <row r="62666" spans="129:129" x14ac:dyDescent="0.2">
      <c r="DY62666" s="185" t="s">
        <v>215</v>
      </c>
    </row>
    <row r="62667" spans="129:129" x14ac:dyDescent="0.2">
      <c r="DY62667" s="185" t="s">
        <v>215</v>
      </c>
    </row>
    <row r="62668" spans="129:129" x14ac:dyDescent="0.2">
      <c r="DY62668" s="185" t="s">
        <v>215</v>
      </c>
    </row>
    <row r="62669" spans="129:129" x14ac:dyDescent="0.2">
      <c r="DY62669" s="185" t="s">
        <v>215</v>
      </c>
    </row>
    <row r="62670" spans="129:129" x14ac:dyDescent="0.2">
      <c r="DY62670" s="185" t="s">
        <v>215</v>
      </c>
    </row>
    <row r="62671" spans="129:129" x14ac:dyDescent="0.2">
      <c r="DY62671" s="185" t="s">
        <v>215</v>
      </c>
    </row>
    <row r="62672" spans="129:129" x14ac:dyDescent="0.2">
      <c r="DY62672" s="185" t="s">
        <v>215</v>
      </c>
    </row>
    <row r="62673" spans="129:129" x14ac:dyDescent="0.2">
      <c r="DY62673" s="185" t="s">
        <v>215</v>
      </c>
    </row>
    <row r="62674" spans="129:129" x14ac:dyDescent="0.2">
      <c r="DY62674" s="185" t="s">
        <v>215</v>
      </c>
    </row>
    <row r="62675" spans="129:129" x14ac:dyDescent="0.2">
      <c r="DY62675" s="185" t="s">
        <v>215</v>
      </c>
    </row>
    <row r="62676" spans="129:129" x14ac:dyDescent="0.2">
      <c r="DY62676" s="185" t="s">
        <v>215</v>
      </c>
    </row>
    <row r="62677" spans="129:129" x14ac:dyDescent="0.2">
      <c r="DY62677" s="185" t="s">
        <v>215</v>
      </c>
    </row>
    <row r="62678" spans="129:129" x14ac:dyDescent="0.2">
      <c r="DY62678" s="185" t="s">
        <v>215</v>
      </c>
    </row>
    <row r="62679" spans="129:129" x14ac:dyDescent="0.2">
      <c r="DY62679" s="185" t="s">
        <v>215</v>
      </c>
    </row>
    <row r="62680" spans="129:129" x14ac:dyDescent="0.2">
      <c r="DY62680" s="185" t="s">
        <v>215</v>
      </c>
    </row>
    <row r="62681" spans="129:129" x14ac:dyDescent="0.2">
      <c r="DY62681" s="185" t="s">
        <v>215</v>
      </c>
    </row>
    <row r="62682" spans="129:129" x14ac:dyDescent="0.2">
      <c r="DY62682" s="185" t="s">
        <v>215</v>
      </c>
    </row>
    <row r="62683" spans="129:129" x14ac:dyDescent="0.2">
      <c r="DY62683" s="185" t="s">
        <v>215</v>
      </c>
    </row>
    <row r="62684" spans="129:129" x14ac:dyDescent="0.2">
      <c r="DY62684" s="185" t="s">
        <v>215</v>
      </c>
    </row>
    <row r="62685" spans="129:129" x14ac:dyDescent="0.2">
      <c r="DY62685" s="185" t="s">
        <v>215</v>
      </c>
    </row>
    <row r="62686" spans="129:129" x14ac:dyDescent="0.2">
      <c r="DY62686" s="185" t="s">
        <v>215</v>
      </c>
    </row>
    <row r="62687" spans="129:129" x14ac:dyDescent="0.2">
      <c r="DY62687" s="185" t="s">
        <v>215</v>
      </c>
    </row>
    <row r="62688" spans="129:129" x14ac:dyDescent="0.2">
      <c r="DY62688" s="185" t="s">
        <v>215</v>
      </c>
    </row>
    <row r="62689" spans="129:129" x14ac:dyDescent="0.2">
      <c r="DY62689" s="185" t="s">
        <v>215</v>
      </c>
    </row>
    <row r="62690" spans="129:129" x14ac:dyDescent="0.2">
      <c r="DY62690" s="185" t="s">
        <v>215</v>
      </c>
    </row>
    <row r="62691" spans="129:129" x14ac:dyDescent="0.2">
      <c r="DY62691" s="185" t="s">
        <v>215</v>
      </c>
    </row>
    <row r="62692" spans="129:129" x14ac:dyDescent="0.2">
      <c r="DY62692" s="185" t="s">
        <v>215</v>
      </c>
    </row>
    <row r="62693" spans="129:129" x14ac:dyDescent="0.2">
      <c r="DY62693" s="185" t="s">
        <v>215</v>
      </c>
    </row>
    <row r="62694" spans="129:129" x14ac:dyDescent="0.2">
      <c r="DY62694" s="185" t="s">
        <v>215</v>
      </c>
    </row>
    <row r="62695" spans="129:129" x14ac:dyDescent="0.2">
      <c r="DY62695" s="185" t="s">
        <v>215</v>
      </c>
    </row>
    <row r="62696" spans="129:129" x14ac:dyDescent="0.2">
      <c r="DY62696" s="185" t="s">
        <v>215</v>
      </c>
    </row>
    <row r="62697" spans="129:129" x14ac:dyDescent="0.2">
      <c r="DY62697" s="185" t="s">
        <v>215</v>
      </c>
    </row>
    <row r="62698" spans="129:129" x14ac:dyDescent="0.2">
      <c r="DY62698" s="185" t="s">
        <v>215</v>
      </c>
    </row>
    <row r="62699" spans="129:129" x14ac:dyDescent="0.2">
      <c r="DY62699" s="185" t="s">
        <v>215</v>
      </c>
    </row>
    <row r="62700" spans="129:129" x14ac:dyDescent="0.2">
      <c r="DY62700" s="185" t="s">
        <v>215</v>
      </c>
    </row>
    <row r="62701" spans="129:129" x14ac:dyDescent="0.2">
      <c r="DY62701" s="185" t="s">
        <v>215</v>
      </c>
    </row>
    <row r="62702" spans="129:129" x14ac:dyDescent="0.2">
      <c r="DY62702" s="185" t="s">
        <v>215</v>
      </c>
    </row>
    <row r="62703" spans="129:129" x14ac:dyDescent="0.2">
      <c r="DY62703" s="185" t="s">
        <v>215</v>
      </c>
    </row>
    <row r="62704" spans="129:129" x14ac:dyDescent="0.2">
      <c r="DY62704" s="185" t="s">
        <v>215</v>
      </c>
    </row>
    <row r="62705" spans="129:129" x14ac:dyDescent="0.2">
      <c r="DY62705" s="185" t="s">
        <v>215</v>
      </c>
    </row>
    <row r="62706" spans="129:129" x14ac:dyDescent="0.2">
      <c r="DY62706" s="185" t="s">
        <v>215</v>
      </c>
    </row>
    <row r="62707" spans="129:129" x14ac:dyDescent="0.2">
      <c r="DY62707" s="185" t="s">
        <v>215</v>
      </c>
    </row>
    <row r="62708" spans="129:129" x14ac:dyDescent="0.2">
      <c r="DY62708" s="185" t="s">
        <v>215</v>
      </c>
    </row>
    <row r="62709" spans="129:129" x14ac:dyDescent="0.2">
      <c r="DY62709" s="185" t="s">
        <v>215</v>
      </c>
    </row>
    <row r="62710" spans="129:129" x14ac:dyDescent="0.2">
      <c r="DY62710" s="185" t="s">
        <v>215</v>
      </c>
    </row>
    <row r="62711" spans="129:129" x14ac:dyDescent="0.2">
      <c r="DY62711" s="185" t="s">
        <v>215</v>
      </c>
    </row>
    <row r="62712" spans="129:129" x14ac:dyDescent="0.2">
      <c r="DY62712" s="185" t="s">
        <v>215</v>
      </c>
    </row>
    <row r="62713" spans="129:129" x14ac:dyDescent="0.2">
      <c r="DY62713" s="185" t="s">
        <v>215</v>
      </c>
    </row>
    <row r="62714" spans="129:129" x14ac:dyDescent="0.2">
      <c r="DY62714" s="185" t="s">
        <v>215</v>
      </c>
    </row>
    <row r="62715" spans="129:129" x14ac:dyDescent="0.2">
      <c r="DY62715" s="185" t="s">
        <v>215</v>
      </c>
    </row>
    <row r="62716" spans="129:129" x14ac:dyDescent="0.2">
      <c r="DY62716" s="185" t="s">
        <v>215</v>
      </c>
    </row>
    <row r="62717" spans="129:129" x14ac:dyDescent="0.2">
      <c r="DY62717" s="185" t="s">
        <v>215</v>
      </c>
    </row>
    <row r="62718" spans="129:129" x14ac:dyDescent="0.2">
      <c r="DY62718" s="185" t="s">
        <v>215</v>
      </c>
    </row>
    <row r="62719" spans="129:129" x14ac:dyDescent="0.2">
      <c r="DY62719" s="185" t="s">
        <v>215</v>
      </c>
    </row>
    <row r="62720" spans="129:129" x14ac:dyDescent="0.2">
      <c r="DY62720" s="185" t="s">
        <v>215</v>
      </c>
    </row>
    <row r="62721" spans="129:129" x14ac:dyDescent="0.2">
      <c r="DY62721" s="185" t="s">
        <v>215</v>
      </c>
    </row>
    <row r="62722" spans="129:129" x14ac:dyDescent="0.2">
      <c r="DY62722" s="185" t="s">
        <v>215</v>
      </c>
    </row>
    <row r="62723" spans="129:129" x14ac:dyDescent="0.2">
      <c r="DY62723" s="185" t="s">
        <v>215</v>
      </c>
    </row>
    <row r="62724" spans="129:129" x14ac:dyDescent="0.2">
      <c r="DY62724" s="185" t="s">
        <v>215</v>
      </c>
    </row>
    <row r="62725" spans="129:129" x14ac:dyDescent="0.2">
      <c r="DY62725" s="185" t="s">
        <v>215</v>
      </c>
    </row>
    <row r="62726" spans="129:129" x14ac:dyDescent="0.2">
      <c r="DY62726" s="185" t="s">
        <v>215</v>
      </c>
    </row>
    <row r="62727" spans="129:129" x14ac:dyDescent="0.2">
      <c r="DY62727" s="185" t="s">
        <v>215</v>
      </c>
    </row>
    <row r="62728" spans="129:129" x14ac:dyDescent="0.2">
      <c r="DY62728" s="185" t="s">
        <v>215</v>
      </c>
    </row>
    <row r="62729" spans="129:129" x14ac:dyDescent="0.2">
      <c r="DY62729" s="185" t="s">
        <v>215</v>
      </c>
    </row>
    <row r="62730" spans="129:129" x14ac:dyDescent="0.2">
      <c r="DY62730" s="185" t="s">
        <v>215</v>
      </c>
    </row>
    <row r="62731" spans="129:129" x14ac:dyDescent="0.2">
      <c r="DY62731" s="185" t="s">
        <v>215</v>
      </c>
    </row>
    <row r="62732" spans="129:129" x14ac:dyDescent="0.2">
      <c r="DY62732" s="185" t="s">
        <v>215</v>
      </c>
    </row>
    <row r="62733" spans="129:129" x14ac:dyDescent="0.2">
      <c r="DY62733" s="185" t="s">
        <v>215</v>
      </c>
    </row>
    <row r="62734" spans="129:129" x14ac:dyDescent="0.2">
      <c r="DY62734" s="185" t="s">
        <v>215</v>
      </c>
    </row>
    <row r="62735" spans="129:129" x14ac:dyDescent="0.2">
      <c r="DY62735" s="185" t="s">
        <v>215</v>
      </c>
    </row>
    <row r="62736" spans="129:129" x14ac:dyDescent="0.2">
      <c r="DY62736" s="185" t="s">
        <v>215</v>
      </c>
    </row>
    <row r="62737" spans="129:129" x14ac:dyDescent="0.2">
      <c r="DY62737" s="185" t="s">
        <v>215</v>
      </c>
    </row>
    <row r="62738" spans="129:129" x14ac:dyDescent="0.2">
      <c r="DY62738" s="185" t="s">
        <v>215</v>
      </c>
    </row>
    <row r="62739" spans="129:129" x14ac:dyDescent="0.2">
      <c r="DY62739" s="185" t="s">
        <v>215</v>
      </c>
    </row>
    <row r="62740" spans="129:129" x14ac:dyDescent="0.2">
      <c r="DY62740" s="185" t="s">
        <v>215</v>
      </c>
    </row>
    <row r="62741" spans="129:129" x14ac:dyDescent="0.2">
      <c r="DY62741" s="185" t="s">
        <v>215</v>
      </c>
    </row>
    <row r="62742" spans="129:129" x14ac:dyDescent="0.2">
      <c r="DY62742" s="185" t="s">
        <v>215</v>
      </c>
    </row>
    <row r="62743" spans="129:129" x14ac:dyDescent="0.2">
      <c r="DY62743" s="185" t="s">
        <v>215</v>
      </c>
    </row>
    <row r="62744" spans="129:129" x14ac:dyDescent="0.2">
      <c r="DY62744" s="185" t="s">
        <v>215</v>
      </c>
    </row>
    <row r="62745" spans="129:129" x14ac:dyDescent="0.2">
      <c r="DY62745" s="185" t="s">
        <v>215</v>
      </c>
    </row>
    <row r="62746" spans="129:129" x14ac:dyDescent="0.2">
      <c r="DY62746" s="185" t="s">
        <v>215</v>
      </c>
    </row>
    <row r="62747" spans="129:129" x14ac:dyDescent="0.2">
      <c r="DY62747" s="185" t="s">
        <v>215</v>
      </c>
    </row>
    <row r="62748" spans="129:129" x14ac:dyDescent="0.2">
      <c r="DY62748" s="185" t="s">
        <v>215</v>
      </c>
    </row>
    <row r="62749" spans="129:129" x14ac:dyDescent="0.2">
      <c r="DY62749" s="185" t="s">
        <v>215</v>
      </c>
    </row>
    <row r="62750" spans="129:129" x14ac:dyDescent="0.2">
      <c r="DY62750" s="185" t="s">
        <v>215</v>
      </c>
    </row>
    <row r="62751" spans="129:129" x14ac:dyDescent="0.2">
      <c r="DY62751" s="185" t="s">
        <v>215</v>
      </c>
    </row>
    <row r="62752" spans="129:129" x14ac:dyDescent="0.2">
      <c r="DY62752" s="185" t="s">
        <v>215</v>
      </c>
    </row>
    <row r="62753" spans="129:129" x14ac:dyDescent="0.2">
      <c r="DY62753" s="185" t="s">
        <v>215</v>
      </c>
    </row>
    <row r="62754" spans="129:129" x14ac:dyDescent="0.2">
      <c r="DY62754" s="185" t="s">
        <v>215</v>
      </c>
    </row>
    <row r="62755" spans="129:129" x14ac:dyDescent="0.2">
      <c r="DY62755" s="185" t="s">
        <v>215</v>
      </c>
    </row>
    <row r="62756" spans="129:129" x14ac:dyDescent="0.2">
      <c r="DY62756" s="185" t="s">
        <v>215</v>
      </c>
    </row>
    <row r="62757" spans="129:129" x14ac:dyDescent="0.2">
      <c r="DY62757" s="185" t="s">
        <v>215</v>
      </c>
    </row>
    <row r="62758" spans="129:129" x14ac:dyDescent="0.2">
      <c r="DY62758" s="185" t="s">
        <v>215</v>
      </c>
    </row>
    <row r="62759" spans="129:129" x14ac:dyDescent="0.2">
      <c r="DY62759" s="185" t="s">
        <v>215</v>
      </c>
    </row>
    <row r="62760" spans="129:129" x14ac:dyDescent="0.2">
      <c r="DY62760" s="185" t="s">
        <v>215</v>
      </c>
    </row>
    <row r="62761" spans="129:129" x14ac:dyDescent="0.2">
      <c r="DY62761" s="185" t="s">
        <v>215</v>
      </c>
    </row>
    <row r="62762" spans="129:129" x14ac:dyDescent="0.2">
      <c r="DY62762" s="185" t="s">
        <v>215</v>
      </c>
    </row>
    <row r="62763" spans="129:129" x14ac:dyDescent="0.2">
      <c r="DY62763" s="185" t="s">
        <v>215</v>
      </c>
    </row>
    <row r="62764" spans="129:129" x14ac:dyDescent="0.2">
      <c r="DY62764" s="185" t="s">
        <v>215</v>
      </c>
    </row>
    <row r="62765" spans="129:129" x14ac:dyDescent="0.2">
      <c r="DY62765" s="185" t="s">
        <v>215</v>
      </c>
    </row>
    <row r="62766" spans="129:129" x14ac:dyDescent="0.2">
      <c r="DY62766" s="185" t="s">
        <v>215</v>
      </c>
    </row>
    <row r="62767" spans="129:129" x14ac:dyDescent="0.2">
      <c r="DY62767" s="185" t="s">
        <v>215</v>
      </c>
    </row>
    <row r="62768" spans="129:129" x14ac:dyDescent="0.2">
      <c r="DY62768" s="185" t="s">
        <v>215</v>
      </c>
    </row>
    <row r="62769" spans="129:129" x14ac:dyDescent="0.2">
      <c r="DY62769" s="185" t="s">
        <v>215</v>
      </c>
    </row>
    <row r="62770" spans="129:129" x14ac:dyDescent="0.2">
      <c r="DY62770" s="185" t="s">
        <v>215</v>
      </c>
    </row>
    <row r="62771" spans="129:129" x14ac:dyDescent="0.2">
      <c r="DY62771" s="185" t="s">
        <v>215</v>
      </c>
    </row>
    <row r="62772" spans="129:129" x14ac:dyDescent="0.2">
      <c r="DY62772" s="185" t="s">
        <v>215</v>
      </c>
    </row>
    <row r="62773" spans="129:129" x14ac:dyDescent="0.2">
      <c r="DY62773" s="185" t="s">
        <v>215</v>
      </c>
    </row>
    <row r="62774" spans="129:129" x14ac:dyDescent="0.2">
      <c r="DY62774" s="185" t="s">
        <v>215</v>
      </c>
    </row>
    <row r="62775" spans="129:129" x14ac:dyDescent="0.2">
      <c r="DY62775" s="185" t="s">
        <v>215</v>
      </c>
    </row>
    <row r="62776" spans="129:129" x14ac:dyDescent="0.2">
      <c r="DY62776" s="185" t="s">
        <v>215</v>
      </c>
    </row>
    <row r="62777" spans="129:129" x14ac:dyDescent="0.2">
      <c r="DY62777" s="185" t="s">
        <v>215</v>
      </c>
    </row>
    <row r="62778" spans="129:129" x14ac:dyDescent="0.2">
      <c r="DY62778" s="185" t="s">
        <v>215</v>
      </c>
    </row>
    <row r="62779" spans="129:129" x14ac:dyDescent="0.2">
      <c r="DY62779" s="185" t="s">
        <v>215</v>
      </c>
    </row>
    <row r="62780" spans="129:129" x14ac:dyDescent="0.2">
      <c r="DY62780" s="185" t="s">
        <v>215</v>
      </c>
    </row>
    <row r="62781" spans="129:129" x14ac:dyDescent="0.2">
      <c r="DY62781" s="185" t="s">
        <v>215</v>
      </c>
    </row>
    <row r="62782" spans="129:129" x14ac:dyDescent="0.2">
      <c r="DY62782" s="185" t="s">
        <v>215</v>
      </c>
    </row>
    <row r="62783" spans="129:129" x14ac:dyDescent="0.2">
      <c r="DY62783" s="185" t="s">
        <v>215</v>
      </c>
    </row>
    <row r="62784" spans="129:129" x14ac:dyDescent="0.2">
      <c r="DY62784" s="185" t="s">
        <v>215</v>
      </c>
    </row>
    <row r="62785" spans="129:129" x14ac:dyDescent="0.2">
      <c r="DY62785" s="185" t="s">
        <v>215</v>
      </c>
    </row>
    <row r="62786" spans="129:129" x14ac:dyDescent="0.2">
      <c r="DY62786" s="185" t="s">
        <v>215</v>
      </c>
    </row>
    <row r="62787" spans="129:129" x14ac:dyDescent="0.2">
      <c r="DY62787" s="185" t="s">
        <v>215</v>
      </c>
    </row>
    <row r="62788" spans="129:129" x14ac:dyDescent="0.2">
      <c r="DY62788" s="185" t="s">
        <v>215</v>
      </c>
    </row>
    <row r="62789" spans="129:129" x14ac:dyDescent="0.2">
      <c r="DY62789" s="185" t="s">
        <v>215</v>
      </c>
    </row>
    <row r="62790" spans="129:129" x14ac:dyDescent="0.2">
      <c r="DY62790" s="185" t="s">
        <v>215</v>
      </c>
    </row>
    <row r="62791" spans="129:129" x14ac:dyDescent="0.2">
      <c r="DY62791" s="185" t="s">
        <v>215</v>
      </c>
    </row>
    <row r="62792" spans="129:129" x14ac:dyDescent="0.2">
      <c r="DY62792" s="185" t="s">
        <v>215</v>
      </c>
    </row>
    <row r="62793" spans="129:129" x14ac:dyDescent="0.2">
      <c r="DY62793" s="185" t="s">
        <v>215</v>
      </c>
    </row>
    <row r="62794" spans="129:129" x14ac:dyDescent="0.2">
      <c r="DY62794" s="185" t="s">
        <v>215</v>
      </c>
    </row>
    <row r="62795" spans="129:129" x14ac:dyDescent="0.2">
      <c r="DY62795" s="185" t="s">
        <v>215</v>
      </c>
    </row>
    <row r="62796" spans="129:129" x14ac:dyDescent="0.2">
      <c r="DY62796" s="185" t="s">
        <v>215</v>
      </c>
    </row>
    <row r="62797" spans="129:129" x14ac:dyDescent="0.2">
      <c r="DY62797" s="185" t="s">
        <v>215</v>
      </c>
    </row>
    <row r="62798" spans="129:129" x14ac:dyDescent="0.2">
      <c r="DY62798" s="185" t="s">
        <v>215</v>
      </c>
    </row>
    <row r="62799" spans="129:129" x14ac:dyDescent="0.2">
      <c r="DY62799" s="185" t="s">
        <v>215</v>
      </c>
    </row>
    <row r="62800" spans="129:129" x14ac:dyDescent="0.2">
      <c r="DY62800" s="185" t="s">
        <v>215</v>
      </c>
    </row>
    <row r="62801" spans="129:129" x14ac:dyDescent="0.2">
      <c r="DY62801" s="185" t="s">
        <v>215</v>
      </c>
    </row>
    <row r="62802" spans="129:129" x14ac:dyDescent="0.2">
      <c r="DY62802" s="185" t="s">
        <v>215</v>
      </c>
    </row>
    <row r="62803" spans="129:129" x14ac:dyDescent="0.2">
      <c r="DY62803" s="185" t="s">
        <v>215</v>
      </c>
    </row>
    <row r="62804" spans="129:129" x14ac:dyDescent="0.2">
      <c r="DY62804" s="185" t="s">
        <v>215</v>
      </c>
    </row>
    <row r="62805" spans="129:129" x14ac:dyDescent="0.2">
      <c r="DY62805" s="185" t="s">
        <v>215</v>
      </c>
    </row>
    <row r="62806" spans="129:129" x14ac:dyDescent="0.2">
      <c r="DY62806" s="185" t="s">
        <v>215</v>
      </c>
    </row>
    <row r="62807" spans="129:129" x14ac:dyDescent="0.2">
      <c r="DY62807" s="185" t="s">
        <v>215</v>
      </c>
    </row>
    <row r="62808" spans="129:129" x14ac:dyDescent="0.2">
      <c r="DY62808" s="185" t="s">
        <v>215</v>
      </c>
    </row>
    <row r="62809" spans="129:129" x14ac:dyDescent="0.2">
      <c r="DY62809" s="185" t="s">
        <v>215</v>
      </c>
    </row>
    <row r="62810" spans="129:129" x14ac:dyDescent="0.2">
      <c r="DY62810" s="185" t="s">
        <v>215</v>
      </c>
    </row>
    <row r="62811" spans="129:129" x14ac:dyDescent="0.2">
      <c r="DY62811" s="185" t="s">
        <v>215</v>
      </c>
    </row>
    <row r="62812" spans="129:129" x14ac:dyDescent="0.2">
      <c r="DY62812" s="185" t="s">
        <v>215</v>
      </c>
    </row>
    <row r="62813" spans="129:129" x14ac:dyDescent="0.2">
      <c r="DY62813" s="185" t="s">
        <v>215</v>
      </c>
    </row>
    <row r="62814" spans="129:129" x14ac:dyDescent="0.2">
      <c r="DY62814" s="185" t="s">
        <v>215</v>
      </c>
    </row>
    <row r="62815" spans="129:129" x14ac:dyDescent="0.2">
      <c r="DY62815" s="185" t="s">
        <v>215</v>
      </c>
    </row>
    <row r="62816" spans="129:129" x14ac:dyDescent="0.2">
      <c r="DY62816" s="185" t="s">
        <v>215</v>
      </c>
    </row>
    <row r="62817" spans="129:129" x14ac:dyDescent="0.2">
      <c r="DY62817" s="185" t="s">
        <v>215</v>
      </c>
    </row>
    <row r="62818" spans="129:129" x14ac:dyDescent="0.2">
      <c r="DY62818" s="185" t="s">
        <v>215</v>
      </c>
    </row>
    <row r="62819" spans="129:129" x14ac:dyDescent="0.2">
      <c r="DY62819" s="185" t="s">
        <v>215</v>
      </c>
    </row>
    <row r="62820" spans="129:129" x14ac:dyDescent="0.2">
      <c r="DY62820" s="185" t="s">
        <v>215</v>
      </c>
    </row>
    <row r="62821" spans="129:129" x14ac:dyDescent="0.2">
      <c r="DY62821" s="185" t="s">
        <v>215</v>
      </c>
    </row>
    <row r="62822" spans="129:129" x14ac:dyDescent="0.2">
      <c r="DY62822" s="185" t="s">
        <v>215</v>
      </c>
    </row>
    <row r="62823" spans="129:129" x14ac:dyDescent="0.2">
      <c r="DY62823" s="185" t="s">
        <v>215</v>
      </c>
    </row>
    <row r="62824" spans="129:129" x14ac:dyDescent="0.2">
      <c r="DY62824" s="185" t="s">
        <v>215</v>
      </c>
    </row>
    <row r="62825" spans="129:129" x14ac:dyDescent="0.2">
      <c r="DY62825" s="185" t="s">
        <v>215</v>
      </c>
    </row>
    <row r="62826" spans="129:129" x14ac:dyDescent="0.2">
      <c r="DY62826" s="185" t="s">
        <v>215</v>
      </c>
    </row>
    <row r="62827" spans="129:129" x14ac:dyDescent="0.2">
      <c r="DY62827" s="185" t="s">
        <v>215</v>
      </c>
    </row>
    <row r="62828" spans="129:129" x14ac:dyDescent="0.2">
      <c r="DY62828" s="185" t="s">
        <v>215</v>
      </c>
    </row>
    <row r="62829" spans="129:129" x14ac:dyDescent="0.2">
      <c r="DY62829" s="185" t="s">
        <v>215</v>
      </c>
    </row>
    <row r="62830" spans="129:129" x14ac:dyDescent="0.2">
      <c r="DY62830" s="185" t="s">
        <v>215</v>
      </c>
    </row>
    <row r="62831" spans="129:129" x14ac:dyDescent="0.2">
      <c r="DY62831" s="185" t="s">
        <v>215</v>
      </c>
    </row>
    <row r="62832" spans="129:129" x14ac:dyDescent="0.2">
      <c r="DY62832" s="185" t="s">
        <v>215</v>
      </c>
    </row>
    <row r="62833" spans="129:129" x14ac:dyDescent="0.2">
      <c r="DY62833" s="185" t="s">
        <v>215</v>
      </c>
    </row>
    <row r="62834" spans="129:129" x14ac:dyDescent="0.2">
      <c r="DY62834" s="185" t="s">
        <v>215</v>
      </c>
    </row>
    <row r="62835" spans="129:129" x14ac:dyDescent="0.2">
      <c r="DY62835" s="185" t="s">
        <v>215</v>
      </c>
    </row>
    <row r="62836" spans="129:129" x14ac:dyDescent="0.2">
      <c r="DY62836" s="185" t="s">
        <v>215</v>
      </c>
    </row>
    <row r="62837" spans="129:129" x14ac:dyDescent="0.2">
      <c r="DY62837" s="185" t="s">
        <v>215</v>
      </c>
    </row>
    <row r="62838" spans="129:129" x14ac:dyDescent="0.2">
      <c r="DY62838" s="185" t="s">
        <v>215</v>
      </c>
    </row>
    <row r="62839" spans="129:129" x14ac:dyDescent="0.2">
      <c r="DY62839" s="185" t="s">
        <v>215</v>
      </c>
    </row>
    <row r="62840" spans="129:129" x14ac:dyDescent="0.2">
      <c r="DY62840" s="185" t="s">
        <v>215</v>
      </c>
    </row>
    <row r="62841" spans="129:129" x14ac:dyDescent="0.2">
      <c r="DY62841" s="185" t="s">
        <v>215</v>
      </c>
    </row>
    <row r="62842" spans="129:129" x14ac:dyDescent="0.2">
      <c r="DY62842" s="185" t="s">
        <v>215</v>
      </c>
    </row>
    <row r="62843" spans="129:129" x14ac:dyDescent="0.2">
      <c r="DY62843" s="185" t="s">
        <v>215</v>
      </c>
    </row>
    <row r="62844" spans="129:129" x14ac:dyDescent="0.2">
      <c r="DY62844" s="185" t="s">
        <v>215</v>
      </c>
    </row>
    <row r="62845" spans="129:129" x14ac:dyDescent="0.2">
      <c r="DY62845" s="185" t="s">
        <v>215</v>
      </c>
    </row>
    <row r="62846" spans="129:129" x14ac:dyDescent="0.2">
      <c r="DY62846" s="185" t="s">
        <v>215</v>
      </c>
    </row>
    <row r="62847" spans="129:129" x14ac:dyDescent="0.2">
      <c r="DY62847" s="185" t="s">
        <v>215</v>
      </c>
    </row>
    <row r="62848" spans="129:129" x14ac:dyDescent="0.2">
      <c r="DY62848" s="185" t="s">
        <v>215</v>
      </c>
    </row>
    <row r="62849" spans="129:129" x14ac:dyDescent="0.2">
      <c r="DY62849" s="185" t="s">
        <v>215</v>
      </c>
    </row>
    <row r="62850" spans="129:129" x14ac:dyDescent="0.2">
      <c r="DY62850" s="185" t="s">
        <v>215</v>
      </c>
    </row>
    <row r="62851" spans="129:129" x14ac:dyDescent="0.2">
      <c r="DY62851" s="185" t="s">
        <v>215</v>
      </c>
    </row>
    <row r="62852" spans="129:129" x14ac:dyDescent="0.2">
      <c r="DY62852" s="185" t="s">
        <v>215</v>
      </c>
    </row>
    <row r="62853" spans="129:129" x14ac:dyDescent="0.2">
      <c r="DY62853" s="185" t="s">
        <v>215</v>
      </c>
    </row>
    <row r="62854" spans="129:129" x14ac:dyDescent="0.2">
      <c r="DY62854" s="185" t="s">
        <v>215</v>
      </c>
    </row>
    <row r="62855" spans="129:129" x14ac:dyDescent="0.2">
      <c r="DY62855" s="185" t="s">
        <v>215</v>
      </c>
    </row>
    <row r="62856" spans="129:129" x14ac:dyDescent="0.2">
      <c r="DY62856" s="185" t="s">
        <v>215</v>
      </c>
    </row>
    <row r="62857" spans="129:129" x14ac:dyDescent="0.2">
      <c r="DY62857" s="185" t="s">
        <v>215</v>
      </c>
    </row>
    <row r="62858" spans="129:129" x14ac:dyDescent="0.2">
      <c r="DY62858" s="185" t="s">
        <v>215</v>
      </c>
    </row>
    <row r="62859" spans="129:129" x14ac:dyDescent="0.2">
      <c r="DY62859" s="185" t="s">
        <v>215</v>
      </c>
    </row>
    <row r="62860" spans="129:129" x14ac:dyDescent="0.2">
      <c r="DY62860" s="185" t="s">
        <v>215</v>
      </c>
    </row>
    <row r="62861" spans="129:129" x14ac:dyDescent="0.2">
      <c r="DY62861" s="185" t="s">
        <v>215</v>
      </c>
    </row>
    <row r="62862" spans="129:129" x14ac:dyDescent="0.2">
      <c r="DY62862" s="185" t="s">
        <v>215</v>
      </c>
    </row>
    <row r="62863" spans="129:129" x14ac:dyDescent="0.2">
      <c r="DY62863" s="185" t="s">
        <v>215</v>
      </c>
    </row>
    <row r="62864" spans="129:129" x14ac:dyDescent="0.2">
      <c r="DY62864" s="185" t="s">
        <v>215</v>
      </c>
    </row>
    <row r="62865" spans="129:129" x14ac:dyDescent="0.2">
      <c r="DY62865" s="185" t="s">
        <v>215</v>
      </c>
    </row>
    <row r="62866" spans="129:129" x14ac:dyDescent="0.2">
      <c r="DY62866" s="185" t="s">
        <v>215</v>
      </c>
    </row>
    <row r="62867" spans="129:129" x14ac:dyDescent="0.2">
      <c r="DY62867" s="185" t="s">
        <v>215</v>
      </c>
    </row>
    <row r="62868" spans="129:129" x14ac:dyDescent="0.2">
      <c r="DY62868" s="185" t="s">
        <v>215</v>
      </c>
    </row>
    <row r="62869" spans="129:129" x14ac:dyDescent="0.2">
      <c r="DY62869" s="185" t="s">
        <v>215</v>
      </c>
    </row>
    <row r="62870" spans="129:129" x14ac:dyDescent="0.2">
      <c r="DY62870" s="185" t="s">
        <v>215</v>
      </c>
    </row>
    <row r="62871" spans="129:129" x14ac:dyDescent="0.2">
      <c r="DY62871" s="185" t="s">
        <v>215</v>
      </c>
    </row>
    <row r="62872" spans="129:129" x14ac:dyDescent="0.2">
      <c r="DY62872" s="185" t="s">
        <v>215</v>
      </c>
    </row>
    <row r="62873" spans="129:129" x14ac:dyDescent="0.2">
      <c r="DY62873" s="185" t="s">
        <v>215</v>
      </c>
    </row>
    <row r="62874" spans="129:129" x14ac:dyDescent="0.2">
      <c r="DY62874" s="185" t="s">
        <v>215</v>
      </c>
    </row>
    <row r="62875" spans="129:129" x14ac:dyDescent="0.2">
      <c r="DY62875" s="185" t="s">
        <v>215</v>
      </c>
    </row>
    <row r="62876" spans="129:129" x14ac:dyDescent="0.2">
      <c r="DY62876" s="185" t="s">
        <v>215</v>
      </c>
    </row>
    <row r="62877" spans="129:129" x14ac:dyDescent="0.2">
      <c r="DY62877" s="185" t="s">
        <v>215</v>
      </c>
    </row>
    <row r="62878" spans="129:129" x14ac:dyDescent="0.2">
      <c r="DY62878" s="185" t="s">
        <v>215</v>
      </c>
    </row>
    <row r="62879" spans="129:129" x14ac:dyDescent="0.2">
      <c r="DY62879" s="185" t="s">
        <v>215</v>
      </c>
    </row>
    <row r="62880" spans="129:129" x14ac:dyDescent="0.2">
      <c r="DY62880" s="185" t="s">
        <v>215</v>
      </c>
    </row>
    <row r="62881" spans="129:129" x14ac:dyDescent="0.2">
      <c r="DY62881" s="185" t="s">
        <v>215</v>
      </c>
    </row>
    <row r="62882" spans="129:129" x14ac:dyDescent="0.2">
      <c r="DY62882" s="185" t="s">
        <v>215</v>
      </c>
    </row>
    <row r="62883" spans="129:129" x14ac:dyDescent="0.2">
      <c r="DY62883" s="185" t="s">
        <v>215</v>
      </c>
    </row>
    <row r="62884" spans="129:129" x14ac:dyDescent="0.2">
      <c r="DY62884" s="185" t="s">
        <v>215</v>
      </c>
    </row>
    <row r="62885" spans="129:129" x14ac:dyDescent="0.2">
      <c r="DY62885" s="185" t="s">
        <v>215</v>
      </c>
    </row>
    <row r="62886" spans="129:129" x14ac:dyDescent="0.2">
      <c r="DY62886" s="185" t="s">
        <v>215</v>
      </c>
    </row>
    <row r="62887" spans="129:129" x14ac:dyDescent="0.2">
      <c r="DY62887" s="185" t="s">
        <v>215</v>
      </c>
    </row>
    <row r="62888" spans="129:129" x14ac:dyDescent="0.2">
      <c r="DY62888" s="185" t="s">
        <v>215</v>
      </c>
    </row>
    <row r="62889" spans="129:129" x14ac:dyDescent="0.2">
      <c r="DY62889" s="185" t="s">
        <v>215</v>
      </c>
    </row>
    <row r="62890" spans="129:129" x14ac:dyDescent="0.2">
      <c r="DY62890" s="185" t="s">
        <v>215</v>
      </c>
    </row>
    <row r="62891" spans="129:129" x14ac:dyDescent="0.2">
      <c r="DY62891" s="185" t="s">
        <v>215</v>
      </c>
    </row>
    <row r="62892" spans="129:129" x14ac:dyDescent="0.2">
      <c r="DY62892" s="185" t="s">
        <v>215</v>
      </c>
    </row>
    <row r="62893" spans="129:129" x14ac:dyDescent="0.2">
      <c r="DY62893" s="185" t="s">
        <v>215</v>
      </c>
    </row>
    <row r="62894" spans="129:129" x14ac:dyDescent="0.2">
      <c r="DY62894" s="185" t="s">
        <v>215</v>
      </c>
    </row>
    <row r="62895" spans="129:129" x14ac:dyDescent="0.2">
      <c r="DY62895" s="185" t="s">
        <v>215</v>
      </c>
    </row>
    <row r="62896" spans="129:129" x14ac:dyDescent="0.2">
      <c r="DY62896" s="185" t="s">
        <v>215</v>
      </c>
    </row>
    <row r="62897" spans="129:129" x14ac:dyDescent="0.2">
      <c r="DY62897" s="185" t="s">
        <v>215</v>
      </c>
    </row>
    <row r="62898" spans="129:129" x14ac:dyDescent="0.2">
      <c r="DY62898" s="185" t="s">
        <v>215</v>
      </c>
    </row>
    <row r="62899" spans="129:129" x14ac:dyDescent="0.2">
      <c r="DY62899" s="185" t="s">
        <v>215</v>
      </c>
    </row>
    <row r="62900" spans="129:129" x14ac:dyDescent="0.2">
      <c r="DY62900" s="185" t="s">
        <v>215</v>
      </c>
    </row>
    <row r="62901" spans="129:129" x14ac:dyDescent="0.2">
      <c r="DY62901" s="185" t="s">
        <v>215</v>
      </c>
    </row>
    <row r="62902" spans="129:129" x14ac:dyDescent="0.2">
      <c r="DY62902" s="185" t="s">
        <v>215</v>
      </c>
    </row>
    <row r="62903" spans="129:129" x14ac:dyDescent="0.2">
      <c r="DY62903" s="185" t="s">
        <v>215</v>
      </c>
    </row>
    <row r="62904" spans="129:129" x14ac:dyDescent="0.2">
      <c r="DY62904" s="185" t="s">
        <v>215</v>
      </c>
    </row>
    <row r="62905" spans="129:129" x14ac:dyDescent="0.2">
      <c r="DY62905" s="185" t="s">
        <v>215</v>
      </c>
    </row>
    <row r="62906" spans="129:129" x14ac:dyDescent="0.2">
      <c r="DY62906" s="185" t="s">
        <v>215</v>
      </c>
    </row>
    <row r="62907" spans="129:129" x14ac:dyDescent="0.2">
      <c r="DY62907" s="185" t="s">
        <v>215</v>
      </c>
    </row>
    <row r="62908" spans="129:129" x14ac:dyDescent="0.2">
      <c r="DY62908" s="185" t="s">
        <v>215</v>
      </c>
    </row>
    <row r="62909" spans="129:129" x14ac:dyDescent="0.2">
      <c r="DY62909" s="185" t="s">
        <v>215</v>
      </c>
    </row>
    <row r="62910" spans="129:129" x14ac:dyDescent="0.2">
      <c r="DY62910" s="185" t="s">
        <v>215</v>
      </c>
    </row>
    <row r="62911" spans="129:129" x14ac:dyDescent="0.2">
      <c r="DY62911" s="185" t="s">
        <v>215</v>
      </c>
    </row>
    <row r="62912" spans="129:129" x14ac:dyDescent="0.2">
      <c r="DY62912" s="185" t="s">
        <v>215</v>
      </c>
    </row>
    <row r="62913" spans="129:129" x14ac:dyDescent="0.2">
      <c r="DY62913" s="185" t="s">
        <v>215</v>
      </c>
    </row>
    <row r="62914" spans="129:129" x14ac:dyDescent="0.2">
      <c r="DY62914" s="185" t="s">
        <v>215</v>
      </c>
    </row>
    <row r="62915" spans="129:129" x14ac:dyDescent="0.2">
      <c r="DY62915" s="185" t="s">
        <v>215</v>
      </c>
    </row>
    <row r="62916" spans="129:129" x14ac:dyDescent="0.2">
      <c r="DY62916" s="185" t="s">
        <v>215</v>
      </c>
    </row>
    <row r="62917" spans="129:129" x14ac:dyDescent="0.2">
      <c r="DY62917" s="185" t="s">
        <v>215</v>
      </c>
    </row>
    <row r="62918" spans="129:129" x14ac:dyDescent="0.2">
      <c r="DY62918" s="185" t="s">
        <v>215</v>
      </c>
    </row>
    <row r="62919" spans="129:129" x14ac:dyDescent="0.2">
      <c r="DY62919" s="185" t="s">
        <v>215</v>
      </c>
    </row>
    <row r="62920" spans="129:129" x14ac:dyDescent="0.2">
      <c r="DY62920" s="185" t="s">
        <v>215</v>
      </c>
    </row>
    <row r="62921" spans="129:129" x14ac:dyDescent="0.2">
      <c r="DY62921" s="185" t="s">
        <v>215</v>
      </c>
    </row>
    <row r="62922" spans="129:129" x14ac:dyDescent="0.2">
      <c r="DY62922" s="185" t="s">
        <v>215</v>
      </c>
    </row>
    <row r="62923" spans="129:129" x14ac:dyDescent="0.2">
      <c r="DY62923" s="185" t="s">
        <v>215</v>
      </c>
    </row>
    <row r="62924" spans="129:129" x14ac:dyDescent="0.2">
      <c r="DY62924" s="185" t="s">
        <v>215</v>
      </c>
    </row>
    <row r="62925" spans="129:129" x14ac:dyDescent="0.2">
      <c r="DY62925" s="185" t="s">
        <v>215</v>
      </c>
    </row>
    <row r="62926" spans="129:129" x14ac:dyDescent="0.2">
      <c r="DY62926" s="185" t="s">
        <v>215</v>
      </c>
    </row>
    <row r="62927" spans="129:129" x14ac:dyDescent="0.2">
      <c r="DY62927" s="185" t="s">
        <v>215</v>
      </c>
    </row>
    <row r="62928" spans="129:129" x14ac:dyDescent="0.2">
      <c r="DY62928" s="185" t="s">
        <v>215</v>
      </c>
    </row>
    <row r="62929" spans="129:129" x14ac:dyDescent="0.2">
      <c r="DY62929" s="185" t="s">
        <v>215</v>
      </c>
    </row>
    <row r="62930" spans="129:129" x14ac:dyDescent="0.2">
      <c r="DY62930" s="185" t="s">
        <v>215</v>
      </c>
    </row>
    <row r="62931" spans="129:129" x14ac:dyDescent="0.2">
      <c r="DY62931" s="185" t="s">
        <v>215</v>
      </c>
    </row>
    <row r="62932" spans="129:129" x14ac:dyDescent="0.2">
      <c r="DY62932" s="185" t="s">
        <v>215</v>
      </c>
    </row>
    <row r="62933" spans="129:129" x14ac:dyDescent="0.2">
      <c r="DY62933" s="185" t="s">
        <v>215</v>
      </c>
    </row>
    <row r="62934" spans="129:129" x14ac:dyDescent="0.2">
      <c r="DY62934" s="185" t="s">
        <v>215</v>
      </c>
    </row>
    <row r="62935" spans="129:129" x14ac:dyDescent="0.2">
      <c r="DY62935" s="185" t="s">
        <v>215</v>
      </c>
    </row>
    <row r="62936" spans="129:129" x14ac:dyDescent="0.2">
      <c r="DY62936" s="185" t="s">
        <v>215</v>
      </c>
    </row>
    <row r="62937" spans="129:129" x14ac:dyDescent="0.2">
      <c r="DY62937" s="185" t="s">
        <v>215</v>
      </c>
    </row>
    <row r="62938" spans="129:129" x14ac:dyDescent="0.2">
      <c r="DY62938" s="185" t="s">
        <v>215</v>
      </c>
    </row>
    <row r="62939" spans="129:129" x14ac:dyDescent="0.2">
      <c r="DY62939" s="185" t="s">
        <v>215</v>
      </c>
    </row>
    <row r="62940" spans="129:129" x14ac:dyDescent="0.2">
      <c r="DY62940" s="185" t="s">
        <v>215</v>
      </c>
    </row>
    <row r="62941" spans="129:129" x14ac:dyDescent="0.2">
      <c r="DY62941" s="185" t="s">
        <v>215</v>
      </c>
    </row>
    <row r="62942" spans="129:129" x14ac:dyDescent="0.2">
      <c r="DY62942" s="185" t="s">
        <v>215</v>
      </c>
    </row>
    <row r="62943" spans="129:129" x14ac:dyDescent="0.2">
      <c r="DY62943" s="185" t="s">
        <v>215</v>
      </c>
    </row>
    <row r="62944" spans="129:129" x14ac:dyDescent="0.2">
      <c r="DY62944" s="185" t="s">
        <v>215</v>
      </c>
    </row>
    <row r="62945" spans="129:129" x14ac:dyDescent="0.2">
      <c r="DY62945" s="185" t="s">
        <v>215</v>
      </c>
    </row>
    <row r="62946" spans="129:129" x14ac:dyDescent="0.2">
      <c r="DY62946" s="185" t="s">
        <v>215</v>
      </c>
    </row>
    <row r="62947" spans="129:129" x14ac:dyDescent="0.2">
      <c r="DY62947" s="185" t="s">
        <v>215</v>
      </c>
    </row>
    <row r="62948" spans="129:129" x14ac:dyDescent="0.2">
      <c r="DY62948" s="185" t="s">
        <v>215</v>
      </c>
    </row>
    <row r="62949" spans="129:129" x14ac:dyDescent="0.2">
      <c r="DY62949" s="185" t="s">
        <v>215</v>
      </c>
    </row>
    <row r="62950" spans="129:129" x14ac:dyDescent="0.2">
      <c r="DY62950" s="185" t="s">
        <v>215</v>
      </c>
    </row>
    <row r="62951" spans="129:129" x14ac:dyDescent="0.2">
      <c r="DY62951" s="185" t="s">
        <v>215</v>
      </c>
    </row>
    <row r="62952" spans="129:129" x14ac:dyDescent="0.2">
      <c r="DY62952" s="185" t="s">
        <v>215</v>
      </c>
    </row>
    <row r="62953" spans="129:129" x14ac:dyDescent="0.2">
      <c r="DY62953" s="185" t="s">
        <v>215</v>
      </c>
    </row>
    <row r="62954" spans="129:129" x14ac:dyDescent="0.2">
      <c r="DY62954" s="185" t="s">
        <v>215</v>
      </c>
    </row>
    <row r="62955" spans="129:129" x14ac:dyDescent="0.2">
      <c r="DY62955" s="185" t="s">
        <v>215</v>
      </c>
    </row>
    <row r="62956" spans="129:129" x14ac:dyDescent="0.2">
      <c r="DY62956" s="185" t="s">
        <v>215</v>
      </c>
    </row>
    <row r="62957" spans="129:129" x14ac:dyDescent="0.2">
      <c r="DY62957" s="185" t="s">
        <v>215</v>
      </c>
    </row>
    <row r="62958" spans="129:129" x14ac:dyDescent="0.2">
      <c r="DY62958" s="185" t="s">
        <v>215</v>
      </c>
    </row>
    <row r="62959" spans="129:129" x14ac:dyDescent="0.2">
      <c r="DY62959" s="185" t="s">
        <v>215</v>
      </c>
    </row>
    <row r="62960" spans="129:129" x14ac:dyDescent="0.2">
      <c r="DY62960" s="185" t="s">
        <v>215</v>
      </c>
    </row>
    <row r="62961" spans="129:129" x14ac:dyDescent="0.2">
      <c r="DY62961" s="185" t="s">
        <v>215</v>
      </c>
    </row>
    <row r="62962" spans="129:129" x14ac:dyDescent="0.2">
      <c r="DY62962" s="185" t="s">
        <v>215</v>
      </c>
    </row>
    <row r="62963" spans="129:129" x14ac:dyDescent="0.2">
      <c r="DY62963" s="185" t="s">
        <v>215</v>
      </c>
    </row>
    <row r="62964" spans="129:129" x14ac:dyDescent="0.2">
      <c r="DY62964" s="185" t="s">
        <v>215</v>
      </c>
    </row>
    <row r="62965" spans="129:129" x14ac:dyDescent="0.2">
      <c r="DY62965" s="185" t="s">
        <v>215</v>
      </c>
    </row>
    <row r="62966" spans="129:129" x14ac:dyDescent="0.2">
      <c r="DY62966" s="185" t="s">
        <v>215</v>
      </c>
    </row>
    <row r="62967" spans="129:129" x14ac:dyDescent="0.2">
      <c r="DY62967" s="185" t="s">
        <v>215</v>
      </c>
    </row>
    <row r="62968" spans="129:129" x14ac:dyDescent="0.2">
      <c r="DY62968" s="185" t="s">
        <v>215</v>
      </c>
    </row>
    <row r="62969" spans="129:129" x14ac:dyDescent="0.2">
      <c r="DY62969" s="185" t="s">
        <v>215</v>
      </c>
    </row>
    <row r="62970" spans="129:129" x14ac:dyDescent="0.2">
      <c r="DY62970" s="185" t="s">
        <v>215</v>
      </c>
    </row>
    <row r="62971" spans="129:129" x14ac:dyDescent="0.2">
      <c r="DY62971" s="185" t="s">
        <v>215</v>
      </c>
    </row>
    <row r="62972" spans="129:129" x14ac:dyDescent="0.2">
      <c r="DY62972" s="185" t="s">
        <v>215</v>
      </c>
    </row>
    <row r="62973" spans="129:129" x14ac:dyDescent="0.2">
      <c r="DY62973" s="185" t="s">
        <v>215</v>
      </c>
    </row>
    <row r="62974" spans="129:129" x14ac:dyDescent="0.2">
      <c r="DY62974" s="185" t="s">
        <v>215</v>
      </c>
    </row>
    <row r="62975" spans="129:129" x14ac:dyDescent="0.2">
      <c r="DY62975" s="185" t="s">
        <v>215</v>
      </c>
    </row>
    <row r="62976" spans="129:129" x14ac:dyDescent="0.2">
      <c r="DY62976" s="185" t="s">
        <v>215</v>
      </c>
    </row>
    <row r="62977" spans="129:129" x14ac:dyDescent="0.2">
      <c r="DY62977" s="185" t="s">
        <v>215</v>
      </c>
    </row>
    <row r="62978" spans="129:129" x14ac:dyDescent="0.2">
      <c r="DY62978" s="185" t="s">
        <v>215</v>
      </c>
    </row>
    <row r="62979" spans="129:129" x14ac:dyDescent="0.2">
      <c r="DY62979" s="185" t="s">
        <v>215</v>
      </c>
    </row>
    <row r="62980" spans="129:129" x14ac:dyDescent="0.2">
      <c r="DY62980" s="185" t="s">
        <v>215</v>
      </c>
    </row>
    <row r="62981" spans="129:129" x14ac:dyDescent="0.2">
      <c r="DY62981" s="185" t="s">
        <v>215</v>
      </c>
    </row>
    <row r="62982" spans="129:129" x14ac:dyDescent="0.2">
      <c r="DY62982" s="185" t="s">
        <v>215</v>
      </c>
    </row>
    <row r="62983" spans="129:129" x14ac:dyDescent="0.2">
      <c r="DY62983" s="185" t="s">
        <v>215</v>
      </c>
    </row>
    <row r="62984" spans="129:129" x14ac:dyDescent="0.2">
      <c r="DY62984" s="185" t="s">
        <v>215</v>
      </c>
    </row>
    <row r="62985" spans="129:129" x14ac:dyDescent="0.2">
      <c r="DY62985" s="185" t="s">
        <v>215</v>
      </c>
    </row>
    <row r="62986" spans="129:129" x14ac:dyDescent="0.2">
      <c r="DY62986" s="185" t="s">
        <v>215</v>
      </c>
    </row>
    <row r="62987" spans="129:129" x14ac:dyDescent="0.2">
      <c r="DY62987" s="185" t="s">
        <v>215</v>
      </c>
    </row>
    <row r="62988" spans="129:129" x14ac:dyDescent="0.2">
      <c r="DY62988" s="185" t="s">
        <v>215</v>
      </c>
    </row>
    <row r="62989" spans="129:129" x14ac:dyDescent="0.2">
      <c r="DY62989" s="185" t="s">
        <v>215</v>
      </c>
    </row>
    <row r="62990" spans="129:129" x14ac:dyDescent="0.2">
      <c r="DY62990" s="185" t="s">
        <v>215</v>
      </c>
    </row>
    <row r="62991" spans="129:129" x14ac:dyDescent="0.2">
      <c r="DY62991" s="185" t="s">
        <v>215</v>
      </c>
    </row>
    <row r="62992" spans="129:129" x14ac:dyDescent="0.2">
      <c r="DY62992" s="185" t="s">
        <v>215</v>
      </c>
    </row>
    <row r="62993" spans="129:129" x14ac:dyDescent="0.2">
      <c r="DY62993" s="185" t="s">
        <v>215</v>
      </c>
    </row>
    <row r="62994" spans="129:129" x14ac:dyDescent="0.2">
      <c r="DY62994" s="185" t="s">
        <v>215</v>
      </c>
    </row>
    <row r="62995" spans="129:129" x14ac:dyDescent="0.2">
      <c r="DY62995" s="185" t="s">
        <v>215</v>
      </c>
    </row>
    <row r="62996" spans="129:129" x14ac:dyDescent="0.2">
      <c r="DY62996" s="185" t="s">
        <v>215</v>
      </c>
    </row>
    <row r="62997" spans="129:129" x14ac:dyDescent="0.2">
      <c r="DY62997" s="185" t="s">
        <v>215</v>
      </c>
    </row>
    <row r="62998" spans="129:129" x14ac:dyDescent="0.2">
      <c r="DY62998" s="185" t="s">
        <v>215</v>
      </c>
    </row>
    <row r="62999" spans="129:129" x14ac:dyDescent="0.2">
      <c r="DY62999" s="185" t="s">
        <v>215</v>
      </c>
    </row>
    <row r="63000" spans="129:129" x14ac:dyDescent="0.2">
      <c r="DY63000" s="185" t="s">
        <v>215</v>
      </c>
    </row>
    <row r="63001" spans="129:129" x14ac:dyDescent="0.2">
      <c r="DY63001" s="185" t="s">
        <v>215</v>
      </c>
    </row>
    <row r="63002" spans="129:129" x14ac:dyDescent="0.2">
      <c r="DY63002" s="185" t="s">
        <v>215</v>
      </c>
    </row>
    <row r="63003" spans="129:129" x14ac:dyDescent="0.2">
      <c r="DY63003" s="185" t="s">
        <v>215</v>
      </c>
    </row>
    <row r="63004" spans="129:129" x14ac:dyDescent="0.2">
      <c r="DY63004" s="185" t="s">
        <v>215</v>
      </c>
    </row>
    <row r="63005" spans="129:129" x14ac:dyDescent="0.2">
      <c r="DY63005" s="185" t="s">
        <v>215</v>
      </c>
    </row>
    <row r="63006" spans="129:129" x14ac:dyDescent="0.2">
      <c r="DY63006" s="185" t="s">
        <v>215</v>
      </c>
    </row>
    <row r="63007" spans="129:129" x14ac:dyDescent="0.2">
      <c r="DY63007" s="185" t="s">
        <v>215</v>
      </c>
    </row>
    <row r="63008" spans="129:129" x14ac:dyDescent="0.2">
      <c r="DY63008" s="185" t="s">
        <v>215</v>
      </c>
    </row>
    <row r="63009" spans="129:129" x14ac:dyDescent="0.2">
      <c r="DY63009" s="185" t="s">
        <v>215</v>
      </c>
    </row>
    <row r="63010" spans="129:129" x14ac:dyDescent="0.2">
      <c r="DY63010" s="185" t="s">
        <v>215</v>
      </c>
    </row>
    <row r="63011" spans="129:129" x14ac:dyDescent="0.2">
      <c r="DY63011" s="185" t="s">
        <v>215</v>
      </c>
    </row>
    <row r="63012" spans="129:129" x14ac:dyDescent="0.2">
      <c r="DY63012" s="185" t="s">
        <v>215</v>
      </c>
    </row>
    <row r="63013" spans="129:129" x14ac:dyDescent="0.2">
      <c r="DY63013" s="185" t="s">
        <v>215</v>
      </c>
    </row>
    <row r="63014" spans="129:129" x14ac:dyDescent="0.2">
      <c r="DY63014" s="185" t="s">
        <v>215</v>
      </c>
    </row>
    <row r="63015" spans="129:129" x14ac:dyDescent="0.2">
      <c r="DY63015" s="185" t="s">
        <v>215</v>
      </c>
    </row>
    <row r="63016" spans="129:129" x14ac:dyDescent="0.2">
      <c r="DY63016" s="185" t="s">
        <v>215</v>
      </c>
    </row>
    <row r="63017" spans="129:129" x14ac:dyDescent="0.2">
      <c r="DY63017" s="185" t="s">
        <v>215</v>
      </c>
    </row>
    <row r="63018" spans="129:129" x14ac:dyDescent="0.2">
      <c r="DY63018" s="185" t="s">
        <v>215</v>
      </c>
    </row>
    <row r="63019" spans="129:129" x14ac:dyDescent="0.2">
      <c r="DY63019" s="185" t="s">
        <v>215</v>
      </c>
    </row>
    <row r="63020" spans="129:129" x14ac:dyDescent="0.2">
      <c r="DY63020" s="185" t="s">
        <v>215</v>
      </c>
    </row>
    <row r="63021" spans="129:129" x14ac:dyDescent="0.2">
      <c r="DY63021" s="185" t="s">
        <v>215</v>
      </c>
    </row>
    <row r="63022" spans="129:129" x14ac:dyDescent="0.2">
      <c r="DY63022" s="185" t="s">
        <v>215</v>
      </c>
    </row>
    <row r="63023" spans="129:129" x14ac:dyDescent="0.2">
      <c r="DY63023" s="185" t="s">
        <v>215</v>
      </c>
    </row>
    <row r="63024" spans="129:129" x14ac:dyDescent="0.2">
      <c r="DY63024" s="185" t="s">
        <v>215</v>
      </c>
    </row>
    <row r="63025" spans="129:129" x14ac:dyDescent="0.2">
      <c r="DY63025" s="185" t="s">
        <v>215</v>
      </c>
    </row>
    <row r="63026" spans="129:129" x14ac:dyDescent="0.2">
      <c r="DY63026" s="185" t="s">
        <v>215</v>
      </c>
    </row>
    <row r="63027" spans="129:129" x14ac:dyDescent="0.2">
      <c r="DY63027" s="185" t="s">
        <v>215</v>
      </c>
    </row>
    <row r="63028" spans="129:129" x14ac:dyDescent="0.2">
      <c r="DY63028" s="185" t="s">
        <v>215</v>
      </c>
    </row>
    <row r="63029" spans="129:129" x14ac:dyDescent="0.2">
      <c r="DY63029" s="185" t="s">
        <v>215</v>
      </c>
    </row>
    <row r="63030" spans="129:129" x14ac:dyDescent="0.2">
      <c r="DY63030" s="185" t="s">
        <v>215</v>
      </c>
    </row>
    <row r="63031" spans="129:129" x14ac:dyDescent="0.2">
      <c r="DY63031" s="185" t="s">
        <v>215</v>
      </c>
    </row>
    <row r="63032" spans="129:129" x14ac:dyDescent="0.2">
      <c r="DY63032" s="185" t="s">
        <v>215</v>
      </c>
    </row>
    <row r="63033" spans="129:129" x14ac:dyDescent="0.2">
      <c r="DY63033" s="185" t="s">
        <v>215</v>
      </c>
    </row>
    <row r="63034" spans="129:129" x14ac:dyDescent="0.2">
      <c r="DY63034" s="185" t="s">
        <v>215</v>
      </c>
    </row>
    <row r="63035" spans="129:129" x14ac:dyDescent="0.2">
      <c r="DY63035" s="185" t="s">
        <v>215</v>
      </c>
    </row>
    <row r="63036" spans="129:129" x14ac:dyDescent="0.2">
      <c r="DY63036" s="185" t="s">
        <v>215</v>
      </c>
    </row>
    <row r="63037" spans="129:129" x14ac:dyDescent="0.2">
      <c r="DY63037" s="185" t="s">
        <v>215</v>
      </c>
    </row>
    <row r="63038" spans="129:129" x14ac:dyDescent="0.2">
      <c r="DY63038" s="185" t="s">
        <v>215</v>
      </c>
    </row>
    <row r="63039" spans="129:129" x14ac:dyDescent="0.2">
      <c r="DY63039" s="185" t="s">
        <v>215</v>
      </c>
    </row>
    <row r="63040" spans="129:129" x14ac:dyDescent="0.2">
      <c r="DY63040" s="185" t="s">
        <v>215</v>
      </c>
    </row>
    <row r="63041" spans="129:129" x14ac:dyDescent="0.2">
      <c r="DY63041" s="185" t="s">
        <v>215</v>
      </c>
    </row>
    <row r="63042" spans="129:129" x14ac:dyDescent="0.2">
      <c r="DY63042" s="185" t="s">
        <v>215</v>
      </c>
    </row>
    <row r="63043" spans="129:129" x14ac:dyDescent="0.2">
      <c r="DY63043" s="185" t="s">
        <v>215</v>
      </c>
    </row>
    <row r="63044" spans="129:129" x14ac:dyDescent="0.2">
      <c r="DY63044" s="185" t="s">
        <v>215</v>
      </c>
    </row>
    <row r="63045" spans="129:129" x14ac:dyDescent="0.2">
      <c r="DY63045" s="185" t="s">
        <v>215</v>
      </c>
    </row>
    <row r="63046" spans="129:129" x14ac:dyDescent="0.2">
      <c r="DY63046" s="185" t="s">
        <v>215</v>
      </c>
    </row>
    <row r="63047" spans="129:129" x14ac:dyDescent="0.2">
      <c r="DY63047" s="185" t="s">
        <v>215</v>
      </c>
    </row>
    <row r="63048" spans="129:129" x14ac:dyDescent="0.2">
      <c r="DY63048" s="185" t="s">
        <v>215</v>
      </c>
    </row>
    <row r="63049" spans="129:129" x14ac:dyDescent="0.2">
      <c r="DY63049" s="185" t="s">
        <v>215</v>
      </c>
    </row>
    <row r="63050" spans="129:129" x14ac:dyDescent="0.2">
      <c r="DY63050" s="185" t="s">
        <v>215</v>
      </c>
    </row>
    <row r="63051" spans="129:129" x14ac:dyDescent="0.2">
      <c r="DY63051" s="185" t="s">
        <v>215</v>
      </c>
    </row>
    <row r="63052" spans="129:129" x14ac:dyDescent="0.2">
      <c r="DY63052" s="185" t="s">
        <v>215</v>
      </c>
    </row>
    <row r="63053" spans="129:129" x14ac:dyDescent="0.2">
      <c r="DY63053" s="185" t="s">
        <v>215</v>
      </c>
    </row>
    <row r="63054" spans="129:129" x14ac:dyDescent="0.2">
      <c r="DY63054" s="185" t="s">
        <v>215</v>
      </c>
    </row>
    <row r="63055" spans="129:129" x14ac:dyDescent="0.2">
      <c r="DY63055" s="185" t="s">
        <v>215</v>
      </c>
    </row>
    <row r="63056" spans="129:129" x14ac:dyDescent="0.2">
      <c r="DY63056" s="185" t="s">
        <v>215</v>
      </c>
    </row>
    <row r="63057" spans="129:129" x14ac:dyDescent="0.2">
      <c r="DY63057" s="185" t="s">
        <v>215</v>
      </c>
    </row>
    <row r="63058" spans="129:129" x14ac:dyDescent="0.2">
      <c r="DY63058" s="185" t="s">
        <v>215</v>
      </c>
    </row>
    <row r="63059" spans="129:129" x14ac:dyDescent="0.2">
      <c r="DY63059" s="185" t="s">
        <v>215</v>
      </c>
    </row>
    <row r="63060" spans="129:129" x14ac:dyDescent="0.2">
      <c r="DY63060" s="185" t="s">
        <v>215</v>
      </c>
    </row>
    <row r="63061" spans="129:129" x14ac:dyDescent="0.2">
      <c r="DY63061" s="185" t="s">
        <v>215</v>
      </c>
    </row>
    <row r="63062" spans="129:129" x14ac:dyDescent="0.2">
      <c r="DY63062" s="185" t="s">
        <v>215</v>
      </c>
    </row>
    <row r="63063" spans="129:129" x14ac:dyDescent="0.2">
      <c r="DY63063" s="185" t="s">
        <v>215</v>
      </c>
    </row>
    <row r="63064" spans="129:129" x14ac:dyDescent="0.2">
      <c r="DY63064" s="185" t="s">
        <v>215</v>
      </c>
    </row>
    <row r="63065" spans="129:129" x14ac:dyDescent="0.2">
      <c r="DY63065" s="185" t="s">
        <v>215</v>
      </c>
    </row>
    <row r="63066" spans="129:129" x14ac:dyDescent="0.2">
      <c r="DY63066" s="185" t="s">
        <v>215</v>
      </c>
    </row>
    <row r="63067" spans="129:129" x14ac:dyDescent="0.2">
      <c r="DY63067" s="185" t="s">
        <v>215</v>
      </c>
    </row>
    <row r="63068" spans="129:129" x14ac:dyDescent="0.2">
      <c r="DY63068" s="185" t="s">
        <v>215</v>
      </c>
    </row>
    <row r="63069" spans="129:129" x14ac:dyDescent="0.2">
      <c r="DY63069" s="185" t="s">
        <v>215</v>
      </c>
    </row>
    <row r="63070" spans="129:129" x14ac:dyDescent="0.2">
      <c r="DY63070" s="185" t="s">
        <v>215</v>
      </c>
    </row>
    <row r="63071" spans="129:129" x14ac:dyDescent="0.2">
      <c r="DY63071" s="185" t="s">
        <v>215</v>
      </c>
    </row>
    <row r="63072" spans="129:129" x14ac:dyDescent="0.2">
      <c r="DY63072" s="185" t="s">
        <v>215</v>
      </c>
    </row>
    <row r="63073" spans="129:129" x14ac:dyDescent="0.2">
      <c r="DY63073" s="185" t="s">
        <v>215</v>
      </c>
    </row>
    <row r="63074" spans="129:129" x14ac:dyDescent="0.2">
      <c r="DY63074" s="185" t="s">
        <v>215</v>
      </c>
    </row>
    <row r="63075" spans="129:129" x14ac:dyDescent="0.2">
      <c r="DY63075" s="185" t="s">
        <v>215</v>
      </c>
    </row>
    <row r="63076" spans="129:129" x14ac:dyDescent="0.2">
      <c r="DY63076" s="185" t="s">
        <v>215</v>
      </c>
    </row>
    <row r="63077" spans="129:129" x14ac:dyDescent="0.2">
      <c r="DY63077" s="185" t="s">
        <v>215</v>
      </c>
    </row>
    <row r="63078" spans="129:129" x14ac:dyDescent="0.2">
      <c r="DY63078" s="185" t="s">
        <v>215</v>
      </c>
    </row>
    <row r="63079" spans="129:129" x14ac:dyDescent="0.2">
      <c r="DY63079" s="185" t="s">
        <v>215</v>
      </c>
    </row>
    <row r="63080" spans="129:129" x14ac:dyDescent="0.2">
      <c r="DY63080" s="185" t="s">
        <v>215</v>
      </c>
    </row>
    <row r="63081" spans="129:129" x14ac:dyDescent="0.2">
      <c r="DY63081" s="185" t="s">
        <v>215</v>
      </c>
    </row>
    <row r="63082" spans="129:129" x14ac:dyDescent="0.2">
      <c r="DY63082" s="185" t="s">
        <v>215</v>
      </c>
    </row>
    <row r="63083" spans="129:129" x14ac:dyDescent="0.2">
      <c r="DY63083" s="185" t="s">
        <v>215</v>
      </c>
    </row>
    <row r="63084" spans="129:129" x14ac:dyDescent="0.2">
      <c r="DY63084" s="185" t="s">
        <v>215</v>
      </c>
    </row>
    <row r="63085" spans="129:129" x14ac:dyDescent="0.2">
      <c r="DY63085" s="185" t="s">
        <v>215</v>
      </c>
    </row>
    <row r="63086" spans="129:129" x14ac:dyDescent="0.2">
      <c r="DY63086" s="185" t="s">
        <v>215</v>
      </c>
    </row>
    <row r="63087" spans="129:129" x14ac:dyDescent="0.2">
      <c r="DY63087" s="185" t="s">
        <v>215</v>
      </c>
    </row>
    <row r="63088" spans="129:129" x14ac:dyDescent="0.2">
      <c r="DY63088" s="185" t="s">
        <v>215</v>
      </c>
    </row>
    <row r="63089" spans="129:129" x14ac:dyDescent="0.2">
      <c r="DY63089" s="185" t="s">
        <v>215</v>
      </c>
    </row>
    <row r="63090" spans="129:129" x14ac:dyDescent="0.2">
      <c r="DY63090" s="185" t="s">
        <v>215</v>
      </c>
    </row>
    <row r="63091" spans="129:129" x14ac:dyDescent="0.2">
      <c r="DY63091" s="185" t="s">
        <v>215</v>
      </c>
    </row>
    <row r="63092" spans="129:129" x14ac:dyDescent="0.2">
      <c r="DY63092" s="185" t="s">
        <v>215</v>
      </c>
    </row>
    <row r="63093" spans="129:129" x14ac:dyDescent="0.2">
      <c r="DY63093" s="185" t="s">
        <v>215</v>
      </c>
    </row>
    <row r="63094" spans="129:129" x14ac:dyDescent="0.2">
      <c r="DY63094" s="185" t="s">
        <v>215</v>
      </c>
    </row>
    <row r="63095" spans="129:129" x14ac:dyDescent="0.2">
      <c r="DY63095" s="185" t="s">
        <v>215</v>
      </c>
    </row>
    <row r="63096" spans="129:129" x14ac:dyDescent="0.2">
      <c r="DY63096" s="185" t="s">
        <v>215</v>
      </c>
    </row>
    <row r="63097" spans="129:129" x14ac:dyDescent="0.2">
      <c r="DY63097" s="185" t="s">
        <v>215</v>
      </c>
    </row>
    <row r="63098" spans="129:129" x14ac:dyDescent="0.2">
      <c r="DY63098" s="185" t="s">
        <v>215</v>
      </c>
    </row>
    <row r="63099" spans="129:129" x14ac:dyDescent="0.2">
      <c r="DY63099" s="185" t="s">
        <v>215</v>
      </c>
    </row>
    <row r="63100" spans="129:129" x14ac:dyDescent="0.2">
      <c r="DY63100" s="185" t="s">
        <v>215</v>
      </c>
    </row>
    <row r="63101" spans="129:129" x14ac:dyDescent="0.2">
      <c r="DY63101" s="185" t="s">
        <v>215</v>
      </c>
    </row>
    <row r="63102" spans="129:129" x14ac:dyDescent="0.2">
      <c r="DY63102" s="185" t="s">
        <v>215</v>
      </c>
    </row>
    <row r="63103" spans="129:129" x14ac:dyDescent="0.2">
      <c r="DY63103" s="185" t="s">
        <v>215</v>
      </c>
    </row>
    <row r="63104" spans="129:129" x14ac:dyDescent="0.2">
      <c r="DY63104" s="185" t="s">
        <v>215</v>
      </c>
    </row>
    <row r="63105" spans="129:129" x14ac:dyDescent="0.2">
      <c r="DY63105" s="185" t="s">
        <v>215</v>
      </c>
    </row>
    <row r="63106" spans="129:129" x14ac:dyDescent="0.2">
      <c r="DY63106" s="185" t="s">
        <v>215</v>
      </c>
    </row>
    <row r="63107" spans="129:129" x14ac:dyDescent="0.2">
      <c r="DY63107" s="185" t="s">
        <v>215</v>
      </c>
    </row>
    <row r="63108" spans="129:129" x14ac:dyDescent="0.2">
      <c r="DY63108" s="185" t="s">
        <v>215</v>
      </c>
    </row>
    <row r="63109" spans="129:129" x14ac:dyDescent="0.2">
      <c r="DY63109" s="185" t="s">
        <v>215</v>
      </c>
    </row>
    <row r="63110" spans="129:129" x14ac:dyDescent="0.2">
      <c r="DY63110" s="185" t="s">
        <v>215</v>
      </c>
    </row>
    <row r="63111" spans="129:129" x14ac:dyDescent="0.2">
      <c r="DY63111" s="185" t="s">
        <v>215</v>
      </c>
    </row>
    <row r="63112" spans="129:129" x14ac:dyDescent="0.2">
      <c r="DY63112" s="185" t="s">
        <v>215</v>
      </c>
    </row>
    <row r="63113" spans="129:129" x14ac:dyDescent="0.2">
      <c r="DY63113" s="185" t="s">
        <v>215</v>
      </c>
    </row>
    <row r="63114" spans="129:129" x14ac:dyDescent="0.2">
      <c r="DY63114" s="185" t="s">
        <v>215</v>
      </c>
    </row>
    <row r="63115" spans="129:129" x14ac:dyDescent="0.2">
      <c r="DY63115" s="185" t="s">
        <v>215</v>
      </c>
    </row>
    <row r="63116" spans="129:129" x14ac:dyDescent="0.2">
      <c r="DY63116" s="185" t="s">
        <v>215</v>
      </c>
    </row>
    <row r="63117" spans="129:129" x14ac:dyDescent="0.2">
      <c r="DY63117" s="185" t="s">
        <v>215</v>
      </c>
    </row>
    <row r="63118" spans="129:129" x14ac:dyDescent="0.2">
      <c r="DY63118" s="185" t="s">
        <v>215</v>
      </c>
    </row>
    <row r="63119" spans="129:129" x14ac:dyDescent="0.2">
      <c r="DY63119" s="185" t="s">
        <v>215</v>
      </c>
    </row>
    <row r="63120" spans="129:129" x14ac:dyDescent="0.2">
      <c r="DY63120" s="185" t="s">
        <v>215</v>
      </c>
    </row>
    <row r="63121" spans="129:129" x14ac:dyDescent="0.2">
      <c r="DY63121" s="185" t="s">
        <v>215</v>
      </c>
    </row>
    <row r="63122" spans="129:129" x14ac:dyDescent="0.2">
      <c r="DY63122" s="185" t="s">
        <v>215</v>
      </c>
    </row>
    <row r="63123" spans="129:129" x14ac:dyDescent="0.2">
      <c r="DY63123" s="185" t="s">
        <v>215</v>
      </c>
    </row>
    <row r="63124" spans="129:129" x14ac:dyDescent="0.2">
      <c r="DY63124" s="185" t="s">
        <v>215</v>
      </c>
    </row>
    <row r="63125" spans="129:129" x14ac:dyDescent="0.2">
      <c r="DY63125" s="185" t="s">
        <v>215</v>
      </c>
    </row>
    <row r="63126" spans="129:129" x14ac:dyDescent="0.2">
      <c r="DY63126" s="185" t="s">
        <v>215</v>
      </c>
    </row>
    <row r="63127" spans="129:129" x14ac:dyDescent="0.2">
      <c r="DY63127" s="185" t="s">
        <v>215</v>
      </c>
    </row>
    <row r="63128" spans="129:129" x14ac:dyDescent="0.2">
      <c r="DY63128" s="185" t="s">
        <v>215</v>
      </c>
    </row>
    <row r="63129" spans="129:129" x14ac:dyDescent="0.2">
      <c r="DY63129" s="185" t="s">
        <v>215</v>
      </c>
    </row>
    <row r="63130" spans="129:129" x14ac:dyDescent="0.2">
      <c r="DY63130" s="185" t="s">
        <v>215</v>
      </c>
    </row>
    <row r="63131" spans="129:129" x14ac:dyDescent="0.2">
      <c r="DY63131" s="185" t="s">
        <v>215</v>
      </c>
    </row>
    <row r="63132" spans="129:129" x14ac:dyDescent="0.2">
      <c r="DY63132" s="185" t="s">
        <v>215</v>
      </c>
    </row>
    <row r="63133" spans="129:129" x14ac:dyDescent="0.2">
      <c r="DY63133" s="185" t="s">
        <v>215</v>
      </c>
    </row>
    <row r="63134" spans="129:129" x14ac:dyDescent="0.2">
      <c r="DY63134" s="185" t="s">
        <v>215</v>
      </c>
    </row>
    <row r="63135" spans="129:129" x14ac:dyDescent="0.2">
      <c r="DY63135" s="185" t="s">
        <v>215</v>
      </c>
    </row>
    <row r="63136" spans="129:129" x14ac:dyDescent="0.2">
      <c r="DY63136" s="185" t="s">
        <v>215</v>
      </c>
    </row>
    <row r="63137" spans="129:129" x14ac:dyDescent="0.2">
      <c r="DY63137" s="185" t="s">
        <v>215</v>
      </c>
    </row>
    <row r="63138" spans="129:129" x14ac:dyDescent="0.2">
      <c r="DY63138" s="185" t="s">
        <v>215</v>
      </c>
    </row>
    <row r="63139" spans="129:129" x14ac:dyDescent="0.2">
      <c r="DY63139" s="185" t="s">
        <v>215</v>
      </c>
    </row>
    <row r="63140" spans="129:129" x14ac:dyDescent="0.2">
      <c r="DY63140" s="185" t="s">
        <v>215</v>
      </c>
    </row>
    <row r="63141" spans="129:129" x14ac:dyDescent="0.2">
      <c r="DY63141" s="185" t="s">
        <v>215</v>
      </c>
    </row>
    <row r="63142" spans="129:129" x14ac:dyDescent="0.2">
      <c r="DY63142" s="185" t="s">
        <v>215</v>
      </c>
    </row>
    <row r="63143" spans="129:129" x14ac:dyDescent="0.2">
      <c r="DY63143" s="185" t="s">
        <v>215</v>
      </c>
    </row>
    <row r="63144" spans="129:129" x14ac:dyDescent="0.2">
      <c r="DY63144" s="185" t="s">
        <v>215</v>
      </c>
    </row>
    <row r="63145" spans="129:129" x14ac:dyDescent="0.2">
      <c r="DY63145" s="185" t="s">
        <v>215</v>
      </c>
    </row>
    <row r="63146" spans="129:129" x14ac:dyDescent="0.2">
      <c r="DY63146" s="185" t="s">
        <v>215</v>
      </c>
    </row>
    <row r="63147" spans="129:129" x14ac:dyDescent="0.2">
      <c r="DY63147" s="185" t="s">
        <v>215</v>
      </c>
    </row>
    <row r="63148" spans="129:129" x14ac:dyDescent="0.2">
      <c r="DY63148" s="185" t="s">
        <v>215</v>
      </c>
    </row>
    <row r="63149" spans="129:129" x14ac:dyDescent="0.2">
      <c r="DY63149" s="185" t="s">
        <v>215</v>
      </c>
    </row>
    <row r="63150" spans="129:129" x14ac:dyDescent="0.2">
      <c r="DY63150" s="185" t="s">
        <v>215</v>
      </c>
    </row>
    <row r="63151" spans="129:129" x14ac:dyDescent="0.2">
      <c r="DY63151" s="185" t="s">
        <v>215</v>
      </c>
    </row>
    <row r="63152" spans="129:129" x14ac:dyDescent="0.2">
      <c r="DY63152" s="185" t="s">
        <v>215</v>
      </c>
    </row>
    <row r="63153" spans="129:129" x14ac:dyDescent="0.2">
      <c r="DY63153" s="185" t="s">
        <v>215</v>
      </c>
    </row>
    <row r="63154" spans="129:129" x14ac:dyDescent="0.2">
      <c r="DY63154" s="185" t="s">
        <v>215</v>
      </c>
    </row>
    <row r="63155" spans="129:129" x14ac:dyDescent="0.2">
      <c r="DY63155" s="185" t="s">
        <v>215</v>
      </c>
    </row>
    <row r="63156" spans="129:129" x14ac:dyDescent="0.2">
      <c r="DY63156" s="185" t="s">
        <v>215</v>
      </c>
    </row>
    <row r="63157" spans="129:129" x14ac:dyDescent="0.2">
      <c r="DY63157" s="185" t="s">
        <v>215</v>
      </c>
    </row>
    <row r="63158" spans="129:129" x14ac:dyDescent="0.2">
      <c r="DY63158" s="185" t="s">
        <v>215</v>
      </c>
    </row>
    <row r="63159" spans="129:129" x14ac:dyDescent="0.2">
      <c r="DY63159" s="185" t="s">
        <v>215</v>
      </c>
    </row>
    <row r="63160" spans="129:129" x14ac:dyDescent="0.2">
      <c r="DY63160" s="185" t="s">
        <v>215</v>
      </c>
    </row>
    <row r="63161" spans="129:129" x14ac:dyDescent="0.2">
      <c r="DY63161" s="185" t="s">
        <v>215</v>
      </c>
    </row>
    <row r="63162" spans="129:129" x14ac:dyDescent="0.2">
      <c r="DY63162" s="185" t="s">
        <v>215</v>
      </c>
    </row>
    <row r="63163" spans="129:129" x14ac:dyDescent="0.2">
      <c r="DY63163" s="185" t="s">
        <v>215</v>
      </c>
    </row>
    <row r="63164" spans="129:129" x14ac:dyDescent="0.2">
      <c r="DY63164" s="185" t="s">
        <v>215</v>
      </c>
    </row>
    <row r="63165" spans="129:129" x14ac:dyDescent="0.2">
      <c r="DY63165" s="185" t="s">
        <v>215</v>
      </c>
    </row>
    <row r="63166" spans="129:129" x14ac:dyDescent="0.2">
      <c r="DY63166" s="185" t="s">
        <v>215</v>
      </c>
    </row>
    <row r="63167" spans="129:129" x14ac:dyDescent="0.2">
      <c r="DY63167" s="185" t="s">
        <v>215</v>
      </c>
    </row>
    <row r="63168" spans="129:129" x14ac:dyDescent="0.2">
      <c r="DY63168" s="185" t="s">
        <v>215</v>
      </c>
    </row>
    <row r="63169" spans="129:129" x14ac:dyDescent="0.2">
      <c r="DY63169" s="185" t="s">
        <v>215</v>
      </c>
    </row>
    <row r="63170" spans="129:129" x14ac:dyDescent="0.2">
      <c r="DY63170" s="185" t="s">
        <v>215</v>
      </c>
    </row>
    <row r="63171" spans="129:129" x14ac:dyDescent="0.2">
      <c r="DY63171" s="185" t="s">
        <v>215</v>
      </c>
    </row>
    <row r="63172" spans="129:129" x14ac:dyDescent="0.2">
      <c r="DY63172" s="185" t="s">
        <v>215</v>
      </c>
    </row>
    <row r="63173" spans="129:129" x14ac:dyDescent="0.2">
      <c r="DY63173" s="185" t="s">
        <v>215</v>
      </c>
    </row>
    <row r="63174" spans="129:129" x14ac:dyDescent="0.2">
      <c r="DY63174" s="185" t="s">
        <v>215</v>
      </c>
    </row>
    <row r="63175" spans="129:129" x14ac:dyDescent="0.2">
      <c r="DY63175" s="185" t="s">
        <v>215</v>
      </c>
    </row>
    <row r="63176" spans="129:129" x14ac:dyDescent="0.2">
      <c r="DY63176" s="185" t="s">
        <v>215</v>
      </c>
    </row>
    <row r="63177" spans="129:129" x14ac:dyDescent="0.2">
      <c r="DY63177" s="185" t="s">
        <v>215</v>
      </c>
    </row>
    <row r="63178" spans="129:129" x14ac:dyDescent="0.2">
      <c r="DY63178" s="185" t="s">
        <v>215</v>
      </c>
    </row>
    <row r="63179" spans="129:129" x14ac:dyDescent="0.2">
      <c r="DY63179" s="185" t="s">
        <v>215</v>
      </c>
    </row>
    <row r="63180" spans="129:129" x14ac:dyDescent="0.2">
      <c r="DY63180" s="185" t="s">
        <v>215</v>
      </c>
    </row>
    <row r="63181" spans="129:129" x14ac:dyDescent="0.2">
      <c r="DY63181" s="185" t="s">
        <v>215</v>
      </c>
    </row>
    <row r="63182" spans="129:129" x14ac:dyDescent="0.2">
      <c r="DY63182" s="185" t="s">
        <v>215</v>
      </c>
    </row>
    <row r="63183" spans="129:129" x14ac:dyDescent="0.2">
      <c r="DY63183" s="185" t="s">
        <v>215</v>
      </c>
    </row>
    <row r="63184" spans="129:129" x14ac:dyDescent="0.2">
      <c r="DY63184" s="185" t="s">
        <v>215</v>
      </c>
    </row>
    <row r="63185" spans="129:129" x14ac:dyDescent="0.2">
      <c r="DY63185" s="185" t="s">
        <v>215</v>
      </c>
    </row>
    <row r="63186" spans="129:129" x14ac:dyDescent="0.2">
      <c r="DY63186" s="185" t="s">
        <v>215</v>
      </c>
    </row>
    <row r="63187" spans="129:129" x14ac:dyDescent="0.2">
      <c r="DY63187" s="185" t="s">
        <v>215</v>
      </c>
    </row>
    <row r="63188" spans="129:129" x14ac:dyDescent="0.2">
      <c r="DY63188" s="185" t="s">
        <v>215</v>
      </c>
    </row>
    <row r="63189" spans="129:129" x14ac:dyDescent="0.2">
      <c r="DY63189" s="185" t="s">
        <v>215</v>
      </c>
    </row>
    <row r="63190" spans="129:129" x14ac:dyDescent="0.2">
      <c r="DY63190" s="185" t="s">
        <v>215</v>
      </c>
    </row>
    <row r="63191" spans="129:129" x14ac:dyDescent="0.2">
      <c r="DY63191" s="185" t="s">
        <v>215</v>
      </c>
    </row>
    <row r="63192" spans="129:129" x14ac:dyDescent="0.2">
      <c r="DY63192" s="185" t="s">
        <v>215</v>
      </c>
    </row>
    <row r="63193" spans="129:129" x14ac:dyDescent="0.2">
      <c r="DY63193" s="185" t="s">
        <v>215</v>
      </c>
    </row>
    <row r="63194" spans="129:129" x14ac:dyDescent="0.2">
      <c r="DY63194" s="185" t="s">
        <v>215</v>
      </c>
    </row>
    <row r="63195" spans="129:129" x14ac:dyDescent="0.2">
      <c r="DY63195" s="185" t="s">
        <v>215</v>
      </c>
    </row>
    <row r="63196" spans="129:129" x14ac:dyDescent="0.2">
      <c r="DY63196" s="185" t="s">
        <v>215</v>
      </c>
    </row>
    <row r="63197" spans="129:129" x14ac:dyDescent="0.2">
      <c r="DY63197" s="185" t="s">
        <v>215</v>
      </c>
    </row>
    <row r="63198" spans="129:129" x14ac:dyDescent="0.2">
      <c r="DY63198" s="185" t="s">
        <v>215</v>
      </c>
    </row>
    <row r="63199" spans="129:129" x14ac:dyDescent="0.2">
      <c r="DY63199" s="185" t="s">
        <v>215</v>
      </c>
    </row>
    <row r="63200" spans="129:129" x14ac:dyDescent="0.2">
      <c r="DY63200" s="185" t="s">
        <v>215</v>
      </c>
    </row>
    <row r="63201" spans="129:129" x14ac:dyDescent="0.2">
      <c r="DY63201" s="185" t="s">
        <v>215</v>
      </c>
    </row>
    <row r="63202" spans="129:129" x14ac:dyDescent="0.2">
      <c r="DY63202" s="185" t="s">
        <v>215</v>
      </c>
    </row>
    <row r="63203" spans="129:129" x14ac:dyDescent="0.2">
      <c r="DY63203" s="185" t="s">
        <v>215</v>
      </c>
    </row>
    <row r="63204" spans="129:129" x14ac:dyDescent="0.2">
      <c r="DY63204" s="185" t="s">
        <v>215</v>
      </c>
    </row>
    <row r="63205" spans="129:129" x14ac:dyDescent="0.2">
      <c r="DY63205" s="185" t="s">
        <v>215</v>
      </c>
    </row>
    <row r="63206" spans="129:129" x14ac:dyDescent="0.2">
      <c r="DY63206" s="185" t="s">
        <v>215</v>
      </c>
    </row>
    <row r="63207" spans="129:129" x14ac:dyDescent="0.2">
      <c r="DY63207" s="185" t="s">
        <v>215</v>
      </c>
    </row>
    <row r="63208" spans="129:129" x14ac:dyDescent="0.2">
      <c r="DY63208" s="185" t="s">
        <v>215</v>
      </c>
    </row>
    <row r="63209" spans="129:129" x14ac:dyDescent="0.2">
      <c r="DY63209" s="185" t="s">
        <v>215</v>
      </c>
    </row>
    <row r="63210" spans="129:129" x14ac:dyDescent="0.2">
      <c r="DY63210" s="185" t="s">
        <v>215</v>
      </c>
    </row>
    <row r="63211" spans="129:129" x14ac:dyDescent="0.2">
      <c r="DY63211" s="185" t="s">
        <v>215</v>
      </c>
    </row>
    <row r="63212" spans="129:129" x14ac:dyDescent="0.2">
      <c r="DY63212" s="185" t="s">
        <v>215</v>
      </c>
    </row>
    <row r="63213" spans="129:129" x14ac:dyDescent="0.2">
      <c r="DY63213" s="185" t="s">
        <v>215</v>
      </c>
    </row>
    <row r="63214" spans="129:129" x14ac:dyDescent="0.2">
      <c r="DY63214" s="185" t="s">
        <v>215</v>
      </c>
    </row>
    <row r="63215" spans="129:129" x14ac:dyDescent="0.2">
      <c r="DY63215" s="185" t="s">
        <v>215</v>
      </c>
    </row>
    <row r="63216" spans="129:129" x14ac:dyDescent="0.2">
      <c r="DY63216" s="185" t="s">
        <v>215</v>
      </c>
    </row>
    <row r="63217" spans="129:129" x14ac:dyDescent="0.2">
      <c r="DY63217" s="185" t="s">
        <v>215</v>
      </c>
    </row>
    <row r="63218" spans="129:129" x14ac:dyDescent="0.2">
      <c r="DY63218" s="185" t="s">
        <v>215</v>
      </c>
    </row>
    <row r="63219" spans="129:129" x14ac:dyDescent="0.2">
      <c r="DY63219" s="185" t="s">
        <v>215</v>
      </c>
    </row>
    <row r="63220" spans="129:129" x14ac:dyDescent="0.2">
      <c r="DY63220" s="185" t="s">
        <v>215</v>
      </c>
    </row>
    <row r="63221" spans="129:129" x14ac:dyDescent="0.2">
      <c r="DY63221" s="185" t="s">
        <v>215</v>
      </c>
    </row>
    <row r="63222" spans="129:129" x14ac:dyDescent="0.2">
      <c r="DY63222" s="185" t="s">
        <v>215</v>
      </c>
    </row>
    <row r="63223" spans="129:129" x14ac:dyDescent="0.2">
      <c r="DY63223" s="185" t="s">
        <v>215</v>
      </c>
    </row>
    <row r="63224" spans="129:129" x14ac:dyDescent="0.2">
      <c r="DY63224" s="185" t="s">
        <v>215</v>
      </c>
    </row>
    <row r="63225" spans="129:129" x14ac:dyDescent="0.2">
      <c r="DY63225" s="185" t="s">
        <v>215</v>
      </c>
    </row>
    <row r="63226" spans="129:129" x14ac:dyDescent="0.2">
      <c r="DY63226" s="185" t="s">
        <v>215</v>
      </c>
    </row>
    <row r="63227" spans="129:129" x14ac:dyDescent="0.2">
      <c r="DY63227" s="185" t="s">
        <v>215</v>
      </c>
    </row>
    <row r="63228" spans="129:129" x14ac:dyDescent="0.2">
      <c r="DY63228" s="185" t="s">
        <v>215</v>
      </c>
    </row>
    <row r="63229" spans="129:129" x14ac:dyDescent="0.2">
      <c r="DY63229" s="185" t="s">
        <v>215</v>
      </c>
    </row>
    <row r="63230" spans="129:129" x14ac:dyDescent="0.2">
      <c r="DY63230" s="185" t="s">
        <v>215</v>
      </c>
    </row>
    <row r="63231" spans="129:129" x14ac:dyDescent="0.2">
      <c r="DY63231" s="185" t="s">
        <v>215</v>
      </c>
    </row>
    <row r="63232" spans="129:129" x14ac:dyDescent="0.2">
      <c r="DY63232" s="185" t="s">
        <v>215</v>
      </c>
    </row>
    <row r="63233" spans="129:129" x14ac:dyDescent="0.2">
      <c r="DY63233" s="185" t="s">
        <v>215</v>
      </c>
    </row>
    <row r="63234" spans="129:129" x14ac:dyDescent="0.2">
      <c r="DY63234" s="185" t="s">
        <v>215</v>
      </c>
    </row>
    <row r="63235" spans="129:129" x14ac:dyDescent="0.2">
      <c r="DY63235" s="185" t="s">
        <v>215</v>
      </c>
    </row>
    <row r="63236" spans="129:129" x14ac:dyDescent="0.2">
      <c r="DY63236" s="185" t="s">
        <v>215</v>
      </c>
    </row>
    <row r="63237" spans="129:129" x14ac:dyDescent="0.2">
      <c r="DY63237" s="185" t="s">
        <v>215</v>
      </c>
    </row>
    <row r="63238" spans="129:129" x14ac:dyDescent="0.2">
      <c r="DY63238" s="185" t="s">
        <v>215</v>
      </c>
    </row>
    <row r="63239" spans="129:129" x14ac:dyDescent="0.2">
      <c r="DY63239" s="185" t="s">
        <v>215</v>
      </c>
    </row>
    <row r="63240" spans="129:129" x14ac:dyDescent="0.2">
      <c r="DY63240" s="185" t="s">
        <v>215</v>
      </c>
    </row>
    <row r="63241" spans="129:129" x14ac:dyDescent="0.2">
      <c r="DY63241" s="185" t="s">
        <v>215</v>
      </c>
    </row>
    <row r="63242" spans="129:129" x14ac:dyDescent="0.2">
      <c r="DY63242" s="185" t="s">
        <v>215</v>
      </c>
    </row>
    <row r="63243" spans="129:129" x14ac:dyDescent="0.2">
      <c r="DY63243" s="185" t="s">
        <v>215</v>
      </c>
    </row>
    <row r="63244" spans="129:129" x14ac:dyDescent="0.2">
      <c r="DY63244" s="185" t="s">
        <v>215</v>
      </c>
    </row>
    <row r="63245" spans="129:129" x14ac:dyDescent="0.2">
      <c r="DY63245" s="185" t="s">
        <v>215</v>
      </c>
    </row>
    <row r="63246" spans="129:129" x14ac:dyDescent="0.2">
      <c r="DY63246" s="185" t="s">
        <v>215</v>
      </c>
    </row>
    <row r="63247" spans="129:129" x14ac:dyDescent="0.2">
      <c r="DY63247" s="185" t="s">
        <v>215</v>
      </c>
    </row>
    <row r="63248" spans="129:129" x14ac:dyDescent="0.2">
      <c r="DY63248" s="185" t="s">
        <v>215</v>
      </c>
    </row>
    <row r="63249" spans="129:129" x14ac:dyDescent="0.2">
      <c r="DY63249" s="185" t="s">
        <v>215</v>
      </c>
    </row>
    <row r="63250" spans="129:129" x14ac:dyDescent="0.2">
      <c r="DY63250" s="185" t="s">
        <v>215</v>
      </c>
    </row>
    <row r="63251" spans="129:129" x14ac:dyDescent="0.2">
      <c r="DY63251" s="185" t="s">
        <v>215</v>
      </c>
    </row>
    <row r="63252" spans="129:129" x14ac:dyDescent="0.2">
      <c r="DY63252" s="185" t="s">
        <v>215</v>
      </c>
    </row>
    <row r="63253" spans="129:129" x14ac:dyDescent="0.2">
      <c r="DY63253" s="185" t="s">
        <v>215</v>
      </c>
    </row>
    <row r="63254" spans="129:129" x14ac:dyDescent="0.2">
      <c r="DY63254" s="185" t="s">
        <v>215</v>
      </c>
    </row>
    <row r="63255" spans="129:129" x14ac:dyDescent="0.2">
      <c r="DY63255" s="185" t="s">
        <v>215</v>
      </c>
    </row>
    <row r="63256" spans="129:129" x14ac:dyDescent="0.2">
      <c r="DY63256" s="185" t="s">
        <v>215</v>
      </c>
    </row>
    <row r="63257" spans="129:129" x14ac:dyDescent="0.2">
      <c r="DY63257" s="185" t="s">
        <v>215</v>
      </c>
    </row>
    <row r="63258" spans="129:129" x14ac:dyDescent="0.2">
      <c r="DY63258" s="185" t="s">
        <v>215</v>
      </c>
    </row>
    <row r="63259" spans="129:129" x14ac:dyDescent="0.2">
      <c r="DY63259" s="185" t="s">
        <v>215</v>
      </c>
    </row>
    <row r="63260" spans="129:129" x14ac:dyDescent="0.2">
      <c r="DY63260" s="185" t="s">
        <v>215</v>
      </c>
    </row>
    <row r="63261" spans="129:129" x14ac:dyDescent="0.2">
      <c r="DY63261" s="185" t="s">
        <v>215</v>
      </c>
    </row>
    <row r="63262" spans="129:129" x14ac:dyDescent="0.2">
      <c r="DY63262" s="185" t="s">
        <v>215</v>
      </c>
    </row>
    <row r="63263" spans="129:129" x14ac:dyDescent="0.2">
      <c r="DY63263" s="185" t="s">
        <v>215</v>
      </c>
    </row>
    <row r="63264" spans="129:129" x14ac:dyDescent="0.2">
      <c r="DY63264" s="185" t="s">
        <v>215</v>
      </c>
    </row>
    <row r="63265" spans="129:129" x14ac:dyDescent="0.2">
      <c r="DY63265" s="185" t="s">
        <v>215</v>
      </c>
    </row>
    <row r="63266" spans="129:129" x14ac:dyDescent="0.2">
      <c r="DY63266" s="185" t="s">
        <v>215</v>
      </c>
    </row>
    <row r="63267" spans="129:129" x14ac:dyDescent="0.2">
      <c r="DY63267" s="185" t="s">
        <v>215</v>
      </c>
    </row>
    <row r="63268" spans="129:129" x14ac:dyDescent="0.2">
      <c r="DY63268" s="185" t="s">
        <v>215</v>
      </c>
    </row>
    <row r="63269" spans="129:129" x14ac:dyDescent="0.2">
      <c r="DY63269" s="185" t="s">
        <v>215</v>
      </c>
    </row>
    <row r="63270" spans="129:129" x14ac:dyDescent="0.2">
      <c r="DY63270" s="185" t="s">
        <v>215</v>
      </c>
    </row>
    <row r="63271" spans="129:129" x14ac:dyDescent="0.2">
      <c r="DY63271" s="185" t="s">
        <v>215</v>
      </c>
    </row>
    <row r="63272" spans="129:129" x14ac:dyDescent="0.2">
      <c r="DY63272" s="185" t="s">
        <v>215</v>
      </c>
    </row>
    <row r="63273" spans="129:129" x14ac:dyDescent="0.2">
      <c r="DY63273" s="185" t="s">
        <v>215</v>
      </c>
    </row>
    <row r="63274" spans="129:129" x14ac:dyDescent="0.2">
      <c r="DY63274" s="185" t="s">
        <v>215</v>
      </c>
    </row>
    <row r="63275" spans="129:129" x14ac:dyDescent="0.2">
      <c r="DY63275" s="185" t="s">
        <v>215</v>
      </c>
    </row>
    <row r="63276" spans="129:129" x14ac:dyDescent="0.2">
      <c r="DY63276" s="185" t="s">
        <v>215</v>
      </c>
    </row>
    <row r="63277" spans="129:129" x14ac:dyDescent="0.2">
      <c r="DY63277" s="185" t="s">
        <v>215</v>
      </c>
    </row>
    <row r="63278" spans="129:129" x14ac:dyDescent="0.2">
      <c r="DY63278" s="185" t="s">
        <v>215</v>
      </c>
    </row>
    <row r="63279" spans="129:129" x14ac:dyDescent="0.2">
      <c r="DY63279" s="185" t="s">
        <v>215</v>
      </c>
    </row>
    <row r="63280" spans="129:129" x14ac:dyDescent="0.2">
      <c r="DY63280" s="185" t="s">
        <v>215</v>
      </c>
    </row>
    <row r="63281" spans="129:129" x14ac:dyDescent="0.2">
      <c r="DY63281" s="185" t="s">
        <v>215</v>
      </c>
    </row>
    <row r="63282" spans="129:129" x14ac:dyDescent="0.2">
      <c r="DY63282" s="185" t="s">
        <v>215</v>
      </c>
    </row>
    <row r="63283" spans="129:129" x14ac:dyDescent="0.2">
      <c r="DY63283" s="185" t="s">
        <v>215</v>
      </c>
    </row>
    <row r="63284" spans="129:129" x14ac:dyDescent="0.2">
      <c r="DY63284" s="185" t="s">
        <v>215</v>
      </c>
    </row>
    <row r="63285" spans="129:129" x14ac:dyDescent="0.2">
      <c r="DY63285" s="185" t="s">
        <v>215</v>
      </c>
    </row>
    <row r="63286" spans="129:129" x14ac:dyDescent="0.2">
      <c r="DY63286" s="185" t="s">
        <v>215</v>
      </c>
    </row>
    <row r="63287" spans="129:129" x14ac:dyDescent="0.2">
      <c r="DY63287" s="185" t="s">
        <v>215</v>
      </c>
    </row>
    <row r="63288" spans="129:129" x14ac:dyDescent="0.2">
      <c r="DY63288" s="185" t="s">
        <v>215</v>
      </c>
    </row>
    <row r="63289" spans="129:129" x14ac:dyDescent="0.2">
      <c r="DY63289" s="185" t="s">
        <v>215</v>
      </c>
    </row>
    <row r="63290" spans="129:129" x14ac:dyDescent="0.2">
      <c r="DY63290" s="185" t="s">
        <v>215</v>
      </c>
    </row>
    <row r="63291" spans="129:129" x14ac:dyDescent="0.2">
      <c r="DY63291" s="185" t="s">
        <v>215</v>
      </c>
    </row>
    <row r="63292" spans="129:129" x14ac:dyDescent="0.2">
      <c r="DY63292" s="185" t="s">
        <v>215</v>
      </c>
    </row>
    <row r="63293" spans="129:129" x14ac:dyDescent="0.2">
      <c r="DY63293" s="185" t="s">
        <v>215</v>
      </c>
    </row>
    <row r="63294" spans="129:129" x14ac:dyDescent="0.2">
      <c r="DY63294" s="185" t="s">
        <v>215</v>
      </c>
    </row>
    <row r="63295" spans="129:129" x14ac:dyDescent="0.2">
      <c r="DY63295" s="185" t="s">
        <v>215</v>
      </c>
    </row>
    <row r="63296" spans="129:129" x14ac:dyDescent="0.2">
      <c r="DY63296" s="185" t="s">
        <v>215</v>
      </c>
    </row>
    <row r="63297" spans="129:129" x14ac:dyDescent="0.2">
      <c r="DY63297" s="185" t="s">
        <v>215</v>
      </c>
    </row>
    <row r="63298" spans="129:129" x14ac:dyDescent="0.2">
      <c r="DY63298" s="185" t="s">
        <v>215</v>
      </c>
    </row>
    <row r="63299" spans="129:129" x14ac:dyDescent="0.2">
      <c r="DY63299" s="185" t="s">
        <v>215</v>
      </c>
    </row>
    <row r="63300" spans="129:129" x14ac:dyDescent="0.2">
      <c r="DY63300" s="185" t="s">
        <v>215</v>
      </c>
    </row>
    <row r="63301" spans="129:129" x14ac:dyDescent="0.2">
      <c r="DY63301" s="185" t="s">
        <v>215</v>
      </c>
    </row>
    <row r="63302" spans="129:129" x14ac:dyDescent="0.2">
      <c r="DY63302" s="185" t="s">
        <v>215</v>
      </c>
    </row>
    <row r="63303" spans="129:129" x14ac:dyDescent="0.2">
      <c r="DY63303" s="185" t="s">
        <v>215</v>
      </c>
    </row>
    <row r="63304" spans="129:129" x14ac:dyDescent="0.2">
      <c r="DY63304" s="185" t="s">
        <v>215</v>
      </c>
    </row>
    <row r="63305" spans="129:129" x14ac:dyDescent="0.2">
      <c r="DY63305" s="185" t="s">
        <v>215</v>
      </c>
    </row>
    <row r="63306" spans="129:129" x14ac:dyDescent="0.2">
      <c r="DY63306" s="185" t="s">
        <v>215</v>
      </c>
    </row>
    <row r="63307" spans="129:129" x14ac:dyDescent="0.2">
      <c r="DY63307" s="185" t="s">
        <v>215</v>
      </c>
    </row>
    <row r="63308" spans="129:129" x14ac:dyDescent="0.2">
      <c r="DY63308" s="185" t="s">
        <v>215</v>
      </c>
    </row>
    <row r="63309" spans="129:129" x14ac:dyDescent="0.2">
      <c r="DY63309" s="185" t="s">
        <v>215</v>
      </c>
    </row>
    <row r="63310" spans="129:129" x14ac:dyDescent="0.2">
      <c r="DY63310" s="185" t="s">
        <v>215</v>
      </c>
    </row>
    <row r="63311" spans="129:129" x14ac:dyDescent="0.2">
      <c r="DY63311" s="185" t="s">
        <v>215</v>
      </c>
    </row>
    <row r="63312" spans="129:129" x14ac:dyDescent="0.2">
      <c r="DY63312" s="185" t="s">
        <v>215</v>
      </c>
    </row>
    <row r="63313" spans="129:129" x14ac:dyDescent="0.2">
      <c r="DY63313" s="185" t="s">
        <v>215</v>
      </c>
    </row>
    <row r="63314" spans="129:129" x14ac:dyDescent="0.2">
      <c r="DY63314" s="185" t="s">
        <v>215</v>
      </c>
    </row>
    <row r="63315" spans="129:129" x14ac:dyDescent="0.2">
      <c r="DY63315" s="185" t="s">
        <v>215</v>
      </c>
    </row>
    <row r="63316" spans="129:129" x14ac:dyDescent="0.2">
      <c r="DY63316" s="185" t="s">
        <v>215</v>
      </c>
    </row>
    <row r="63317" spans="129:129" x14ac:dyDescent="0.2">
      <c r="DY63317" s="185" t="s">
        <v>215</v>
      </c>
    </row>
    <row r="63318" spans="129:129" x14ac:dyDescent="0.2">
      <c r="DY63318" s="185" t="s">
        <v>215</v>
      </c>
    </row>
    <row r="63319" spans="129:129" x14ac:dyDescent="0.2">
      <c r="DY63319" s="185" t="s">
        <v>215</v>
      </c>
    </row>
    <row r="63320" spans="129:129" x14ac:dyDescent="0.2">
      <c r="DY63320" s="185" t="s">
        <v>215</v>
      </c>
    </row>
    <row r="63321" spans="129:129" x14ac:dyDescent="0.2">
      <c r="DY63321" s="185" t="s">
        <v>215</v>
      </c>
    </row>
    <row r="63322" spans="129:129" x14ac:dyDescent="0.2">
      <c r="DY63322" s="185" t="s">
        <v>215</v>
      </c>
    </row>
    <row r="63323" spans="129:129" x14ac:dyDescent="0.2">
      <c r="DY63323" s="185" t="s">
        <v>215</v>
      </c>
    </row>
    <row r="63324" spans="129:129" x14ac:dyDescent="0.2">
      <c r="DY63324" s="185" t="s">
        <v>215</v>
      </c>
    </row>
    <row r="63325" spans="129:129" x14ac:dyDescent="0.2">
      <c r="DY63325" s="185" t="s">
        <v>215</v>
      </c>
    </row>
    <row r="63326" spans="129:129" x14ac:dyDescent="0.2">
      <c r="DY63326" s="185" t="s">
        <v>215</v>
      </c>
    </row>
    <row r="63327" spans="129:129" x14ac:dyDescent="0.2">
      <c r="DY63327" s="185" t="s">
        <v>215</v>
      </c>
    </row>
    <row r="63328" spans="129:129" x14ac:dyDescent="0.2">
      <c r="DY63328" s="185" t="s">
        <v>215</v>
      </c>
    </row>
    <row r="63329" spans="129:129" x14ac:dyDescent="0.2">
      <c r="DY63329" s="185" t="s">
        <v>215</v>
      </c>
    </row>
    <row r="63330" spans="129:129" x14ac:dyDescent="0.2">
      <c r="DY63330" s="185" t="s">
        <v>215</v>
      </c>
    </row>
    <row r="63331" spans="129:129" x14ac:dyDescent="0.2">
      <c r="DY63331" s="185" t="s">
        <v>215</v>
      </c>
    </row>
    <row r="63332" spans="129:129" x14ac:dyDescent="0.2">
      <c r="DY63332" s="185" t="s">
        <v>215</v>
      </c>
    </row>
    <row r="63333" spans="129:129" x14ac:dyDescent="0.2">
      <c r="DY63333" s="185" t="s">
        <v>215</v>
      </c>
    </row>
    <row r="63334" spans="129:129" x14ac:dyDescent="0.2">
      <c r="DY63334" s="185" t="s">
        <v>215</v>
      </c>
    </row>
    <row r="63335" spans="129:129" x14ac:dyDescent="0.2">
      <c r="DY63335" s="185" t="s">
        <v>215</v>
      </c>
    </row>
    <row r="63336" spans="129:129" x14ac:dyDescent="0.2">
      <c r="DY63336" s="185" t="s">
        <v>215</v>
      </c>
    </row>
    <row r="63337" spans="129:129" x14ac:dyDescent="0.2">
      <c r="DY63337" s="185" t="s">
        <v>215</v>
      </c>
    </row>
    <row r="63338" spans="129:129" x14ac:dyDescent="0.2">
      <c r="DY63338" s="185" t="s">
        <v>215</v>
      </c>
    </row>
    <row r="63339" spans="129:129" x14ac:dyDescent="0.2">
      <c r="DY63339" s="185" t="s">
        <v>215</v>
      </c>
    </row>
    <row r="63340" spans="129:129" x14ac:dyDescent="0.2">
      <c r="DY63340" s="185" t="s">
        <v>215</v>
      </c>
    </row>
    <row r="63341" spans="129:129" x14ac:dyDescent="0.2">
      <c r="DY63341" s="185" t="s">
        <v>215</v>
      </c>
    </row>
    <row r="63342" spans="129:129" x14ac:dyDescent="0.2">
      <c r="DY63342" s="185" t="s">
        <v>215</v>
      </c>
    </row>
    <row r="63343" spans="129:129" x14ac:dyDescent="0.2">
      <c r="DY63343" s="185" t="s">
        <v>215</v>
      </c>
    </row>
    <row r="63344" spans="129:129" x14ac:dyDescent="0.2">
      <c r="DY63344" s="185" t="s">
        <v>215</v>
      </c>
    </row>
    <row r="63345" spans="129:129" x14ac:dyDescent="0.2">
      <c r="DY63345" s="185" t="s">
        <v>215</v>
      </c>
    </row>
    <row r="63346" spans="129:129" x14ac:dyDescent="0.2">
      <c r="DY63346" s="185" t="s">
        <v>215</v>
      </c>
    </row>
    <row r="63347" spans="129:129" x14ac:dyDescent="0.2">
      <c r="DY63347" s="185" t="s">
        <v>215</v>
      </c>
    </row>
    <row r="63348" spans="129:129" x14ac:dyDescent="0.2">
      <c r="DY63348" s="185" t="s">
        <v>215</v>
      </c>
    </row>
    <row r="63349" spans="129:129" x14ac:dyDescent="0.2">
      <c r="DY63349" s="185" t="s">
        <v>215</v>
      </c>
    </row>
    <row r="63350" spans="129:129" x14ac:dyDescent="0.2">
      <c r="DY63350" s="185" t="s">
        <v>215</v>
      </c>
    </row>
    <row r="63351" spans="129:129" x14ac:dyDescent="0.2">
      <c r="DY63351" s="185" t="s">
        <v>215</v>
      </c>
    </row>
    <row r="63352" spans="129:129" x14ac:dyDescent="0.2">
      <c r="DY63352" s="185" t="s">
        <v>215</v>
      </c>
    </row>
    <row r="63353" spans="129:129" x14ac:dyDescent="0.2">
      <c r="DY63353" s="185" t="s">
        <v>215</v>
      </c>
    </row>
    <row r="63354" spans="129:129" x14ac:dyDescent="0.2">
      <c r="DY63354" s="185" t="s">
        <v>215</v>
      </c>
    </row>
    <row r="63355" spans="129:129" x14ac:dyDescent="0.2">
      <c r="DY63355" s="185" t="s">
        <v>215</v>
      </c>
    </row>
    <row r="63356" spans="129:129" x14ac:dyDescent="0.2">
      <c r="DY63356" s="185" t="s">
        <v>215</v>
      </c>
    </row>
    <row r="63357" spans="129:129" x14ac:dyDescent="0.2">
      <c r="DY63357" s="185" t="s">
        <v>215</v>
      </c>
    </row>
    <row r="63358" spans="129:129" x14ac:dyDescent="0.2">
      <c r="DY63358" s="185" t="s">
        <v>215</v>
      </c>
    </row>
    <row r="63359" spans="129:129" x14ac:dyDescent="0.2">
      <c r="DY63359" s="185" t="s">
        <v>215</v>
      </c>
    </row>
    <row r="63360" spans="129:129" x14ac:dyDescent="0.2">
      <c r="DY63360" s="185" t="s">
        <v>215</v>
      </c>
    </row>
    <row r="63361" spans="129:129" x14ac:dyDescent="0.2">
      <c r="DY63361" s="185" t="s">
        <v>215</v>
      </c>
    </row>
    <row r="63362" spans="129:129" x14ac:dyDescent="0.2">
      <c r="DY63362" s="185" t="s">
        <v>215</v>
      </c>
    </row>
    <row r="63363" spans="129:129" x14ac:dyDescent="0.2">
      <c r="DY63363" s="185" t="s">
        <v>215</v>
      </c>
    </row>
    <row r="63364" spans="129:129" x14ac:dyDescent="0.2">
      <c r="DY63364" s="185" t="s">
        <v>215</v>
      </c>
    </row>
    <row r="63365" spans="129:129" x14ac:dyDescent="0.2">
      <c r="DY63365" s="185" t="s">
        <v>215</v>
      </c>
    </row>
    <row r="63366" spans="129:129" x14ac:dyDescent="0.2">
      <c r="DY63366" s="185" t="s">
        <v>215</v>
      </c>
    </row>
    <row r="63367" spans="129:129" x14ac:dyDescent="0.2">
      <c r="DY63367" s="185" t="s">
        <v>215</v>
      </c>
    </row>
    <row r="63368" spans="129:129" x14ac:dyDescent="0.2">
      <c r="DY63368" s="185" t="s">
        <v>215</v>
      </c>
    </row>
    <row r="63369" spans="129:129" x14ac:dyDescent="0.2">
      <c r="DY63369" s="185" t="s">
        <v>215</v>
      </c>
    </row>
    <row r="63370" spans="129:129" x14ac:dyDescent="0.2">
      <c r="DY63370" s="185" t="s">
        <v>215</v>
      </c>
    </row>
    <row r="63371" spans="129:129" x14ac:dyDescent="0.2">
      <c r="DY63371" s="185" t="s">
        <v>215</v>
      </c>
    </row>
    <row r="63372" spans="129:129" x14ac:dyDescent="0.2">
      <c r="DY63372" s="185" t="s">
        <v>215</v>
      </c>
    </row>
    <row r="63373" spans="129:129" x14ac:dyDescent="0.2">
      <c r="DY63373" s="185" t="s">
        <v>215</v>
      </c>
    </row>
    <row r="63374" spans="129:129" x14ac:dyDescent="0.2">
      <c r="DY63374" s="185" t="s">
        <v>215</v>
      </c>
    </row>
    <row r="63375" spans="129:129" x14ac:dyDescent="0.2">
      <c r="DY63375" s="185" t="s">
        <v>215</v>
      </c>
    </row>
    <row r="63376" spans="129:129" x14ac:dyDescent="0.2">
      <c r="DY63376" s="185" t="s">
        <v>215</v>
      </c>
    </row>
    <row r="63377" spans="129:129" x14ac:dyDescent="0.2">
      <c r="DY63377" s="185" t="s">
        <v>215</v>
      </c>
    </row>
    <row r="63378" spans="129:129" x14ac:dyDescent="0.2">
      <c r="DY63378" s="185" t="s">
        <v>215</v>
      </c>
    </row>
    <row r="63379" spans="129:129" x14ac:dyDescent="0.2">
      <c r="DY63379" s="185" t="s">
        <v>215</v>
      </c>
    </row>
    <row r="63380" spans="129:129" x14ac:dyDescent="0.2">
      <c r="DY63380" s="185" t="s">
        <v>215</v>
      </c>
    </row>
    <row r="63381" spans="129:129" x14ac:dyDescent="0.2">
      <c r="DY63381" s="185" t="s">
        <v>215</v>
      </c>
    </row>
    <row r="63382" spans="129:129" x14ac:dyDescent="0.2">
      <c r="DY63382" s="185" t="s">
        <v>215</v>
      </c>
    </row>
    <row r="63383" spans="129:129" x14ac:dyDescent="0.2">
      <c r="DY63383" s="185" t="s">
        <v>215</v>
      </c>
    </row>
    <row r="63384" spans="129:129" x14ac:dyDescent="0.2">
      <c r="DY63384" s="185" t="s">
        <v>215</v>
      </c>
    </row>
    <row r="63385" spans="129:129" x14ac:dyDescent="0.2">
      <c r="DY63385" s="185" t="s">
        <v>215</v>
      </c>
    </row>
    <row r="63386" spans="129:129" x14ac:dyDescent="0.2">
      <c r="DY63386" s="185" t="s">
        <v>215</v>
      </c>
    </row>
    <row r="63387" spans="129:129" x14ac:dyDescent="0.2">
      <c r="DY63387" s="185" t="s">
        <v>215</v>
      </c>
    </row>
    <row r="63388" spans="129:129" x14ac:dyDescent="0.2">
      <c r="DY63388" s="185" t="s">
        <v>215</v>
      </c>
    </row>
    <row r="63389" spans="129:129" x14ac:dyDescent="0.2">
      <c r="DY63389" s="185" t="s">
        <v>215</v>
      </c>
    </row>
    <row r="63390" spans="129:129" x14ac:dyDescent="0.2">
      <c r="DY63390" s="185" t="s">
        <v>215</v>
      </c>
    </row>
    <row r="63391" spans="129:129" x14ac:dyDescent="0.2">
      <c r="DY63391" s="185" t="s">
        <v>215</v>
      </c>
    </row>
    <row r="63392" spans="129:129" x14ac:dyDescent="0.2">
      <c r="DY63392" s="185" t="s">
        <v>215</v>
      </c>
    </row>
    <row r="63393" spans="129:129" x14ac:dyDescent="0.2">
      <c r="DY63393" s="185" t="s">
        <v>215</v>
      </c>
    </row>
    <row r="63394" spans="129:129" x14ac:dyDescent="0.2">
      <c r="DY63394" s="185" t="s">
        <v>215</v>
      </c>
    </row>
    <row r="63395" spans="129:129" x14ac:dyDescent="0.2">
      <c r="DY63395" s="185" t="s">
        <v>215</v>
      </c>
    </row>
    <row r="63396" spans="129:129" x14ac:dyDescent="0.2">
      <c r="DY63396" s="185" t="s">
        <v>215</v>
      </c>
    </row>
    <row r="63397" spans="129:129" x14ac:dyDescent="0.2">
      <c r="DY63397" s="185" t="s">
        <v>215</v>
      </c>
    </row>
    <row r="63398" spans="129:129" x14ac:dyDescent="0.2">
      <c r="DY63398" s="185" t="s">
        <v>215</v>
      </c>
    </row>
    <row r="63399" spans="129:129" x14ac:dyDescent="0.2">
      <c r="DY63399" s="185" t="s">
        <v>215</v>
      </c>
    </row>
    <row r="63400" spans="129:129" x14ac:dyDescent="0.2">
      <c r="DY63400" s="185" t="s">
        <v>215</v>
      </c>
    </row>
    <row r="63401" spans="129:129" x14ac:dyDescent="0.2">
      <c r="DY63401" s="185" t="s">
        <v>215</v>
      </c>
    </row>
    <row r="63402" spans="129:129" x14ac:dyDescent="0.2">
      <c r="DY63402" s="185" t="s">
        <v>215</v>
      </c>
    </row>
    <row r="63403" spans="129:129" x14ac:dyDescent="0.2">
      <c r="DY63403" s="185" t="s">
        <v>215</v>
      </c>
    </row>
    <row r="63404" spans="129:129" x14ac:dyDescent="0.2">
      <c r="DY63404" s="185" t="s">
        <v>215</v>
      </c>
    </row>
    <row r="63405" spans="129:129" x14ac:dyDescent="0.2">
      <c r="DY63405" s="185" t="s">
        <v>215</v>
      </c>
    </row>
    <row r="63406" spans="129:129" x14ac:dyDescent="0.2">
      <c r="DY63406" s="185" t="s">
        <v>215</v>
      </c>
    </row>
    <row r="63407" spans="129:129" x14ac:dyDescent="0.2">
      <c r="DY63407" s="185" t="s">
        <v>215</v>
      </c>
    </row>
    <row r="63408" spans="129:129" x14ac:dyDescent="0.2">
      <c r="DY63408" s="185" t="s">
        <v>215</v>
      </c>
    </row>
    <row r="63409" spans="129:129" x14ac:dyDescent="0.2">
      <c r="DY63409" s="185" t="s">
        <v>215</v>
      </c>
    </row>
    <row r="63410" spans="129:129" x14ac:dyDescent="0.2">
      <c r="DY63410" s="185" t="s">
        <v>215</v>
      </c>
    </row>
    <row r="63411" spans="129:129" x14ac:dyDescent="0.2">
      <c r="DY63411" s="185" t="s">
        <v>215</v>
      </c>
    </row>
    <row r="63412" spans="129:129" x14ac:dyDescent="0.2">
      <c r="DY63412" s="185" t="s">
        <v>215</v>
      </c>
    </row>
    <row r="63413" spans="129:129" x14ac:dyDescent="0.2">
      <c r="DY63413" s="185" t="s">
        <v>215</v>
      </c>
    </row>
    <row r="63414" spans="129:129" x14ac:dyDescent="0.2">
      <c r="DY63414" s="185" t="s">
        <v>215</v>
      </c>
    </row>
    <row r="63415" spans="129:129" x14ac:dyDescent="0.2">
      <c r="DY63415" s="185" t="s">
        <v>215</v>
      </c>
    </row>
    <row r="63416" spans="129:129" x14ac:dyDescent="0.2">
      <c r="DY63416" s="185" t="s">
        <v>215</v>
      </c>
    </row>
    <row r="63417" spans="129:129" x14ac:dyDescent="0.2">
      <c r="DY63417" s="185" t="s">
        <v>215</v>
      </c>
    </row>
    <row r="63418" spans="129:129" x14ac:dyDescent="0.2">
      <c r="DY63418" s="185" t="s">
        <v>215</v>
      </c>
    </row>
    <row r="63419" spans="129:129" x14ac:dyDescent="0.2">
      <c r="DY63419" s="185" t="s">
        <v>215</v>
      </c>
    </row>
    <row r="63420" spans="129:129" x14ac:dyDescent="0.2">
      <c r="DY63420" s="185" t="s">
        <v>215</v>
      </c>
    </row>
    <row r="63421" spans="129:129" x14ac:dyDescent="0.2">
      <c r="DY63421" s="185" t="s">
        <v>215</v>
      </c>
    </row>
    <row r="63422" spans="129:129" x14ac:dyDescent="0.2">
      <c r="DY63422" s="185" t="s">
        <v>215</v>
      </c>
    </row>
    <row r="63423" spans="129:129" x14ac:dyDescent="0.2">
      <c r="DY63423" s="185" t="s">
        <v>215</v>
      </c>
    </row>
    <row r="63424" spans="129:129" x14ac:dyDescent="0.2">
      <c r="DY63424" s="185" t="s">
        <v>215</v>
      </c>
    </row>
    <row r="63425" spans="129:129" x14ac:dyDescent="0.2">
      <c r="DY63425" s="185" t="s">
        <v>215</v>
      </c>
    </row>
    <row r="63426" spans="129:129" x14ac:dyDescent="0.2">
      <c r="DY63426" s="185" t="s">
        <v>215</v>
      </c>
    </row>
    <row r="63427" spans="129:129" x14ac:dyDescent="0.2">
      <c r="DY63427" s="185" t="s">
        <v>215</v>
      </c>
    </row>
    <row r="63428" spans="129:129" x14ac:dyDescent="0.2">
      <c r="DY63428" s="185" t="s">
        <v>215</v>
      </c>
    </row>
    <row r="63429" spans="129:129" x14ac:dyDescent="0.2">
      <c r="DY63429" s="185" t="s">
        <v>215</v>
      </c>
    </row>
    <row r="63430" spans="129:129" x14ac:dyDescent="0.2">
      <c r="DY63430" s="185" t="s">
        <v>215</v>
      </c>
    </row>
    <row r="63431" spans="129:129" x14ac:dyDescent="0.2">
      <c r="DY63431" s="185" t="s">
        <v>215</v>
      </c>
    </row>
    <row r="63432" spans="129:129" x14ac:dyDescent="0.2">
      <c r="DY63432" s="185" t="s">
        <v>215</v>
      </c>
    </row>
    <row r="63433" spans="129:129" x14ac:dyDescent="0.2">
      <c r="DY63433" s="185" t="s">
        <v>215</v>
      </c>
    </row>
    <row r="63434" spans="129:129" x14ac:dyDescent="0.2">
      <c r="DY63434" s="185" t="s">
        <v>215</v>
      </c>
    </row>
    <row r="63435" spans="129:129" x14ac:dyDescent="0.2">
      <c r="DY63435" s="185" t="s">
        <v>215</v>
      </c>
    </row>
    <row r="63436" spans="129:129" x14ac:dyDescent="0.2">
      <c r="DY63436" s="185" t="s">
        <v>215</v>
      </c>
    </row>
    <row r="63437" spans="129:129" x14ac:dyDescent="0.2">
      <c r="DY63437" s="185" t="s">
        <v>215</v>
      </c>
    </row>
    <row r="63438" spans="129:129" x14ac:dyDescent="0.2">
      <c r="DY63438" s="185" t="s">
        <v>215</v>
      </c>
    </row>
    <row r="63439" spans="129:129" x14ac:dyDescent="0.2">
      <c r="DY63439" s="185" t="s">
        <v>215</v>
      </c>
    </row>
    <row r="63440" spans="129:129" x14ac:dyDescent="0.2">
      <c r="DY63440" s="185" t="s">
        <v>215</v>
      </c>
    </row>
    <row r="63441" spans="129:129" x14ac:dyDescent="0.2">
      <c r="DY63441" s="185" t="s">
        <v>215</v>
      </c>
    </row>
    <row r="63442" spans="129:129" x14ac:dyDescent="0.2">
      <c r="DY63442" s="185" t="s">
        <v>215</v>
      </c>
    </row>
    <row r="63443" spans="129:129" x14ac:dyDescent="0.2">
      <c r="DY63443" s="185" t="s">
        <v>215</v>
      </c>
    </row>
    <row r="63444" spans="129:129" x14ac:dyDescent="0.2">
      <c r="DY63444" s="185" t="s">
        <v>215</v>
      </c>
    </row>
    <row r="63445" spans="129:129" x14ac:dyDescent="0.2">
      <c r="DY63445" s="185" t="s">
        <v>215</v>
      </c>
    </row>
    <row r="63446" spans="129:129" x14ac:dyDescent="0.2">
      <c r="DY63446" s="185" t="s">
        <v>215</v>
      </c>
    </row>
    <row r="63447" spans="129:129" x14ac:dyDescent="0.2">
      <c r="DY63447" s="185" t="s">
        <v>215</v>
      </c>
    </row>
    <row r="63448" spans="129:129" x14ac:dyDescent="0.2">
      <c r="DY63448" s="185" t="s">
        <v>215</v>
      </c>
    </row>
    <row r="63449" spans="129:129" x14ac:dyDescent="0.2">
      <c r="DY63449" s="185" t="s">
        <v>215</v>
      </c>
    </row>
    <row r="63450" spans="129:129" x14ac:dyDescent="0.2">
      <c r="DY63450" s="185" t="s">
        <v>215</v>
      </c>
    </row>
    <row r="63451" spans="129:129" x14ac:dyDescent="0.2">
      <c r="DY63451" s="185" t="s">
        <v>215</v>
      </c>
    </row>
    <row r="63452" spans="129:129" x14ac:dyDescent="0.2">
      <c r="DY63452" s="185" t="s">
        <v>215</v>
      </c>
    </row>
    <row r="63453" spans="129:129" x14ac:dyDescent="0.2">
      <c r="DY63453" s="185" t="s">
        <v>215</v>
      </c>
    </row>
    <row r="63454" spans="129:129" x14ac:dyDescent="0.2">
      <c r="DY63454" s="185" t="s">
        <v>215</v>
      </c>
    </row>
    <row r="63455" spans="129:129" x14ac:dyDescent="0.2">
      <c r="DY63455" s="185" t="s">
        <v>215</v>
      </c>
    </row>
    <row r="63456" spans="129:129" x14ac:dyDescent="0.2">
      <c r="DY63456" s="185" t="s">
        <v>215</v>
      </c>
    </row>
    <row r="63457" spans="129:129" x14ac:dyDescent="0.2">
      <c r="DY63457" s="185" t="s">
        <v>215</v>
      </c>
    </row>
    <row r="63458" spans="129:129" x14ac:dyDescent="0.2">
      <c r="DY63458" s="185" t="s">
        <v>215</v>
      </c>
    </row>
    <row r="63459" spans="129:129" x14ac:dyDescent="0.2">
      <c r="DY63459" s="185" t="s">
        <v>215</v>
      </c>
    </row>
    <row r="63460" spans="129:129" x14ac:dyDescent="0.2">
      <c r="DY63460" s="185" t="s">
        <v>215</v>
      </c>
    </row>
    <row r="63461" spans="129:129" x14ac:dyDescent="0.2">
      <c r="DY63461" s="185" t="s">
        <v>215</v>
      </c>
    </row>
    <row r="63462" spans="129:129" x14ac:dyDescent="0.2">
      <c r="DY63462" s="185" t="s">
        <v>215</v>
      </c>
    </row>
    <row r="63463" spans="129:129" x14ac:dyDescent="0.2">
      <c r="DY63463" s="185" t="s">
        <v>215</v>
      </c>
    </row>
    <row r="63464" spans="129:129" x14ac:dyDescent="0.2">
      <c r="DY63464" s="185" t="s">
        <v>215</v>
      </c>
    </row>
    <row r="63465" spans="129:129" x14ac:dyDescent="0.2">
      <c r="DY63465" s="185" t="s">
        <v>215</v>
      </c>
    </row>
    <row r="63466" spans="129:129" x14ac:dyDescent="0.2">
      <c r="DY63466" s="185" t="s">
        <v>215</v>
      </c>
    </row>
    <row r="63467" spans="129:129" x14ac:dyDescent="0.2">
      <c r="DY63467" s="185" t="s">
        <v>215</v>
      </c>
    </row>
    <row r="63468" spans="129:129" x14ac:dyDescent="0.2">
      <c r="DY63468" s="185" t="s">
        <v>215</v>
      </c>
    </row>
    <row r="63469" spans="129:129" x14ac:dyDescent="0.2">
      <c r="DY63469" s="185" t="s">
        <v>215</v>
      </c>
    </row>
    <row r="63470" spans="129:129" x14ac:dyDescent="0.2">
      <c r="DY63470" s="185" t="s">
        <v>215</v>
      </c>
    </row>
    <row r="63471" spans="129:129" x14ac:dyDescent="0.2">
      <c r="DY63471" s="185" t="s">
        <v>215</v>
      </c>
    </row>
    <row r="63472" spans="129:129" x14ac:dyDescent="0.2">
      <c r="DY63472" s="185" t="s">
        <v>215</v>
      </c>
    </row>
    <row r="63473" spans="129:129" x14ac:dyDescent="0.2">
      <c r="DY63473" s="185" t="s">
        <v>215</v>
      </c>
    </row>
    <row r="63474" spans="129:129" x14ac:dyDescent="0.2">
      <c r="DY63474" s="185" t="s">
        <v>215</v>
      </c>
    </row>
    <row r="63475" spans="129:129" x14ac:dyDescent="0.2">
      <c r="DY63475" s="185" t="s">
        <v>215</v>
      </c>
    </row>
    <row r="63476" spans="129:129" x14ac:dyDescent="0.2">
      <c r="DY63476" s="185" t="s">
        <v>215</v>
      </c>
    </row>
    <row r="63477" spans="129:129" x14ac:dyDescent="0.2">
      <c r="DY63477" s="185" t="s">
        <v>215</v>
      </c>
    </row>
    <row r="63478" spans="129:129" x14ac:dyDescent="0.2">
      <c r="DY63478" s="185" t="s">
        <v>215</v>
      </c>
    </row>
    <row r="63479" spans="129:129" x14ac:dyDescent="0.2">
      <c r="DY63479" s="185" t="s">
        <v>215</v>
      </c>
    </row>
    <row r="63480" spans="129:129" x14ac:dyDescent="0.2">
      <c r="DY63480" s="185" t="s">
        <v>215</v>
      </c>
    </row>
    <row r="63481" spans="129:129" x14ac:dyDescent="0.2">
      <c r="DY63481" s="185" t="s">
        <v>215</v>
      </c>
    </row>
    <row r="63482" spans="129:129" x14ac:dyDescent="0.2">
      <c r="DY63482" s="185" t="s">
        <v>215</v>
      </c>
    </row>
    <row r="63483" spans="129:129" x14ac:dyDescent="0.2">
      <c r="DY63483" s="185" t="s">
        <v>215</v>
      </c>
    </row>
    <row r="63484" spans="129:129" x14ac:dyDescent="0.2">
      <c r="DY63484" s="185" t="s">
        <v>215</v>
      </c>
    </row>
    <row r="63485" spans="129:129" x14ac:dyDescent="0.2">
      <c r="DY63485" s="185" t="s">
        <v>215</v>
      </c>
    </row>
    <row r="63486" spans="129:129" x14ac:dyDescent="0.2">
      <c r="DY63486" s="185" t="s">
        <v>215</v>
      </c>
    </row>
    <row r="63487" spans="129:129" x14ac:dyDescent="0.2">
      <c r="DY63487" s="185" t="s">
        <v>215</v>
      </c>
    </row>
    <row r="63488" spans="129:129" x14ac:dyDescent="0.2">
      <c r="DY63488" s="185" t="s">
        <v>215</v>
      </c>
    </row>
    <row r="63489" spans="129:129" x14ac:dyDescent="0.2">
      <c r="DY63489" s="185" t="s">
        <v>215</v>
      </c>
    </row>
    <row r="63490" spans="129:129" x14ac:dyDescent="0.2">
      <c r="DY63490" s="185" t="s">
        <v>215</v>
      </c>
    </row>
    <row r="63491" spans="129:129" x14ac:dyDescent="0.2">
      <c r="DY63491" s="185" t="s">
        <v>215</v>
      </c>
    </row>
    <row r="63492" spans="129:129" x14ac:dyDescent="0.2">
      <c r="DY63492" s="185" t="s">
        <v>215</v>
      </c>
    </row>
    <row r="63493" spans="129:129" x14ac:dyDescent="0.2">
      <c r="DY63493" s="185" t="s">
        <v>215</v>
      </c>
    </row>
    <row r="63494" spans="129:129" x14ac:dyDescent="0.2">
      <c r="DY63494" s="185" t="s">
        <v>215</v>
      </c>
    </row>
    <row r="63495" spans="129:129" x14ac:dyDescent="0.2">
      <c r="DY63495" s="185" t="s">
        <v>215</v>
      </c>
    </row>
    <row r="63496" spans="129:129" x14ac:dyDescent="0.2">
      <c r="DY63496" s="185" t="s">
        <v>215</v>
      </c>
    </row>
    <row r="63497" spans="129:129" x14ac:dyDescent="0.2">
      <c r="DY63497" s="185" t="s">
        <v>215</v>
      </c>
    </row>
    <row r="63498" spans="129:129" x14ac:dyDescent="0.2">
      <c r="DY63498" s="185" t="s">
        <v>215</v>
      </c>
    </row>
    <row r="63499" spans="129:129" x14ac:dyDescent="0.2">
      <c r="DY63499" s="185" t="s">
        <v>215</v>
      </c>
    </row>
    <row r="63500" spans="129:129" x14ac:dyDescent="0.2">
      <c r="DY63500" s="185" t="s">
        <v>215</v>
      </c>
    </row>
    <row r="63501" spans="129:129" x14ac:dyDescent="0.2">
      <c r="DY63501" s="185" t="s">
        <v>215</v>
      </c>
    </row>
    <row r="63502" spans="129:129" x14ac:dyDescent="0.2">
      <c r="DY63502" s="185" t="s">
        <v>215</v>
      </c>
    </row>
    <row r="63503" spans="129:129" x14ac:dyDescent="0.2">
      <c r="DY63503" s="185" t="s">
        <v>215</v>
      </c>
    </row>
    <row r="63504" spans="129:129" x14ac:dyDescent="0.2">
      <c r="DY63504" s="185" t="s">
        <v>215</v>
      </c>
    </row>
    <row r="63505" spans="129:129" x14ac:dyDescent="0.2">
      <c r="DY63505" s="185" t="s">
        <v>215</v>
      </c>
    </row>
    <row r="63506" spans="129:129" x14ac:dyDescent="0.2">
      <c r="DY63506" s="185" t="s">
        <v>215</v>
      </c>
    </row>
    <row r="63507" spans="129:129" x14ac:dyDescent="0.2">
      <c r="DY63507" s="185" t="s">
        <v>215</v>
      </c>
    </row>
    <row r="63508" spans="129:129" x14ac:dyDescent="0.2">
      <c r="DY63508" s="185" t="s">
        <v>215</v>
      </c>
    </row>
    <row r="63509" spans="129:129" x14ac:dyDescent="0.2">
      <c r="DY63509" s="185" t="s">
        <v>215</v>
      </c>
    </row>
    <row r="63510" spans="129:129" x14ac:dyDescent="0.2">
      <c r="DY63510" s="185" t="s">
        <v>215</v>
      </c>
    </row>
    <row r="63511" spans="129:129" x14ac:dyDescent="0.2">
      <c r="DY63511" s="185" t="s">
        <v>215</v>
      </c>
    </row>
    <row r="63512" spans="129:129" x14ac:dyDescent="0.2">
      <c r="DY63512" s="185" t="s">
        <v>215</v>
      </c>
    </row>
    <row r="63513" spans="129:129" x14ac:dyDescent="0.2">
      <c r="DY63513" s="185" t="s">
        <v>215</v>
      </c>
    </row>
    <row r="63514" spans="129:129" x14ac:dyDescent="0.2">
      <c r="DY63514" s="185" t="s">
        <v>215</v>
      </c>
    </row>
    <row r="63515" spans="129:129" x14ac:dyDescent="0.2">
      <c r="DY63515" s="185" t="s">
        <v>215</v>
      </c>
    </row>
    <row r="63516" spans="129:129" x14ac:dyDescent="0.2">
      <c r="DY63516" s="185" t="s">
        <v>215</v>
      </c>
    </row>
    <row r="63517" spans="129:129" x14ac:dyDescent="0.2">
      <c r="DY63517" s="185" t="s">
        <v>215</v>
      </c>
    </row>
    <row r="63518" spans="129:129" x14ac:dyDescent="0.2">
      <c r="DY63518" s="185" t="s">
        <v>215</v>
      </c>
    </row>
    <row r="63519" spans="129:129" x14ac:dyDescent="0.2">
      <c r="DY63519" s="185" t="s">
        <v>215</v>
      </c>
    </row>
    <row r="63520" spans="129:129" x14ac:dyDescent="0.2">
      <c r="DY63520" s="185" t="s">
        <v>215</v>
      </c>
    </row>
    <row r="63521" spans="129:129" x14ac:dyDescent="0.2">
      <c r="DY63521" s="185" t="s">
        <v>215</v>
      </c>
    </row>
    <row r="63522" spans="129:129" x14ac:dyDescent="0.2">
      <c r="DY63522" s="185" t="s">
        <v>215</v>
      </c>
    </row>
    <row r="63523" spans="129:129" x14ac:dyDescent="0.2">
      <c r="DY63523" s="185" t="s">
        <v>215</v>
      </c>
    </row>
    <row r="63524" spans="129:129" x14ac:dyDescent="0.2">
      <c r="DY63524" s="185" t="s">
        <v>215</v>
      </c>
    </row>
    <row r="63525" spans="129:129" x14ac:dyDescent="0.2">
      <c r="DY63525" s="185" t="s">
        <v>215</v>
      </c>
    </row>
    <row r="63526" spans="129:129" x14ac:dyDescent="0.2">
      <c r="DY63526" s="185" t="s">
        <v>215</v>
      </c>
    </row>
    <row r="63527" spans="129:129" x14ac:dyDescent="0.2">
      <c r="DY63527" s="185" t="s">
        <v>215</v>
      </c>
    </row>
    <row r="63528" spans="129:129" x14ac:dyDescent="0.2">
      <c r="DY63528" s="185" t="s">
        <v>215</v>
      </c>
    </row>
    <row r="63529" spans="129:129" x14ac:dyDescent="0.2">
      <c r="DY63529" s="185" t="s">
        <v>215</v>
      </c>
    </row>
    <row r="63530" spans="129:129" x14ac:dyDescent="0.2">
      <c r="DY63530" s="185" t="s">
        <v>215</v>
      </c>
    </row>
    <row r="63531" spans="129:129" x14ac:dyDescent="0.2">
      <c r="DY63531" s="185" t="s">
        <v>215</v>
      </c>
    </row>
    <row r="63532" spans="129:129" x14ac:dyDescent="0.2">
      <c r="DY63532" s="185" t="s">
        <v>215</v>
      </c>
    </row>
    <row r="63533" spans="129:129" x14ac:dyDescent="0.2">
      <c r="DY63533" s="185" t="s">
        <v>215</v>
      </c>
    </row>
    <row r="63534" spans="129:129" x14ac:dyDescent="0.2">
      <c r="DY63534" s="185" t="s">
        <v>215</v>
      </c>
    </row>
    <row r="63535" spans="129:129" x14ac:dyDescent="0.2">
      <c r="DY63535" s="185" t="s">
        <v>215</v>
      </c>
    </row>
    <row r="63536" spans="129:129" x14ac:dyDescent="0.2">
      <c r="DY63536" s="185" t="s">
        <v>215</v>
      </c>
    </row>
    <row r="63537" spans="129:129" x14ac:dyDescent="0.2">
      <c r="DY63537" s="185" t="s">
        <v>215</v>
      </c>
    </row>
    <row r="63538" spans="129:129" x14ac:dyDescent="0.2">
      <c r="DY63538" s="185" t="s">
        <v>215</v>
      </c>
    </row>
    <row r="63539" spans="129:129" x14ac:dyDescent="0.2">
      <c r="DY63539" s="185" t="s">
        <v>215</v>
      </c>
    </row>
    <row r="63540" spans="129:129" x14ac:dyDescent="0.2">
      <c r="DY63540" s="185" t="s">
        <v>215</v>
      </c>
    </row>
    <row r="63541" spans="129:129" x14ac:dyDescent="0.2">
      <c r="DY63541" s="185" t="s">
        <v>215</v>
      </c>
    </row>
    <row r="63542" spans="129:129" x14ac:dyDescent="0.2">
      <c r="DY63542" s="185" t="s">
        <v>215</v>
      </c>
    </row>
    <row r="63543" spans="129:129" x14ac:dyDescent="0.2">
      <c r="DY63543" s="185" t="s">
        <v>215</v>
      </c>
    </row>
    <row r="63544" spans="129:129" x14ac:dyDescent="0.2">
      <c r="DY63544" s="185" t="s">
        <v>215</v>
      </c>
    </row>
    <row r="63545" spans="129:129" x14ac:dyDescent="0.2">
      <c r="DY63545" s="185" t="s">
        <v>215</v>
      </c>
    </row>
    <row r="63546" spans="129:129" x14ac:dyDescent="0.2">
      <c r="DY63546" s="185" t="s">
        <v>215</v>
      </c>
    </row>
    <row r="63547" spans="129:129" x14ac:dyDescent="0.2">
      <c r="DY63547" s="185" t="s">
        <v>215</v>
      </c>
    </row>
    <row r="63548" spans="129:129" x14ac:dyDescent="0.2">
      <c r="DY63548" s="185" t="s">
        <v>215</v>
      </c>
    </row>
    <row r="63549" spans="129:129" x14ac:dyDescent="0.2">
      <c r="DY63549" s="185" t="s">
        <v>215</v>
      </c>
    </row>
    <row r="63550" spans="129:129" x14ac:dyDescent="0.2">
      <c r="DY63550" s="185" t="s">
        <v>215</v>
      </c>
    </row>
    <row r="63551" spans="129:129" x14ac:dyDescent="0.2">
      <c r="DY63551" s="185" t="s">
        <v>215</v>
      </c>
    </row>
    <row r="63552" spans="129:129" x14ac:dyDescent="0.2">
      <c r="DY63552" s="185" t="s">
        <v>215</v>
      </c>
    </row>
    <row r="63553" spans="129:129" x14ac:dyDescent="0.2">
      <c r="DY63553" s="185" t="s">
        <v>215</v>
      </c>
    </row>
    <row r="63554" spans="129:129" x14ac:dyDescent="0.2">
      <c r="DY63554" s="185" t="s">
        <v>215</v>
      </c>
    </row>
    <row r="63555" spans="129:129" x14ac:dyDescent="0.2">
      <c r="DY63555" s="185" t="s">
        <v>215</v>
      </c>
    </row>
    <row r="63556" spans="129:129" x14ac:dyDescent="0.2">
      <c r="DY63556" s="185" t="s">
        <v>215</v>
      </c>
    </row>
    <row r="63557" spans="129:129" x14ac:dyDescent="0.2">
      <c r="DY63557" s="185" t="s">
        <v>215</v>
      </c>
    </row>
    <row r="63558" spans="129:129" x14ac:dyDescent="0.2">
      <c r="DY63558" s="185" t="s">
        <v>215</v>
      </c>
    </row>
    <row r="63559" spans="129:129" x14ac:dyDescent="0.2">
      <c r="DY63559" s="185" t="s">
        <v>215</v>
      </c>
    </row>
    <row r="63560" spans="129:129" x14ac:dyDescent="0.2">
      <c r="DY63560" s="185" t="s">
        <v>215</v>
      </c>
    </row>
    <row r="63561" spans="129:129" x14ac:dyDescent="0.2">
      <c r="DY63561" s="185" t="s">
        <v>215</v>
      </c>
    </row>
    <row r="63562" spans="129:129" x14ac:dyDescent="0.2">
      <c r="DY63562" s="185" t="s">
        <v>215</v>
      </c>
    </row>
    <row r="63563" spans="129:129" x14ac:dyDescent="0.2">
      <c r="DY63563" s="185" t="s">
        <v>215</v>
      </c>
    </row>
    <row r="63564" spans="129:129" x14ac:dyDescent="0.2">
      <c r="DY63564" s="185" t="s">
        <v>215</v>
      </c>
    </row>
    <row r="63565" spans="129:129" x14ac:dyDescent="0.2">
      <c r="DY63565" s="185" t="s">
        <v>215</v>
      </c>
    </row>
    <row r="63566" spans="129:129" x14ac:dyDescent="0.2">
      <c r="DY63566" s="185" t="s">
        <v>215</v>
      </c>
    </row>
    <row r="63567" spans="129:129" x14ac:dyDescent="0.2">
      <c r="DY63567" s="185" t="s">
        <v>215</v>
      </c>
    </row>
    <row r="63568" spans="129:129" x14ac:dyDescent="0.2">
      <c r="DY63568" s="185" t="s">
        <v>215</v>
      </c>
    </row>
    <row r="63569" spans="129:129" x14ac:dyDescent="0.2">
      <c r="DY63569" s="185" t="s">
        <v>215</v>
      </c>
    </row>
    <row r="63570" spans="129:129" x14ac:dyDescent="0.2">
      <c r="DY63570" s="185" t="s">
        <v>215</v>
      </c>
    </row>
    <row r="63571" spans="129:129" x14ac:dyDescent="0.2">
      <c r="DY63571" s="185" t="s">
        <v>215</v>
      </c>
    </row>
    <row r="63572" spans="129:129" x14ac:dyDescent="0.2">
      <c r="DY63572" s="185" t="s">
        <v>215</v>
      </c>
    </row>
    <row r="63573" spans="129:129" x14ac:dyDescent="0.2">
      <c r="DY63573" s="185" t="s">
        <v>215</v>
      </c>
    </row>
    <row r="63574" spans="129:129" x14ac:dyDescent="0.2">
      <c r="DY63574" s="185" t="s">
        <v>215</v>
      </c>
    </row>
    <row r="63575" spans="129:129" x14ac:dyDescent="0.2">
      <c r="DY63575" s="185" t="s">
        <v>215</v>
      </c>
    </row>
    <row r="63576" spans="129:129" x14ac:dyDescent="0.2">
      <c r="DY63576" s="185" t="s">
        <v>215</v>
      </c>
    </row>
    <row r="63577" spans="129:129" x14ac:dyDescent="0.2">
      <c r="DY63577" s="185" t="s">
        <v>215</v>
      </c>
    </row>
    <row r="63578" spans="129:129" x14ac:dyDescent="0.2">
      <c r="DY63578" s="185" t="s">
        <v>215</v>
      </c>
    </row>
    <row r="63579" spans="129:129" x14ac:dyDescent="0.2">
      <c r="DY63579" s="185" t="s">
        <v>215</v>
      </c>
    </row>
    <row r="63580" spans="129:129" x14ac:dyDescent="0.2">
      <c r="DY63580" s="185" t="s">
        <v>215</v>
      </c>
    </row>
    <row r="63581" spans="129:129" x14ac:dyDescent="0.2">
      <c r="DY63581" s="185" t="s">
        <v>215</v>
      </c>
    </row>
    <row r="63582" spans="129:129" x14ac:dyDescent="0.2">
      <c r="DY63582" s="185" t="s">
        <v>215</v>
      </c>
    </row>
    <row r="63583" spans="129:129" x14ac:dyDescent="0.2">
      <c r="DY63583" s="185" t="s">
        <v>215</v>
      </c>
    </row>
    <row r="63584" spans="129:129" x14ac:dyDescent="0.2">
      <c r="DY63584" s="185" t="s">
        <v>215</v>
      </c>
    </row>
    <row r="63585" spans="129:129" x14ac:dyDescent="0.2">
      <c r="DY63585" s="185" t="s">
        <v>215</v>
      </c>
    </row>
    <row r="63586" spans="129:129" x14ac:dyDescent="0.2">
      <c r="DY63586" s="185" t="s">
        <v>215</v>
      </c>
    </row>
    <row r="63587" spans="129:129" x14ac:dyDescent="0.2">
      <c r="DY63587" s="185" t="s">
        <v>215</v>
      </c>
    </row>
    <row r="63588" spans="129:129" x14ac:dyDescent="0.2">
      <c r="DY63588" s="185" t="s">
        <v>215</v>
      </c>
    </row>
    <row r="63589" spans="129:129" x14ac:dyDescent="0.2">
      <c r="DY63589" s="185" t="s">
        <v>215</v>
      </c>
    </row>
    <row r="63590" spans="129:129" x14ac:dyDescent="0.2">
      <c r="DY63590" s="185" t="s">
        <v>215</v>
      </c>
    </row>
    <row r="63591" spans="129:129" x14ac:dyDescent="0.2">
      <c r="DY63591" s="185" t="s">
        <v>215</v>
      </c>
    </row>
    <row r="63592" spans="129:129" x14ac:dyDescent="0.2">
      <c r="DY63592" s="185" t="s">
        <v>215</v>
      </c>
    </row>
    <row r="63593" spans="129:129" x14ac:dyDescent="0.2">
      <c r="DY63593" s="185" t="s">
        <v>215</v>
      </c>
    </row>
    <row r="63594" spans="129:129" x14ac:dyDescent="0.2">
      <c r="DY63594" s="185" t="s">
        <v>215</v>
      </c>
    </row>
    <row r="63595" spans="129:129" x14ac:dyDescent="0.2">
      <c r="DY63595" s="185" t="s">
        <v>215</v>
      </c>
    </row>
    <row r="63596" spans="129:129" x14ac:dyDescent="0.2">
      <c r="DY63596" s="185" t="s">
        <v>215</v>
      </c>
    </row>
    <row r="63597" spans="129:129" x14ac:dyDescent="0.2">
      <c r="DY63597" s="185" t="s">
        <v>215</v>
      </c>
    </row>
    <row r="63598" spans="129:129" x14ac:dyDescent="0.2">
      <c r="DY63598" s="185" t="s">
        <v>215</v>
      </c>
    </row>
    <row r="63599" spans="129:129" x14ac:dyDescent="0.2">
      <c r="DY63599" s="185" t="s">
        <v>215</v>
      </c>
    </row>
    <row r="63600" spans="129:129" x14ac:dyDescent="0.2">
      <c r="DY63600" s="185" t="s">
        <v>215</v>
      </c>
    </row>
    <row r="63601" spans="129:129" x14ac:dyDescent="0.2">
      <c r="DY63601" s="185" t="s">
        <v>215</v>
      </c>
    </row>
    <row r="63602" spans="129:129" x14ac:dyDescent="0.2">
      <c r="DY63602" s="185" t="s">
        <v>215</v>
      </c>
    </row>
    <row r="63603" spans="129:129" x14ac:dyDescent="0.2">
      <c r="DY63603" s="185" t="s">
        <v>215</v>
      </c>
    </row>
    <row r="63604" spans="129:129" x14ac:dyDescent="0.2">
      <c r="DY63604" s="185" t="s">
        <v>215</v>
      </c>
    </row>
    <row r="63605" spans="129:129" x14ac:dyDescent="0.2">
      <c r="DY63605" s="185" t="s">
        <v>215</v>
      </c>
    </row>
    <row r="63606" spans="129:129" x14ac:dyDescent="0.2">
      <c r="DY63606" s="185" t="s">
        <v>215</v>
      </c>
    </row>
    <row r="63607" spans="129:129" x14ac:dyDescent="0.2">
      <c r="DY63607" s="185" t="s">
        <v>215</v>
      </c>
    </row>
    <row r="63608" spans="129:129" x14ac:dyDescent="0.2">
      <c r="DY63608" s="185" t="s">
        <v>215</v>
      </c>
    </row>
    <row r="63609" spans="129:129" x14ac:dyDescent="0.2">
      <c r="DY63609" s="185" t="s">
        <v>215</v>
      </c>
    </row>
    <row r="63610" spans="129:129" x14ac:dyDescent="0.2">
      <c r="DY63610" s="185" t="s">
        <v>215</v>
      </c>
    </row>
    <row r="63611" spans="129:129" x14ac:dyDescent="0.2">
      <c r="DY63611" s="185" t="s">
        <v>215</v>
      </c>
    </row>
    <row r="63612" spans="129:129" x14ac:dyDescent="0.2">
      <c r="DY63612" s="185" t="s">
        <v>215</v>
      </c>
    </row>
    <row r="63613" spans="129:129" x14ac:dyDescent="0.2">
      <c r="DY63613" s="185" t="s">
        <v>215</v>
      </c>
    </row>
    <row r="63614" spans="129:129" x14ac:dyDescent="0.2">
      <c r="DY63614" s="185" t="s">
        <v>215</v>
      </c>
    </row>
    <row r="63615" spans="129:129" x14ac:dyDescent="0.2">
      <c r="DY63615" s="185" t="s">
        <v>215</v>
      </c>
    </row>
    <row r="63616" spans="129:129" x14ac:dyDescent="0.2">
      <c r="DY63616" s="185" t="s">
        <v>215</v>
      </c>
    </row>
    <row r="63617" spans="129:129" x14ac:dyDescent="0.2">
      <c r="DY63617" s="185" t="s">
        <v>215</v>
      </c>
    </row>
    <row r="63618" spans="129:129" x14ac:dyDescent="0.2">
      <c r="DY63618" s="185" t="s">
        <v>215</v>
      </c>
    </row>
    <row r="63619" spans="129:129" x14ac:dyDescent="0.2">
      <c r="DY63619" s="185" t="s">
        <v>215</v>
      </c>
    </row>
    <row r="63620" spans="129:129" x14ac:dyDescent="0.2">
      <c r="DY63620" s="185" t="s">
        <v>215</v>
      </c>
    </row>
    <row r="63621" spans="129:129" x14ac:dyDescent="0.2">
      <c r="DY63621" s="185" t="s">
        <v>215</v>
      </c>
    </row>
    <row r="63622" spans="129:129" x14ac:dyDescent="0.2">
      <c r="DY63622" s="185" t="s">
        <v>215</v>
      </c>
    </row>
    <row r="63623" spans="129:129" x14ac:dyDescent="0.2">
      <c r="DY63623" s="185" t="s">
        <v>215</v>
      </c>
    </row>
    <row r="63624" spans="129:129" x14ac:dyDescent="0.2">
      <c r="DY63624" s="185" t="s">
        <v>215</v>
      </c>
    </row>
    <row r="63625" spans="129:129" x14ac:dyDescent="0.2">
      <c r="DY63625" s="185" t="s">
        <v>215</v>
      </c>
    </row>
    <row r="63626" spans="129:129" x14ac:dyDescent="0.2">
      <c r="DY63626" s="185" t="s">
        <v>215</v>
      </c>
    </row>
    <row r="63627" spans="129:129" x14ac:dyDescent="0.2">
      <c r="DY63627" s="185" t="s">
        <v>215</v>
      </c>
    </row>
    <row r="63628" spans="129:129" x14ac:dyDescent="0.2">
      <c r="DY63628" s="185" t="s">
        <v>215</v>
      </c>
    </row>
    <row r="63629" spans="129:129" x14ac:dyDescent="0.2">
      <c r="DY63629" s="185" t="s">
        <v>215</v>
      </c>
    </row>
    <row r="63630" spans="129:129" x14ac:dyDescent="0.2">
      <c r="DY63630" s="185" t="s">
        <v>215</v>
      </c>
    </row>
    <row r="63631" spans="129:129" x14ac:dyDescent="0.2">
      <c r="DY63631" s="185" t="s">
        <v>215</v>
      </c>
    </row>
    <row r="63632" spans="129:129" x14ac:dyDescent="0.2">
      <c r="DY63632" s="185" t="s">
        <v>215</v>
      </c>
    </row>
    <row r="63633" spans="129:129" x14ac:dyDescent="0.2">
      <c r="DY63633" s="185" t="s">
        <v>215</v>
      </c>
    </row>
    <row r="63634" spans="129:129" x14ac:dyDescent="0.2">
      <c r="DY63634" s="185" t="s">
        <v>215</v>
      </c>
    </row>
    <row r="63635" spans="129:129" x14ac:dyDescent="0.2">
      <c r="DY63635" s="185" t="s">
        <v>215</v>
      </c>
    </row>
    <row r="63636" spans="129:129" x14ac:dyDescent="0.2">
      <c r="DY63636" s="185" t="s">
        <v>215</v>
      </c>
    </row>
    <row r="63637" spans="129:129" x14ac:dyDescent="0.2">
      <c r="DY63637" s="185" t="s">
        <v>215</v>
      </c>
    </row>
    <row r="63638" spans="129:129" x14ac:dyDescent="0.2">
      <c r="DY63638" s="185" t="s">
        <v>215</v>
      </c>
    </row>
    <row r="63639" spans="129:129" x14ac:dyDescent="0.2">
      <c r="DY63639" s="185" t="s">
        <v>215</v>
      </c>
    </row>
    <row r="63640" spans="129:129" x14ac:dyDescent="0.2">
      <c r="DY63640" s="185" t="s">
        <v>215</v>
      </c>
    </row>
    <row r="63641" spans="129:129" x14ac:dyDescent="0.2">
      <c r="DY63641" s="185" t="s">
        <v>215</v>
      </c>
    </row>
    <row r="63642" spans="129:129" x14ac:dyDescent="0.2">
      <c r="DY63642" s="185" t="s">
        <v>215</v>
      </c>
    </row>
    <row r="63643" spans="129:129" x14ac:dyDescent="0.2">
      <c r="DY63643" s="185" t="s">
        <v>215</v>
      </c>
    </row>
    <row r="63644" spans="129:129" x14ac:dyDescent="0.2">
      <c r="DY63644" s="185" t="s">
        <v>215</v>
      </c>
    </row>
    <row r="63645" spans="129:129" x14ac:dyDescent="0.2">
      <c r="DY63645" s="185" t="s">
        <v>215</v>
      </c>
    </row>
    <row r="63646" spans="129:129" x14ac:dyDescent="0.2">
      <c r="DY63646" s="185" t="s">
        <v>215</v>
      </c>
    </row>
    <row r="63647" spans="129:129" x14ac:dyDescent="0.2">
      <c r="DY63647" s="185" t="s">
        <v>215</v>
      </c>
    </row>
    <row r="63648" spans="129:129" x14ac:dyDescent="0.2">
      <c r="DY63648" s="185" t="s">
        <v>215</v>
      </c>
    </row>
    <row r="63649" spans="129:129" x14ac:dyDescent="0.2">
      <c r="DY63649" s="185" t="s">
        <v>215</v>
      </c>
    </row>
    <row r="63650" spans="129:129" x14ac:dyDescent="0.2">
      <c r="DY63650" s="185" t="s">
        <v>215</v>
      </c>
    </row>
    <row r="63651" spans="129:129" x14ac:dyDescent="0.2">
      <c r="DY63651" s="185" t="s">
        <v>215</v>
      </c>
    </row>
    <row r="63652" spans="129:129" x14ac:dyDescent="0.2">
      <c r="DY63652" s="185" t="s">
        <v>215</v>
      </c>
    </row>
    <row r="63653" spans="129:129" x14ac:dyDescent="0.2">
      <c r="DY63653" s="185" t="s">
        <v>215</v>
      </c>
    </row>
    <row r="63654" spans="129:129" x14ac:dyDescent="0.2">
      <c r="DY63654" s="185" t="s">
        <v>215</v>
      </c>
    </row>
    <row r="63655" spans="129:129" x14ac:dyDescent="0.2">
      <c r="DY63655" s="185" t="s">
        <v>215</v>
      </c>
    </row>
    <row r="63656" spans="129:129" x14ac:dyDescent="0.2">
      <c r="DY63656" s="185" t="s">
        <v>215</v>
      </c>
    </row>
    <row r="63657" spans="129:129" x14ac:dyDescent="0.2">
      <c r="DY63657" s="185" t="s">
        <v>215</v>
      </c>
    </row>
    <row r="63658" spans="129:129" x14ac:dyDescent="0.2">
      <c r="DY63658" s="185" t="s">
        <v>215</v>
      </c>
    </row>
    <row r="63659" spans="129:129" x14ac:dyDescent="0.2">
      <c r="DY63659" s="185" t="s">
        <v>215</v>
      </c>
    </row>
    <row r="63660" spans="129:129" x14ac:dyDescent="0.2">
      <c r="DY63660" s="185" t="s">
        <v>215</v>
      </c>
    </row>
    <row r="63661" spans="129:129" x14ac:dyDescent="0.2">
      <c r="DY63661" s="185" t="s">
        <v>215</v>
      </c>
    </row>
    <row r="63662" spans="129:129" x14ac:dyDescent="0.2">
      <c r="DY63662" s="185" t="s">
        <v>215</v>
      </c>
    </row>
    <row r="63663" spans="129:129" x14ac:dyDescent="0.2">
      <c r="DY63663" s="185" t="s">
        <v>215</v>
      </c>
    </row>
    <row r="63664" spans="129:129" x14ac:dyDescent="0.2">
      <c r="DY63664" s="185" t="s">
        <v>215</v>
      </c>
    </row>
    <row r="63665" spans="129:129" x14ac:dyDescent="0.2">
      <c r="DY63665" s="185" t="s">
        <v>215</v>
      </c>
    </row>
    <row r="63666" spans="129:129" x14ac:dyDescent="0.2">
      <c r="DY63666" s="185" t="s">
        <v>215</v>
      </c>
    </row>
    <row r="63667" spans="129:129" x14ac:dyDescent="0.2">
      <c r="DY63667" s="185" t="s">
        <v>215</v>
      </c>
    </row>
    <row r="63668" spans="129:129" x14ac:dyDescent="0.2">
      <c r="DY63668" s="185" t="s">
        <v>215</v>
      </c>
    </row>
    <row r="63669" spans="129:129" x14ac:dyDescent="0.2">
      <c r="DY63669" s="185" t="s">
        <v>215</v>
      </c>
    </row>
    <row r="63670" spans="129:129" x14ac:dyDescent="0.2">
      <c r="DY63670" s="185" t="s">
        <v>215</v>
      </c>
    </row>
    <row r="63671" spans="129:129" x14ac:dyDescent="0.2">
      <c r="DY63671" s="185" t="s">
        <v>215</v>
      </c>
    </row>
    <row r="63672" spans="129:129" x14ac:dyDescent="0.2">
      <c r="DY63672" s="185" t="s">
        <v>215</v>
      </c>
    </row>
    <row r="63673" spans="129:129" x14ac:dyDescent="0.2">
      <c r="DY63673" s="185" t="s">
        <v>215</v>
      </c>
    </row>
    <row r="63674" spans="129:129" x14ac:dyDescent="0.2">
      <c r="DY63674" s="185" t="s">
        <v>215</v>
      </c>
    </row>
    <row r="63675" spans="129:129" x14ac:dyDescent="0.2">
      <c r="DY63675" s="185" t="s">
        <v>215</v>
      </c>
    </row>
    <row r="63676" spans="129:129" x14ac:dyDescent="0.2">
      <c r="DY63676" s="185" t="s">
        <v>215</v>
      </c>
    </row>
    <row r="63677" spans="129:129" x14ac:dyDescent="0.2">
      <c r="DY63677" s="185" t="s">
        <v>215</v>
      </c>
    </row>
    <row r="63678" spans="129:129" x14ac:dyDescent="0.2">
      <c r="DY63678" s="185" t="s">
        <v>215</v>
      </c>
    </row>
    <row r="63679" spans="129:129" x14ac:dyDescent="0.2">
      <c r="DY63679" s="185" t="s">
        <v>215</v>
      </c>
    </row>
    <row r="63680" spans="129:129" x14ac:dyDescent="0.2">
      <c r="DY63680" s="185" t="s">
        <v>215</v>
      </c>
    </row>
    <row r="63681" spans="129:129" x14ac:dyDescent="0.2">
      <c r="DY63681" s="185" t="s">
        <v>215</v>
      </c>
    </row>
    <row r="63682" spans="129:129" x14ac:dyDescent="0.2">
      <c r="DY63682" s="185" t="s">
        <v>215</v>
      </c>
    </row>
    <row r="63683" spans="129:129" x14ac:dyDescent="0.2">
      <c r="DY63683" s="185" t="s">
        <v>215</v>
      </c>
    </row>
    <row r="63684" spans="129:129" x14ac:dyDescent="0.2">
      <c r="DY63684" s="185" t="s">
        <v>215</v>
      </c>
    </row>
    <row r="63685" spans="129:129" x14ac:dyDescent="0.2">
      <c r="DY63685" s="185" t="s">
        <v>215</v>
      </c>
    </row>
    <row r="63686" spans="129:129" x14ac:dyDescent="0.2">
      <c r="DY63686" s="185" t="s">
        <v>215</v>
      </c>
    </row>
    <row r="63687" spans="129:129" x14ac:dyDescent="0.2">
      <c r="DY63687" s="185" t="s">
        <v>215</v>
      </c>
    </row>
    <row r="63688" spans="129:129" x14ac:dyDescent="0.2">
      <c r="DY63688" s="185" t="s">
        <v>215</v>
      </c>
    </row>
    <row r="63689" spans="129:129" x14ac:dyDescent="0.2">
      <c r="DY63689" s="185" t="s">
        <v>215</v>
      </c>
    </row>
    <row r="63690" spans="129:129" x14ac:dyDescent="0.2">
      <c r="DY63690" s="185" t="s">
        <v>215</v>
      </c>
    </row>
    <row r="63691" spans="129:129" x14ac:dyDescent="0.2">
      <c r="DY63691" s="185" t="s">
        <v>215</v>
      </c>
    </row>
    <row r="63692" spans="129:129" x14ac:dyDescent="0.2">
      <c r="DY63692" s="185" t="s">
        <v>215</v>
      </c>
    </row>
    <row r="63693" spans="129:129" x14ac:dyDescent="0.2">
      <c r="DY63693" s="185" t="s">
        <v>215</v>
      </c>
    </row>
    <row r="63694" spans="129:129" x14ac:dyDescent="0.2">
      <c r="DY63694" s="185" t="s">
        <v>215</v>
      </c>
    </row>
    <row r="63695" spans="129:129" x14ac:dyDescent="0.2">
      <c r="DY63695" s="185" t="s">
        <v>215</v>
      </c>
    </row>
    <row r="63696" spans="129:129" x14ac:dyDescent="0.2">
      <c r="DY63696" s="185" t="s">
        <v>215</v>
      </c>
    </row>
    <row r="63697" spans="129:129" x14ac:dyDescent="0.2">
      <c r="DY63697" s="185" t="s">
        <v>215</v>
      </c>
    </row>
    <row r="63698" spans="129:129" x14ac:dyDescent="0.2">
      <c r="DY63698" s="185" t="s">
        <v>215</v>
      </c>
    </row>
    <row r="63699" spans="129:129" x14ac:dyDescent="0.2">
      <c r="DY63699" s="185" t="s">
        <v>215</v>
      </c>
    </row>
    <row r="63700" spans="129:129" x14ac:dyDescent="0.2">
      <c r="DY63700" s="185" t="s">
        <v>215</v>
      </c>
    </row>
    <row r="63701" spans="129:129" x14ac:dyDescent="0.2">
      <c r="DY63701" s="185" t="s">
        <v>215</v>
      </c>
    </row>
    <row r="63702" spans="129:129" x14ac:dyDescent="0.2">
      <c r="DY63702" s="185" t="s">
        <v>215</v>
      </c>
    </row>
    <row r="63703" spans="129:129" x14ac:dyDescent="0.2">
      <c r="DY63703" s="185" t="s">
        <v>215</v>
      </c>
    </row>
    <row r="63704" spans="129:129" x14ac:dyDescent="0.2">
      <c r="DY63704" s="185" t="s">
        <v>215</v>
      </c>
    </row>
    <row r="63705" spans="129:129" x14ac:dyDescent="0.2">
      <c r="DY63705" s="185" t="s">
        <v>215</v>
      </c>
    </row>
    <row r="63706" spans="129:129" x14ac:dyDescent="0.2">
      <c r="DY63706" s="185" t="s">
        <v>215</v>
      </c>
    </row>
    <row r="63707" spans="129:129" x14ac:dyDescent="0.2">
      <c r="DY63707" s="185" t="s">
        <v>215</v>
      </c>
    </row>
    <row r="63708" spans="129:129" x14ac:dyDescent="0.2">
      <c r="DY63708" s="185" t="s">
        <v>215</v>
      </c>
    </row>
    <row r="63709" spans="129:129" x14ac:dyDescent="0.2">
      <c r="DY63709" s="185" t="s">
        <v>215</v>
      </c>
    </row>
    <row r="63710" spans="129:129" x14ac:dyDescent="0.2">
      <c r="DY63710" s="185" t="s">
        <v>215</v>
      </c>
    </row>
    <row r="63711" spans="129:129" x14ac:dyDescent="0.2">
      <c r="DY63711" s="185" t="s">
        <v>215</v>
      </c>
    </row>
    <row r="63712" spans="129:129" x14ac:dyDescent="0.2">
      <c r="DY63712" s="185" t="s">
        <v>215</v>
      </c>
    </row>
    <row r="63713" spans="129:129" x14ac:dyDescent="0.2">
      <c r="DY63713" s="185" t="s">
        <v>215</v>
      </c>
    </row>
    <row r="63714" spans="129:129" x14ac:dyDescent="0.2">
      <c r="DY63714" s="185" t="s">
        <v>215</v>
      </c>
    </row>
    <row r="63715" spans="129:129" x14ac:dyDescent="0.2">
      <c r="DY63715" s="185" t="s">
        <v>215</v>
      </c>
    </row>
    <row r="63716" spans="129:129" x14ac:dyDescent="0.2">
      <c r="DY63716" s="185" t="s">
        <v>215</v>
      </c>
    </row>
    <row r="63717" spans="129:129" x14ac:dyDescent="0.2">
      <c r="DY63717" s="185" t="s">
        <v>215</v>
      </c>
    </row>
    <row r="63718" spans="129:129" x14ac:dyDescent="0.2">
      <c r="DY63718" s="185" t="s">
        <v>215</v>
      </c>
    </row>
    <row r="63719" spans="129:129" x14ac:dyDescent="0.2">
      <c r="DY63719" s="185" t="s">
        <v>215</v>
      </c>
    </row>
    <row r="63720" spans="129:129" x14ac:dyDescent="0.2">
      <c r="DY63720" s="185" t="s">
        <v>215</v>
      </c>
    </row>
    <row r="63721" spans="129:129" x14ac:dyDescent="0.2">
      <c r="DY63721" s="185" t="s">
        <v>215</v>
      </c>
    </row>
    <row r="63722" spans="129:129" x14ac:dyDescent="0.2">
      <c r="DY63722" s="185" t="s">
        <v>215</v>
      </c>
    </row>
    <row r="63723" spans="129:129" x14ac:dyDescent="0.2">
      <c r="DY63723" s="185" t="s">
        <v>215</v>
      </c>
    </row>
    <row r="63724" spans="129:129" x14ac:dyDescent="0.2">
      <c r="DY63724" s="185" t="s">
        <v>215</v>
      </c>
    </row>
    <row r="63725" spans="129:129" x14ac:dyDescent="0.2">
      <c r="DY63725" s="185" t="s">
        <v>215</v>
      </c>
    </row>
    <row r="63726" spans="129:129" x14ac:dyDescent="0.2">
      <c r="DY63726" s="185" t="s">
        <v>215</v>
      </c>
    </row>
    <row r="63727" spans="129:129" x14ac:dyDescent="0.2">
      <c r="DY63727" s="185" t="s">
        <v>215</v>
      </c>
    </row>
    <row r="63728" spans="129:129" x14ac:dyDescent="0.2">
      <c r="DY63728" s="185" t="s">
        <v>215</v>
      </c>
    </row>
    <row r="63729" spans="129:129" x14ac:dyDescent="0.2">
      <c r="DY63729" s="185" t="s">
        <v>215</v>
      </c>
    </row>
    <row r="63730" spans="129:129" x14ac:dyDescent="0.2">
      <c r="DY63730" s="185" t="s">
        <v>215</v>
      </c>
    </row>
    <row r="63731" spans="129:129" x14ac:dyDescent="0.2">
      <c r="DY63731" s="185" t="s">
        <v>215</v>
      </c>
    </row>
    <row r="63732" spans="129:129" x14ac:dyDescent="0.2">
      <c r="DY63732" s="185" t="s">
        <v>215</v>
      </c>
    </row>
    <row r="63733" spans="129:129" x14ac:dyDescent="0.2">
      <c r="DY63733" s="185" t="s">
        <v>215</v>
      </c>
    </row>
    <row r="63734" spans="129:129" x14ac:dyDescent="0.2">
      <c r="DY63734" s="185" t="s">
        <v>215</v>
      </c>
    </row>
    <row r="63735" spans="129:129" x14ac:dyDescent="0.2">
      <c r="DY63735" s="185" t="s">
        <v>215</v>
      </c>
    </row>
    <row r="63736" spans="129:129" x14ac:dyDescent="0.2">
      <c r="DY63736" s="185" t="s">
        <v>215</v>
      </c>
    </row>
    <row r="63737" spans="129:129" x14ac:dyDescent="0.2">
      <c r="DY63737" s="185" t="s">
        <v>215</v>
      </c>
    </row>
    <row r="63738" spans="129:129" x14ac:dyDescent="0.2">
      <c r="DY63738" s="185" t="s">
        <v>215</v>
      </c>
    </row>
    <row r="63739" spans="129:129" x14ac:dyDescent="0.2">
      <c r="DY63739" s="185" t="s">
        <v>215</v>
      </c>
    </row>
    <row r="63740" spans="129:129" x14ac:dyDescent="0.2">
      <c r="DY63740" s="185" t="s">
        <v>215</v>
      </c>
    </row>
    <row r="63741" spans="129:129" x14ac:dyDescent="0.2">
      <c r="DY63741" s="185" t="s">
        <v>215</v>
      </c>
    </row>
    <row r="63742" spans="129:129" x14ac:dyDescent="0.2">
      <c r="DY63742" s="185" t="s">
        <v>215</v>
      </c>
    </row>
    <row r="63743" spans="129:129" x14ac:dyDescent="0.2">
      <c r="DY63743" s="185" t="s">
        <v>215</v>
      </c>
    </row>
    <row r="63744" spans="129:129" x14ac:dyDescent="0.2">
      <c r="DY63744" s="185" t="s">
        <v>215</v>
      </c>
    </row>
    <row r="63745" spans="129:129" x14ac:dyDescent="0.2">
      <c r="DY63745" s="185" t="s">
        <v>215</v>
      </c>
    </row>
    <row r="63746" spans="129:129" x14ac:dyDescent="0.2">
      <c r="DY63746" s="185" t="s">
        <v>215</v>
      </c>
    </row>
    <row r="63747" spans="129:129" x14ac:dyDescent="0.2">
      <c r="DY63747" s="185" t="s">
        <v>215</v>
      </c>
    </row>
    <row r="63748" spans="129:129" x14ac:dyDescent="0.2">
      <c r="DY63748" s="185" t="s">
        <v>215</v>
      </c>
    </row>
    <row r="63749" spans="129:129" x14ac:dyDescent="0.2">
      <c r="DY63749" s="185" t="s">
        <v>215</v>
      </c>
    </row>
    <row r="63750" spans="129:129" x14ac:dyDescent="0.2">
      <c r="DY63750" s="185" t="s">
        <v>215</v>
      </c>
    </row>
    <row r="63751" spans="129:129" x14ac:dyDescent="0.2">
      <c r="DY63751" s="185" t="s">
        <v>215</v>
      </c>
    </row>
    <row r="63752" spans="129:129" x14ac:dyDescent="0.2">
      <c r="DY63752" s="185" t="s">
        <v>215</v>
      </c>
    </row>
    <row r="63753" spans="129:129" x14ac:dyDescent="0.2">
      <c r="DY63753" s="185" t="s">
        <v>215</v>
      </c>
    </row>
    <row r="63754" spans="129:129" x14ac:dyDescent="0.2">
      <c r="DY63754" s="185" t="s">
        <v>215</v>
      </c>
    </row>
    <row r="63755" spans="129:129" x14ac:dyDescent="0.2">
      <c r="DY63755" s="185" t="s">
        <v>215</v>
      </c>
    </row>
    <row r="63756" spans="129:129" x14ac:dyDescent="0.2">
      <c r="DY63756" s="185" t="s">
        <v>215</v>
      </c>
    </row>
    <row r="63757" spans="129:129" x14ac:dyDescent="0.2">
      <c r="DY63757" s="185" t="s">
        <v>215</v>
      </c>
    </row>
    <row r="63758" spans="129:129" x14ac:dyDescent="0.2">
      <c r="DY63758" s="185" t="s">
        <v>215</v>
      </c>
    </row>
    <row r="63759" spans="129:129" x14ac:dyDescent="0.2">
      <c r="DY63759" s="185" t="s">
        <v>215</v>
      </c>
    </row>
    <row r="63760" spans="129:129" x14ac:dyDescent="0.2">
      <c r="DY63760" s="185" t="s">
        <v>215</v>
      </c>
    </row>
    <row r="63761" spans="129:129" x14ac:dyDescent="0.2">
      <c r="DY63761" s="185" t="s">
        <v>215</v>
      </c>
    </row>
    <row r="63762" spans="129:129" x14ac:dyDescent="0.2">
      <c r="DY63762" s="185" t="s">
        <v>215</v>
      </c>
    </row>
    <row r="63763" spans="129:129" x14ac:dyDescent="0.2">
      <c r="DY63763" s="185" t="s">
        <v>215</v>
      </c>
    </row>
    <row r="63764" spans="129:129" x14ac:dyDescent="0.2">
      <c r="DY63764" s="185" t="s">
        <v>215</v>
      </c>
    </row>
    <row r="63765" spans="129:129" x14ac:dyDescent="0.2">
      <c r="DY63765" s="185" t="s">
        <v>215</v>
      </c>
    </row>
    <row r="63766" spans="129:129" x14ac:dyDescent="0.2">
      <c r="DY63766" s="185" t="s">
        <v>215</v>
      </c>
    </row>
    <row r="63767" spans="129:129" x14ac:dyDescent="0.2">
      <c r="DY63767" s="185" t="s">
        <v>215</v>
      </c>
    </row>
    <row r="63768" spans="129:129" x14ac:dyDescent="0.2">
      <c r="DY63768" s="185" t="s">
        <v>215</v>
      </c>
    </row>
    <row r="63769" spans="129:129" x14ac:dyDescent="0.2">
      <c r="DY63769" s="185" t="s">
        <v>215</v>
      </c>
    </row>
    <row r="63770" spans="129:129" x14ac:dyDescent="0.2">
      <c r="DY63770" s="185" t="s">
        <v>215</v>
      </c>
    </row>
    <row r="63771" spans="129:129" x14ac:dyDescent="0.2">
      <c r="DY63771" s="185" t="s">
        <v>215</v>
      </c>
    </row>
    <row r="63772" spans="129:129" x14ac:dyDescent="0.2">
      <c r="DY63772" s="185" t="s">
        <v>215</v>
      </c>
    </row>
    <row r="63773" spans="129:129" x14ac:dyDescent="0.2">
      <c r="DY63773" s="185" t="s">
        <v>215</v>
      </c>
    </row>
    <row r="63774" spans="129:129" x14ac:dyDescent="0.2">
      <c r="DY63774" s="185" t="s">
        <v>215</v>
      </c>
    </row>
    <row r="63775" spans="129:129" x14ac:dyDescent="0.2">
      <c r="DY63775" s="185" t="s">
        <v>215</v>
      </c>
    </row>
    <row r="63776" spans="129:129" x14ac:dyDescent="0.2">
      <c r="DY63776" s="185" t="s">
        <v>215</v>
      </c>
    </row>
    <row r="63777" spans="129:129" x14ac:dyDescent="0.2">
      <c r="DY63777" s="185" t="s">
        <v>215</v>
      </c>
    </row>
    <row r="63778" spans="129:129" x14ac:dyDescent="0.2">
      <c r="DY63778" s="185" t="s">
        <v>215</v>
      </c>
    </row>
    <row r="63779" spans="129:129" x14ac:dyDescent="0.2">
      <c r="DY63779" s="185" t="s">
        <v>215</v>
      </c>
    </row>
    <row r="63780" spans="129:129" x14ac:dyDescent="0.2">
      <c r="DY63780" s="185" t="s">
        <v>215</v>
      </c>
    </row>
    <row r="63781" spans="129:129" x14ac:dyDescent="0.2">
      <c r="DY63781" s="185" t="s">
        <v>215</v>
      </c>
    </row>
    <row r="63782" spans="129:129" x14ac:dyDescent="0.2">
      <c r="DY63782" s="185" t="s">
        <v>215</v>
      </c>
    </row>
    <row r="63783" spans="129:129" x14ac:dyDescent="0.2">
      <c r="DY63783" s="185" t="s">
        <v>215</v>
      </c>
    </row>
    <row r="63784" spans="129:129" x14ac:dyDescent="0.2">
      <c r="DY63784" s="185" t="s">
        <v>215</v>
      </c>
    </row>
    <row r="63785" spans="129:129" x14ac:dyDescent="0.2">
      <c r="DY63785" s="185" t="s">
        <v>215</v>
      </c>
    </row>
    <row r="63786" spans="129:129" x14ac:dyDescent="0.2">
      <c r="DY63786" s="185" t="s">
        <v>215</v>
      </c>
    </row>
    <row r="63787" spans="129:129" x14ac:dyDescent="0.2">
      <c r="DY63787" s="185" t="s">
        <v>215</v>
      </c>
    </row>
    <row r="63788" spans="129:129" x14ac:dyDescent="0.2">
      <c r="DY63788" s="185" t="s">
        <v>215</v>
      </c>
    </row>
    <row r="63789" spans="129:129" x14ac:dyDescent="0.2">
      <c r="DY63789" s="185" t="s">
        <v>215</v>
      </c>
    </row>
    <row r="63790" spans="129:129" x14ac:dyDescent="0.2">
      <c r="DY63790" s="185" t="s">
        <v>215</v>
      </c>
    </row>
    <row r="63791" spans="129:129" x14ac:dyDescent="0.2">
      <c r="DY63791" s="185" t="s">
        <v>215</v>
      </c>
    </row>
    <row r="63792" spans="129:129" x14ac:dyDescent="0.2">
      <c r="DY63792" s="185" t="s">
        <v>215</v>
      </c>
    </row>
    <row r="63793" spans="129:129" x14ac:dyDescent="0.2">
      <c r="DY63793" s="185" t="s">
        <v>215</v>
      </c>
    </row>
    <row r="63794" spans="129:129" x14ac:dyDescent="0.2">
      <c r="DY63794" s="185" t="s">
        <v>215</v>
      </c>
    </row>
    <row r="63795" spans="129:129" x14ac:dyDescent="0.2">
      <c r="DY63795" s="185" t="s">
        <v>215</v>
      </c>
    </row>
    <row r="63796" spans="129:129" x14ac:dyDescent="0.2">
      <c r="DY63796" s="185" t="s">
        <v>215</v>
      </c>
    </row>
    <row r="63797" spans="129:129" x14ac:dyDescent="0.2">
      <c r="DY63797" s="185" t="s">
        <v>215</v>
      </c>
    </row>
    <row r="63798" spans="129:129" x14ac:dyDescent="0.2">
      <c r="DY63798" s="185" t="s">
        <v>215</v>
      </c>
    </row>
    <row r="63799" spans="129:129" x14ac:dyDescent="0.2">
      <c r="DY63799" s="185" t="s">
        <v>215</v>
      </c>
    </row>
    <row r="63800" spans="129:129" x14ac:dyDescent="0.2">
      <c r="DY63800" s="185" t="s">
        <v>215</v>
      </c>
    </row>
    <row r="63801" spans="129:129" x14ac:dyDescent="0.2">
      <c r="DY63801" s="185" t="s">
        <v>215</v>
      </c>
    </row>
    <row r="63802" spans="129:129" x14ac:dyDescent="0.2">
      <c r="DY63802" s="185" t="s">
        <v>215</v>
      </c>
    </row>
    <row r="63803" spans="129:129" x14ac:dyDescent="0.2">
      <c r="DY63803" s="185" t="s">
        <v>215</v>
      </c>
    </row>
    <row r="63804" spans="129:129" x14ac:dyDescent="0.2">
      <c r="DY63804" s="185" t="s">
        <v>215</v>
      </c>
    </row>
    <row r="63805" spans="129:129" x14ac:dyDescent="0.2">
      <c r="DY63805" s="185" t="s">
        <v>215</v>
      </c>
    </row>
    <row r="63806" spans="129:129" x14ac:dyDescent="0.2">
      <c r="DY63806" s="185" t="s">
        <v>215</v>
      </c>
    </row>
    <row r="63807" spans="129:129" x14ac:dyDescent="0.2">
      <c r="DY63807" s="185" t="s">
        <v>215</v>
      </c>
    </row>
    <row r="63808" spans="129:129" x14ac:dyDescent="0.2">
      <c r="DY63808" s="185" t="s">
        <v>215</v>
      </c>
    </row>
    <row r="63809" spans="129:129" x14ac:dyDescent="0.2">
      <c r="DY63809" s="185" t="s">
        <v>215</v>
      </c>
    </row>
    <row r="63810" spans="129:129" x14ac:dyDescent="0.2">
      <c r="DY63810" s="185" t="s">
        <v>215</v>
      </c>
    </row>
    <row r="63811" spans="129:129" x14ac:dyDescent="0.2">
      <c r="DY63811" s="185" t="s">
        <v>215</v>
      </c>
    </row>
    <row r="63812" spans="129:129" x14ac:dyDescent="0.2">
      <c r="DY63812" s="185" t="s">
        <v>215</v>
      </c>
    </row>
    <row r="63813" spans="129:129" x14ac:dyDescent="0.2">
      <c r="DY63813" s="185" t="s">
        <v>215</v>
      </c>
    </row>
    <row r="63814" spans="129:129" x14ac:dyDescent="0.2">
      <c r="DY63814" s="185" t="s">
        <v>215</v>
      </c>
    </row>
    <row r="63815" spans="129:129" x14ac:dyDescent="0.2">
      <c r="DY63815" s="185" t="s">
        <v>215</v>
      </c>
    </row>
    <row r="63816" spans="129:129" x14ac:dyDescent="0.2">
      <c r="DY63816" s="185" t="s">
        <v>215</v>
      </c>
    </row>
    <row r="63817" spans="129:129" x14ac:dyDescent="0.2">
      <c r="DY63817" s="185" t="s">
        <v>215</v>
      </c>
    </row>
    <row r="63818" spans="129:129" x14ac:dyDescent="0.2">
      <c r="DY63818" s="185" t="s">
        <v>215</v>
      </c>
    </row>
    <row r="63819" spans="129:129" x14ac:dyDescent="0.2">
      <c r="DY63819" s="185" t="s">
        <v>215</v>
      </c>
    </row>
    <row r="63820" spans="129:129" x14ac:dyDescent="0.2">
      <c r="DY63820" s="185" t="s">
        <v>215</v>
      </c>
    </row>
    <row r="63821" spans="129:129" x14ac:dyDescent="0.2">
      <c r="DY63821" s="185" t="s">
        <v>215</v>
      </c>
    </row>
    <row r="63822" spans="129:129" x14ac:dyDescent="0.2">
      <c r="DY63822" s="185" t="s">
        <v>215</v>
      </c>
    </row>
    <row r="63823" spans="129:129" x14ac:dyDescent="0.2">
      <c r="DY63823" s="185" t="s">
        <v>215</v>
      </c>
    </row>
    <row r="63824" spans="129:129" x14ac:dyDescent="0.2">
      <c r="DY63824" s="185" t="s">
        <v>215</v>
      </c>
    </row>
    <row r="63825" spans="129:129" x14ac:dyDescent="0.2">
      <c r="DY63825" s="185" t="s">
        <v>215</v>
      </c>
    </row>
    <row r="63826" spans="129:129" x14ac:dyDescent="0.2">
      <c r="DY63826" s="185" t="s">
        <v>215</v>
      </c>
    </row>
    <row r="63827" spans="129:129" x14ac:dyDescent="0.2">
      <c r="DY63827" s="185" t="s">
        <v>215</v>
      </c>
    </row>
    <row r="63828" spans="129:129" x14ac:dyDescent="0.2">
      <c r="DY63828" s="185" t="s">
        <v>215</v>
      </c>
    </row>
    <row r="63829" spans="129:129" x14ac:dyDescent="0.2">
      <c r="DY63829" s="185" t="s">
        <v>215</v>
      </c>
    </row>
    <row r="63830" spans="129:129" x14ac:dyDescent="0.2">
      <c r="DY63830" s="185" t="s">
        <v>215</v>
      </c>
    </row>
    <row r="63831" spans="129:129" x14ac:dyDescent="0.2">
      <c r="DY63831" s="185" t="s">
        <v>215</v>
      </c>
    </row>
    <row r="63832" spans="129:129" x14ac:dyDescent="0.2">
      <c r="DY63832" s="185" t="s">
        <v>215</v>
      </c>
    </row>
    <row r="63833" spans="129:129" x14ac:dyDescent="0.2">
      <c r="DY63833" s="185" t="s">
        <v>215</v>
      </c>
    </row>
    <row r="63834" spans="129:129" x14ac:dyDescent="0.2">
      <c r="DY63834" s="185" t="s">
        <v>215</v>
      </c>
    </row>
    <row r="63835" spans="129:129" x14ac:dyDescent="0.2">
      <c r="DY63835" s="185" t="s">
        <v>215</v>
      </c>
    </row>
    <row r="63836" spans="129:129" x14ac:dyDescent="0.2">
      <c r="DY63836" s="185" t="s">
        <v>215</v>
      </c>
    </row>
    <row r="63837" spans="129:129" x14ac:dyDescent="0.2">
      <c r="DY63837" s="185" t="s">
        <v>215</v>
      </c>
    </row>
    <row r="63838" spans="129:129" x14ac:dyDescent="0.2">
      <c r="DY63838" s="185" t="s">
        <v>215</v>
      </c>
    </row>
    <row r="63839" spans="129:129" x14ac:dyDescent="0.2">
      <c r="DY63839" s="185" t="s">
        <v>215</v>
      </c>
    </row>
    <row r="63840" spans="129:129" x14ac:dyDescent="0.2">
      <c r="DY63840" s="185" t="s">
        <v>215</v>
      </c>
    </row>
    <row r="63841" spans="129:129" x14ac:dyDescent="0.2">
      <c r="DY63841" s="185" t="s">
        <v>215</v>
      </c>
    </row>
    <row r="63842" spans="129:129" x14ac:dyDescent="0.2">
      <c r="DY63842" s="185" t="s">
        <v>215</v>
      </c>
    </row>
    <row r="63843" spans="129:129" x14ac:dyDescent="0.2">
      <c r="DY63843" s="185" t="s">
        <v>215</v>
      </c>
    </row>
    <row r="63844" spans="129:129" x14ac:dyDescent="0.2">
      <c r="DY63844" s="185" t="s">
        <v>215</v>
      </c>
    </row>
    <row r="63845" spans="129:129" x14ac:dyDescent="0.2">
      <c r="DY63845" s="185" t="s">
        <v>215</v>
      </c>
    </row>
    <row r="63846" spans="129:129" x14ac:dyDescent="0.2">
      <c r="DY63846" s="185" t="s">
        <v>215</v>
      </c>
    </row>
    <row r="63847" spans="129:129" x14ac:dyDescent="0.2">
      <c r="DY63847" s="185" t="s">
        <v>215</v>
      </c>
    </row>
    <row r="63848" spans="129:129" x14ac:dyDescent="0.2">
      <c r="DY63848" s="185" t="s">
        <v>215</v>
      </c>
    </row>
    <row r="63849" spans="129:129" x14ac:dyDescent="0.2">
      <c r="DY63849" s="185" t="s">
        <v>215</v>
      </c>
    </row>
    <row r="63850" spans="129:129" x14ac:dyDescent="0.2">
      <c r="DY63850" s="185" t="s">
        <v>215</v>
      </c>
    </row>
    <row r="63851" spans="129:129" x14ac:dyDescent="0.2">
      <c r="DY63851" s="185" t="s">
        <v>215</v>
      </c>
    </row>
    <row r="63852" spans="129:129" x14ac:dyDescent="0.2">
      <c r="DY63852" s="185" t="s">
        <v>215</v>
      </c>
    </row>
    <row r="63853" spans="129:129" x14ac:dyDescent="0.2">
      <c r="DY63853" s="185" t="s">
        <v>215</v>
      </c>
    </row>
    <row r="63854" spans="129:129" x14ac:dyDescent="0.2">
      <c r="DY63854" s="185" t="s">
        <v>215</v>
      </c>
    </row>
    <row r="63855" spans="129:129" x14ac:dyDescent="0.2">
      <c r="DY63855" s="185" t="s">
        <v>215</v>
      </c>
    </row>
    <row r="63856" spans="129:129" x14ac:dyDescent="0.2">
      <c r="DY63856" s="185" t="s">
        <v>215</v>
      </c>
    </row>
    <row r="63857" spans="129:129" x14ac:dyDescent="0.2">
      <c r="DY63857" s="185" t="s">
        <v>215</v>
      </c>
    </row>
    <row r="63858" spans="129:129" x14ac:dyDescent="0.2">
      <c r="DY63858" s="185" t="s">
        <v>215</v>
      </c>
    </row>
    <row r="63859" spans="129:129" x14ac:dyDescent="0.2">
      <c r="DY63859" s="185" t="s">
        <v>215</v>
      </c>
    </row>
    <row r="63860" spans="129:129" x14ac:dyDescent="0.2">
      <c r="DY63860" s="185" t="s">
        <v>215</v>
      </c>
    </row>
    <row r="63861" spans="129:129" x14ac:dyDescent="0.2">
      <c r="DY63861" s="185" t="s">
        <v>215</v>
      </c>
    </row>
    <row r="63862" spans="129:129" x14ac:dyDescent="0.2">
      <c r="DY63862" s="185" t="s">
        <v>215</v>
      </c>
    </row>
    <row r="63863" spans="129:129" x14ac:dyDescent="0.2">
      <c r="DY63863" s="185" t="s">
        <v>215</v>
      </c>
    </row>
    <row r="63864" spans="129:129" x14ac:dyDescent="0.2">
      <c r="DY63864" s="185" t="s">
        <v>215</v>
      </c>
    </row>
    <row r="63865" spans="129:129" x14ac:dyDescent="0.2">
      <c r="DY63865" s="185" t="s">
        <v>215</v>
      </c>
    </row>
    <row r="63866" spans="129:129" x14ac:dyDescent="0.2">
      <c r="DY63866" s="185" t="s">
        <v>215</v>
      </c>
    </row>
    <row r="63867" spans="129:129" x14ac:dyDescent="0.2">
      <c r="DY63867" s="185" t="s">
        <v>215</v>
      </c>
    </row>
    <row r="63868" spans="129:129" x14ac:dyDescent="0.2">
      <c r="DY63868" s="185" t="s">
        <v>215</v>
      </c>
    </row>
    <row r="63869" spans="129:129" x14ac:dyDescent="0.2">
      <c r="DY63869" s="185" t="s">
        <v>215</v>
      </c>
    </row>
    <row r="63870" spans="129:129" x14ac:dyDescent="0.2">
      <c r="DY63870" s="185" t="s">
        <v>215</v>
      </c>
    </row>
    <row r="63871" spans="129:129" x14ac:dyDescent="0.2">
      <c r="DY63871" s="185" t="s">
        <v>215</v>
      </c>
    </row>
    <row r="63872" spans="129:129" x14ac:dyDescent="0.2">
      <c r="DY63872" s="185" t="s">
        <v>215</v>
      </c>
    </row>
    <row r="63873" spans="129:129" x14ac:dyDescent="0.2">
      <c r="DY63873" s="185" t="s">
        <v>215</v>
      </c>
    </row>
    <row r="63874" spans="129:129" x14ac:dyDescent="0.2">
      <c r="DY63874" s="185" t="s">
        <v>215</v>
      </c>
    </row>
    <row r="63875" spans="129:129" x14ac:dyDescent="0.2">
      <c r="DY63875" s="185" t="s">
        <v>215</v>
      </c>
    </row>
    <row r="63876" spans="129:129" x14ac:dyDescent="0.2">
      <c r="DY63876" s="185" t="s">
        <v>215</v>
      </c>
    </row>
    <row r="63877" spans="129:129" x14ac:dyDescent="0.2">
      <c r="DY63877" s="185" t="s">
        <v>215</v>
      </c>
    </row>
    <row r="63878" spans="129:129" x14ac:dyDescent="0.2">
      <c r="DY63878" s="185" t="s">
        <v>215</v>
      </c>
    </row>
    <row r="63879" spans="129:129" x14ac:dyDescent="0.2">
      <c r="DY63879" s="185" t="s">
        <v>215</v>
      </c>
    </row>
    <row r="63880" spans="129:129" x14ac:dyDescent="0.2">
      <c r="DY63880" s="185" t="s">
        <v>215</v>
      </c>
    </row>
    <row r="63881" spans="129:129" x14ac:dyDescent="0.2">
      <c r="DY63881" s="185" t="s">
        <v>215</v>
      </c>
    </row>
    <row r="63882" spans="129:129" x14ac:dyDescent="0.2">
      <c r="DY63882" s="185" t="s">
        <v>215</v>
      </c>
    </row>
    <row r="63883" spans="129:129" x14ac:dyDescent="0.2">
      <c r="DY63883" s="185" t="s">
        <v>215</v>
      </c>
    </row>
    <row r="63884" spans="129:129" x14ac:dyDescent="0.2">
      <c r="DY63884" s="185" t="s">
        <v>215</v>
      </c>
    </row>
    <row r="63885" spans="129:129" x14ac:dyDescent="0.2">
      <c r="DY63885" s="185" t="s">
        <v>215</v>
      </c>
    </row>
    <row r="63886" spans="129:129" x14ac:dyDescent="0.2">
      <c r="DY63886" s="185" t="s">
        <v>215</v>
      </c>
    </row>
    <row r="63887" spans="129:129" x14ac:dyDescent="0.2">
      <c r="DY63887" s="185" t="s">
        <v>215</v>
      </c>
    </row>
    <row r="63888" spans="129:129" x14ac:dyDescent="0.2">
      <c r="DY63888" s="185" t="s">
        <v>215</v>
      </c>
    </row>
    <row r="63889" spans="129:129" x14ac:dyDescent="0.2">
      <c r="DY63889" s="185" t="s">
        <v>215</v>
      </c>
    </row>
    <row r="63890" spans="129:129" x14ac:dyDescent="0.2">
      <c r="DY63890" s="185" t="s">
        <v>215</v>
      </c>
    </row>
    <row r="63891" spans="129:129" x14ac:dyDescent="0.2">
      <c r="DY63891" s="185" t="s">
        <v>215</v>
      </c>
    </row>
    <row r="63892" spans="129:129" x14ac:dyDescent="0.2">
      <c r="DY63892" s="185" t="s">
        <v>215</v>
      </c>
    </row>
    <row r="63893" spans="129:129" x14ac:dyDescent="0.2">
      <c r="DY63893" s="185" t="s">
        <v>215</v>
      </c>
    </row>
    <row r="63894" spans="129:129" x14ac:dyDescent="0.2">
      <c r="DY63894" s="185" t="s">
        <v>215</v>
      </c>
    </row>
    <row r="63895" spans="129:129" x14ac:dyDescent="0.2">
      <c r="DY63895" s="185" t="s">
        <v>215</v>
      </c>
    </row>
    <row r="63896" spans="129:129" x14ac:dyDescent="0.2">
      <c r="DY63896" s="185" t="s">
        <v>215</v>
      </c>
    </row>
    <row r="63897" spans="129:129" x14ac:dyDescent="0.2">
      <c r="DY63897" s="185" t="s">
        <v>215</v>
      </c>
    </row>
    <row r="63898" spans="129:129" x14ac:dyDescent="0.2">
      <c r="DY63898" s="185" t="s">
        <v>215</v>
      </c>
    </row>
    <row r="63899" spans="129:129" x14ac:dyDescent="0.2">
      <c r="DY63899" s="185" t="s">
        <v>215</v>
      </c>
    </row>
    <row r="63900" spans="129:129" x14ac:dyDescent="0.2">
      <c r="DY63900" s="185" t="s">
        <v>215</v>
      </c>
    </row>
    <row r="63901" spans="129:129" x14ac:dyDescent="0.2">
      <c r="DY63901" s="185" t="s">
        <v>215</v>
      </c>
    </row>
    <row r="63902" spans="129:129" x14ac:dyDescent="0.2">
      <c r="DY63902" s="185" t="s">
        <v>215</v>
      </c>
    </row>
    <row r="63903" spans="129:129" x14ac:dyDescent="0.2">
      <c r="DY63903" s="185" t="s">
        <v>215</v>
      </c>
    </row>
    <row r="63904" spans="129:129" x14ac:dyDescent="0.2">
      <c r="DY63904" s="185" t="s">
        <v>215</v>
      </c>
    </row>
    <row r="63905" spans="129:129" x14ac:dyDescent="0.2">
      <c r="DY63905" s="185" t="s">
        <v>215</v>
      </c>
    </row>
    <row r="63906" spans="129:129" x14ac:dyDescent="0.2">
      <c r="DY63906" s="185" t="s">
        <v>215</v>
      </c>
    </row>
    <row r="63907" spans="129:129" x14ac:dyDescent="0.2">
      <c r="DY63907" s="185" t="s">
        <v>215</v>
      </c>
    </row>
    <row r="63908" spans="129:129" x14ac:dyDescent="0.2">
      <c r="DY63908" s="185" t="s">
        <v>215</v>
      </c>
    </row>
    <row r="63909" spans="129:129" x14ac:dyDescent="0.2">
      <c r="DY63909" s="185" t="s">
        <v>215</v>
      </c>
    </row>
    <row r="63910" spans="129:129" x14ac:dyDescent="0.2">
      <c r="DY63910" s="185" t="s">
        <v>215</v>
      </c>
    </row>
    <row r="63911" spans="129:129" x14ac:dyDescent="0.2">
      <c r="DY63911" s="185" t="s">
        <v>215</v>
      </c>
    </row>
    <row r="63912" spans="129:129" x14ac:dyDescent="0.2">
      <c r="DY63912" s="185" t="s">
        <v>215</v>
      </c>
    </row>
    <row r="63913" spans="129:129" x14ac:dyDescent="0.2">
      <c r="DY63913" s="185" t="s">
        <v>215</v>
      </c>
    </row>
    <row r="63914" spans="129:129" x14ac:dyDescent="0.2">
      <c r="DY63914" s="185" t="s">
        <v>215</v>
      </c>
    </row>
    <row r="63915" spans="129:129" x14ac:dyDescent="0.2">
      <c r="DY63915" s="185" t="s">
        <v>215</v>
      </c>
    </row>
    <row r="63916" spans="129:129" x14ac:dyDescent="0.2">
      <c r="DY63916" s="185" t="s">
        <v>215</v>
      </c>
    </row>
    <row r="63917" spans="129:129" x14ac:dyDescent="0.2">
      <c r="DY63917" s="185" t="s">
        <v>215</v>
      </c>
    </row>
    <row r="63918" spans="129:129" x14ac:dyDescent="0.2">
      <c r="DY63918" s="185" t="s">
        <v>215</v>
      </c>
    </row>
    <row r="63919" spans="129:129" x14ac:dyDescent="0.2">
      <c r="DY63919" s="185" t="s">
        <v>215</v>
      </c>
    </row>
    <row r="63920" spans="129:129" x14ac:dyDescent="0.2">
      <c r="DY63920" s="185" t="s">
        <v>215</v>
      </c>
    </row>
    <row r="63921" spans="129:129" x14ac:dyDescent="0.2">
      <c r="DY63921" s="185" t="s">
        <v>215</v>
      </c>
    </row>
    <row r="63922" spans="129:129" x14ac:dyDescent="0.2">
      <c r="DY63922" s="185" t="s">
        <v>215</v>
      </c>
    </row>
    <row r="63923" spans="129:129" x14ac:dyDescent="0.2">
      <c r="DY63923" s="185" t="s">
        <v>215</v>
      </c>
    </row>
    <row r="63924" spans="129:129" x14ac:dyDescent="0.2">
      <c r="DY63924" s="185" t="s">
        <v>215</v>
      </c>
    </row>
    <row r="63925" spans="129:129" x14ac:dyDescent="0.2">
      <c r="DY63925" s="185" t="s">
        <v>215</v>
      </c>
    </row>
    <row r="63926" spans="129:129" x14ac:dyDescent="0.2">
      <c r="DY63926" s="185" t="s">
        <v>215</v>
      </c>
    </row>
    <row r="63927" spans="129:129" x14ac:dyDescent="0.2">
      <c r="DY63927" s="185" t="s">
        <v>215</v>
      </c>
    </row>
    <row r="63928" spans="129:129" x14ac:dyDescent="0.2">
      <c r="DY63928" s="185" t="s">
        <v>215</v>
      </c>
    </row>
    <row r="63929" spans="129:129" x14ac:dyDescent="0.2">
      <c r="DY63929" s="185" t="s">
        <v>215</v>
      </c>
    </row>
    <row r="63930" spans="129:129" x14ac:dyDescent="0.2">
      <c r="DY63930" s="185" t="s">
        <v>215</v>
      </c>
    </row>
    <row r="63931" spans="129:129" x14ac:dyDescent="0.2">
      <c r="DY63931" s="185" t="s">
        <v>215</v>
      </c>
    </row>
    <row r="63932" spans="129:129" x14ac:dyDescent="0.2">
      <c r="DY63932" s="185" t="s">
        <v>215</v>
      </c>
    </row>
    <row r="63933" spans="129:129" x14ac:dyDescent="0.2">
      <c r="DY63933" s="185" t="s">
        <v>215</v>
      </c>
    </row>
    <row r="63934" spans="129:129" x14ac:dyDescent="0.2">
      <c r="DY63934" s="185" t="s">
        <v>215</v>
      </c>
    </row>
    <row r="63935" spans="129:129" x14ac:dyDescent="0.2">
      <c r="DY63935" s="185" t="s">
        <v>215</v>
      </c>
    </row>
    <row r="63936" spans="129:129" x14ac:dyDescent="0.2">
      <c r="DY63936" s="185" t="s">
        <v>215</v>
      </c>
    </row>
    <row r="63937" spans="129:129" x14ac:dyDescent="0.2">
      <c r="DY63937" s="185" t="s">
        <v>215</v>
      </c>
    </row>
    <row r="63938" spans="129:129" x14ac:dyDescent="0.2">
      <c r="DY63938" s="185" t="s">
        <v>215</v>
      </c>
    </row>
    <row r="63939" spans="129:129" x14ac:dyDescent="0.2">
      <c r="DY63939" s="185" t="s">
        <v>215</v>
      </c>
    </row>
    <row r="63940" spans="129:129" x14ac:dyDescent="0.2">
      <c r="DY63940" s="185" t="s">
        <v>215</v>
      </c>
    </row>
    <row r="63941" spans="129:129" x14ac:dyDescent="0.2">
      <c r="DY63941" s="185" t="s">
        <v>215</v>
      </c>
    </row>
    <row r="63942" spans="129:129" x14ac:dyDescent="0.2">
      <c r="DY63942" s="185" t="s">
        <v>215</v>
      </c>
    </row>
    <row r="63943" spans="129:129" x14ac:dyDescent="0.2">
      <c r="DY63943" s="185" t="s">
        <v>215</v>
      </c>
    </row>
    <row r="63944" spans="129:129" x14ac:dyDescent="0.2">
      <c r="DY63944" s="185" t="s">
        <v>215</v>
      </c>
    </row>
    <row r="63945" spans="129:129" x14ac:dyDescent="0.2">
      <c r="DY63945" s="185" t="s">
        <v>215</v>
      </c>
    </row>
    <row r="63946" spans="129:129" x14ac:dyDescent="0.2">
      <c r="DY63946" s="185" t="s">
        <v>215</v>
      </c>
    </row>
    <row r="63947" spans="129:129" x14ac:dyDescent="0.2">
      <c r="DY63947" s="185" t="s">
        <v>215</v>
      </c>
    </row>
    <row r="63948" spans="129:129" x14ac:dyDescent="0.2">
      <c r="DY63948" s="185" t="s">
        <v>215</v>
      </c>
    </row>
    <row r="63949" spans="129:129" x14ac:dyDescent="0.2">
      <c r="DY63949" s="185" t="s">
        <v>215</v>
      </c>
    </row>
    <row r="63950" spans="129:129" x14ac:dyDescent="0.2">
      <c r="DY63950" s="185" t="s">
        <v>215</v>
      </c>
    </row>
    <row r="63951" spans="129:129" x14ac:dyDescent="0.2">
      <c r="DY63951" s="185" t="s">
        <v>215</v>
      </c>
    </row>
    <row r="63952" spans="129:129" x14ac:dyDescent="0.2">
      <c r="DY63952" s="185" t="s">
        <v>215</v>
      </c>
    </row>
    <row r="63953" spans="129:129" x14ac:dyDescent="0.2">
      <c r="DY63953" s="185" t="s">
        <v>215</v>
      </c>
    </row>
    <row r="63954" spans="129:129" x14ac:dyDescent="0.2">
      <c r="DY63954" s="185" t="s">
        <v>215</v>
      </c>
    </row>
    <row r="63955" spans="129:129" x14ac:dyDescent="0.2">
      <c r="DY63955" s="185" t="s">
        <v>215</v>
      </c>
    </row>
    <row r="63956" spans="129:129" x14ac:dyDescent="0.2">
      <c r="DY63956" s="185" t="s">
        <v>215</v>
      </c>
    </row>
    <row r="63957" spans="129:129" x14ac:dyDescent="0.2">
      <c r="DY63957" s="185" t="s">
        <v>215</v>
      </c>
    </row>
    <row r="63958" spans="129:129" x14ac:dyDescent="0.2">
      <c r="DY63958" s="185" t="s">
        <v>215</v>
      </c>
    </row>
    <row r="63959" spans="129:129" x14ac:dyDescent="0.2">
      <c r="DY63959" s="185" t="s">
        <v>215</v>
      </c>
    </row>
    <row r="63960" spans="129:129" x14ac:dyDescent="0.2">
      <c r="DY63960" s="185" t="s">
        <v>215</v>
      </c>
    </row>
    <row r="63961" spans="129:129" x14ac:dyDescent="0.2">
      <c r="DY63961" s="185" t="s">
        <v>215</v>
      </c>
    </row>
    <row r="63962" spans="129:129" x14ac:dyDescent="0.2">
      <c r="DY63962" s="185" t="s">
        <v>215</v>
      </c>
    </row>
    <row r="63963" spans="129:129" x14ac:dyDescent="0.2">
      <c r="DY63963" s="185" t="s">
        <v>215</v>
      </c>
    </row>
    <row r="63964" spans="129:129" x14ac:dyDescent="0.2">
      <c r="DY63964" s="185" t="s">
        <v>215</v>
      </c>
    </row>
    <row r="63965" spans="129:129" x14ac:dyDescent="0.2">
      <c r="DY63965" s="185" t="s">
        <v>215</v>
      </c>
    </row>
    <row r="63966" spans="129:129" x14ac:dyDescent="0.2">
      <c r="DY63966" s="185" t="s">
        <v>215</v>
      </c>
    </row>
    <row r="63967" spans="129:129" x14ac:dyDescent="0.2">
      <c r="DY63967" s="185" t="s">
        <v>215</v>
      </c>
    </row>
    <row r="63968" spans="129:129" x14ac:dyDescent="0.2">
      <c r="DY63968" s="185" t="s">
        <v>215</v>
      </c>
    </row>
    <row r="63969" spans="129:129" x14ac:dyDescent="0.2">
      <c r="DY63969" s="185" t="s">
        <v>215</v>
      </c>
    </row>
    <row r="63970" spans="129:129" x14ac:dyDescent="0.2">
      <c r="DY63970" s="185" t="s">
        <v>215</v>
      </c>
    </row>
    <row r="63971" spans="129:129" x14ac:dyDescent="0.2">
      <c r="DY63971" s="185" t="s">
        <v>215</v>
      </c>
    </row>
    <row r="63972" spans="129:129" x14ac:dyDescent="0.2">
      <c r="DY63972" s="185" t="s">
        <v>215</v>
      </c>
    </row>
    <row r="63973" spans="129:129" x14ac:dyDescent="0.2">
      <c r="DY63973" s="185" t="s">
        <v>215</v>
      </c>
    </row>
    <row r="63974" spans="129:129" x14ac:dyDescent="0.2">
      <c r="DY63974" s="185" t="s">
        <v>215</v>
      </c>
    </row>
    <row r="63975" spans="129:129" x14ac:dyDescent="0.2">
      <c r="DY63975" s="185" t="s">
        <v>215</v>
      </c>
    </row>
    <row r="63976" spans="129:129" x14ac:dyDescent="0.2">
      <c r="DY63976" s="185" t="s">
        <v>215</v>
      </c>
    </row>
    <row r="63977" spans="129:129" x14ac:dyDescent="0.2">
      <c r="DY63977" s="185" t="s">
        <v>215</v>
      </c>
    </row>
    <row r="63978" spans="129:129" x14ac:dyDescent="0.2">
      <c r="DY63978" s="185" t="s">
        <v>215</v>
      </c>
    </row>
    <row r="63979" spans="129:129" x14ac:dyDescent="0.2">
      <c r="DY63979" s="185" t="s">
        <v>215</v>
      </c>
    </row>
    <row r="63980" spans="129:129" x14ac:dyDescent="0.2">
      <c r="DY63980" s="185" t="s">
        <v>215</v>
      </c>
    </row>
    <row r="63981" spans="129:129" x14ac:dyDescent="0.2">
      <c r="DY63981" s="185" t="s">
        <v>215</v>
      </c>
    </row>
    <row r="63982" spans="129:129" x14ac:dyDescent="0.2">
      <c r="DY63982" s="185" t="s">
        <v>215</v>
      </c>
    </row>
    <row r="63983" spans="129:129" x14ac:dyDescent="0.2">
      <c r="DY63983" s="185" t="s">
        <v>215</v>
      </c>
    </row>
    <row r="63984" spans="129:129" x14ac:dyDescent="0.2">
      <c r="DY63984" s="185" t="s">
        <v>215</v>
      </c>
    </row>
    <row r="63985" spans="129:129" x14ac:dyDescent="0.2">
      <c r="DY63985" s="185" t="s">
        <v>215</v>
      </c>
    </row>
    <row r="63986" spans="129:129" x14ac:dyDescent="0.2">
      <c r="DY63986" s="185" t="s">
        <v>215</v>
      </c>
    </row>
    <row r="63987" spans="129:129" x14ac:dyDescent="0.2">
      <c r="DY63987" s="185" t="s">
        <v>215</v>
      </c>
    </row>
    <row r="63988" spans="129:129" x14ac:dyDescent="0.2">
      <c r="DY63988" s="185" t="s">
        <v>215</v>
      </c>
    </row>
    <row r="63989" spans="129:129" x14ac:dyDescent="0.2">
      <c r="DY63989" s="185" t="s">
        <v>215</v>
      </c>
    </row>
    <row r="63990" spans="129:129" x14ac:dyDescent="0.2">
      <c r="DY63990" s="185" t="s">
        <v>215</v>
      </c>
    </row>
    <row r="63991" spans="129:129" x14ac:dyDescent="0.2">
      <c r="DY63991" s="185" t="s">
        <v>215</v>
      </c>
    </row>
    <row r="63992" spans="129:129" x14ac:dyDescent="0.2">
      <c r="DY63992" s="185" t="s">
        <v>215</v>
      </c>
    </row>
    <row r="63993" spans="129:129" x14ac:dyDescent="0.2">
      <c r="DY63993" s="185" t="s">
        <v>215</v>
      </c>
    </row>
    <row r="63994" spans="129:129" x14ac:dyDescent="0.2">
      <c r="DY63994" s="185" t="s">
        <v>215</v>
      </c>
    </row>
    <row r="63995" spans="129:129" x14ac:dyDescent="0.2">
      <c r="DY63995" s="185" t="s">
        <v>215</v>
      </c>
    </row>
    <row r="63996" spans="129:129" x14ac:dyDescent="0.2">
      <c r="DY63996" s="185" t="s">
        <v>215</v>
      </c>
    </row>
    <row r="63997" spans="129:129" x14ac:dyDescent="0.2">
      <c r="DY63997" s="185" t="s">
        <v>215</v>
      </c>
    </row>
    <row r="63998" spans="129:129" x14ac:dyDescent="0.2">
      <c r="DY63998" s="185" t="s">
        <v>215</v>
      </c>
    </row>
    <row r="63999" spans="129:129" x14ac:dyDescent="0.2">
      <c r="DY63999" s="185" t="s">
        <v>215</v>
      </c>
    </row>
    <row r="64000" spans="129:129" x14ac:dyDescent="0.2">
      <c r="DY64000" s="185" t="s">
        <v>215</v>
      </c>
    </row>
    <row r="64001" spans="129:129" x14ac:dyDescent="0.2">
      <c r="DY64001" s="185" t="s">
        <v>215</v>
      </c>
    </row>
    <row r="64002" spans="129:129" x14ac:dyDescent="0.2">
      <c r="DY64002" s="185" t="s">
        <v>215</v>
      </c>
    </row>
    <row r="64003" spans="129:129" x14ac:dyDescent="0.2">
      <c r="DY64003" s="185" t="s">
        <v>215</v>
      </c>
    </row>
    <row r="64004" spans="129:129" x14ac:dyDescent="0.2">
      <c r="DY64004" s="185" t="s">
        <v>215</v>
      </c>
    </row>
    <row r="64005" spans="129:129" x14ac:dyDescent="0.2">
      <c r="DY64005" s="185" t="s">
        <v>215</v>
      </c>
    </row>
    <row r="64006" spans="129:129" x14ac:dyDescent="0.2">
      <c r="DY64006" s="185" t="s">
        <v>215</v>
      </c>
    </row>
    <row r="64007" spans="129:129" x14ac:dyDescent="0.2">
      <c r="DY64007" s="185" t="s">
        <v>215</v>
      </c>
    </row>
    <row r="64008" spans="129:129" x14ac:dyDescent="0.2">
      <c r="DY64008" s="185" t="s">
        <v>215</v>
      </c>
    </row>
    <row r="64009" spans="129:129" x14ac:dyDescent="0.2">
      <c r="DY64009" s="185" t="s">
        <v>215</v>
      </c>
    </row>
    <row r="64010" spans="129:129" x14ac:dyDescent="0.2">
      <c r="DY64010" s="185" t="s">
        <v>215</v>
      </c>
    </row>
    <row r="64011" spans="129:129" x14ac:dyDescent="0.2">
      <c r="DY64011" s="185" t="s">
        <v>215</v>
      </c>
    </row>
    <row r="64012" spans="129:129" x14ac:dyDescent="0.2">
      <c r="DY64012" s="185" t="s">
        <v>215</v>
      </c>
    </row>
    <row r="64013" spans="129:129" x14ac:dyDescent="0.2">
      <c r="DY64013" s="185" t="s">
        <v>215</v>
      </c>
    </row>
    <row r="64014" spans="129:129" x14ac:dyDescent="0.2">
      <c r="DY64014" s="185" t="s">
        <v>215</v>
      </c>
    </row>
    <row r="64015" spans="129:129" x14ac:dyDescent="0.2">
      <c r="DY64015" s="185" t="s">
        <v>215</v>
      </c>
    </row>
    <row r="64016" spans="129:129" x14ac:dyDescent="0.2">
      <c r="DY64016" s="185" t="s">
        <v>215</v>
      </c>
    </row>
    <row r="64017" spans="129:129" x14ac:dyDescent="0.2">
      <c r="DY64017" s="185" t="s">
        <v>215</v>
      </c>
    </row>
    <row r="64018" spans="129:129" x14ac:dyDescent="0.2">
      <c r="DY64018" s="185" t="s">
        <v>215</v>
      </c>
    </row>
    <row r="64019" spans="129:129" x14ac:dyDescent="0.2">
      <c r="DY64019" s="185" t="s">
        <v>215</v>
      </c>
    </row>
    <row r="64020" spans="129:129" x14ac:dyDescent="0.2">
      <c r="DY64020" s="185" t="s">
        <v>215</v>
      </c>
    </row>
    <row r="64021" spans="129:129" x14ac:dyDescent="0.2">
      <c r="DY64021" s="185" t="s">
        <v>215</v>
      </c>
    </row>
    <row r="64022" spans="129:129" x14ac:dyDescent="0.2">
      <c r="DY64022" s="185" t="s">
        <v>215</v>
      </c>
    </row>
    <row r="64023" spans="129:129" x14ac:dyDescent="0.2">
      <c r="DY64023" s="185" t="s">
        <v>215</v>
      </c>
    </row>
    <row r="64024" spans="129:129" x14ac:dyDescent="0.2">
      <c r="DY64024" s="185" t="s">
        <v>215</v>
      </c>
    </row>
    <row r="64025" spans="129:129" x14ac:dyDescent="0.2">
      <c r="DY64025" s="185" t="s">
        <v>215</v>
      </c>
    </row>
    <row r="64026" spans="129:129" x14ac:dyDescent="0.2">
      <c r="DY64026" s="185" t="s">
        <v>215</v>
      </c>
    </row>
    <row r="64027" spans="129:129" x14ac:dyDescent="0.2">
      <c r="DY64027" s="185" t="s">
        <v>215</v>
      </c>
    </row>
    <row r="64028" spans="129:129" x14ac:dyDescent="0.2">
      <c r="DY64028" s="185" t="s">
        <v>215</v>
      </c>
    </row>
    <row r="64029" spans="129:129" x14ac:dyDescent="0.2">
      <c r="DY64029" s="185" t="s">
        <v>215</v>
      </c>
    </row>
    <row r="64030" spans="129:129" x14ac:dyDescent="0.2">
      <c r="DY64030" s="185" t="s">
        <v>215</v>
      </c>
    </row>
    <row r="64031" spans="129:129" x14ac:dyDescent="0.2">
      <c r="DY64031" s="185" t="s">
        <v>215</v>
      </c>
    </row>
    <row r="64032" spans="129:129" x14ac:dyDescent="0.2">
      <c r="DY64032" s="185" t="s">
        <v>215</v>
      </c>
    </row>
    <row r="64033" spans="129:129" x14ac:dyDescent="0.2">
      <c r="DY64033" s="185" t="s">
        <v>215</v>
      </c>
    </row>
    <row r="64034" spans="129:129" x14ac:dyDescent="0.2">
      <c r="DY64034" s="185" t="s">
        <v>215</v>
      </c>
    </row>
    <row r="64035" spans="129:129" x14ac:dyDescent="0.2">
      <c r="DY64035" s="185" t="s">
        <v>215</v>
      </c>
    </row>
    <row r="64036" spans="129:129" x14ac:dyDescent="0.2">
      <c r="DY64036" s="185" t="s">
        <v>215</v>
      </c>
    </row>
    <row r="64037" spans="129:129" x14ac:dyDescent="0.2">
      <c r="DY64037" s="185" t="s">
        <v>215</v>
      </c>
    </row>
    <row r="64038" spans="129:129" x14ac:dyDescent="0.2">
      <c r="DY64038" s="185" t="s">
        <v>215</v>
      </c>
    </row>
    <row r="64039" spans="129:129" x14ac:dyDescent="0.2">
      <c r="DY64039" s="185" t="s">
        <v>215</v>
      </c>
    </row>
    <row r="64040" spans="129:129" x14ac:dyDescent="0.2">
      <c r="DY64040" s="185" t="s">
        <v>215</v>
      </c>
    </row>
    <row r="64041" spans="129:129" x14ac:dyDescent="0.2">
      <c r="DY64041" s="185" t="s">
        <v>215</v>
      </c>
    </row>
    <row r="64042" spans="129:129" x14ac:dyDescent="0.2">
      <c r="DY64042" s="185" t="s">
        <v>215</v>
      </c>
    </row>
    <row r="64043" spans="129:129" x14ac:dyDescent="0.2">
      <c r="DY64043" s="185" t="s">
        <v>215</v>
      </c>
    </row>
    <row r="64044" spans="129:129" x14ac:dyDescent="0.2">
      <c r="DY64044" s="185" t="s">
        <v>215</v>
      </c>
    </row>
    <row r="64045" spans="129:129" x14ac:dyDescent="0.2">
      <c r="DY64045" s="185" t="s">
        <v>215</v>
      </c>
    </row>
    <row r="64046" spans="129:129" x14ac:dyDescent="0.2">
      <c r="DY64046" s="185" t="s">
        <v>215</v>
      </c>
    </row>
    <row r="64047" spans="129:129" x14ac:dyDescent="0.2">
      <c r="DY64047" s="185" t="s">
        <v>215</v>
      </c>
    </row>
    <row r="64048" spans="129:129" x14ac:dyDescent="0.2">
      <c r="DY64048" s="185" t="s">
        <v>215</v>
      </c>
    </row>
    <row r="64049" spans="129:129" x14ac:dyDescent="0.2">
      <c r="DY64049" s="185" t="s">
        <v>215</v>
      </c>
    </row>
    <row r="64050" spans="129:129" x14ac:dyDescent="0.2">
      <c r="DY64050" s="185" t="s">
        <v>215</v>
      </c>
    </row>
    <row r="64051" spans="129:129" x14ac:dyDescent="0.2">
      <c r="DY64051" s="185" t="s">
        <v>215</v>
      </c>
    </row>
    <row r="64052" spans="129:129" x14ac:dyDescent="0.2">
      <c r="DY64052" s="185" t="s">
        <v>215</v>
      </c>
    </row>
    <row r="64053" spans="129:129" x14ac:dyDescent="0.2">
      <c r="DY64053" s="185" t="s">
        <v>215</v>
      </c>
    </row>
    <row r="64054" spans="129:129" x14ac:dyDescent="0.2">
      <c r="DY64054" s="185" t="s">
        <v>215</v>
      </c>
    </row>
    <row r="64055" spans="129:129" x14ac:dyDescent="0.2">
      <c r="DY64055" s="185" t="s">
        <v>215</v>
      </c>
    </row>
    <row r="64056" spans="129:129" x14ac:dyDescent="0.2">
      <c r="DY64056" s="185" t="s">
        <v>215</v>
      </c>
    </row>
    <row r="64057" spans="129:129" x14ac:dyDescent="0.2">
      <c r="DY64057" s="185" t="s">
        <v>215</v>
      </c>
    </row>
    <row r="64058" spans="129:129" x14ac:dyDescent="0.2">
      <c r="DY64058" s="185" t="s">
        <v>215</v>
      </c>
    </row>
    <row r="64059" spans="129:129" x14ac:dyDescent="0.2">
      <c r="DY64059" s="185" t="s">
        <v>215</v>
      </c>
    </row>
    <row r="64060" spans="129:129" x14ac:dyDescent="0.2">
      <c r="DY64060" s="185" t="s">
        <v>215</v>
      </c>
    </row>
    <row r="64061" spans="129:129" x14ac:dyDescent="0.2">
      <c r="DY64061" s="185" t="s">
        <v>215</v>
      </c>
    </row>
    <row r="64062" spans="129:129" x14ac:dyDescent="0.2">
      <c r="DY64062" s="185" t="s">
        <v>215</v>
      </c>
    </row>
    <row r="64063" spans="129:129" x14ac:dyDescent="0.2">
      <c r="DY64063" s="185" t="s">
        <v>215</v>
      </c>
    </row>
    <row r="64064" spans="129:129" x14ac:dyDescent="0.2">
      <c r="DY64064" s="185" t="s">
        <v>215</v>
      </c>
    </row>
    <row r="64065" spans="129:129" x14ac:dyDescent="0.2">
      <c r="DY64065" s="185" t="s">
        <v>215</v>
      </c>
    </row>
    <row r="64066" spans="129:129" x14ac:dyDescent="0.2">
      <c r="DY64066" s="185" t="s">
        <v>215</v>
      </c>
    </row>
    <row r="64067" spans="129:129" x14ac:dyDescent="0.2">
      <c r="DY64067" s="185" t="s">
        <v>215</v>
      </c>
    </row>
    <row r="64068" spans="129:129" x14ac:dyDescent="0.2">
      <c r="DY64068" s="185" t="s">
        <v>215</v>
      </c>
    </row>
    <row r="64069" spans="129:129" x14ac:dyDescent="0.2">
      <c r="DY64069" s="185" t="s">
        <v>215</v>
      </c>
    </row>
    <row r="64070" spans="129:129" x14ac:dyDescent="0.2">
      <c r="DY64070" s="185" t="s">
        <v>215</v>
      </c>
    </row>
    <row r="64071" spans="129:129" x14ac:dyDescent="0.2">
      <c r="DY64071" s="185" t="s">
        <v>215</v>
      </c>
    </row>
    <row r="64072" spans="129:129" x14ac:dyDescent="0.2">
      <c r="DY64072" s="185" t="s">
        <v>215</v>
      </c>
    </row>
    <row r="64073" spans="129:129" x14ac:dyDescent="0.2">
      <c r="DY64073" s="185" t="s">
        <v>215</v>
      </c>
    </row>
    <row r="64074" spans="129:129" x14ac:dyDescent="0.2">
      <c r="DY64074" s="185" t="s">
        <v>215</v>
      </c>
    </row>
    <row r="64075" spans="129:129" x14ac:dyDescent="0.2">
      <c r="DY64075" s="185" t="s">
        <v>215</v>
      </c>
    </row>
    <row r="64076" spans="129:129" x14ac:dyDescent="0.2">
      <c r="DY64076" s="185" t="s">
        <v>215</v>
      </c>
    </row>
    <row r="64077" spans="129:129" x14ac:dyDescent="0.2">
      <c r="DY64077" s="185" t="s">
        <v>215</v>
      </c>
    </row>
    <row r="64078" spans="129:129" x14ac:dyDescent="0.2">
      <c r="DY64078" s="185" t="s">
        <v>215</v>
      </c>
    </row>
    <row r="64079" spans="129:129" x14ac:dyDescent="0.2">
      <c r="DY64079" s="185" t="s">
        <v>215</v>
      </c>
    </row>
    <row r="64080" spans="129:129" x14ac:dyDescent="0.2">
      <c r="DY64080" s="185" t="s">
        <v>215</v>
      </c>
    </row>
    <row r="64081" spans="129:129" x14ac:dyDescent="0.2">
      <c r="DY64081" s="185" t="s">
        <v>215</v>
      </c>
    </row>
    <row r="64082" spans="129:129" x14ac:dyDescent="0.2">
      <c r="DY64082" s="185" t="s">
        <v>215</v>
      </c>
    </row>
    <row r="64083" spans="129:129" x14ac:dyDescent="0.2">
      <c r="DY64083" s="185" t="s">
        <v>215</v>
      </c>
    </row>
    <row r="64084" spans="129:129" x14ac:dyDescent="0.2">
      <c r="DY64084" s="185" t="s">
        <v>215</v>
      </c>
    </row>
    <row r="64085" spans="129:129" x14ac:dyDescent="0.2">
      <c r="DY64085" s="185" t="s">
        <v>215</v>
      </c>
    </row>
    <row r="64086" spans="129:129" x14ac:dyDescent="0.2">
      <c r="DY64086" s="185" t="s">
        <v>215</v>
      </c>
    </row>
    <row r="64087" spans="129:129" x14ac:dyDescent="0.2">
      <c r="DY64087" s="185" t="s">
        <v>215</v>
      </c>
    </row>
    <row r="64088" spans="129:129" x14ac:dyDescent="0.2">
      <c r="DY64088" s="185" t="s">
        <v>215</v>
      </c>
    </row>
    <row r="64089" spans="129:129" x14ac:dyDescent="0.2">
      <c r="DY64089" s="185" t="s">
        <v>215</v>
      </c>
    </row>
    <row r="64090" spans="129:129" x14ac:dyDescent="0.2">
      <c r="DY64090" s="185" t="s">
        <v>215</v>
      </c>
    </row>
    <row r="64091" spans="129:129" x14ac:dyDescent="0.2">
      <c r="DY64091" s="185" t="s">
        <v>215</v>
      </c>
    </row>
    <row r="64092" spans="129:129" x14ac:dyDescent="0.2">
      <c r="DY64092" s="185" t="s">
        <v>215</v>
      </c>
    </row>
    <row r="64093" spans="129:129" x14ac:dyDescent="0.2">
      <c r="DY64093" s="185" t="s">
        <v>215</v>
      </c>
    </row>
    <row r="64094" spans="129:129" x14ac:dyDescent="0.2">
      <c r="DY64094" s="185" t="s">
        <v>215</v>
      </c>
    </row>
    <row r="64095" spans="129:129" x14ac:dyDescent="0.2">
      <c r="DY64095" s="185" t="s">
        <v>215</v>
      </c>
    </row>
    <row r="64096" spans="129:129" x14ac:dyDescent="0.2">
      <c r="DY64096" s="185" t="s">
        <v>215</v>
      </c>
    </row>
    <row r="64097" spans="129:129" x14ac:dyDescent="0.2">
      <c r="DY64097" s="185" t="s">
        <v>215</v>
      </c>
    </row>
    <row r="64098" spans="129:129" x14ac:dyDescent="0.2">
      <c r="DY64098" s="185" t="s">
        <v>215</v>
      </c>
    </row>
    <row r="64099" spans="129:129" x14ac:dyDescent="0.2">
      <c r="DY64099" s="185" t="s">
        <v>215</v>
      </c>
    </row>
    <row r="64100" spans="129:129" x14ac:dyDescent="0.2">
      <c r="DY64100" s="185" t="s">
        <v>215</v>
      </c>
    </row>
    <row r="64101" spans="129:129" x14ac:dyDescent="0.2">
      <c r="DY64101" s="185" t="s">
        <v>215</v>
      </c>
    </row>
    <row r="64102" spans="129:129" x14ac:dyDescent="0.2">
      <c r="DY64102" s="185" t="s">
        <v>215</v>
      </c>
    </row>
    <row r="64103" spans="129:129" x14ac:dyDescent="0.2">
      <c r="DY64103" s="185" t="s">
        <v>215</v>
      </c>
    </row>
    <row r="64104" spans="129:129" x14ac:dyDescent="0.2">
      <c r="DY64104" s="185" t="s">
        <v>215</v>
      </c>
    </row>
    <row r="64105" spans="129:129" x14ac:dyDescent="0.2">
      <c r="DY64105" s="185" t="s">
        <v>215</v>
      </c>
    </row>
    <row r="64106" spans="129:129" x14ac:dyDescent="0.2">
      <c r="DY64106" s="185" t="s">
        <v>215</v>
      </c>
    </row>
    <row r="64107" spans="129:129" x14ac:dyDescent="0.2">
      <c r="DY64107" s="185" t="s">
        <v>215</v>
      </c>
    </row>
    <row r="64108" spans="129:129" x14ac:dyDescent="0.2">
      <c r="DY64108" s="185" t="s">
        <v>215</v>
      </c>
    </row>
    <row r="64109" spans="129:129" x14ac:dyDescent="0.2">
      <c r="DY64109" s="185" t="s">
        <v>215</v>
      </c>
    </row>
    <row r="64110" spans="129:129" x14ac:dyDescent="0.2">
      <c r="DY64110" s="185" t="s">
        <v>215</v>
      </c>
    </row>
    <row r="64111" spans="129:129" x14ac:dyDescent="0.2">
      <c r="DY64111" s="185" t="s">
        <v>215</v>
      </c>
    </row>
    <row r="64112" spans="129:129" x14ac:dyDescent="0.2">
      <c r="DY64112" s="185" t="s">
        <v>215</v>
      </c>
    </row>
    <row r="64113" spans="129:129" x14ac:dyDescent="0.2">
      <c r="DY64113" s="185" t="s">
        <v>215</v>
      </c>
    </row>
    <row r="64114" spans="129:129" x14ac:dyDescent="0.2">
      <c r="DY64114" s="185" t="s">
        <v>215</v>
      </c>
    </row>
    <row r="64115" spans="129:129" x14ac:dyDescent="0.2">
      <c r="DY64115" s="185" t="s">
        <v>215</v>
      </c>
    </row>
    <row r="64116" spans="129:129" x14ac:dyDescent="0.2">
      <c r="DY64116" s="185" t="s">
        <v>215</v>
      </c>
    </row>
    <row r="64117" spans="129:129" x14ac:dyDescent="0.2">
      <c r="DY64117" s="185" t="s">
        <v>215</v>
      </c>
    </row>
    <row r="64118" spans="129:129" x14ac:dyDescent="0.2">
      <c r="DY64118" s="185" t="s">
        <v>215</v>
      </c>
    </row>
    <row r="64119" spans="129:129" x14ac:dyDescent="0.2">
      <c r="DY64119" s="185" t="s">
        <v>215</v>
      </c>
    </row>
    <row r="64120" spans="129:129" x14ac:dyDescent="0.2">
      <c r="DY64120" s="185" t="s">
        <v>215</v>
      </c>
    </row>
    <row r="64121" spans="129:129" x14ac:dyDescent="0.2">
      <c r="DY64121" s="185" t="s">
        <v>215</v>
      </c>
    </row>
    <row r="64122" spans="129:129" x14ac:dyDescent="0.2">
      <c r="DY64122" s="185" t="s">
        <v>215</v>
      </c>
    </row>
    <row r="64123" spans="129:129" x14ac:dyDescent="0.2">
      <c r="DY64123" s="185" t="s">
        <v>215</v>
      </c>
    </row>
    <row r="64124" spans="129:129" x14ac:dyDescent="0.2">
      <c r="DY64124" s="185" t="s">
        <v>215</v>
      </c>
    </row>
    <row r="64125" spans="129:129" x14ac:dyDescent="0.2">
      <c r="DY64125" s="185" t="s">
        <v>215</v>
      </c>
    </row>
    <row r="64126" spans="129:129" x14ac:dyDescent="0.2">
      <c r="DY64126" s="185" t="s">
        <v>215</v>
      </c>
    </row>
    <row r="64127" spans="129:129" x14ac:dyDescent="0.2">
      <c r="DY64127" s="185" t="s">
        <v>215</v>
      </c>
    </row>
    <row r="64128" spans="129:129" x14ac:dyDescent="0.2">
      <c r="DY64128" s="185" t="s">
        <v>215</v>
      </c>
    </row>
    <row r="64129" spans="129:129" x14ac:dyDescent="0.2">
      <c r="DY64129" s="185" t="s">
        <v>215</v>
      </c>
    </row>
    <row r="64130" spans="129:129" x14ac:dyDescent="0.2">
      <c r="DY64130" s="185" t="s">
        <v>215</v>
      </c>
    </row>
    <row r="64131" spans="129:129" x14ac:dyDescent="0.2">
      <c r="DY64131" s="185" t="s">
        <v>215</v>
      </c>
    </row>
    <row r="64132" spans="129:129" x14ac:dyDescent="0.2">
      <c r="DY64132" s="185" t="s">
        <v>215</v>
      </c>
    </row>
    <row r="64133" spans="129:129" x14ac:dyDescent="0.2">
      <c r="DY64133" s="185" t="s">
        <v>215</v>
      </c>
    </row>
    <row r="64134" spans="129:129" x14ac:dyDescent="0.2">
      <c r="DY64134" s="185" t="s">
        <v>215</v>
      </c>
    </row>
    <row r="64135" spans="129:129" x14ac:dyDescent="0.2">
      <c r="DY64135" s="185" t="s">
        <v>215</v>
      </c>
    </row>
    <row r="64136" spans="129:129" x14ac:dyDescent="0.2">
      <c r="DY64136" s="185" t="s">
        <v>215</v>
      </c>
    </row>
    <row r="64137" spans="129:129" x14ac:dyDescent="0.2">
      <c r="DY64137" s="185" t="s">
        <v>215</v>
      </c>
    </row>
    <row r="64138" spans="129:129" x14ac:dyDescent="0.2">
      <c r="DY64138" s="185" t="s">
        <v>215</v>
      </c>
    </row>
    <row r="64139" spans="129:129" x14ac:dyDescent="0.2">
      <c r="DY64139" s="185" t="s">
        <v>215</v>
      </c>
    </row>
    <row r="64140" spans="129:129" x14ac:dyDescent="0.2">
      <c r="DY64140" s="185" t="s">
        <v>215</v>
      </c>
    </row>
    <row r="64141" spans="129:129" x14ac:dyDescent="0.2">
      <c r="DY64141" s="185" t="s">
        <v>215</v>
      </c>
    </row>
    <row r="64142" spans="129:129" x14ac:dyDescent="0.2">
      <c r="DY64142" s="185" t="s">
        <v>215</v>
      </c>
    </row>
    <row r="64143" spans="129:129" x14ac:dyDescent="0.2">
      <c r="DY64143" s="185" t="s">
        <v>215</v>
      </c>
    </row>
    <row r="64144" spans="129:129" x14ac:dyDescent="0.2">
      <c r="DY64144" s="185" t="s">
        <v>215</v>
      </c>
    </row>
    <row r="64145" spans="129:129" x14ac:dyDescent="0.2">
      <c r="DY64145" s="185" t="s">
        <v>215</v>
      </c>
    </row>
    <row r="64146" spans="129:129" x14ac:dyDescent="0.2">
      <c r="DY64146" s="185" t="s">
        <v>215</v>
      </c>
    </row>
    <row r="64147" spans="129:129" x14ac:dyDescent="0.2">
      <c r="DY64147" s="185" t="s">
        <v>215</v>
      </c>
    </row>
    <row r="64148" spans="129:129" x14ac:dyDescent="0.2">
      <c r="DY64148" s="185" t="s">
        <v>215</v>
      </c>
    </row>
    <row r="64149" spans="129:129" x14ac:dyDescent="0.2">
      <c r="DY64149" s="185" t="s">
        <v>215</v>
      </c>
    </row>
    <row r="64150" spans="129:129" x14ac:dyDescent="0.2">
      <c r="DY64150" s="185" t="s">
        <v>215</v>
      </c>
    </row>
    <row r="64151" spans="129:129" x14ac:dyDescent="0.2">
      <c r="DY64151" s="185" t="s">
        <v>215</v>
      </c>
    </row>
    <row r="64152" spans="129:129" x14ac:dyDescent="0.2">
      <c r="DY64152" s="185" t="s">
        <v>215</v>
      </c>
    </row>
    <row r="64153" spans="129:129" x14ac:dyDescent="0.2">
      <c r="DY64153" s="185" t="s">
        <v>215</v>
      </c>
    </row>
    <row r="64154" spans="129:129" x14ac:dyDescent="0.2">
      <c r="DY64154" s="185" t="s">
        <v>215</v>
      </c>
    </row>
    <row r="64155" spans="129:129" x14ac:dyDescent="0.2">
      <c r="DY64155" s="185" t="s">
        <v>215</v>
      </c>
    </row>
    <row r="64156" spans="129:129" x14ac:dyDescent="0.2">
      <c r="DY64156" s="185" t="s">
        <v>215</v>
      </c>
    </row>
    <row r="64157" spans="129:129" x14ac:dyDescent="0.2">
      <c r="DY64157" s="185" t="s">
        <v>215</v>
      </c>
    </row>
    <row r="64158" spans="129:129" x14ac:dyDescent="0.2">
      <c r="DY64158" s="185" t="s">
        <v>215</v>
      </c>
    </row>
    <row r="64159" spans="129:129" x14ac:dyDescent="0.2">
      <c r="DY64159" s="185" t="s">
        <v>215</v>
      </c>
    </row>
    <row r="64160" spans="129:129" x14ac:dyDescent="0.2">
      <c r="DY64160" s="185" t="s">
        <v>215</v>
      </c>
    </row>
    <row r="64161" spans="129:129" x14ac:dyDescent="0.2">
      <c r="DY64161" s="185" t="s">
        <v>215</v>
      </c>
    </row>
    <row r="64162" spans="129:129" x14ac:dyDescent="0.2">
      <c r="DY64162" s="185" t="s">
        <v>215</v>
      </c>
    </row>
    <row r="64163" spans="129:129" x14ac:dyDescent="0.2">
      <c r="DY64163" s="185" t="s">
        <v>215</v>
      </c>
    </row>
    <row r="64164" spans="129:129" x14ac:dyDescent="0.2">
      <c r="DY64164" s="185" t="s">
        <v>215</v>
      </c>
    </row>
    <row r="64165" spans="129:129" x14ac:dyDescent="0.2">
      <c r="DY64165" s="185" t="s">
        <v>215</v>
      </c>
    </row>
    <row r="64166" spans="129:129" x14ac:dyDescent="0.2">
      <c r="DY64166" s="185" t="s">
        <v>215</v>
      </c>
    </row>
    <row r="64167" spans="129:129" x14ac:dyDescent="0.2">
      <c r="DY64167" s="185" t="s">
        <v>215</v>
      </c>
    </row>
    <row r="64168" spans="129:129" x14ac:dyDescent="0.2">
      <c r="DY64168" s="185" t="s">
        <v>215</v>
      </c>
    </row>
    <row r="64169" spans="129:129" x14ac:dyDescent="0.2">
      <c r="DY64169" s="185" t="s">
        <v>215</v>
      </c>
    </row>
    <row r="64170" spans="129:129" x14ac:dyDescent="0.2">
      <c r="DY64170" s="185" t="s">
        <v>215</v>
      </c>
    </row>
    <row r="64171" spans="129:129" x14ac:dyDescent="0.2">
      <c r="DY64171" s="185" t="s">
        <v>215</v>
      </c>
    </row>
    <row r="64172" spans="129:129" x14ac:dyDescent="0.2">
      <c r="DY64172" s="185" t="s">
        <v>215</v>
      </c>
    </row>
    <row r="64173" spans="129:129" x14ac:dyDescent="0.2">
      <c r="DY64173" s="185" t="s">
        <v>215</v>
      </c>
    </row>
    <row r="64174" spans="129:129" x14ac:dyDescent="0.2">
      <c r="DY64174" s="185" t="s">
        <v>215</v>
      </c>
    </row>
    <row r="64175" spans="129:129" x14ac:dyDescent="0.2">
      <c r="DY64175" s="185" t="s">
        <v>215</v>
      </c>
    </row>
    <row r="64176" spans="129:129" x14ac:dyDescent="0.2">
      <c r="DY64176" s="185" t="s">
        <v>215</v>
      </c>
    </row>
    <row r="64177" spans="129:129" x14ac:dyDescent="0.2">
      <c r="DY64177" s="185" t="s">
        <v>215</v>
      </c>
    </row>
    <row r="64178" spans="129:129" x14ac:dyDescent="0.2">
      <c r="DY64178" s="185" t="s">
        <v>215</v>
      </c>
    </row>
    <row r="64179" spans="129:129" x14ac:dyDescent="0.2">
      <c r="DY64179" s="185" t="s">
        <v>215</v>
      </c>
    </row>
    <row r="64180" spans="129:129" x14ac:dyDescent="0.2">
      <c r="DY64180" s="185" t="s">
        <v>215</v>
      </c>
    </row>
    <row r="64181" spans="129:129" x14ac:dyDescent="0.2">
      <c r="DY64181" s="185" t="s">
        <v>215</v>
      </c>
    </row>
    <row r="64182" spans="129:129" x14ac:dyDescent="0.2">
      <c r="DY64182" s="185" t="s">
        <v>215</v>
      </c>
    </row>
    <row r="64183" spans="129:129" x14ac:dyDescent="0.2">
      <c r="DY64183" s="185" t="s">
        <v>215</v>
      </c>
    </row>
    <row r="64184" spans="129:129" x14ac:dyDescent="0.2">
      <c r="DY64184" s="185" t="s">
        <v>215</v>
      </c>
    </row>
    <row r="64185" spans="129:129" x14ac:dyDescent="0.2">
      <c r="DY64185" s="185" t="s">
        <v>215</v>
      </c>
    </row>
    <row r="64186" spans="129:129" x14ac:dyDescent="0.2">
      <c r="DY64186" s="185" t="s">
        <v>215</v>
      </c>
    </row>
    <row r="64187" spans="129:129" x14ac:dyDescent="0.2">
      <c r="DY64187" s="185" t="s">
        <v>215</v>
      </c>
    </row>
    <row r="64188" spans="129:129" x14ac:dyDescent="0.2">
      <c r="DY64188" s="185" t="s">
        <v>215</v>
      </c>
    </row>
    <row r="64189" spans="129:129" x14ac:dyDescent="0.2">
      <c r="DY64189" s="185" t="s">
        <v>215</v>
      </c>
    </row>
    <row r="64190" spans="129:129" x14ac:dyDescent="0.2">
      <c r="DY64190" s="185" t="s">
        <v>215</v>
      </c>
    </row>
    <row r="64191" spans="129:129" x14ac:dyDescent="0.2">
      <c r="DY64191" s="185" t="s">
        <v>215</v>
      </c>
    </row>
    <row r="64192" spans="129:129" x14ac:dyDescent="0.2">
      <c r="DY64192" s="185" t="s">
        <v>215</v>
      </c>
    </row>
    <row r="64193" spans="129:129" x14ac:dyDescent="0.2">
      <c r="DY64193" s="185" t="s">
        <v>215</v>
      </c>
    </row>
    <row r="64194" spans="129:129" x14ac:dyDescent="0.2">
      <c r="DY64194" s="185" t="s">
        <v>215</v>
      </c>
    </row>
    <row r="64195" spans="129:129" x14ac:dyDescent="0.2">
      <c r="DY64195" s="185" t="s">
        <v>215</v>
      </c>
    </row>
    <row r="64196" spans="129:129" x14ac:dyDescent="0.2">
      <c r="DY64196" s="185" t="s">
        <v>215</v>
      </c>
    </row>
    <row r="64197" spans="129:129" x14ac:dyDescent="0.2">
      <c r="DY64197" s="185" t="s">
        <v>215</v>
      </c>
    </row>
    <row r="64198" spans="129:129" x14ac:dyDescent="0.2">
      <c r="DY64198" s="185" t="s">
        <v>215</v>
      </c>
    </row>
    <row r="64199" spans="129:129" x14ac:dyDescent="0.2">
      <c r="DY64199" s="185" t="s">
        <v>215</v>
      </c>
    </row>
    <row r="64200" spans="129:129" x14ac:dyDescent="0.2">
      <c r="DY64200" s="185" t="s">
        <v>215</v>
      </c>
    </row>
    <row r="64201" spans="129:129" x14ac:dyDescent="0.2">
      <c r="DY64201" s="185" t="s">
        <v>215</v>
      </c>
    </row>
    <row r="64202" spans="129:129" x14ac:dyDescent="0.2">
      <c r="DY64202" s="185" t="s">
        <v>215</v>
      </c>
    </row>
    <row r="64203" spans="129:129" x14ac:dyDescent="0.2">
      <c r="DY64203" s="185" t="s">
        <v>215</v>
      </c>
    </row>
    <row r="64204" spans="129:129" x14ac:dyDescent="0.2">
      <c r="DY64204" s="185" t="s">
        <v>215</v>
      </c>
    </row>
    <row r="64205" spans="129:129" x14ac:dyDescent="0.2">
      <c r="DY64205" s="185" t="s">
        <v>215</v>
      </c>
    </row>
    <row r="64206" spans="129:129" x14ac:dyDescent="0.2">
      <c r="DY64206" s="185" t="s">
        <v>215</v>
      </c>
    </row>
    <row r="64207" spans="129:129" x14ac:dyDescent="0.2">
      <c r="DY64207" s="185" t="s">
        <v>215</v>
      </c>
    </row>
    <row r="64208" spans="129:129" x14ac:dyDescent="0.2">
      <c r="DY64208" s="185" t="s">
        <v>215</v>
      </c>
    </row>
    <row r="64209" spans="129:129" x14ac:dyDescent="0.2">
      <c r="DY64209" s="185" t="s">
        <v>215</v>
      </c>
    </row>
    <row r="64210" spans="129:129" x14ac:dyDescent="0.2">
      <c r="DY64210" s="185" t="s">
        <v>215</v>
      </c>
    </row>
    <row r="64211" spans="129:129" x14ac:dyDescent="0.2">
      <c r="DY64211" s="185" t="s">
        <v>215</v>
      </c>
    </row>
    <row r="64212" spans="129:129" x14ac:dyDescent="0.2">
      <c r="DY64212" s="185" t="s">
        <v>215</v>
      </c>
    </row>
    <row r="64213" spans="129:129" x14ac:dyDescent="0.2">
      <c r="DY64213" s="185" t="s">
        <v>215</v>
      </c>
    </row>
    <row r="64214" spans="129:129" x14ac:dyDescent="0.2">
      <c r="DY64214" s="185" t="s">
        <v>215</v>
      </c>
    </row>
    <row r="64215" spans="129:129" x14ac:dyDescent="0.2">
      <c r="DY64215" s="185" t="s">
        <v>215</v>
      </c>
    </row>
    <row r="64216" spans="129:129" x14ac:dyDescent="0.2">
      <c r="DY64216" s="185" t="s">
        <v>215</v>
      </c>
    </row>
    <row r="64217" spans="129:129" x14ac:dyDescent="0.2">
      <c r="DY64217" s="185" t="s">
        <v>215</v>
      </c>
    </row>
    <row r="64218" spans="129:129" x14ac:dyDescent="0.2">
      <c r="DY64218" s="185" t="s">
        <v>215</v>
      </c>
    </row>
    <row r="64219" spans="129:129" x14ac:dyDescent="0.2">
      <c r="DY64219" s="185" t="s">
        <v>215</v>
      </c>
    </row>
    <row r="64220" spans="129:129" x14ac:dyDescent="0.2">
      <c r="DY64220" s="185" t="s">
        <v>215</v>
      </c>
    </row>
    <row r="64221" spans="129:129" x14ac:dyDescent="0.2">
      <c r="DY64221" s="185" t="s">
        <v>215</v>
      </c>
    </row>
    <row r="64222" spans="129:129" x14ac:dyDescent="0.2">
      <c r="DY64222" s="185" t="s">
        <v>215</v>
      </c>
    </row>
    <row r="64223" spans="129:129" x14ac:dyDescent="0.2">
      <c r="DY64223" s="185" t="s">
        <v>215</v>
      </c>
    </row>
    <row r="64224" spans="129:129" x14ac:dyDescent="0.2">
      <c r="DY64224" s="185" t="s">
        <v>215</v>
      </c>
    </row>
    <row r="64225" spans="129:129" x14ac:dyDescent="0.2">
      <c r="DY64225" s="185" t="s">
        <v>215</v>
      </c>
    </row>
    <row r="64226" spans="129:129" x14ac:dyDescent="0.2">
      <c r="DY64226" s="185" t="s">
        <v>215</v>
      </c>
    </row>
    <row r="64227" spans="129:129" x14ac:dyDescent="0.2">
      <c r="DY64227" s="185" t="s">
        <v>215</v>
      </c>
    </row>
    <row r="64228" spans="129:129" x14ac:dyDescent="0.2">
      <c r="DY64228" s="185" t="s">
        <v>215</v>
      </c>
    </row>
    <row r="64229" spans="129:129" x14ac:dyDescent="0.2">
      <c r="DY64229" s="185" t="s">
        <v>215</v>
      </c>
    </row>
    <row r="64230" spans="129:129" x14ac:dyDescent="0.2">
      <c r="DY64230" s="185" t="s">
        <v>215</v>
      </c>
    </row>
    <row r="64231" spans="129:129" x14ac:dyDescent="0.2">
      <c r="DY64231" s="185" t="s">
        <v>215</v>
      </c>
    </row>
    <row r="64232" spans="129:129" x14ac:dyDescent="0.2">
      <c r="DY64232" s="185" t="s">
        <v>215</v>
      </c>
    </row>
    <row r="64233" spans="129:129" x14ac:dyDescent="0.2">
      <c r="DY64233" s="185" t="s">
        <v>215</v>
      </c>
    </row>
    <row r="64234" spans="129:129" x14ac:dyDescent="0.2">
      <c r="DY64234" s="185" t="s">
        <v>215</v>
      </c>
    </row>
    <row r="64235" spans="129:129" x14ac:dyDescent="0.2">
      <c r="DY64235" s="185" t="s">
        <v>215</v>
      </c>
    </row>
    <row r="64236" spans="129:129" x14ac:dyDescent="0.2">
      <c r="DY64236" s="185" t="s">
        <v>215</v>
      </c>
    </row>
    <row r="64237" spans="129:129" x14ac:dyDescent="0.2">
      <c r="DY64237" s="185" t="s">
        <v>215</v>
      </c>
    </row>
    <row r="64238" spans="129:129" x14ac:dyDescent="0.2">
      <c r="DY64238" s="185" t="s">
        <v>215</v>
      </c>
    </row>
    <row r="64239" spans="129:129" x14ac:dyDescent="0.2">
      <c r="DY64239" s="185" t="s">
        <v>215</v>
      </c>
    </row>
    <row r="64240" spans="129:129" x14ac:dyDescent="0.2">
      <c r="DY64240" s="185" t="s">
        <v>215</v>
      </c>
    </row>
    <row r="64241" spans="129:129" x14ac:dyDescent="0.2">
      <c r="DY64241" s="185" t="s">
        <v>215</v>
      </c>
    </row>
    <row r="64242" spans="129:129" x14ac:dyDescent="0.2">
      <c r="DY64242" s="185" t="s">
        <v>215</v>
      </c>
    </row>
    <row r="64243" spans="129:129" x14ac:dyDescent="0.2">
      <c r="DY64243" s="185" t="s">
        <v>215</v>
      </c>
    </row>
    <row r="64244" spans="129:129" x14ac:dyDescent="0.2">
      <c r="DY64244" s="185" t="s">
        <v>215</v>
      </c>
    </row>
    <row r="64245" spans="129:129" x14ac:dyDescent="0.2">
      <c r="DY64245" s="185" t="s">
        <v>215</v>
      </c>
    </row>
    <row r="64246" spans="129:129" x14ac:dyDescent="0.2">
      <c r="DY64246" s="185" t="s">
        <v>215</v>
      </c>
    </row>
    <row r="64247" spans="129:129" x14ac:dyDescent="0.2">
      <c r="DY64247" s="185" t="s">
        <v>215</v>
      </c>
    </row>
    <row r="64248" spans="129:129" x14ac:dyDescent="0.2">
      <c r="DY64248" s="185" t="s">
        <v>215</v>
      </c>
    </row>
    <row r="64249" spans="129:129" x14ac:dyDescent="0.2">
      <c r="DY64249" s="185" t="s">
        <v>215</v>
      </c>
    </row>
    <row r="64250" spans="129:129" x14ac:dyDescent="0.2">
      <c r="DY64250" s="185" t="s">
        <v>215</v>
      </c>
    </row>
    <row r="64251" spans="129:129" x14ac:dyDescent="0.2">
      <c r="DY64251" s="185" t="s">
        <v>215</v>
      </c>
    </row>
    <row r="64252" spans="129:129" x14ac:dyDescent="0.2">
      <c r="DY64252" s="185" t="s">
        <v>215</v>
      </c>
    </row>
    <row r="64253" spans="129:129" x14ac:dyDescent="0.2">
      <c r="DY64253" s="185" t="s">
        <v>215</v>
      </c>
    </row>
    <row r="64254" spans="129:129" x14ac:dyDescent="0.2">
      <c r="DY64254" s="185" t="s">
        <v>215</v>
      </c>
    </row>
    <row r="64255" spans="129:129" x14ac:dyDescent="0.2">
      <c r="DY64255" s="185" t="s">
        <v>215</v>
      </c>
    </row>
    <row r="64256" spans="129:129" x14ac:dyDescent="0.2">
      <c r="DY64256" s="185" t="s">
        <v>215</v>
      </c>
    </row>
    <row r="64257" spans="129:129" x14ac:dyDescent="0.2">
      <c r="DY64257" s="185" t="s">
        <v>215</v>
      </c>
    </row>
    <row r="64258" spans="129:129" x14ac:dyDescent="0.2">
      <c r="DY64258" s="185" t="s">
        <v>215</v>
      </c>
    </row>
    <row r="64259" spans="129:129" x14ac:dyDescent="0.2">
      <c r="DY64259" s="185" t="s">
        <v>215</v>
      </c>
    </row>
    <row r="64260" spans="129:129" x14ac:dyDescent="0.2">
      <c r="DY64260" s="185" t="s">
        <v>215</v>
      </c>
    </row>
    <row r="64261" spans="129:129" x14ac:dyDescent="0.2">
      <c r="DY64261" s="185" t="s">
        <v>215</v>
      </c>
    </row>
    <row r="64262" spans="129:129" x14ac:dyDescent="0.2">
      <c r="DY64262" s="185" t="s">
        <v>215</v>
      </c>
    </row>
    <row r="64263" spans="129:129" x14ac:dyDescent="0.2">
      <c r="DY64263" s="185" t="s">
        <v>215</v>
      </c>
    </row>
    <row r="64264" spans="129:129" x14ac:dyDescent="0.2">
      <c r="DY64264" s="185" t="s">
        <v>215</v>
      </c>
    </row>
    <row r="64265" spans="129:129" x14ac:dyDescent="0.2">
      <c r="DY64265" s="185" t="s">
        <v>215</v>
      </c>
    </row>
    <row r="64266" spans="129:129" x14ac:dyDescent="0.2">
      <c r="DY64266" s="185" t="s">
        <v>215</v>
      </c>
    </row>
    <row r="64267" spans="129:129" x14ac:dyDescent="0.2">
      <c r="DY64267" s="185" t="s">
        <v>215</v>
      </c>
    </row>
    <row r="64268" spans="129:129" x14ac:dyDescent="0.2">
      <c r="DY64268" s="185" t="s">
        <v>215</v>
      </c>
    </row>
    <row r="64269" spans="129:129" x14ac:dyDescent="0.2">
      <c r="DY64269" s="185" t="s">
        <v>215</v>
      </c>
    </row>
    <row r="64270" spans="129:129" x14ac:dyDescent="0.2">
      <c r="DY64270" s="185" t="s">
        <v>215</v>
      </c>
    </row>
    <row r="64271" spans="129:129" x14ac:dyDescent="0.2">
      <c r="DY64271" s="185" t="s">
        <v>215</v>
      </c>
    </row>
    <row r="64272" spans="129:129" x14ac:dyDescent="0.2">
      <c r="DY64272" s="185" t="s">
        <v>215</v>
      </c>
    </row>
    <row r="64273" spans="129:129" x14ac:dyDescent="0.2">
      <c r="DY64273" s="185" t="s">
        <v>215</v>
      </c>
    </row>
    <row r="64274" spans="129:129" x14ac:dyDescent="0.2">
      <c r="DY64274" s="185" t="s">
        <v>215</v>
      </c>
    </row>
    <row r="64275" spans="129:129" x14ac:dyDescent="0.2">
      <c r="DY64275" s="185" t="s">
        <v>215</v>
      </c>
    </row>
    <row r="64276" spans="129:129" x14ac:dyDescent="0.2">
      <c r="DY64276" s="185" t="s">
        <v>215</v>
      </c>
    </row>
    <row r="64277" spans="129:129" x14ac:dyDescent="0.2">
      <c r="DY64277" s="185" t="s">
        <v>215</v>
      </c>
    </row>
    <row r="64278" spans="129:129" x14ac:dyDescent="0.2">
      <c r="DY64278" s="185" t="s">
        <v>215</v>
      </c>
    </row>
    <row r="64279" spans="129:129" x14ac:dyDescent="0.2">
      <c r="DY64279" s="185" t="s">
        <v>215</v>
      </c>
    </row>
    <row r="64280" spans="129:129" x14ac:dyDescent="0.2">
      <c r="DY64280" s="185" t="s">
        <v>215</v>
      </c>
    </row>
    <row r="64281" spans="129:129" x14ac:dyDescent="0.2">
      <c r="DY64281" s="185" t="s">
        <v>215</v>
      </c>
    </row>
    <row r="64282" spans="129:129" x14ac:dyDescent="0.2">
      <c r="DY64282" s="185" t="s">
        <v>215</v>
      </c>
    </row>
    <row r="64283" spans="129:129" x14ac:dyDescent="0.2">
      <c r="DY64283" s="185" t="s">
        <v>215</v>
      </c>
    </row>
    <row r="64284" spans="129:129" x14ac:dyDescent="0.2">
      <c r="DY64284" s="185" t="s">
        <v>215</v>
      </c>
    </row>
    <row r="64285" spans="129:129" x14ac:dyDescent="0.2">
      <c r="DY64285" s="185" t="s">
        <v>215</v>
      </c>
    </row>
    <row r="64286" spans="129:129" x14ac:dyDescent="0.2">
      <c r="DY64286" s="185" t="s">
        <v>215</v>
      </c>
    </row>
    <row r="64287" spans="129:129" x14ac:dyDescent="0.2">
      <c r="DY64287" s="185" t="s">
        <v>215</v>
      </c>
    </row>
    <row r="64288" spans="129:129" x14ac:dyDescent="0.2">
      <c r="DY64288" s="185" t="s">
        <v>215</v>
      </c>
    </row>
    <row r="64289" spans="129:129" x14ac:dyDescent="0.2">
      <c r="DY64289" s="185" t="s">
        <v>215</v>
      </c>
    </row>
    <row r="64290" spans="129:129" x14ac:dyDescent="0.2">
      <c r="DY64290" s="185" t="s">
        <v>215</v>
      </c>
    </row>
    <row r="64291" spans="129:129" x14ac:dyDescent="0.2">
      <c r="DY64291" s="185" t="s">
        <v>215</v>
      </c>
    </row>
    <row r="64292" spans="129:129" x14ac:dyDescent="0.2">
      <c r="DY64292" s="185" t="s">
        <v>215</v>
      </c>
    </row>
    <row r="64293" spans="129:129" x14ac:dyDescent="0.2">
      <c r="DY64293" s="185" t="s">
        <v>215</v>
      </c>
    </row>
    <row r="64294" spans="129:129" x14ac:dyDescent="0.2">
      <c r="DY64294" s="185" t="s">
        <v>215</v>
      </c>
    </row>
    <row r="64295" spans="129:129" x14ac:dyDescent="0.2">
      <c r="DY64295" s="185" t="s">
        <v>215</v>
      </c>
    </row>
    <row r="64296" spans="129:129" x14ac:dyDescent="0.2">
      <c r="DY64296" s="185" t="s">
        <v>215</v>
      </c>
    </row>
    <row r="64297" spans="129:129" x14ac:dyDescent="0.2">
      <c r="DY64297" s="185" t="s">
        <v>215</v>
      </c>
    </row>
    <row r="64298" spans="129:129" x14ac:dyDescent="0.2">
      <c r="DY64298" s="185" t="s">
        <v>215</v>
      </c>
    </row>
    <row r="64299" spans="129:129" x14ac:dyDescent="0.2">
      <c r="DY64299" s="185" t="s">
        <v>215</v>
      </c>
    </row>
    <row r="64300" spans="129:129" x14ac:dyDescent="0.2">
      <c r="DY64300" s="185" t="s">
        <v>215</v>
      </c>
    </row>
    <row r="64301" spans="129:129" x14ac:dyDescent="0.2">
      <c r="DY64301" s="185" t="s">
        <v>215</v>
      </c>
    </row>
    <row r="64302" spans="129:129" x14ac:dyDescent="0.2">
      <c r="DY64302" s="185" t="s">
        <v>215</v>
      </c>
    </row>
    <row r="64303" spans="129:129" x14ac:dyDescent="0.2">
      <c r="DY64303" s="185" t="s">
        <v>215</v>
      </c>
    </row>
    <row r="64304" spans="129:129" x14ac:dyDescent="0.2">
      <c r="DY64304" s="185" t="s">
        <v>215</v>
      </c>
    </row>
    <row r="64305" spans="129:129" x14ac:dyDescent="0.2">
      <c r="DY64305" s="185" t="s">
        <v>215</v>
      </c>
    </row>
    <row r="64306" spans="129:129" x14ac:dyDescent="0.2">
      <c r="DY64306" s="185" t="s">
        <v>215</v>
      </c>
    </row>
    <row r="64307" spans="129:129" x14ac:dyDescent="0.2">
      <c r="DY64307" s="185" t="s">
        <v>215</v>
      </c>
    </row>
    <row r="64308" spans="129:129" x14ac:dyDescent="0.2">
      <c r="DY64308" s="185" t="s">
        <v>215</v>
      </c>
    </row>
    <row r="64309" spans="129:129" x14ac:dyDescent="0.2">
      <c r="DY64309" s="185" t="s">
        <v>215</v>
      </c>
    </row>
    <row r="64310" spans="129:129" x14ac:dyDescent="0.2">
      <c r="DY64310" s="185" t="s">
        <v>215</v>
      </c>
    </row>
    <row r="64311" spans="129:129" x14ac:dyDescent="0.2">
      <c r="DY64311" s="185" t="s">
        <v>215</v>
      </c>
    </row>
    <row r="64312" spans="129:129" x14ac:dyDescent="0.2">
      <c r="DY64312" s="185" t="s">
        <v>215</v>
      </c>
    </row>
    <row r="64313" spans="129:129" x14ac:dyDescent="0.2">
      <c r="DY64313" s="185" t="s">
        <v>215</v>
      </c>
    </row>
    <row r="64314" spans="129:129" x14ac:dyDescent="0.2">
      <c r="DY64314" s="185" t="s">
        <v>215</v>
      </c>
    </row>
    <row r="64315" spans="129:129" x14ac:dyDescent="0.2">
      <c r="DY64315" s="185" t="s">
        <v>215</v>
      </c>
    </row>
    <row r="64316" spans="129:129" x14ac:dyDescent="0.2">
      <c r="DY64316" s="185" t="s">
        <v>215</v>
      </c>
    </row>
    <row r="64317" spans="129:129" x14ac:dyDescent="0.2">
      <c r="DY64317" s="185" t="s">
        <v>215</v>
      </c>
    </row>
    <row r="64318" spans="129:129" x14ac:dyDescent="0.2">
      <c r="DY64318" s="185" t="s">
        <v>215</v>
      </c>
    </row>
    <row r="64319" spans="129:129" x14ac:dyDescent="0.2">
      <c r="DY64319" s="185" t="s">
        <v>215</v>
      </c>
    </row>
    <row r="64320" spans="129:129" x14ac:dyDescent="0.2">
      <c r="DY64320" s="185" t="s">
        <v>215</v>
      </c>
    </row>
    <row r="64321" spans="129:129" x14ac:dyDescent="0.2">
      <c r="DY64321" s="185" t="s">
        <v>215</v>
      </c>
    </row>
    <row r="64322" spans="129:129" x14ac:dyDescent="0.2">
      <c r="DY64322" s="185" t="s">
        <v>215</v>
      </c>
    </row>
    <row r="64323" spans="129:129" x14ac:dyDescent="0.2">
      <c r="DY64323" s="185" t="s">
        <v>215</v>
      </c>
    </row>
    <row r="64324" spans="129:129" x14ac:dyDescent="0.2">
      <c r="DY64324" s="185" t="s">
        <v>215</v>
      </c>
    </row>
    <row r="64325" spans="129:129" x14ac:dyDescent="0.2">
      <c r="DY64325" s="185" t="s">
        <v>215</v>
      </c>
    </row>
    <row r="64326" spans="129:129" x14ac:dyDescent="0.2">
      <c r="DY64326" s="185" t="s">
        <v>215</v>
      </c>
    </row>
    <row r="64327" spans="129:129" x14ac:dyDescent="0.2">
      <c r="DY64327" s="185" t="s">
        <v>215</v>
      </c>
    </row>
    <row r="64328" spans="129:129" x14ac:dyDescent="0.2">
      <c r="DY64328" s="185" t="s">
        <v>215</v>
      </c>
    </row>
    <row r="64329" spans="129:129" x14ac:dyDescent="0.2">
      <c r="DY64329" s="185" t="s">
        <v>215</v>
      </c>
    </row>
    <row r="64330" spans="129:129" x14ac:dyDescent="0.2">
      <c r="DY64330" s="185" t="s">
        <v>215</v>
      </c>
    </row>
    <row r="64331" spans="129:129" x14ac:dyDescent="0.2">
      <c r="DY64331" s="185" t="s">
        <v>215</v>
      </c>
    </row>
    <row r="64332" spans="129:129" x14ac:dyDescent="0.2">
      <c r="DY64332" s="185" t="s">
        <v>215</v>
      </c>
    </row>
    <row r="64333" spans="129:129" x14ac:dyDescent="0.2">
      <c r="DY64333" s="185" t="s">
        <v>215</v>
      </c>
    </row>
    <row r="64334" spans="129:129" x14ac:dyDescent="0.2">
      <c r="DY64334" s="185" t="s">
        <v>215</v>
      </c>
    </row>
    <row r="64335" spans="129:129" x14ac:dyDescent="0.2">
      <c r="DY64335" s="185" t="s">
        <v>215</v>
      </c>
    </row>
    <row r="64336" spans="129:129" x14ac:dyDescent="0.2">
      <c r="DY64336" s="185" t="s">
        <v>215</v>
      </c>
    </row>
    <row r="64337" spans="129:129" x14ac:dyDescent="0.2">
      <c r="DY64337" s="185" t="s">
        <v>215</v>
      </c>
    </row>
    <row r="64338" spans="129:129" x14ac:dyDescent="0.2">
      <c r="DY64338" s="185" t="s">
        <v>215</v>
      </c>
    </row>
    <row r="64339" spans="129:129" x14ac:dyDescent="0.2">
      <c r="DY64339" s="185" t="s">
        <v>215</v>
      </c>
    </row>
    <row r="64340" spans="129:129" x14ac:dyDescent="0.2">
      <c r="DY64340" s="185" t="s">
        <v>215</v>
      </c>
    </row>
    <row r="64341" spans="129:129" x14ac:dyDescent="0.2">
      <c r="DY64341" s="185" t="s">
        <v>215</v>
      </c>
    </row>
    <row r="64342" spans="129:129" x14ac:dyDescent="0.2">
      <c r="DY64342" s="185" t="s">
        <v>215</v>
      </c>
    </row>
    <row r="64343" spans="129:129" x14ac:dyDescent="0.2">
      <c r="DY64343" s="185" t="s">
        <v>215</v>
      </c>
    </row>
    <row r="64344" spans="129:129" x14ac:dyDescent="0.2">
      <c r="DY64344" s="185" t="s">
        <v>215</v>
      </c>
    </row>
    <row r="64345" spans="129:129" x14ac:dyDescent="0.2">
      <c r="DY64345" s="185" t="s">
        <v>215</v>
      </c>
    </row>
    <row r="64346" spans="129:129" x14ac:dyDescent="0.2">
      <c r="DY64346" s="185" t="s">
        <v>215</v>
      </c>
    </row>
    <row r="64347" spans="129:129" x14ac:dyDescent="0.2">
      <c r="DY64347" s="185" t="s">
        <v>215</v>
      </c>
    </row>
    <row r="64348" spans="129:129" x14ac:dyDescent="0.2">
      <c r="DY64348" s="185" t="s">
        <v>215</v>
      </c>
    </row>
    <row r="64349" spans="129:129" x14ac:dyDescent="0.2">
      <c r="DY64349" s="185" t="s">
        <v>215</v>
      </c>
    </row>
    <row r="64350" spans="129:129" x14ac:dyDescent="0.2">
      <c r="DY64350" s="185" t="s">
        <v>215</v>
      </c>
    </row>
    <row r="64351" spans="129:129" x14ac:dyDescent="0.2">
      <c r="DY64351" s="185" t="s">
        <v>215</v>
      </c>
    </row>
    <row r="64352" spans="129:129" x14ac:dyDescent="0.2">
      <c r="DY64352" s="185" t="s">
        <v>215</v>
      </c>
    </row>
    <row r="64353" spans="129:129" x14ac:dyDescent="0.2">
      <c r="DY64353" s="185" t="s">
        <v>215</v>
      </c>
    </row>
    <row r="64354" spans="129:129" x14ac:dyDescent="0.2">
      <c r="DY64354" s="185" t="s">
        <v>215</v>
      </c>
    </row>
    <row r="64355" spans="129:129" x14ac:dyDescent="0.2">
      <c r="DY64355" s="185" t="s">
        <v>215</v>
      </c>
    </row>
    <row r="64356" spans="129:129" x14ac:dyDescent="0.2">
      <c r="DY64356" s="185" t="s">
        <v>215</v>
      </c>
    </row>
    <row r="64357" spans="129:129" x14ac:dyDescent="0.2">
      <c r="DY64357" s="185" t="s">
        <v>215</v>
      </c>
    </row>
    <row r="64358" spans="129:129" x14ac:dyDescent="0.2">
      <c r="DY64358" s="185" t="s">
        <v>215</v>
      </c>
    </row>
    <row r="64359" spans="129:129" x14ac:dyDescent="0.2">
      <c r="DY64359" s="185" t="s">
        <v>215</v>
      </c>
    </row>
    <row r="64360" spans="129:129" x14ac:dyDescent="0.2">
      <c r="DY64360" s="185" t="s">
        <v>215</v>
      </c>
    </row>
    <row r="64361" spans="129:129" x14ac:dyDescent="0.2">
      <c r="DY64361" s="185" t="s">
        <v>215</v>
      </c>
    </row>
    <row r="64362" spans="129:129" x14ac:dyDescent="0.2">
      <c r="DY64362" s="185" t="s">
        <v>215</v>
      </c>
    </row>
    <row r="64363" spans="129:129" x14ac:dyDescent="0.2">
      <c r="DY64363" s="185" t="s">
        <v>215</v>
      </c>
    </row>
    <row r="64364" spans="129:129" x14ac:dyDescent="0.2">
      <c r="DY64364" s="185" t="s">
        <v>215</v>
      </c>
    </row>
    <row r="64365" spans="129:129" x14ac:dyDescent="0.2">
      <c r="DY64365" s="185" t="s">
        <v>215</v>
      </c>
    </row>
    <row r="64366" spans="129:129" x14ac:dyDescent="0.2">
      <c r="DY64366" s="185" t="s">
        <v>215</v>
      </c>
    </row>
    <row r="64367" spans="129:129" x14ac:dyDescent="0.2">
      <c r="DY64367" s="185" t="s">
        <v>215</v>
      </c>
    </row>
    <row r="64368" spans="129:129" x14ac:dyDescent="0.2">
      <c r="DY64368" s="185" t="s">
        <v>215</v>
      </c>
    </row>
    <row r="64369" spans="129:129" x14ac:dyDescent="0.2">
      <c r="DY64369" s="185" t="s">
        <v>215</v>
      </c>
    </row>
    <row r="64370" spans="129:129" x14ac:dyDescent="0.2">
      <c r="DY64370" s="185" t="s">
        <v>215</v>
      </c>
    </row>
    <row r="64371" spans="129:129" x14ac:dyDescent="0.2">
      <c r="DY64371" s="185" t="s">
        <v>215</v>
      </c>
    </row>
    <row r="64372" spans="129:129" x14ac:dyDescent="0.2">
      <c r="DY64372" s="185" t="s">
        <v>215</v>
      </c>
    </row>
    <row r="64373" spans="129:129" x14ac:dyDescent="0.2">
      <c r="DY64373" s="185" t="s">
        <v>215</v>
      </c>
    </row>
    <row r="64374" spans="129:129" x14ac:dyDescent="0.2">
      <c r="DY64374" s="185" t="s">
        <v>215</v>
      </c>
    </row>
    <row r="64375" spans="129:129" x14ac:dyDescent="0.2">
      <c r="DY64375" s="185" t="s">
        <v>215</v>
      </c>
    </row>
    <row r="64376" spans="129:129" x14ac:dyDescent="0.2">
      <c r="DY64376" s="185" t="s">
        <v>215</v>
      </c>
    </row>
    <row r="64377" spans="129:129" x14ac:dyDescent="0.2">
      <c r="DY64377" s="185" t="s">
        <v>215</v>
      </c>
    </row>
    <row r="64378" spans="129:129" x14ac:dyDescent="0.2">
      <c r="DY64378" s="185" t="s">
        <v>215</v>
      </c>
    </row>
    <row r="64379" spans="129:129" x14ac:dyDescent="0.2">
      <c r="DY64379" s="185" t="s">
        <v>215</v>
      </c>
    </row>
    <row r="64380" spans="129:129" x14ac:dyDescent="0.2">
      <c r="DY64380" s="185" t="s">
        <v>215</v>
      </c>
    </row>
    <row r="64381" spans="129:129" x14ac:dyDescent="0.2">
      <c r="DY64381" s="185" t="s">
        <v>215</v>
      </c>
    </row>
    <row r="64382" spans="129:129" x14ac:dyDescent="0.2">
      <c r="DY64382" s="185" t="s">
        <v>215</v>
      </c>
    </row>
    <row r="64383" spans="129:129" x14ac:dyDescent="0.2">
      <c r="DY64383" s="185" t="s">
        <v>215</v>
      </c>
    </row>
    <row r="64384" spans="129:129" x14ac:dyDescent="0.2">
      <c r="DY64384" s="185" t="s">
        <v>215</v>
      </c>
    </row>
    <row r="64385" spans="129:129" x14ac:dyDescent="0.2">
      <c r="DY64385" s="185" t="s">
        <v>215</v>
      </c>
    </row>
    <row r="64386" spans="129:129" x14ac:dyDescent="0.2">
      <c r="DY64386" s="185" t="s">
        <v>215</v>
      </c>
    </row>
    <row r="64387" spans="129:129" x14ac:dyDescent="0.2">
      <c r="DY64387" s="185" t="s">
        <v>215</v>
      </c>
    </row>
    <row r="64388" spans="129:129" x14ac:dyDescent="0.2">
      <c r="DY64388" s="185" t="s">
        <v>215</v>
      </c>
    </row>
    <row r="64389" spans="129:129" x14ac:dyDescent="0.2">
      <c r="DY64389" s="185" t="s">
        <v>215</v>
      </c>
    </row>
    <row r="64390" spans="129:129" x14ac:dyDescent="0.2">
      <c r="DY64390" s="185" t="s">
        <v>215</v>
      </c>
    </row>
    <row r="64391" spans="129:129" x14ac:dyDescent="0.2">
      <c r="DY64391" s="185" t="s">
        <v>215</v>
      </c>
    </row>
    <row r="64392" spans="129:129" x14ac:dyDescent="0.2">
      <c r="DY64392" s="185" t="s">
        <v>215</v>
      </c>
    </row>
    <row r="64393" spans="129:129" x14ac:dyDescent="0.2">
      <c r="DY64393" s="185" t="s">
        <v>215</v>
      </c>
    </row>
    <row r="64394" spans="129:129" x14ac:dyDescent="0.2">
      <c r="DY64394" s="185" t="s">
        <v>215</v>
      </c>
    </row>
    <row r="64395" spans="129:129" x14ac:dyDescent="0.2">
      <c r="DY64395" s="185" t="s">
        <v>215</v>
      </c>
    </row>
    <row r="64396" spans="129:129" x14ac:dyDescent="0.2">
      <c r="DY64396" s="185" t="s">
        <v>215</v>
      </c>
    </row>
    <row r="64397" spans="129:129" x14ac:dyDescent="0.2">
      <c r="DY64397" s="185" t="s">
        <v>215</v>
      </c>
    </row>
    <row r="64398" spans="129:129" x14ac:dyDescent="0.2">
      <c r="DY64398" s="185" t="s">
        <v>215</v>
      </c>
    </row>
    <row r="64399" spans="129:129" x14ac:dyDescent="0.2">
      <c r="DY64399" s="185" t="s">
        <v>215</v>
      </c>
    </row>
    <row r="64400" spans="129:129" x14ac:dyDescent="0.2">
      <c r="DY64400" s="185" t="s">
        <v>215</v>
      </c>
    </row>
    <row r="64401" spans="129:129" x14ac:dyDescent="0.2">
      <c r="DY64401" s="185" t="s">
        <v>215</v>
      </c>
    </row>
    <row r="64402" spans="129:129" x14ac:dyDescent="0.2">
      <c r="DY64402" s="185" t="s">
        <v>215</v>
      </c>
    </row>
    <row r="64403" spans="129:129" x14ac:dyDescent="0.2">
      <c r="DY64403" s="185" t="s">
        <v>215</v>
      </c>
    </row>
    <row r="64404" spans="129:129" x14ac:dyDescent="0.2">
      <c r="DY64404" s="185" t="s">
        <v>215</v>
      </c>
    </row>
    <row r="64405" spans="129:129" x14ac:dyDescent="0.2">
      <c r="DY64405" s="185" t="s">
        <v>215</v>
      </c>
    </row>
    <row r="64406" spans="129:129" x14ac:dyDescent="0.2">
      <c r="DY64406" s="185" t="s">
        <v>215</v>
      </c>
    </row>
    <row r="64407" spans="129:129" x14ac:dyDescent="0.2">
      <c r="DY64407" s="185" t="s">
        <v>215</v>
      </c>
    </row>
    <row r="64408" spans="129:129" x14ac:dyDescent="0.2">
      <c r="DY64408" s="185" t="s">
        <v>215</v>
      </c>
    </row>
    <row r="64409" spans="129:129" x14ac:dyDescent="0.2">
      <c r="DY64409" s="185" t="s">
        <v>215</v>
      </c>
    </row>
    <row r="64410" spans="129:129" x14ac:dyDescent="0.2">
      <c r="DY64410" s="185" t="s">
        <v>215</v>
      </c>
    </row>
    <row r="64411" spans="129:129" x14ac:dyDescent="0.2">
      <c r="DY64411" s="185" t="s">
        <v>215</v>
      </c>
    </row>
    <row r="64412" spans="129:129" x14ac:dyDescent="0.2">
      <c r="DY64412" s="185" t="s">
        <v>215</v>
      </c>
    </row>
    <row r="64413" spans="129:129" x14ac:dyDescent="0.2">
      <c r="DY64413" s="185" t="s">
        <v>215</v>
      </c>
    </row>
    <row r="64414" spans="129:129" x14ac:dyDescent="0.2">
      <c r="DY64414" s="185" t="s">
        <v>215</v>
      </c>
    </row>
    <row r="64415" spans="129:129" x14ac:dyDescent="0.2">
      <c r="DY64415" s="185" t="s">
        <v>215</v>
      </c>
    </row>
    <row r="64416" spans="129:129" x14ac:dyDescent="0.2">
      <c r="DY64416" s="185" t="s">
        <v>215</v>
      </c>
    </row>
    <row r="64417" spans="129:129" x14ac:dyDescent="0.2">
      <c r="DY64417" s="185" t="s">
        <v>215</v>
      </c>
    </row>
    <row r="64418" spans="129:129" x14ac:dyDescent="0.2">
      <c r="DY64418" s="185" t="s">
        <v>215</v>
      </c>
    </row>
    <row r="64419" spans="129:129" x14ac:dyDescent="0.2">
      <c r="DY64419" s="185" t="s">
        <v>215</v>
      </c>
    </row>
    <row r="64420" spans="129:129" x14ac:dyDescent="0.2">
      <c r="DY64420" s="185" t="s">
        <v>215</v>
      </c>
    </row>
    <row r="64421" spans="129:129" x14ac:dyDescent="0.2">
      <c r="DY64421" s="185" t="s">
        <v>215</v>
      </c>
    </row>
    <row r="64422" spans="129:129" x14ac:dyDescent="0.2">
      <c r="DY64422" s="185" t="s">
        <v>215</v>
      </c>
    </row>
    <row r="64423" spans="129:129" x14ac:dyDescent="0.2">
      <c r="DY64423" s="185" t="s">
        <v>215</v>
      </c>
    </row>
    <row r="64424" spans="129:129" x14ac:dyDescent="0.2">
      <c r="DY64424" s="185" t="s">
        <v>215</v>
      </c>
    </row>
    <row r="64425" spans="129:129" x14ac:dyDescent="0.2">
      <c r="DY64425" s="185" t="s">
        <v>215</v>
      </c>
    </row>
    <row r="64426" spans="129:129" x14ac:dyDescent="0.2">
      <c r="DY64426" s="185" t="s">
        <v>215</v>
      </c>
    </row>
    <row r="64427" spans="129:129" x14ac:dyDescent="0.2">
      <c r="DY64427" s="185" t="s">
        <v>215</v>
      </c>
    </row>
    <row r="64428" spans="129:129" x14ac:dyDescent="0.2">
      <c r="DY64428" s="185" t="s">
        <v>215</v>
      </c>
    </row>
    <row r="64429" spans="129:129" x14ac:dyDescent="0.2">
      <c r="DY64429" s="185" t="s">
        <v>215</v>
      </c>
    </row>
    <row r="64430" spans="129:129" x14ac:dyDescent="0.2">
      <c r="DY64430" s="185" t="s">
        <v>215</v>
      </c>
    </row>
    <row r="64431" spans="129:129" x14ac:dyDescent="0.2">
      <c r="DY64431" s="185" t="s">
        <v>215</v>
      </c>
    </row>
    <row r="64432" spans="129:129" x14ac:dyDescent="0.2">
      <c r="DY64432" s="185" t="s">
        <v>215</v>
      </c>
    </row>
    <row r="64433" spans="129:129" x14ac:dyDescent="0.2">
      <c r="DY64433" s="185" t="s">
        <v>215</v>
      </c>
    </row>
    <row r="64434" spans="129:129" x14ac:dyDescent="0.2">
      <c r="DY64434" s="185" t="s">
        <v>215</v>
      </c>
    </row>
    <row r="64435" spans="129:129" x14ac:dyDescent="0.2">
      <c r="DY64435" s="185" t="s">
        <v>215</v>
      </c>
    </row>
    <row r="64436" spans="129:129" x14ac:dyDescent="0.2">
      <c r="DY64436" s="185" t="s">
        <v>215</v>
      </c>
    </row>
    <row r="64437" spans="129:129" x14ac:dyDescent="0.2">
      <c r="DY64437" s="185" t="s">
        <v>215</v>
      </c>
    </row>
    <row r="64438" spans="129:129" x14ac:dyDescent="0.2">
      <c r="DY64438" s="185" t="s">
        <v>215</v>
      </c>
    </row>
    <row r="64439" spans="129:129" x14ac:dyDescent="0.2">
      <c r="DY64439" s="185" t="s">
        <v>215</v>
      </c>
    </row>
    <row r="64440" spans="129:129" x14ac:dyDescent="0.2">
      <c r="DY64440" s="185" t="s">
        <v>215</v>
      </c>
    </row>
    <row r="64441" spans="129:129" x14ac:dyDescent="0.2">
      <c r="DY64441" s="185" t="s">
        <v>215</v>
      </c>
    </row>
    <row r="64442" spans="129:129" x14ac:dyDescent="0.2">
      <c r="DY64442" s="185" t="s">
        <v>215</v>
      </c>
    </row>
    <row r="64443" spans="129:129" x14ac:dyDescent="0.2">
      <c r="DY64443" s="185" t="s">
        <v>215</v>
      </c>
    </row>
    <row r="64444" spans="129:129" x14ac:dyDescent="0.2">
      <c r="DY64444" s="185" t="s">
        <v>215</v>
      </c>
    </row>
    <row r="64445" spans="129:129" x14ac:dyDescent="0.2">
      <c r="DY64445" s="185" t="s">
        <v>215</v>
      </c>
    </row>
    <row r="64446" spans="129:129" x14ac:dyDescent="0.2">
      <c r="DY64446" s="185" t="s">
        <v>215</v>
      </c>
    </row>
    <row r="64447" spans="129:129" x14ac:dyDescent="0.2">
      <c r="DY64447" s="185" t="s">
        <v>215</v>
      </c>
    </row>
    <row r="64448" spans="129:129" x14ac:dyDescent="0.2">
      <c r="DY64448" s="185" t="s">
        <v>215</v>
      </c>
    </row>
    <row r="64449" spans="129:129" x14ac:dyDescent="0.2">
      <c r="DY64449" s="185" t="s">
        <v>215</v>
      </c>
    </row>
    <row r="64450" spans="129:129" x14ac:dyDescent="0.2">
      <c r="DY64450" s="185" t="s">
        <v>215</v>
      </c>
    </row>
    <row r="64451" spans="129:129" x14ac:dyDescent="0.2">
      <c r="DY64451" s="185" t="s">
        <v>215</v>
      </c>
    </row>
    <row r="64452" spans="129:129" x14ac:dyDescent="0.2">
      <c r="DY64452" s="185" t="s">
        <v>215</v>
      </c>
    </row>
    <row r="64453" spans="129:129" x14ac:dyDescent="0.2">
      <c r="DY64453" s="185" t="s">
        <v>215</v>
      </c>
    </row>
    <row r="64454" spans="129:129" x14ac:dyDescent="0.2">
      <c r="DY64454" s="185" t="s">
        <v>215</v>
      </c>
    </row>
    <row r="64455" spans="129:129" x14ac:dyDescent="0.2">
      <c r="DY64455" s="185" t="s">
        <v>215</v>
      </c>
    </row>
    <row r="64456" spans="129:129" x14ac:dyDescent="0.2">
      <c r="DY64456" s="185" t="s">
        <v>215</v>
      </c>
    </row>
    <row r="64457" spans="129:129" x14ac:dyDescent="0.2">
      <c r="DY64457" s="185" t="s">
        <v>215</v>
      </c>
    </row>
    <row r="64458" spans="129:129" x14ac:dyDescent="0.2">
      <c r="DY64458" s="185" t="s">
        <v>215</v>
      </c>
    </row>
    <row r="64459" spans="129:129" x14ac:dyDescent="0.2">
      <c r="DY64459" s="185" t="s">
        <v>215</v>
      </c>
    </row>
    <row r="64460" spans="129:129" x14ac:dyDescent="0.2">
      <c r="DY64460" s="185" t="s">
        <v>215</v>
      </c>
    </row>
    <row r="64461" spans="129:129" x14ac:dyDescent="0.2">
      <c r="DY64461" s="185" t="s">
        <v>215</v>
      </c>
    </row>
    <row r="64462" spans="129:129" x14ac:dyDescent="0.2">
      <c r="DY64462" s="185" t="s">
        <v>215</v>
      </c>
    </row>
    <row r="64463" spans="129:129" x14ac:dyDescent="0.2">
      <c r="DY64463" s="185" t="s">
        <v>215</v>
      </c>
    </row>
    <row r="64464" spans="129:129" x14ac:dyDescent="0.2">
      <c r="DY64464" s="185" t="s">
        <v>215</v>
      </c>
    </row>
    <row r="64465" spans="129:129" x14ac:dyDescent="0.2">
      <c r="DY64465" s="185" t="s">
        <v>215</v>
      </c>
    </row>
    <row r="64466" spans="129:129" x14ac:dyDescent="0.2">
      <c r="DY64466" s="185" t="s">
        <v>215</v>
      </c>
    </row>
    <row r="64467" spans="129:129" x14ac:dyDescent="0.2">
      <c r="DY64467" s="185" t="s">
        <v>215</v>
      </c>
    </row>
    <row r="64468" spans="129:129" x14ac:dyDescent="0.2">
      <c r="DY64468" s="185" t="s">
        <v>215</v>
      </c>
    </row>
    <row r="64469" spans="129:129" x14ac:dyDescent="0.2">
      <c r="DY64469" s="185" t="s">
        <v>215</v>
      </c>
    </row>
    <row r="64470" spans="129:129" x14ac:dyDescent="0.2">
      <c r="DY64470" s="185" t="s">
        <v>215</v>
      </c>
    </row>
    <row r="64471" spans="129:129" x14ac:dyDescent="0.2">
      <c r="DY64471" s="185" t="s">
        <v>215</v>
      </c>
    </row>
    <row r="64472" spans="129:129" x14ac:dyDescent="0.2">
      <c r="DY64472" s="185" t="s">
        <v>215</v>
      </c>
    </row>
    <row r="64473" spans="129:129" x14ac:dyDescent="0.2">
      <c r="DY64473" s="185" t="s">
        <v>215</v>
      </c>
    </row>
    <row r="64474" spans="129:129" x14ac:dyDescent="0.2">
      <c r="DY64474" s="185" t="s">
        <v>215</v>
      </c>
    </row>
    <row r="64475" spans="129:129" x14ac:dyDescent="0.2">
      <c r="DY64475" s="185" t="s">
        <v>215</v>
      </c>
    </row>
    <row r="64476" spans="129:129" x14ac:dyDescent="0.2">
      <c r="DY64476" s="185" t="s">
        <v>215</v>
      </c>
    </row>
    <row r="64477" spans="129:129" x14ac:dyDescent="0.2">
      <c r="DY64477" s="185" t="s">
        <v>215</v>
      </c>
    </row>
    <row r="64478" spans="129:129" x14ac:dyDescent="0.2">
      <c r="DY64478" s="185" t="s">
        <v>215</v>
      </c>
    </row>
    <row r="64479" spans="129:129" x14ac:dyDescent="0.2">
      <c r="DY64479" s="185" t="s">
        <v>215</v>
      </c>
    </row>
    <row r="64480" spans="129:129" x14ac:dyDescent="0.2">
      <c r="DY64480" s="185" t="s">
        <v>215</v>
      </c>
    </row>
    <row r="64481" spans="129:129" x14ac:dyDescent="0.2">
      <c r="DY64481" s="185" t="s">
        <v>215</v>
      </c>
    </row>
    <row r="64482" spans="129:129" x14ac:dyDescent="0.2">
      <c r="DY64482" s="185" t="s">
        <v>215</v>
      </c>
    </row>
    <row r="64483" spans="129:129" x14ac:dyDescent="0.2">
      <c r="DY64483" s="185" t="s">
        <v>215</v>
      </c>
    </row>
    <row r="64484" spans="129:129" x14ac:dyDescent="0.2">
      <c r="DY64484" s="185" t="s">
        <v>215</v>
      </c>
    </row>
    <row r="64485" spans="129:129" x14ac:dyDescent="0.2">
      <c r="DY64485" s="185" t="s">
        <v>215</v>
      </c>
    </row>
    <row r="64486" spans="129:129" x14ac:dyDescent="0.2">
      <c r="DY64486" s="185" t="s">
        <v>215</v>
      </c>
    </row>
    <row r="64487" spans="129:129" x14ac:dyDescent="0.2">
      <c r="DY64487" s="185" t="s">
        <v>215</v>
      </c>
    </row>
    <row r="64488" spans="129:129" x14ac:dyDescent="0.2">
      <c r="DY64488" s="185" t="s">
        <v>215</v>
      </c>
    </row>
    <row r="64489" spans="129:129" x14ac:dyDescent="0.2">
      <c r="DY64489" s="185" t="s">
        <v>215</v>
      </c>
    </row>
    <row r="64490" spans="129:129" x14ac:dyDescent="0.2">
      <c r="DY64490" s="185" t="s">
        <v>215</v>
      </c>
    </row>
    <row r="64491" spans="129:129" x14ac:dyDescent="0.2">
      <c r="DY64491" s="185" t="s">
        <v>215</v>
      </c>
    </row>
    <row r="64492" spans="129:129" x14ac:dyDescent="0.2">
      <c r="DY64492" s="185" t="s">
        <v>215</v>
      </c>
    </row>
    <row r="64493" spans="129:129" x14ac:dyDescent="0.2">
      <c r="DY64493" s="185" t="s">
        <v>215</v>
      </c>
    </row>
    <row r="64494" spans="129:129" x14ac:dyDescent="0.2">
      <c r="DY64494" s="185" t="s">
        <v>215</v>
      </c>
    </row>
    <row r="64495" spans="129:129" x14ac:dyDescent="0.2">
      <c r="DY64495" s="185" t="s">
        <v>215</v>
      </c>
    </row>
    <row r="64496" spans="129:129" x14ac:dyDescent="0.2">
      <c r="DY64496" s="185" t="s">
        <v>215</v>
      </c>
    </row>
    <row r="64497" spans="129:129" x14ac:dyDescent="0.2">
      <c r="DY64497" s="185" t="s">
        <v>215</v>
      </c>
    </row>
    <row r="64498" spans="129:129" x14ac:dyDescent="0.2">
      <c r="DY64498" s="185" t="s">
        <v>215</v>
      </c>
    </row>
    <row r="64499" spans="129:129" x14ac:dyDescent="0.2">
      <c r="DY64499" s="185" t="s">
        <v>215</v>
      </c>
    </row>
    <row r="64500" spans="129:129" x14ac:dyDescent="0.2">
      <c r="DY64500" s="185" t="s">
        <v>215</v>
      </c>
    </row>
    <row r="64501" spans="129:129" x14ac:dyDescent="0.2">
      <c r="DY64501" s="185" t="s">
        <v>215</v>
      </c>
    </row>
    <row r="64502" spans="129:129" x14ac:dyDescent="0.2">
      <c r="DY64502" s="185" t="s">
        <v>215</v>
      </c>
    </row>
    <row r="64503" spans="129:129" x14ac:dyDescent="0.2">
      <c r="DY64503" s="185" t="s">
        <v>215</v>
      </c>
    </row>
    <row r="64504" spans="129:129" x14ac:dyDescent="0.2">
      <c r="DY64504" s="185" t="s">
        <v>215</v>
      </c>
    </row>
    <row r="64505" spans="129:129" x14ac:dyDescent="0.2">
      <c r="DY64505" s="185" t="s">
        <v>215</v>
      </c>
    </row>
    <row r="64506" spans="129:129" x14ac:dyDescent="0.2">
      <c r="DY64506" s="185" t="s">
        <v>215</v>
      </c>
    </row>
    <row r="64507" spans="129:129" x14ac:dyDescent="0.2">
      <c r="DY64507" s="185" t="s">
        <v>215</v>
      </c>
    </row>
    <row r="64508" spans="129:129" x14ac:dyDescent="0.2">
      <c r="DY64508" s="185" t="s">
        <v>215</v>
      </c>
    </row>
    <row r="64509" spans="129:129" x14ac:dyDescent="0.2">
      <c r="DY64509" s="185" t="s">
        <v>215</v>
      </c>
    </row>
    <row r="64510" spans="129:129" x14ac:dyDescent="0.2">
      <c r="DY64510" s="185" t="s">
        <v>215</v>
      </c>
    </row>
    <row r="64511" spans="129:129" x14ac:dyDescent="0.2">
      <c r="DY64511" s="185" t="s">
        <v>215</v>
      </c>
    </row>
    <row r="64512" spans="129:129" x14ac:dyDescent="0.2">
      <c r="DY64512" s="185" t="s">
        <v>215</v>
      </c>
    </row>
    <row r="64513" spans="129:129" x14ac:dyDescent="0.2">
      <c r="DY64513" s="185" t="s">
        <v>215</v>
      </c>
    </row>
    <row r="64514" spans="129:129" x14ac:dyDescent="0.2">
      <c r="DY64514" s="185" t="s">
        <v>215</v>
      </c>
    </row>
    <row r="64515" spans="129:129" x14ac:dyDescent="0.2">
      <c r="DY64515" s="185" t="s">
        <v>215</v>
      </c>
    </row>
    <row r="64516" spans="129:129" x14ac:dyDescent="0.2">
      <c r="DY64516" s="185" t="s">
        <v>215</v>
      </c>
    </row>
    <row r="64517" spans="129:129" x14ac:dyDescent="0.2">
      <c r="DY64517" s="185" t="s">
        <v>215</v>
      </c>
    </row>
    <row r="64518" spans="129:129" x14ac:dyDescent="0.2">
      <c r="DY64518" s="185" t="s">
        <v>215</v>
      </c>
    </row>
    <row r="64519" spans="129:129" x14ac:dyDescent="0.2">
      <c r="DY64519" s="185" t="s">
        <v>215</v>
      </c>
    </row>
    <row r="64520" spans="129:129" x14ac:dyDescent="0.2">
      <c r="DY64520" s="185" t="s">
        <v>215</v>
      </c>
    </row>
    <row r="64521" spans="129:129" x14ac:dyDescent="0.2">
      <c r="DY64521" s="185" t="s">
        <v>215</v>
      </c>
    </row>
    <row r="64522" spans="129:129" x14ac:dyDescent="0.2">
      <c r="DY64522" s="185" t="s">
        <v>215</v>
      </c>
    </row>
    <row r="64523" spans="129:129" x14ac:dyDescent="0.2">
      <c r="DY64523" s="185" t="s">
        <v>215</v>
      </c>
    </row>
    <row r="64524" spans="129:129" x14ac:dyDescent="0.2">
      <c r="DY64524" s="185" t="s">
        <v>215</v>
      </c>
    </row>
    <row r="64525" spans="129:129" x14ac:dyDescent="0.2">
      <c r="DY64525" s="185" t="s">
        <v>215</v>
      </c>
    </row>
    <row r="64526" spans="129:129" x14ac:dyDescent="0.2">
      <c r="DY64526" s="185" t="s">
        <v>215</v>
      </c>
    </row>
    <row r="64527" spans="129:129" x14ac:dyDescent="0.2">
      <c r="DY64527" s="185" t="s">
        <v>215</v>
      </c>
    </row>
    <row r="64528" spans="129:129" x14ac:dyDescent="0.2">
      <c r="DY64528" s="185" t="s">
        <v>215</v>
      </c>
    </row>
    <row r="64529" spans="129:129" x14ac:dyDescent="0.2">
      <c r="DY64529" s="185" t="s">
        <v>215</v>
      </c>
    </row>
    <row r="64530" spans="129:129" x14ac:dyDescent="0.2">
      <c r="DY64530" s="185" t="s">
        <v>215</v>
      </c>
    </row>
    <row r="64531" spans="129:129" x14ac:dyDescent="0.2">
      <c r="DY64531" s="185" t="s">
        <v>215</v>
      </c>
    </row>
    <row r="64532" spans="129:129" x14ac:dyDescent="0.2">
      <c r="DY64532" s="185" t="s">
        <v>215</v>
      </c>
    </row>
    <row r="64533" spans="129:129" x14ac:dyDescent="0.2">
      <c r="DY64533" s="185" t="s">
        <v>215</v>
      </c>
    </row>
    <row r="64534" spans="129:129" x14ac:dyDescent="0.2">
      <c r="DY64534" s="185" t="s">
        <v>215</v>
      </c>
    </row>
    <row r="64535" spans="129:129" x14ac:dyDescent="0.2">
      <c r="DY64535" s="185" t="s">
        <v>215</v>
      </c>
    </row>
    <row r="64536" spans="129:129" x14ac:dyDescent="0.2">
      <c r="DY64536" s="185" t="s">
        <v>215</v>
      </c>
    </row>
    <row r="64537" spans="129:129" x14ac:dyDescent="0.2">
      <c r="DY64537" s="185" t="s">
        <v>215</v>
      </c>
    </row>
    <row r="64538" spans="129:129" x14ac:dyDescent="0.2">
      <c r="DY64538" s="185" t="s">
        <v>215</v>
      </c>
    </row>
    <row r="64539" spans="129:129" x14ac:dyDescent="0.2">
      <c r="DY64539" s="185" t="s">
        <v>215</v>
      </c>
    </row>
    <row r="64540" spans="129:129" x14ac:dyDescent="0.2">
      <c r="DY64540" s="185" t="s">
        <v>215</v>
      </c>
    </row>
    <row r="64541" spans="129:129" x14ac:dyDescent="0.2">
      <c r="DY64541" s="185" t="s">
        <v>215</v>
      </c>
    </row>
    <row r="64542" spans="129:129" x14ac:dyDescent="0.2">
      <c r="DY64542" s="185" t="s">
        <v>215</v>
      </c>
    </row>
    <row r="64543" spans="129:129" x14ac:dyDescent="0.2">
      <c r="DY64543" s="185" t="s">
        <v>215</v>
      </c>
    </row>
    <row r="64544" spans="129:129" x14ac:dyDescent="0.2">
      <c r="DY64544" s="185" t="s">
        <v>215</v>
      </c>
    </row>
    <row r="64545" spans="129:129" x14ac:dyDescent="0.2">
      <c r="DY64545" s="185" t="s">
        <v>215</v>
      </c>
    </row>
    <row r="64546" spans="129:129" x14ac:dyDescent="0.2">
      <c r="DY64546" s="185" t="s">
        <v>215</v>
      </c>
    </row>
    <row r="64547" spans="129:129" x14ac:dyDescent="0.2">
      <c r="DY64547" s="185" t="s">
        <v>215</v>
      </c>
    </row>
    <row r="64548" spans="129:129" x14ac:dyDescent="0.2">
      <c r="DY64548" s="185" t="s">
        <v>215</v>
      </c>
    </row>
    <row r="64549" spans="129:129" x14ac:dyDescent="0.2">
      <c r="DY64549" s="185" t="s">
        <v>215</v>
      </c>
    </row>
    <row r="64550" spans="129:129" x14ac:dyDescent="0.2">
      <c r="DY64550" s="185" t="s">
        <v>215</v>
      </c>
    </row>
    <row r="64551" spans="129:129" x14ac:dyDescent="0.2">
      <c r="DY64551" s="185" t="s">
        <v>215</v>
      </c>
    </row>
    <row r="64552" spans="129:129" x14ac:dyDescent="0.2">
      <c r="DY64552" s="185" t="s">
        <v>215</v>
      </c>
    </row>
    <row r="64553" spans="129:129" x14ac:dyDescent="0.2">
      <c r="DY64553" s="185" t="s">
        <v>215</v>
      </c>
    </row>
    <row r="64554" spans="129:129" x14ac:dyDescent="0.2">
      <c r="DY64554" s="185" t="s">
        <v>215</v>
      </c>
    </row>
    <row r="64555" spans="129:129" x14ac:dyDescent="0.2">
      <c r="DY64555" s="185" t="s">
        <v>215</v>
      </c>
    </row>
    <row r="64556" spans="129:129" x14ac:dyDescent="0.2">
      <c r="DY64556" s="185" t="s">
        <v>215</v>
      </c>
    </row>
    <row r="64557" spans="129:129" x14ac:dyDescent="0.2">
      <c r="DY64557" s="185" t="s">
        <v>215</v>
      </c>
    </row>
    <row r="64558" spans="129:129" x14ac:dyDescent="0.2">
      <c r="DY64558" s="185" t="s">
        <v>215</v>
      </c>
    </row>
    <row r="64559" spans="129:129" x14ac:dyDescent="0.2">
      <c r="DY64559" s="185" t="s">
        <v>215</v>
      </c>
    </row>
    <row r="64560" spans="129:129" x14ac:dyDescent="0.2">
      <c r="DY64560" s="185" t="s">
        <v>215</v>
      </c>
    </row>
    <row r="64561" spans="129:129" x14ac:dyDescent="0.2">
      <c r="DY64561" s="185" t="s">
        <v>215</v>
      </c>
    </row>
    <row r="64562" spans="129:129" x14ac:dyDescent="0.2">
      <c r="DY64562" s="185" t="s">
        <v>215</v>
      </c>
    </row>
    <row r="64563" spans="129:129" x14ac:dyDescent="0.2">
      <c r="DY64563" s="185" t="s">
        <v>215</v>
      </c>
    </row>
    <row r="64564" spans="129:129" x14ac:dyDescent="0.2">
      <c r="DY64564" s="185" t="s">
        <v>215</v>
      </c>
    </row>
    <row r="64565" spans="129:129" x14ac:dyDescent="0.2">
      <c r="DY64565" s="185" t="s">
        <v>215</v>
      </c>
    </row>
    <row r="64566" spans="129:129" x14ac:dyDescent="0.2">
      <c r="DY64566" s="185" t="s">
        <v>215</v>
      </c>
    </row>
    <row r="64567" spans="129:129" x14ac:dyDescent="0.2">
      <c r="DY64567" s="185" t="s">
        <v>215</v>
      </c>
    </row>
    <row r="64568" spans="129:129" x14ac:dyDescent="0.2">
      <c r="DY64568" s="185" t="s">
        <v>215</v>
      </c>
    </row>
    <row r="64569" spans="129:129" x14ac:dyDescent="0.2">
      <c r="DY64569" s="185" t="s">
        <v>215</v>
      </c>
    </row>
    <row r="64570" spans="129:129" x14ac:dyDescent="0.2">
      <c r="DY64570" s="185" t="s">
        <v>215</v>
      </c>
    </row>
    <row r="64571" spans="129:129" x14ac:dyDescent="0.2">
      <c r="DY64571" s="185" t="s">
        <v>215</v>
      </c>
    </row>
    <row r="64572" spans="129:129" x14ac:dyDescent="0.2">
      <c r="DY64572" s="185" t="s">
        <v>215</v>
      </c>
    </row>
    <row r="64573" spans="129:129" x14ac:dyDescent="0.2">
      <c r="DY64573" s="185" t="s">
        <v>215</v>
      </c>
    </row>
    <row r="64574" spans="129:129" x14ac:dyDescent="0.2">
      <c r="DY64574" s="185" t="s">
        <v>215</v>
      </c>
    </row>
    <row r="64575" spans="129:129" x14ac:dyDescent="0.2">
      <c r="DY64575" s="185" t="s">
        <v>215</v>
      </c>
    </row>
    <row r="64576" spans="129:129" x14ac:dyDescent="0.2">
      <c r="DY64576" s="185" t="s">
        <v>215</v>
      </c>
    </row>
    <row r="64577" spans="129:129" x14ac:dyDescent="0.2">
      <c r="DY64577" s="185" t="s">
        <v>215</v>
      </c>
    </row>
    <row r="64578" spans="129:129" x14ac:dyDescent="0.2">
      <c r="DY64578" s="185" t="s">
        <v>215</v>
      </c>
    </row>
    <row r="64579" spans="129:129" x14ac:dyDescent="0.2">
      <c r="DY64579" s="185" t="s">
        <v>215</v>
      </c>
    </row>
    <row r="64580" spans="129:129" x14ac:dyDescent="0.2">
      <c r="DY64580" s="185" t="s">
        <v>215</v>
      </c>
    </row>
    <row r="64581" spans="129:129" x14ac:dyDescent="0.2">
      <c r="DY64581" s="185" t="s">
        <v>215</v>
      </c>
    </row>
    <row r="64582" spans="129:129" x14ac:dyDescent="0.2">
      <c r="DY64582" s="185" t="s">
        <v>215</v>
      </c>
    </row>
    <row r="64583" spans="129:129" x14ac:dyDescent="0.2">
      <c r="DY64583" s="185" t="s">
        <v>215</v>
      </c>
    </row>
    <row r="64584" spans="129:129" x14ac:dyDescent="0.2">
      <c r="DY64584" s="185" t="s">
        <v>215</v>
      </c>
    </row>
    <row r="64585" spans="129:129" x14ac:dyDescent="0.2">
      <c r="DY64585" s="185" t="s">
        <v>215</v>
      </c>
    </row>
    <row r="64586" spans="129:129" x14ac:dyDescent="0.2">
      <c r="DY64586" s="185" t="s">
        <v>215</v>
      </c>
    </row>
    <row r="64587" spans="129:129" x14ac:dyDescent="0.2">
      <c r="DY64587" s="185" t="s">
        <v>215</v>
      </c>
    </row>
    <row r="64588" spans="129:129" x14ac:dyDescent="0.2">
      <c r="DY64588" s="185" t="s">
        <v>215</v>
      </c>
    </row>
    <row r="64589" spans="129:129" x14ac:dyDescent="0.2">
      <c r="DY64589" s="185" t="s">
        <v>215</v>
      </c>
    </row>
    <row r="64590" spans="129:129" x14ac:dyDescent="0.2">
      <c r="DY64590" s="185" t="s">
        <v>215</v>
      </c>
    </row>
    <row r="64591" spans="129:129" x14ac:dyDescent="0.2">
      <c r="DY64591" s="185" t="s">
        <v>215</v>
      </c>
    </row>
    <row r="64592" spans="129:129" x14ac:dyDescent="0.2">
      <c r="DY64592" s="185" t="s">
        <v>215</v>
      </c>
    </row>
    <row r="64593" spans="129:129" x14ac:dyDescent="0.2">
      <c r="DY64593" s="185" t="s">
        <v>215</v>
      </c>
    </row>
    <row r="64594" spans="129:129" x14ac:dyDescent="0.2">
      <c r="DY64594" s="185" t="s">
        <v>215</v>
      </c>
    </row>
    <row r="64595" spans="129:129" x14ac:dyDescent="0.2">
      <c r="DY64595" s="185" t="s">
        <v>215</v>
      </c>
    </row>
    <row r="64596" spans="129:129" x14ac:dyDescent="0.2">
      <c r="DY64596" s="185" t="s">
        <v>215</v>
      </c>
    </row>
    <row r="64597" spans="129:129" x14ac:dyDescent="0.2">
      <c r="DY64597" s="185" t="s">
        <v>215</v>
      </c>
    </row>
    <row r="64598" spans="129:129" x14ac:dyDescent="0.2">
      <c r="DY64598" s="185" t="s">
        <v>215</v>
      </c>
    </row>
    <row r="64599" spans="129:129" x14ac:dyDescent="0.2">
      <c r="DY64599" s="185" t="s">
        <v>215</v>
      </c>
    </row>
    <row r="64600" spans="129:129" x14ac:dyDescent="0.2">
      <c r="DY64600" s="185" t="s">
        <v>215</v>
      </c>
    </row>
    <row r="64601" spans="129:129" x14ac:dyDescent="0.2">
      <c r="DY64601" s="185" t="s">
        <v>215</v>
      </c>
    </row>
    <row r="64602" spans="129:129" x14ac:dyDescent="0.2">
      <c r="DY64602" s="185" t="s">
        <v>215</v>
      </c>
    </row>
    <row r="64603" spans="129:129" x14ac:dyDescent="0.2">
      <c r="DY64603" s="185" t="s">
        <v>215</v>
      </c>
    </row>
    <row r="64604" spans="129:129" x14ac:dyDescent="0.2">
      <c r="DY64604" s="185" t="s">
        <v>215</v>
      </c>
    </row>
    <row r="64605" spans="129:129" x14ac:dyDescent="0.2">
      <c r="DY64605" s="185" t="s">
        <v>215</v>
      </c>
    </row>
    <row r="64606" spans="129:129" x14ac:dyDescent="0.2">
      <c r="DY64606" s="185" t="s">
        <v>215</v>
      </c>
    </row>
    <row r="64607" spans="129:129" x14ac:dyDescent="0.2">
      <c r="DY64607" s="185" t="s">
        <v>215</v>
      </c>
    </row>
    <row r="64608" spans="129:129" x14ac:dyDescent="0.2">
      <c r="DY64608" s="185" t="s">
        <v>215</v>
      </c>
    </row>
    <row r="64609" spans="129:129" x14ac:dyDescent="0.2">
      <c r="DY64609" s="185" t="s">
        <v>215</v>
      </c>
    </row>
    <row r="64610" spans="129:129" x14ac:dyDescent="0.2">
      <c r="DY64610" s="185" t="s">
        <v>215</v>
      </c>
    </row>
    <row r="64611" spans="129:129" x14ac:dyDescent="0.2">
      <c r="DY64611" s="185" t="s">
        <v>215</v>
      </c>
    </row>
    <row r="64612" spans="129:129" x14ac:dyDescent="0.2">
      <c r="DY64612" s="185" t="s">
        <v>215</v>
      </c>
    </row>
    <row r="64613" spans="129:129" x14ac:dyDescent="0.2">
      <c r="DY64613" s="185" t="s">
        <v>215</v>
      </c>
    </row>
    <row r="64614" spans="129:129" x14ac:dyDescent="0.2">
      <c r="DY64614" s="185" t="s">
        <v>215</v>
      </c>
    </row>
    <row r="64615" spans="129:129" x14ac:dyDescent="0.2">
      <c r="DY64615" s="185" t="s">
        <v>215</v>
      </c>
    </row>
    <row r="64616" spans="129:129" x14ac:dyDescent="0.2">
      <c r="DY64616" s="185" t="s">
        <v>215</v>
      </c>
    </row>
    <row r="64617" spans="129:129" x14ac:dyDescent="0.2">
      <c r="DY64617" s="185" t="s">
        <v>215</v>
      </c>
    </row>
    <row r="64618" spans="129:129" x14ac:dyDescent="0.2">
      <c r="DY64618" s="185" t="s">
        <v>215</v>
      </c>
    </row>
    <row r="64619" spans="129:129" x14ac:dyDescent="0.2">
      <c r="DY64619" s="185" t="s">
        <v>215</v>
      </c>
    </row>
    <row r="64620" spans="129:129" x14ac:dyDescent="0.2">
      <c r="DY64620" s="185" t="s">
        <v>215</v>
      </c>
    </row>
    <row r="64621" spans="129:129" x14ac:dyDescent="0.2">
      <c r="DY64621" s="185" t="s">
        <v>215</v>
      </c>
    </row>
    <row r="64622" spans="129:129" x14ac:dyDescent="0.2">
      <c r="DY64622" s="185" t="s">
        <v>215</v>
      </c>
    </row>
    <row r="64623" spans="129:129" x14ac:dyDescent="0.2">
      <c r="DY64623" s="185" t="s">
        <v>215</v>
      </c>
    </row>
    <row r="64624" spans="129:129" x14ac:dyDescent="0.2">
      <c r="DY64624" s="185" t="s">
        <v>215</v>
      </c>
    </row>
    <row r="64625" spans="129:129" x14ac:dyDescent="0.2">
      <c r="DY64625" s="185" t="s">
        <v>215</v>
      </c>
    </row>
    <row r="64626" spans="129:129" x14ac:dyDescent="0.2">
      <c r="DY64626" s="185" t="s">
        <v>215</v>
      </c>
    </row>
    <row r="64627" spans="129:129" x14ac:dyDescent="0.2">
      <c r="DY64627" s="185" t="s">
        <v>215</v>
      </c>
    </row>
    <row r="64628" spans="129:129" x14ac:dyDescent="0.2">
      <c r="DY64628" s="185" t="s">
        <v>215</v>
      </c>
    </row>
    <row r="64629" spans="129:129" x14ac:dyDescent="0.2">
      <c r="DY64629" s="185" t="s">
        <v>215</v>
      </c>
    </row>
    <row r="64630" spans="129:129" x14ac:dyDescent="0.2">
      <c r="DY64630" s="185" t="s">
        <v>215</v>
      </c>
    </row>
    <row r="64631" spans="129:129" x14ac:dyDescent="0.2">
      <c r="DY64631" s="185" t="s">
        <v>215</v>
      </c>
    </row>
    <row r="64632" spans="129:129" x14ac:dyDescent="0.2">
      <c r="DY64632" s="185" t="s">
        <v>215</v>
      </c>
    </row>
    <row r="64633" spans="129:129" x14ac:dyDescent="0.2">
      <c r="DY64633" s="185" t="s">
        <v>215</v>
      </c>
    </row>
    <row r="64634" spans="129:129" x14ac:dyDescent="0.2">
      <c r="DY64634" s="185" t="s">
        <v>215</v>
      </c>
    </row>
    <row r="64635" spans="129:129" x14ac:dyDescent="0.2">
      <c r="DY64635" s="185" t="s">
        <v>215</v>
      </c>
    </row>
    <row r="64636" spans="129:129" x14ac:dyDescent="0.2">
      <c r="DY64636" s="185" t="s">
        <v>215</v>
      </c>
    </row>
    <row r="64637" spans="129:129" x14ac:dyDescent="0.2">
      <c r="DY64637" s="185" t="s">
        <v>215</v>
      </c>
    </row>
    <row r="64638" spans="129:129" x14ac:dyDescent="0.2">
      <c r="DY64638" s="185" t="s">
        <v>215</v>
      </c>
    </row>
    <row r="64639" spans="129:129" x14ac:dyDescent="0.2">
      <c r="DY64639" s="185" t="s">
        <v>215</v>
      </c>
    </row>
    <row r="64640" spans="129:129" x14ac:dyDescent="0.2">
      <c r="DY64640" s="185" t="s">
        <v>215</v>
      </c>
    </row>
    <row r="64641" spans="129:129" x14ac:dyDescent="0.2">
      <c r="DY64641" s="185" t="s">
        <v>215</v>
      </c>
    </row>
    <row r="64642" spans="129:129" x14ac:dyDescent="0.2">
      <c r="DY64642" s="185" t="s">
        <v>215</v>
      </c>
    </row>
    <row r="64643" spans="129:129" x14ac:dyDescent="0.2">
      <c r="DY64643" s="185" t="s">
        <v>215</v>
      </c>
    </row>
    <row r="64644" spans="129:129" x14ac:dyDescent="0.2">
      <c r="DY64644" s="185" t="s">
        <v>215</v>
      </c>
    </row>
    <row r="64645" spans="129:129" x14ac:dyDescent="0.2">
      <c r="DY64645" s="185" t="s">
        <v>215</v>
      </c>
    </row>
    <row r="64646" spans="129:129" x14ac:dyDescent="0.2">
      <c r="DY64646" s="185" t="s">
        <v>215</v>
      </c>
    </row>
    <row r="64647" spans="129:129" x14ac:dyDescent="0.2">
      <c r="DY64647" s="185" t="s">
        <v>215</v>
      </c>
    </row>
    <row r="64648" spans="129:129" x14ac:dyDescent="0.2">
      <c r="DY64648" s="185" t="s">
        <v>215</v>
      </c>
    </row>
    <row r="64649" spans="129:129" x14ac:dyDescent="0.2">
      <c r="DY64649" s="185" t="s">
        <v>215</v>
      </c>
    </row>
    <row r="64650" spans="129:129" x14ac:dyDescent="0.2">
      <c r="DY64650" s="185" t="s">
        <v>215</v>
      </c>
    </row>
    <row r="64651" spans="129:129" x14ac:dyDescent="0.2">
      <c r="DY64651" s="185" t="s">
        <v>215</v>
      </c>
    </row>
    <row r="64652" spans="129:129" x14ac:dyDescent="0.2">
      <c r="DY64652" s="185" t="s">
        <v>215</v>
      </c>
    </row>
    <row r="64653" spans="129:129" x14ac:dyDescent="0.2">
      <c r="DY64653" s="185" t="s">
        <v>215</v>
      </c>
    </row>
    <row r="64654" spans="129:129" x14ac:dyDescent="0.2">
      <c r="DY64654" s="185" t="s">
        <v>215</v>
      </c>
    </row>
    <row r="64655" spans="129:129" x14ac:dyDescent="0.2">
      <c r="DY64655" s="185" t="s">
        <v>215</v>
      </c>
    </row>
    <row r="64656" spans="129:129" x14ac:dyDescent="0.2">
      <c r="DY64656" s="185" t="s">
        <v>215</v>
      </c>
    </row>
    <row r="64657" spans="129:129" x14ac:dyDescent="0.2">
      <c r="DY64657" s="185" t="s">
        <v>215</v>
      </c>
    </row>
    <row r="64658" spans="129:129" x14ac:dyDescent="0.2">
      <c r="DY64658" s="185" t="s">
        <v>215</v>
      </c>
    </row>
    <row r="64659" spans="129:129" x14ac:dyDescent="0.2">
      <c r="DY64659" s="185" t="s">
        <v>215</v>
      </c>
    </row>
    <row r="64660" spans="129:129" x14ac:dyDescent="0.2">
      <c r="DY64660" s="185" t="s">
        <v>215</v>
      </c>
    </row>
    <row r="64661" spans="129:129" x14ac:dyDescent="0.2">
      <c r="DY64661" s="185" t="s">
        <v>215</v>
      </c>
    </row>
    <row r="64662" spans="129:129" x14ac:dyDescent="0.2">
      <c r="DY64662" s="185" t="s">
        <v>215</v>
      </c>
    </row>
    <row r="64663" spans="129:129" x14ac:dyDescent="0.2">
      <c r="DY64663" s="185" t="s">
        <v>215</v>
      </c>
    </row>
    <row r="64664" spans="129:129" x14ac:dyDescent="0.2">
      <c r="DY64664" s="185" t="s">
        <v>215</v>
      </c>
    </row>
    <row r="64665" spans="129:129" x14ac:dyDescent="0.2">
      <c r="DY64665" s="185" t="s">
        <v>215</v>
      </c>
    </row>
    <row r="64666" spans="129:129" x14ac:dyDescent="0.2">
      <c r="DY64666" s="185" t="s">
        <v>215</v>
      </c>
    </row>
    <row r="64667" spans="129:129" x14ac:dyDescent="0.2">
      <c r="DY64667" s="185" t="s">
        <v>215</v>
      </c>
    </row>
    <row r="64668" spans="129:129" x14ac:dyDescent="0.2">
      <c r="DY64668" s="185" t="s">
        <v>215</v>
      </c>
    </row>
    <row r="64669" spans="129:129" x14ac:dyDescent="0.2">
      <c r="DY64669" s="185" t="s">
        <v>215</v>
      </c>
    </row>
    <row r="64670" spans="129:129" x14ac:dyDescent="0.2">
      <c r="DY64670" s="185" t="s">
        <v>215</v>
      </c>
    </row>
    <row r="64671" spans="129:129" x14ac:dyDescent="0.2">
      <c r="DY64671" s="185" t="s">
        <v>215</v>
      </c>
    </row>
    <row r="64672" spans="129:129" x14ac:dyDescent="0.2">
      <c r="DY64672" s="185" t="s">
        <v>215</v>
      </c>
    </row>
    <row r="64673" spans="129:129" x14ac:dyDescent="0.2">
      <c r="DY64673" s="185" t="s">
        <v>215</v>
      </c>
    </row>
    <row r="64674" spans="129:129" x14ac:dyDescent="0.2">
      <c r="DY64674" s="185" t="s">
        <v>215</v>
      </c>
    </row>
    <row r="64675" spans="129:129" x14ac:dyDescent="0.2">
      <c r="DY64675" s="185" t="s">
        <v>215</v>
      </c>
    </row>
    <row r="64676" spans="129:129" x14ac:dyDescent="0.2">
      <c r="DY64676" s="185" t="s">
        <v>215</v>
      </c>
    </row>
    <row r="64677" spans="129:129" x14ac:dyDescent="0.2">
      <c r="DY64677" s="185" t="s">
        <v>215</v>
      </c>
    </row>
    <row r="64678" spans="129:129" x14ac:dyDescent="0.2">
      <c r="DY64678" s="185" t="s">
        <v>215</v>
      </c>
    </row>
    <row r="64679" spans="129:129" x14ac:dyDescent="0.2">
      <c r="DY64679" s="185" t="s">
        <v>215</v>
      </c>
    </row>
    <row r="64680" spans="129:129" x14ac:dyDescent="0.2">
      <c r="DY64680" s="185" t="s">
        <v>215</v>
      </c>
    </row>
    <row r="64681" spans="129:129" x14ac:dyDescent="0.2">
      <c r="DY64681" s="185" t="s">
        <v>215</v>
      </c>
    </row>
    <row r="64682" spans="129:129" x14ac:dyDescent="0.2">
      <c r="DY64682" s="185" t="s">
        <v>215</v>
      </c>
    </row>
    <row r="64683" spans="129:129" x14ac:dyDescent="0.2">
      <c r="DY64683" s="185" t="s">
        <v>215</v>
      </c>
    </row>
    <row r="64684" spans="129:129" x14ac:dyDescent="0.2">
      <c r="DY64684" s="185" t="s">
        <v>215</v>
      </c>
    </row>
    <row r="64685" spans="129:129" x14ac:dyDescent="0.2">
      <c r="DY64685" s="185" t="s">
        <v>215</v>
      </c>
    </row>
    <row r="64686" spans="129:129" x14ac:dyDescent="0.2">
      <c r="DY64686" s="185" t="s">
        <v>215</v>
      </c>
    </row>
    <row r="64687" spans="129:129" x14ac:dyDescent="0.2">
      <c r="DY64687" s="185" t="s">
        <v>215</v>
      </c>
    </row>
    <row r="64688" spans="129:129" x14ac:dyDescent="0.2">
      <c r="DY64688" s="185" t="s">
        <v>215</v>
      </c>
    </row>
    <row r="64689" spans="129:129" x14ac:dyDescent="0.2">
      <c r="DY64689" s="185" t="s">
        <v>215</v>
      </c>
    </row>
    <row r="64690" spans="129:129" x14ac:dyDescent="0.2">
      <c r="DY64690" s="185" t="s">
        <v>215</v>
      </c>
    </row>
    <row r="64691" spans="129:129" x14ac:dyDescent="0.2">
      <c r="DY64691" s="185" t="s">
        <v>215</v>
      </c>
    </row>
    <row r="64692" spans="129:129" x14ac:dyDescent="0.2">
      <c r="DY64692" s="185" t="s">
        <v>215</v>
      </c>
    </row>
    <row r="64693" spans="129:129" x14ac:dyDescent="0.2">
      <c r="DY64693" s="185" t="s">
        <v>215</v>
      </c>
    </row>
    <row r="64694" spans="129:129" x14ac:dyDescent="0.2">
      <c r="DY64694" s="185" t="s">
        <v>215</v>
      </c>
    </row>
    <row r="64695" spans="129:129" x14ac:dyDescent="0.2">
      <c r="DY64695" s="185" t="s">
        <v>215</v>
      </c>
    </row>
    <row r="64696" spans="129:129" x14ac:dyDescent="0.2">
      <c r="DY64696" s="185" t="s">
        <v>215</v>
      </c>
    </row>
    <row r="64697" spans="129:129" x14ac:dyDescent="0.2">
      <c r="DY64697" s="185" t="s">
        <v>215</v>
      </c>
    </row>
    <row r="64698" spans="129:129" x14ac:dyDescent="0.2">
      <c r="DY64698" s="185" t="s">
        <v>215</v>
      </c>
    </row>
    <row r="64699" spans="129:129" x14ac:dyDescent="0.2">
      <c r="DY64699" s="185" t="s">
        <v>215</v>
      </c>
    </row>
    <row r="64700" spans="129:129" x14ac:dyDescent="0.2">
      <c r="DY64700" s="185" t="s">
        <v>215</v>
      </c>
    </row>
    <row r="64701" spans="129:129" x14ac:dyDescent="0.2">
      <c r="DY64701" s="185" t="s">
        <v>215</v>
      </c>
    </row>
    <row r="64702" spans="129:129" x14ac:dyDescent="0.2">
      <c r="DY64702" s="185" t="s">
        <v>215</v>
      </c>
    </row>
    <row r="64703" spans="129:129" x14ac:dyDescent="0.2">
      <c r="DY64703" s="185" t="s">
        <v>215</v>
      </c>
    </row>
    <row r="64704" spans="129:129" x14ac:dyDescent="0.2">
      <c r="DY64704" s="185" t="s">
        <v>215</v>
      </c>
    </row>
    <row r="64705" spans="129:129" x14ac:dyDescent="0.2">
      <c r="DY64705" s="185" t="s">
        <v>215</v>
      </c>
    </row>
    <row r="64706" spans="129:129" x14ac:dyDescent="0.2">
      <c r="DY64706" s="185" t="s">
        <v>215</v>
      </c>
    </row>
    <row r="64707" spans="129:129" x14ac:dyDescent="0.2">
      <c r="DY64707" s="185" t="s">
        <v>215</v>
      </c>
    </row>
    <row r="64708" spans="129:129" x14ac:dyDescent="0.2">
      <c r="DY64708" s="185" t="s">
        <v>215</v>
      </c>
    </row>
    <row r="64709" spans="129:129" x14ac:dyDescent="0.2">
      <c r="DY64709" s="185" t="s">
        <v>215</v>
      </c>
    </row>
    <row r="64710" spans="129:129" x14ac:dyDescent="0.2">
      <c r="DY64710" s="185" t="s">
        <v>215</v>
      </c>
    </row>
    <row r="64711" spans="129:129" x14ac:dyDescent="0.2">
      <c r="DY64711" s="185" t="s">
        <v>215</v>
      </c>
    </row>
    <row r="64712" spans="129:129" x14ac:dyDescent="0.2">
      <c r="DY64712" s="185" t="s">
        <v>215</v>
      </c>
    </row>
    <row r="64713" spans="129:129" x14ac:dyDescent="0.2">
      <c r="DY64713" s="185" t="s">
        <v>215</v>
      </c>
    </row>
    <row r="64714" spans="129:129" x14ac:dyDescent="0.2">
      <c r="DY64714" s="185" t="s">
        <v>215</v>
      </c>
    </row>
    <row r="64715" spans="129:129" x14ac:dyDescent="0.2">
      <c r="DY64715" s="185" t="s">
        <v>215</v>
      </c>
    </row>
    <row r="64716" spans="129:129" x14ac:dyDescent="0.2">
      <c r="DY64716" s="185" t="s">
        <v>215</v>
      </c>
    </row>
    <row r="64717" spans="129:129" x14ac:dyDescent="0.2">
      <c r="DY64717" s="185" t="s">
        <v>215</v>
      </c>
    </row>
    <row r="64718" spans="129:129" x14ac:dyDescent="0.2">
      <c r="DY64718" s="185" t="s">
        <v>215</v>
      </c>
    </row>
    <row r="64719" spans="129:129" x14ac:dyDescent="0.2">
      <c r="DY64719" s="185" t="s">
        <v>215</v>
      </c>
    </row>
    <row r="64720" spans="129:129" x14ac:dyDescent="0.2">
      <c r="DY64720" s="185" t="s">
        <v>215</v>
      </c>
    </row>
    <row r="64721" spans="129:129" x14ac:dyDescent="0.2">
      <c r="DY64721" s="185" t="s">
        <v>215</v>
      </c>
    </row>
    <row r="64722" spans="129:129" x14ac:dyDescent="0.2">
      <c r="DY64722" s="185" t="s">
        <v>215</v>
      </c>
    </row>
    <row r="64723" spans="129:129" x14ac:dyDescent="0.2">
      <c r="DY64723" s="185" t="s">
        <v>215</v>
      </c>
    </row>
    <row r="64724" spans="129:129" x14ac:dyDescent="0.2">
      <c r="DY64724" s="185" t="s">
        <v>215</v>
      </c>
    </row>
    <row r="64725" spans="129:129" x14ac:dyDescent="0.2">
      <c r="DY64725" s="185" t="s">
        <v>215</v>
      </c>
    </row>
    <row r="64726" spans="129:129" x14ac:dyDescent="0.2">
      <c r="DY64726" s="185" t="s">
        <v>215</v>
      </c>
    </row>
    <row r="64727" spans="129:129" x14ac:dyDescent="0.2">
      <c r="DY64727" s="185" t="s">
        <v>215</v>
      </c>
    </row>
    <row r="64728" spans="129:129" x14ac:dyDescent="0.2">
      <c r="DY64728" s="185" t="s">
        <v>215</v>
      </c>
    </row>
    <row r="64729" spans="129:129" x14ac:dyDescent="0.2">
      <c r="DY64729" s="185" t="s">
        <v>215</v>
      </c>
    </row>
    <row r="64730" spans="129:129" x14ac:dyDescent="0.2">
      <c r="DY64730" s="185" t="s">
        <v>215</v>
      </c>
    </row>
    <row r="64731" spans="129:129" x14ac:dyDescent="0.2">
      <c r="DY64731" s="185" t="s">
        <v>215</v>
      </c>
    </row>
    <row r="64732" spans="129:129" x14ac:dyDescent="0.2">
      <c r="DY64732" s="185" t="s">
        <v>215</v>
      </c>
    </row>
    <row r="64733" spans="129:129" x14ac:dyDescent="0.2">
      <c r="DY64733" s="185" t="s">
        <v>215</v>
      </c>
    </row>
    <row r="64734" spans="129:129" x14ac:dyDescent="0.2">
      <c r="DY64734" s="185" t="s">
        <v>215</v>
      </c>
    </row>
    <row r="64735" spans="129:129" x14ac:dyDescent="0.2">
      <c r="DY64735" s="185" t="s">
        <v>215</v>
      </c>
    </row>
    <row r="64736" spans="129:129" x14ac:dyDescent="0.2">
      <c r="DY64736" s="185" t="s">
        <v>215</v>
      </c>
    </row>
    <row r="64737" spans="129:129" x14ac:dyDescent="0.2">
      <c r="DY64737" s="185" t="s">
        <v>215</v>
      </c>
    </row>
    <row r="64738" spans="129:129" x14ac:dyDescent="0.2">
      <c r="DY64738" s="185" t="s">
        <v>215</v>
      </c>
    </row>
    <row r="64739" spans="129:129" x14ac:dyDescent="0.2">
      <c r="DY64739" s="185" t="s">
        <v>215</v>
      </c>
    </row>
    <row r="64740" spans="129:129" x14ac:dyDescent="0.2">
      <c r="DY64740" s="185" t="s">
        <v>215</v>
      </c>
    </row>
    <row r="64741" spans="129:129" x14ac:dyDescent="0.2">
      <c r="DY64741" s="185" t="s">
        <v>215</v>
      </c>
    </row>
    <row r="64742" spans="129:129" x14ac:dyDescent="0.2">
      <c r="DY64742" s="185" t="s">
        <v>215</v>
      </c>
    </row>
    <row r="64743" spans="129:129" x14ac:dyDescent="0.2">
      <c r="DY64743" s="185" t="s">
        <v>215</v>
      </c>
    </row>
    <row r="64744" spans="129:129" x14ac:dyDescent="0.2">
      <c r="DY64744" s="185" t="s">
        <v>215</v>
      </c>
    </row>
    <row r="64745" spans="129:129" x14ac:dyDescent="0.2">
      <c r="DY64745" s="185" t="s">
        <v>215</v>
      </c>
    </row>
    <row r="64746" spans="129:129" x14ac:dyDescent="0.2">
      <c r="DY64746" s="185" t="s">
        <v>215</v>
      </c>
    </row>
    <row r="64747" spans="129:129" x14ac:dyDescent="0.2">
      <c r="DY64747" s="185" t="s">
        <v>215</v>
      </c>
    </row>
    <row r="64748" spans="129:129" x14ac:dyDescent="0.2">
      <c r="DY64748" s="185" t="s">
        <v>215</v>
      </c>
    </row>
    <row r="64749" spans="129:129" x14ac:dyDescent="0.2">
      <c r="DY64749" s="185" t="s">
        <v>215</v>
      </c>
    </row>
    <row r="64750" spans="129:129" x14ac:dyDescent="0.2">
      <c r="DY64750" s="185" t="s">
        <v>215</v>
      </c>
    </row>
    <row r="64751" spans="129:129" x14ac:dyDescent="0.2">
      <c r="DY64751" s="185" t="s">
        <v>215</v>
      </c>
    </row>
    <row r="64752" spans="129:129" x14ac:dyDescent="0.2">
      <c r="DY64752" s="185" t="s">
        <v>215</v>
      </c>
    </row>
    <row r="64753" spans="129:129" x14ac:dyDescent="0.2">
      <c r="DY64753" s="185" t="s">
        <v>215</v>
      </c>
    </row>
    <row r="64754" spans="129:129" x14ac:dyDescent="0.2">
      <c r="DY64754" s="185" t="s">
        <v>215</v>
      </c>
    </row>
    <row r="64755" spans="129:129" x14ac:dyDescent="0.2">
      <c r="DY64755" s="185" t="s">
        <v>215</v>
      </c>
    </row>
    <row r="64756" spans="129:129" x14ac:dyDescent="0.2">
      <c r="DY64756" s="185" t="s">
        <v>215</v>
      </c>
    </row>
    <row r="64757" spans="129:129" x14ac:dyDescent="0.2">
      <c r="DY64757" s="185" t="s">
        <v>215</v>
      </c>
    </row>
    <row r="64758" spans="129:129" x14ac:dyDescent="0.2">
      <c r="DY64758" s="185" t="s">
        <v>215</v>
      </c>
    </row>
    <row r="64759" spans="129:129" x14ac:dyDescent="0.2">
      <c r="DY64759" s="185" t="s">
        <v>215</v>
      </c>
    </row>
    <row r="64760" spans="129:129" x14ac:dyDescent="0.2">
      <c r="DY64760" s="185" t="s">
        <v>215</v>
      </c>
    </row>
    <row r="64761" spans="129:129" x14ac:dyDescent="0.2">
      <c r="DY64761" s="185" t="s">
        <v>215</v>
      </c>
    </row>
    <row r="64762" spans="129:129" x14ac:dyDescent="0.2">
      <c r="DY64762" s="185" t="s">
        <v>215</v>
      </c>
    </row>
    <row r="64763" spans="129:129" x14ac:dyDescent="0.2">
      <c r="DY64763" s="185" t="s">
        <v>215</v>
      </c>
    </row>
    <row r="64764" spans="129:129" x14ac:dyDescent="0.2">
      <c r="DY64764" s="185" t="s">
        <v>215</v>
      </c>
    </row>
    <row r="64765" spans="129:129" x14ac:dyDescent="0.2">
      <c r="DY64765" s="185" t="s">
        <v>215</v>
      </c>
    </row>
    <row r="64766" spans="129:129" x14ac:dyDescent="0.2">
      <c r="DY64766" s="185" t="s">
        <v>215</v>
      </c>
    </row>
    <row r="64767" spans="129:129" x14ac:dyDescent="0.2">
      <c r="DY64767" s="185" t="s">
        <v>215</v>
      </c>
    </row>
    <row r="64768" spans="129:129" x14ac:dyDescent="0.2">
      <c r="DY64768" s="185" t="s">
        <v>215</v>
      </c>
    </row>
    <row r="64769" spans="129:129" x14ac:dyDescent="0.2">
      <c r="DY64769" s="185" t="s">
        <v>215</v>
      </c>
    </row>
    <row r="64770" spans="129:129" x14ac:dyDescent="0.2">
      <c r="DY64770" s="185" t="s">
        <v>215</v>
      </c>
    </row>
    <row r="64771" spans="129:129" x14ac:dyDescent="0.2">
      <c r="DY64771" s="185" t="s">
        <v>215</v>
      </c>
    </row>
    <row r="64772" spans="129:129" x14ac:dyDescent="0.2">
      <c r="DY64772" s="185" t="s">
        <v>215</v>
      </c>
    </row>
    <row r="64773" spans="129:129" x14ac:dyDescent="0.2">
      <c r="DY64773" s="185" t="s">
        <v>215</v>
      </c>
    </row>
    <row r="64774" spans="129:129" x14ac:dyDescent="0.2">
      <c r="DY64774" s="185" t="s">
        <v>215</v>
      </c>
    </row>
    <row r="64775" spans="129:129" x14ac:dyDescent="0.2">
      <c r="DY64775" s="185" t="s">
        <v>215</v>
      </c>
    </row>
    <row r="64776" spans="129:129" x14ac:dyDescent="0.2">
      <c r="DY64776" s="185" t="s">
        <v>215</v>
      </c>
    </row>
    <row r="64777" spans="129:129" x14ac:dyDescent="0.2">
      <c r="DY64777" s="185" t="s">
        <v>215</v>
      </c>
    </row>
    <row r="64778" spans="129:129" x14ac:dyDescent="0.2">
      <c r="DY64778" s="185" t="s">
        <v>215</v>
      </c>
    </row>
    <row r="64779" spans="129:129" x14ac:dyDescent="0.2">
      <c r="DY64779" s="185" t="s">
        <v>215</v>
      </c>
    </row>
    <row r="64780" spans="129:129" x14ac:dyDescent="0.2">
      <c r="DY64780" s="185" t="s">
        <v>215</v>
      </c>
    </row>
    <row r="64781" spans="129:129" x14ac:dyDescent="0.2">
      <c r="DY64781" s="185" t="s">
        <v>215</v>
      </c>
    </row>
    <row r="64782" spans="129:129" x14ac:dyDescent="0.2">
      <c r="DY64782" s="185" t="s">
        <v>215</v>
      </c>
    </row>
    <row r="64783" spans="129:129" x14ac:dyDescent="0.2">
      <c r="DY64783" s="185" t="s">
        <v>215</v>
      </c>
    </row>
    <row r="64784" spans="129:129" x14ac:dyDescent="0.2">
      <c r="DY64784" s="185" t="s">
        <v>215</v>
      </c>
    </row>
    <row r="64785" spans="129:129" x14ac:dyDescent="0.2">
      <c r="DY64785" s="185" t="s">
        <v>215</v>
      </c>
    </row>
    <row r="64786" spans="129:129" x14ac:dyDescent="0.2">
      <c r="DY64786" s="185" t="s">
        <v>215</v>
      </c>
    </row>
    <row r="64787" spans="129:129" x14ac:dyDescent="0.2">
      <c r="DY64787" s="185" t="s">
        <v>215</v>
      </c>
    </row>
    <row r="64788" spans="129:129" x14ac:dyDescent="0.2">
      <c r="DY64788" s="185" t="s">
        <v>215</v>
      </c>
    </row>
    <row r="64789" spans="129:129" x14ac:dyDescent="0.2">
      <c r="DY64789" s="185" t="s">
        <v>215</v>
      </c>
    </row>
    <row r="64790" spans="129:129" x14ac:dyDescent="0.2">
      <c r="DY64790" s="185" t="s">
        <v>215</v>
      </c>
    </row>
    <row r="64791" spans="129:129" x14ac:dyDescent="0.2">
      <c r="DY64791" s="185" t="s">
        <v>215</v>
      </c>
    </row>
    <row r="64792" spans="129:129" x14ac:dyDescent="0.2">
      <c r="DY64792" s="185" t="s">
        <v>215</v>
      </c>
    </row>
    <row r="64793" spans="129:129" x14ac:dyDescent="0.2">
      <c r="DY64793" s="185" t="s">
        <v>215</v>
      </c>
    </row>
    <row r="64794" spans="129:129" x14ac:dyDescent="0.2">
      <c r="DY64794" s="185" t="s">
        <v>215</v>
      </c>
    </row>
    <row r="64795" spans="129:129" x14ac:dyDescent="0.2">
      <c r="DY64795" s="185" t="s">
        <v>215</v>
      </c>
    </row>
    <row r="64796" spans="129:129" x14ac:dyDescent="0.2">
      <c r="DY64796" s="185" t="s">
        <v>215</v>
      </c>
    </row>
    <row r="64797" spans="129:129" x14ac:dyDescent="0.2">
      <c r="DY64797" s="185" t="s">
        <v>215</v>
      </c>
    </row>
    <row r="64798" spans="129:129" x14ac:dyDescent="0.2">
      <c r="DY64798" s="185" t="s">
        <v>215</v>
      </c>
    </row>
    <row r="64799" spans="129:129" x14ac:dyDescent="0.2">
      <c r="DY64799" s="185" t="s">
        <v>215</v>
      </c>
    </row>
    <row r="64800" spans="129:129" x14ac:dyDescent="0.2">
      <c r="DY64800" s="185" t="s">
        <v>215</v>
      </c>
    </row>
    <row r="64801" spans="129:129" x14ac:dyDescent="0.2">
      <c r="DY64801" s="185" t="s">
        <v>215</v>
      </c>
    </row>
    <row r="64802" spans="129:129" x14ac:dyDescent="0.2">
      <c r="DY64802" s="185" t="s">
        <v>215</v>
      </c>
    </row>
    <row r="64803" spans="129:129" x14ac:dyDescent="0.2">
      <c r="DY64803" s="185" t="s">
        <v>215</v>
      </c>
    </row>
    <row r="64804" spans="129:129" x14ac:dyDescent="0.2">
      <c r="DY64804" s="185" t="s">
        <v>215</v>
      </c>
    </row>
    <row r="64805" spans="129:129" x14ac:dyDescent="0.2">
      <c r="DY64805" s="185" t="s">
        <v>215</v>
      </c>
    </row>
    <row r="64806" spans="129:129" x14ac:dyDescent="0.2">
      <c r="DY64806" s="185" t="s">
        <v>215</v>
      </c>
    </row>
    <row r="64807" spans="129:129" x14ac:dyDescent="0.2">
      <c r="DY64807" s="185" t="s">
        <v>215</v>
      </c>
    </row>
    <row r="64808" spans="129:129" x14ac:dyDescent="0.2">
      <c r="DY64808" s="185" t="s">
        <v>215</v>
      </c>
    </row>
    <row r="64809" spans="129:129" x14ac:dyDescent="0.2">
      <c r="DY64809" s="185" t="s">
        <v>215</v>
      </c>
    </row>
    <row r="64810" spans="129:129" x14ac:dyDescent="0.2">
      <c r="DY64810" s="185" t="s">
        <v>215</v>
      </c>
    </row>
    <row r="64811" spans="129:129" x14ac:dyDescent="0.2">
      <c r="DY64811" s="185" t="s">
        <v>215</v>
      </c>
    </row>
    <row r="64812" spans="129:129" x14ac:dyDescent="0.2">
      <c r="DY64812" s="185" t="s">
        <v>215</v>
      </c>
    </row>
    <row r="64813" spans="129:129" x14ac:dyDescent="0.2">
      <c r="DY64813" s="185" t="s">
        <v>215</v>
      </c>
    </row>
    <row r="64814" spans="129:129" x14ac:dyDescent="0.2">
      <c r="DY64814" s="185" t="s">
        <v>215</v>
      </c>
    </row>
    <row r="64815" spans="129:129" x14ac:dyDescent="0.2">
      <c r="DY64815" s="185" t="s">
        <v>215</v>
      </c>
    </row>
    <row r="64816" spans="129:129" x14ac:dyDescent="0.2">
      <c r="DY64816" s="185" t="s">
        <v>215</v>
      </c>
    </row>
    <row r="64817" spans="129:129" x14ac:dyDescent="0.2">
      <c r="DY64817" s="185" t="s">
        <v>215</v>
      </c>
    </row>
    <row r="64818" spans="129:129" x14ac:dyDescent="0.2">
      <c r="DY64818" s="185" t="s">
        <v>215</v>
      </c>
    </row>
    <row r="64819" spans="129:129" x14ac:dyDescent="0.2">
      <c r="DY64819" s="185" t="s">
        <v>215</v>
      </c>
    </row>
    <row r="64820" spans="129:129" x14ac:dyDescent="0.2">
      <c r="DY64820" s="185" t="s">
        <v>215</v>
      </c>
    </row>
    <row r="64821" spans="129:129" x14ac:dyDescent="0.2">
      <c r="DY64821" s="185" t="s">
        <v>215</v>
      </c>
    </row>
    <row r="64822" spans="129:129" x14ac:dyDescent="0.2">
      <c r="DY64822" s="185" t="s">
        <v>215</v>
      </c>
    </row>
    <row r="64823" spans="129:129" x14ac:dyDescent="0.2">
      <c r="DY64823" s="185" t="s">
        <v>215</v>
      </c>
    </row>
    <row r="64824" spans="129:129" x14ac:dyDescent="0.2">
      <c r="DY64824" s="185" t="s">
        <v>215</v>
      </c>
    </row>
    <row r="64825" spans="129:129" x14ac:dyDescent="0.2">
      <c r="DY64825" s="185" t="s">
        <v>215</v>
      </c>
    </row>
    <row r="64826" spans="129:129" x14ac:dyDescent="0.2">
      <c r="DY64826" s="185" t="s">
        <v>215</v>
      </c>
    </row>
    <row r="64827" spans="129:129" x14ac:dyDescent="0.2">
      <c r="DY64827" s="185" t="s">
        <v>215</v>
      </c>
    </row>
    <row r="64828" spans="129:129" x14ac:dyDescent="0.2">
      <c r="DY64828" s="185" t="s">
        <v>215</v>
      </c>
    </row>
    <row r="64829" spans="129:129" x14ac:dyDescent="0.2">
      <c r="DY64829" s="185" t="s">
        <v>215</v>
      </c>
    </row>
    <row r="64830" spans="129:129" x14ac:dyDescent="0.2">
      <c r="DY64830" s="185" t="s">
        <v>215</v>
      </c>
    </row>
    <row r="64831" spans="129:129" x14ac:dyDescent="0.2">
      <c r="DY64831" s="185" t="s">
        <v>215</v>
      </c>
    </row>
    <row r="64832" spans="129:129" x14ac:dyDescent="0.2">
      <c r="DY64832" s="185" t="s">
        <v>215</v>
      </c>
    </row>
    <row r="64833" spans="129:129" x14ac:dyDescent="0.2">
      <c r="DY64833" s="185" t="s">
        <v>215</v>
      </c>
    </row>
    <row r="64834" spans="129:129" x14ac:dyDescent="0.2">
      <c r="DY64834" s="185" t="s">
        <v>215</v>
      </c>
    </row>
    <row r="64835" spans="129:129" x14ac:dyDescent="0.2">
      <c r="DY64835" s="185" t="s">
        <v>215</v>
      </c>
    </row>
    <row r="64836" spans="129:129" x14ac:dyDescent="0.2">
      <c r="DY64836" s="185" t="s">
        <v>215</v>
      </c>
    </row>
    <row r="64837" spans="129:129" x14ac:dyDescent="0.2">
      <c r="DY64837" s="185" t="s">
        <v>215</v>
      </c>
    </row>
    <row r="64838" spans="129:129" x14ac:dyDescent="0.2">
      <c r="DY64838" s="185" t="s">
        <v>215</v>
      </c>
    </row>
    <row r="64839" spans="129:129" x14ac:dyDescent="0.2">
      <c r="DY64839" s="185" t="s">
        <v>215</v>
      </c>
    </row>
    <row r="64840" spans="129:129" x14ac:dyDescent="0.2">
      <c r="DY64840" s="185" t="s">
        <v>215</v>
      </c>
    </row>
    <row r="64841" spans="129:129" x14ac:dyDescent="0.2">
      <c r="DY64841" s="185" t="s">
        <v>215</v>
      </c>
    </row>
    <row r="64842" spans="129:129" x14ac:dyDescent="0.2">
      <c r="DY64842" s="185" t="s">
        <v>215</v>
      </c>
    </row>
    <row r="64843" spans="129:129" x14ac:dyDescent="0.2">
      <c r="DY64843" s="185" t="s">
        <v>215</v>
      </c>
    </row>
    <row r="64844" spans="129:129" x14ac:dyDescent="0.2">
      <c r="DY64844" s="185" t="s">
        <v>215</v>
      </c>
    </row>
    <row r="64845" spans="129:129" x14ac:dyDescent="0.2">
      <c r="DY64845" s="185" t="s">
        <v>215</v>
      </c>
    </row>
    <row r="64846" spans="129:129" x14ac:dyDescent="0.2">
      <c r="DY64846" s="185" t="s">
        <v>215</v>
      </c>
    </row>
    <row r="64847" spans="129:129" x14ac:dyDescent="0.2">
      <c r="DY64847" s="185" t="s">
        <v>215</v>
      </c>
    </row>
    <row r="64848" spans="129:129" x14ac:dyDescent="0.2">
      <c r="DY64848" s="185" t="s">
        <v>215</v>
      </c>
    </row>
    <row r="64849" spans="129:129" x14ac:dyDescent="0.2">
      <c r="DY64849" s="185" t="s">
        <v>215</v>
      </c>
    </row>
    <row r="64850" spans="129:129" x14ac:dyDescent="0.2">
      <c r="DY64850" s="185" t="s">
        <v>215</v>
      </c>
    </row>
    <row r="64851" spans="129:129" x14ac:dyDescent="0.2">
      <c r="DY64851" s="185" t="s">
        <v>215</v>
      </c>
    </row>
    <row r="64852" spans="129:129" x14ac:dyDescent="0.2">
      <c r="DY64852" s="185" t="s">
        <v>215</v>
      </c>
    </row>
    <row r="64853" spans="129:129" x14ac:dyDescent="0.2">
      <c r="DY64853" s="185" t="s">
        <v>215</v>
      </c>
    </row>
    <row r="64854" spans="129:129" x14ac:dyDescent="0.2">
      <c r="DY64854" s="185" t="s">
        <v>215</v>
      </c>
    </row>
    <row r="64855" spans="129:129" x14ac:dyDescent="0.2">
      <c r="DY64855" s="185" t="s">
        <v>215</v>
      </c>
    </row>
    <row r="64856" spans="129:129" x14ac:dyDescent="0.2">
      <c r="DY64856" s="185" t="s">
        <v>215</v>
      </c>
    </row>
    <row r="64857" spans="129:129" x14ac:dyDescent="0.2">
      <c r="DY64857" s="185" t="s">
        <v>215</v>
      </c>
    </row>
    <row r="64858" spans="129:129" x14ac:dyDescent="0.2">
      <c r="DY64858" s="185" t="s">
        <v>215</v>
      </c>
    </row>
    <row r="64859" spans="129:129" x14ac:dyDescent="0.2">
      <c r="DY64859" s="185" t="s">
        <v>215</v>
      </c>
    </row>
    <row r="64860" spans="129:129" x14ac:dyDescent="0.2">
      <c r="DY64860" s="185" t="s">
        <v>215</v>
      </c>
    </row>
    <row r="64861" spans="129:129" x14ac:dyDescent="0.2">
      <c r="DY64861" s="185" t="s">
        <v>215</v>
      </c>
    </row>
    <row r="64862" spans="129:129" x14ac:dyDescent="0.2">
      <c r="DY64862" s="185" t="s">
        <v>215</v>
      </c>
    </row>
    <row r="64863" spans="129:129" x14ac:dyDescent="0.2">
      <c r="DY64863" s="185" t="s">
        <v>215</v>
      </c>
    </row>
    <row r="64864" spans="129:129" x14ac:dyDescent="0.2">
      <c r="DY64864" s="185" t="s">
        <v>215</v>
      </c>
    </row>
    <row r="64865" spans="129:129" x14ac:dyDescent="0.2">
      <c r="DY64865" s="185" t="s">
        <v>215</v>
      </c>
    </row>
    <row r="64866" spans="129:129" x14ac:dyDescent="0.2">
      <c r="DY64866" s="185" t="s">
        <v>215</v>
      </c>
    </row>
    <row r="64867" spans="129:129" x14ac:dyDescent="0.2">
      <c r="DY64867" s="185" t="s">
        <v>215</v>
      </c>
    </row>
    <row r="64868" spans="129:129" x14ac:dyDescent="0.2">
      <c r="DY64868" s="185" t="s">
        <v>215</v>
      </c>
    </row>
    <row r="64869" spans="129:129" x14ac:dyDescent="0.2">
      <c r="DY64869" s="185" t="s">
        <v>215</v>
      </c>
    </row>
    <row r="64870" spans="129:129" x14ac:dyDescent="0.2">
      <c r="DY64870" s="185" t="s">
        <v>215</v>
      </c>
    </row>
    <row r="64871" spans="129:129" x14ac:dyDescent="0.2">
      <c r="DY64871" s="185" t="s">
        <v>215</v>
      </c>
    </row>
    <row r="64872" spans="129:129" x14ac:dyDescent="0.2">
      <c r="DY64872" s="185" t="s">
        <v>215</v>
      </c>
    </row>
    <row r="64873" spans="129:129" x14ac:dyDescent="0.2">
      <c r="DY64873" s="185" t="s">
        <v>215</v>
      </c>
    </row>
    <row r="64874" spans="129:129" x14ac:dyDescent="0.2">
      <c r="DY64874" s="185" t="s">
        <v>215</v>
      </c>
    </row>
    <row r="64875" spans="129:129" x14ac:dyDescent="0.2">
      <c r="DY64875" s="185" t="s">
        <v>215</v>
      </c>
    </row>
    <row r="64876" spans="129:129" x14ac:dyDescent="0.2">
      <c r="DY64876" s="185" t="s">
        <v>215</v>
      </c>
    </row>
    <row r="64877" spans="129:129" x14ac:dyDescent="0.2">
      <c r="DY64877" s="185" t="s">
        <v>215</v>
      </c>
    </row>
    <row r="64878" spans="129:129" x14ac:dyDescent="0.2">
      <c r="DY64878" s="185" t="s">
        <v>215</v>
      </c>
    </row>
    <row r="64879" spans="129:129" x14ac:dyDescent="0.2">
      <c r="DY64879" s="185" t="s">
        <v>215</v>
      </c>
    </row>
    <row r="64880" spans="129:129" x14ac:dyDescent="0.2">
      <c r="DY64880" s="185" t="s">
        <v>215</v>
      </c>
    </row>
    <row r="64881" spans="129:129" x14ac:dyDescent="0.2">
      <c r="DY64881" s="185" t="s">
        <v>215</v>
      </c>
    </row>
    <row r="64882" spans="129:129" x14ac:dyDescent="0.2">
      <c r="DY64882" s="185" t="s">
        <v>215</v>
      </c>
    </row>
    <row r="64883" spans="129:129" x14ac:dyDescent="0.2">
      <c r="DY64883" s="185" t="s">
        <v>215</v>
      </c>
    </row>
    <row r="64884" spans="129:129" x14ac:dyDescent="0.2">
      <c r="DY64884" s="185" t="s">
        <v>215</v>
      </c>
    </row>
    <row r="64885" spans="129:129" x14ac:dyDescent="0.2">
      <c r="DY64885" s="185" t="s">
        <v>215</v>
      </c>
    </row>
    <row r="64886" spans="129:129" x14ac:dyDescent="0.2">
      <c r="DY64886" s="185" t="s">
        <v>215</v>
      </c>
    </row>
    <row r="64887" spans="129:129" x14ac:dyDescent="0.2">
      <c r="DY64887" s="185" t="s">
        <v>215</v>
      </c>
    </row>
    <row r="64888" spans="129:129" x14ac:dyDescent="0.2">
      <c r="DY64888" s="185" t="s">
        <v>215</v>
      </c>
    </row>
    <row r="64889" spans="129:129" x14ac:dyDescent="0.2">
      <c r="DY64889" s="185" t="s">
        <v>215</v>
      </c>
    </row>
    <row r="64890" spans="129:129" x14ac:dyDescent="0.2">
      <c r="DY64890" s="185" t="s">
        <v>215</v>
      </c>
    </row>
    <row r="64891" spans="129:129" x14ac:dyDescent="0.2">
      <c r="DY64891" s="185" t="s">
        <v>215</v>
      </c>
    </row>
    <row r="64892" spans="129:129" x14ac:dyDescent="0.2">
      <c r="DY64892" s="185" t="s">
        <v>215</v>
      </c>
    </row>
    <row r="64893" spans="129:129" x14ac:dyDescent="0.2">
      <c r="DY64893" s="185" t="s">
        <v>215</v>
      </c>
    </row>
    <row r="64894" spans="129:129" x14ac:dyDescent="0.2">
      <c r="DY64894" s="185" t="s">
        <v>215</v>
      </c>
    </row>
    <row r="64895" spans="129:129" x14ac:dyDescent="0.2">
      <c r="DY64895" s="185" t="s">
        <v>215</v>
      </c>
    </row>
    <row r="64896" spans="129:129" x14ac:dyDescent="0.2">
      <c r="DY64896" s="185" t="s">
        <v>215</v>
      </c>
    </row>
    <row r="64897" spans="129:129" x14ac:dyDescent="0.2">
      <c r="DY64897" s="185" t="s">
        <v>215</v>
      </c>
    </row>
    <row r="64898" spans="129:129" x14ac:dyDescent="0.2">
      <c r="DY64898" s="185" t="s">
        <v>215</v>
      </c>
    </row>
    <row r="64899" spans="129:129" x14ac:dyDescent="0.2">
      <c r="DY64899" s="185" t="s">
        <v>215</v>
      </c>
    </row>
    <row r="64900" spans="129:129" x14ac:dyDescent="0.2">
      <c r="DY64900" s="185" t="s">
        <v>215</v>
      </c>
    </row>
    <row r="64901" spans="129:129" x14ac:dyDescent="0.2">
      <c r="DY64901" s="185" t="s">
        <v>215</v>
      </c>
    </row>
    <row r="64902" spans="129:129" x14ac:dyDescent="0.2">
      <c r="DY64902" s="185" t="s">
        <v>215</v>
      </c>
    </row>
    <row r="64903" spans="129:129" x14ac:dyDescent="0.2">
      <c r="DY64903" s="185" t="s">
        <v>215</v>
      </c>
    </row>
    <row r="64904" spans="129:129" x14ac:dyDescent="0.2">
      <c r="DY64904" s="185" t="s">
        <v>215</v>
      </c>
    </row>
    <row r="64905" spans="129:129" x14ac:dyDescent="0.2">
      <c r="DY64905" s="185" t="s">
        <v>215</v>
      </c>
    </row>
    <row r="64906" spans="129:129" x14ac:dyDescent="0.2">
      <c r="DY64906" s="185" t="s">
        <v>215</v>
      </c>
    </row>
    <row r="64907" spans="129:129" x14ac:dyDescent="0.2">
      <c r="DY64907" s="185" t="s">
        <v>215</v>
      </c>
    </row>
    <row r="64908" spans="129:129" x14ac:dyDescent="0.2">
      <c r="DY64908" s="185" t="s">
        <v>215</v>
      </c>
    </row>
    <row r="64909" spans="129:129" x14ac:dyDescent="0.2">
      <c r="DY64909" s="185" t="s">
        <v>215</v>
      </c>
    </row>
    <row r="64910" spans="129:129" x14ac:dyDescent="0.2">
      <c r="DY64910" s="185" t="s">
        <v>215</v>
      </c>
    </row>
    <row r="64911" spans="129:129" x14ac:dyDescent="0.2">
      <c r="DY64911" s="185" t="s">
        <v>215</v>
      </c>
    </row>
    <row r="64912" spans="129:129" x14ac:dyDescent="0.2">
      <c r="DY64912" s="185" t="s">
        <v>215</v>
      </c>
    </row>
    <row r="64913" spans="129:129" x14ac:dyDescent="0.2">
      <c r="DY64913" s="185" t="s">
        <v>215</v>
      </c>
    </row>
    <row r="64914" spans="129:129" x14ac:dyDescent="0.2">
      <c r="DY64914" s="185" t="s">
        <v>215</v>
      </c>
    </row>
    <row r="64915" spans="129:129" x14ac:dyDescent="0.2">
      <c r="DY64915" s="185" t="s">
        <v>215</v>
      </c>
    </row>
    <row r="64916" spans="129:129" x14ac:dyDescent="0.2">
      <c r="DY64916" s="185" t="s">
        <v>215</v>
      </c>
    </row>
    <row r="64917" spans="129:129" x14ac:dyDescent="0.2">
      <c r="DY64917" s="185" t="s">
        <v>215</v>
      </c>
    </row>
    <row r="64918" spans="129:129" x14ac:dyDescent="0.2">
      <c r="DY64918" s="185" t="s">
        <v>215</v>
      </c>
    </row>
    <row r="64919" spans="129:129" x14ac:dyDescent="0.2">
      <c r="DY64919" s="185" t="s">
        <v>215</v>
      </c>
    </row>
    <row r="64920" spans="129:129" x14ac:dyDescent="0.2">
      <c r="DY64920" s="185" t="s">
        <v>215</v>
      </c>
    </row>
    <row r="64921" spans="129:129" x14ac:dyDescent="0.2">
      <c r="DY64921" s="185" t="s">
        <v>215</v>
      </c>
    </row>
    <row r="64922" spans="129:129" x14ac:dyDescent="0.2">
      <c r="DY64922" s="185" t="s">
        <v>215</v>
      </c>
    </row>
    <row r="64923" spans="129:129" x14ac:dyDescent="0.2">
      <c r="DY64923" s="185" t="s">
        <v>215</v>
      </c>
    </row>
    <row r="64924" spans="129:129" x14ac:dyDescent="0.2">
      <c r="DY64924" s="185" t="s">
        <v>215</v>
      </c>
    </row>
    <row r="64925" spans="129:129" x14ac:dyDescent="0.2">
      <c r="DY64925" s="185" t="s">
        <v>215</v>
      </c>
    </row>
    <row r="64926" spans="129:129" x14ac:dyDescent="0.2">
      <c r="DY64926" s="185" t="s">
        <v>215</v>
      </c>
    </row>
    <row r="64927" spans="129:129" x14ac:dyDescent="0.2">
      <c r="DY64927" s="185" t="s">
        <v>215</v>
      </c>
    </row>
    <row r="64928" spans="129:129" x14ac:dyDescent="0.2">
      <c r="DY64928" s="185" t="s">
        <v>215</v>
      </c>
    </row>
    <row r="64929" spans="129:129" x14ac:dyDescent="0.2">
      <c r="DY64929" s="185" t="s">
        <v>215</v>
      </c>
    </row>
    <row r="64930" spans="129:129" x14ac:dyDescent="0.2">
      <c r="DY64930" s="185" t="s">
        <v>215</v>
      </c>
    </row>
    <row r="64931" spans="129:129" x14ac:dyDescent="0.2">
      <c r="DY64931" s="185" t="s">
        <v>215</v>
      </c>
    </row>
    <row r="64932" spans="129:129" x14ac:dyDescent="0.2">
      <c r="DY64932" s="185" t="s">
        <v>215</v>
      </c>
    </row>
    <row r="64933" spans="129:129" x14ac:dyDescent="0.2">
      <c r="DY64933" s="185" t="s">
        <v>215</v>
      </c>
    </row>
    <row r="64934" spans="129:129" x14ac:dyDescent="0.2">
      <c r="DY64934" s="185" t="s">
        <v>215</v>
      </c>
    </row>
    <row r="64935" spans="129:129" x14ac:dyDescent="0.2">
      <c r="DY64935" s="185" t="s">
        <v>215</v>
      </c>
    </row>
    <row r="64936" spans="129:129" x14ac:dyDescent="0.2">
      <c r="DY64936" s="185" t="s">
        <v>215</v>
      </c>
    </row>
    <row r="64937" spans="129:129" x14ac:dyDescent="0.2">
      <c r="DY64937" s="185" t="s">
        <v>215</v>
      </c>
    </row>
    <row r="64938" spans="129:129" x14ac:dyDescent="0.2">
      <c r="DY64938" s="185" t="s">
        <v>215</v>
      </c>
    </row>
    <row r="64939" spans="129:129" x14ac:dyDescent="0.2">
      <c r="DY64939" s="185" t="s">
        <v>215</v>
      </c>
    </row>
    <row r="64940" spans="129:129" x14ac:dyDescent="0.2">
      <c r="DY64940" s="185" t="s">
        <v>215</v>
      </c>
    </row>
    <row r="64941" spans="129:129" x14ac:dyDescent="0.2">
      <c r="DY64941" s="185" t="s">
        <v>215</v>
      </c>
    </row>
    <row r="64942" spans="129:129" x14ac:dyDescent="0.2">
      <c r="DY64942" s="185" t="s">
        <v>215</v>
      </c>
    </row>
    <row r="64943" spans="129:129" x14ac:dyDescent="0.2">
      <c r="DY64943" s="185" t="s">
        <v>215</v>
      </c>
    </row>
    <row r="64944" spans="129:129" x14ac:dyDescent="0.2">
      <c r="DY64944" s="185" t="s">
        <v>215</v>
      </c>
    </row>
    <row r="64945" spans="129:129" x14ac:dyDescent="0.2">
      <c r="DY64945" s="185" t="s">
        <v>215</v>
      </c>
    </row>
    <row r="64946" spans="129:129" x14ac:dyDescent="0.2">
      <c r="DY64946" s="185" t="s">
        <v>215</v>
      </c>
    </row>
    <row r="64947" spans="129:129" x14ac:dyDescent="0.2">
      <c r="DY64947" s="185" t="s">
        <v>215</v>
      </c>
    </row>
    <row r="64948" spans="129:129" x14ac:dyDescent="0.2">
      <c r="DY64948" s="185" t="s">
        <v>215</v>
      </c>
    </row>
    <row r="64949" spans="129:129" x14ac:dyDescent="0.2">
      <c r="DY64949" s="185" t="s">
        <v>215</v>
      </c>
    </row>
    <row r="64950" spans="129:129" x14ac:dyDescent="0.2">
      <c r="DY64950" s="185" t="s">
        <v>215</v>
      </c>
    </row>
    <row r="64951" spans="129:129" x14ac:dyDescent="0.2">
      <c r="DY64951" s="185" t="s">
        <v>215</v>
      </c>
    </row>
    <row r="64952" spans="129:129" x14ac:dyDescent="0.2">
      <c r="DY64952" s="185" t="s">
        <v>215</v>
      </c>
    </row>
    <row r="64953" spans="129:129" x14ac:dyDescent="0.2">
      <c r="DY64953" s="185" t="s">
        <v>215</v>
      </c>
    </row>
    <row r="64954" spans="129:129" x14ac:dyDescent="0.2">
      <c r="DY64954" s="185" t="s">
        <v>215</v>
      </c>
    </row>
    <row r="64955" spans="129:129" x14ac:dyDescent="0.2">
      <c r="DY64955" s="185" t="s">
        <v>215</v>
      </c>
    </row>
    <row r="64956" spans="129:129" x14ac:dyDescent="0.2">
      <c r="DY64956" s="185" t="s">
        <v>215</v>
      </c>
    </row>
    <row r="64957" spans="129:129" x14ac:dyDescent="0.2">
      <c r="DY64957" s="185" t="s">
        <v>215</v>
      </c>
    </row>
    <row r="64958" spans="129:129" x14ac:dyDescent="0.2">
      <c r="DY64958" s="185" t="s">
        <v>215</v>
      </c>
    </row>
    <row r="64959" spans="129:129" x14ac:dyDescent="0.2">
      <c r="DY64959" s="185" t="s">
        <v>215</v>
      </c>
    </row>
    <row r="64960" spans="129:129" x14ac:dyDescent="0.2">
      <c r="DY64960" s="185" t="s">
        <v>215</v>
      </c>
    </row>
    <row r="64961" spans="129:129" x14ac:dyDescent="0.2">
      <c r="DY64961" s="185" t="s">
        <v>215</v>
      </c>
    </row>
    <row r="64962" spans="129:129" x14ac:dyDescent="0.2">
      <c r="DY64962" s="185" t="s">
        <v>215</v>
      </c>
    </row>
    <row r="64963" spans="129:129" x14ac:dyDescent="0.2">
      <c r="DY64963" s="185" t="s">
        <v>215</v>
      </c>
    </row>
    <row r="64964" spans="129:129" x14ac:dyDescent="0.2">
      <c r="DY64964" s="185" t="s">
        <v>215</v>
      </c>
    </row>
    <row r="64965" spans="129:129" x14ac:dyDescent="0.2">
      <c r="DY64965" s="185" t="s">
        <v>215</v>
      </c>
    </row>
    <row r="64966" spans="129:129" x14ac:dyDescent="0.2">
      <c r="DY64966" s="185" t="s">
        <v>215</v>
      </c>
    </row>
    <row r="64967" spans="129:129" x14ac:dyDescent="0.2">
      <c r="DY64967" s="185" t="s">
        <v>215</v>
      </c>
    </row>
    <row r="64968" spans="129:129" x14ac:dyDescent="0.2">
      <c r="DY64968" s="185" t="s">
        <v>215</v>
      </c>
    </row>
    <row r="64969" spans="129:129" x14ac:dyDescent="0.2">
      <c r="DY64969" s="185" t="s">
        <v>215</v>
      </c>
    </row>
    <row r="64970" spans="129:129" x14ac:dyDescent="0.2">
      <c r="DY64970" s="185" t="s">
        <v>215</v>
      </c>
    </row>
    <row r="64971" spans="129:129" x14ac:dyDescent="0.2">
      <c r="DY64971" s="185" t="s">
        <v>215</v>
      </c>
    </row>
    <row r="64972" spans="129:129" x14ac:dyDescent="0.2">
      <c r="DY64972" s="185" t="s">
        <v>215</v>
      </c>
    </row>
    <row r="64973" spans="129:129" x14ac:dyDescent="0.2">
      <c r="DY64973" s="185" t="s">
        <v>215</v>
      </c>
    </row>
    <row r="64974" spans="129:129" x14ac:dyDescent="0.2">
      <c r="DY64974" s="185" t="s">
        <v>215</v>
      </c>
    </row>
    <row r="64975" spans="129:129" x14ac:dyDescent="0.2">
      <c r="DY64975" s="185" t="s">
        <v>215</v>
      </c>
    </row>
    <row r="64976" spans="129:129" x14ac:dyDescent="0.2">
      <c r="DY64976" s="185" t="s">
        <v>215</v>
      </c>
    </row>
    <row r="64977" spans="129:129" x14ac:dyDescent="0.2">
      <c r="DY64977" s="185" t="s">
        <v>215</v>
      </c>
    </row>
    <row r="64978" spans="129:129" x14ac:dyDescent="0.2">
      <c r="DY64978" s="185" t="s">
        <v>215</v>
      </c>
    </row>
    <row r="64979" spans="129:129" x14ac:dyDescent="0.2">
      <c r="DY64979" s="185" t="s">
        <v>215</v>
      </c>
    </row>
    <row r="64980" spans="129:129" x14ac:dyDescent="0.2">
      <c r="DY64980" s="185" t="s">
        <v>215</v>
      </c>
    </row>
    <row r="64981" spans="129:129" x14ac:dyDescent="0.2">
      <c r="DY64981" s="185" t="s">
        <v>215</v>
      </c>
    </row>
    <row r="64982" spans="129:129" x14ac:dyDescent="0.2">
      <c r="DY64982" s="185" t="s">
        <v>215</v>
      </c>
    </row>
    <row r="64983" spans="129:129" x14ac:dyDescent="0.2">
      <c r="DY64983" s="185" t="s">
        <v>215</v>
      </c>
    </row>
    <row r="64984" spans="129:129" x14ac:dyDescent="0.2">
      <c r="DY64984" s="185" t="s">
        <v>215</v>
      </c>
    </row>
    <row r="64985" spans="129:129" x14ac:dyDescent="0.2">
      <c r="DY64985" s="185" t="s">
        <v>215</v>
      </c>
    </row>
    <row r="64986" spans="129:129" x14ac:dyDescent="0.2">
      <c r="DY64986" s="185" t="s">
        <v>215</v>
      </c>
    </row>
    <row r="64987" spans="129:129" x14ac:dyDescent="0.2">
      <c r="DY64987" s="185" t="s">
        <v>215</v>
      </c>
    </row>
    <row r="64988" spans="129:129" x14ac:dyDescent="0.2">
      <c r="DY64988" s="185" t="s">
        <v>215</v>
      </c>
    </row>
    <row r="64989" spans="129:129" x14ac:dyDescent="0.2">
      <c r="DY64989" s="185" t="s">
        <v>215</v>
      </c>
    </row>
    <row r="64990" spans="129:129" x14ac:dyDescent="0.2">
      <c r="DY64990" s="185" t="s">
        <v>215</v>
      </c>
    </row>
    <row r="64991" spans="129:129" x14ac:dyDescent="0.2">
      <c r="DY64991" s="185" t="s">
        <v>215</v>
      </c>
    </row>
    <row r="64992" spans="129:129" x14ac:dyDescent="0.2">
      <c r="DY64992" s="185" t="s">
        <v>215</v>
      </c>
    </row>
    <row r="64993" spans="129:129" x14ac:dyDescent="0.2">
      <c r="DY64993" s="185" t="s">
        <v>215</v>
      </c>
    </row>
    <row r="64994" spans="129:129" x14ac:dyDescent="0.2">
      <c r="DY64994" s="185" t="s">
        <v>215</v>
      </c>
    </row>
    <row r="64995" spans="129:129" x14ac:dyDescent="0.2">
      <c r="DY64995" s="185" t="s">
        <v>215</v>
      </c>
    </row>
    <row r="64996" spans="129:129" x14ac:dyDescent="0.2">
      <c r="DY64996" s="185" t="s">
        <v>215</v>
      </c>
    </row>
    <row r="64997" spans="129:129" x14ac:dyDescent="0.2">
      <c r="DY64997" s="185" t="s">
        <v>215</v>
      </c>
    </row>
    <row r="64998" spans="129:129" x14ac:dyDescent="0.2">
      <c r="DY64998" s="185" t="s">
        <v>215</v>
      </c>
    </row>
    <row r="64999" spans="129:129" x14ac:dyDescent="0.2">
      <c r="DY64999" s="185" t="s">
        <v>215</v>
      </c>
    </row>
    <row r="65000" spans="129:129" x14ac:dyDescent="0.2">
      <c r="DY65000" s="185" t="s">
        <v>215</v>
      </c>
    </row>
    <row r="65001" spans="129:129" x14ac:dyDescent="0.2">
      <c r="DY65001" s="185" t="s">
        <v>215</v>
      </c>
    </row>
    <row r="65002" spans="129:129" x14ac:dyDescent="0.2">
      <c r="DY65002" s="185" t="s">
        <v>215</v>
      </c>
    </row>
    <row r="65003" spans="129:129" x14ac:dyDescent="0.2">
      <c r="DY65003" s="185" t="s">
        <v>215</v>
      </c>
    </row>
    <row r="65004" spans="129:129" x14ac:dyDescent="0.2">
      <c r="DY65004" s="185" t="s">
        <v>215</v>
      </c>
    </row>
    <row r="65005" spans="129:129" x14ac:dyDescent="0.2">
      <c r="DY65005" s="185" t="s">
        <v>215</v>
      </c>
    </row>
    <row r="65006" spans="129:129" x14ac:dyDescent="0.2">
      <c r="DY65006" s="185" t="s">
        <v>215</v>
      </c>
    </row>
    <row r="65007" spans="129:129" x14ac:dyDescent="0.2">
      <c r="DY65007" s="185" t="s">
        <v>215</v>
      </c>
    </row>
    <row r="65008" spans="129:129" x14ac:dyDescent="0.2">
      <c r="DY65008" s="185" t="s">
        <v>215</v>
      </c>
    </row>
    <row r="65009" spans="129:129" x14ac:dyDescent="0.2">
      <c r="DY65009" s="185" t="s">
        <v>215</v>
      </c>
    </row>
    <row r="65010" spans="129:129" x14ac:dyDescent="0.2">
      <c r="DY65010" s="185" t="s">
        <v>215</v>
      </c>
    </row>
    <row r="65011" spans="129:129" x14ac:dyDescent="0.2">
      <c r="DY65011" s="185" t="s">
        <v>215</v>
      </c>
    </row>
    <row r="65012" spans="129:129" x14ac:dyDescent="0.2">
      <c r="DY65012" s="185" t="s">
        <v>215</v>
      </c>
    </row>
    <row r="65013" spans="129:129" x14ac:dyDescent="0.2">
      <c r="DY65013" s="185" t="s">
        <v>215</v>
      </c>
    </row>
    <row r="65014" spans="129:129" x14ac:dyDescent="0.2">
      <c r="DY65014" s="185" t="s">
        <v>215</v>
      </c>
    </row>
    <row r="65015" spans="129:129" x14ac:dyDescent="0.2">
      <c r="DY65015" s="185" t="s">
        <v>215</v>
      </c>
    </row>
    <row r="65016" spans="129:129" x14ac:dyDescent="0.2">
      <c r="DY65016" s="185" t="s">
        <v>215</v>
      </c>
    </row>
    <row r="65017" spans="129:129" x14ac:dyDescent="0.2">
      <c r="DY65017" s="185" t="s">
        <v>215</v>
      </c>
    </row>
    <row r="65018" spans="129:129" x14ac:dyDescent="0.2">
      <c r="DY65018" s="185" t="s">
        <v>215</v>
      </c>
    </row>
    <row r="65019" spans="129:129" x14ac:dyDescent="0.2">
      <c r="DY65019" s="185" t="s">
        <v>215</v>
      </c>
    </row>
    <row r="65020" spans="129:129" x14ac:dyDescent="0.2">
      <c r="DY65020" s="185" t="s">
        <v>215</v>
      </c>
    </row>
    <row r="65021" spans="129:129" x14ac:dyDescent="0.2">
      <c r="DY65021" s="185" t="s">
        <v>215</v>
      </c>
    </row>
    <row r="65022" spans="129:129" x14ac:dyDescent="0.2">
      <c r="DY65022" s="185" t="s">
        <v>215</v>
      </c>
    </row>
    <row r="65023" spans="129:129" x14ac:dyDescent="0.2">
      <c r="DY65023" s="185" t="s">
        <v>215</v>
      </c>
    </row>
    <row r="65024" spans="129:129" x14ac:dyDescent="0.2">
      <c r="DY65024" s="185" t="s">
        <v>215</v>
      </c>
    </row>
    <row r="65025" spans="129:129" x14ac:dyDescent="0.2">
      <c r="DY65025" s="185" t="s">
        <v>215</v>
      </c>
    </row>
    <row r="65026" spans="129:129" x14ac:dyDescent="0.2">
      <c r="DY65026" s="185" t="s">
        <v>215</v>
      </c>
    </row>
    <row r="65027" spans="129:129" x14ac:dyDescent="0.2">
      <c r="DY65027" s="185" t="s">
        <v>215</v>
      </c>
    </row>
    <row r="65028" spans="129:129" x14ac:dyDescent="0.2">
      <c r="DY65028" s="185" t="s">
        <v>215</v>
      </c>
    </row>
    <row r="65029" spans="129:129" x14ac:dyDescent="0.2">
      <c r="DY65029" s="185" t="s">
        <v>215</v>
      </c>
    </row>
    <row r="65030" spans="129:129" x14ac:dyDescent="0.2">
      <c r="DY65030" s="185" t="s">
        <v>215</v>
      </c>
    </row>
    <row r="65031" spans="129:129" x14ac:dyDescent="0.2">
      <c r="DY65031" s="185" t="s">
        <v>215</v>
      </c>
    </row>
    <row r="65032" spans="129:129" x14ac:dyDescent="0.2">
      <c r="DY65032" s="185" t="s">
        <v>215</v>
      </c>
    </row>
    <row r="65033" spans="129:129" x14ac:dyDescent="0.2">
      <c r="DY65033" s="185" t="s">
        <v>215</v>
      </c>
    </row>
    <row r="65034" spans="129:129" x14ac:dyDescent="0.2">
      <c r="DY65034" s="185" t="s">
        <v>215</v>
      </c>
    </row>
    <row r="65035" spans="129:129" x14ac:dyDescent="0.2">
      <c r="DY65035" s="185" t="s">
        <v>215</v>
      </c>
    </row>
    <row r="65036" spans="129:129" x14ac:dyDescent="0.2">
      <c r="DY65036" s="185" t="s">
        <v>215</v>
      </c>
    </row>
    <row r="65037" spans="129:129" x14ac:dyDescent="0.2">
      <c r="DY65037" s="185" t="s">
        <v>215</v>
      </c>
    </row>
    <row r="65038" spans="129:129" x14ac:dyDescent="0.2">
      <c r="DY65038" s="185" t="s">
        <v>215</v>
      </c>
    </row>
    <row r="65039" spans="129:129" x14ac:dyDescent="0.2">
      <c r="DY65039" s="185" t="s">
        <v>215</v>
      </c>
    </row>
    <row r="65040" spans="129:129" x14ac:dyDescent="0.2">
      <c r="DY65040" s="185" t="s">
        <v>215</v>
      </c>
    </row>
    <row r="65041" spans="129:129" x14ac:dyDescent="0.2">
      <c r="DY65041" s="185" t="s">
        <v>215</v>
      </c>
    </row>
    <row r="65042" spans="129:129" x14ac:dyDescent="0.2">
      <c r="DY65042" s="185" t="s">
        <v>215</v>
      </c>
    </row>
    <row r="65043" spans="129:129" x14ac:dyDescent="0.2">
      <c r="DY65043" s="185" t="s">
        <v>215</v>
      </c>
    </row>
    <row r="65044" spans="129:129" x14ac:dyDescent="0.2">
      <c r="DY65044" s="185" t="s">
        <v>215</v>
      </c>
    </row>
    <row r="65045" spans="129:129" x14ac:dyDescent="0.2">
      <c r="DY65045" s="185" t="s">
        <v>215</v>
      </c>
    </row>
    <row r="65046" spans="129:129" x14ac:dyDescent="0.2">
      <c r="DY65046" s="185" t="s">
        <v>215</v>
      </c>
    </row>
    <row r="65047" spans="129:129" x14ac:dyDescent="0.2">
      <c r="DY65047" s="185" t="s">
        <v>215</v>
      </c>
    </row>
    <row r="65048" spans="129:129" x14ac:dyDescent="0.2">
      <c r="DY65048" s="185" t="s">
        <v>215</v>
      </c>
    </row>
    <row r="65049" spans="129:129" x14ac:dyDescent="0.2">
      <c r="DY65049" s="185" t="s">
        <v>215</v>
      </c>
    </row>
    <row r="65050" spans="129:129" x14ac:dyDescent="0.2">
      <c r="DY65050" s="185" t="s">
        <v>215</v>
      </c>
    </row>
    <row r="65051" spans="129:129" x14ac:dyDescent="0.2">
      <c r="DY65051" s="185" t="s">
        <v>215</v>
      </c>
    </row>
    <row r="65052" spans="129:129" x14ac:dyDescent="0.2">
      <c r="DY65052" s="185" t="s">
        <v>215</v>
      </c>
    </row>
    <row r="65053" spans="129:129" x14ac:dyDescent="0.2">
      <c r="DY65053" s="185" t="s">
        <v>215</v>
      </c>
    </row>
    <row r="65054" spans="129:129" x14ac:dyDescent="0.2">
      <c r="DY65054" s="185" t="s">
        <v>215</v>
      </c>
    </row>
    <row r="65055" spans="129:129" x14ac:dyDescent="0.2">
      <c r="DY65055" s="185" t="s">
        <v>215</v>
      </c>
    </row>
    <row r="65056" spans="129:129" x14ac:dyDescent="0.2">
      <c r="DY65056" s="185" t="s">
        <v>215</v>
      </c>
    </row>
    <row r="65057" spans="129:129" x14ac:dyDescent="0.2">
      <c r="DY65057" s="185" t="s">
        <v>215</v>
      </c>
    </row>
    <row r="65058" spans="129:129" x14ac:dyDescent="0.2">
      <c r="DY65058" s="185" t="s">
        <v>215</v>
      </c>
    </row>
    <row r="65059" spans="129:129" x14ac:dyDescent="0.2">
      <c r="DY65059" s="185" t="s">
        <v>215</v>
      </c>
    </row>
    <row r="65060" spans="129:129" x14ac:dyDescent="0.2">
      <c r="DY65060" s="185" t="s">
        <v>215</v>
      </c>
    </row>
    <row r="65061" spans="129:129" x14ac:dyDescent="0.2">
      <c r="DY65061" s="185" t="s">
        <v>215</v>
      </c>
    </row>
    <row r="65062" spans="129:129" x14ac:dyDescent="0.2">
      <c r="DY65062" s="185" t="s">
        <v>215</v>
      </c>
    </row>
    <row r="65063" spans="129:129" x14ac:dyDescent="0.2">
      <c r="DY65063" s="185" t="s">
        <v>215</v>
      </c>
    </row>
    <row r="65064" spans="129:129" x14ac:dyDescent="0.2">
      <c r="DY65064" s="185" t="s">
        <v>215</v>
      </c>
    </row>
    <row r="65065" spans="129:129" x14ac:dyDescent="0.2">
      <c r="DY65065" s="185" t="s">
        <v>215</v>
      </c>
    </row>
    <row r="65066" spans="129:129" x14ac:dyDescent="0.2">
      <c r="DY65066" s="185" t="s">
        <v>215</v>
      </c>
    </row>
    <row r="65067" spans="129:129" x14ac:dyDescent="0.2">
      <c r="DY65067" s="185" t="s">
        <v>215</v>
      </c>
    </row>
    <row r="65068" spans="129:129" x14ac:dyDescent="0.2">
      <c r="DY65068" s="185" t="s">
        <v>215</v>
      </c>
    </row>
    <row r="65069" spans="129:129" x14ac:dyDescent="0.2">
      <c r="DY65069" s="185" t="s">
        <v>215</v>
      </c>
    </row>
    <row r="65070" spans="129:129" x14ac:dyDescent="0.2">
      <c r="DY65070" s="185" t="s">
        <v>215</v>
      </c>
    </row>
    <row r="65071" spans="129:129" x14ac:dyDescent="0.2">
      <c r="DY65071" s="185" t="s">
        <v>215</v>
      </c>
    </row>
    <row r="65072" spans="129:129" x14ac:dyDescent="0.2">
      <c r="DY65072" s="185" t="s">
        <v>215</v>
      </c>
    </row>
    <row r="65073" spans="129:129" x14ac:dyDescent="0.2">
      <c r="DY65073" s="185" t="s">
        <v>215</v>
      </c>
    </row>
    <row r="65074" spans="129:129" x14ac:dyDescent="0.2">
      <c r="DY65074" s="185" t="s">
        <v>215</v>
      </c>
    </row>
    <row r="65075" spans="129:129" x14ac:dyDescent="0.2">
      <c r="DY65075" s="185" t="s">
        <v>215</v>
      </c>
    </row>
    <row r="65076" spans="129:129" x14ac:dyDescent="0.2">
      <c r="DY65076" s="185" t="s">
        <v>215</v>
      </c>
    </row>
    <row r="65077" spans="129:129" x14ac:dyDescent="0.2">
      <c r="DY65077" s="185" t="s">
        <v>215</v>
      </c>
    </row>
    <row r="65078" spans="129:129" x14ac:dyDescent="0.2">
      <c r="DY65078" s="185" t="s">
        <v>215</v>
      </c>
    </row>
    <row r="65079" spans="129:129" x14ac:dyDescent="0.2">
      <c r="DY65079" s="185" t="s">
        <v>215</v>
      </c>
    </row>
    <row r="65080" spans="129:129" x14ac:dyDescent="0.2">
      <c r="DY65080" s="185" t="s">
        <v>215</v>
      </c>
    </row>
    <row r="65081" spans="129:129" x14ac:dyDescent="0.2">
      <c r="DY65081" s="185" t="s">
        <v>215</v>
      </c>
    </row>
    <row r="65082" spans="129:129" x14ac:dyDescent="0.2">
      <c r="DY65082" s="185" t="s">
        <v>215</v>
      </c>
    </row>
    <row r="65083" spans="129:129" x14ac:dyDescent="0.2">
      <c r="DY65083" s="185" t="s">
        <v>215</v>
      </c>
    </row>
    <row r="65084" spans="129:129" x14ac:dyDescent="0.2">
      <c r="DY65084" s="185" t="s">
        <v>215</v>
      </c>
    </row>
    <row r="65085" spans="129:129" x14ac:dyDescent="0.2">
      <c r="DY65085" s="185" t="s">
        <v>215</v>
      </c>
    </row>
    <row r="65086" spans="129:129" x14ac:dyDescent="0.2">
      <c r="DY65086" s="185" t="s">
        <v>215</v>
      </c>
    </row>
    <row r="65087" spans="129:129" x14ac:dyDescent="0.2">
      <c r="DY65087" s="185" t="s">
        <v>215</v>
      </c>
    </row>
    <row r="65088" spans="129:129" x14ac:dyDescent="0.2">
      <c r="DY65088" s="185" t="s">
        <v>215</v>
      </c>
    </row>
    <row r="65089" spans="129:129" x14ac:dyDescent="0.2">
      <c r="DY65089" s="185" t="s">
        <v>215</v>
      </c>
    </row>
    <row r="65090" spans="129:129" x14ac:dyDescent="0.2">
      <c r="DY65090" s="185" t="s">
        <v>215</v>
      </c>
    </row>
    <row r="65091" spans="129:129" x14ac:dyDescent="0.2">
      <c r="DY65091" s="185" t="s">
        <v>215</v>
      </c>
    </row>
    <row r="65092" spans="129:129" x14ac:dyDescent="0.2">
      <c r="DY65092" s="185" t="s">
        <v>215</v>
      </c>
    </row>
    <row r="65093" spans="129:129" x14ac:dyDescent="0.2">
      <c r="DY65093" s="185" t="s">
        <v>215</v>
      </c>
    </row>
    <row r="65094" spans="129:129" x14ac:dyDescent="0.2">
      <c r="DY65094" s="185" t="s">
        <v>215</v>
      </c>
    </row>
    <row r="65095" spans="129:129" x14ac:dyDescent="0.2">
      <c r="DY65095" s="185" t="s">
        <v>215</v>
      </c>
    </row>
    <row r="65096" spans="129:129" x14ac:dyDescent="0.2">
      <c r="DY65096" s="185" t="s">
        <v>215</v>
      </c>
    </row>
    <row r="65097" spans="129:129" x14ac:dyDescent="0.2">
      <c r="DY65097" s="185" t="s">
        <v>215</v>
      </c>
    </row>
    <row r="65098" spans="129:129" x14ac:dyDescent="0.2">
      <c r="DY65098" s="185" t="s">
        <v>215</v>
      </c>
    </row>
    <row r="65099" spans="129:129" x14ac:dyDescent="0.2">
      <c r="DY65099" s="185" t="s">
        <v>215</v>
      </c>
    </row>
    <row r="65100" spans="129:129" x14ac:dyDescent="0.2">
      <c r="DY65100" s="185" t="s">
        <v>215</v>
      </c>
    </row>
    <row r="65101" spans="129:129" x14ac:dyDescent="0.2">
      <c r="DY65101" s="185" t="s">
        <v>215</v>
      </c>
    </row>
    <row r="65102" spans="129:129" x14ac:dyDescent="0.2">
      <c r="DY65102" s="185" t="s">
        <v>215</v>
      </c>
    </row>
    <row r="65103" spans="129:129" x14ac:dyDescent="0.2">
      <c r="DY65103" s="185" t="s">
        <v>215</v>
      </c>
    </row>
    <row r="65104" spans="129:129" x14ac:dyDescent="0.2">
      <c r="DY65104" s="185" t="s">
        <v>215</v>
      </c>
    </row>
    <row r="65105" spans="129:129" x14ac:dyDescent="0.2">
      <c r="DY65105" s="185" t="s">
        <v>215</v>
      </c>
    </row>
    <row r="65106" spans="129:129" x14ac:dyDescent="0.2">
      <c r="DY65106" s="185" t="s">
        <v>215</v>
      </c>
    </row>
    <row r="65107" spans="129:129" x14ac:dyDescent="0.2">
      <c r="DY65107" s="185" t="s">
        <v>215</v>
      </c>
    </row>
    <row r="65108" spans="129:129" x14ac:dyDescent="0.2">
      <c r="DY65108" s="185" t="s">
        <v>215</v>
      </c>
    </row>
    <row r="65109" spans="129:129" x14ac:dyDescent="0.2">
      <c r="DY65109" s="185" t="s">
        <v>215</v>
      </c>
    </row>
    <row r="65110" spans="129:129" x14ac:dyDescent="0.2">
      <c r="DY65110" s="185" t="s">
        <v>215</v>
      </c>
    </row>
    <row r="65111" spans="129:129" x14ac:dyDescent="0.2">
      <c r="DY65111" s="185" t="s">
        <v>215</v>
      </c>
    </row>
    <row r="65112" spans="129:129" x14ac:dyDescent="0.2">
      <c r="DY65112" s="185" t="s">
        <v>215</v>
      </c>
    </row>
    <row r="65113" spans="129:129" x14ac:dyDescent="0.2">
      <c r="DY65113" s="185" t="s">
        <v>215</v>
      </c>
    </row>
    <row r="65114" spans="129:129" x14ac:dyDescent="0.2">
      <c r="DY65114" s="185" t="s">
        <v>215</v>
      </c>
    </row>
    <row r="65115" spans="129:129" x14ac:dyDescent="0.2">
      <c r="DY65115" s="185" t="s">
        <v>215</v>
      </c>
    </row>
    <row r="65116" spans="129:129" x14ac:dyDescent="0.2">
      <c r="DY65116" s="185" t="s">
        <v>215</v>
      </c>
    </row>
    <row r="65117" spans="129:129" x14ac:dyDescent="0.2">
      <c r="DY65117" s="185" t="s">
        <v>215</v>
      </c>
    </row>
    <row r="65118" spans="129:129" x14ac:dyDescent="0.2">
      <c r="DY65118" s="185" t="s">
        <v>215</v>
      </c>
    </row>
    <row r="65119" spans="129:129" x14ac:dyDescent="0.2">
      <c r="DY65119" s="185" t="s">
        <v>215</v>
      </c>
    </row>
    <row r="65120" spans="129:129" x14ac:dyDescent="0.2">
      <c r="DY65120" s="185" t="s">
        <v>215</v>
      </c>
    </row>
    <row r="65121" spans="129:129" x14ac:dyDescent="0.2">
      <c r="DY65121" s="185" t="s">
        <v>215</v>
      </c>
    </row>
    <row r="65122" spans="129:129" x14ac:dyDescent="0.2">
      <c r="DY65122" s="185" t="s">
        <v>215</v>
      </c>
    </row>
    <row r="65123" spans="129:129" x14ac:dyDescent="0.2">
      <c r="DY65123" s="185" t="s">
        <v>215</v>
      </c>
    </row>
    <row r="65124" spans="129:129" x14ac:dyDescent="0.2">
      <c r="DY65124" s="185" t="s">
        <v>215</v>
      </c>
    </row>
    <row r="65125" spans="129:129" x14ac:dyDescent="0.2">
      <c r="DY65125" s="185" t="s">
        <v>215</v>
      </c>
    </row>
    <row r="65126" spans="129:129" x14ac:dyDescent="0.2">
      <c r="DY65126" s="185" t="s">
        <v>215</v>
      </c>
    </row>
    <row r="65127" spans="129:129" x14ac:dyDescent="0.2">
      <c r="DY65127" s="185" t="s">
        <v>215</v>
      </c>
    </row>
    <row r="65128" spans="129:129" x14ac:dyDescent="0.2">
      <c r="DY65128" s="185" t="s">
        <v>215</v>
      </c>
    </row>
    <row r="65129" spans="129:129" x14ac:dyDescent="0.2">
      <c r="DY65129" s="185" t="s">
        <v>215</v>
      </c>
    </row>
    <row r="65130" spans="129:129" x14ac:dyDescent="0.2">
      <c r="DY65130" s="185" t="s">
        <v>215</v>
      </c>
    </row>
    <row r="65131" spans="129:129" x14ac:dyDescent="0.2">
      <c r="DY65131" s="185" t="s">
        <v>215</v>
      </c>
    </row>
    <row r="65132" spans="129:129" x14ac:dyDescent="0.2">
      <c r="DY65132" s="185" t="s">
        <v>215</v>
      </c>
    </row>
    <row r="65133" spans="129:129" x14ac:dyDescent="0.2">
      <c r="DY65133" s="185" t="s">
        <v>215</v>
      </c>
    </row>
    <row r="65134" spans="129:129" x14ac:dyDescent="0.2">
      <c r="DY65134" s="185" t="s">
        <v>215</v>
      </c>
    </row>
    <row r="65135" spans="129:129" x14ac:dyDescent="0.2">
      <c r="DY65135" s="185" t="s">
        <v>215</v>
      </c>
    </row>
    <row r="65136" spans="129:129" x14ac:dyDescent="0.2">
      <c r="DY65136" s="185" t="s">
        <v>215</v>
      </c>
    </row>
    <row r="65137" spans="129:129" x14ac:dyDescent="0.2">
      <c r="DY65137" s="185" t="s">
        <v>215</v>
      </c>
    </row>
    <row r="65138" spans="129:129" x14ac:dyDescent="0.2">
      <c r="DY65138" s="185" t="s">
        <v>215</v>
      </c>
    </row>
    <row r="65139" spans="129:129" x14ac:dyDescent="0.2">
      <c r="DY65139" s="185" t="s">
        <v>215</v>
      </c>
    </row>
    <row r="65140" spans="129:129" x14ac:dyDescent="0.2">
      <c r="DY65140" s="185" t="s">
        <v>215</v>
      </c>
    </row>
    <row r="65141" spans="129:129" x14ac:dyDescent="0.2">
      <c r="DY65141" s="185" t="s">
        <v>215</v>
      </c>
    </row>
    <row r="65142" spans="129:129" x14ac:dyDescent="0.2">
      <c r="DY65142" s="185" t="s">
        <v>215</v>
      </c>
    </row>
    <row r="65143" spans="129:129" x14ac:dyDescent="0.2">
      <c r="DY65143" s="185" t="s">
        <v>215</v>
      </c>
    </row>
    <row r="65144" spans="129:129" x14ac:dyDescent="0.2">
      <c r="DY65144" s="185" t="s">
        <v>215</v>
      </c>
    </row>
    <row r="65145" spans="129:129" x14ac:dyDescent="0.2">
      <c r="DY65145" s="185" t="s">
        <v>215</v>
      </c>
    </row>
    <row r="65146" spans="129:129" x14ac:dyDescent="0.2">
      <c r="DY65146" s="185" t="s">
        <v>215</v>
      </c>
    </row>
    <row r="65147" spans="129:129" x14ac:dyDescent="0.2">
      <c r="DY65147" s="185" t="s">
        <v>215</v>
      </c>
    </row>
    <row r="65148" spans="129:129" x14ac:dyDescent="0.2">
      <c r="DY65148" s="185" t="s">
        <v>215</v>
      </c>
    </row>
    <row r="65149" spans="129:129" x14ac:dyDescent="0.2">
      <c r="DY65149" s="185" t="s">
        <v>215</v>
      </c>
    </row>
    <row r="65150" spans="129:129" x14ac:dyDescent="0.2">
      <c r="DY65150" s="185" t="s">
        <v>215</v>
      </c>
    </row>
    <row r="65151" spans="129:129" x14ac:dyDescent="0.2">
      <c r="DY65151" s="185" t="s">
        <v>215</v>
      </c>
    </row>
    <row r="65152" spans="129:129" x14ac:dyDescent="0.2">
      <c r="DY65152" s="185" t="s">
        <v>215</v>
      </c>
    </row>
    <row r="65153" spans="129:129" x14ac:dyDescent="0.2">
      <c r="DY65153" s="185" t="s">
        <v>215</v>
      </c>
    </row>
    <row r="65154" spans="129:129" x14ac:dyDescent="0.2">
      <c r="DY65154" s="185" t="s">
        <v>215</v>
      </c>
    </row>
    <row r="65155" spans="129:129" x14ac:dyDescent="0.2">
      <c r="DY65155" s="185" t="s">
        <v>215</v>
      </c>
    </row>
    <row r="65156" spans="129:129" x14ac:dyDescent="0.2">
      <c r="DY65156" s="185" t="s">
        <v>215</v>
      </c>
    </row>
    <row r="65157" spans="129:129" x14ac:dyDescent="0.2">
      <c r="DY65157" s="185" t="s">
        <v>215</v>
      </c>
    </row>
    <row r="65158" spans="129:129" x14ac:dyDescent="0.2">
      <c r="DY65158" s="185" t="s">
        <v>215</v>
      </c>
    </row>
    <row r="65159" spans="129:129" x14ac:dyDescent="0.2">
      <c r="DY65159" s="185" t="s">
        <v>215</v>
      </c>
    </row>
    <row r="65160" spans="129:129" x14ac:dyDescent="0.2">
      <c r="DY65160" s="185" t="s">
        <v>215</v>
      </c>
    </row>
    <row r="65161" spans="129:129" x14ac:dyDescent="0.2">
      <c r="DY65161" s="185" t="s">
        <v>215</v>
      </c>
    </row>
    <row r="65162" spans="129:129" x14ac:dyDescent="0.2">
      <c r="DY65162" s="185" t="s">
        <v>215</v>
      </c>
    </row>
    <row r="65163" spans="129:129" x14ac:dyDescent="0.2">
      <c r="DY65163" s="185" t="s">
        <v>215</v>
      </c>
    </row>
    <row r="65164" spans="129:129" x14ac:dyDescent="0.2">
      <c r="DY65164" s="185" t="s">
        <v>215</v>
      </c>
    </row>
    <row r="65165" spans="129:129" x14ac:dyDescent="0.2">
      <c r="DY65165" s="185" t="s">
        <v>215</v>
      </c>
    </row>
    <row r="65166" spans="129:129" x14ac:dyDescent="0.2">
      <c r="DY65166" s="185" t="s">
        <v>215</v>
      </c>
    </row>
    <row r="65167" spans="129:129" x14ac:dyDescent="0.2">
      <c r="DY65167" s="185" t="s">
        <v>215</v>
      </c>
    </row>
    <row r="65168" spans="129:129" x14ac:dyDescent="0.2">
      <c r="DY65168" s="185" t="s">
        <v>215</v>
      </c>
    </row>
    <row r="65169" spans="129:129" x14ac:dyDescent="0.2">
      <c r="DY65169" s="185" t="s">
        <v>215</v>
      </c>
    </row>
    <row r="65170" spans="129:129" x14ac:dyDescent="0.2">
      <c r="DY65170" s="185" t="s">
        <v>215</v>
      </c>
    </row>
    <row r="65171" spans="129:129" x14ac:dyDescent="0.2">
      <c r="DY65171" s="185" t="s">
        <v>215</v>
      </c>
    </row>
    <row r="65172" spans="129:129" x14ac:dyDescent="0.2">
      <c r="DY65172" s="185" t="s">
        <v>215</v>
      </c>
    </row>
    <row r="65173" spans="129:129" x14ac:dyDescent="0.2">
      <c r="DY65173" s="185" t="s">
        <v>215</v>
      </c>
    </row>
    <row r="65174" spans="129:129" x14ac:dyDescent="0.2">
      <c r="DY65174" s="185" t="s">
        <v>215</v>
      </c>
    </row>
    <row r="65175" spans="129:129" x14ac:dyDescent="0.2">
      <c r="DY65175" s="185" t="s">
        <v>215</v>
      </c>
    </row>
    <row r="65176" spans="129:129" x14ac:dyDescent="0.2">
      <c r="DY65176" s="185" t="s">
        <v>215</v>
      </c>
    </row>
    <row r="65177" spans="129:129" x14ac:dyDescent="0.2">
      <c r="DY65177" s="185" t="s">
        <v>215</v>
      </c>
    </row>
    <row r="65178" spans="129:129" x14ac:dyDescent="0.2">
      <c r="DY65178" s="185" t="s">
        <v>215</v>
      </c>
    </row>
    <row r="65179" spans="129:129" x14ac:dyDescent="0.2">
      <c r="DY65179" s="185" t="s">
        <v>215</v>
      </c>
    </row>
    <row r="65180" spans="129:129" x14ac:dyDescent="0.2">
      <c r="DY65180" s="185" t="s">
        <v>215</v>
      </c>
    </row>
    <row r="65181" spans="129:129" x14ac:dyDescent="0.2">
      <c r="DY65181" s="185" t="s">
        <v>215</v>
      </c>
    </row>
    <row r="65182" spans="129:129" x14ac:dyDescent="0.2">
      <c r="DY65182" s="185" t="s">
        <v>215</v>
      </c>
    </row>
    <row r="65183" spans="129:129" x14ac:dyDescent="0.2">
      <c r="DY65183" s="185" t="s">
        <v>215</v>
      </c>
    </row>
    <row r="65184" spans="129:129" x14ac:dyDescent="0.2">
      <c r="DY65184" s="185" t="s">
        <v>215</v>
      </c>
    </row>
    <row r="65185" spans="129:129" x14ac:dyDescent="0.2">
      <c r="DY65185" s="185" t="s">
        <v>215</v>
      </c>
    </row>
    <row r="65186" spans="129:129" x14ac:dyDescent="0.2">
      <c r="DY65186" s="185" t="s">
        <v>215</v>
      </c>
    </row>
    <row r="65187" spans="129:129" x14ac:dyDescent="0.2">
      <c r="DY65187" s="185" t="s">
        <v>215</v>
      </c>
    </row>
    <row r="65188" spans="129:129" x14ac:dyDescent="0.2">
      <c r="DY65188" s="185" t="s">
        <v>215</v>
      </c>
    </row>
    <row r="65189" spans="129:129" x14ac:dyDescent="0.2">
      <c r="DY65189" s="185" t="s">
        <v>215</v>
      </c>
    </row>
    <row r="65190" spans="129:129" x14ac:dyDescent="0.2">
      <c r="DY65190" s="185" t="s">
        <v>215</v>
      </c>
    </row>
    <row r="65191" spans="129:129" x14ac:dyDescent="0.2">
      <c r="DY65191" s="185" t="s">
        <v>215</v>
      </c>
    </row>
    <row r="65192" spans="129:129" x14ac:dyDescent="0.2">
      <c r="DY65192" s="185" t="s">
        <v>215</v>
      </c>
    </row>
    <row r="65193" spans="129:129" x14ac:dyDescent="0.2">
      <c r="DY65193" s="185" t="s">
        <v>215</v>
      </c>
    </row>
    <row r="65194" spans="129:129" x14ac:dyDescent="0.2">
      <c r="DY65194" s="185" t="s">
        <v>215</v>
      </c>
    </row>
    <row r="65195" spans="129:129" x14ac:dyDescent="0.2">
      <c r="DY65195" s="185" t="s">
        <v>215</v>
      </c>
    </row>
    <row r="65196" spans="129:129" x14ac:dyDescent="0.2">
      <c r="DY65196" s="185" t="s">
        <v>215</v>
      </c>
    </row>
    <row r="65197" spans="129:129" x14ac:dyDescent="0.2">
      <c r="DY65197" s="185" t="s">
        <v>215</v>
      </c>
    </row>
    <row r="65198" spans="129:129" x14ac:dyDescent="0.2">
      <c r="DY65198" s="185" t="s">
        <v>215</v>
      </c>
    </row>
    <row r="65199" spans="129:129" x14ac:dyDescent="0.2">
      <c r="DY65199" s="185" t="s">
        <v>215</v>
      </c>
    </row>
    <row r="65200" spans="129:129" x14ac:dyDescent="0.2">
      <c r="DY65200" s="185" t="s">
        <v>215</v>
      </c>
    </row>
    <row r="65201" spans="129:129" x14ac:dyDescent="0.2">
      <c r="DY65201" s="185" t="s">
        <v>215</v>
      </c>
    </row>
    <row r="65202" spans="129:129" x14ac:dyDescent="0.2">
      <c r="DY65202" s="185" t="s">
        <v>215</v>
      </c>
    </row>
    <row r="65203" spans="129:129" x14ac:dyDescent="0.2">
      <c r="DY65203" s="185" t="s">
        <v>215</v>
      </c>
    </row>
    <row r="65204" spans="129:129" x14ac:dyDescent="0.2">
      <c r="DY65204" s="185" t="s">
        <v>215</v>
      </c>
    </row>
    <row r="65205" spans="129:129" x14ac:dyDescent="0.2">
      <c r="DY65205" s="185" t="s">
        <v>215</v>
      </c>
    </row>
    <row r="65206" spans="129:129" x14ac:dyDescent="0.2">
      <c r="DY65206" s="185" t="s">
        <v>215</v>
      </c>
    </row>
    <row r="65207" spans="129:129" x14ac:dyDescent="0.2">
      <c r="DY65207" s="185" t="s">
        <v>215</v>
      </c>
    </row>
    <row r="65208" spans="129:129" x14ac:dyDescent="0.2">
      <c r="DY65208" s="185" t="s">
        <v>215</v>
      </c>
    </row>
    <row r="65209" spans="129:129" x14ac:dyDescent="0.2">
      <c r="DY65209" s="185" t="s">
        <v>215</v>
      </c>
    </row>
    <row r="65210" spans="129:129" x14ac:dyDescent="0.2">
      <c r="DY65210" s="185" t="s">
        <v>215</v>
      </c>
    </row>
    <row r="65211" spans="129:129" x14ac:dyDescent="0.2">
      <c r="DY65211" s="185" t="s">
        <v>215</v>
      </c>
    </row>
    <row r="65212" spans="129:129" x14ac:dyDescent="0.2">
      <c r="DY65212" s="185" t="s">
        <v>215</v>
      </c>
    </row>
    <row r="65213" spans="129:129" x14ac:dyDescent="0.2">
      <c r="DY65213" s="185" t="s">
        <v>215</v>
      </c>
    </row>
    <row r="65214" spans="129:129" x14ac:dyDescent="0.2">
      <c r="DY65214" s="185" t="s">
        <v>215</v>
      </c>
    </row>
    <row r="65215" spans="129:129" x14ac:dyDescent="0.2">
      <c r="DY65215" s="185" t="s">
        <v>215</v>
      </c>
    </row>
    <row r="65216" spans="129:129" x14ac:dyDescent="0.2">
      <c r="DY65216" s="185" t="s">
        <v>215</v>
      </c>
    </row>
    <row r="65217" spans="129:129" x14ac:dyDescent="0.2">
      <c r="DY65217" s="185" t="s">
        <v>215</v>
      </c>
    </row>
    <row r="65218" spans="129:129" x14ac:dyDescent="0.2">
      <c r="DY65218" s="185" t="s">
        <v>215</v>
      </c>
    </row>
    <row r="65219" spans="129:129" x14ac:dyDescent="0.2">
      <c r="DY65219" s="185" t="s">
        <v>215</v>
      </c>
    </row>
    <row r="65220" spans="129:129" x14ac:dyDescent="0.2">
      <c r="DY65220" s="185" t="s">
        <v>215</v>
      </c>
    </row>
    <row r="65221" spans="129:129" x14ac:dyDescent="0.2">
      <c r="DY65221" s="185" t="s">
        <v>215</v>
      </c>
    </row>
    <row r="65222" spans="129:129" x14ac:dyDescent="0.2">
      <c r="DY65222" s="185" t="s">
        <v>215</v>
      </c>
    </row>
    <row r="65223" spans="129:129" x14ac:dyDescent="0.2">
      <c r="DY65223" s="185" t="s">
        <v>215</v>
      </c>
    </row>
    <row r="65224" spans="129:129" x14ac:dyDescent="0.2">
      <c r="DY65224" s="185" t="s">
        <v>215</v>
      </c>
    </row>
    <row r="65225" spans="129:129" x14ac:dyDescent="0.2">
      <c r="DY65225" s="185" t="s">
        <v>215</v>
      </c>
    </row>
    <row r="65226" spans="129:129" x14ac:dyDescent="0.2">
      <c r="DY65226" s="185" t="s">
        <v>215</v>
      </c>
    </row>
    <row r="65227" spans="129:129" x14ac:dyDescent="0.2">
      <c r="DY65227" s="185" t="s">
        <v>215</v>
      </c>
    </row>
    <row r="65228" spans="129:129" x14ac:dyDescent="0.2">
      <c r="DY65228" s="185" t="s">
        <v>215</v>
      </c>
    </row>
    <row r="65229" spans="129:129" x14ac:dyDescent="0.2">
      <c r="DY65229" s="185" t="s">
        <v>215</v>
      </c>
    </row>
    <row r="65230" spans="129:129" x14ac:dyDescent="0.2">
      <c r="DY65230" s="185" t="s">
        <v>215</v>
      </c>
    </row>
    <row r="65231" spans="129:129" x14ac:dyDescent="0.2">
      <c r="DY65231" s="185" t="s">
        <v>215</v>
      </c>
    </row>
    <row r="65232" spans="129:129" x14ac:dyDescent="0.2">
      <c r="DY65232" s="185" t="s">
        <v>215</v>
      </c>
    </row>
    <row r="65233" spans="129:129" x14ac:dyDescent="0.2">
      <c r="DY65233" s="185" t="s">
        <v>215</v>
      </c>
    </row>
    <row r="65234" spans="129:129" x14ac:dyDescent="0.2">
      <c r="DY65234" s="185" t="s">
        <v>215</v>
      </c>
    </row>
    <row r="65235" spans="129:129" x14ac:dyDescent="0.2">
      <c r="DY65235" s="185" t="s">
        <v>215</v>
      </c>
    </row>
    <row r="65236" spans="129:129" x14ac:dyDescent="0.2">
      <c r="DY65236" s="185" t="s">
        <v>215</v>
      </c>
    </row>
    <row r="65237" spans="129:129" x14ac:dyDescent="0.2">
      <c r="DY65237" s="185" t="s">
        <v>215</v>
      </c>
    </row>
    <row r="65238" spans="129:129" x14ac:dyDescent="0.2">
      <c r="DY65238" s="185" t="s">
        <v>215</v>
      </c>
    </row>
    <row r="65239" spans="129:129" x14ac:dyDescent="0.2">
      <c r="DY65239" s="185" t="s">
        <v>215</v>
      </c>
    </row>
    <row r="65240" spans="129:129" x14ac:dyDescent="0.2">
      <c r="DY65240" s="185" t="s">
        <v>215</v>
      </c>
    </row>
    <row r="65241" spans="129:129" x14ac:dyDescent="0.2">
      <c r="DY65241" s="185" t="s">
        <v>215</v>
      </c>
    </row>
    <row r="65242" spans="129:129" x14ac:dyDescent="0.2">
      <c r="DY65242" s="185" t="s">
        <v>215</v>
      </c>
    </row>
    <row r="65243" spans="129:129" x14ac:dyDescent="0.2">
      <c r="DY65243" s="185" t="s">
        <v>215</v>
      </c>
    </row>
    <row r="65244" spans="129:129" x14ac:dyDescent="0.2">
      <c r="DY65244" s="185" t="s">
        <v>215</v>
      </c>
    </row>
    <row r="65245" spans="129:129" x14ac:dyDescent="0.2">
      <c r="DY65245" s="185" t="s">
        <v>215</v>
      </c>
    </row>
    <row r="65246" spans="129:129" x14ac:dyDescent="0.2">
      <c r="DY65246" s="185" t="s">
        <v>215</v>
      </c>
    </row>
    <row r="65247" spans="129:129" x14ac:dyDescent="0.2">
      <c r="DY65247" s="185" t="s">
        <v>215</v>
      </c>
    </row>
    <row r="65248" spans="129:129" x14ac:dyDescent="0.2">
      <c r="DY65248" s="185" t="s">
        <v>215</v>
      </c>
    </row>
    <row r="65249" spans="129:129" x14ac:dyDescent="0.2">
      <c r="DY65249" s="185" t="s">
        <v>215</v>
      </c>
    </row>
    <row r="65250" spans="129:129" x14ac:dyDescent="0.2">
      <c r="DY65250" s="185" t="s">
        <v>215</v>
      </c>
    </row>
    <row r="65251" spans="129:129" x14ac:dyDescent="0.2">
      <c r="DY65251" s="185" t="s">
        <v>215</v>
      </c>
    </row>
    <row r="65252" spans="129:129" x14ac:dyDescent="0.2">
      <c r="DY65252" s="185" t="s">
        <v>215</v>
      </c>
    </row>
    <row r="65253" spans="129:129" x14ac:dyDescent="0.2">
      <c r="DY65253" s="185" t="s">
        <v>215</v>
      </c>
    </row>
    <row r="65254" spans="129:129" x14ac:dyDescent="0.2">
      <c r="DY65254" s="185" t="s">
        <v>215</v>
      </c>
    </row>
    <row r="65255" spans="129:129" x14ac:dyDescent="0.2">
      <c r="DY65255" s="185" t="s">
        <v>215</v>
      </c>
    </row>
    <row r="65256" spans="129:129" x14ac:dyDescent="0.2">
      <c r="DY65256" s="185" t="s">
        <v>215</v>
      </c>
    </row>
    <row r="65257" spans="129:129" x14ac:dyDescent="0.2">
      <c r="DY65257" s="185" t="s">
        <v>215</v>
      </c>
    </row>
    <row r="65258" spans="129:129" x14ac:dyDescent="0.2">
      <c r="DY65258" s="185" t="s">
        <v>215</v>
      </c>
    </row>
    <row r="65259" spans="129:129" x14ac:dyDescent="0.2">
      <c r="DY65259" s="185" t="s">
        <v>215</v>
      </c>
    </row>
    <row r="65260" spans="129:129" x14ac:dyDescent="0.2">
      <c r="DY65260" s="185" t="s">
        <v>215</v>
      </c>
    </row>
    <row r="65261" spans="129:129" x14ac:dyDescent="0.2">
      <c r="DY65261" s="185" t="s">
        <v>215</v>
      </c>
    </row>
    <row r="65262" spans="129:129" x14ac:dyDescent="0.2">
      <c r="DY65262" s="185" t="s">
        <v>215</v>
      </c>
    </row>
    <row r="65263" spans="129:129" x14ac:dyDescent="0.2">
      <c r="DY65263" s="185" t="s">
        <v>215</v>
      </c>
    </row>
    <row r="65264" spans="129:129" x14ac:dyDescent="0.2">
      <c r="DY65264" s="185" t="s">
        <v>215</v>
      </c>
    </row>
    <row r="65265" spans="129:129" x14ac:dyDescent="0.2">
      <c r="DY65265" s="185" t="s">
        <v>215</v>
      </c>
    </row>
    <row r="65266" spans="129:129" x14ac:dyDescent="0.2">
      <c r="DY65266" s="185" t="s">
        <v>215</v>
      </c>
    </row>
    <row r="65267" spans="129:129" x14ac:dyDescent="0.2">
      <c r="DY65267" s="185" t="s">
        <v>215</v>
      </c>
    </row>
    <row r="65268" spans="129:129" x14ac:dyDescent="0.2">
      <c r="DY65268" s="185" t="s">
        <v>215</v>
      </c>
    </row>
    <row r="65269" spans="129:129" x14ac:dyDescent="0.2">
      <c r="DY65269" s="185" t="s">
        <v>215</v>
      </c>
    </row>
    <row r="65270" spans="129:129" x14ac:dyDescent="0.2">
      <c r="DY65270" s="185" t="s">
        <v>215</v>
      </c>
    </row>
    <row r="65271" spans="129:129" x14ac:dyDescent="0.2">
      <c r="DY65271" s="185" t="s">
        <v>215</v>
      </c>
    </row>
    <row r="65272" spans="129:129" x14ac:dyDescent="0.2">
      <c r="DY65272" s="185" t="s">
        <v>215</v>
      </c>
    </row>
    <row r="65273" spans="129:129" x14ac:dyDescent="0.2">
      <c r="DY65273" s="185" t="s">
        <v>215</v>
      </c>
    </row>
    <row r="65274" spans="129:129" x14ac:dyDescent="0.2">
      <c r="DY65274" s="185" t="s">
        <v>215</v>
      </c>
    </row>
    <row r="65275" spans="129:129" x14ac:dyDescent="0.2">
      <c r="DY65275" s="185" t="s">
        <v>215</v>
      </c>
    </row>
    <row r="65276" spans="129:129" x14ac:dyDescent="0.2">
      <c r="DY65276" s="185" t="s">
        <v>215</v>
      </c>
    </row>
    <row r="65277" spans="129:129" x14ac:dyDescent="0.2">
      <c r="DY65277" s="185" t="s">
        <v>215</v>
      </c>
    </row>
    <row r="65278" spans="129:129" x14ac:dyDescent="0.2">
      <c r="DY65278" s="185" t="s">
        <v>215</v>
      </c>
    </row>
    <row r="65279" spans="129:129" x14ac:dyDescent="0.2">
      <c r="DY65279" s="185" t="s">
        <v>215</v>
      </c>
    </row>
    <row r="65280" spans="129:129" x14ac:dyDescent="0.2">
      <c r="DY65280" s="185" t="s">
        <v>215</v>
      </c>
    </row>
    <row r="65281" spans="129:129" x14ac:dyDescent="0.2">
      <c r="DY65281" s="185" t="s">
        <v>215</v>
      </c>
    </row>
    <row r="65282" spans="129:129" x14ac:dyDescent="0.2">
      <c r="DY65282" s="185" t="s">
        <v>215</v>
      </c>
    </row>
    <row r="65283" spans="129:129" x14ac:dyDescent="0.2">
      <c r="DY65283" s="185" t="s">
        <v>215</v>
      </c>
    </row>
    <row r="65284" spans="129:129" x14ac:dyDescent="0.2">
      <c r="DY65284" s="185" t="s">
        <v>215</v>
      </c>
    </row>
    <row r="65285" spans="129:129" x14ac:dyDescent="0.2">
      <c r="DY65285" s="185" t="s">
        <v>215</v>
      </c>
    </row>
    <row r="65286" spans="129:129" x14ac:dyDescent="0.2">
      <c r="DY65286" s="185" t="s">
        <v>215</v>
      </c>
    </row>
    <row r="65287" spans="129:129" x14ac:dyDescent="0.2">
      <c r="DY65287" s="185" t="s">
        <v>215</v>
      </c>
    </row>
    <row r="65288" spans="129:129" x14ac:dyDescent="0.2">
      <c r="DY65288" s="185" t="s">
        <v>215</v>
      </c>
    </row>
    <row r="65289" spans="129:129" x14ac:dyDescent="0.2">
      <c r="DY65289" s="185" t="s">
        <v>215</v>
      </c>
    </row>
    <row r="65290" spans="129:129" x14ac:dyDescent="0.2">
      <c r="DY65290" s="185" t="s">
        <v>215</v>
      </c>
    </row>
    <row r="65291" spans="129:129" x14ac:dyDescent="0.2">
      <c r="DY65291" s="185" t="s">
        <v>215</v>
      </c>
    </row>
    <row r="65292" spans="129:129" x14ac:dyDescent="0.2">
      <c r="DY65292" s="185" t="s">
        <v>215</v>
      </c>
    </row>
    <row r="65293" spans="129:129" x14ac:dyDescent="0.2">
      <c r="DY65293" s="185" t="s">
        <v>215</v>
      </c>
    </row>
    <row r="65294" spans="129:129" x14ac:dyDescent="0.2">
      <c r="DY65294" s="185" t="s">
        <v>215</v>
      </c>
    </row>
    <row r="65295" spans="129:129" x14ac:dyDescent="0.2">
      <c r="DY65295" s="185" t="s">
        <v>215</v>
      </c>
    </row>
    <row r="65296" spans="129:129" x14ac:dyDescent="0.2">
      <c r="DY65296" s="185" t="s">
        <v>215</v>
      </c>
    </row>
    <row r="65297" spans="129:129" x14ac:dyDescent="0.2">
      <c r="DY65297" s="185" t="s">
        <v>215</v>
      </c>
    </row>
    <row r="65298" spans="129:129" x14ac:dyDescent="0.2">
      <c r="DY65298" s="185" t="s">
        <v>215</v>
      </c>
    </row>
    <row r="65299" spans="129:129" x14ac:dyDescent="0.2">
      <c r="DY65299" s="185" t="s">
        <v>215</v>
      </c>
    </row>
    <row r="65300" spans="129:129" x14ac:dyDescent="0.2">
      <c r="DY65300" s="185" t="s">
        <v>215</v>
      </c>
    </row>
    <row r="65301" spans="129:129" x14ac:dyDescent="0.2">
      <c r="DY65301" s="185" t="s">
        <v>215</v>
      </c>
    </row>
    <row r="65302" spans="129:129" x14ac:dyDescent="0.2">
      <c r="DY65302" s="185" t="s">
        <v>215</v>
      </c>
    </row>
    <row r="65303" spans="129:129" x14ac:dyDescent="0.2">
      <c r="DY65303" s="185" t="s">
        <v>215</v>
      </c>
    </row>
    <row r="65304" spans="129:129" x14ac:dyDescent="0.2">
      <c r="DY65304" s="185" t="s">
        <v>215</v>
      </c>
    </row>
    <row r="65305" spans="129:129" x14ac:dyDescent="0.2">
      <c r="DY65305" s="185" t="s">
        <v>215</v>
      </c>
    </row>
    <row r="65306" spans="129:129" x14ac:dyDescent="0.2">
      <c r="DY65306" s="185" t="s">
        <v>215</v>
      </c>
    </row>
    <row r="65307" spans="129:129" x14ac:dyDescent="0.2">
      <c r="DY65307" s="185" t="s">
        <v>215</v>
      </c>
    </row>
    <row r="65308" spans="129:129" x14ac:dyDescent="0.2">
      <c r="DY65308" s="185" t="s">
        <v>215</v>
      </c>
    </row>
    <row r="65309" spans="129:129" x14ac:dyDescent="0.2">
      <c r="DY65309" s="185" t="s">
        <v>215</v>
      </c>
    </row>
    <row r="65310" spans="129:129" x14ac:dyDescent="0.2">
      <c r="DY65310" s="185" t="s">
        <v>215</v>
      </c>
    </row>
    <row r="65311" spans="129:129" x14ac:dyDescent="0.2">
      <c r="DY65311" s="185" t="s">
        <v>215</v>
      </c>
    </row>
    <row r="65312" spans="129:129" x14ac:dyDescent="0.2">
      <c r="DY65312" s="185" t="s">
        <v>215</v>
      </c>
    </row>
    <row r="65313" spans="129:129" x14ac:dyDescent="0.2">
      <c r="DY65313" s="185" t="s">
        <v>215</v>
      </c>
    </row>
    <row r="65314" spans="129:129" x14ac:dyDescent="0.2">
      <c r="DY65314" s="185" t="s">
        <v>215</v>
      </c>
    </row>
    <row r="65315" spans="129:129" x14ac:dyDescent="0.2">
      <c r="DY65315" s="185" t="s">
        <v>215</v>
      </c>
    </row>
    <row r="65316" spans="129:129" x14ac:dyDescent="0.2">
      <c r="DY65316" s="185" t="s">
        <v>215</v>
      </c>
    </row>
    <row r="65317" spans="129:129" x14ac:dyDescent="0.2">
      <c r="DY65317" s="185" t="s">
        <v>215</v>
      </c>
    </row>
    <row r="65318" spans="129:129" x14ac:dyDescent="0.2">
      <c r="DY65318" s="185" t="s">
        <v>215</v>
      </c>
    </row>
    <row r="65319" spans="129:129" x14ac:dyDescent="0.2">
      <c r="DY65319" s="185" t="s">
        <v>215</v>
      </c>
    </row>
    <row r="65320" spans="129:129" x14ac:dyDescent="0.2">
      <c r="DY65320" s="185" t="s">
        <v>215</v>
      </c>
    </row>
    <row r="65321" spans="129:129" x14ac:dyDescent="0.2">
      <c r="DY65321" s="185" t="s">
        <v>215</v>
      </c>
    </row>
    <row r="65322" spans="129:129" x14ac:dyDescent="0.2">
      <c r="DY65322" s="185" t="s">
        <v>215</v>
      </c>
    </row>
    <row r="65323" spans="129:129" x14ac:dyDescent="0.2">
      <c r="DY65323" s="185" t="s">
        <v>215</v>
      </c>
    </row>
    <row r="65324" spans="129:129" x14ac:dyDescent="0.2">
      <c r="DY65324" s="185" t="s">
        <v>215</v>
      </c>
    </row>
    <row r="65325" spans="129:129" x14ac:dyDescent="0.2">
      <c r="DY65325" s="185" t="s">
        <v>215</v>
      </c>
    </row>
    <row r="65326" spans="129:129" x14ac:dyDescent="0.2">
      <c r="DY65326" s="185" t="s">
        <v>215</v>
      </c>
    </row>
    <row r="65327" spans="129:129" x14ac:dyDescent="0.2">
      <c r="DY65327" s="185" t="s">
        <v>215</v>
      </c>
    </row>
    <row r="65328" spans="129:129" x14ac:dyDescent="0.2">
      <c r="DY65328" s="185" t="s">
        <v>215</v>
      </c>
    </row>
    <row r="65329" spans="129:129" x14ac:dyDescent="0.2">
      <c r="DY65329" s="185" t="s">
        <v>215</v>
      </c>
    </row>
    <row r="65330" spans="129:129" x14ac:dyDescent="0.2">
      <c r="DY65330" s="185" t="s">
        <v>215</v>
      </c>
    </row>
    <row r="65331" spans="129:129" x14ac:dyDescent="0.2">
      <c r="DY65331" s="185" t="s">
        <v>215</v>
      </c>
    </row>
    <row r="65332" spans="129:129" x14ac:dyDescent="0.2">
      <c r="DY65332" s="185" t="s">
        <v>215</v>
      </c>
    </row>
    <row r="65333" spans="129:129" x14ac:dyDescent="0.2">
      <c r="DY65333" s="185" t="s">
        <v>215</v>
      </c>
    </row>
    <row r="65334" spans="129:129" x14ac:dyDescent="0.2">
      <c r="DY65334" s="185" t="s">
        <v>215</v>
      </c>
    </row>
    <row r="65335" spans="129:129" x14ac:dyDescent="0.2">
      <c r="DY65335" s="185" t="s">
        <v>215</v>
      </c>
    </row>
    <row r="65336" spans="129:129" x14ac:dyDescent="0.2">
      <c r="DY65336" s="185" t="s">
        <v>215</v>
      </c>
    </row>
    <row r="65337" spans="129:129" x14ac:dyDescent="0.2">
      <c r="DY65337" s="185" t="s">
        <v>215</v>
      </c>
    </row>
    <row r="65338" spans="129:129" x14ac:dyDescent="0.2">
      <c r="DY65338" s="185" t="s">
        <v>215</v>
      </c>
    </row>
    <row r="65339" spans="129:129" x14ac:dyDescent="0.2">
      <c r="DY65339" s="185" t="s">
        <v>215</v>
      </c>
    </row>
    <row r="65340" spans="129:129" x14ac:dyDescent="0.2">
      <c r="DY65340" s="185" t="s">
        <v>215</v>
      </c>
    </row>
    <row r="65341" spans="129:129" x14ac:dyDescent="0.2">
      <c r="DY65341" s="185" t="s">
        <v>215</v>
      </c>
    </row>
    <row r="65342" spans="129:129" x14ac:dyDescent="0.2">
      <c r="DY65342" s="185" t="s">
        <v>215</v>
      </c>
    </row>
    <row r="65343" spans="129:129" x14ac:dyDescent="0.2">
      <c r="DY65343" s="185" t="s">
        <v>215</v>
      </c>
    </row>
    <row r="65344" spans="129:129" x14ac:dyDescent="0.2">
      <c r="DY65344" s="185" t="s">
        <v>215</v>
      </c>
    </row>
    <row r="65345" spans="129:129" x14ac:dyDescent="0.2">
      <c r="DY65345" s="185" t="s">
        <v>215</v>
      </c>
    </row>
    <row r="65346" spans="129:129" x14ac:dyDescent="0.2">
      <c r="DY65346" s="185" t="s">
        <v>215</v>
      </c>
    </row>
    <row r="65347" spans="129:129" x14ac:dyDescent="0.2">
      <c r="DY65347" s="185" t="s">
        <v>215</v>
      </c>
    </row>
    <row r="65348" spans="129:129" x14ac:dyDescent="0.2">
      <c r="DY65348" s="185" t="s">
        <v>215</v>
      </c>
    </row>
    <row r="65349" spans="129:129" x14ac:dyDescent="0.2">
      <c r="DY65349" s="185" t="s">
        <v>215</v>
      </c>
    </row>
    <row r="65350" spans="129:129" x14ac:dyDescent="0.2">
      <c r="DY65350" s="185" t="s">
        <v>215</v>
      </c>
    </row>
    <row r="65351" spans="129:129" x14ac:dyDescent="0.2">
      <c r="DY65351" s="185" t="s">
        <v>215</v>
      </c>
    </row>
    <row r="65352" spans="129:129" x14ac:dyDescent="0.2">
      <c r="DY65352" s="185" t="s">
        <v>215</v>
      </c>
    </row>
    <row r="65353" spans="129:129" x14ac:dyDescent="0.2">
      <c r="DY65353" s="185" t="s">
        <v>215</v>
      </c>
    </row>
    <row r="65354" spans="129:129" x14ac:dyDescent="0.2">
      <c r="DY65354" s="185" t="s">
        <v>215</v>
      </c>
    </row>
    <row r="65355" spans="129:129" x14ac:dyDescent="0.2">
      <c r="DY65355" s="185" t="s">
        <v>215</v>
      </c>
    </row>
    <row r="65356" spans="129:129" x14ac:dyDescent="0.2">
      <c r="DY65356" s="185" t="s">
        <v>215</v>
      </c>
    </row>
    <row r="65357" spans="129:129" x14ac:dyDescent="0.2">
      <c r="DY65357" s="185" t="s">
        <v>215</v>
      </c>
    </row>
    <row r="65358" spans="129:129" x14ac:dyDescent="0.2">
      <c r="DY65358" s="185" t="s">
        <v>215</v>
      </c>
    </row>
    <row r="65359" spans="129:129" x14ac:dyDescent="0.2">
      <c r="DY65359" s="185" t="s">
        <v>215</v>
      </c>
    </row>
    <row r="65360" spans="129:129" x14ac:dyDescent="0.2">
      <c r="DY65360" s="185" t="s">
        <v>215</v>
      </c>
    </row>
    <row r="65361" spans="129:129" x14ac:dyDescent="0.2">
      <c r="DY65361" s="185" t="s">
        <v>215</v>
      </c>
    </row>
    <row r="65362" spans="129:129" x14ac:dyDescent="0.2">
      <c r="DY65362" s="185" t="s">
        <v>215</v>
      </c>
    </row>
    <row r="65363" spans="129:129" x14ac:dyDescent="0.2">
      <c r="DY65363" s="185" t="s">
        <v>215</v>
      </c>
    </row>
    <row r="65364" spans="129:129" x14ac:dyDescent="0.2">
      <c r="DY65364" s="185" t="s">
        <v>215</v>
      </c>
    </row>
    <row r="65365" spans="129:129" x14ac:dyDescent="0.2">
      <c r="DY65365" s="185" t="s">
        <v>215</v>
      </c>
    </row>
    <row r="65366" spans="129:129" x14ac:dyDescent="0.2">
      <c r="DY65366" s="185" t="s">
        <v>215</v>
      </c>
    </row>
    <row r="65367" spans="129:129" x14ac:dyDescent="0.2">
      <c r="DY65367" s="185" t="s">
        <v>215</v>
      </c>
    </row>
    <row r="65368" spans="129:129" x14ac:dyDescent="0.2">
      <c r="DY65368" s="185" t="s">
        <v>215</v>
      </c>
    </row>
    <row r="65369" spans="129:129" x14ac:dyDescent="0.2">
      <c r="DY65369" s="185" t="s">
        <v>215</v>
      </c>
    </row>
    <row r="65370" spans="129:129" x14ac:dyDescent="0.2">
      <c r="DY65370" s="185" t="s">
        <v>215</v>
      </c>
    </row>
    <row r="65371" spans="129:129" x14ac:dyDescent="0.2">
      <c r="DY65371" s="185" t="s">
        <v>215</v>
      </c>
    </row>
    <row r="65372" spans="129:129" x14ac:dyDescent="0.2">
      <c r="DY65372" s="185" t="s">
        <v>215</v>
      </c>
    </row>
    <row r="65373" spans="129:129" x14ac:dyDescent="0.2">
      <c r="DY65373" s="185" t="s">
        <v>215</v>
      </c>
    </row>
    <row r="65374" spans="129:129" x14ac:dyDescent="0.2">
      <c r="DY65374" s="185" t="s">
        <v>215</v>
      </c>
    </row>
    <row r="65375" spans="129:129" x14ac:dyDescent="0.2">
      <c r="DY65375" s="185" t="s">
        <v>215</v>
      </c>
    </row>
    <row r="65376" spans="129:129" x14ac:dyDescent="0.2">
      <c r="DY65376" s="185" t="s">
        <v>215</v>
      </c>
    </row>
    <row r="65377" spans="129:129" x14ac:dyDescent="0.2">
      <c r="DY65377" s="185" t="s">
        <v>215</v>
      </c>
    </row>
    <row r="65378" spans="129:129" x14ac:dyDescent="0.2">
      <c r="DY65378" s="185" t="s">
        <v>215</v>
      </c>
    </row>
    <row r="65379" spans="129:129" x14ac:dyDescent="0.2">
      <c r="DY65379" s="185" t="s">
        <v>215</v>
      </c>
    </row>
    <row r="65380" spans="129:129" x14ac:dyDescent="0.2">
      <c r="DY65380" s="185" t="s">
        <v>215</v>
      </c>
    </row>
    <row r="65381" spans="129:129" x14ac:dyDescent="0.2">
      <c r="DY65381" s="185" t="s">
        <v>215</v>
      </c>
    </row>
    <row r="65382" spans="129:129" x14ac:dyDescent="0.2">
      <c r="DY65382" s="185" t="s">
        <v>215</v>
      </c>
    </row>
    <row r="65383" spans="129:129" x14ac:dyDescent="0.2">
      <c r="DY65383" s="185" t="s">
        <v>215</v>
      </c>
    </row>
    <row r="65384" spans="129:129" x14ac:dyDescent="0.2">
      <c r="DY65384" s="185" t="s">
        <v>215</v>
      </c>
    </row>
    <row r="65385" spans="129:129" x14ac:dyDescent="0.2">
      <c r="DY65385" s="185" t="s">
        <v>215</v>
      </c>
    </row>
    <row r="65386" spans="129:129" x14ac:dyDescent="0.2">
      <c r="DY65386" s="185" t="s">
        <v>215</v>
      </c>
    </row>
    <row r="65387" spans="129:129" x14ac:dyDescent="0.2">
      <c r="DY65387" s="185" t="s">
        <v>215</v>
      </c>
    </row>
    <row r="65388" spans="129:129" x14ac:dyDescent="0.2">
      <c r="DY65388" s="185" t="s">
        <v>215</v>
      </c>
    </row>
    <row r="65389" spans="129:129" x14ac:dyDescent="0.2">
      <c r="DY65389" s="185" t="s">
        <v>215</v>
      </c>
    </row>
    <row r="65390" spans="129:129" x14ac:dyDescent="0.2">
      <c r="DY65390" s="185" t="s">
        <v>215</v>
      </c>
    </row>
    <row r="65391" spans="129:129" x14ac:dyDescent="0.2">
      <c r="DY65391" s="185" t="s">
        <v>215</v>
      </c>
    </row>
    <row r="65392" spans="129:129" x14ac:dyDescent="0.2">
      <c r="DY65392" s="185" t="s">
        <v>215</v>
      </c>
    </row>
    <row r="65393" spans="129:129" x14ac:dyDescent="0.2">
      <c r="DY65393" s="185" t="s">
        <v>215</v>
      </c>
    </row>
    <row r="65394" spans="129:129" x14ac:dyDescent="0.2">
      <c r="DY65394" s="185" t="s">
        <v>215</v>
      </c>
    </row>
    <row r="65395" spans="129:129" x14ac:dyDescent="0.2">
      <c r="DY65395" s="185" t="s">
        <v>215</v>
      </c>
    </row>
    <row r="65396" spans="129:129" x14ac:dyDescent="0.2">
      <c r="DY65396" s="185" t="s">
        <v>215</v>
      </c>
    </row>
    <row r="65397" spans="129:129" x14ac:dyDescent="0.2">
      <c r="DY65397" s="185" t="s">
        <v>215</v>
      </c>
    </row>
    <row r="65398" spans="129:129" x14ac:dyDescent="0.2">
      <c r="DY65398" s="185" t="s">
        <v>215</v>
      </c>
    </row>
    <row r="65399" spans="129:129" x14ac:dyDescent="0.2">
      <c r="DY65399" s="185" t="s">
        <v>215</v>
      </c>
    </row>
    <row r="65400" spans="129:129" x14ac:dyDescent="0.2">
      <c r="DY65400" s="185" t="s">
        <v>215</v>
      </c>
    </row>
    <row r="65401" spans="129:129" x14ac:dyDescent="0.2">
      <c r="DY65401" s="185" t="s">
        <v>215</v>
      </c>
    </row>
    <row r="65402" spans="129:129" x14ac:dyDescent="0.2">
      <c r="DY65402" s="185" t="s">
        <v>215</v>
      </c>
    </row>
    <row r="65403" spans="129:129" x14ac:dyDescent="0.2">
      <c r="DY65403" s="185" t="s">
        <v>215</v>
      </c>
    </row>
    <row r="65404" spans="129:129" x14ac:dyDescent="0.2">
      <c r="DY65404" s="185" t="s">
        <v>215</v>
      </c>
    </row>
    <row r="65405" spans="129:129" x14ac:dyDescent="0.2">
      <c r="DY65405" s="185" t="s">
        <v>215</v>
      </c>
    </row>
    <row r="65406" spans="129:129" x14ac:dyDescent="0.2">
      <c r="DY65406" s="185" t="s">
        <v>215</v>
      </c>
    </row>
    <row r="65407" spans="129:129" x14ac:dyDescent="0.2">
      <c r="DY65407" s="185" t="s">
        <v>215</v>
      </c>
    </row>
    <row r="65408" spans="129:129" x14ac:dyDescent="0.2">
      <c r="DY65408" s="185" t="s">
        <v>215</v>
      </c>
    </row>
    <row r="65409" spans="129:129" x14ac:dyDescent="0.2">
      <c r="DY65409" s="185" t="s">
        <v>215</v>
      </c>
    </row>
    <row r="65410" spans="129:129" x14ac:dyDescent="0.2">
      <c r="DY65410" s="185" t="s">
        <v>215</v>
      </c>
    </row>
    <row r="65411" spans="129:129" x14ac:dyDescent="0.2">
      <c r="DY65411" s="185" t="s">
        <v>215</v>
      </c>
    </row>
    <row r="65412" spans="129:129" x14ac:dyDescent="0.2">
      <c r="DY65412" s="185" t="s">
        <v>215</v>
      </c>
    </row>
    <row r="65413" spans="129:129" x14ac:dyDescent="0.2">
      <c r="DY65413" s="185" t="s">
        <v>215</v>
      </c>
    </row>
    <row r="65414" spans="129:129" x14ac:dyDescent="0.2">
      <c r="DY65414" s="185" t="s">
        <v>215</v>
      </c>
    </row>
    <row r="65415" spans="129:129" x14ac:dyDescent="0.2">
      <c r="DY65415" s="185" t="s">
        <v>215</v>
      </c>
    </row>
    <row r="65416" spans="129:129" x14ac:dyDescent="0.2">
      <c r="DY65416" s="185" t="s">
        <v>215</v>
      </c>
    </row>
    <row r="65417" spans="129:129" x14ac:dyDescent="0.2">
      <c r="DY65417" s="185" t="s">
        <v>215</v>
      </c>
    </row>
    <row r="65418" spans="129:129" x14ac:dyDescent="0.2">
      <c r="DY65418" s="185" t="s">
        <v>215</v>
      </c>
    </row>
    <row r="65419" spans="129:129" x14ac:dyDescent="0.2">
      <c r="DY65419" s="185" t="s">
        <v>215</v>
      </c>
    </row>
    <row r="65420" spans="129:129" x14ac:dyDescent="0.2">
      <c r="DY65420" s="185" t="s">
        <v>215</v>
      </c>
    </row>
    <row r="65421" spans="129:129" x14ac:dyDescent="0.2">
      <c r="DY65421" s="185" t="s">
        <v>215</v>
      </c>
    </row>
    <row r="65422" spans="129:129" x14ac:dyDescent="0.2">
      <c r="DY65422" s="185" t="s">
        <v>215</v>
      </c>
    </row>
    <row r="65423" spans="129:129" x14ac:dyDescent="0.2">
      <c r="DY65423" s="185" t="s">
        <v>215</v>
      </c>
    </row>
    <row r="65424" spans="129:129" x14ac:dyDescent="0.2">
      <c r="DY65424" s="185" t="s">
        <v>215</v>
      </c>
    </row>
    <row r="65425" spans="129:129" x14ac:dyDescent="0.2">
      <c r="DY65425" s="185" t="s">
        <v>215</v>
      </c>
    </row>
    <row r="65426" spans="129:129" x14ac:dyDescent="0.2">
      <c r="DY65426" s="185" t="s">
        <v>215</v>
      </c>
    </row>
    <row r="65427" spans="129:129" x14ac:dyDescent="0.2">
      <c r="DY65427" s="185" t="s">
        <v>215</v>
      </c>
    </row>
    <row r="65428" spans="129:129" x14ac:dyDescent="0.2">
      <c r="DY65428" s="185" t="s">
        <v>215</v>
      </c>
    </row>
    <row r="65429" spans="129:129" x14ac:dyDescent="0.2">
      <c r="DY65429" s="185" t="s">
        <v>215</v>
      </c>
    </row>
    <row r="65430" spans="129:129" x14ac:dyDescent="0.2">
      <c r="DY65430" s="185" t="s">
        <v>215</v>
      </c>
    </row>
    <row r="65431" spans="129:129" x14ac:dyDescent="0.2">
      <c r="DY65431" s="185" t="s">
        <v>215</v>
      </c>
    </row>
    <row r="65432" spans="129:129" x14ac:dyDescent="0.2">
      <c r="DY65432" s="185" t="s">
        <v>215</v>
      </c>
    </row>
    <row r="65433" spans="129:129" x14ac:dyDescent="0.2">
      <c r="DY65433" s="185" t="s">
        <v>215</v>
      </c>
    </row>
    <row r="65434" spans="129:129" x14ac:dyDescent="0.2">
      <c r="DY65434" s="185" t="s">
        <v>215</v>
      </c>
    </row>
    <row r="65435" spans="129:129" x14ac:dyDescent="0.2">
      <c r="DY65435" s="185" t="s">
        <v>215</v>
      </c>
    </row>
    <row r="65436" spans="129:129" x14ac:dyDescent="0.2">
      <c r="DY65436" s="185" t="s">
        <v>215</v>
      </c>
    </row>
    <row r="65437" spans="129:129" x14ac:dyDescent="0.2">
      <c r="DY65437" s="185" t="s">
        <v>215</v>
      </c>
    </row>
    <row r="65438" spans="129:129" x14ac:dyDescent="0.2">
      <c r="DY65438" s="185" t="s">
        <v>215</v>
      </c>
    </row>
    <row r="65439" spans="129:129" x14ac:dyDescent="0.2">
      <c r="DY65439" s="185" t="s">
        <v>215</v>
      </c>
    </row>
    <row r="65440" spans="129:129" x14ac:dyDescent="0.2">
      <c r="DY65440" s="185" t="s">
        <v>215</v>
      </c>
    </row>
    <row r="65441" spans="129:129" x14ac:dyDescent="0.2">
      <c r="DY65441" s="185" t="s">
        <v>215</v>
      </c>
    </row>
    <row r="65442" spans="129:129" x14ac:dyDescent="0.2">
      <c r="DY65442" s="185" t="s">
        <v>215</v>
      </c>
    </row>
    <row r="65443" spans="129:129" x14ac:dyDescent="0.2">
      <c r="DY65443" s="185" t="s">
        <v>215</v>
      </c>
    </row>
    <row r="65444" spans="129:129" x14ac:dyDescent="0.2">
      <c r="DY65444" s="185" t="s">
        <v>215</v>
      </c>
    </row>
    <row r="65445" spans="129:129" x14ac:dyDescent="0.2">
      <c r="DY65445" s="185" t="s">
        <v>215</v>
      </c>
    </row>
    <row r="65446" spans="129:129" x14ac:dyDescent="0.2">
      <c r="DY65446" s="185" t="s">
        <v>215</v>
      </c>
    </row>
    <row r="65447" spans="129:129" x14ac:dyDescent="0.2">
      <c r="DY65447" s="185" t="s">
        <v>215</v>
      </c>
    </row>
    <row r="65448" spans="129:129" x14ac:dyDescent="0.2">
      <c r="DY65448" s="185" t="s">
        <v>215</v>
      </c>
    </row>
    <row r="65449" spans="129:129" x14ac:dyDescent="0.2">
      <c r="DY65449" s="185" t="s">
        <v>215</v>
      </c>
    </row>
    <row r="65450" spans="129:129" x14ac:dyDescent="0.2">
      <c r="DY65450" s="185" t="s">
        <v>215</v>
      </c>
    </row>
    <row r="65451" spans="129:129" x14ac:dyDescent="0.2">
      <c r="DY65451" s="185" t="s">
        <v>215</v>
      </c>
    </row>
    <row r="65452" spans="129:129" x14ac:dyDescent="0.2">
      <c r="DY65452" s="185" t="s">
        <v>215</v>
      </c>
    </row>
    <row r="65453" spans="129:129" x14ac:dyDescent="0.2">
      <c r="DY65453" s="185" t="s">
        <v>215</v>
      </c>
    </row>
    <row r="65454" spans="129:129" x14ac:dyDescent="0.2">
      <c r="DY65454" s="185" t="s">
        <v>215</v>
      </c>
    </row>
    <row r="65455" spans="129:129" x14ac:dyDescent="0.2">
      <c r="DY65455" s="185" t="s">
        <v>215</v>
      </c>
    </row>
    <row r="65456" spans="129:129" x14ac:dyDescent="0.2">
      <c r="DY65456" s="185" t="s">
        <v>215</v>
      </c>
    </row>
    <row r="65457" spans="129:129" x14ac:dyDescent="0.2">
      <c r="DY65457" s="185" t="s">
        <v>215</v>
      </c>
    </row>
    <row r="65458" spans="129:129" x14ac:dyDescent="0.2">
      <c r="DY65458" s="185" t="s">
        <v>215</v>
      </c>
    </row>
    <row r="65459" spans="129:129" x14ac:dyDescent="0.2">
      <c r="DY65459" s="185" t="s">
        <v>215</v>
      </c>
    </row>
    <row r="65460" spans="129:129" x14ac:dyDescent="0.2">
      <c r="DY65460" s="185" t="s">
        <v>215</v>
      </c>
    </row>
    <row r="65461" spans="129:129" x14ac:dyDescent="0.2">
      <c r="DY65461" s="185" t="s">
        <v>215</v>
      </c>
    </row>
    <row r="65462" spans="129:129" x14ac:dyDescent="0.2">
      <c r="DY65462" s="185" t="s">
        <v>215</v>
      </c>
    </row>
    <row r="65463" spans="129:129" x14ac:dyDescent="0.2">
      <c r="DY65463" s="185" t="s">
        <v>215</v>
      </c>
    </row>
    <row r="65464" spans="129:129" x14ac:dyDescent="0.2">
      <c r="DY65464" s="185" t="s">
        <v>215</v>
      </c>
    </row>
    <row r="65465" spans="129:129" x14ac:dyDescent="0.2">
      <c r="DY65465" s="185" t="s">
        <v>215</v>
      </c>
    </row>
    <row r="65466" spans="129:129" x14ac:dyDescent="0.2">
      <c r="DY65466" s="185" t="s">
        <v>215</v>
      </c>
    </row>
    <row r="65467" spans="129:129" x14ac:dyDescent="0.2">
      <c r="DY65467" s="185" t="s">
        <v>215</v>
      </c>
    </row>
    <row r="65468" spans="129:129" x14ac:dyDescent="0.2">
      <c r="DY65468" s="185" t="s">
        <v>215</v>
      </c>
    </row>
    <row r="65469" spans="129:129" x14ac:dyDescent="0.2">
      <c r="DY65469" s="185" t="s">
        <v>215</v>
      </c>
    </row>
    <row r="65470" spans="129:129" x14ac:dyDescent="0.2">
      <c r="DY65470" s="185" t="s">
        <v>215</v>
      </c>
    </row>
    <row r="65471" spans="129:129" x14ac:dyDescent="0.2">
      <c r="DY65471" s="185" t="s">
        <v>215</v>
      </c>
    </row>
    <row r="65472" spans="129:129" x14ac:dyDescent="0.2">
      <c r="DY65472" s="185" t="s">
        <v>215</v>
      </c>
    </row>
    <row r="65473" spans="129:129" x14ac:dyDescent="0.2">
      <c r="DY65473" s="185" t="s">
        <v>215</v>
      </c>
    </row>
    <row r="65474" spans="129:129" x14ac:dyDescent="0.2">
      <c r="DY65474" s="185" t="s">
        <v>215</v>
      </c>
    </row>
    <row r="65475" spans="129:129" x14ac:dyDescent="0.2">
      <c r="DY65475" s="185" t="s">
        <v>215</v>
      </c>
    </row>
    <row r="65476" spans="129:129" x14ac:dyDescent="0.2">
      <c r="DY65476" s="185" t="s">
        <v>215</v>
      </c>
    </row>
    <row r="65477" spans="129:129" x14ac:dyDescent="0.2">
      <c r="DY65477" s="185" t="s">
        <v>215</v>
      </c>
    </row>
    <row r="65478" spans="129:129" x14ac:dyDescent="0.2">
      <c r="DY65478" s="185" t="s">
        <v>215</v>
      </c>
    </row>
    <row r="65479" spans="129:129" x14ac:dyDescent="0.2">
      <c r="DY65479" s="185" t="s">
        <v>215</v>
      </c>
    </row>
    <row r="65480" spans="129:129" x14ac:dyDescent="0.2">
      <c r="DY65480" s="185" t="s">
        <v>215</v>
      </c>
    </row>
    <row r="65481" spans="129:129" x14ac:dyDescent="0.2">
      <c r="DY65481" s="185" t="s">
        <v>215</v>
      </c>
    </row>
    <row r="65482" spans="129:129" x14ac:dyDescent="0.2">
      <c r="DY65482" s="185" t="s">
        <v>215</v>
      </c>
    </row>
    <row r="65483" spans="129:129" x14ac:dyDescent="0.2">
      <c r="DY65483" s="185" t="s">
        <v>215</v>
      </c>
    </row>
    <row r="65484" spans="129:129" x14ac:dyDescent="0.2">
      <c r="DY65484" s="185" t="s">
        <v>215</v>
      </c>
    </row>
    <row r="65485" spans="129:129" x14ac:dyDescent="0.2">
      <c r="DY65485" s="185" t="s">
        <v>215</v>
      </c>
    </row>
    <row r="65486" spans="129:129" x14ac:dyDescent="0.2">
      <c r="DY65486" s="185" t="s">
        <v>215</v>
      </c>
    </row>
    <row r="65487" spans="129:129" x14ac:dyDescent="0.2">
      <c r="DY65487" s="185" t="s">
        <v>215</v>
      </c>
    </row>
    <row r="65488" spans="129:129" x14ac:dyDescent="0.2">
      <c r="DY65488" s="185" t="s">
        <v>215</v>
      </c>
    </row>
    <row r="65489" spans="129:129" x14ac:dyDescent="0.2">
      <c r="DY65489" s="185" t="s">
        <v>215</v>
      </c>
    </row>
    <row r="65490" spans="129:129" x14ac:dyDescent="0.2">
      <c r="DY65490" s="185" t="s">
        <v>215</v>
      </c>
    </row>
    <row r="65491" spans="129:129" x14ac:dyDescent="0.2">
      <c r="DY65491" s="185" t="s">
        <v>215</v>
      </c>
    </row>
    <row r="65492" spans="129:129" x14ac:dyDescent="0.2">
      <c r="DY65492" s="185" t="s">
        <v>215</v>
      </c>
    </row>
    <row r="65493" spans="129:129" x14ac:dyDescent="0.2">
      <c r="DY65493" s="185" t="s">
        <v>215</v>
      </c>
    </row>
    <row r="65494" spans="129:129" x14ac:dyDescent="0.2">
      <c r="DY65494" s="185" t="s">
        <v>215</v>
      </c>
    </row>
    <row r="65495" spans="129:129" x14ac:dyDescent="0.2">
      <c r="DY65495" s="185" t="s">
        <v>215</v>
      </c>
    </row>
    <row r="65496" spans="129:129" x14ac:dyDescent="0.2">
      <c r="DY65496" s="185" t="s">
        <v>215</v>
      </c>
    </row>
    <row r="65497" spans="129:129" x14ac:dyDescent="0.2">
      <c r="DY65497" s="185" t="s">
        <v>215</v>
      </c>
    </row>
    <row r="65498" spans="129:129" x14ac:dyDescent="0.2">
      <c r="DY65498" s="185" t="s">
        <v>215</v>
      </c>
    </row>
    <row r="65499" spans="129:129" x14ac:dyDescent="0.2">
      <c r="DY65499" s="185" t="s">
        <v>215</v>
      </c>
    </row>
    <row r="65500" spans="129:129" x14ac:dyDescent="0.2">
      <c r="DY65500" s="185" t="s">
        <v>215</v>
      </c>
    </row>
    <row r="65501" spans="129:129" x14ac:dyDescent="0.2">
      <c r="DY65501" s="185" t="s">
        <v>215</v>
      </c>
    </row>
    <row r="65502" spans="129:129" x14ac:dyDescent="0.2">
      <c r="DY65502" s="185" t="s">
        <v>215</v>
      </c>
    </row>
    <row r="65503" spans="129:129" x14ac:dyDescent="0.2">
      <c r="DY65503" s="185" t="s">
        <v>215</v>
      </c>
    </row>
    <row r="65504" spans="129:129" x14ac:dyDescent="0.2">
      <c r="DY65504" s="185" t="s">
        <v>215</v>
      </c>
    </row>
    <row r="65505" spans="129:129" x14ac:dyDescent="0.2">
      <c r="DY65505" s="185" t="s">
        <v>215</v>
      </c>
    </row>
    <row r="65506" spans="129:129" x14ac:dyDescent="0.2">
      <c r="DY65506" s="185" t="s">
        <v>215</v>
      </c>
    </row>
    <row r="65507" spans="129:129" x14ac:dyDescent="0.2">
      <c r="DY65507" s="185" t="s">
        <v>215</v>
      </c>
    </row>
    <row r="65508" spans="129:129" x14ac:dyDescent="0.2">
      <c r="DY65508" s="185" t="s">
        <v>215</v>
      </c>
    </row>
    <row r="65509" spans="129:129" x14ac:dyDescent="0.2">
      <c r="DY65509" s="185" t="s">
        <v>215</v>
      </c>
    </row>
    <row r="65510" spans="129:129" x14ac:dyDescent="0.2">
      <c r="DY65510" s="185" t="s">
        <v>215</v>
      </c>
    </row>
    <row r="65511" spans="129:129" x14ac:dyDescent="0.2">
      <c r="DY65511" s="185" t="s">
        <v>215</v>
      </c>
    </row>
    <row r="65512" spans="129:129" x14ac:dyDescent="0.2">
      <c r="DY65512" s="185" t="s">
        <v>215</v>
      </c>
    </row>
    <row r="65513" spans="129:129" x14ac:dyDescent="0.2">
      <c r="DY65513" s="185" t="s">
        <v>215</v>
      </c>
    </row>
    <row r="65514" spans="129:129" x14ac:dyDescent="0.2">
      <c r="DY65514" s="185" t="s">
        <v>215</v>
      </c>
    </row>
    <row r="65515" spans="129:129" x14ac:dyDescent="0.2">
      <c r="DY65515" s="185" t="s">
        <v>215</v>
      </c>
    </row>
    <row r="65516" spans="129:129" x14ac:dyDescent="0.2">
      <c r="DY65516" s="185" t="s">
        <v>215</v>
      </c>
    </row>
    <row r="65517" spans="129:129" x14ac:dyDescent="0.2">
      <c r="DY65517" s="185" t="s">
        <v>215</v>
      </c>
    </row>
    <row r="65518" spans="129:129" x14ac:dyDescent="0.2">
      <c r="DY65518" s="185" t="s">
        <v>215</v>
      </c>
    </row>
    <row r="65519" spans="129:129" x14ac:dyDescent="0.2">
      <c r="DY65519" s="185" t="s">
        <v>215</v>
      </c>
    </row>
    <row r="65520" spans="129:129" x14ac:dyDescent="0.2">
      <c r="DY65520" s="185" t="s">
        <v>215</v>
      </c>
    </row>
    <row r="65521" spans="129:129" x14ac:dyDescent="0.2">
      <c r="DY65521" s="185" t="s">
        <v>215</v>
      </c>
    </row>
    <row r="65522" spans="129:129" x14ac:dyDescent="0.2">
      <c r="DY65522" s="185" t="s">
        <v>215</v>
      </c>
    </row>
    <row r="65523" spans="129:129" x14ac:dyDescent="0.2">
      <c r="DY65523" s="185" t="s">
        <v>215</v>
      </c>
    </row>
    <row r="65524" spans="129:129" x14ac:dyDescent="0.2">
      <c r="DY65524" s="185" t="s">
        <v>215</v>
      </c>
    </row>
    <row r="65525" spans="129:129" x14ac:dyDescent="0.2">
      <c r="DY65525" s="185" t="s">
        <v>215</v>
      </c>
    </row>
    <row r="65526" spans="129:129" x14ac:dyDescent="0.2">
      <c r="DY65526" s="185" t="s">
        <v>215</v>
      </c>
    </row>
    <row r="65527" spans="129:129" x14ac:dyDescent="0.2">
      <c r="DY65527" s="185" t="s">
        <v>215</v>
      </c>
    </row>
    <row r="65528" spans="129:129" x14ac:dyDescent="0.2">
      <c r="DY65528" s="185" t="s">
        <v>215</v>
      </c>
    </row>
    <row r="65529" spans="129:129" x14ac:dyDescent="0.2">
      <c r="DY65529" s="185" t="s">
        <v>215</v>
      </c>
    </row>
    <row r="65530" spans="129:129" x14ac:dyDescent="0.2">
      <c r="DY65530" s="185" t="s">
        <v>215</v>
      </c>
    </row>
    <row r="65531" spans="129:129" x14ac:dyDescent="0.2">
      <c r="DY65531" s="185" t="s">
        <v>215</v>
      </c>
    </row>
    <row r="65532" spans="129:129" x14ac:dyDescent="0.2">
      <c r="DY65532" s="185" t="s">
        <v>215</v>
      </c>
    </row>
    <row r="65533" spans="129:129" x14ac:dyDescent="0.2">
      <c r="DY65533" s="185" t="s">
        <v>215</v>
      </c>
    </row>
    <row r="65534" spans="129:129" x14ac:dyDescent="0.2">
      <c r="DY65534" s="185" t="s">
        <v>215</v>
      </c>
    </row>
    <row r="65535" spans="129:129" x14ac:dyDescent="0.2">
      <c r="DY65535" s="185" t="s">
        <v>215</v>
      </c>
    </row>
    <row r="65536" spans="129:129" x14ac:dyDescent="0.2">
      <c r="DY65536" s="185" t="s">
        <v>215</v>
      </c>
    </row>
    <row r="65537" spans="129:129" x14ac:dyDescent="0.2">
      <c r="DY65537" s="185" t="s">
        <v>215</v>
      </c>
    </row>
    <row r="65538" spans="129:129" x14ac:dyDescent="0.2">
      <c r="DY65538" s="185" t="s">
        <v>215</v>
      </c>
    </row>
    <row r="65539" spans="129:129" x14ac:dyDescent="0.2">
      <c r="DY65539" s="185" t="s">
        <v>215</v>
      </c>
    </row>
    <row r="65540" spans="129:129" x14ac:dyDescent="0.2">
      <c r="DY65540" s="185" t="s">
        <v>215</v>
      </c>
    </row>
    <row r="65541" spans="129:129" x14ac:dyDescent="0.2">
      <c r="DY65541" s="185" t="s">
        <v>215</v>
      </c>
    </row>
    <row r="65542" spans="129:129" x14ac:dyDescent="0.2">
      <c r="DY65542" s="185" t="s">
        <v>215</v>
      </c>
    </row>
    <row r="65543" spans="129:129" x14ac:dyDescent="0.2">
      <c r="DY65543" s="185" t="s">
        <v>215</v>
      </c>
    </row>
    <row r="65544" spans="129:129" x14ac:dyDescent="0.2">
      <c r="DY65544" s="185" t="s">
        <v>215</v>
      </c>
    </row>
    <row r="65545" spans="129:129" x14ac:dyDescent="0.2">
      <c r="DY65545" s="185" t="s">
        <v>215</v>
      </c>
    </row>
    <row r="65546" spans="129:129" x14ac:dyDescent="0.2">
      <c r="DY65546" s="185" t="s">
        <v>215</v>
      </c>
    </row>
    <row r="65547" spans="129:129" x14ac:dyDescent="0.2">
      <c r="DY65547" s="185" t="s">
        <v>215</v>
      </c>
    </row>
    <row r="65548" spans="129:129" x14ac:dyDescent="0.2">
      <c r="DY65548" s="185" t="s">
        <v>215</v>
      </c>
    </row>
    <row r="65549" spans="129:129" x14ac:dyDescent="0.2">
      <c r="DY65549" s="185" t="s">
        <v>215</v>
      </c>
    </row>
    <row r="65550" spans="129:129" x14ac:dyDescent="0.2">
      <c r="DY65550" s="185" t="s">
        <v>215</v>
      </c>
    </row>
    <row r="65551" spans="129:129" x14ac:dyDescent="0.2">
      <c r="DY65551" s="185" t="s">
        <v>215</v>
      </c>
    </row>
    <row r="65552" spans="129:129" x14ac:dyDescent="0.2">
      <c r="DY65552" s="185" t="s">
        <v>215</v>
      </c>
    </row>
    <row r="65553" spans="129:129" x14ac:dyDescent="0.2">
      <c r="DY65553" s="185" t="s">
        <v>215</v>
      </c>
    </row>
    <row r="65554" spans="129:129" x14ac:dyDescent="0.2">
      <c r="DY65554" s="185" t="s">
        <v>215</v>
      </c>
    </row>
    <row r="65555" spans="129:129" x14ac:dyDescent="0.2">
      <c r="DY65555" s="185" t="s">
        <v>215</v>
      </c>
    </row>
    <row r="65556" spans="129:129" x14ac:dyDescent="0.2">
      <c r="DY65556" s="185" t="s">
        <v>215</v>
      </c>
    </row>
    <row r="65557" spans="129:129" x14ac:dyDescent="0.2">
      <c r="DY65557" s="185" t="s">
        <v>215</v>
      </c>
    </row>
    <row r="65558" spans="129:129" x14ac:dyDescent="0.2">
      <c r="DY65558" s="185" t="s">
        <v>215</v>
      </c>
    </row>
    <row r="65559" spans="129:129" x14ac:dyDescent="0.2">
      <c r="DY65559" s="185" t="s">
        <v>215</v>
      </c>
    </row>
    <row r="65560" spans="129:129" x14ac:dyDescent="0.2">
      <c r="DY65560" s="185" t="s">
        <v>215</v>
      </c>
    </row>
    <row r="65561" spans="129:129" x14ac:dyDescent="0.2">
      <c r="DY65561" s="185" t="s">
        <v>215</v>
      </c>
    </row>
    <row r="65562" spans="129:129" x14ac:dyDescent="0.2">
      <c r="DY65562" s="185" t="s">
        <v>215</v>
      </c>
    </row>
    <row r="65563" spans="129:129" x14ac:dyDescent="0.2">
      <c r="DY65563" s="185" t="s">
        <v>215</v>
      </c>
    </row>
    <row r="65564" spans="129:129" x14ac:dyDescent="0.2">
      <c r="DY65564" s="185" t="s">
        <v>215</v>
      </c>
    </row>
  </sheetData>
  <mergeCells count="18">
    <mergeCell ref="CN176:CV176"/>
    <mergeCell ref="CN186:CW186"/>
    <mergeCell ref="CN126:CX126"/>
    <mergeCell ref="CN146:CX146"/>
    <mergeCell ref="CN156:CW156"/>
    <mergeCell ref="CN136:CX136"/>
    <mergeCell ref="EB34:EL34"/>
    <mergeCell ref="EN36:EO36"/>
    <mergeCell ref="CN8:CX8"/>
    <mergeCell ref="DH6:DJ6"/>
    <mergeCell ref="CN166:CW166"/>
    <mergeCell ref="CN47:CX47"/>
    <mergeCell ref="CN106:CW106"/>
    <mergeCell ref="CN116:CW116"/>
    <mergeCell ref="CN37:CX37"/>
    <mergeCell ref="CN27:CX27"/>
    <mergeCell ref="DL6:DN6"/>
    <mergeCell ref="DP6:DR6"/>
  </mergeCells>
  <phoneticPr fontId="10" type="noConversion"/>
  <printOptions horizontalCentered="1" verticalCentered="1"/>
  <pageMargins left="0.5" right="0.5" top="0.5" bottom="0.5" header="0.49" footer="0.5"/>
  <pageSetup scale="57" fitToHeight="3" orientation="landscape" r:id="rId1"/>
  <headerFooter alignWithMargins="0"/>
  <rowBreaks count="1" manualBreakCount="1">
    <brk id="145" max="113" man="1"/>
  </row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X101"/>
  <sheetViews>
    <sheetView showGridLines="0" zoomScaleNormal="100" workbookViewId="0"/>
  </sheetViews>
  <sheetFormatPr defaultRowHeight="12.75" outlineLevelRow="1" outlineLevelCol="1" x14ac:dyDescent="0.2"/>
  <cols>
    <col min="1" max="1" width="28.85546875" style="185" customWidth="1"/>
    <col min="2" max="10" width="10" style="185" hidden="1" customWidth="1" outlineLevel="1"/>
    <col min="11" max="11" width="3.5703125" style="185" hidden="1" customWidth="1" outlineLevel="1"/>
    <col min="12" max="25" width="10" style="185" hidden="1" customWidth="1" outlineLevel="1"/>
    <col min="26" max="26" width="9.28515625" style="185" hidden="1" customWidth="1" outlineLevel="1"/>
    <col min="27" max="27" width="9.140625" style="185" customWidth="1" collapsed="1"/>
    <col min="28" max="29" width="9.5703125" style="185" customWidth="1"/>
    <col min="30" max="30" width="9.42578125" style="185" customWidth="1"/>
    <col min="31" max="31" width="8.85546875" style="185" customWidth="1"/>
    <col min="32" max="32" width="8.7109375" style="185" customWidth="1"/>
    <col min="33" max="33" width="9.28515625" style="185" customWidth="1"/>
    <col min="34" max="35" width="9.5703125" style="185" bestFit="1" customWidth="1"/>
    <col min="36" max="37" width="8.7109375" style="185" bestFit="1" customWidth="1"/>
    <col min="38" max="38" width="8.7109375" style="185" customWidth="1" outlineLevel="1"/>
    <col min="39" max="39" width="8.7109375" style="12" customWidth="1" outlineLevel="1"/>
    <col min="40" max="40" width="2.28515625" style="185" customWidth="1"/>
    <col min="41" max="41" width="9.140625" style="185" customWidth="1" outlineLevel="1"/>
    <col min="42" max="42" width="2.42578125" style="185" customWidth="1" outlineLevel="1"/>
    <col min="43" max="43" width="9.140625" style="185" customWidth="1" outlineLevel="1"/>
    <col min="44" max="44" width="2.28515625" style="185" customWidth="1" outlineLevel="1"/>
    <col min="45" max="45" width="2.42578125" style="185" customWidth="1"/>
    <col min="46" max="46" width="9.140625" style="185"/>
    <col min="47" max="47" width="10.7109375" style="185" bestFit="1" customWidth="1"/>
    <col min="48" max="16384" width="9.140625" style="185"/>
  </cols>
  <sheetData>
    <row r="1" spans="1:48" x14ac:dyDescent="0.2">
      <c r="A1" s="281" t="s">
        <v>285</v>
      </c>
      <c r="AH1" s="543"/>
      <c r="AI1" s="543"/>
    </row>
    <row r="2" spans="1:48" x14ac:dyDescent="0.2">
      <c r="A2" s="329" t="s">
        <v>701</v>
      </c>
      <c r="B2" s="284"/>
      <c r="C2" s="284"/>
      <c r="D2" s="284"/>
      <c r="E2" s="284"/>
      <c r="F2" s="284"/>
      <c r="G2" s="284"/>
      <c r="H2" s="284"/>
      <c r="I2" s="284"/>
      <c r="J2" s="284"/>
      <c r="K2" s="284"/>
      <c r="L2" s="284"/>
      <c r="M2" s="284"/>
      <c r="N2" s="284"/>
      <c r="O2" s="284"/>
      <c r="P2" s="284"/>
      <c r="Q2" s="284"/>
      <c r="R2" s="284"/>
      <c r="S2" s="284"/>
      <c r="T2" s="284"/>
      <c r="U2" s="284"/>
      <c r="V2" s="284"/>
      <c r="W2" s="284"/>
      <c r="X2" s="284"/>
      <c r="Y2" s="284"/>
      <c r="Z2" s="284"/>
      <c r="AA2" s="284"/>
      <c r="AB2" s="284"/>
      <c r="AC2" s="284"/>
      <c r="AD2" s="284"/>
      <c r="AE2" s="284"/>
      <c r="AF2" s="284"/>
      <c r="AG2" s="284"/>
      <c r="AH2" s="284"/>
      <c r="AI2" s="284"/>
      <c r="AJ2" s="284"/>
      <c r="AK2" s="284"/>
      <c r="AL2" s="284"/>
      <c r="AM2" s="1122"/>
      <c r="AN2" s="284"/>
      <c r="AO2" s="284"/>
      <c r="AP2" s="284"/>
      <c r="AQ2" s="284"/>
      <c r="AR2" s="284"/>
      <c r="AU2" s="290">
        <f>0.012*AG11</f>
        <v>310.92</v>
      </c>
    </row>
    <row r="3" spans="1:48" ht="13.5" thickBot="1" x14ac:dyDescent="0.25">
      <c r="AD3" s="282"/>
      <c r="AH3" s="288"/>
      <c r="AI3" s="288"/>
      <c r="AJ3" s="391"/>
      <c r="AK3" s="391"/>
      <c r="AL3" s="391"/>
      <c r="AM3" s="1212"/>
    </row>
    <row r="4" spans="1:48" ht="13.5" thickBot="1" x14ac:dyDescent="0.25">
      <c r="E4" s="434" t="s">
        <v>286</v>
      </c>
      <c r="P4" s="435" t="s">
        <v>287</v>
      </c>
      <c r="Q4" s="435"/>
      <c r="R4" s="435"/>
      <c r="S4" s="436"/>
      <c r="V4" s="435" t="s">
        <v>288</v>
      </c>
      <c r="W4" s="437"/>
      <c r="X4" s="438"/>
      <c r="AD4" s="290"/>
      <c r="AE4" s="290"/>
      <c r="AF4" s="290"/>
      <c r="AG4" s="282"/>
      <c r="AH4" s="288"/>
      <c r="AI4" s="396"/>
      <c r="AJ4" s="282"/>
      <c r="AK4" s="282"/>
      <c r="AL4" s="282"/>
      <c r="AM4" s="1160"/>
      <c r="AO4" s="297"/>
      <c r="AP4" s="439" t="s">
        <v>26</v>
      </c>
      <c r="AQ4" s="417"/>
      <c r="AR4" s="440"/>
    </row>
    <row r="5" spans="1:48" x14ac:dyDescent="0.2">
      <c r="B5" s="441">
        <f>'yrP&amp;L'!B5</f>
        <v>1989</v>
      </c>
      <c r="C5" s="441">
        <f>'yrP&amp;L'!C5</f>
        <v>1990</v>
      </c>
      <c r="D5" s="441">
        <f>'yrP&amp;L'!D5</f>
        <v>1991</v>
      </c>
      <c r="E5" s="441">
        <f>'yrP&amp;L'!E5</f>
        <v>1991</v>
      </c>
      <c r="F5" s="441">
        <f>'yrP&amp;L'!F5</f>
        <v>1992</v>
      </c>
      <c r="G5" s="441">
        <f>'yrP&amp;L'!G5</f>
        <v>1993</v>
      </c>
      <c r="H5" s="441">
        <f>'yrP&amp;L'!H5</f>
        <v>1994</v>
      </c>
      <c r="I5" s="441" t="str">
        <f>'yrP&amp;L'!I5</f>
        <v>1994P</v>
      </c>
      <c r="J5" s="441">
        <f>'yrP&amp;L'!J5</f>
        <v>1995</v>
      </c>
      <c r="K5" s="441"/>
      <c r="L5" s="441">
        <f>'yrP&amp;L'!L5</f>
        <v>1995</v>
      </c>
      <c r="M5" s="441">
        <f>'yrP&amp;L'!M5</f>
        <v>1996</v>
      </c>
      <c r="N5" s="441">
        <f>'yrP&amp;L'!N5</f>
        <v>1997</v>
      </c>
      <c r="O5" s="441">
        <f>'yrP&amp;L'!O5</f>
        <v>1998</v>
      </c>
      <c r="P5" s="441">
        <f>'yrP&amp;L'!P5</f>
        <v>1999</v>
      </c>
      <c r="Q5" s="441">
        <f>'yrP&amp;L'!Q5</f>
        <v>2000</v>
      </c>
      <c r="R5" s="441">
        <f>'yrP&amp;L'!R5</f>
        <v>2001</v>
      </c>
      <c r="S5" s="441">
        <f>'yrP&amp;L'!S5</f>
        <v>2002</v>
      </c>
      <c r="T5" s="441">
        <f>'yrP&amp;L'!T5</f>
        <v>2003</v>
      </c>
      <c r="U5" s="441">
        <f>'yrP&amp;L'!U5</f>
        <v>2004</v>
      </c>
      <c r="V5" s="441">
        <f>'yrP&amp;L'!V5</f>
        <v>2005</v>
      </c>
      <c r="W5" s="441">
        <f>'yrP&amp;L'!W5</f>
        <v>2006</v>
      </c>
      <c r="X5" s="441">
        <f>'yrP&amp;L'!X5</f>
        <v>2007</v>
      </c>
      <c r="Y5" s="441">
        <f>'yrP&amp;L'!Y5</f>
        <v>2008</v>
      </c>
      <c r="Z5" s="441">
        <f>'yrP&amp;L'!Z5</f>
        <v>2009</v>
      </c>
      <c r="AA5" s="441">
        <f>'yrP&amp;L'!AA5</f>
        <v>2010</v>
      </c>
      <c r="AB5" s="441">
        <f>'yrP&amp;L'!AB5</f>
        <v>2011</v>
      </c>
      <c r="AC5" s="441">
        <f>'yrP&amp;L'!AC5</f>
        <v>2012</v>
      </c>
      <c r="AD5" s="441">
        <f>'yrP&amp;L'!AD5</f>
        <v>2013</v>
      </c>
      <c r="AE5" s="441">
        <f>'yrP&amp;L'!AE5</f>
        <v>2014</v>
      </c>
      <c r="AF5" s="441">
        <f>'yrP&amp;L'!AF5</f>
        <v>2015</v>
      </c>
      <c r="AG5" s="441">
        <f>'yrP&amp;L'!AG5</f>
        <v>2016</v>
      </c>
      <c r="AH5" s="991">
        <f>'yrP&amp;L'!AH5</f>
        <v>2017</v>
      </c>
      <c r="AI5" s="586">
        <f>'yrP&amp;L'!AI5</f>
        <v>2018</v>
      </c>
      <c r="AJ5" s="586">
        <f>'yrP&amp;L'!AJ5</f>
        <v>2019</v>
      </c>
      <c r="AK5" s="586">
        <f>'yrP&amp;L'!AK5</f>
        <v>2020</v>
      </c>
      <c r="AL5" s="586">
        <f>'yrP&amp;L'!AL5</f>
        <v>2021</v>
      </c>
      <c r="AM5" s="1213">
        <f>'yrP&amp;L'!AM5</f>
        <v>2022</v>
      </c>
      <c r="AO5" s="442" t="s">
        <v>670</v>
      </c>
      <c r="AP5" s="439"/>
      <c r="AQ5" s="443" t="s">
        <v>671</v>
      </c>
      <c r="AR5" s="440"/>
    </row>
    <row r="6" spans="1:48" x14ac:dyDescent="0.2">
      <c r="D6" s="444" t="str">
        <f>'yrP&amp;L'!D6</f>
        <v>RPT'D</v>
      </c>
      <c r="E6" s="444" t="str">
        <f>'yrP&amp;L'!E6</f>
        <v>PFMA</v>
      </c>
      <c r="AC6" s="395"/>
      <c r="AI6" s="290"/>
      <c r="AO6" s="445"/>
      <c r="AP6" s="298"/>
      <c r="AQ6" s="298"/>
      <c r="AR6" s="446"/>
    </row>
    <row r="7" spans="1:48" ht="12.75" customHeight="1" outlineLevel="1" x14ac:dyDescent="0.2">
      <c r="A7" s="185" t="s">
        <v>219</v>
      </c>
      <c r="B7" s="447"/>
      <c r="C7" s="447"/>
      <c r="D7" s="447"/>
      <c r="E7" s="447"/>
      <c r="F7" s="447"/>
      <c r="G7" s="447"/>
      <c r="H7" s="447"/>
      <c r="I7" s="447"/>
      <c r="J7" s="447"/>
      <c r="K7" s="447"/>
      <c r="L7" s="447"/>
      <c r="M7" s="447"/>
      <c r="N7" s="447"/>
      <c r="O7" s="447"/>
      <c r="P7" s="447"/>
      <c r="Q7" s="447"/>
      <c r="R7" s="447"/>
      <c r="S7" s="447"/>
      <c r="T7" s="447"/>
      <c r="U7" s="447"/>
      <c r="V7" s="447"/>
      <c r="W7" s="447">
        <f>W11-W9</f>
        <v>26552.365850415088</v>
      </c>
      <c r="X7" s="447">
        <f t="shared" ref="X7:AE7" si="0">X11-X9</f>
        <v>25659.820190049199</v>
      </c>
      <c r="Y7" s="447">
        <f t="shared" si="0"/>
        <v>24049.398045163463</v>
      </c>
      <c r="Z7" s="447">
        <f t="shared" si="0"/>
        <v>22808.043478260868</v>
      </c>
      <c r="AA7" s="447">
        <f t="shared" si="0"/>
        <v>23703</v>
      </c>
      <c r="AB7" s="447">
        <f t="shared" si="0"/>
        <v>24572</v>
      </c>
      <c r="AC7" s="447">
        <f t="shared" si="0"/>
        <v>25101.47</v>
      </c>
      <c r="AD7" s="447">
        <f t="shared" si="0"/>
        <v>24579.279999999999</v>
      </c>
      <c r="AE7" s="447">
        <f t="shared" si="0"/>
        <v>24170.3</v>
      </c>
      <c r="AF7" s="447">
        <f t="shared" ref="AF7:AL7" si="1">AF11-AF9</f>
        <v>22908.833999999999</v>
      </c>
      <c r="AG7" s="447">
        <f t="shared" si="1"/>
        <v>21299.328064008074</v>
      </c>
      <c r="AH7" s="447">
        <f t="shared" si="1"/>
        <v>19873.260870408878</v>
      </c>
      <c r="AI7" s="447">
        <f t="shared" si="1"/>
        <v>18976.348957449765</v>
      </c>
      <c r="AJ7" s="447">
        <f t="shared" si="1"/>
        <v>17917.799477884524</v>
      </c>
      <c r="AK7" s="447">
        <f t="shared" si="1"/>
        <v>16855.425717933162</v>
      </c>
      <c r="AL7" s="447">
        <f t="shared" si="1"/>
        <v>15810.018504541757</v>
      </c>
      <c r="AM7" s="1214">
        <f t="shared" ref="AM7" si="2">AM11-AM9</f>
        <v>14756.336394397031</v>
      </c>
      <c r="AO7" s="448">
        <f>RATE(5,,-AB7,AG7)*100</f>
        <v>-2.8181685736090571</v>
      </c>
      <c r="AP7" s="261" t="s">
        <v>93</v>
      </c>
      <c r="AQ7" s="449">
        <f>RATE(6,,-AG7,AM7)*100</f>
        <v>-5.9334013419596054</v>
      </c>
      <c r="AR7" s="262" t="s">
        <v>93</v>
      </c>
    </row>
    <row r="8" spans="1:48" ht="12.75" customHeight="1" outlineLevel="1" x14ac:dyDescent="0.2">
      <c r="A8" s="450" t="s">
        <v>24</v>
      </c>
      <c r="B8" s="447"/>
      <c r="C8" s="447"/>
      <c r="D8" s="447"/>
      <c r="E8" s="447"/>
      <c r="F8" s="447"/>
      <c r="G8" s="447"/>
      <c r="H8" s="447"/>
      <c r="I8" s="447"/>
      <c r="J8" s="447"/>
      <c r="K8" s="447"/>
      <c r="L8" s="447"/>
      <c r="M8" s="447"/>
      <c r="N8" s="447"/>
      <c r="O8" s="447"/>
      <c r="P8" s="447"/>
      <c r="Q8" s="447"/>
      <c r="R8" s="447"/>
      <c r="S8" s="447"/>
      <c r="T8" s="447"/>
      <c r="U8" s="447"/>
      <c r="V8" s="447"/>
      <c r="W8" s="451"/>
      <c r="X8" s="451">
        <f t="shared" ref="X8:AD8" si="3">X7/W7-1</f>
        <v>-3.3614543630278271E-2</v>
      </c>
      <c r="Y8" s="451">
        <f t="shared" si="3"/>
        <v>-6.2760461022647873E-2</v>
      </c>
      <c r="Z8" s="451">
        <f t="shared" si="3"/>
        <v>-5.1616866441787757E-2</v>
      </c>
      <c r="AA8" s="451">
        <f t="shared" si="3"/>
        <v>3.9238636255325643E-2</v>
      </c>
      <c r="AB8" s="451">
        <f t="shared" si="3"/>
        <v>3.6662025903894113E-2</v>
      </c>
      <c r="AC8" s="451">
        <f t="shared" si="3"/>
        <v>2.1547696565196173E-2</v>
      </c>
      <c r="AD8" s="451">
        <f t="shared" si="3"/>
        <v>-2.0803164117480066E-2</v>
      </c>
      <c r="AE8" s="451">
        <f t="shared" ref="AE8:AJ8" si="4">AE7/AD7-1</f>
        <v>-1.6639218073108752E-2</v>
      </c>
      <c r="AF8" s="451">
        <f t="shared" si="4"/>
        <v>-5.219074649466493E-2</v>
      </c>
      <c r="AG8" s="451">
        <f t="shared" si="4"/>
        <v>-7.0256999373775386E-2</v>
      </c>
      <c r="AH8" s="451">
        <f t="shared" si="4"/>
        <v>-6.6953623575054744E-2</v>
      </c>
      <c r="AI8" s="451">
        <f t="shared" si="4"/>
        <v>-4.5131592586026392E-2</v>
      </c>
      <c r="AJ8" s="451">
        <f t="shared" si="4"/>
        <v>-5.5782568182046077E-2</v>
      </c>
      <c r="AK8" s="451">
        <f>AK7/AJ7-1</f>
        <v>-5.9291530818983862E-2</v>
      </c>
      <c r="AL8" s="451">
        <f>AL7/AK7-1</f>
        <v>-6.2021999971151986E-2</v>
      </c>
      <c r="AM8" s="1215">
        <f>AM7/AL7-1</f>
        <v>-6.664648177622523E-2</v>
      </c>
      <c r="AO8" s="260"/>
      <c r="AP8" s="261"/>
      <c r="AQ8" s="261"/>
      <c r="AR8" s="262"/>
    </row>
    <row r="9" spans="1:48" ht="12.75" customHeight="1" outlineLevel="1" x14ac:dyDescent="0.2">
      <c r="A9" s="185" t="s">
        <v>250</v>
      </c>
      <c r="B9" s="447"/>
      <c r="C9" s="447"/>
      <c r="D9" s="447"/>
      <c r="E9" s="447"/>
      <c r="F9" s="447"/>
      <c r="G9" s="447"/>
      <c r="H9" s="447"/>
      <c r="I9" s="447"/>
      <c r="J9" s="447"/>
      <c r="K9" s="447"/>
      <c r="L9" s="447"/>
      <c r="M9" s="447"/>
      <c r="N9" s="447"/>
      <c r="O9" s="447"/>
      <c r="P9" s="447"/>
      <c r="Q9" s="447"/>
      <c r="R9" s="447"/>
      <c r="S9" s="447"/>
      <c r="T9" s="447"/>
      <c r="U9" s="447"/>
      <c r="V9" s="447"/>
      <c r="W9" s="447">
        <v>417.63414958491205</v>
      </c>
      <c r="X9" s="447">
        <v>653.17980995080245</v>
      </c>
      <c r="Y9" s="447">
        <v>842.60195483653524</v>
      </c>
      <c r="Z9" s="447">
        <v>1086.9565217391305</v>
      </c>
      <c r="AA9" s="447">
        <v>1300</v>
      </c>
      <c r="AB9" s="447">
        <v>1833</v>
      </c>
      <c r="AC9" s="447">
        <v>2584.5299999999997</v>
      </c>
      <c r="AD9" s="447">
        <f>AD11*0.12</f>
        <v>3351.72</v>
      </c>
      <c r="AE9" s="447">
        <f>AE11*0.14</f>
        <v>3934.7000000000003</v>
      </c>
      <c r="AF9" s="447">
        <f>AF11*0.154</f>
        <v>4170.1660000000002</v>
      </c>
      <c r="AG9" s="447">
        <f>AG11*17.7949515090387%</f>
        <v>4610.6719359919271</v>
      </c>
      <c r="AH9" s="447">
        <f t="shared" ref="AH9:AM9" si="5">AG9*(1+AH10)</f>
        <v>5071.7391295911202</v>
      </c>
      <c r="AI9" s="447">
        <f t="shared" si="5"/>
        <v>5578.9130425502326</v>
      </c>
      <c r="AJ9" s="447">
        <f t="shared" si="5"/>
        <v>5913.6478251032468</v>
      </c>
      <c r="AK9" s="447">
        <f t="shared" si="5"/>
        <v>6268.4666946094421</v>
      </c>
      <c r="AL9" s="447">
        <f t="shared" si="5"/>
        <v>6644.5746962860094</v>
      </c>
      <c r="AM9" s="1214">
        <f t="shared" si="5"/>
        <v>7043.2491780631699</v>
      </c>
      <c r="AO9" s="448">
        <f>RATE(5,,-AB9,AG9)*100</f>
        <v>20.259765146721609</v>
      </c>
      <c r="AP9" s="261" t="s">
        <v>93</v>
      </c>
      <c r="AQ9" s="449">
        <f>RATE(6,,-AG9,AM9)*100</f>
        <v>7.3169048408298663</v>
      </c>
      <c r="AR9" s="262" t="s">
        <v>93</v>
      </c>
    </row>
    <row r="10" spans="1:48" ht="12.75" customHeight="1" outlineLevel="1" x14ac:dyDescent="0.2">
      <c r="A10" s="450" t="s">
        <v>24</v>
      </c>
      <c r="B10" s="447"/>
      <c r="C10" s="447"/>
      <c r="D10" s="447"/>
      <c r="E10" s="447"/>
      <c r="F10" s="447"/>
      <c r="G10" s="447"/>
      <c r="H10" s="447"/>
      <c r="I10" s="447"/>
      <c r="J10" s="447"/>
      <c r="K10" s="447"/>
      <c r="L10" s="447"/>
      <c r="M10" s="447"/>
      <c r="N10" s="447"/>
      <c r="O10" s="447"/>
      <c r="P10" s="447"/>
      <c r="Q10" s="447"/>
      <c r="R10" s="447"/>
      <c r="S10" s="447"/>
      <c r="T10" s="447"/>
      <c r="U10" s="447"/>
      <c r="V10" s="452"/>
      <c r="W10" s="451"/>
      <c r="X10" s="451">
        <f t="shared" ref="X10:AC10" si="6">X9/W9-1</f>
        <v>0.56400000000000006</v>
      </c>
      <c r="Y10" s="451">
        <f t="shared" si="6"/>
        <v>0.29000000000000004</v>
      </c>
      <c r="Z10" s="451">
        <f t="shared" si="6"/>
        <v>0.29000000000000004</v>
      </c>
      <c r="AA10" s="451">
        <f t="shared" si="6"/>
        <v>0.19599999999999995</v>
      </c>
      <c r="AB10" s="451">
        <f t="shared" si="6"/>
        <v>0.40999999999999992</v>
      </c>
      <c r="AC10" s="451">
        <f t="shared" si="6"/>
        <v>0.40999999999999992</v>
      </c>
      <c r="AD10" s="451">
        <f>AD9/AC9-1</f>
        <v>0.29683927058304604</v>
      </c>
      <c r="AE10" s="451">
        <f>AE9/AD9-1</f>
        <v>0.1739345768739633</v>
      </c>
      <c r="AF10" s="451">
        <f>AF9/AE9-1</f>
        <v>5.9843444227005937E-2</v>
      </c>
      <c r="AG10" s="451">
        <f>AG9/AF9-1</f>
        <v>0.10563271006284336</v>
      </c>
      <c r="AH10" s="1022">
        <v>0.1</v>
      </c>
      <c r="AI10" s="1022">
        <v>0.1</v>
      </c>
      <c r="AJ10" s="1022">
        <v>0.06</v>
      </c>
      <c r="AK10" s="1022">
        <v>0.06</v>
      </c>
      <c r="AL10" s="1022">
        <v>0.06</v>
      </c>
      <c r="AM10" s="1393">
        <v>0.06</v>
      </c>
      <c r="AO10" s="260"/>
      <c r="AP10" s="261"/>
      <c r="AQ10" s="261"/>
      <c r="AR10" s="262"/>
    </row>
    <row r="11" spans="1:48" x14ac:dyDescent="0.2">
      <c r="A11" s="185" t="s">
        <v>220</v>
      </c>
      <c r="B11" s="447">
        <f>'yrP&amp;L'!B7</f>
        <v>7577.5860000000002</v>
      </c>
      <c r="C11" s="447">
        <f>'yrP&amp;L'!C7</f>
        <v>7141.9830000000002</v>
      </c>
      <c r="D11" s="447">
        <f>'yrP&amp;L'!D7</f>
        <v>6932.3230000000003</v>
      </c>
      <c r="E11" s="447">
        <f>'yrP&amp;L'!E7</f>
        <v>6932.3230000000003</v>
      </c>
      <c r="F11" s="447">
        <f>'yrP&amp;L'!F7</f>
        <v>7079.9410000000007</v>
      </c>
      <c r="G11" s="447">
        <f>'yrP&amp;L'!G7</f>
        <v>7229.4059999999999</v>
      </c>
      <c r="H11" s="447">
        <f>'yrP&amp;L'!H7</f>
        <v>7707.476999999999</v>
      </c>
      <c r="I11" s="447">
        <f>'yrP&amp;L'!I7</f>
        <v>13701.5</v>
      </c>
      <c r="J11" s="447">
        <f>'yrP&amp;L'!J7</f>
        <v>13998.034</v>
      </c>
      <c r="K11" s="447"/>
      <c r="L11" s="447">
        <f>'yrP&amp;L'!L7</f>
        <v>14614</v>
      </c>
      <c r="M11" s="447">
        <f>'yrP&amp;L'!M7</f>
        <v>14833</v>
      </c>
      <c r="N11" s="447">
        <f>'yrP&amp;L'!N7</f>
        <v>15220</v>
      </c>
      <c r="O11" s="447">
        <f>'yrP&amp;L'!O7</f>
        <v>15365</v>
      </c>
      <c r="P11" s="447">
        <f>'yrP&amp;L'!P7</f>
        <v>16029</v>
      </c>
      <c r="Q11" s="447">
        <f>'yrP&amp;L'!Q7</f>
        <v>16638</v>
      </c>
      <c r="R11" s="447">
        <f>'yrP&amp;L'!R7</f>
        <v>15785</v>
      </c>
      <c r="S11" s="447">
        <f>'yrP&amp;L'!S7</f>
        <v>15571</v>
      </c>
      <c r="T11" s="447">
        <f>'yrP&amp;L'!T7</f>
        <v>15412</v>
      </c>
      <c r="U11" s="447">
        <f>'yrP&amp;L'!U7</f>
        <v>15776</v>
      </c>
      <c r="V11" s="447">
        <f>'yrP&amp;L'!V7</f>
        <v>22390</v>
      </c>
      <c r="W11" s="447">
        <f>'yrP&amp;L'!W7</f>
        <v>26970</v>
      </c>
      <c r="X11" s="447">
        <f>'yrP&amp;L'!X7</f>
        <v>26313</v>
      </c>
      <c r="Y11" s="447">
        <f>'yrP&amp;L'!Y7</f>
        <v>24892</v>
      </c>
      <c r="Z11" s="447">
        <f>'yrP&amp;L'!Z7</f>
        <v>23895</v>
      </c>
      <c r="AA11" s="447">
        <f>'yrP&amp;L'!AA7</f>
        <v>25003</v>
      </c>
      <c r="AB11" s="447">
        <f>'yrP&amp;L'!AB7</f>
        <v>26405</v>
      </c>
      <c r="AC11" s="447">
        <f>'yrP&amp;L'!AC7</f>
        <v>27686</v>
      </c>
      <c r="AD11" s="447">
        <f>'yrP&amp;L'!AD7</f>
        <v>27931</v>
      </c>
      <c r="AE11" s="447">
        <f>'yrP&amp;L'!AE7</f>
        <v>28105</v>
      </c>
      <c r="AF11" s="447">
        <f>'yrP&amp;L'!AF7</f>
        <v>27079</v>
      </c>
      <c r="AG11" s="447">
        <f>'yrP&amp;L'!AG7</f>
        <v>25910</v>
      </c>
      <c r="AH11" s="447">
        <f>'yrP&amp;L'!AH7</f>
        <v>24945</v>
      </c>
      <c r="AI11" s="447">
        <f>'yrP&amp;L'!AI7</f>
        <v>24555.261999999999</v>
      </c>
      <c r="AJ11" s="447">
        <f>(AI11-AJ33)*(1+AJ27)*(AJ29)*(AJ47/AI47)-1</f>
        <v>23831.44730298777</v>
      </c>
      <c r="AK11" s="447">
        <f>(AJ11-AK33)*(1+AK27)*(AK29)*(AK47/AJ47)-1</f>
        <v>23123.892412542602</v>
      </c>
      <c r="AL11" s="447">
        <f>(AK11-AL33)*(1+AL27)*(AL29)*(AL47/AK47)-1</f>
        <v>22454.593200827767</v>
      </c>
      <c r="AM11" s="1214">
        <f>(AL11-AM33)*(1+AM27)*(AM29)*(AM47/AL47)-1</f>
        <v>21799.585572460201</v>
      </c>
      <c r="AO11" s="448">
        <f>RATE(5,,-AB11,AG11)*100</f>
        <v>-0.37777246930827463</v>
      </c>
      <c r="AP11" s="261" t="s">
        <v>93</v>
      </c>
      <c r="AQ11" s="449">
        <f>RATE(6,,-AG11,AM11)*100</f>
        <v>-2.8379198513198731</v>
      </c>
      <c r="AR11" s="262" t="s">
        <v>93</v>
      </c>
      <c r="AT11" s="543">
        <f>AH11-250</f>
        <v>24695</v>
      </c>
      <c r="AU11" s="290">
        <f>AT11*0.99</f>
        <v>24448.05</v>
      </c>
    </row>
    <row r="12" spans="1:48" x14ac:dyDescent="0.2">
      <c r="A12" s="450" t="s">
        <v>24</v>
      </c>
      <c r="B12" s="451"/>
      <c r="C12" s="451">
        <f t="shared" ref="C12:AB12" si="7">C11/B11-1</f>
        <v>-5.7485721706094783E-2</v>
      </c>
      <c r="D12" s="451">
        <f t="shared" si="7"/>
        <v>-2.935599258637267E-2</v>
      </c>
      <c r="E12" s="451">
        <f>D12</f>
        <v>-2.935599258637267E-2</v>
      </c>
      <c r="F12" s="451">
        <f t="shared" si="7"/>
        <v>2.1294160701975429E-2</v>
      </c>
      <c r="G12" s="451">
        <f t="shared" si="7"/>
        <v>2.1111051631644839E-2</v>
      </c>
      <c r="H12" s="451">
        <f t="shared" si="7"/>
        <v>6.6128669492348191E-2</v>
      </c>
      <c r="I12" s="451"/>
      <c r="J12" s="451">
        <f t="shared" si="7"/>
        <v>2.164244790716352E-2</v>
      </c>
      <c r="K12" s="451"/>
      <c r="L12" s="451"/>
      <c r="M12" s="451">
        <f t="shared" si="7"/>
        <v>1.4985630217599466E-2</v>
      </c>
      <c r="N12" s="451">
        <f t="shared" si="7"/>
        <v>2.6090473943234604E-2</v>
      </c>
      <c r="O12" s="451">
        <f t="shared" si="7"/>
        <v>9.5269382391589552E-3</v>
      </c>
      <c r="P12" s="451">
        <f t="shared" si="7"/>
        <v>4.3215099251545652E-2</v>
      </c>
      <c r="Q12" s="451">
        <f t="shared" si="7"/>
        <v>3.7993636533782515E-2</v>
      </c>
      <c r="R12" s="451">
        <f t="shared" si="7"/>
        <v>-5.126818127178745E-2</v>
      </c>
      <c r="S12" s="451">
        <f t="shared" si="7"/>
        <v>-1.3557174532784266E-2</v>
      </c>
      <c r="T12" s="451">
        <f t="shared" si="7"/>
        <v>-1.0211290218996805E-2</v>
      </c>
      <c r="U12" s="451">
        <f t="shared" si="7"/>
        <v>2.361796003114458E-2</v>
      </c>
      <c r="V12" s="451">
        <f t="shared" si="7"/>
        <v>0.41924442190669375</v>
      </c>
      <c r="W12" s="451">
        <f t="shared" si="7"/>
        <v>0.20455560518088434</v>
      </c>
      <c r="X12" s="451">
        <f t="shared" si="7"/>
        <v>-2.4360400444938812E-2</v>
      </c>
      <c r="Y12" s="451">
        <f t="shared" si="7"/>
        <v>-5.4003724394785846E-2</v>
      </c>
      <c r="Z12" s="451">
        <f t="shared" si="7"/>
        <v>-4.0053029085650005E-2</v>
      </c>
      <c r="AA12" s="451">
        <f t="shared" si="7"/>
        <v>4.6369533375183014E-2</v>
      </c>
      <c r="AB12" s="451">
        <f t="shared" si="7"/>
        <v>5.60732712074552E-2</v>
      </c>
      <c r="AC12" s="451">
        <f t="shared" ref="AC12:AJ12" si="8">AC11/AB11-1</f>
        <v>4.8513539102442715E-2</v>
      </c>
      <c r="AD12" s="451">
        <f t="shared" si="8"/>
        <v>8.8492378819620132E-3</v>
      </c>
      <c r="AE12" s="451">
        <f t="shared" si="8"/>
        <v>6.229637320539938E-3</v>
      </c>
      <c r="AF12" s="451">
        <f t="shared" si="8"/>
        <v>-3.6505959793631026E-2</v>
      </c>
      <c r="AG12" s="451">
        <f t="shared" si="8"/>
        <v>-4.3169984120536187E-2</v>
      </c>
      <c r="AH12" s="451">
        <f t="shared" si="8"/>
        <v>-3.7244307217290662E-2</v>
      </c>
      <c r="AI12" s="451">
        <f>AI11/AH11-1</f>
        <v>-1.5623892563640052E-2</v>
      </c>
      <c r="AJ12" s="451">
        <f t="shared" si="8"/>
        <v>-2.9476969010236109E-2</v>
      </c>
      <c r="AK12" s="451">
        <f>AK11/AJ11-1</f>
        <v>-2.9689967270953854E-2</v>
      </c>
      <c r="AL12" s="451">
        <f>AL11/AK11-1</f>
        <v>-2.8944054909708972E-2</v>
      </c>
      <c r="AM12" s="1215">
        <f>AM11/AL11-1</f>
        <v>-2.9170318184317812E-2</v>
      </c>
      <c r="AO12" s="260"/>
      <c r="AP12" s="261"/>
      <c r="AQ12" s="261"/>
      <c r="AR12" s="262"/>
    </row>
    <row r="13" spans="1:48" x14ac:dyDescent="0.2">
      <c r="B13" s="453"/>
      <c r="C13" s="453"/>
      <c r="D13" s="453"/>
      <c r="E13" s="453"/>
      <c r="F13" s="453"/>
      <c r="G13" s="453"/>
      <c r="H13" s="453"/>
      <c r="I13" s="453"/>
      <c r="J13" s="453"/>
      <c r="K13" s="453"/>
      <c r="L13" s="453"/>
      <c r="M13" s="453"/>
      <c r="N13" s="453"/>
      <c r="O13" s="453"/>
      <c r="P13" s="453"/>
      <c r="Q13" s="453"/>
      <c r="R13" s="453"/>
      <c r="S13" s="453"/>
      <c r="T13" s="453"/>
      <c r="U13" s="453"/>
      <c r="V13" s="453"/>
      <c r="W13" s="453"/>
      <c r="X13" s="453"/>
      <c r="Y13" s="453"/>
      <c r="Z13" s="453"/>
      <c r="AA13" s="453"/>
      <c r="AB13" s="453"/>
      <c r="AC13" s="454"/>
      <c r="AD13" s="453"/>
      <c r="AE13" s="453"/>
      <c r="AF13" s="995"/>
      <c r="AG13" s="453"/>
      <c r="AH13" s="453"/>
      <c r="AI13" s="453"/>
      <c r="AJ13" s="453"/>
      <c r="AK13" s="453"/>
      <c r="AL13" s="453"/>
      <c r="AM13" s="1216"/>
      <c r="AN13" s="453"/>
      <c r="AO13" s="260"/>
      <c r="AP13" s="261"/>
      <c r="AQ13" s="261"/>
      <c r="AR13" s="262"/>
    </row>
    <row r="14" spans="1:48" x14ac:dyDescent="0.2">
      <c r="A14" s="455" t="s">
        <v>20</v>
      </c>
      <c r="B14" s="456"/>
      <c r="C14" s="456"/>
      <c r="D14" s="456"/>
      <c r="E14" s="456"/>
      <c r="F14" s="456"/>
      <c r="G14" s="456"/>
      <c r="H14" s="456"/>
      <c r="I14" s="456"/>
      <c r="J14" s="456"/>
      <c r="K14" s="456"/>
      <c r="L14" s="456"/>
      <c r="M14" s="456"/>
      <c r="N14" s="456"/>
      <c r="O14" s="456"/>
      <c r="P14" s="456"/>
      <c r="Q14" s="456"/>
      <c r="R14" s="456"/>
      <c r="S14" s="456"/>
      <c r="T14" s="456"/>
      <c r="U14" s="456"/>
      <c r="V14" s="456"/>
      <c r="W14" s="456">
        <f t="shared" ref="W14:AM14" si="9">IF(ISERROR(W7/W42),"NA ",W7/W42)</f>
        <v>30.767515469774146</v>
      </c>
      <c r="X14" s="456">
        <f t="shared" si="9"/>
        <v>29.993945283517473</v>
      </c>
      <c r="Y14" s="456">
        <f t="shared" si="9"/>
        <v>28.293409464898193</v>
      </c>
      <c r="Z14" s="456">
        <f t="shared" si="9"/>
        <v>26.880428377443568</v>
      </c>
      <c r="AA14" s="456">
        <f t="shared" si="9"/>
        <v>27.885882352941177</v>
      </c>
      <c r="AB14" s="456">
        <f t="shared" si="9"/>
        <v>29.044917257683217</v>
      </c>
      <c r="AC14" s="456">
        <f t="shared" si="9"/>
        <v>29.829435531788473</v>
      </c>
      <c r="AD14" s="456">
        <f t="shared" si="9"/>
        <v>29.243640690065437</v>
      </c>
      <c r="AE14" s="456">
        <f t="shared" si="9"/>
        <v>29.068310282621766</v>
      </c>
      <c r="AF14" s="456">
        <f t="shared" si="9"/>
        <v>28.334983302411871</v>
      </c>
      <c r="AG14" s="456">
        <f t="shared" si="9"/>
        <v>27.933545001977802</v>
      </c>
      <c r="AH14" s="456">
        <f t="shared" si="9"/>
        <v>27.449255345868615</v>
      </c>
      <c r="AI14" s="456">
        <f t="shared" si="9"/>
        <v>27.031836121723313</v>
      </c>
      <c r="AJ14" s="456">
        <f t="shared" si="9"/>
        <v>26.272433252030094</v>
      </c>
      <c r="AK14" s="456">
        <f t="shared" si="9"/>
        <v>25.082478746924348</v>
      </c>
      <c r="AL14" s="456">
        <f t="shared" si="9"/>
        <v>23.882203179066096</v>
      </c>
      <c r="AM14" s="1217">
        <f t="shared" si="9"/>
        <v>22.63241778281753</v>
      </c>
      <c r="AO14" s="448">
        <f>RATE(5,,-AB14,AG14)*100</f>
        <v>-0.77726765539345299</v>
      </c>
      <c r="AP14" s="261" t="s">
        <v>93</v>
      </c>
      <c r="AQ14" s="449">
        <f>RATE(6,,-AG14,AM14)*100</f>
        <v>-3.4466197264721097</v>
      </c>
      <c r="AR14" s="262"/>
      <c r="AV14" s="282">
        <f>750/AG11</f>
        <v>2.8946352759552298E-2</v>
      </c>
    </row>
    <row r="15" spans="1:48" x14ac:dyDescent="0.2">
      <c r="A15" s="457" t="s">
        <v>24</v>
      </c>
      <c r="B15" s="456"/>
      <c r="C15" s="456"/>
      <c r="D15" s="456"/>
      <c r="E15" s="456"/>
      <c r="F15" s="456"/>
      <c r="G15" s="456"/>
      <c r="H15" s="456"/>
      <c r="I15" s="456"/>
      <c r="J15" s="456"/>
      <c r="K15" s="456"/>
      <c r="L15" s="456"/>
      <c r="M15" s="456"/>
      <c r="N15" s="456"/>
      <c r="O15" s="456"/>
      <c r="P15" s="456"/>
      <c r="Q15" s="456"/>
      <c r="R15" s="456"/>
      <c r="S15" s="456"/>
      <c r="T15" s="456"/>
      <c r="U15" s="456"/>
      <c r="V15" s="456"/>
      <c r="W15" s="456"/>
      <c r="X15" s="451">
        <f t="shared" ref="X15:AC15" si="10">X14/W14-1</f>
        <v>-2.5142432674377768E-2</v>
      </c>
      <c r="Y15" s="451">
        <f t="shared" si="10"/>
        <v>-5.6695969888088449E-2</v>
      </c>
      <c r="Z15" s="451">
        <f t="shared" si="10"/>
        <v>-4.9940290483818095E-2</v>
      </c>
      <c r="AA15" s="451">
        <f t="shared" si="10"/>
        <v>3.7404685720757502E-2</v>
      </c>
      <c r="AB15" s="451">
        <f t="shared" si="10"/>
        <v>4.1563501203676134E-2</v>
      </c>
      <c r="AC15" s="451">
        <f t="shared" si="10"/>
        <v>2.7010518471961786E-2</v>
      </c>
      <c r="AD15" s="451">
        <f t="shared" ref="AD15:AJ15" si="11">AD14/AC14-1</f>
        <v>-1.9638147061105782E-2</v>
      </c>
      <c r="AE15" s="451">
        <f t="shared" si="11"/>
        <v>-5.9955054605507208E-3</v>
      </c>
      <c r="AF15" s="451">
        <f t="shared" si="11"/>
        <v>-2.5227712690555237E-2</v>
      </c>
      <c r="AG15" s="451">
        <f t="shared" si="11"/>
        <v>-1.4167585565504792E-2</v>
      </c>
      <c r="AH15" s="451">
        <f t="shared" si="11"/>
        <v>-1.7337207149142664E-2</v>
      </c>
      <c r="AI15" s="451">
        <f t="shared" si="11"/>
        <v>-1.5206941641428773E-2</v>
      </c>
      <c r="AJ15" s="451">
        <f t="shared" si="11"/>
        <v>-2.8092907424921321E-2</v>
      </c>
      <c r="AK15" s="451">
        <f>AK14/AJ14-1</f>
        <v>-4.5292892884742475E-2</v>
      </c>
      <c r="AL15" s="451">
        <f>AL14/AK14-1</f>
        <v>-4.7853148006970048E-2</v>
      </c>
      <c r="AM15" s="1215">
        <f>AM14/AL14-1</f>
        <v>-5.2331243766658098E-2</v>
      </c>
      <c r="AO15" s="260"/>
      <c r="AP15" s="261"/>
      <c r="AQ15" s="261"/>
      <c r="AR15" s="262"/>
    </row>
    <row r="16" spans="1:48" x14ac:dyDescent="0.2">
      <c r="A16" s="457"/>
      <c r="S16" s="282"/>
      <c r="T16" s="282"/>
      <c r="U16" s="282"/>
      <c r="V16" s="282"/>
      <c r="W16" s="282"/>
      <c r="X16" s="282"/>
      <c r="Y16" s="282"/>
      <c r="Z16" s="282"/>
      <c r="AA16" s="282"/>
      <c r="AB16" s="282"/>
      <c r="AC16" s="282"/>
      <c r="AD16" s="282"/>
      <c r="AE16" s="282"/>
      <c r="AF16" s="282"/>
      <c r="AG16" s="282"/>
      <c r="AH16" s="282"/>
      <c r="AI16" s="282"/>
      <c r="AJ16" s="282"/>
      <c r="AK16" s="282"/>
      <c r="AL16" s="282"/>
      <c r="AM16" s="1160"/>
      <c r="AO16" s="260"/>
      <c r="AP16" s="261"/>
      <c r="AQ16" s="261"/>
      <c r="AR16" s="262"/>
    </row>
    <row r="17" spans="1:50" x14ac:dyDescent="0.2">
      <c r="A17" s="455" t="s">
        <v>237</v>
      </c>
      <c r="B17" s="396"/>
      <c r="C17" s="396"/>
      <c r="D17" s="396"/>
      <c r="E17" s="396"/>
      <c r="F17" s="396"/>
      <c r="G17" s="396"/>
      <c r="H17" s="396"/>
      <c r="I17" s="396"/>
      <c r="J17" s="396"/>
      <c r="K17" s="396"/>
      <c r="L17" s="396">
        <f t="shared" ref="L17:AM17" si="12">L11/L42</f>
        <v>38.10691003911343</v>
      </c>
      <c r="M17" s="396">
        <f t="shared" si="12"/>
        <v>36.046172539489675</v>
      </c>
      <c r="N17" s="396">
        <f t="shared" si="12"/>
        <v>37.533908754623923</v>
      </c>
      <c r="O17" s="396">
        <f t="shared" si="12"/>
        <v>38.364544319600498</v>
      </c>
      <c r="P17" s="396">
        <f t="shared" si="12"/>
        <v>39.873134328358212</v>
      </c>
      <c r="Q17" s="396">
        <f t="shared" si="12"/>
        <v>39.473309608540923</v>
      </c>
      <c r="R17" s="396">
        <f t="shared" si="12"/>
        <v>35.116796440489431</v>
      </c>
      <c r="S17" s="396">
        <f t="shared" si="12"/>
        <v>34.072210065645514</v>
      </c>
      <c r="T17" s="396">
        <f t="shared" si="12"/>
        <v>33.724288840262581</v>
      </c>
      <c r="U17" s="396">
        <f t="shared" si="12"/>
        <v>34.370370370370374</v>
      </c>
      <c r="V17" s="396">
        <f t="shared" si="12"/>
        <v>33.745290128108515</v>
      </c>
      <c r="W17" s="396">
        <f t="shared" si="12"/>
        <v>31.251448435689454</v>
      </c>
      <c r="X17" s="396">
        <f t="shared" si="12"/>
        <v>30.757451782583285</v>
      </c>
      <c r="Y17" s="396">
        <f t="shared" si="12"/>
        <v>29.284705882352942</v>
      </c>
      <c r="Z17" s="396">
        <f t="shared" si="12"/>
        <v>28.161461402474956</v>
      </c>
      <c r="AA17" s="396">
        <f t="shared" si="12"/>
        <v>29.415294117647058</v>
      </c>
      <c r="AB17" s="396">
        <f t="shared" si="12"/>
        <v>31.211583924349881</v>
      </c>
      <c r="AC17" s="396">
        <f t="shared" si="12"/>
        <v>32.900772430184198</v>
      </c>
      <c r="AD17" s="396">
        <f t="shared" si="12"/>
        <v>33.231409875074363</v>
      </c>
      <c r="AE17" s="396">
        <f t="shared" si="12"/>
        <v>33.800360793746243</v>
      </c>
      <c r="AF17" s="396">
        <f t="shared" si="12"/>
        <v>33.492888064316638</v>
      </c>
      <c r="AG17" s="396">
        <f t="shared" si="12"/>
        <v>33.980327868852456</v>
      </c>
      <c r="AH17" s="396">
        <f t="shared" si="12"/>
        <v>34.454419889502759</v>
      </c>
      <c r="AI17" s="396">
        <f t="shared" si="12"/>
        <v>34.979005698005693</v>
      </c>
      <c r="AJ17" s="396">
        <f t="shared" si="12"/>
        <v>34.943471118750395</v>
      </c>
      <c r="AK17" s="396">
        <f t="shared" si="12"/>
        <v>34.41055418533125</v>
      </c>
      <c r="AL17" s="396">
        <f t="shared" si="12"/>
        <v>33.919325076779103</v>
      </c>
      <c r="AM17" s="1218">
        <f t="shared" si="12"/>
        <v>33.434947197024847</v>
      </c>
      <c r="AO17" s="448">
        <f>RATE(5,,-AB17,AG17)*100</f>
        <v>1.7143788377628928</v>
      </c>
      <c r="AP17" s="261" t="s">
        <v>93</v>
      </c>
      <c r="AQ17" s="449">
        <f>RATE(6,,-AG17,AM17)*100</f>
        <v>-0.26930486944448784</v>
      </c>
      <c r="AR17" s="262"/>
    </row>
    <row r="18" spans="1:50" x14ac:dyDescent="0.2">
      <c r="A18" s="457" t="s">
        <v>24</v>
      </c>
      <c r="B18" s="456"/>
      <c r="C18" s="456"/>
      <c r="D18" s="456"/>
      <c r="E18" s="456"/>
      <c r="F18" s="456"/>
      <c r="G18" s="456"/>
      <c r="H18" s="456"/>
      <c r="I18" s="456"/>
      <c r="J18" s="456"/>
      <c r="K18" s="456"/>
      <c r="L18" s="456" t="s">
        <v>240</v>
      </c>
      <c r="M18" s="451">
        <f t="shared" ref="M18:AJ18" si="13">M17/L17-1</f>
        <v>-5.4077790550548066E-2</v>
      </c>
      <c r="N18" s="451">
        <f t="shared" si="13"/>
        <v>4.1273070351765861E-2</v>
      </c>
      <c r="O18" s="451">
        <f t="shared" si="13"/>
        <v>2.2130270801445473E-2</v>
      </c>
      <c r="P18" s="451">
        <f t="shared" si="13"/>
        <v>3.9322505597622071E-2</v>
      </c>
      <c r="Q18" s="451">
        <f t="shared" si="13"/>
        <v>-1.0027421384150581E-2</v>
      </c>
      <c r="R18" s="451">
        <f t="shared" si="13"/>
        <v>-0.11036604762193192</v>
      </c>
      <c r="S18" s="451">
        <f t="shared" si="13"/>
        <v>-2.9746061165178417E-2</v>
      </c>
      <c r="T18" s="451">
        <f t="shared" si="13"/>
        <v>-1.0211290218996916E-2</v>
      </c>
      <c r="U18" s="451">
        <f t="shared" si="13"/>
        <v>1.9157751054974081E-2</v>
      </c>
      <c r="V18" s="451">
        <f t="shared" si="13"/>
        <v>-1.8186601876153174E-2</v>
      </c>
      <c r="W18" s="451">
        <f t="shared" si="13"/>
        <v>-7.3901918844128889E-2</v>
      </c>
      <c r="X18" s="451">
        <f t="shared" si="13"/>
        <v>-1.5807160238436202E-2</v>
      </c>
      <c r="Y18" s="451">
        <f t="shared" si="13"/>
        <v>-4.7882572023222658E-2</v>
      </c>
      <c r="Z18" s="451">
        <f t="shared" si="13"/>
        <v>-3.8356010280262254E-2</v>
      </c>
      <c r="AA18" s="451">
        <f t="shared" si="13"/>
        <v>4.4522998904521049E-2</v>
      </c>
      <c r="AB18" s="451">
        <f t="shared" si="13"/>
        <v>6.106652544484259E-2</v>
      </c>
      <c r="AC18" s="451">
        <f t="shared" si="13"/>
        <v>5.4120563375718023E-2</v>
      </c>
      <c r="AD18" s="451">
        <f t="shared" si="13"/>
        <v>1.0049534417217121E-2</v>
      </c>
      <c r="AE18" s="451">
        <f t="shared" si="13"/>
        <v>1.7120878133390027E-2</v>
      </c>
      <c r="AF18" s="451">
        <f t="shared" si="13"/>
        <v>-9.0967292126211685E-3</v>
      </c>
      <c r="AG18" s="451">
        <f t="shared" si="13"/>
        <v>1.4553531591536162E-2</v>
      </c>
      <c r="AH18" s="451">
        <f t="shared" si="13"/>
        <v>1.3951955451403153E-2</v>
      </c>
      <c r="AI18" s="451">
        <f t="shared" si="13"/>
        <v>1.5225501116701734E-2</v>
      </c>
      <c r="AJ18" s="451">
        <f t="shared" si="13"/>
        <v>-1.0158830574570343E-3</v>
      </c>
      <c r="AK18" s="451">
        <f>AK17/AJ17-1</f>
        <v>-1.5250829879152605E-2</v>
      </c>
      <c r="AL18" s="451">
        <f>AL17/AK17-1</f>
        <v>-1.4275536101698516E-2</v>
      </c>
      <c r="AM18" s="1215">
        <f>AM17/AL17-1</f>
        <v>-1.4280292389598825E-2</v>
      </c>
      <c r="AO18" s="260"/>
      <c r="AP18" s="261"/>
      <c r="AQ18" s="261"/>
      <c r="AR18" s="262"/>
    </row>
    <row r="19" spans="1:50" x14ac:dyDescent="0.2">
      <c r="A19" s="458"/>
      <c r="AO19" s="260"/>
      <c r="AP19" s="261"/>
      <c r="AQ19" s="261"/>
      <c r="AR19" s="262"/>
    </row>
    <row r="20" spans="1:50" x14ac:dyDescent="0.2">
      <c r="A20" s="457"/>
      <c r="B20" s="451"/>
      <c r="C20" s="451"/>
      <c r="D20" s="451"/>
      <c r="E20" s="451"/>
      <c r="F20" s="451"/>
      <c r="G20" s="451"/>
      <c r="H20" s="451"/>
      <c r="I20" s="451"/>
      <c r="J20" s="451"/>
      <c r="K20" s="451"/>
      <c r="L20" s="451"/>
      <c r="M20" s="451"/>
      <c r="N20" s="451"/>
      <c r="O20" s="451"/>
      <c r="P20" s="451"/>
      <c r="Q20" s="451"/>
      <c r="R20" s="451"/>
      <c r="S20" s="451"/>
      <c r="T20" s="451"/>
      <c r="U20" s="451"/>
      <c r="V20" s="451"/>
      <c r="W20" s="451"/>
      <c r="X20" s="451"/>
      <c r="Y20" s="451"/>
      <c r="Z20" s="451"/>
      <c r="AA20" s="451"/>
      <c r="AB20" s="451"/>
      <c r="AC20" s="451"/>
      <c r="AD20" s="451"/>
      <c r="AE20" s="451"/>
      <c r="AF20" s="451"/>
      <c r="AG20" s="451"/>
      <c r="AH20" s="451"/>
      <c r="AI20" s="451"/>
      <c r="AJ20" s="451"/>
      <c r="AK20" s="451"/>
      <c r="AL20" s="451"/>
      <c r="AM20" s="1215"/>
      <c r="AN20" s="451"/>
      <c r="AO20" s="260"/>
      <c r="AP20" s="261"/>
      <c r="AQ20" s="261"/>
      <c r="AR20" s="262"/>
    </row>
    <row r="21" spans="1:50" x14ac:dyDescent="0.2">
      <c r="A21" s="455" t="s">
        <v>33</v>
      </c>
      <c r="B21" s="386"/>
      <c r="C21" s="386"/>
      <c r="D21" s="386"/>
      <c r="E21" s="386"/>
      <c r="F21" s="386"/>
      <c r="G21" s="386"/>
      <c r="H21" s="386"/>
      <c r="I21" s="386"/>
      <c r="J21" s="386"/>
      <c r="K21" s="386"/>
      <c r="L21" s="386"/>
      <c r="M21" s="386">
        <f>I47/M42*1000</f>
        <v>180155.52855407048</v>
      </c>
      <c r="N21" s="386">
        <f t="shared" ref="N21:AF21" si="14">N47/N42*1000</f>
        <v>199792.84833538841</v>
      </c>
      <c r="O21" s="386">
        <f t="shared" si="14"/>
        <v>205540.57428214731</v>
      </c>
      <c r="P21" s="386">
        <f t="shared" si="14"/>
        <v>203766.16915422888</v>
      </c>
      <c r="Q21" s="386">
        <f t="shared" si="14"/>
        <v>197864.76868327401</v>
      </c>
      <c r="R21" s="386">
        <f t="shared" si="14"/>
        <v>186874.30478309232</v>
      </c>
      <c r="S21" s="386">
        <f t="shared" si="14"/>
        <v>182713.34792122539</v>
      </c>
      <c r="T21" s="386">
        <f t="shared" si="14"/>
        <v>183807.43982494529</v>
      </c>
      <c r="U21" s="386">
        <f t="shared" si="14"/>
        <v>181481.48148148149</v>
      </c>
      <c r="V21" s="386">
        <f t="shared" si="14"/>
        <v>238884.70233609647</v>
      </c>
      <c r="W21" s="386">
        <f t="shared" si="14"/>
        <v>181228.27346465818</v>
      </c>
      <c r="X21" s="386">
        <f t="shared" si="14"/>
        <v>181135.00876680302</v>
      </c>
      <c r="Y21" s="386">
        <f t="shared" si="14"/>
        <v>181283.5294117647</v>
      </c>
      <c r="Z21" s="386">
        <f t="shared" si="14"/>
        <v>181968.17913965823</v>
      </c>
      <c r="AA21" s="386">
        <f t="shared" si="14"/>
        <v>181384.70588235292</v>
      </c>
      <c r="AB21" s="386">
        <f t="shared" si="14"/>
        <v>180021.27659574468</v>
      </c>
      <c r="AC21" s="386">
        <f t="shared" si="14"/>
        <v>178917.40938799761</v>
      </c>
      <c r="AD21" s="386">
        <f t="shared" si="14"/>
        <v>178563.95002974421</v>
      </c>
      <c r="AE21" s="386">
        <f t="shared" si="14"/>
        <v>177242.33313289235</v>
      </c>
      <c r="AF21" s="386">
        <f t="shared" si="14"/>
        <v>175528.75695732838</v>
      </c>
      <c r="AG21" s="386">
        <f t="shared" ref="AG21:AL21" si="15">AG47/AG42*1000</f>
        <v>170511.47540983604</v>
      </c>
      <c r="AH21" s="386">
        <f t="shared" si="15"/>
        <v>175829.1004952025</v>
      </c>
      <c r="AI21" s="386">
        <f t="shared" si="15"/>
        <v>173751.99099823931</v>
      </c>
      <c r="AJ21" s="386">
        <f t="shared" si="15"/>
        <v>176244.04788100164</v>
      </c>
      <c r="AK21" s="386">
        <f t="shared" si="15"/>
        <v>176224.67801922956</v>
      </c>
      <c r="AL21" s="386">
        <f t="shared" si="15"/>
        <v>176204.7229652589</v>
      </c>
      <c r="AM21" s="1105">
        <f t="shared" ref="AM21" si="16">AM47/AM42*1000</f>
        <v>176184.15579306823</v>
      </c>
      <c r="AO21" s="448">
        <f>RATE(5,,-AB21,AG21)*100</f>
        <v>-1.0795792255703753</v>
      </c>
      <c r="AP21" s="261" t="s">
        <v>93</v>
      </c>
      <c r="AQ21" s="449">
        <f>RATE(6,,-AG21,AM21)*100</f>
        <v>0.5469434511563408</v>
      </c>
      <c r="AR21" s="262" t="s">
        <v>93</v>
      </c>
    </row>
    <row r="22" spans="1:50" x14ac:dyDescent="0.2">
      <c r="A22" s="457" t="s">
        <v>24</v>
      </c>
      <c r="B22" s="456"/>
      <c r="C22" s="456"/>
      <c r="D22" s="456"/>
      <c r="E22" s="456"/>
      <c r="F22" s="456"/>
      <c r="G22" s="456"/>
      <c r="H22" s="456"/>
      <c r="I22" s="456"/>
      <c r="J22" s="456"/>
      <c r="K22" s="456"/>
      <c r="L22" s="456"/>
      <c r="M22" s="451"/>
      <c r="N22" s="451">
        <f t="shared" ref="N22:AJ22" si="17">N21/M21-1</f>
        <v>0.10900203806637077</v>
      </c>
      <c r="O22" s="451">
        <f t="shared" si="17"/>
        <v>2.8768426871367714E-2</v>
      </c>
      <c r="P22" s="451">
        <f t="shared" si="17"/>
        <v>-8.6328703425859743E-3</v>
      </c>
      <c r="Q22" s="451">
        <f t="shared" si="17"/>
        <v>-2.8961630360180846E-2</v>
      </c>
      <c r="R22" s="451">
        <f t="shared" si="17"/>
        <v>-5.5545330143004668E-2</v>
      </c>
      <c r="S22" s="451">
        <f t="shared" si="17"/>
        <v>-2.2266072731061737E-2</v>
      </c>
      <c r="T22" s="451">
        <f t="shared" si="17"/>
        <v>5.9880239520957446E-3</v>
      </c>
      <c r="U22" s="451">
        <f t="shared" si="17"/>
        <v>-1.2654320987654288E-2</v>
      </c>
      <c r="V22" s="451">
        <f t="shared" si="17"/>
        <v>0.31630346185196001</v>
      </c>
      <c r="W22" s="451">
        <f t="shared" si="17"/>
        <v>-0.24135672275204612</v>
      </c>
      <c r="X22" s="451">
        <f t="shared" si="17"/>
        <v>-5.146255386765386E-4</v>
      </c>
      <c r="Y22" s="451">
        <f t="shared" si="17"/>
        <v>8.1994444902089292E-4</v>
      </c>
      <c r="Z22" s="451">
        <f t="shared" si="17"/>
        <v>3.7766791617257489E-3</v>
      </c>
      <c r="AA22" s="451">
        <f t="shared" si="17"/>
        <v>-3.2064576348675988E-3</v>
      </c>
      <c r="AB22" s="451">
        <f t="shared" si="17"/>
        <v>-7.5167819688863879E-3</v>
      </c>
      <c r="AC22" s="451">
        <f t="shared" si="17"/>
        <v>-6.1318707911727222E-3</v>
      </c>
      <c r="AD22" s="451">
        <f t="shared" si="17"/>
        <v>-1.9755448028363487E-3</v>
      </c>
      <c r="AE22" s="451">
        <f t="shared" si="17"/>
        <v>-7.4013645902866187E-3</v>
      </c>
      <c r="AF22" s="451">
        <f t="shared" si="17"/>
        <v>-9.6679847600469326E-3</v>
      </c>
      <c r="AG22" s="451">
        <f t="shared" si="17"/>
        <v>-2.8583815179139327E-2</v>
      </c>
      <c r="AH22" s="451">
        <f t="shared" si="17"/>
        <v>3.1186317944790432E-2</v>
      </c>
      <c r="AI22" s="451">
        <f t="shared" si="17"/>
        <v>-1.1813229386451018E-2</v>
      </c>
      <c r="AJ22" s="451">
        <f t="shared" si="17"/>
        <v>1.4342609074261325E-2</v>
      </c>
      <c r="AK22" s="451">
        <f>AK21/AJ21-1</f>
        <v>-1.099036364913264E-4</v>
      </c>
      <c r="AL22" s="451">
        <f>AL21/AK21-1</f>
        <v>-1.1323643314287146E-4</v>
      </c>
      <c r="AM22" s="1215">
        <f>AM21/AL21-1</f>
        <v>-1.1672316067667943E-4</v>
      </c>
      <c r="AO22" s="448"/>
      <c r="AP22" s="261"/>
      <c r="AQ22" s="261"/>
      <c r="AR22" s="262"/>
    </row>
    <row r="23" spans="1:50" x14ac:dyDescent="0.2">
      <c r="A23" s="458"/>
      <c r="AO23" s="260"/>
      <c r="AP23" s="261"/>
      <c r="AQ23" s="261"/>
      <c r="AR23" s="262"/>
    </row>
    <row r="24" spans="1:50" x14ac:dyDescent="0.2">
      <c r="A24" s="455" t="s">
        <v>238</v>
      </c>
      <c r="B24" s="459"/>
      <c r="C24" s="459"/>
      <c r="D24" s="459"/>
      <c r="E24" s="459"/>
      <c r="F24" s="459"/>
      <c r="G24" s="459"/>
      <c r="H24" s="459"/>
      <c r="I24" s="459"/>
      <c r="J24" s="459"/>
      <c r="K24" s="459"/>
      <c r="L24" s="459"/>
      <c r="M24" s="459"/>
      <c r="N24" s="459">
        <f t="shared" ref="N24:AM24" si="18">N11/N45*1000</f>
        <v>196.19722848855946</v>
      </c>
      <c r="O24" s="459">
        <f t="shared" si="18"/>
        <v>188.14093733737411</v>
      </c>
      <c r="P24" s="459">
        <f t="shared" si="18"/>
        <v>195.1982853628686</v>
      </c>
      <c r="Q24" s="459">
        <f t="shared" si="18"/>
        <v>201.28966693685953</v>
      </c>
      <c r="R24" s="459">
        <f t="shared" si="18"/>
        <v>188.59020310633215</v>
      </c>
      <c r="S24" s="459">
        <f t="shared" si="18"/>
        <v>185.92238805970149</v>
      </c>
      <c r="T24" s="459">
        <f t="shared" si="18"/>
        <v>184.02388059701494</v>
      </c>
      <c r="U24" s="459">
        <f t="shared" si="18"/>
        <v>188.59533771667662</v>
      </c>
      <c r="V24" s="459">
        <f t="shared" si="18"/>
        <v>185.19437551695617</v>
      </c>
      <c r="W24" s="459">
        <f t="shared" si="18"/>
        <v>171.29247380120674</v>
      </c>
      <c r="X24" s="459">
        <f t="shared" si="18"/>
        <v>169.01924133080252</v>
      </c>
      <c r="Y24" s="459">
        <f t="shared" si="18"/>
        <v>161.08616025782069</v>
      </c>
      <c r="Z24" s="459">
        <f t="shared" si="18"/>
        <v>154.91537840650133</v>
      </c>
      <c r="AA24" s="459">
        <f t="shared" si="18"/>
        <v>162.05355551450691</v>
      </c>
      <c r="AB24" s="459">
        <f t="shared" si="18"/>
        <v>172.31421812545886</v>
      </c>
      <c r="AC24" s="459">
        <f t="shared" si="18"/>
        <v>182.83216171328382</v>
      </c>
      <c r="AD24" s="459">
        <f t="shared" si="18"/>
        <v>185.8090353310582</v>
      </c>
      <c r="AE24" s="459">
        <f t="shared" si="18"/>
        <v>188.96658374235193</v>
      </c>
      <c r="AF24" s="459">
        <f t="shared" si="18"/>
        <v>187.20877176002102</v>
      </c>
      <c r="AG24" s="459">
        <f t="shared" si="18"/>
        <v>190.56374802338837</v>
      </c>
      <c r="AH24" s="459">
        <f t="shared" si="18"/>
        <v>193.88666766921816</v>
      </c>
      <c r="AI24" s="459">
        <f t="shared" si="18"/>
        <v>197.01409376474882</v>
      </c>
      <c r="AJ24" s="459">
        <f t="shared" si="18"/>
        <v>196.81395048481289</v>
      </c>
      <c r="AK24" s="459">
        <f t="shared" si="18"/>
        <v>193.81237440812507</v>
      </c>
      <c r="AL24" s="459">
        <f t="shared" si="18"/>
        <v>191.04559886030594</v>
      </c>
      <c r="AM24" s="1219">
        <f t="shared" si="18"/>
        <v>188.31741184883481</v>
      </c>
      <c r="AO24" s="448">
        <f>RATE(5,,-AB24,AG24)*100</f>
        <v>2.0337467260262163</v>
      </c>
      <c r="AP24" s="261" t="s">
        <v>93</v>
      </c>
      <c r="AQ24" s="449">
        <f>RATE(6,,-AG24,AM24)*100</f>
        <v>-0.1974360686247045</v>
      </c>
      <c r="AR24" s="262" t="s">
        <v>93</v>
      </c>
    </row>
    <row r="25" spans="1:50" x14ac:dyDescent="0.2">
      <c r="A25" s="457" t="s">
        <v>24</v>
      </c>
      <c r="B25" s="456"/>
      <c r="C25" s="456"/>
      <c r="D25" s="456"/>
      <c r="E25" s="456"/>
      <c r="F25" s="456"/>
      <c r="G25" s="456"/>
      <c r="H25" s="456"/>
      <c r="I25" s="456"/>
      <c r="J25" s="456"/>
      <c r="K25" s="456"/>
      <c r="L25" s="456"/>
      <c r="M25" s="451"/>
      <c r="N25" s="451"/>
      <c r="O25" s="451">
        <f t="shared" ref="O25:AJ25" si="19">O24/N24-1</f>
        <v>-4.1062206705203885E-2</v>
      </c>
      <c r="P25" s="451">
        <f t="shared" si="19"/>
        <v>3.751096452144953E-2</v>
      </c>
      <c r="Q25" s="451">
        <f t="shared" si="19"/>
        <v>3.1206122342044118E-2</v>
      </c>
      <c r="R25" s="451">
        <f t="shared" si="19"/>
        <v>-6.3090490554147283E-2</v>
      </c>
      <c r="S25" s="451">
        <f t="shared" si="19"/>
        <v>-1.4146095622615595E-2</v>
      </c>
      <c r="T25" s="451">
        <f t="shared" si="19"/>
        <v>-1.0211290218996805E-2</v>
      </c>
      <c r="U25" s="451">
        <f t="shared" si="19"/>
        <v>2.4841651555389754E-2</v>
      </c>
      <c r="V25" s="451">
        <f t="shared" si="19"/>
        <v>-1.8033119168776368E-2</v>
      </c>
      <c r="W25" s="451">
        <f t="shared" si="19"/>
        <v>-7.5066543878253955E-2</v>
      </c>
      <c r="X25" s="451">
        <f t="shared" si="19"/>
        <v>-1.3271058675014658E-2</v>
      </c>
      <c r="Y25" s="451">
        <f t="shared" si="19"/>
        <v>-4.6935964275542363E-2</v>
      </c>
      <c r="Z25" s="451">
        <f t="shared" si="19"/>
        <v>-3.8307337150770393E-2</v>
      </c>
      <c r="AA25" s="451">
        <f t="shared" si="19"/>
        <v>4.607791157618224E-2</v>
      </c>
      <c r="AB25" s="451">
        <f t="shared" si="19"/>
        <v>6.3316491750984305E-2</v>
      </c>
      <c r="AC25" s="451">
        <f t="shared" si="19"/>
        <v>6.1039325148241952E-2</v>
      </c>
      <c r="AD25" s="451">
        <f t="shared" si="19"/>
        <v>1.6282001973168647E-2</v>
      </c>
      <c r="AE25" s="451">
        <f t="shared" si="19"/>
        <v>1.6993513828150952E-2</v>
      </c>
      <c r="AF25" s="451">
        <f t="shared" si="19"/>
        <v>-9.3022371866954279E-3</v>
      </c>
      <c r="AG25" s="451">
        <f t="shared" si="19"/>
        <v>1.7921042010082822E-2</v>
      </c>
      <c r="AH25" s="451">
        <f t="shared" si="19"/>
        <v>1.7437312606918054E-2</v>
      </c>
      <c r="AI25" s="451">
        <f t="shared" si="19"/>
        <v>1.6130176113327455E-2</v>
      </c>
      <c r="AJ25" s="451">
        <f t="shared" si="19"/>
        <v>-1.0158830574573674E-3</v>
      </c>
      <c r="AK25" s="451">
        <f>AK24/AJ24-1</f>
        <v>-1.5250829879152494E-2</v>
      </c>
      <c r="AL25" s="451">
        <f>AL24/AK24-1</f>
        <v>-1.4275536101698627E-2</v>
      </c>
      <c r="AM25" s="1215">
        <f>AM24/AL24-1</f>
        <v>-1.4280292389598603E-2</v>
      </c>
      <c r="AO25" s="260"/>
      <c r="AP25" s="261"/>
      <c r="AQ25" s="261"/>
      <c r="AR25" s="262"/>
      <c r="AU25" s="185">
        <f>575/68</f>
        <v>8.4558823529411757</v>
      </c>
    </row>
    <row r="26" spans="1:50" x14ac:dyDescent="0.2">
      <c r="A26" s="458"/>
      <c r="AF26" s="395"/>
      <c r="AO26" s="260"/>
      <c r="AP26" s="261"/>
      <c r="AQ26" s="261"/>
      <c r="AR26" s="262"/>
    </row>
    <row r="27" spans="1:50" x14ac:dyDescent="0.2">
      <c r="A27" s="455" t="s">
        <v>30</v>
      </c>
      <c r="B27" s="460"/>
      <c r="C27" s="460">
        <f>INDEX('qtrP&amp;L'!14:14,MATCH(C5,'qtrP&amp;L'!6:6,0)+2)%</f>
        <v>-4.2999999999999997E-2</v>
      </c>
      <c r="D27" s="460">
        <f>INDEX('qtrP&amp;L'!14:14,MATCH(D5,'qtrP&amp;L'!6:6,0)+2)%</f>
        <v>1.3999999999999999E-2</v>
      </c>
      <c r="E27" s="460">
        <f>INDEX('qtrP&amp;L'!14:14,MATCH(E5,'qtrP&amp;L'!6:6,0)+2)%</f>
        <v>1.3999999999999999E-2</v>
      </c>
      <c r="F27" s="460">
        <f>INDEX('qtrP&amp;L'!14:14,MATCH(F5,'qtrP&amp;L'!6:6,0)+2)%</f>
        <v>5.2000000000000005E-2</v>
      </c>
      <c r="G27" s="460">
        <f>INDEX('qtrP&amp;L'!14:14,MATCH(G5,'qtrP&amp;L'!6:6,0)+2)%</f>
        <v>1.9E-2</v>
      </c>
      <c r="H27" s="460">
        <f>INDEX('qtrP&amp;L'!14:14,MATCH(H5,'qtrP&amp;L'!6:6,0)+2)%</f>
        <v>3.1E-2</v>
      </c>
      <c r="I27" s="460">
        <f>INDEX('qtrP&amp;L'!14:14,MATCH(I5,'qtrP&amp;L'!6:6,0)+2)%</f>
        <v>3.0898675327518884E-2</v>
      </c>
      <c r="J27" s="460">
        <f>INDEX('qtrP&amp;L'!14:14,MATCH(J5,'qtrP&amp;L'!6:6,0)+2)%</f>
        <v>2.7118808112624963E-2</v>
      </c>
      <c r="K27" s="460"/>
      <c r="L27" s="460">
        <f>INDEX('qtrP&amp;L'!14:14,MATCH(L5,'qtrP&amp;L'!6:6,0)+2)%</f>
        <v>2.7118808112624963E-2</v>
      </c>
      <c r="M27" s="460">
        <f>INDEX('qtrP&amp;L'!14:14,MATCH(M5,'qtrP&amp;L'!6:6,0)+2)%</f>
        <v>3.1E-2</v>
      </c>
      <c r="N27" s="460">
        <f>INDEX('qtrP&amp;L'!14:14,MATCH(N5,'qtrP&amp;L'!6:6,0)+2)%</f>
        <v>2.7000000000000003E-2</v>
      </c>
      <c r="O27" s="460">
        <f>INDEX('qtrP&amp;L'!14:14,MATCH(O5,'qtrP&amp;L'!6:6,0)+2)%</f>
        <v>2.2000000000000002E-2</v>
      </c>
      <c r="P27" s="460">
        <f>INDEX('qtrP&amp;L'!14:14,MATCH(P5,'qtrP&amp;L'!6:6,0)+2)%</f>
        <v>4.4999999999999998E-2</v>
      </c>
      <c r="Q27" s="460">
        <f>INDEX('qtrP&amp;L'!14:14,MATCH(Q5,'qtrP&amp;L'!6:6,0)+2)%</f>
        <v>0.02</v>
      </c>
      <c r="R27" s="460">
        <f>INDEX('qtrP&amp;L'!14:14,MATCH(R5,'qtrP&amp;L'!6:6,0)+2)%</f>
        <v>-5.2999999999999999E-2</v>
      </c>
      <c r="S27" s="460">
        <f>INDEX('qtrP&amp;L'!14:14,MATCH(S5,'qtrP&amp;L'!6:6,0)+2)%</f>
        <v>-0.03</v>
      </c>
      <c r="T27" s="460">
        <f>INDEX('qtrP&amp;L'!14:14,MATCH(T5,'qtrP&amp;L'!6:6,0)+2)%</f>
        <v>-9.0000000000000011E-3</v>
      </c>
      <c r="U27" s="460">
        <f>INDEX('qtrP&amp;L'!14:14,MATCH(U5,'qtrP&amp;L'!6:6,0)+2)%</f>
        <v>2.6000000000000002E-2</v>
      </c>
      <c r="V27" s="460">
        <f>INDEX('qtrP&amp;L'!14:14,MATCH(V5,'qtrP&amp;L'!6:6,0)+2)%</f>
        <v>1.3000000000000001E-2</v>
      </c>
      <c r="W27" s="460">
        <f>INDEX('qtrP&amp;L'!14:14,MATCH(W5,'qtrP&amp;L'!6:6,0)+2)%</f>
        <v>4.4000000000000004E-2</v>
      </c>
      <c r="X27" s="460">
        <f>INDEX('qtrP&amp;L'!14:14,MATCH(X5,'qtrP&amp;L'!6:6,0)+2)%</f>
        <v>-1.3000000000000001E-2</v>
      </c>
      <c r="Y27" s="460">
        <f>INDEX('qtrP&amp;L'!14:14,MATCH(Y5,'qtrP&amp;L'!6:6,0)+2)%</f>
        <v>-4.4999999999999998E-2</v>
      </c>
      <c r="Z27" s="460">
        <f>INDEX('qtrP&amp;L'!14:14,MATCH(Z5,'qtrP&amp;L'!6:6,0)+2)%</f>
        <v>-5.2999999999999999E-2</v>
      </c>
      <c r="AA27" s="460">
        <f>INDEX('qtrP&amp;L'!14:14,MATCH(AA5,'qtrP&amp;L'!6:6,0)+2)%</f>
        <v>4.5999999999999999E-2</v>
      </c>
      <c r="AB27" s="460">
        <f>INDEX('qtrP&amp;L'!14:14,MATCH(AB5,'qtrP&amp;L'!6:6,0)+2)%</f>
        <v>5.2999999999999999E-2</v>
      </c>
      <c r="AC27" s="460">
        <f>INDEX('qtrP&amp;L'!14:14,MATCH(AC5,'qtrP&amp;L'!6:6,0)+2)%</f>
        <v>3.7000000000000005E-2</v>
      </c>
      <c r="AD27" s="460">
        <f>INDEX('qtrP&amp;L'!14:14,MATCH(AD5,'qtrP&amp;L'!6:6,0)+2)%</f>
        <v>1.9428806702230499E-2</v>
      </c>
      <c r="AE27" s="460">
        <f>INDEX('qtrP&amp;L'!14:14,MATCH(AE5,'qtrP&amp;L'!6:6,0)+2)%</f>
        <v>6.9999999999999993E-3</v>
      </c>
      <c r="AF27" s="460">
        <f>INDEX('qtrP&amp;L'!14:14,MATCH(AF5,'qtrP&amp;L'!6:6,0)+2)%</f>
        <v>-3.052572103844307E-2</v>
      </c>
      <c r="AG27" s="460">
        <f>INDEX('qtrP&amp;L'!14:14,MATCH(AG5,'qtrP&amp;L'!6:6,0)+2)%</f>
        <v>-3.5000000000000003E-2</v>
      </c>
      <c r="AH27" s="460">
        <f>INDEX('qtrP&amp;L'!14:14,MATCH(AH5,'qtrP&amp;L'!6:6,0)+2)%</f>
        <v>-2.2000000000000002E-2</v>
      </c>
      <c r="AI27" s="460">
        <f>INDEX('qtrP&amp;L'!14:14,MATCH(AI5,'qtrP&amp;L'!6:6,0)+2)%</f>
        <v>3.3402492304908001E-3</v>
      </c>
      <c r="AJ27" s="1445">
        <v>-0.02</v>
      </c>
      <c r="AK27" s="1445">
        <v>-0.02</v>
      </c>
      <c r="AL27" s="1023">
        <v>-0.02</v>
      </c>
      <c r="AM27" s="1392">
        <v>-0.02</v>
      </c>
      <c r="AO27" s="260"/>
      <c r="AP27" s="261"/>
      <c r="AQ27" s="261"/>
      <c r="AR27" s="262"/>
    </row>
    <row r="28" spans="1:50" x14ac:dyDescent="0.2">
      <c r="AG28" s="548"/>
      <c r="AH28" s="548"/>
      <c r="AI28" s="1446"/>
      <c r="AJ28" s="1446"/>
      <c r="AK28" s="1446"/>
      <c r="AL28" s="548"/>
      <c r="AM28" s="1220"/>
      <c r="AO28" s="260"/>
      <c r="AP28" s="261"/>
      <c r="AQ28" s="261"/>
      <c r="AR28" s="262"/>
      <c r="AX28" s="290"/>
    </row>
    <row r="29" spans="1:50" x14ac:dyDescent="0.2">
      <c r="A29" s="185" t="s">
        <v>221</v>
      </c>
      <c r="B29" s="461"/>
      <c r="C29" s="461"/>
      <c r="D29" s="461"/>
      <c r="E29" s="461"/>
      <c r="F29" s="461"/>
      <c r="G29" s="461"/>
      <c r="H29" s="461"/>
      <c r="I29" s="461"/>
      <c r="J29" s="461"/>
      <c r="K29" s="461"/>
      <c r="L29" s="461"/>
      <c r="M29" s="461">
        <f t="shared" ref="M29:AI29" si="20">M11/(L11*(1+M27)*(M41/L41))</f>
        <v>0.98686244580923499</v>
      </c>
      <c r="N29" s="461">
        <f t="shared" si="20"/>
        <v>1.0265900311360017</v>
      </c>
      <c r="O29" s="461">
        <f t="shared" si="20"/>
        <v>0.98533210831937668</v>
      </c>
      <c r="P29" s="461">
        <f t="shared" si="20"/>
        <v>0.99333765847025268</v>
      </c>
      <c r="Q29" s="461">
        <f t="shared" si="20"/>
        <v>0.93206647843831181</v>
      </c>
      <c r="R29" s="461">
        <f t="shared" si="20"/>
        <v>0.96035870698298142</v>
      </c>
      <c r="S29" s="461">
        <f t="shared" si="20"/>
        <v>1.0258915982541112</v>
      </c>
      <c r="T29" s="461">
        <f t="shared" si="20"/>
        <v>0.99007376398557934</v>
      </c>
      <c r="U29" s="461">
        <f t="shared" si="20"/>
        <v>0.99767832361709996</v>
      </c>
      <c r="V29" s="461">
        <f t="shared" si="20"/>
        <v>0.74086778521521202</v>
      </c>
      <c r="W29" s="461">
        <f t="shared" si="20"/>
        <v>1.1672363168566831</v>
      </c>
      <c r="X29" s="461">
        <f t="shared" si="20"/>
        <v>0.99428416592518976</v>
      </c>
      <c r="Y29" s="461">
        <f t="shared" si="20"/>
        <v>0.99758905541733089</v>
      </c>
      <c r="Z29" s="461">
        <f t="shared" si="20"/>
        <v>1.0100938994527044</v>
      </c>
      <c r="AA29" s="461">
        <f t="shared" si="20"/>
        <v>1.0003532823854522</v>
      </c>
      <c r="AB29" s="461">
        <f t="shared" si="20"/>
        <v>1.0124475038249914</v>
      </c>
      <c r="AC29" s="461">
        <f t="shared" si="20"/>
        <v>1.0123050002743403</v>
      </c>
      <c r="AD29" s="461">
        <f t="shared" si="20"/>
        <v>0.99080018363113664</v>
      </c>
      <c r="AE29" s="461">
        <f t="shared" si="20"/>
        <v>1.0198753263597751</v>
      </c>
      <c r="AF29" s="461">
        <f t="shared" si="20"/>
        <v>1.0301300924108665</v>
      </c>
      <c r="AG29" s="461">
        <f t="shared" si="20"/>
        <v>1.0769873515707693</v>
      </c>
      <c r="AH29" s="461">
        <f t="shared" si="20"/>
        <v>1.0036342226673862</v>
      </c>
      <c r="AI29" s="461">
        <f t="shared" si="20"/>
        <v>1.0239417430370414</v>
      </c>
      <c r="AJ29" s="1447">
        <v>1.0049999999999999</v>
      </c>
      <c r="AK29" s="1447">
        <v>1.0049999999999999</v>
      </c>
      <c r="AL29" s="1024">
        <v>1.006</v>
      </c>
      <c r="AM29" s="1221">
        <v>1.006</v>
      </c>
      <c r="AO29" s="260"/>
      <c r="AP29" s="261"/>
      <c r="AQ29" s="261"/>
      <c r="AR29" s="262"/>
    </row>
    <row r="30" spans="1:50" x14ac:dyDescent="0.2">
      <c r="B30" s="461"/>
      <c r="C30" s="462"/>
      <c r="D30" s="461"/>
      <c r="E30" s="461"/>
      <c r="F30" s="461"/>
      <c r="G30" s="461"/>
      <c r="H30" s="461"/>
      <c r="I30" s="461"/>
      <c r="J30" s="461"/>
      <c r="K30" s="461"/>
      <c r="L30" s="461"/>
      <c r="M30" s="461"/>
      <c r="N30" s="461"/>
      <c r="O30" s="461"/>
      <c r="P30" s="461"/>
      <c r="Q30" s="461"/>
      <c r="R30" s="461"/>
      <c r="S30" s="461"/>
      <c r="T30" s="461"/>
      <c r="U30" s="461"/>
      <c r="V30" s="461"/>
      <c r="W30" s="461"/>
      <c r="X30" s="461"/>
      <c r="Y30" s="461"/>
      <c r="Z30" s="461"/>
      <c r="AA30" s="461"/>
      <c r="AB30" s="461"/>
      <c r="AC30" s="461"/>
      <c r="AD30" s="461"/>
      <c r="AE30" s="461"/>
      <c r="AF30" s="461"/>
      <c r="AG30" s="461"/>
      <c r="AH30" s="461"/>
      <c r="AI30" s="461"/>
      <c r="AJ30" s="461"/>
      <c r="AK30" s="461"/>
      <c r="AL30" s="461"/>
      <c r="AM30" s="1222"/>
      <c r="AO30" s="260"/>
      <c r="AP30" s="261"/>
      <c r="AQ30" s="261"/>
      <c r="AR30" s="262"/>
    </row>
    <row r="31" spans="1:50" x14ac:dyDescent="0.2">
      <c r="A31" s="185" t="s">
        <v>519</v>
      </c>
      <c r="B31" s="461"/>
      <c r="C31" s="461"/>
      <c r="D31" s="461"/>
      <c r="E31" s="461"/>
      <c r="F31" s="461"/>
      <c r="G31" s="461"/>
      <c r="H31" s="461"/>
      <c r="I31" s="461"/>
      <c r="J31" s="461"/>
      <c r="K31" s="461"/>
      <c r="L31" s="461"/>
      <c r="M31" s="461"/>
      <c r="N31" s="461"/>
      <c r="O31" s="461">
        <f>(O12-O27)/O46</f>
        <v>-0.23643195261997457</v>
      </c>
      <c r="P31" s="461">
        <f>(P12-P27)/P46</f>
        <v>-0.32465118457548758</v>
      </c>
      <c r="Q31" s="461">
        <f>(Q12-Q27)/Q46</f>
        <v>2.733717769521498</v>
      </c>
      <c r="R31" s="461">
        <f>(R12-R27)/R46</f>
        <v>0.13724538889536511</v>
      </c>
      <c r="S31" s="461">
        <f>(S12-S27)/S46</f>
        <v>27.525289832118023</v>
      </c>
      <c r="T31" s="463" t="s">
        <v>86</v>
      </c>
      <c r="U31" s="461">
        <f t="shared" ref="U31:AM31" si="21">(U12-U27)/U46</f>
        <v>1.9949584739164694</v>
      </c>
      <c r="V31" s="461">
        <f t="shared" si="21"/>
        <v>0.91227774208040069</v>
      </c>
      <c r="W31" s="461">
        <f t="shared" si="21"/>
        <v>0.53108543546836973</v>
      </c>
      <c r="X31" s="461">
        <f t="shared" si="21"/>
        <v>1.0108477253775716</v>
      </c>
      <c r="Y31" s="461">
        <f t="shared" si="21"/>
        <v>1.2141224041944161</v>
      </c>
      <c r="Z31" s="461">
        <f t="shared" si="21"/>
        <v>-7.1324193494146035</v>
      </c>
      <c r="AA31" s="461">
        <f t="shared" si="21"/>
        <v>1.3255548888789852</v>
      </c>
      <c r="AB31" s="461">
        <f t="shared" si="21"/>
        <v>-0.45116118429253044</v>
      </c>
      <c r="AC31" s="461">
        <f t="shared" si="21"/>
        <v>-0.63042655151786398</v>
      </c>
      <c r="AD31" s="461">
        <f t="shared" si="21"/>
        <v>1.4465446836117657</v>
      </c>
      <c r="AE31" s="461">
        <f t="shared" si="21"/>
        <v>7.2785473500387166E-2</v>
      </c>
      <c r="AF31" s="461">
        <f t="shared" si="21"/>
        <v>0.21778670667460931</v>
      </c>
      <c r="AG31" s="461">
        <f t="shared" si="21"/>
        <v>0.13613126634017705</v>
      </c>
      <c r="AH31" s="461">
        <f t="shared" si="21"/>
        <v>0.28364424860815501</v>
      </c>
      <c r="AI31" s="461">
        <f t="shared" si="21"/>
        <v>0.6068525245423334</v>
      </c>
      <c r="AJ31" s="461">
        <f t="shared" si="21"/>
        <v>0.33264161225928901</v>
      </c>
      <c r="AK31" s="461">
        <f t="shared" si="21"/>
        <v>0.66085576787904843</v>
      </c>
      <c r="AL31" s="461">
        <f t="shared" si="21"/>
        <v>0.60104048993244952</v>
      </c>
      <c r="AM31" s="1222">
        <f t="shared" si="21"/>
        <v>0.60707506380183518</v>
      </c>
      <c r="AO31" s="260"/>
      <c r="AP31" s="261"/>
      <c r="AQ31" s="261"/>
      <c r="AR31" s="262"/>
      <c r="AX31" s="290"/>
    </row>
    <row r="32" spans="1:50" x14ac:dyDescent="0.2">
      <c r="A32" s="464"/>
      <c r="B32" s="464"/>
      <c r="C32" s="464"/>
      <c r="D32" s="464"/>
      <c r="E32" s="464"/>
      <c r="F32" s="464"/>
      <c r="G32" s="464"/>
      <c r="H32" s="464"/>
      <c r="I32" s="464"/>
      <c r="J32" s="464"/>
      <c r="K32" s="464"/>
      <c r="L32" s="464"/>
      <c r="M32" s="464"/>
      <c r="N32" s="464"/>
      <c r="O32" s="464"/>
      <c r="P32" s="464"/>
      <c r="Q32" s="464"/>
      <c r="R32" s="464"/>
      <c r="S32" s="464"/>
      <c r="T32" s="464"/>
      <c r="U32" s="464"/>
      <c r="V32" s="464"/>
      <c r="W32" s="464"/>
      <c r="X32" s="464"/>
      <c r="Y32" s="464"/>
      <c r="Z32" s="464"/>
      <c r="AA32" s="464"/>
      <c r="AB32" s="464"/>
      <c r="AC32" s="464"/>
      <c r="AD32" s="464"/>
      <c r="AE32" s="464"/>
      <c r="AF32" s="464"/>
      <c r="AG32" s="464"/>
      <c r="AH32" s="464"/>
      <c r="AI32" s="464"/>
      <c r="AJ32" s="464"/>
      <c r="AK32" s="464"/>
      <c r="AL32" s="464"/>
      <c r="AM32" s="1223"/>
      <c r="AO32" s="260"/>
      <c r="AP32" s="261"/>
      <c r="AQ32" s="449"/>
      <c r="AR32" s="262"/>
      <c r="AU32" s="290">
        <f>0.012*AG11</f>
        <v>310.92</v>
      </c>
    </row>
    <row r="33" spans="1:49" ht="13.5" hidden="1" outlineLevel="1" thickBot="1" x14ac:dyDescent="0.25">
      <c r="A33" s="185" t="s">
        <v>253</v>
      </c>
      <c r="AB33" s="519">
        <f>332/AB11</f>
        <v>1.2573376254497254E-2</v>
      </c>
      <c r="AD33" s="984">
        <v>332.23200000000003</v>
      </c>
      <c r="AE33" s="282"/>
      <c r="AF33" s="290"/>
      <c r="AG33" s="290"/>
      <c r="AH33" s="288"/>
      <c r="AI33" s="984">
        <f>AG11*0.012</f>
        <v>310.92</v>
      </c>
      <c r="AJ33" s="466"/>
      <c r="AO33" s="260"/>
      <c r="AP33" s="261"/>
      <c r="AQ33" s="261"/>
      <c r="AR33" s="262"/>
    </row>
    <row r="34" spans="1:49" hidden="1" outlineLevel="1" x14ac:dyDescent="0.2">
      <c r="A34" s="281"/>
      <c r="B34" s="281"/>
      <c r="C34" s="281"/>
      <c r="D34" s="281"/>
      <c r="E34" s="281"/>
      <c r="F34" s="281"/>
      <c r="G34" s="281"/>
      <c r="H34" s="281"/>
      <c r="I34" s="281"/>
      <c r="J34" s="281"/>
      <c r="K34" s="281"/>
      <c r="L34" s="281"/>
      <c r="M34" s="281"/>
      <c r="N34" s="281"/>
      <c r="O34" s="281"/>
      <c r="P34" s="281"/>
      <c r="Q34" s="281"/>
      <c r="R34" s="281"/>
      <c r="S34" s="281"/>
      <c r="T34" s="281"/>
      <c r="U34" s="281"/>
      <c r="V34" s="281"/>
      <c r="W34" s="281"/>
      <c r="X34" s="281"/>
      <c r="Y34" s="281"/>
      <c r="Z34" s="281"/>
      <c r="AA34" s="281"/>
      <c r="AB34" s="281"/>
      <c r="AC34" s="281"/>
      <c r="AO34" s="260"/>
      <c r="AP34" s="261"/>
      <c r="AQ34" s="261"/>
      <c r="AR34" s="262"/>
      <c r="AU34" s="543">
        <f>AH11-250</f>
        <v>24695</v>
      </c>
      <c r="AV34" s="290">
        <f>AU34*-0.01</f>
        <v>-246.95000000000002</v>
      </c>
    </row>
    <row r="35" spans="1:49" collapsed="1" x14ac:dyDescent="0.2">
      <c r="A35" s="185" t="s">
        <v>31</v>
      </c>
      <c r="B35" s="465">
        <f>'yrP&amp;L'!B22</f>
        <v>249.44800000000009</v>
      </c>
      <c r="C35" s="465">
        <f>'yrP&amp;L'!C22</f>
        <v>135.17300000000023</v>
      </c>
      <c r="D35" s="465">
        <f>'yrP&amp;L'!D22</f>
        <v>266.97200000000021</v>
      </c>
      <c r="E35" s="465">
        <f>'yrP&amp;L'!E22</f>
        <v>300.90299999999979</v>
      </c>
      <c r="F35" s="465">
        <f>'yrP&amp;L'!F22</f>
        <v>438.43400000000065</v>
      </c>
      <c r="G35" s="465">
        <f>'yrP&amp;L'!G22</f>
        <v>510.64299999999912</v>
      </c>
      <c r="H35" s="465">
        <f>'yrP&amp;L'!H22</f>
        <v>641.1039999999989</v>
      </c>
      <c r="I35" s="465">
        <f>'yrP&amp;L'!I22</f>
        <v>682.80099999999948</v>
      </c>
      <c r="J35" s="465">
        <f>'yrP&amp;L'!J22</f>
        <v>994.65099999999893</v>
      </c>
      <c r="K35" s="465"/>
      <c r="L35" s="465">
        <f>'yrP&amp;L'!L22</f>
        <v>663</v>
      </c>
      <c r="M35" s="465">
        <f>'yrP&amp;L'!M22</f>
        <v>893</v>
      </c>
      <c r="N35" s="465">
        <f>'yrP&amp;L'!N22</f>
        <v>1341</v>
      </c>
      <c r="O35" s="465">
        <f>'yrP&amp;L'!O22</f>
        <v>1455</v>
      </c>
      <c r="P35" s="465">
        <f>'yrP&amp;L'!P22</f>
        <v>1693</v>
      </c>
      <c r="Q35" s="465">
        <f>'yrP&amp;L'!Q22</f>
        <v>1771</v>
      </c>
      <c r="R35" s="465">
        <f>'yrP&amp;L'!R22</f>
        <v>1376</v>
      </c>
      <c r="S35" s="465">
        <f>'yrP&amp;L'!S22</f>
        <v>1411</v>
      </c>
      <c r="T35" s="465">
        <f>'yrP&amp;L'!T22</f>
        <v>1400</v>
      </c>
      <c r="U35" s="465">
        <f>'yrP&amp;L'!U22</f>
        <v>1499</v>
      </c>
      <c r="V35" s="465">
        <f>'yrP&amp;L'!V22</f>
        <v>2138</v>
      </c>
      <c r="W35" s="465">
        <f>'yrP&amp;L'!W22</f>
        <v>2273</v>
      </c>
      <c r="X35" s="465">
        <f>'yrP&amp;L'!X22</f>
        <v>2082</v>
      </c>
      <c r="Y35" s="465">
        <f>'yrP&amp;L'!Y22</f>
        <v>1425</v>
      </c>
      <c r="Z35" s="465">
        <f>'yrP&amp;L'!Z22</f>
        <v>1454</v>
      </c>
      <c r="AA35" s="465">
        <f>'yrP&amp;L'!AA22</f>
        <v>1919</v>
      </c>
      <c r="AB35" s="465">
        <f>'yrP&amp;L'!AB22</f>
        <v>2386</v>
      </c>
      <c r="AC35" s="465">
        <f>'yrP&amp;L'!AC22</f>
        <v>2666</v>
      </c>
      <c r="AD35" s="465">
        <f>'yrP&amp;L'!AD22</f>
        <v>2766</v>
      </c>
      <c r="AE35" s="465">
        <f>'yrP&amp;L'!AE22</f>
        <v>2887</v>
      </c>
      <c r="AF35" s="465">
        <f>'yrP&amp;L'!AF22</f>
        <v>2327</v>
      </c>
      <c r="AG35" s="465">
        <f>'yrP&amp;L'!AG22</f>
        <v>1850.75</v>
      </c>
      <c r="AH35" s="465">
        <f>'yrP&amp;L'!AH22</f>
        <v>2056</v>
      </c>
      <c r="AI35" s="465">
        <f>'yrP&amp;L'!AI22</f>
        <v>1633.7310522000007</v>
      </c>
      <c r="AJ35" s="465">
        <f>'yrP&amp;L'!AJ22</f>
        <v>1284.3126534677194</v>
      </c>
      <c r="AK35" s="465">
        <f>'yrP&amp;L'!AK22</f>
        <v>954.85481748229722</v>
      </c>
      <c r="AL35" s="465">
        <f>'yrP&amp;L'!AL22</f>
        <v>681.99365821153151</v>
      </c>
      <c r="AM35" s="1224">
        <f>'yrP&amp;L'!AM22</f>
        <v>426.95472477024123</v>
      </c>
      <c r="AN35" s="465"/>
      <c r="AO35" s="448">
        <f>RATE(5,,-AB35,AG35)*100</f>
        <v>-4.9536455930565282</v>
      </c>
      <c r="AP35" s="261" t="s">
        <v>93</v>
      </c>
      <c r="AQ35" s="449">
        <f>RATE(6,,-AG35,AM35)*100</f>
        <v>-21.686071367110284</v>
      </c>
      <c r="AR35" s="262" t="s">
        <v>93</v>
      </c>
    </row>
    <row r="36" spans="1:49" x14ac:dyDescent="0.2">
      <c r="A36" s="450" t="s">
        <v>38</v>
      </c>
      <c r="B36" s="466">
        <f t="shared" ref="B36:J36" si="22">B35/B11</f>
        <v>3.2919190887440948E-2</v>
      </c>
      <c r="C36" s="466">
        <f t="shared" si="22"/>
        <v>1.8926536229503799E-2</v>
      </c>
      <c r="D36" s="466">
        <f t="shared" si="22"/>
        <v>3.8511188817947489E-2</v>
      </c>
      <c r="E36" s="466">
        <f t="shared" si="22"/>
        <v>4.3405796296566067E-2</v>
      </c>
      <c r="F36" s="466">
        <f t="shared" si="22"/>
        <v>6.192622226654157E-2</v>
      </c>
      <c r="G36" s="466">
        <f t="shared" si="22"/>
        <v>7.0634157218449081E-2</v>
      </c>
      <c r="H36" s="466">
        <f t="shared" si="22"/>
        <v>8.3179489215472066E-2</v>
      </c>
      <c r="I36" s="466">
        <f t="shared" si="22"/>
        <v>4.9834032770134616E-2</v>
      </c>
      <c r="J36" s="466">
        <f t="shared" si="22"/>
        <v>7.1056478359746725E-2</v>
      </c>
      <c r="K36" s="466"/>
      <c r="L36" s="466">
        <f t="shared" ref="L36:AM36" si="23">L35/L11</f>
        <v>4.5367455864239771E-2</v>
      </c>
      <c r="M36" s="466">
        <f t="shared" si="23"/>
        <v>6.0203600080900692E-2</v>
      </c>
      <c r="N36" s="466">
        <f t="shared" si="23"/>
        <v>8.8107752956636004E-2</v>
      </c>
      <c r="O36" s="466">
        <f t="shared" si="23"/>
        <v>9.4695737064757562E-2</v>
      </c>
      <c r="P36" s="466">
        <f t="shared" si="23"/>
        <v>0.10562106182544138</v>
      </c>
      <c r="Q36" s="466">
        <f t="shared" si="23"/>
        <v>0.10644308210121409</v>
      </c>
      <c r="R36" s="466">
        <f t="shared" si="23"/>
        <v>8.7171365220145708E-2</v>
      </c>
      <c r="S36" s="466">
        <f t="shared" si="23"/>
        <v>9.0617172949714206E-2</v>
      </c>
      <c r="T36" s="466">
        <f t="shared" si="23"/>
        <v>9.0838307812094468E-2</v>
      </c>
      <c r="U36" s="466">
        <f t="shared" si="23"/>
        <v>9.5017748478701827E-2</v>
      </c>
      <c r="V36" s="466">
        <f t="shared" si="23"/>
        <v>9.5489057615006701E-2</v>
      </c>
      <c r="W36" s="466">
        <f t="shared" si="23"/>
        <v>8.4278828327771602E-2</v>
      </c>
      <c r="X36" s="466">
        <f t="shared" si="23"/>
        <v>7.9124387185041611E-2</v>
      </c>
      <c r="Y36" s="466">
        <f t="shared" si="23"/>
        <v>5.7247308372167766E-2</v>
      </c>
      <c r="Z36" s="466">
        <f t="shared" si="23"/>
        <v>6.0849550115086838E-2</v>
      </c>
      <c r="AA36" s="466">
        <f t="shared" si="23"/>
        <v>7.6750789905211378E-2</v>
      </c>
      <c r="AB36" s="466">
        <f t="shared" si="23"/>
        <v>9.0361673925392919E-2</v>
      </c>
      <c r="AC36" s="466">
        <f t="shared" si="23"/>
        <v>9.6294155891064076E-2</v>
      </c>
      <c r="AD36" s="466">
        <f t="shared" si="23"/>
        <v>9.9029751888582582E-2</v>
      </c>
      <c r="AE36" s="466">
        <f t="shared" si="23"/>
        <v>0.10272193559864792</v>
      </c>
      <c r="AF36" s="466">
        <f t="shared" si="23"/>
        <v>8.5933749399903989E-2</v>
      </c>
      <c r="AG36" s="466">
        <f t="shared" si="23"/>
        <v>7.1429949826321879E-2</v>
      </c>
      <c r="AH36" s="466">
        <f t="shared" si="23"/>
        <v>8.2421326919222285E-2</v>
      </c>
      <c r="AI36" s="466">
        <f t="shared" si="23"/>
        <v>6.6532829183414979E-2</v>
      </c>
      <c r="AJ36" s="466">
        <f t="shared" si="23"/>
        <v>5.3891508859669805E-2</v>
      </c>
      <c r="AK36" s="466">
        <f t="shared" si="23"/>
        <v>4.1292996890280272E-2</v>
      </c>
      <c r="AL36" s="466">
        <f t="shared" si="23"/>
        <v>3.0372122625957457E-2</v>
      </c>
      <c r="AM36" s="1225">
        <f t="shared" si="23"/>
        <v>1.9585451445903661E-2</v>
      </c>
      <c r="AO36" s="278"/>
      <c r="AP36" s="284"/>
      <c r="AQ36" s="284"/>
      <c r="AR36" s="467"/>
    </row>
    <row r="37" spans="1:49" x14ac:dyDescent="0.2">
      <c r="A37" s="450"/>
      <c r="B37" s="466"/>
      <c r="C37" s="466"/>
      <c r="D37" s="466"/>
      <c r="E37" s="466"/>
      <c r="F37" s="466"/>
      <c r="G37" s="466"/>
      <c r="H37" s="466"/>
      <c r="I37" s="466"/>
      <c r="J37" s="466"/>
      <c r="K37" s="466"/>
      <c r="L37" s="466"/>
      <c r="M37" s="466"/>
      <c r="N37" s="466"/>
      <c r="O37" s="466"/>
      <c r="P37" s="466"/>
      <c r="Q37" s="466"/>
      <c r="R37" s="466"/>
      <c r="S37" s="466"/>
      <c r="T37" s="466"/>
      <c r="U37" s="466"/>
      <c r="V37" s="466"/>
      <c r="W37" s="466"/>
      <c r="X37" s="466"/>
      <c r="Y37" s="466"/>
      <c r="Z37" s="466"/>
      <c r="AA37" s="466"/>
      <c r="AB37" s="466"/>
      <c r="AC37" s="466"/>
      <c r="AD37" s="466"/>
      <c r="AE37" s="466"/>
      <c r="AF37" s="466"/>
      <c r="AG37" s="466"/>
      <c r="AH37" s="466"/>
      <c r="AI37" s="466"/>
      <c r="AJ37" s="466"/>
      <c r="AK37" s="466"/>
      <c r="AL37" s="466"/>
      <c r="AM37" s="1225"/>
      <c r="AO37" s="261"/>
      <c r="AP37" s="261"/>
      <c r="AQ37" s="261"/>
      <c r="AR37" s="261"/>
      <c r="AW37" s="185">
        <f>24.625+0.2</f>
        <v>24.824999999999999</v>
      </c>
    </row>
    <row r="38" spans="1:49" x14ac:dyDescent="0.2">
      <c r="A38" s="329" t="s">
        <v>332</v>
      </c>
      <c r="B38" s="329"/>
      <c r="C38" s="329"/>
      <c r="D38" s="329"/>
      <c r="E38" s="329"/>
      <c r="F38" s="329"/>
      <c r="G38" s="329"/>
      <c r="H38" s="329"/>
      <c r="I38" s="329"/>
      <c r="J38" s="329"/>
      <c r="K38" s="329"/>
      <c r="L38" s="329"/>
      <c r="M38" s="329"/>
      <c r="N38" s="329"/>
      <c r="O38" s="329"/>
      <c r="P38" s="329"/>
      <c r="Q38" s="329"/>
      <c r="R38" s="329"/>
      <c r="S38" s="329"/>
      <c r="T38" s="329"/>
      <c r="U38" s="329"/>
      <c r="V38" s="329"/>
      <c r="W38" s="329"/>
      <c r="X38" s="329"/>
      <c r="Y38" s="329"/>
      <c r="Z38" s="329"/>
      <c r="AA38" s="329"/>
      <c r="AB38" s="329"/>
      <c r="AC38" s="329"/>
      <c r="AD38" s="329"/>
      <c r="AE38" s="329"/>
      <c r="AF38" s="329"/>
      <c r="AG38" s="329"/>
      <c r="AH38" s="329"/>
      <c r="AI38" s="329"/>
      <c r="AJ38" s="329"/>
      <c r="AK38" s="329"/>
      <c r="AL38" s="329"/>
      <c r="AM38" s="1226"/>
      <c r="AN38" s="329"/>
      <c r="AO38" s="329"/>
      <c r="AP38" s="329"/>
      <c r="AQ38" s="329"/>
      <c r="AR38" s="329"/>
    </row>
    <row r="39" spans="1:49" x14ac:dyDescent="0.2">
      <c r="A39" s="185" t="s">
        <v>27</v>
      </c>
      <c r="B39" s="385"/>
      <c r="C39" s="385"/>
      <c r="D39" s="385"/>
      <c r="E39" s="385"/>
      <c r="F39" s="385"/>
      <c r="G39" s="385"/>
      <c r="I39" s="385"/>
      <c r="J39" s="385"/>
      <c r="K39" s="385"/>
      <c r="L39" s="468">
        <v>355</v>
      </c>
      <c r="M39" s="385">
        <f t="shared" ref="M39:AB39" si="24">L41</f>
        <v>412</v>
      </c>
      <c r="N39" s="385">
        <f t="shared" si="24"/>
        <v>411</v>
      </c>
      <c r="O39" s="385">
        <f t="shared" si="24"/>
        <v>400</v>
      </c>
      <c r="P39" s="385">
        <f t="shared" si="24"/>
        <v>401</v>
      </c>
      <c r="Q39" s="385">
        <f t="shared" si="24"/>
        <v>403</v>
      </c>
      <c r="R39" s="385">
        <f t="shared" si="24"/>
        <v>440</v>
      </c>
      <c r="S39" s="385">
        <f t="shared" si="24"/>
        <v>459</v>
      </c>
      <c r="T39" s="385">
        <f t="shared" si="24"/>
        <v>455</v>
      </c>
      <c r="U39" s="385">
        <f t="shared" si="24"/>
        <v>459</v>
      </c>
      <c r="V39" s="385">
        <f t="shared" si="24"/>
        <v>459</v>
      </c>
      <c r="W39" s="385">
        <f t="shared" si="24"/>
        <v>868</v>
      </c>
      <c r="X39" s="385">
        <f t="shared" si="24"/>
        <v>858</v>
      </c>
      <c r="Y39" s="385">
        <f t="shared" si="24"/>
        <v>853</v>
      </c>
      <c r="Z39" s="385">
        <f t="shared" si="24"/>
        <v>847</v>
      </c>
      <c r="AA39" s="385">
        <f t="shared" si="24"/>
        <v>850</v>
      </c>
      <c r="AB39" s="385">
        <f t="shared" si="24"/>
        <v>850</v>
      </c>
      <c r="AC39" s="385">
        <f t="shared" ref="AC39:AJ39" si="25">AB41</f>
        <v>842</v>
      </c>
      <c r="AD39" s="385">
        <f t="shared" si="25"/>
        <v>841</v>
      </c>
      <c r="AE39" s="385">
        <f t="shared" si="25"/>
        <v>840</v>
      </c>
      <c r="AF39" s="385">
        <f t="shared" si="25"/>
        <v>823</v>
      </c>
      <c r="AG39" s="385">
        <f>AF41</f>
        <v>794</v>
      </c>
      <c r="AH39" s="385">
        <f t="shared" si="25"/>
        <v>731</v>
      </c>
      <c r="AI39" s="385">
        <f t="shared" si="25"/>
        <v>717</v>
      </c>
      <c r="AJ39" s="385">
        <f t="shared" si="25"/>
        <v>687</v>
      </c>
      <c r="AK39" s="385">
        <f>AJ41</f>
        <v>677</v>
      </c>
      <c r="AL39" s="385">
        <f>AK41</f>
        <v>667</v>
      </c>
      <c r="AM39" s="1092">
        <f>AL41</f>
        <v>657</v>
      </c>
    </row>
    <row r="40" spans="1:49" x14ac:dyDescent="0.2">
      <c r="A40" s="469" t="s">
        <v>251</v>
      </c>
      <c r="B40" s="470"/>
      <c r="C40" s="470"/>
      <c r="D40" s="470"/>
      <c r="E40" s="470"/>
      <c r="F40" s="470"/>
      <c r="G40" s="470"/>
      <c r="H40" s="470"/>
      <c r="I40" s="385"/>
      <c r="J40" s="385"/>
      <c r="K40" s="385"/>
      <c r="L40" s="385">
        <f t="shared" ref="L40:AI40" si="26">L41-L39</f>
        <v>57</v>
      </c>
      <c r="M40" s="385">
        <f t="shared" si="26"/>
        <v>-1</v>
      </c>
      <c r="N40" s="385">
        <f t="shared" si="26"/>
        <v>-11</v>
      </c>
      <c r="O40" s="385">
        <f t="shared" si="26"/>
        <v>1</v>
      </c>
      <c r="P40" s="385">
        <f t="shared" si="26"/>
        <v>2</v>
      </c>
      <c r="Q40" s="385">
        <f t="shared" si="26"/>
        <v>37</v>
      </c>
      <c r="R40" s="385">
        <f t="shared" si="26"/>
        <v>19</v>
      </c>
      <c r="S40" s="385">
        <f t="shared" si="26"/>
        <v>-4</v>
      </c>
      <c r="T40" s="385">
        <f t="shared" si="26"/>
        <v>4</v>
      </c>
      <c r="U40" s="385">
        <f t="shared" si="26"/>
        <v>0</v>
      </c>
      <c r="V40" s="385">
        <f t="shared" si="26"/>
        <v>409</v>
      </c>
      <c r="W40" s="385">
        <f t="shared" si="26"/>
        <v>-10</v>
      </c>
      <c r="X40" s="385">
        <f t="shared" si="26"/>
        <v>-5</v>
      </c>
      <c r="Y40" s="385">
        <f t="shared" si="26"/>
        <v>-6</v>
      </c>
      <c r="Z40" s="385">
        <f t="shared" si="26"/>
        <v>3</v>
      </c>
      <c r="AA40" s="385">
        <f t="shared" si="26"/>
        <v>0</v>
      </c>
      <c r="AB40" s="385">
        <f t="shared" si="26"/>
        <v>-8</v>
      </c>
      <c r="AC40" s="385">
        <f t="shared" si="26"/>
        <v>-1</v>
      </c>
      <c r="AD40" s="385">
        <f t="shared" si="26"/>
        <v>-1</v>
      </c>
      <c r="AE40" s="385">
        <f t="shared" si="26"/>
        <v>-17</v>
      </c>
      <c r="AF40" s="385">
        <f t="shared" si="26"/>
        <v>-29</v>
      </c>
      <c r="AG40" s="385">
        <f t="shared" si="26"/>
        <v>-63</v>
      </c>
      <c r="AH40" s="385">
        <f t="shared" si="26"/>
        <v>-14</v>
      </c>
      <c r="AI40" s="385">
        <f t="shared" si="26"/>
        <v>-30</v>
      </c>
      <c r="AJ40" s="1448">
        <v>-10</v>
      </c>
      <c r="AK40" s="1448">
        <v>-10</v>
      </c>
      <c r="AL40" s="1025">
        <v>-10</v>
      </c>
      <c r="AM40" s="1391">
        <v>-10</v>
      </c>
    </row>
    <row r="41" spans="1:49" x14ac:dyDescent="0.2">
      <c r="A41" s="185" t="s">
        <v>28</v>
      </c>
      <c r="B41" s="385"/>
      <c r="C41" s="385"/>
      <c r="D41" s="385"/>
      <c r="E41" s="385"/>
      <c r="F41" s="385"/>
      <c r="G41" s="385"/>
      <c r="H41" s="470"/>
      <c r="I41" s="470"/>
      <c r="J41" s="470"/>
      <c r="K41" s="470"/>
      <c r="L41" s="468">
        <v>412</v>
      </c>
      <c r="M41" s="468">
        <v>411</v>
      </c>
      <c r="N41" s="468">
        <v>400</v>
      </c>
      <c r="O41" s="468">
        <v>401</v>
      </c>
      <c r="P41" s="468">
        <v>403</v>
      </c>
      <c r="Q41" s="468">
        <v>440</v>
      </c>
      <c r="R41" s="468">
        <v>459</v>
      </c>
      <c r="S41" s="468">
        <v>455</v>
      </c>
      <c r="T41" s="468">
        <v>459</v>
      </c>
      <c r="U41" s="468">
        <v>459</v>
      </c>
      <c r="V41" s="468">
        <v>868</v>
      </c>
      <c r="W41" s="468">
        <v>858</v>
      </c>
      <c r="X41" s="468">
        <v>853</v>
      </c>
      <c r="Y41" s="468">
        <v>847</v>
      </c>
      <c r="Z41" s="468">
        <v>850</v>
      </c>
      <c r="AA41" s="468">
        <v>850</v>
      </c>
      <c r="AB41" s="468">
        <v>842</v>
      </c>
      <c r="AC41" s="385">
        <f>stores!C162</f>
        <v>841</v>
      </c>
      <c r="AD41" s="385">
        <f>stores!$C$168</f>
        <v>840</v>
      </c>
      <c r="AE41" s="385">
        <f>stores!C174</f>
        <v>823</v>
      </c>
      <c r="AF41" s="385">
        <f>stores!C180</f>
        <v>794</v>
      </c>
      <c r="AG41" s="385">
        <f>stores!$C$186</f>
        <v>731</v>
      </c>
      <c r="AH41" s="385">
        <f>stores!$C$192</f>
        <v>717</v>
      </c>
      <c r="AI41" s="505">
        <f>stores!C198</f>
        <v>687</v>
      </c>
      <c r="AJ41" s="505">
        <f>AJ40+AJ39</f>
        <v>677</v>
      </c>
      <c r="AK41" s="505">
        <f>AK40+AK39</f>
        <v>667</v>
      </c>
      <c r="AL41" s="505">
        <f>AL40+AL39</f>
        <v>657</v>
      </c>
      <c r="AM41" s="1227">
        <f>AM40+AM39</f>
        <v>647</v>
      </c>
    </row>
    <row r="42" spans="1:49" x14ac:dyDescent="0.2">
      <c r="A42" s="185" t="s">
        <v>29</v>
      </c>
      <c r="B42" s="385"/>
      <c r="C42" s="385"/>
      <c r="D42" s="385"/>
      <c r="E42" s="385"/>
      <c r="F42" s="385"/>
      <c r="G42" s="385"/>
      <c r="H42" s="385"/>
      <c r="I42" s="385"/>
      <c r="J42" s="385"/>
      <c r="K42" s="385"/>
      <c r="L42" s="385">
        <f t="shared" ref="L42:AC42" si="27">AVERAGE(L39,L41)</f>
        <v>383.5</v>
      </c>
      <c r="M42" s="385">
        <f t="shared" si="27"/>
        <v>411.5</v>
      </c>
      <c r="N42" s="385">
        <f t="shared" si="27"/>
        <v>405.5</v>
      </c>
      <c r="O42" s="385">
        <f t="shared" si="27"/>
        <v>400.5</v>
      </c>
      <c r="P42" s="385">
        <f t="shared" si="27"/>
        <v>402</v>
      </c>
      <c r="Q42" s="385">
        <f t="shared" si="27"/>
        <v>421.5</v>
      </c>
      <c r="R42" s="385">
        <f t="shared" si="27"/>
        <v>449.5</v>
      </c>
      <c r="S42" s="385">
        <f t="shared" si="27"/>
        <v>457</v>
      </c>
      <c r="T42" s="385">
        <f t="shared" si="27"/>
        <v>457</v>
      </c>
      <c r="U42" s="385">
        <f t="shared" si="27"/>
        <v>459</v>
      </c>
      <c r="V42" s="385">
        <f t="shared" si="27"/>
        <v>663.5</v>
      </c>
      <c r="W42" s="385">
        <f t="shared" si="27"/>
        <v>863</v>
      </c>
      <c r="X42" s="385">
        <f t="shared" si="27"/>
        <v>855.5</v>
      </c>
      <c r="Y42" s="385">
        <f t="shared" si="27"/>
        <v>850</v>
      </c>
      <c r="Z42" s="385">
        <f t="shared" si="27"/>
        <v>848.5</v>
      </c>
      <c r="AA42" s="385">
        <f t="shared" si="27"/>
        <v>850</v>
      </c>
      <c r="AB42" s="385">
        <f t="shared" si="27"/>
        <v>846</v>
      </c>
      <c r="AC42" s="385">
        <f t="shared" si="27"/>
        <v>841.5</v>
      </c>
      <c r="AD42" s="385">
        <f t="shared" ref="AD42:AI42" si="28">AVERAGE(AD39,AD41)</f>
        <v>840.5</v>
      </c>
      <c r="AE42" s="385">
        <f t="shared" si="28"/>
        <v>831.5</v>
      </c>
      <c r="AF42" s="385">
        <f t="shared" si="28"/>
        <v>808.5</v>
      </c>
      <c r="AG42" s="385">
        <f t="shared" si="28"/>
        <v>762.5</v>
      </c>
      <c r="AH42" s="385">
        <f t="shared" si="28"/>
        <v>724</v>
      </c>
      <c r="AI42" s="385">
        <f t="shared" si="28"/>
        <v>702</v>
      </c>
      <c r="AJ42" s="385">
        <f>AVERAGE(AJ39,AJ41)</f>
        <v>682</v>
      </c>
      <c r="AK42" s="385">
        <f>AVERAGE(AK39,AK41)</f>
        <v>672</v>
      </c>
      <c r="AL42" s="385">
        <f>AVERAGE(AL39,AL41)</f>
        <v>662</v>
      </c>
      <c r="AM42" s="1092">
        <f>AVERAGE(AM39,AM41)</f>
        <v>652</v>
      </c>
    </row>
    <row r="43" spans="1:49" x14ac:dyDescent="0.2">
      <c r="A43" s="450" t="s">
        <v>25</v>
      </c>
      <c r="B43" s="451"/>
      <c r="C43" s="451"/>
      <c r="D43" s="451"/>
      <c r="E43" s="451"/>
      <c r="F43" s="451"/>
      <c r="G43" s="451"/>
      <c r="H43" s="451"/>
      <c r="I43" s="451"/>
      <c r="J43" s="451"/>
      <c r="K43" s="451"/>
      <c r="L43" s="451"/>
      <c r="M43" s="451">
        <f t="shared" ref="M43:AA43" si="29">M42/L42-1</f>
        <v>7.3011734028683106E-2</v>
      </c>
      <c r="N43" s="451">
        <f t="shared" si="29"/>
        <v>-1.4580801944106936E-2</v>
      </c>
      <c r="O43" s="451">
        <f t="shared" si="29"/>
        <v>-1.2330456226880449E-2</v>
      </c>
      <c r="P43" s="451">
        <f t="shared" si="29"/>
        <v>3.7453183520599342E-3</v>
      </c>
      <c r="Q43" s="451">
        <f t="shared" si="29"/>
        <v>4.8507462686567138E-2</v>
      </c>
      <c r="R43" s="451">
        <f t="shared" si="29"/>
        <v>6.6429418742586011E-2</v>
      </c>
      <c r="S43" s="451">
        <f t="shared" si="29"/>
        <v>1.6685205784204626E-2</v>
      </c>
      <c r="T43" s="451">
        <f t="shared" si="29"/>
        <v>0</v>
      </c>
      <c r="U43" s="451">
        <f t="shared" si="29"/>
        <v>4.3763676148795838E-3</v>
      </c>
      <c r="V43" s="451">
        <f t="shared" si="29"/>
        <v>0.44553376906318087</v>
      </c>
      <c r="W43" s="451">
        <f t="shared" si="29"/>
        <v>0.30067822155237378</v>
      </c>
      <c r="X43" s="451">
        <f t="shared" si="29"/>
        <v>-8.6906141367323331E-3</v>
      </c>
      <c r="Y43" s="451">
        <f t="shared" si="29"/>
        <v>-6.4289888953827923E-3</v>
      </c>
      <c r="Z43" s="451">
        <f t="shared" si="29"/>
        <v>-1.7647058823528905E-3</v>
      </c>
      <c r="AA43" s="451">
        <f t="shared" si="29"/>
        <v>1.767825574543247E-3</v>
      </c>
      <c r="AB43" s="451">
        <f t="shared" ref="AB43:AG43" si="30">AB42/AA42-1</f>
        <v>-4.7058823529412264E-3</v>
      </c>
      <c r="AC43" s="451">
        <f t="shared" si="30"/>
        <v>-5.3191489361702482E-3</v>
      </c>
      <c r="AD43" s="451">
        <f t="shared" si="30"/>
        <v>-1.1883541295305555E-3</v>
      </c>
      <c r="AE43" s="451">
        <f t="shared" si="30"/>
        <v>-1.0707911957168359E-2</v>
      </c>
      <c r="AF43" s="451">
        <f t="shared" si="30"/>
        <v>-2.7660853878532787E-2</v>
      </c>
      <c r="AG43" s="451">
        <f t="shared" si="30"/>
        <v>-5.6895485466914031E-2</v>
      </c>
      <c r="AH43" s="451">
        <f t="shared" ref="AH43:AM43" si="31">AH42/AG42-1</f>
        <v>-5.0491803278688518E-2</v>
      </c>
      <c r="AI43" s="451">
        <f t="shared" si="31"/>
        <v>-3.0386740331491691E-2</v>
      </c>
      <c r="AJ43" s="451">
        <f t="shared" si="31"/>
        <v>-2.8490028490028463E-2</v>
      </c>
      <c r="AK43" s="451">
        <f t="shared" si="31"/>
        <v>-1.4662756598240456E-2</v>
      </c>
      <c r="AL43" s="451">
        <f t="shared" si="31"/>
        <v>-1.4880952380952328E-2</v>
      </c>
      <c r="AM43" s="1215">
        <f t="shared" si="31"/>
        <v>-1.5105740181268867E-2</v>
      </c>
    </row>
    <row r="44" spans="1:49" ht="5.25" customHeight="1" x14ac:dyDescent="0.2">
      <c r="A44" s="450"/>
      <c r="B44" s="451"/>
      <c r="C44" s="451"/>
      <c r="D44" s="451"/>
      <c r="E44" s="451"/>
      <c r="F44" s="451"/>
      <c r="G44" s="451"/>
      <c r="H44" s="451"/>
      <c r="I44" s="451"/>
      <c r="J44" s="451"/>
      <c r="K44" s="451"/>
      <c r="L44" s="451"/>
      <c r="M44" s="451"/>
      <c r="N44" s="451"/>
      <c r="O44" s="451"/>
      <c r="P44" s="451"/>
      <c r="Q44" s="451"/>
      <c r="R44" s="451"/>
      <c r="S44" s="451"/>
      <c r="T44" s="451"/>
      <c r="U44" s="451"/>
      <c r="V44" s="451"/>
      <c r="W44" s="451"/>
      <c r="X44" s="451"/>
      <c r="Y44" s="451"/>
      <c r="Z44" s="451"/>
      <c r="AA44" s="451"/>
      <c r="AB44" s="451"/>
      <c r="AC44" s="451"/>
      <c r="AD44" s="451"/>
      <c r="AE44" s="451"/>
      <c r="AF44" s="451"/>
      <c r="AG44" s="451"/>
      <c r="AH44" s="451"/>
      <c r="AI44" s="451"/>
      <c r="AJ44" s="451"/>
      <c r="AK44" s="451"/>
      <c r="AL44" s="451"/>
      <c r="AM44" s="1215"/>
    </row>
    <row r="45" spans="1:49" x14ac:dyDescent="0.2">
      <c r="A45" s="455" t="s">
        <v>94</v>
      </c>
      <c r="B45" s="386"/>
      <c r="C45" s="386"/>
      <c r="D45" s="386"/>
      <c r="E45" s="386"/>
      <c r="F45" s="386"/>
      <c r="G45" s="386"/>
      <c r="H45" s="386"/>
      <c r="I45" s="386"/>
      <c r="J45" s="386"/>
      <c r="K45" s="386"/>
      <c r="L45" s="386"/>
      <c r="M45" s="386"/>
      <c r="N45" s="386">
        <f>(N47+I47)/2</f>
        <v>77575</v>
      </c>
      <c r="O45" s="386">
        <f t="shared" ref="O45:X45" si="32">(O47+N47)/2</f>
        <v>81667.5</v>
      </c>
      <c r="P45" s="386">
        <f t="shared" si="32"/>
        <v>82116.5</v>
      </c>
      <c r="Q45" s="386">
        <f t="shared" si="32"/>
        <v>82657</v>
      </c>
      <c r="R45" s="386">
        <f t="shared" si="32"/>
        <v>83700</v>
      </c>
      <c r="S45" s="386">
        <f t="shared" si="32"/>
        <v>83750</v>
      </c>
      <c r="T45" s="386">
        <f t="shared" si="32"/>
        <v>83750</v>
      </c>
      <c r="U45" s="386">
        <f t="shared" si="32"/>
        <v>83650</v>
      </c>
      <c r="V45" s="386">
        <f t="shared" si="32"/>
        <v>120900</v>
      </c>
      <c r="W45" s="386">
        <f t="shared" si="32"/>
        <v>157450</v>
      </c>
      <c r="X45" s="386">
        <f t="shared" si="32"/>
        <v>155680.5</v>
      </c>
      <c r="Y45" s="386">
        <f t="shared" ref="Y45:AJ45" si="33">(Y47+X47)/2</f>
        <v>154526</v>
      </c>
      <c r="Z45" s="386">
        <f t="shared" si="33"/>
        <v>154245.5</v>
      </c>
      <c r="AA45" s="386">
        <f t="shared" si="33"/>
        <v>154288.5</v>
      </c>
      <c r="AB45" s="386">
        <f t="shared" si="33"/>
        <v>153237.5</v>
      </c>
      <c r="AC45" s="386">
        <f t="shared" si="33"/>
        <v>151428.5</v>
      </c>
      <c r="AD45" s="386">
        <f t="shared" si="33"/>
        <v>150321</v>
      </c>
      <c r="AE45" s="386">
        <f t="shared" si="33"/>
        <v>148730</v>
      </c>
      <c r="AF45" s="386">
        <f t="shared" si="33"/>
        <v>144646</v>
      </c>
      <c r="AG45" s="386">
        <f t="shared" si="33"/>
        <v>135965</v>
      </c>
      <c r="AH45" s="386">
        <f t="shared" si="33"/>
        <v>128657.6343792633</v>
      </c>
      <c r="AI45" s="386">
        <f t="shared" si="33"/>
        <v>124637.0832196453</v>
      </c>
      <c r="AJ45" s="386">
        <f t="shared" si="33"/>
        <v>121086.16916780357</v>
      </c>
      <c r="AK45" s="386">
        <f>(AK47+AJ47)/2</f>
        <v>119310.71214188269</v>
      </c>
      <c r="AL45" s="386">
        <f>(AL47+AK47)/2</f>
        <v>117535.25511596183</v>
      </c>
      <c r="AM45" s="1105">
        <f>(AM47+AL47)/2</f>
        <v>115759.79809004095</v>
      </c>
    </row>
    <row r="46" spans="1:49" x14ac:dyDescent="0.2">
      <c r="A46" s="457" t="s">
        <v>24</v>
      </c>
      <c r="B46" s="451"/>
      <c r="C46" s="451"/>
      <c r="D46" s="451"/>
      <c r="E46" s="451"/>
      <c r="F46" s="451"/>
      <c r="G46" s="451"/>
      <c r="H46" s="451"/>
      <c r="I46" s="451"/>
      <c r="J46" s="451"/>
      <c r="K46" s="451"/>
      <c r="L46" s="451"/>
      <c r="M46" s="451"/>
      <c r="N46" s="451"/>
      <c r="O46" s="451">
        <f t="shared" ref="O46:AB46" si="34">O45/N45-1</f>
        <v>5.2755398001933518E-2</v>
      </c>
      <c r="P46" s="451">
        <f t="shared" si="34"/>
        <v>5.4979030826216579E-3</v>
      </c>
      <c r="Q46" s="451">
        <f t="shared" si="34"/>
        <v>6.5821119994153854E-3</v>
      </c>
      <c r="R46" s="451">
        <f t="shared" si="34"/>
        <v>1.2618411023869625E-2</v>
      </c>
      <c r="S46" s="451">
        <f t="shared" si="34"/>
        <v>5.9737156511352474E-4</v>
      </c>
      <c r="T46" s="451">
        <f t="shared" si="34"/>
        <v>0</v>
      </c>
      <c r="U46" s="451">
        <f t="shared" si="34"/>
        <v>-1.1940298507462366E-3</v>
      </c>
      <c r="V46" s="451">
        <f t="shared" si="34"/>
        <v>0.44530783024506881</v>
      </c>
      <c r="W46" s="451">
        <f t="shared" si="34"/>
        <v>0.30231596360628621</v>
      </c>
      <c r="X46" s="451">
        <f t="shared" si="34"/>
        <v>-1.1238488409018754E-2</v>
      </c>
      <c r="Y46" s="451">
        <f t="shared" si="34"/>
        <v>-7.4158292143203797E-3</v>
      </c>
      <c r="Z46" s="451">
        <f t="shared" si="34"/>
        <v>-1.8152285052354111E-3</v>
      </c>
      <c r="AA46" s="451">
        <f t="shared" si="34"/>
        <v>2.7877636624729085E-4</v>
      </c>
      <c r="AB46" s="451">
        <f t="shared" si="34"/>
        <v>-6.8119140441446069E-3</v>
      </c>
      <c r="AC46" s="451">
        <f>AC45/Z45-1</f>
        <v>-1.8263093574853118E-2</v>
      </c>
      <c r="AD46" s="451">
        <f t="shared" ref="AD46:AJ46" si="35">AD45/AC45-1</f>
        <v>-7.3136826951333278E-3</v>
      </c>
      <c r="AE46" s="451">
        <f t="shared" si="35"/>
        <v>-1.0584016870563651E-2</v>
      </c>
      <c r="AF46" s="451">
        <f t="shared" si="35"/>
        <v>-2.7459154171989519E-2</v>
      </c>
      <c r="AG46" s="451">
        <f t="shared" si="35"/>
        <v>-6.0015486083265346E-2</v>
      </c>
      <c r="AH46" s="451">
        <f t="shared" si="35"/>
        <v>-5.3744460859314502E-2</v>
      </c>
      <c r="AI46" s="451">
        <f t="shared" si="35"/>
        <v>-3.1250000662735866E-2</v>
      </c>
      <c r="AJ46" s="451">
        <f t="shared" si="35"/>
        <v>-2.8490028490028352E-2</v>
      </c>
      <c r="AK46" s="451">
        <f>AK45/AJ45-1</f>
        <v>-1.4662756598240567E-2</v>
      </c>
      <c r="AL46" s="451">
        <f>AL45/AK45-1</f>
        <v>-1.4880952380952217E-2</v>
      </c>
      <c r="AM46" s="1215">
        <f>AM45/AL45-1</f>
        <v>-1.5105740181268978E-2</v>
      </c>
    </row>
    <row r="47" spans="1:49" x14ac:dyDescent="0.2">
      <c r="A47" s="455" t="s">
        <v>34</v>
      </c>
      <c r="B47" s="472"/>
      <c r="C47" s="472"/>
      <c r="D47" s="472"/>
      <c r="E47" s="472"/>
      <c r="F47" s="472"/>
      <c r="G47" s="472"/>
      <c r="H47" s="472"/>
      <c r="I47" s="473">
        <v>74134</v>
      </c>
      <c r="K47" s="472"/>
      <c r="L47" s="473">
        <v>83503</v>
      </c>
      <c r="M47" s="473">
        <v>83019</v>
      </c>
      <c r="N47" s="473">
        <v>81016</v>
      </c>
      <c r="O47" s="473">
        <v>82319</v>
      </c>
      <c r="P47" s="473">
        <v>81914</v>
      </c>
      <c r="Q47" s="473">
        <v>83400</v>
      </c>
      <c r="R47" s="473">
        <v>84000</v>
      </c>
      <c r="S47" s="473">
        <v>83500</v>
      </c>
      <c r="T47" s="473">
        <v>84000</v>
      </c>
      <c r="U47" s="473">
        <v>83300</v>
      </c>
      <c r="V47" s="473">
        <v>158500</v>
      </c>
      <c r="W47" s="473">
        <v>156400</v>
      </c>
      <c r="X47" s="473">
        <v>154961</v>
      </c>
      <c r="Y47" s="473">
        <v>154091</v>
      </c>
      <c r="Z47" s="473">
        <v>154400</v>
      </c>
      <c r="AA47" s="473">
        <v>154177</v>
      </c>
      <c r="AB47" s="473">
        <v>152298</v>
      </c>
      <c r="AC47" s="386">
        <f>stores!C360*1000</f>
        <v>150559</v>
      </c>
      <c r="AD47" s="386">
        <f>stores!$C$366*1000</f>
        <v>150083</v>
      </c>
      <c r="AE47" s="386">
        <f>stores!C372*1000</f>
        <v>147377</v>
      </c>
      <c r="AF47" s="386">
        <f>stores!C378*1000</f>
        <v>141915</v>
      </c>
      <c r="AG47" s="386">
        <f>stores!$C$384*1000</f>
        <v>130014.99999999999</v>
      </c>
      <c r="AH47" s="386">
        <f>stores!$C$390*1000</f>
        <v>127300.2687585266</v>
      </c>
      <c r="AI47" s="386">
        <f>stores!$C$396*1000</f>
        <v>121973.897680764</v>
      </c>
      <c r="AJ47" s="1026">
        <f>AI47/AI41*AJ41</f>
        <v>120198.44065484313</v>
      </c>
      <c r="AK47" s="1026">
        <f>AJ47/AJ41*AK41</f>
        <v>118422.98362892226</v>
      </c>
      <c r="AL47" s="1026">
        <f>AK47/AK41*AL41</f>
        <v>116647.52660300139</v>
      </c>
      <c r="AM47" s="1228">
        <f>AL47/AL41*AM41</f>
        <v>114872.0695770805</v>
      </c>
      <c r="AO47" s="474">
        <f>((AD47/Y47)^(1/5)-1)*100</f>
        <v>-0.52571053174719218</v>
      </c>
      <c r="AP47" s="475" t="s">
        <v>93</v>
      </c>
      <c r="AQ47" s="474">
        <f>((AI47/AD47)^(1/5)-1)*100</f>
        <v>-4.0627909772034005</v>
      </c>
      <c r="AU47" s="185">
        <f>25200-575</f>
        <v>24625</v>
      </c>
    </row>
    <row r="48" spans="1:49" x14ac:dyDescent="0.2">
      <c r="A48" s="457" t="s">
        <v>24</v>
      </c>
      <c r="B48" s="451"/>
      <c r="C48" s="451"/>
      <c r="D48" s="451"/>
      <c r="E48" s="451"/>
      <c r="F48" s="451"/>
      <c r="G48" s="451"/>
      <c r="H48" s="451"/>
      <c r="I48" s="451"/>
      <c r="J48" s="451"/>
      <c r="K48" s="451"/>
      <c r="L48" s="451"/>
      <c r="M48" s="451">
        <f>M47/L47-1</f>
        <v>-5.7961989389603286E-3</v>
      </c>
      <c r="N48" s="451">
        <f>N47/M47-1</f>
        <v>-2.4127007070670614E-2</v>
      </c>
      <c r="O48" s="451">
        <f t="shared" ref="O48:AJ48" si="36">O47/N47-1</f>
        <v>1.6083242816233856E-2</v>
      </c>
      <c r="P48" s="451">
        <f t="shared" si="36"/>
        <v>-4.9198848382512317E-3</v>
      </c>
      <c r="Q48" s="451">
        <f t="shared" si="36"/>
        <v>1.8140977122347746E-2</v>
      </c>
      <c r="R48" s="451">
        <f t="shared" si="36"/>
        <v>7.194244604316502E-3</v>
      </c>
      <c r="S48" s="451">
        <f t="shared" si="36"/>
        <v>-5.9523809523809312E-3</v>
      </c>
      <c r="T48" s="451">
        <f t="shared" si="36"/>
        <v>5.9880239520957446E-3</v>
      </c>
      <c r="U48" s="451">
        <f t="shared" si="36"/>
        <v>-8.3333333333333037E-3</v>
      </c>
      <c r="V48" s="451">
        <f t="shared" si="36"/>
        <v>0.90276110444177671</v>
      </c>
      <c r="W48" s="451">
        <f t="shared" si="36"/>
        <v>-1.3249211356466839E-2</v>
      </c>
      <c r="X48" s="451">
        <f t="shared" si="36"/>
        <v>-9.200767263427112E-3</v>
      </c>
      <c r="Y48" s="451">
        <f t="shared" si="36"/>
        <v>-5.614315860119623E-3</v>
      </c>
      <c r="Z48" s="451">
        <f t="shared" si="36"/>
        <v>2.0053085514404323E-3</v>
      </c>
      <c r="AA48" s="451">
        <f t="shared" si="36"/>
        <v>-1.4443005181347113E-3</v>
      </c>
      <c r="AB48" s="451">
        <f t="shared" si="36"/>
        <v>-1.2187291230209452E-2</v>
      </c>
      <c r="AC48" s="451">
        <f t="shared" si="36"/>
        <v>-1.141840339334721E-2</v>
      </c>
      <c r="AD48" s="451">
        <f t="shared" si="36"/>
        <v>-3.1615512855425187E-3</v>
      </c>
      <c r="AE48" s="451">
        <f t="shared" si="36"/>
        <v>-1.8030023387059169E-2</v>
      </c>
      <c r="AF48" s="451">
        <f t="shared" si="36"/>
        <v>-3.7061413924832198E-2</v>
      </c>
      <c r="AG48" s="451">
        <f t="shared" si="36"/>
        <v>-8.385301060493966E-2</v>
      </c>
      <c r="AH48" s="451">
        <f t="shared" si="36"/>
        <v>-2.0880138764553191E-2</v>
      </c>
      <c r="AI48" s="451">
        <f t="shared" si="36"/>
        <v>-4.1841004184100195E-2</v>
      </c>
      <c r="AJ48" s="451">
        <f t="shared" si="36"/>
        <v>-1.4556040756914079E-2</v>
      </c>
      <c r="AK48" s="451">
        <f>AK47/AJ47-1</f>
        <v>-1.477104874446078E-2</v>
      </c>
      <c r="AL48" s="451">
        <f>AL47/AK47-1</f>
        <v>-1.4992503748125885E-2</v>
      </c>
      <c r="AM48" s="1215">
        <f>AM47/AL47-1</f>
        <v>-1.5220700152207112E-2</v>
      </c>
      <c r="AW48" s="543">
        <f>AG11-575</f>
        <v>25335</v>
      </c>
    </row>
    <row r="49" spans="1:40" x14ac:dyDescent="0.2">
      <c r="A49" s="450"/>
      <c r="B49" s="451"/>
      <c r="C49" s="451"/>
      <c r="D49" s="451"/>
      <c r="E49" s="451"/>
      <c r="F49" s="451"/>
      <c r="G49" s="451"/>
      <c r="H49" s="451"/>
      <c r="I49" s="451"/>
      <c r="J49" s="451"/>
      <c r="K49" s="451"/>
      <c r="L49" s="451"/>
      <c r="M49" s="451"/>
      <c r="N49" s="451"/>
      <c r="O49" s="451"/>
      <c r="P49" s="451"/>
      <c r="Q49" s="451"/>
      <c r="R49" s="451"/>
      <c r="S49" s="451"/>
      <c r="T49" s="451"/>
      <c r="U49" s="451"/>
      <c r="V49" s="451"/>
      <c r="W49" s="451"/>
      <c r="X49" s="451"/>
      <c r="Y49" s="451"/>
      <c r="Z49" s="451"/>
      <c r="AA49" s="451"/>
      <c r="AB49" s="451"/>
      <c r="AC49" s="451"/>
      <c r="AD49" s="451"/>
      <c r="AE49" s="451"/>
      <c r="AF49" s="451"/>
      <c r="AG49" s="451"/>
      <c r="AH49" s="451"/>
      <c r="AI49" s="451"/>
      <c r="AJ49" s="451"/>
      <c r="AK49" s="451"/>
      <c r="AL49" s="451"/>
      <c r="AM49" s="1215"/>
    </row>
    <row r="50" spans="1:40" x14ac:dyDescent="0.2">
      <c r="A50" s="281"/>
      <c r="B50" s="451"/>
      <c r="C50" s="451"/>
      <c r="D50" s="451"/>
      <c r="E50" s="451"/>
      <c r="F50" s="451"/>
      <c r="G50" s="451"/>
      <c r="H50" s="451"/>
      <c r="I50" s="451"/>
      <c r="J50" s="451"/>
      <c r="K50" s="451"/>
      <c r="L50" s="451"/>
      <c r="M50" s="451"/>
      <c r="N50" s="451"/>
      <c r="O50" s="451"/>
      <c r="P50" s="451"/>
      <c r="Q50" s="451"/>
      <c r="R50" s="451"/>
      <c r="S50" s="451"/>
      <c r="T50" s="451"/>
      <c r="U50" s="451"/>
      <c r="V50" s="451"/>
      <c r="W50" s="451"/>
      <c r="X50" s="451"/>
      <c r="Y50" s="451"/>
      <c r="Z50" s="451"/>
      <c r="AA50" s="451"/>
      <c r="AB50" s="451"/>
      <c r="AC50" s="451"/>
      <c r="AD50" s="451"/>
      <c r="AE50" s="451"/>
      <c r="AF50" s="451"/>
      <c r="AG50" s="451"/>
      <c r="AH50" s="451"/>
      <c r="AI50" s="451"/>
      <c r="AJ50" s="451"/>
      <c r="AK50" s="451"/>
      <c r="AL50" s="451"/>
      <c r="AM50" s="1215"/>
    </row>
    <row r="51" spans="1:40" x14ac:dyDescent="0.2">
      <c r="B51" s="451"/>
      <c r="C51" s="451"/>
      <c r="D51" s="451"/>
      <c r="E51" s="451"/>
      <c r="F51" s="451"/>
      <c r="G51" s="451"/>
      <c r="H51" s="451"/>
      <c r="I51" s="451"/>
      <c r="J51" s="451"/>
      <c r="K51" s="451"/>
      <c r="L51" s="451"/>
      <c r="M51" s="451"/>
      <c r="N51" s="451"/>
      <c r="O51" s="451"/>
      <c r="P51" s="451"/>
      <c r="Q51" s="451"/>
      <c r="R51" s="385"/>
      <c r="S51" s="385"/>
      <c r="T51" s="385"/>
      <c r="U51" s="385"/>
      <c r="V51" s="385"/>
      <c r="W51" s="385"/>
      <c r="X51" s="385"/>
      <c r="Y51" s="385"/>
      <c r="Z51" s="385"/>
      <c r="AA51" s="385"/>
      <c r="AB51" s="385"/>
      <c r="AC51" s="385"/>
      <c r="AD51" s="385"/>
      <c r="AE51" s="385"/>
      <c r="AF51" s="385"/>
      <c r="AG51" s="385"/>
      <c r="AH51" s="385"/>
      <c r="AI51" s="385"/>
      <c r="AJ51" s="385"/>
      <c r="AK51" s="385"/>
      <c r="AL51" s="385"/>
      <c r="AM51" s="1092"/>
    </row>
    <row r="52" spans="1:40" x14ac:dyDescent="0.2">
      <c r="A52" s="469"/>
      <c r="B52" s="451"/>
      <c r="C52" s="451"/>
      <c r="D52" s="451"/>
      <c r="E52" s="451"/>
      <c r="F52" s="451"/>
      <c r="G52" s="451"/>
      <c r="H52" s="451"/>
      <c r="I52" s="451"/>
      <c r="J52" s="451"/>
      <c r="K52" s="451"/>
      <c r="L52" s="451"/>
      <c r="M52" s="451"/>
      <c r="N52" s="451"/>
      <c r="O52" s="451"/>
      <c r="P52" s="451"/>
      <c r="Q52" s="451"/>
      <c r="R52" s="385"/>
      <c r="S52" s="385"/>
      <c r="T52" s="385"/>
      <c r="U52" s="385"/>
      <c r="V52" s="385"/>
      <c r="W52" s="385"/>
      <c r="X52" s="385"/>
      <c r="Y52" s="385"/>
      <c r="Z52" s="385"/>
      <c r="AA52" s="385"/>
      <c r="AB52" s="385"/>
      <c r="AC52" s="476"/>
      <c r="AD52" s="476"/>
      <c r="AE52" s="476"/>
      <c r="AF52" s="476"/>
      <c r="AG52" s="476"/>
      <c r="AH52" s="476"/>
      <c r="AI52" s="476"/>
      <c r="AJ52" s="476"/>
      <c r="AK52" s="476"/>
      <c r="AL52" s="476"/>
      <c r="AM52" s="1229"/>
    </row>
    <row r="53" spans="1:40" x14ac:dyDescent="0.2">
      <c r="B53" s="385"/>
      <c r="C53" s="385"/>
      <c r="D53" s="385"/>
      <c r="E53" s="385"/>
      <c r="F53" s="385"/>
      <c r="G53" s="385"/>
      <c r="H53" s="385"/>
      <c r="I53" s="385"/>
      <c r="J53" s="385"/>
      <c r="K53" s="385"/>
      <c r="L53" s="385"/>
      <c r="M53" s="385"/>
      <c r="N53" s="385"/>
      <c r="O53" s="385"/>
      <c r="P53" s="385"/>
      <c r="Q53" s="385"/>
      <c r="R53" s="385"/>
      <c r="S53" s="385"/>
      <c r="T53" s="385"/>
      <c r="U53" s="385"/>
      <c r="V53" s="385"/>
      <c r="W53" s="385"/>
      <c r="X53" s="385"/>
      <c r="Y53" s="385"/>
      <c r="Z53" s="385"/>
      <c r="AA53" s="385"/>
      <c r="AB53" s="385"/>
      <c r="AC53" s="476"/>
      <c r="AD53" s="476"/>
      <c r="AE53" s="476"/>
      <c r="AF53" s="476"/>
      <c r="AG53" s="476"/>
      <c r="AH53" s="476"/>
      <c r="AI53" s="476"/>
      <c r="AJ53" s="476"/>
      <c r="AK53" s="476"/>
      <c r="AL53" s="476"/>
      <c r="AM53" s="1229"/>
    </row>
    <row r="54" spans="1:40" x14ac:dyDescent="0.2">
      <c r="B54" s="451"/>
      <c r="C54" s="451"/>
      <c r="D54" s="451"/>
      <c r="E54" s="451"/>
      <c r="F54" s="451"/>
      <c r="G54" s="451"/>
      <c r="H54" s="451"/>
      <c r="I54" s="451"/>
      <c r="J54" s="451"/>
      <c r="K54" s="451"/>
      <c r="L54" s="451"/>
      <c r="M54" s="451"/>
      <c r="N54" s="451"/>
      <c r="O54" s="451"/>
      <c r="P54" s="451"/>
      <c r="Q54" s="451"/>
      <c r="R54" s="385"/>
      <c r="S54" s="385"/>
      <c r="T54" s="385"/>
      <c r="U54" s="385"/>
      <c r="V54" s="385"/>
      <c r="W54" s="385"/>
      <c r="X54" s="385"/>
      <c r="Y54" s="385"/>
      <c r="Z54" s="385"/>
      <c r="AA54" s="385"/>
      <c r="AB54" s="385"/>
      <c r="AC54" s="385"/>
      <c r="AD54" s="385"/>
      <c r="AE54" s="385"/>
      <c r="AF54" s="385"/>
      <c r="AG54" s="385"/>
      <c r="AH54" s="385"/>
      <c r="AI54" s="385"/>
      <c r="AJ54" s="385"/>
      <c r="AK54" s="385"/>
      <c r="AL54" s="385"/>
      <c r="AM54" s="1092"/>
    </row>
    <row r="55" spans="1:40" x14ac:dyDescent="0.2">
      <c r="A55" s="450"/>
      <c r="B55" s="451"/>
      <c r="C55" s="451"/>
      <c r="D55" s="451"/>
      <c r="E55" s="451"/>
      <c r="F55" s="451"/>
      <c r="G55" s="451"/>
      <c r="H55" s="451"/>
      <c r="I55" s="451"/>
      <c r="J55" s="451"/>
      <c r="K55" s="451"/>
      <c r="L55" s="451"/>
      <c r="M55" s="451"/>
      <c r="N55" s="451"/>
      <c r="O55" s="451"/>
      <c r="P55" s="451"/>
      <c r="Q55" s="451"/>
      <c r="R55" s="451"/>
      <c r="S55" s="451"/>
      <c r="T55" s="451"/>
      <c r="U55" s="451"/>
      <c r="V55" s="451"/>
      <c r="W55" s="451"/>
      <c r="X55" s="451"/>
      <c r="Y55" s="451"/>
      <c r="Z55" s="451"/>
      <c r="AA55" s="451"/>
      <c r="AB55" s="451"/>
      <c r="AC55" s="451"/>
      <c r="AD55" s="451"/>
      <c r="AE55" s="451"/>
      <c r="AF55" s="451"/>
      <c r="AG55" s="451"/>
      <c r="AH55" s="451"/>
      <c r="AI55" s="451"/>
      <c r="AJ55" s="451"/>
      <c r="AK55" s="451"/>
      <c r="AL55" s="451"/>
      <c r="AM55" s="1215"/>
    </row>
    <row r="56" spans="1:40" ht="6.75" customHeight="1" x14ac:dyDescent="0.2">
      <c r="A56" s="450"/>
      <c r="B56" s="451"/>
      <c r="C56" s="451"/>
      <c r="D56" s="451"/>
      <c r="E56" s="451"/>
      <c r="F56" s="451"/>
      <c r="G56" s="451"/>
      <c r="H56" s="451"/>
      <c r="I56" s="451"/>
      <c r="J56" s="451"/>
      <c r="K56" s="451"/>
      <c r="L56" s="451"/>
      <c r="M56" s="451"/>
      <c r="N56" s="451"/>
      <c r="O56" s="451"/>
      <c r="P56" s="451"/>
      <c r="Q56" s="451"/>
      <c r="R56" s="451"/>
      <c r="S56" s="451"/>
      <c r="T56" s="451"/>
      <c r="U56" s="451"/>
      <c r="V56" s="451"/>
      <c r="W56" s="451"/>
      <c r="X56" s="451"/>
      <c r="Y56" s="451"/>
      <c r="Z56" s="451"/>
      <c r="AA56" s="451"/>
      <c r="AB56" s="451"/>
      <c r="AC56" s="451"/>
      <c r="AD56" s="451"/>
      <c r="AE56" s="451"/>
      <c r="AF56" s="451"/>
      <c r="AG56" s="451"/>
      <c r="AH56" s="451"/>
      <c r="AI56" s="451"/>
      <c r="AJ56" s="451"/>
      <c r="AK56" s="451"/>
      <c r="AL56" s="451"/>
      <c r="AM56" s="1215"/>
    </row>
    <row r="57" spans="1:40" x14ac:dyDescent="0.2">
      <c r="A57" s="455"/>
      <c r="B57" s="451"/>
      <c r="C57" s="451"/>
      <c r="D57" s="451"/>
      <c r="E57" s="451"/>
      <c r="F57" s="451"/>
      <c r="G57" s="451"/>
      <c r="H57" s="451"/>
      <c r="I57" s="451"/>
      <c r="J57" s="451"/>
      <c r="K57" s="451"/>
      <c r="L57" s="451"/>
      <c r="M57" s="451"/>
      <c r="N57" s="451"/>
      <c r="O57" s="451"/>
      <c r="P57" s="451"/>
      <c r="Q57" s="385"/>
      <c r="R57" s="385"/>
      <c r="S57" s="385"/>
      <c r="T57" s="385"/>
      <c r="U57" s="385"/>
      <c r="V57" s="385"/>
      <c r="W57" s="385"/>
      <c r="X57" s="385"/>
      <c r="Y57" s="385"/>
      <c r="Z57" s="385"/>
      <c r="AA57" s="385"/>
      <c r="AB57" s="385"/>
      <c r="AC57" s="385"/>
      <c r="AD57" s="385"/>
      <c r="AE57" s="385"/>
      <c r="AF57" s="385"/>
      <c r="AG57" s="385"/>
      <c r="AH57" s="385"/>
      <c r="AI57" s="385"/>
      <c r="AJ57" s="385"/>
      <c r="AK57" s="385"/>
      <c r="AL57" s="385"/>
      <c r="AM57" s="1092"/>
      <c r="AN57" s="385"/>
    </row>
    <row r="58" spans="1:40" x14ac:dyDescent="0.2">
      <c r="A58" s="457"/>
      <c r="B58" s="451"/>
      <c r="C58" s="451"/>
      <c r="D58" s="451"/>
      <c r="E58" s="451"/>
      <c r="F58" s="451"/>
      <c r="G58" s="451"/>
      <c r="H58" s="451"/>
      <c r="I58" s="451"/>
      <c r="J58" s="451"/>
      <c r="K58" s="451"/>
      <c r="L58" s="451"/>
      <c r="M58" s="451"/>
      <c r="N58" s="451"/>
      <c r="O58" s="451"/>
      <c r="P58" s="451"/>
      <c r="Q58" s="451"/>
      <c r="R58" s="451"/>
      <c r="S58" s="451"/>
      <c r="T58" s="451"/>
      <c r="U58" s="451"/>
      <c r="V58" s="451"/>
      <c r="W58" s="451"/>
      <c r="X58" s="451"/>
      <c r="Y58" s="451"/>
      <c r="Z58" s="451"/>
      <c r="AA58" s="451"/>
      <c r="AB58" s="451"/>
      <c r="AC58" s="451"/>
      <c r="AD58" s="451"/>
      <c r="AE58" s="451"/>
      <c r="AF58" s="451"/>
      <c r="AG58" s="451"/>
      <c r="AH58" s="451"/>
      <c r="AI58" s="451"/>
      <c r="AJ58" s="451"/>
      <c r="AK58" s="451"/>
      <c r="AL58" s="451"/>
      <c r="AM58" s="1215"/>
    </row>
    <row r="59" spans="1:40" x14ac:dyDescent="0.2">
      <c r="A59" s="455"/>
      <c r="B59" s="451"/>
      <c r="C59" s="451"/>
      <c r="D59" s="451"/>
      <c r="E59" s="451"/>
      <c r="F59" s="451"/>
      <c r="G59" s="451"/>
      <c r="H59" s="451"/>
      <c r="I59" s="451"/>
      <c r="J59" s="451"/>
      <c r="K59" s="451"/>
      <c r="L59" s="451"/>
      <c r="M59" s="451"/>
      <c r="N59" s="451"/>
      <c r="O59" s="451"/>
      <c r="P59" s="451"/>
      <c r="Q59" s="385"/>
      <c r="R59" s="385"/>
      <c r="S59" s="385"/>
      <c r="T59" s="385"/>
      <c r="U59" s="385"/>
      <c r="V59" s="385"/>
      <c r="W59" s="385"/>
      <c r="X59" s="385"/>
      <c r="Y59" s="385"/>
      <c r="Z59" s="385"/>
      <c r="AA59" s="385"/>
      <c r="AB59" s="385"/>
      <c r="AC59" s="476"/>
      <c r="AD59" s="476"/>
      <c r="AE59" s="476"/>
      <c r="AF59" s="476"/>
      <c r="AG59" s="476"/>
      <c r="AH59" s="476"/>
      <c r="AI59" s="476"/>
      <c r="AJ59" s="476"/>
      <c r="AK59" s="476"/>
      <c r="AL59" s="476"/>
      <c r="AM59" s="1229"/>
    </row>
    <row r="60" spans="1:40" x14ac:dyDescent="0.2">
      <c r="A60" s="457"/>
      <c r="R60" s="451"/>
      <c r="S60" s="451"/>
      <c r="T60" s="451"/>
      <c r="U60" s="451"/>
      <c r="V60" s="451"/>
      <c r="W60" s="451"/>
      <c r="X60" s="451"/>
      <c r="Y60" s="451"/>
      <c r="Z60" s="451"/>
      <c r="AA60" s="451"/>
      <c r="AB60" s="451"/>
      <c r="AC60" s="451"/>
      <c r="AD60" s="451"/>
      <c r="AE60" s="451"/>
      <c r="AF60" s="451"/>
      <c r="AG60" s="451"/>
      <c r="AH60" s="451"/>
      <c r="AI60" s="451"/>
      <c r="AJ60" s="451"/>
      <c r="AK60" s="451"/>
      <c r="AL60" s="451"/>
      <c r="AM60" s="1215"/>
    </row>
    <row r="61" spans="1:40" x14ac:dyDescent="0.2">
      <c r="A61" s="457"/>
      <c r="R61" s="451"/>
      <c r="S61" s="451"/>
      <c r="T61" s="451"/>
      <c r="U61" s="451"/>
      <c r="V61" s="451"/>
      <c r="W61" s="451"/>
      <c r="X61" s="451"/>
      <c r="Y61" s="451"/>
      <c r="Z61" s="451"/>
      <c r="AA61" s="451"/>
      <c r="AB61" s="451"/>
      <c r="AC61" s="451"/>
      <c r="AD61" s="451"/>
      <c r="AE61" s="451"/>
      <c r="AF61" s="451"/>
      <c r="AG61" s="451"/>
      <c r="AH61" s="451"/>
      <c r="AI61" s="451"/>
      <c r="AJ61" s="451"/>
      <c r="AK61" s="451"/>
      <c r="AL61" s="451"/>
      <c r="AM61" s="1215"/>
    </row>
    <row r="62" spans="1:40" x14ac:dyDescent="0.2">
      <c r="A62" s="281"/>
      <c r="B62" s="451"/>
      <c r="C62" s="451"/>
      <c r="D62" s="451"/>
      <c r="E62" s="451"/>
      <c r="F62" s="451"/>
      <c r="G62" s="451"/>
      <c r="H62" s="451"/>
      <c r="I62" s="451"/>
      <c r="J62" s="451"/>
      <c r="K62" s="451"/>
      <c r="L62" s="451"/>
      <c r="M62" s="451"/>
      <c r="N62" s="451"/>
      <c r="O62" s="451"/>
      <c r="P62" s="451"/>
      <c r="Q62" s="451"/>
      <c r="R62" s="451"/>
      <c r="S62" s="451"/>
      <c r="T62" s="451"/>
      <c r="U62" s="451"/>
      <c r="V62" s="451"/>
      <c r="W62" s="451"/>
      <c r="X62" s="451"/>
      <c r="Y62" s="451"/>
      <c r="Z62" s="451"/>
      <c r="AA62" s="451"/>
      <c r="AB62" s="451"/>
      <c r="AC62" s="451"/>
      <c r="AD62" s="451"/>
      <c r="AE62" s="451"/>
      <c r="AF62" s="451"/>
      <c r="AG62" s="451"/>
      <c r="AH62" s="451"/>
      <c r="AI62" s="451"/>
      <c r="AJ62" s="451"/>
      <c r="AK62" s="451"/>
      <c r="AL62" s="451"/>
      <c r="AM62" s="1215"/>
    </row>
    <row r="63" spans="1:40" x14ac:dyDescent="0.2">
      <c r="B63" s="451"/>
      <c r="C63" s="451"/>
      <c r="D63" s="451"/>
      <c r="E63" s="451"/>
      <c r="F63" s="451"/>
      <c r="G63" s="451"/>
      <c r="H63" s="451"/>
      <c r="I63" s="451"/>
      <c r="J63" s="451"/>
      <c r="K63" s="451"/>
      <c r="L63" s="451"/>
      <c r="M63" s="451"/>
      <c r="N63" s="451"/>
      <c r="O63" s="451"/>
      <c r="P63" s="451"/>
      <c r="Q63" s="451"/>
      <c r="R63" s="385"/>
      <c r="S63" s="385"/>
      <c r="T63" s="385"/>
      <c r="U63" s="385"/>
      <c r="V63" s="385"/>
      <c r="W63" s="385"/>
      <c r="X63" s="385"/>
      <c r="Y63" s="385"/>
      <c r="Z63" s="385"/>
      <c r="AA63" s="385"/>
      <c r="AB63" s="385"/>
      <c r="AC63" s="385"/>
      <c r="AD63" s="385"/>
      <c r="AE63" s="385"/>
      <c r="AF63" s="385"/>
      <c r="AG63" s="385"/>
      <c r="AH63" s="385"/>
      <c r="AI63" s="385"/>
      <c r="AJ63" s="385"/>
      <c r="AK63" s="385"/>
      <c r="AL63" s="385"/>
      <c r="AM63" s="1092"/>
    </row>
    <row r="64" spans="1:40" x14ac:dyDescent="0.2">
      <c r="A64" s="469"/>
      <c r="B64" s="451"/>
      <c r="C64" s="451"/>
      <c r="D64" s="451"/>
      <c r="E64" s="451"/>
      <c r="F64" s="451"/>
      <c r="G64" s="451"/>
      <c r="H64" s="451"/>
      <c r="I64" s="451"/>
      <c r="J64" s="451"/>
      <c r="K64" s="451"/>
      <c r="L64" s="451"/>
      <c r="M64" s="451"/>
      <c r="N64" s="451"/>
      <c r="O64" s="451"/>
      <c r="P64" s="451"/>
      <c r="Q64" s="451"/>
      <c r="R64" s="385"/>
      <c r="S64" s="385"/>
      <c r="T64" s="385"/>
      <c r="U64" s="385"/>
      <c r="V64" s="385"/>
      <c r="W64" s="385"/>
      <c r="X64" s="385"/>
      <c r="Y64" s="385"/>
      <c r="Z64" s="385"/>
      <c r="AA64" s="385"/>
      <c r="AB64" s="385"/>
      <c r="AC64" s="476"/>
      <c r="AD64" s="476"/>
      <c r="AE64" s="476"/>
      <c r="AF64" s="476"/>
      <c r="AG64" s="476"/>
      <c r="AH64" s="476"/>
      <c r="AI64" s="476"/>
      <c r="AJ64" s="476"/>
      <c r="AK64" s="476"/>
      <c r="AL64" s="476"/>
      <c r="AM64" s="1229"/>
    </row>
    <row r="65" spans="1:40" x14ac:dyDescent="0.2">
      <c r="B65" s="385"/>
      <c r="C65" s="385"/>
      <c r="D65" s="385"/>
      <c r="E65" s="385"/>
      <c r="F65" s="385"/>
      <c r="G65" s="385"/>
      <c r="H65" s="385"/>
      <c r="I65" s="385"/>
      <c r="J65" s="385"/>
      <c r="K65" s="385"/>
      <c r="L65" s="385"/>
      <c r="M65" s="385"/>
      <c r="N65" s="385"/>
      <c r="O65" s="385"/>
      <c r="P65" s="385"/>
      <c r="Q65" s="385"/>
      <c r="R65" s="385"/>
      <c r="S65" s="385"/>
      <c r="T65" s="385"/>
      <c r="U65" s="385"/>
      <c r="V65" s="385"/>
      <c r="W65" s="385"/>
      <c r="X65" s="385"/>
      <c r="Y65" s="385"/>
      <c r="Z65" s="385"/>
      <c r="AA65" s="385"/>
      <c r="AB65" s="385"/>
      <c r="AC65" s="476"/>
      <c r="AD65" s="476"/>
      <c r="AE65" s="476"/>
      <c r="AF65" s="476"/>
      <c r="AG65" s="476"/>
      <c r="AH65" s="476"/>
      <c r="AI65" s="476"/>
      <c r="AJ65" s="476"/>
      <c r="AK65" s="476"/>
      <c r="AL65" s="476"/>
      <c r="AM65" s="1229"/>
    </row>
    <row r="66" spans="1:40" x14ac:dyDescent="0.2">
      <c r="B66" s="451"/>
      <c r="C66" s="451"/>
      <c r="D66" s="451"/>
      <c r="E66" s="451"/>
      <c r="F66" s="451"/>
      <c r="G66" s="451"/>
      <c r="H66" s="451"/>
      <c r="I66" s="451"/>
      <c r="J66" s="451"/>
      <c r="K66" s="451"/>
      <c r="L66" s="451"/>
      <c r="M66" s="451"/>
      <c r="N66" s="451"/>
      <c r="O66" s="451"/>
      <c r="P66" s="451"/>
      <c r="Q66" s="451"/>
      <c r="R66" s="385"/>
      <c r="S66" s="385"/>
      <c r="T66" s="385"/>
      <c r="U66" s="385"/>
      <c r="V66" s="385"/>
      <c r="W66" s="385"/>
      <c r="X66" s="385"/>
      <c r="Y66" s="385"/>
      <c r="Z66" s="385"/>
      <c r="AA66" s="385"/>
      <c r="AB66" s="385"/>
      <c r="AC66" s="385"/>
      <c r="AD66" s="385"/>
      <c r="AE66" s="385"/>
      <c r="AF66" s="385"/>
      <c r="AG66" s="385"/>
      <c r="AH66" s="385"/>
      <c r="AI66" s="385"/>
      <c r="AJ66" s="385"/>
      <c r="AK66" s="385"/>
      <c r="AL66" s="385"/>
      <c r="AM66" s="1092"/>
    </row>
    <row r="67" spans="1:40" x14ac:dyDescent="0.2">
      <c r="A67" s="450"/>
      <c r="B67" s="451"/>
      <c r="C67" s="451"/>
      <c r="D67" s="451"/>
      <c r="E67" s="451"/>
      <c r="F67" s="451"/>
      <c r="G67" s="451"/>
      <c r="H67" s="451"/>
      <c r="I67" s="451"/>
      <c r="J67" s="451"/>
      <c r="K67" s="451"/>
      <c r="L67" s="451"/>
      <c r="M67" s="451"/>
      <c r="N67" s="451"/>
      <c r="O67" s="451"/>
      <c r="P67" s="451"/>
      <c r="Q67" s="451"/>
      <c r="R67" s="451"/>
      <c r="S67" s="451"/>
      <c r="T67" s="451"/>
      <c r="U67" s="451"/>
      <c r="V67" s="451"/>
      <c r="W67" s="451"/>
      <c r="X67" s="451"/>
      <c r="Y67" s="451"/>
      <c r="Z67" s="451"/>
      <c r="AA67" s="451"/>
      <c r="AB67" s="451"/>
      <c r="AC67" s="451"/>
      <c r="AD67" s="451"/>
      <c r="AE67" s="451"/>
      <c r="AF67" s="451"/>
      <c r="AG67" s="451"/>
      <c r="AH67" s="451"/>
      <c r="AI67" s="451"/>
      <c r="AJ67" s="451"/>
      <c r="AK67" s="451"/>
      <c r="AL67" s="451"/>
      <c r="AM67" s="1215"/>
    </row>
    <row r="68" spans="1:40" ht="6.75" customHeight="1" x14ac:dyDescent="0.2">
      <c r="A68" s="450"/>
      <c r="B68" s="451"/>
      <c r="C68" s="451"/>
      <c r="D68" s="451"/>
      <c r="E68" s="451"/>
      <c r="F68" s="451"/>
      <c r="G68" s="451"/>
      <c r="H68" s="451"/>
      <c r="I68" s="451"/>
      <c r="J68" s="451"/>
      <c r="K68" s="451"/>
      <c r="L68" s="451"/>
      <c r="M68" s="451"/>
      <c r="N68" s="451"/>
      <c r="O68" s="451"/>
      <c r="P68" s="451"/>
      <c r="Q68" s="451"/>
      <c r="R68" s="451"/>
      <c r="S68" s="451"/>
      <c r="T68" s="451"/>
      <c r="U68" s="451"/>
      <c r="V68" s="451"/>
      <c r="W68" s="451"/>
      <c r="X68" s="451"/>
      <c r="Y68" s="451"/>
      <c r="Z68" s="451"/>
      <c r="AA68" s="451"/>
      <c r="AB68" s="451"/>
      <c r="AC68" s="451"/>
      <c r="AD68" s="451"/>
      <c r="AE68" s="451"/>
      <c r="AF68" s="451"/>
      <c r="AG68" s="451"/>
      <c r="AH68" s="451"/>
      <c r="AI68" s="451"/>
      <c r="AJ68" s="451"/>
      <c r="AK68" s="451"/>
      <c r="AL68" s="451"/>
      <c r="AM68" s="1215"/>
    </row>
    <row r="69" spans="1:40" x14ac:dyDescent="0.2">
      <c r="A69" s="455"/>
      <c r="B69" s="451"/>
      <c r="C69" s="451"/>
      <c r="D69" s="451"/>
      <c r="E69" s="451"/>
      <c r="F69" s="451"/>
      <c r="G69" s="451"/>
      <c r="H69" s="451"/>
      <c r="I69" s="451"/>
      <c r="J69" s="451"/>
      <c r="K69" s="451"/>
      <c r="L69" s="451"/>
      <c r="M69" s="451"/>
      <c r="N69" s="451"/>
      <c r="O69" s="451"/>
      <c r="P69" s="451"/>
      <c r="Q69" s="385"/>
      <c r="R69" s="385"/>
      <c r="S69" s="385"/>
      <c r="T69" s="385"/>
      <c r="U69" s="385"/>
      <c r="V69" s="385"/>
      <c r="W69" s="385"/>
      <c r="X69" s="385"/>
      <c r="Y69" s="385"/>
      <c r="Z69" s="385"/>
      <c r="AA69" s="385"/>
      <c r="AB69" s="385"/>
      <c r="AC69" s="385"/>
      <c r="AD69" s="385"/>
      <c r="AE69" s="385"/>
      <c r="AF69" s="385"/>
      <c r="AG69" s="385"/>
      <c r="AH69" s="385"/>
      <c r="AI69" s="385"/>
      <c r="AJ69" s="385"/>
      <c r="AK69" s="385"/>
      <c r="AL69" s="385"/>
      <c r="AM69" s="1092"/>
      <c r="AN69" s="385"/>
    </row>
    <row r="70" spans="1:40" x14ac:dyDescent="0.2">
      <c r="A70" s="457"/>
      <c r="B70" s="451"/>
      <c r="C70" s="451"/>
      <c r="D70" s="451"/>
      <c r="E70" s="451"/>
      <c r="F70" s="451"/>
      <c r="G70" s="451"/>
      <c r="H70" s="451"/>
      <c r="I70" s="451"/>
      <c r="J70" s="451"/>
      <c r="K70" s="451"/>
      <c r="L70" s="451"/>
      <c r="M70" s="451"/>
      <c r="N70" s="451"/>
      <c r="O70" s="451"/>
      <c r="P70" s="451"/>
      <c r="Q70" s="451"/>
      <c r="R70" s="451"/>
      <c r="S70" s="451"/>
      <c r="T70" s="451"/>
      <c r="U70" s="451"/>
      <c r="V70" s="451"/>
      <c r="W70" s="451"/>
      <c r="X70" s="451"/>
      <c r="Y70" s="451"/>
      <c r="Z70" s="451"/>
      <c r="AA70" s="451"/>
      <c r="AB70" s="451"/>
      <c r="AC70" s="451"/>
      <c r="AD70" s="451"/>
      <c r="AE70" s="451"/>
      <c r="AF70" s="451"/>
      <c r="AG70" s="451"/>
      <c r="AH70" s="451"/>
      <c r="AI70" s="451"/>
      <c r="AJ70" s="451"/>
      <c r="AK70" s="451"/>
      <c r="AL70" s="451"/>
      <c r="AM70" s="1215"/>
    </row>
    <row r="71" spans="1:40" x14ac:dyDescent="0.2">
      <c r="A71" s="455"/>
      <c r="B71" s="451"/>
      <c r="C71" s="451"/>
      <c r="D71" s="451"/>
      <c r="E71" s="451"/>
      <c r="F71" s="451"/>
      <c r="G71" s="451"/>
      <c r="H71" s="451"/>
      <c r="I71" s="451"/>
      <c r="J71" s="451"/>
      <c r="K71" s="451"/>
      <c r="L71" s="451"/>
      <c r="M71" s="451"/>
      <c r="N71" s="451"/>
      <c r="O71" s="451"/>
      <c r="P71" s="451"/>
      <c r="Q71" s="385"/>
      <c r="R71" s="385"/>
      <c r="S71" s="385"/>
      <c r="T71" s="385"/>
      <c r="U71" s="385"/>
      <c r="V71" s="385"/>
      <c r="W71" s="385"/>
      <c r="X71" s="385"/>
      <c r="Y71" s="385"/>
      <c r="Z71" s="385"/>
      <c r="AA71" s="385"/>
      <c r="AB71" s="385"/>
      <c r="AC71" s="476"/>
      <c r="AD71" s="476"/>
      <c r="AE71" s="476"/>
      <c r="AF71" s="476"/>
      <c r="AG71" s="476"/>
      <c r="AH71" s="476"/>
      <c r="AI71" s="476"/>
      <c r="AJ71" s="476"/>
      <c r="AK71" s="476"/>
      <c r="AL71" s="476"/>
      <c r="AM71" s="1229"/>
    </row>
    <row r="72" spans="1:40" x14ac:dyDescent="0.2">
      <c r="A72" s="457"/>
      <c r="R72" s="451"/>
      <c r="S72" s="451"/>
      <c r="T72" s="451"/>
      <c r="U72" s="451"/>
      <c r="V72" s="451"/>
      <c r="W72" s="451"/>
      <c r="X72" s="451"/>
      <c r="Y72" s="451"/>
      <c r="Z72" s="451"/>
      <c r="AA72" s="451"/>
      <c r="AB72" s="451"/>
      <c r="AC72" s="451"/>
      <c r="AD72" s="451"/>
      <c r="AE72" s="451"/>
      <c r="AF72" s="451"/>
      <c r="AG72" s="451"/>
      <c r="AH72" s="451"/>
      <c r="AI72" s="451"/>
      <c r="AJ72" s="451"/>
      <c r="AK72" s="451"/>
      <c r="AL72" s="451"/>
      <c r="AM72" s="1215"/>
    </row>
    <row r="73" spans="1:40" x14ac:dyDescent="0.2">
      <c r="A73" s="457"/>
      <c r="R73" s="451"/>
      <c r="S73" s="451"/>
      <c r="T73" s="451"/>
      <c r="U73" s="451"/>
      <c r="V73" s="451"/>
      <c r="W73" s="451"/>
      <c r="X73" s="451"/>
      <c r="Y73" s="451"/>
      <c r="Z73" s="451"/>
      <c r="AA73" s="451"/>
      <c r="AB73" s="451"/>
      <c r="AC73" s="451"/>
      <c r="AD73" s="451"/>
      <c r="AE73" s="451"/>
      <c r="AF73" s="451"/>
      <c r="AG73" s="451"/>
      <c r="AH73" s="451"/>
      <c r="AI73" s="451"/>
      <c r="AJ73" s="451"/>
      <c r="AK73" s="451"/>
      <c r="AL73" s="451"/>
      <c r="AM73" s="1215"/>
    </row>
    <row r="74" spans="1:40" x14ac:dyDescent="0.2">
      <c r="A74" s="281"/>
      <c r="B74" s="451"/>
      <c r="C74" s="451"/>
      <c r="D74" s="451"/>
      <c r="E74" s="451"/>
      <c r="F74" s="451"/>
      <c r="G74" s="451"/>
      <c r="H74" s="451"/>
      <c r="I74" s="451"/>
      <c r="J74" s="451"/>
      <c r="K74" s="451"/>
      <c r="L74" s="451"/>
      <c r="M74" s="451"/>
      <c r="N74" s="451"/>
      <c r="O74" s="451"/>
      <c r="P74" s="451"/>
      <c r="Q74" s="451"/>
      <c r="R74" s="451"/>
      <c r="S74" s="451"/>
      <c r="T74" s="451"/>
      <c r="U74" s="451"/>
      <c r="V74" s="451"/>
      <c r="W74" s="451"/>
      <c r="X74" s="451"/>
      <c r="Y74" s="451"/>
      <c r="Z74" s="451"/>
      <c r="AA74" s="451"/>
      <c r="AB74" s="451"/>
      <c r="AC74" s="451"/>
      <c r="AD74" s="451"/>
      <c r="AE74" s="451"/>
      <c r="AF74" s="451"/>
      <c r="AG74" s="451"/>
      <c r="AH74" s="451"/>
      <c r="AI74" s="451"/>
      <c r="AJ74" s="451"/>
      <c r="AK74" s="451"/>
      <c r="AL74" s="451"/>
      <c r="AM74" s="1215"/>
    </row>
    <row r="75" spans="1:40" x14ac:dyDescent="0.2">
      <c r="B75" s="451"/>
      <c r="C75" s="451"/>
      <c r="D75" s="451"/>
      <c r="E75" s="451"/>
      <c r="F75" s="451"/>
      <c r="G75" s="451"/>
      <c r="H75" s="451"/>
      <c r="I75" s="451"/>
      <c r="J75" s="451"/>
      <c r="K75" s="451"/>
      <c r="L75" s="451"/>
      <c r="M75" s="451"/>
      <c r="N75" s="451"/>
      <c r="O75" s="451"/>
      <c r="P75" s="451"/>
      <c r="Q75" s="451"/>
      <c r="R75" s="385"/>
      <c r="S75" s="385"/>
      <c r="T75" s="385"/>
      <c r="U75" s="385"/>
      <c r="V75" s="385"/>
      <c r="W75" s="385"/>
      <c r="X75" s="385"/>
      <c r="Y75" s="385"/>
      <c r="Z75" s="385"/>
      <c r="AA75" s="385"/>
      <c r="AB75" s="385"/>
      <c r="AC75" s="385"/>
      <c r="AD75" s="385"/>
      <c r="AE75" s="385"/>
      <c r="AF75" s="385"/>
      <c r="AG75" s="385"/>
      <c r="AH75" s="385"/>
      <c r="AI75" s="385"/>
      <c r="AJ75" s="385"/>
      <c r="AK75" s="385"/>
      <c r="AL75" s="385"/>
      <c r="AM75" s="1092"/>
    </row>
    <row r="76" spans="1:40" x14ac:dyDescent="0.2">
      <c r="A76" s="469"/>
      <c r="B76" s="451"/>
      <c r="C76" s="451"/>
      <c r="D76" s="451"/>
      <c r="E76" s="451"/>
      <c r="F76" s="451"/>
      <c r="G76" s="451"/>
      <c r="H76" s="451"/>
      <c r="I76" s="451"/>
      <c r="J76" s="451"/>
      <c r="K76" s="451"/>
      <c r="L76" s="451"/>
      <c r="M76" s="451"/>
      <c r="N76" s="451"/>
      <c r="O76" s="451"/>
      <c r="P76" s="451"/>
      <c r="Q76" s="451"/>
      <c r="R76" s="385"/>
      <c r="S76" s="385"/>
      <c r="T76" s="385"/>
      <c r="U76" s="385"/>
      <c r="V76" s="385"/>
      <c r="W76" s="385"/>
      <c r="X76" s="385"/>
      <c r="Y76" s="385"/>
      <c r="Z76" s="385"/>
      <c r="AA76" s="385"/>
      <c r="AB76" s="385"/>
      <c r="AC76" s="476"/>
      <c r="AD76" s="476"/>
      <c r="AE76" s="476"/>
      <c r="AF76" s="476"/>
      <c r="AG76" s="476"/>
      <c r="AH76" s="476"/>
      <c r="AI76" s="476"/>
      <c r="AJ76" s="476"/>
      <c r="AK76" s="476"/>
      <c r="AL76" s="476"/>
      <c r="AM76" s="1229"/>
    </row>
    <row r="77" spans="1:40" x14ac:dyDescent="0.2">
      <c r="B77" s="385"/>
      <c r="C77" s="385"/>
      <c r="D77" s="385"/>
      <c r="E77" s="385"/>
      <c r="F77" s="385"/>
      <c r="G77" s="385"/>
      <c r="H77" s="385"/>
      <c r="I77" s="385"/>
      <c r="J77" s="385"/>
      <c r="K77" s="385"/>
      <c r="L77" s="385"/>
      <c r="M77" s="385"/>
      <c r="N77" s="385"/>
      <c r="O77" s="385"/>
      <c r="P77" s="385"/>
      <c r="Q77" s="385"/>
      <c r="R77" s="385"/>
      <c r="S77" s="385"/>
      <c r="T77" s="385"/>
      <c r="U77" s="385"/>
      <c r="V77" s="385"/>
      <c r="W77" s="385"/>
      <c r="X77" s="385"/>
      <c r="Y77" s="385"/>
      <c r="Z77" s="385"/>
      <c r="AA77" s="385"/>
      <c r="AB77" s="385"/>
      <c r="AC77" s="476"/>
      <c r="AD77" s="476"/>
      <c r="AE77" s="476"/>
      <c r="AF77" s="476"/>
      <c r="AG77" s="476"/>
      <c r="AH77" s="476"/>
      <c r="AI77" s="476"/>
      <c r="AJ77" s="476"/>
      <c r="AK77" s="476"/>
      <c r="AL77" s="476"/>
      <c r="AM77" s="1229"/>
    </row>
    <row r="78" spans="1:40" x14ac:dyDescent="0.2">
      <c r="B78" s="451"/>
      <c r="C78" s="451"/>
      <c r="D78" s="451"/>
      <c r="E78" s="451"/>
      <c r="F78" s="451"/>
      <c r="G78" s="451"/>
      <c r="H78" s="451"/>
      <c r="I78" s="451"/>
      <c r="J78" s="451"/>
      <c r="K78" s="451"/>
      <c r="L78" s="451"/>
      <c r="M78" s="451"/>
      <c r="N78" s="451"/>
      <c r="O78" s="451"/>
      <c r="P78" s="451"/>
      <c r="Q78" s="451"/>
      <c r="R78" s="385"/>
      <c r="S78" s="385"/>
      <c r="T78" s="385"/>
      <c r="U78" s="385"/>
      <c r="V78" s="385"/>
      <c r="W78" s="385"/>
      <c r="X78" s="385"/>
      <c r="Y78" s="385"/>
      <c r="Z78" s="385"/>
      <c r="AA78" s="385"/>
      <c r="AB78" s="385"/>
      <c r="AC78" s="385"/>
      <c r="AD78" s="385"/>
      <c r="AE78" s="385"/>
      <c r="AF78" s="385"/>
      <c r="AG78" s="385"/>
      <c r="AH78" s="385"/>
      <c r="AI78" s="385"/>
      <c r="AJ78" s="385"/>
      <c r="AK78" s="385"/>
      <c r="AL78" s="385"/>
      <c r="AM78" s="1092"/>
    </row>
    <row r="79" spans="1:40" x14ac:dyDescent="0.2">
      <c r="A79" s="450"/>
      <c r="B79" s="451"/>
      <c r="C79" s="451"/>
      <c r="D79" s="451"/>
      <c r="E79" s="451"/>
      <c r="F79" s="451"/>
      <c r="G79" s="451"/>
      <c r="H79" s="451"/>
      <c r="I79" s="451"/>
      <c r="J79" s="451"/>
      <c r="K79" s="451"/>
      <c r="L79" s="451"/>
      <c r="M79" s="451"/>
      <c r="N79" s="451"/>
      <c r="O79" s="451"/>
      <c r="P79" s="451"/>
      <c r="Q79" s="451"/>
      <c r="R79" s="451"/>
      <c r="S79" s="451"/>
      <c r="T79" s="451"/>
      <c r="U79" s="451"/>
      <c r="V79" s="451"/>
      <c r="W79" s="451"/>
      <c r="X79" s="451"/>
      <c r="Y79" s="451"/>
      <c r="Z79" s="451"/>
      <c r="AA79" s="451"/>
      <c r="AB79" s="451"/>
      <c r="AC79" s="451"/>
      <c r="AD79" s="451"/>
      <c r="AE79" s="451"/>
      <c r="AF79" s="451"/>
      <c r="AG79" s="451"/>
      <c r="AH79" s="451"/>
      <c r="AI79" s="451"/>
      <c r="AJ79" s="451"/>
      <c r="AK79" s="451"/>
      <c r="AL79" s="451"/>
      <c r="AM79" s="1215"/>
    </row>
    <row r="80" spans="1:40" ht="6.75" customHeight="1" x14ac:dyDescent="0.2">
      <c r="A80" s="450"/>
      <c r="B80" s="451"/>
      <c r="C80" s="451"/>
      <c r="D80" s="451"/>
      <c r="E80" s="451"/>
      <c r="F80" s="451"/>
      <c r="G80" s="451"/>
      <c r="H80" s="451"/>
      <c r="I80" s="451"/>
      <c r="J80" s="451"/>
      <c r="K80" s="451"/>
      <c r="L80" s="451"/>
      <c r="M80" s="451"/>
      <c r="N80" s="451"/>
      <c r="O80" s="451"/>
      <c r="P80" s="451"/>
      <c r="Q80" s="451"/>
      <c r="R80" s="451"/>
      <c r="S80" s="451"/>
      <c r="T80" s="451"/>
      <c r="U80" s="451"/>
      <c r="V80" s="451"/>
      <c r="W80" s="451"/>
      <c r="X80" s="451"/>
      <c r="Y80" s="451"/>
      <c r="Z80" s="451"/>
      <c r="AA80" s="451"/>
      <c r="AB80" s="451"/>
      <c r="AC80" s="451"/>
      <c r="AD80" s="451"/>
      <c r="AE80" s="451"/>
      <c r="AF80" s="451"/>
      <c r="AG80" s="451"/>
      <c r="AH80" s="451"/>
      <c r="AI80" s="451"/>
      <c r="AJ80" s="451"/>
      <c r="AK80" s="451"/>
      <c r="AL80" s="451"/>
      <c r="AM80" s="1215"/>
    </row>
    <row r="81" spans="1:40" x14ac:dyDescent="0.2">
      <c r="A81" s="455"/>
      <c r="B81" s="451"/>
      <c r="C81" s="451"/>
      <c r="D81" s="451"/>
      <c r="E81" s="451"/>
      <c r="F81" s="451"/>
      <c r="G81" s="451"/>
      <c r="H81" s="451"/>
      <c r="I81" s="451"/>
      <c r="J81" s="451"/>
      <c r="K81" s="451"/>
      <c r="L81" s="451"/>
      <c r="M81" s="451"/>
      <c r="N81" s="451"/>
      <c r="O81" s="451"/>
      <c r="P81" s="451"/>
      <c r="Q81" s="385"/>
      <c r="R81" s="385"/>
      <c r="S81" s="385"/>
      <c r="T81" s="385"/>
      <c r="U81" s="385"/>
      <c r="V81" s="385"/>
      <c r="W81" s="385"/>
      <c r="X81" s="385"/>
      <c r="Y81" s="385"/>
      <c r="Z81" s="385"/>
      <c r="AA81" s="385"/>
      <c r="AB81" s="385"/>
      <c r="AC81" s="385"/>
      <c r="AD81" s="385"/>
      <c r="AE81" s="385"/>
      <c r="AF81" s="385"/>
      <c r="AG81" s="385"/>
      <c r="AH81" s="385"/>
      <c r="AI81" s="385"/>
      <c r="AJ81" s="385"/>
      <c r="AK81" s="385"/>
      <c r="AL81" s="385"/>
      <c r="AM81" s="1092"/>
      <c r="AN81" s="385"/>
    </row>
    <row r="82" spans="1:40" x14ac:dyDescent="0.2">
      <c r="A82" s="457"/>
      <c r="B82" s="451"/>
      <c r="C82" s="451"/>
      <c r="D82" s="451"/>
      <c r="E82" s="451"/>
      <c r="F82" s="451"/>
      <c r="G82" s="451"/>
      <c r="H82" s="451"/>
      <c r="I82" s="451"/>
      <c r="J82" s="451"/>
      <c r="K82" s="451"/>
      <c r="L82" s="451"/>
      <c r="M82" s="451"/>
      <c r="N82" s="451"/>
      <c r="O82" s="451"/>
      <c r="P82" s="451"/>
      <c r="Q82" s="451"/>
      <c r="R82" s="451"/>
      <c r="S82" s="451"/>
      <c r="T82" s="451"/>
      <c r="U82" s="451"/>
      <c r="V82" s="451"/>
      <c r="W82" s="451"/>
      <c r="X82" s="451"/>
      <c r="Y82" s="451"/>
      <c r="Z82" s="451"/>
      <c r="AA82" s="451"/>
      <c r="AB82" s="451"/>
      <c r="AC82" s="451"/>
      <c r="AD82" s="451"/>
      <c r="AE82" s="451"/>
      <c r="AF82" s="451"/>
      <c r="AG82" s="451"/>
      <c r="AH82" s="451"/>
      <c r="AI82" s="451"/>
      <c r="AJ82" s="451"/>
      <c r="AK82" s="451"/>
      <c r="AL82" s="451"/>
      <c r="AM82" s="1215"/>
    </row>
    <row r="83" spans="1:40" x14ac:dyDescent="0.2">
      <c r="A83" s="455"/>
      <c r="B83" s="451"/>
      <c r="C83" s="451"/>
      <c r="D83" s="451"/>
      <c r="E83" s="451"/>
      <c r="F83" s="451"/>
      <c r="G83" s="451"/>
      <c r="H83" s="451"/>
      <c r="I83" s="451"/>
      <c r="J83" s="451"/>
      <c r="K83" s="451"/>
      <c r="L83" s="451"/>
      <c r="M83" s="451"/>
      <c r="N83" s="451"/>
      <c r="O83" s="451"/>
      <c r="P83" s="451"/>
      <c r="Q83" s="385"/>
      <c r="R83" s="385"/>
      <c r="S83" s="385"/>
      <c r="T83" s="385"/>
      <c r="U83" s="385"/>
      <c r="V83" s="385"/>
      <c r="W83" s="385"/>
      <c r="X83" s="385"/>
      <c r="Y83" s="385"/>
      <c r="Z83" s="385"/>
      <c r="AA83" s="385"/>
      <c r="AB83" s="385"/>
      <c r="AC83" s="476"/>
      <c r="AD83" s="476"/>
      <c r="AE83" s="476"/>
      <c r="AF83" s="476"/>
      <c r="AG83" s="476"/>
      <c r="AH83" s="476"/>
      <c r="AI83" s="476"/>
      <c r="AJ83" s="476"/>
      <c r="AK83" s="476"/>
      <c r="AL83" s="476"/>
      <c r="AM83" s="1229"/>
    </row>
    <row r="84" spans="1:40" x14ac:dyDescent="0.2">
      <c r="A84" s="457"/>
      <c r="R84" s="451"/>
      <c r="S84" s="451"/>
      <c r="T84" s="451"/>
      <c r="U84" s="451"/>
      <c r="V84" s="451"/>
      <c r="W84" s="451"/>
      <c r="X84" s="451"/>
      <c r="Y84" s="451"/>
      <c r="Z84" s="451"/>
      <c r="AA84" s="451"/>
      <c r="AB84" s="451"/>
      <c r="AC84" s="451"/>
      <c r="AD84" s="451"/>
      <c r="AE84" s="451"/>
      <c r="AF84" s="451"/>
      <c r="AG84" s="451"/>
      <c r="AH84" s="451"/>
      <c r="AI84" s="451"/>
      <c r="AJ84" s="451"/>
      <c r="AK84" s="451"/>
      <c r="AL84" s="451"/>
      <c r="AM84" s="1215"/>
    </row>
    <row r="85" spans="1:40" x14ac:dyDescent="0.2">
      <c r="A85" s="457"/>
      <c r="R85" s="451"/>
      <c r="S85" s="451"/>
      <c r="T85" s="451"/>
      <c r="U85" s="451"/>
      <c r="V85" s="451"/>
      <c r="W85" s="451"/>
      <c r="X85" s="451"/>
      <c r="Y85" s="451"/>
      <c r="Z85" s="451"/>
      <c r="AA85" s="451"/>
      <c r="AB85" s="451"/>
      <c r="AC85" s="451"/>
      <c r="AD85" s="451"/>
      <c r="AE85" s="451"/>
      <c r="AF85" s="451"/>
      <c r="AG85" s="451"/>
      <c r="AH85" s="451"/>
      <c r="AI85" s="451"/>
      <c r="AJ85" s="451"/>
      <c r="AK85" s="451"/>
      <c r="AL85" s="451"/>
      <c r="AM85" s="1215"/>
    </row>
    <row r="86" spans="1:40" x14ac:dyDescent="0.2">
      <c r="A86" s="281"/>
      <c r="B86" s="451"/>
      <c r="C86" s="451"/>
      <c r="D86" s="451"/>
      <c r="E86" s="451"/>
      <c r="F86" s="451"/>
      <c r="G86" s="451"/>
      <c r="H86" s="451"/>
      <c r="I86" s="451"/>
      <c r="J86" s="451"/>
      <c r="K86" s="451"/>
      <c r="L86" s="451"/>
      <c r="M86" s="451"/>
      <c r="N86" s="451"/>
      <c r="O86" s="451"/>
      <c r="P86" s="451"/>
      <c r="Q86" s="451"/>
      <c r="R86" s="451"/>
      <c r="S86" s="451"/>
      <c r="T86" s="451"/>
      <c r="U86" s="451"/>
      <c r="V86" s="451"/>
      <c r="W86" s="451"/>
      <c r="X86" s="451"/>
      <c r="Y86" s="451"/>
      <c r="Z86" s="451"/>
      <c r="AA86" s="451"/>
      <c r="AB86" s="451"/>
      <c r="AC86" s="451"/>
      <c r="AD86" s="451"/>
      <c r="AE86" s="451"/>
      <c r="AF86" s="451"/>
      <c r="AG86" s="451"/>
      <c r="AH86" s="451"/>
      <c r="AI86" s="451"/>
      <c r="AJ86" s="451"/>
      <c r="AK86" s="451"/>
      <c r="AL86" s="451"/>
      <c r="AM86" s="1215"/>
    </row>
    <row r="87" spans="1:40" x14ac:dyDescent="0.2">
      <c r="B87" s="451"/>
      <c r="C87" s="451"/>
      <c r="D87" s="451"/>
      <c r="E87" s="451"/>
      <c r="F87" s="451"/>
      <c r="G87" s="451"/>
      <c r="H87" s="451"/>
      <c r="I87" s="451"/>
      <c r="J87" s="451"/>
      <c r="K87" s="451"/>
      <c r="L87" s="451"/>
      <c r="M87" s="451"/>
      <c r="N87" s="451"/>
      <c r="O87" s="451"/>
      <c r="P87" s="451"/>
      <c r="Q87" s="451"/>
      <c r="R87" s="385"/>
      <c r="S87" s="385"/>
      <c r="T87" s="385"/>
      <c r="U87" s="385"/>
      <c r="V87" s="385"/>
      <c r="W87" s="385"/>
      <c r="X87" s="385"/>
      <c r="Y87" s="385"/>
      <c r="Z87" s="385"/>
      <c r="AA87" s="385"/>
      <c r="AB87" s="385"/>
      <c r="AC87" s="385"/>
      <c r="AD87" s="385"/>
      <c r="AE87" s="385"/>
      <c r="AF87" s="385"/>
      <c r="AG87" s="385"/>
      <c r="AH87" s="385"/>
      <c r="AI87" s="385"/>
      <c r="AJ87" s="385"/>
      <c r="AK87" s="385"/>
      <c r="AL87" s="385"/>
      <c r="AM87" s="1092"/>
    </row>
    <row r="88" spans="1:40" x14ac:dyDescent="0.2">
      <c r="A88" s="469"/>
      <c r="B88" s="451"/>
      <c r="C88" s="451"/>
      <c r="D88" s="451"/>
      <c r="E88" s="451"/>
      <c r="F88" s="451"/>
      <c r="G88" s="451"/>
      <c r="H88" s="451"/>
      <c r="I88" s="451"/>
      <c r="J88" s="451"/>
      <c r="K88" s="451"/>
      <c r="L88" s="451"/>
      <c r="M88" s="451"/>
      <c r="N88" s="451"/>
      <c r="O88" s="451"/>
      <c r="P88" s="451"/>
      <c r="Q88" s="451"/>
      <c r="R88" s="385"/>
      <c r="S88" s="385"/>
      <c r="T88" s="385"/>
      <c r="U88" s="385"/>
      <c r="V88" s="385"/>
      <c r="W88" s="385"/>
      <c r="X88" s="385"/>
      <c r="Y88" s="385"/>
      <c r="Z88" s="385"/>
      <c r="AA88" s="385"/>
      <c r="AB88" s="385"/>
      <c r="AC88" s="476"/>
      <c r="AD88" s="476"/>
      <c r="AE88" s="476"/>
      <c r="AF88" s="476"/>
      <c r="AG88" s="476"/>
      <c r="AH88" s="476"/>
      <c r="AI88" s="476"/>
      <c r="AJ88" s="476"/>
      <c r="AK88" s="476"/>
      <c r="AL88" s="476"/>
      <c r="AM88" s="1229"/>
    </row>
    <row r="89" spans="1:40" x14ac:dyDescent="0.2">
      <c r="B89" s="385"/>
      <c r="C89" s="385"/>
      <c r="D89" s="385"/>
      <c r="E89" s="385"/>
      <c r="F89" s="385"/>
      <c r="G89" s="385"/>
      <c r="H89" s="385"/>
      <c r="I89" s="385"/>
      <c r="J89" s="385"/>
      <c r="K89" s="385"/>
      <c r="L89" s="385"/>
      <c r="M89" s="385"/>
      <c r="N89" s="385"/>
      <c r="O89" s="385"/>
      <c r="P89" s="385"/>
      <c r="Q89" s="385"/>
      <c r="R89" s="385"/>
      <c r="S89" s="385"/>
      <c r="T89" s="385"/>
      <c r="U89" s="385"/>
      <c r="V89" s="385"/>
      <c r="W89" s="385"/>
      <c r="X89" s="385"/>
      <c r="Y89" s="385"/>
      <c r="Z89" s="385"/>
      <c r="AA89" s="385"/>
      <c r="AB89" s="385"/>
      <c r="AC89" s="476"/>
      <c r="AD89" s="476"/>
      <c r="AE89" s="476"/>
      <c r="AF89" s="476"/>
      <c r="AG89" s="476"/>
      <c r="AH89" s="476"/>
      <c r="AI89" s="476"/>
      <c r="AJ89" s="476"/>
      <c r="AK89" s="476"/>
      <c r="AL89" s="476"/>
      <c r="AM89" s="1229"/>
    </row>
    <row r="90" spans="1:40" x14ac:dyDescent="0.2">
      <c r="B90" s="451"/>
      <c r="C90" s="451"/>
      <c r="D90" s="451"/>
      <c r="E90" s="451"/>
      <c r="F90" s="451"/>
      <c r="G90" s="451"/>
      <c r="H90" s="451"/>
      <c r="I90" s="451"/>
      <c r="J90" s="451"/>
      <c r="K90" s="451"/>
      <c r="L90" s="451"/>
      <c r="M90" s="451"/>
      <c r="N90" s="451"/>
      <c r="O90" s="451"/>
      <c r="P90" s="451"/>
      <c r="Q90" s="451"/>
      <c r="R90" s="385"/>
      <c r="S90" s="385"/>
      <c r="T90" s="385"/>
      <c r="U90" s="385"/>
      <c r="V90" s="385"/>
      <c r="W90" s="385"/>
      <c r="X90" s="385"/>
      <c r="Y90" s="385"/>
      <c r="Z90" s="385"/>
      <c r="AA90" s="385"/>
      <c r="AB90" s="385"/>
      <c r="AC90" s="385"/>
      <c r="AD90" s="385"/>
      <c r="AE90" s="385"/>
      <c r="AF90" s="385"/>
      <c r="AG90" s="385"/>
      <c r="AH90" s="385"/>
      <c r="AI90" s="385"/>
      <c r="AJ90" s="385"/>
      <c r="AK90" s="385"/>
      <c r="AL90" s="385"/>
      <c r="AM90" s="1092"/>
    </row>
    <row r="91" spans="1:40" x14ac:dyDescent="0.2">
      <c r="A91" s="450"/>
      <c r="B91" s="451"/>
      <c r="C91" s="451"/>
      <c r="D91" s="451"/>
      <c r="E91" s="451"/>
      <c r="F91" s="451"/>
      <c r="G91" s="451"/>
      <c r="H91" s="451"/>
      <c r="I91" s="451"/>
      <c r="J91" s="451"/>
      <c r="K91" s="451"/>
      <c r="L91" s="451"/>
      <c r="M91" s="451"/>
      <c r="N91" s="451"/>
      <c r="O91" s="451"/>
      <c r="P91" s="451"/>
      <c r="Q91" s="451"/>
      <c r="R91" s="451"/>
      <c r="S91" s="451"/>
      <c r="T91" s="451"/>
      <c r="U91" s="451"/>
      <c r="V91" s="451"/>
      <c r="W91" s="451"/>
      <c r="X91" s="451"/>
      <c r="Y91" s="451"/>
      <c r="Z91" s="451"/>
      <c r="AA91" s="451"/>
      <c r="AB91" s="451"/>
      <c r="AC91" s="451"/>
      <c r="AD91" s="451"/>
      <c r="AE91" s="451"/>
      <c r="AF91" s="451"/>
      <c r="AG91" s="451"/>
      <c r="AH91" s="451"/>
      <c r="AI91" s="451"/>
      <c r="AJ91" s="451"/>
      <c r="AK91" s="451"/>
      <c r="AL91" s="451"/>
      <c r="AM91" s="1215"/>
    </row>
    <row r="92" spans="1:40" ht="6.75" customHeight="1" x14ac:dyDescent="0.2">
      <c r="A92" s="450"/>
      <c r="B92" s="451"/>
      <c r="C92" s="451"/>
      <c r="D92" s="451"/>
      <c r="E92" s="451"/>
      <c r="F92" s="451"/>
      <c r="G92" s="451"/>
      <c r="H92" s="451"/>
      <c r="I92" s="451"/>
      <c r="J92" s="451"/>
      <c r="K92" s="451"/>
      <c r="L92" s="451"/>
      <c r="M92" s="451"/>
      <c r="N92" s="451"/>
      <c r="O92" s="451"/>
      <c r="P92" s="451"/>
      <c r="Q92" s="451"/>
      <c r="R92" s="451"/>
      <c r="S92" s="451"/>
      <c r="T92" s="451"/>
      <c r="U92" s="451"/>
      <c r="V92" s="451"/>
      <c r="W92" s="451"/>
      <c r="X92" s="451"/>
      <c r="Y92" s="451"/>
      <c r="Z92" s="451"/>
      <c r="AA92" s="451"/>
      <c r="AB92" s="451"/>
      <c r="AC92" s="451"/>
      <c r="AD92" s="451"/>
      <c r="AE92" s="451"/>
      <c r="AF92" s="451"/>
      <c r="AG92" s="451"/>
      <c r="AH92" s="451"/>
      <c r="AI92" s="451"/>
      <c r="AJ92" s="451"/>
      <c r="AK92" s="451"/>
      <c r="AL92" s="451"/>
      <c r="AM92" s="1215"/>
    </row>
    <row r="93" spans="1:40" x14ac:dyDescent="0.2">
      <c r="A93" s="455"/>
      <c r="B93" s="451"/>
      <c r="C93" s="451"/>
      <c r="D93" s="451"/>
      <c r="E93" s="451"/>
      <c r="F93" s="451"/>
      <c r="G93" s="451"/>
      <c r="H93" s="451"/>
      <c r="I93" s="451"/>
      <c r="J93" s="451"/>
      <c r="K93" s="451"/>
      <c r="L93" s="451"/>
      <c r="M93" s="451"/>
      <c r="N93" s="451"/>
      <c r="O93" s="451"/>
      <c r="P93" s="451"/>
      <c r="Q93" s="385"/>
      <c r="R93" s="385"/>
      <c r="S93" s="385"/>
      <c r="T93" s="385"/>
      <c r="U93" s="385"/>
      <c r="V93" s="385"/>
      <c r="W93" s="385"/>
      <c r="X93" s="385"/>
      <c r="Y93" s="385"/>
      <c r="Z93" s="385"/>
      <c r="AA93" s="385"/>
      <c r="AB93" s="385"/>
      <c r="AC93" s="385"/>
      <c r="AD93" s="385"/>
      <c r="AE93" s="385"/>
      <c r="AF93" s="385"/>
      <c r="AG93" s="385"/>
      <c r="AH93" s="385"/>
      <c r="AI93" s="385"/>
      <c r="AJ93" s="385"/>
      <c r="AK93" s="385"/>
      <c r="AL93" s="385"/>
      <c r="AM93" s="1092"/>
      <c r="AN93" s="385"/>
    </row>
    <row r="94" spans="1:40" x14ac:dyDescent="0.2">
      <c r="A94" s="457"/>
      <c r="B94" s="451"/>
      <c r="C94" s="451"/>
      <c r="D94" s="451"/>
      <c r="E94" s="451"/>
      <c r="F94" s="451"/>
      <c r="G94" s="451"/>
      <c r="H94" s="451"/>
      <c r="I94" s="451"/>
      <c r="J94" s="451"/>
      <c r="K94" s="451"/>
      <c r="L94" s="451"/>
      <c r="M94" s="451"/>
      <c r="N94" s="451"/>
      <c r="O94" s="451"/>
      <c r="P94" s="451"/>
      <c r="Q94" s="451"/>
      <c r="R94" s="451"/>
      <c r="S94" s="451"/>
      <c r="T94" s="451"/>
      <c r="U94" s="451"/>
      <c r="V94" s="451"/>
      <c r="W94" s="451"/>
      <c r="X94" s="451"/>
      <c r="Y94" s="451"/>
      <c r="Z94" s="451"/>
      <c r="AA94" s="451"/>
      <c r="AB94" s="451"/>
      <c r="AC94" s="451"/>
      <c r="AD94" s="451"/>
      <c r="AE94" s="451"/>
      <c r="AF94" s="451"/>
      <c r="AG94" s="451"/>
      <c r="AH94" s="451"/>
      <c r="AI94" s="451"/>
      <c r="AJ94" s="451"/>
      <c r="AK94" s="451"/>
      <c r="AL94" s="451"/>
      <c r="AM94" s="1215"/>
    </row>
    <row r="95" spans="1:40" x14ac:dyDescent="0.2">
      <c r="A95" s="455"/>
      <c r="B95" s="451"/>
      <c r="C95" s="451"/>
      <c r="D95" s="451"/>
      <c r="E95" s="451"/>
      <c r="F95" s="451"/>
      <c r="G95" s="451"/>
      <c r="H95" s="451"/>
      <c r="I95" s="451"/>
      <c r="J95" s="451"/>
      <c r="K95" s="451"/>
      <c r="L95" s="451"/>
      <c r="M95" s="451"/>
      <c r="N95" s="451"/>
      <c r="O95" s="451"/>
      <c r="P95" s="451"/>
      <c r="Q95" s="385"/>
      <c r="R95" s="385"/>
      <c r="S95" s="385"/>
      <c r="T95" s="385"/>
      <c r="U95" s="385"/>
      <c r="V95" s="385"/>
      <c r="W95" s="385"/>
      <c r="X95" s="385"/>
      <c r="Y95" s="385"/>
      <c r="Z95" s="385"/>
      <c r="AA95" s="385"/>
      <c r="AB95" s="385"/>
      <c r="AC95" s="476"/>
      <c r="AD95" s="476"/>
      <c r="AE95" s="476"/>
      <c r="AF95" s="476"/>
      <c r="AG95" s="476"/>
      <c r="AH95" s="476"/>
      <c r="AI95" s="476"/>
      <c r="AJ95" s="476"/>
      <c r="AK95" s="476"/>
      <c r="AL95" s="476"/>
      <c r="AM95" s="1229"/>
    </row>
    <row r="96" spans="1:40" x14ac:dyDescent="0.2">
      <c r="A96" s="457"/>
      <c r="R96" s="451"/>
      <c r="S96" s="451"/>
      <c r="T96" s="451"/>
      <c r="U96" s="451"/>
      <c r="V96" s="451"/>
      <c r="W96" s="451"/>
      <c r="X96" s="451"/>
      <c r="Y96" s="451"/>
      <c r="Z96" s="451"/>
      <c r="AA96" s="451"/>
      <c r="AB96" s="451"/>
      <c r="AC96" s="451"/>
      <c r="AD96" s="451"/>
      <c r="AE96" s="451"/>
      <c r="AF96" s="451"/>
      <c r="AG96" s="451"/>
      <c r="AH96" s="451"/>
      <c r="AI96" s="451"/>
      <c r="AJ96" s="451"/>
      <c r="AK96" s="451"/>
      <c r="AL96" s="451"/>
      <c r="AM96" s="1215"/>
    </row>
    <row r="97" spans="1:39" x14ac:dyDescent="0.2">
      <c r="A97" s="457"/>
      <c r="R97" s="451"/>
      <c r="S97" s="451"/>
      <c r="T97" s="451"/>
      <c r="U97" s="451"/>
      <c r="V97" s="451"/>
      <c r="W97" s="451"/>
      <c r="X97" s="451"/>
      <c r="Y97" s="451"/>
      <c r="Z97" s="451"/>
      <c r="AA97" s="451"/>
      <c r="AB97" s="451"/>
      <c r="AC97" s="451"/>
      <c r="AD97" s="451"/>
      <c r="AE97" s="451"/>
      <c r="AF97" s="451"/>
      <c r="AG97" s="451"/>
      <c r="AH97" s="451"/>
      <c r="AI97" s="451"/>
      <c r="AJ97" s="451"/>
      <c r="AK97" s="451"/>
      <c r="AL97" s="451"/>
      <c r="AM97" s="1215"/>
    </row>
    <row r="98" spans="1:39" x14ac:dyDescent="0.2">
      <c r="A98" s="457"/>
      <c r="R98" s="451"/>
      <c r="S98" s="451"/>
      <c r="T98" s="451"/>
      <c r="U98" s="451"/>
      <c r="V98" s="451"/>
      <c r="W98" s="451"/>
      <c r="X98" s="451"/>
      <c r="Y98" s="451"/>
      <c r="Z98" s="451"/>
      <c r="AA98" s="451"/>
      <c r="AB98" s="451"/>
      <c r="AC98" s="451"/>
      <c r="AD98" s="451"/>
      <c r="AE98" s="451"/>
      <c r="AF98" s="451"/>
      <c r="AG98" s="451"/>
      <c r="AH98" s="451"/>
      <c r="AI98" s="451"/>
      <c r="AJ98" s="451"/>
      <c r="AK98" s="451"/>
      <c r="AL98" s="451"/>
      <c r="AM98" s="1215"/>
    </row>
    <row r="99" spans="1:39" x14ac:dyDescent="0.2">
      <c r="A99" s="457"/>
      <c r="R99" s="451"/>
      <c r="S99" s="451"/>
      <c r="T99" s="451"/>
      <c r="U99" s="451"/>
      <c r="V99" s="451"/>
      <c r="W99" s="451"/>
      <c r="X99" s="451"/>
      <c r="Y99" s="451"/>
      <c r="Z99" s="451"/>
      <c r="AA99" s="451"/>
      <c r="AB99" s="451"/>
      <c r="AC99" s="451"/>
      <c r="AD99" s="451"/>
      <c r="AE99" s="451"/>
      <c r="AF99" s="451"/>
      <c r="AG99" s="451"/>
      <c r="AH99" s="451"/>
      <c r="AI99" s="451"/>
      <c r="AJ99" s="451"/>
      <c r="AK99" s="451"/>
      <c r="AL99" s="451"/>
      <c r="AM99" s="1215"/>
    </row>
    <row r="101" spans="1:39" x14ac:dyDescent="0.2">
      <c r="A101" s="384" t="s">
        <v>78</v>
      </c>
    </row>
  </sheetData>
  <phoneticPr fontId="10" type="noConversion"/>
  <pageMargins left="0.75" right="0.75" top="1" bottom="1" header="0.5" footer="0.5"/>
  <pageSetup scale="67" orientation="landscape"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Z60"/>
  <sheetViews>
    <sheetView showGridLines="0" zoomScale="85" zoomScaleNormal="85" workbookViewId="0"/>
  </sheetViews>
  <sheetFormatPr defaultRowHeight="12.75" outlineLevelRow="1" outlineLevelCol="3" x14ac:dyDescent="0.2"/>
  <cols>
    <col min="1" max="1" width="30.140625" style="185" customWidth="1"/>
    <col min="2" max="10" width="9.140625" style="185" hidden="1" customWidth="1" outlineLevel="2"/>
    <col min="11" max="11" width="1.28515625" style="185" hidden="1" customWidth="1" outlineLevel="2"/>
    <col min="12" max="13" width="9.140625" style="185" hidden="1" customWidth="1" outlineLevel="2"/>
    <col min="14" max="18" width="9.140625" style="185" hidden="1" customWidth="1" outlineLevel="3"/>
    <col min="19" max="19" width="11" style="185" hidden="1" customWidth="1" outlineLevel="2"/>
    <col min="20" max="22" width="9.140625" style="185" hidden="1" customWidth="1" outlineLevel="2"/>
    <col min="23" max="25" width="9.140625" style="185" hidden="1" customWidth="1" outlineLevel="1"/>
    <col min="26" max="26" width="0" style="185" hidden="1" customWidth="1" outlineLevel="1"/>
    <col min="27" max="27" width="9.140625" style="185" collapsed="1"/>
    <col min="28" max="31" width="9.140625" style="185"/>
    <col min="32" max="32" width="10.7109375" style="185" bestFit="1" customWidth="1"/>
    <col min="33" max="33" width="10" style="185" customWidth="1"/>
    <col min="34" max="34" width="9.7109375" style="185" customWidth="1"/>
    <col min="35" max="35" width="9.28515625" style="185" customWidth="1"/>
    <col min="36" max="37" width="9.7109375" style="185" bestFit="1" customWidth="1"/>
    <col min="38" max="38" width="9.7109375" style="185" hidden="1" customWidth="1" outlineLevel="1"/>
    <col min="39" max="39" width="9.7109375" style="12" hidden="1" customWidth="1" outlineLevel="1"/>
    <col min="40" max="40" width="0.85546875" style="185" customWidth="1" collapsed="1"/>
    <col min="41" max="41" width="8.7109375" style="185" hidden="1" customWidth="1" outlineLevel="1"/>
    <col min="42" max="42" width="2.42578125" style="185" hidden="1" customWidth="1" outlineLevel="1"/>
    <col min="43" max="43" width="7" style="185" hidden="1" customWidth="1" outlineLevel="1"/>
    <col min="44" max="44" width="2.28515625" style="185" hidden="1" customWidth="1" outlineLevel="1"/>
    <col min="45" max="45" width="9.140625" style="185" collapsed="1"/>
    <col min="46" max="16384" width="9.140625" style="185"/>
  </cols>
  <sheetData>
    <row r="1" spans="1:48" x14ac:dyDescent="0.2">
      <c r="A1" s="281" t="s">
        <v>285</v>
      </c>
      <c r="N1" s="281"/>
      <c r="O1" s="281"/>
      <c r="P1" s="281"/>
      <c r="Q1" s="281"/>
      <c r="R1" s="281"/>
      <c r="S1" s="281"/>
      <c r="T1" s="281"/>
      <c r="U1" s="281"/>
      <c r="AG1" s="290"/>
      <c r="AH1" s="290"/>
      <c r="AI1" s="290"/>
      <c r="AJ1" s="290"/>
      <c r="AK1" s="290"/>
      <c r="AL1" s="290"/>
      <c r="AM1" s="1107"/>
    </row>
    <row r="2" spans="1:48" x14ac:dyDescent="0.2">
      <c r="A2" s="283" t="s">
        <v>647</v>
      </c>
      <c r="N2" s="283"/>
      <c r="O2" s="283"/>
      <c r="P2" s="283"/>
      <c r="Q2" s="283"/>
      <c r="R2" s="283"/>
      <c r="S2" s="283"/>
      <c r="T2" s="283"/>
      <c r="U2" s="283"/>
      <c r="V2" s="284"/>
      <c r="W2" s="284"/>
      <c r="X2" s="284"/>
      <c r="Y2" s="284"/>
      <c r="Z2" s="284"/>
      <c r="AA2" s="284"/>
      <c r="AB2" s="284"/>
      <c r="AC2" s="284"/>
      <c r="AD2" s="477"/>
      <c r="AE2" s="477"/>
      <c r="AF2" s="477"/>
      <c r="AG2" s="477"/>
      <c r="AH2" s="477"/>
      <c r="AI2" s="477"/>
      <c r="AJ2" s="477"/>
      <c r="AK2" s="477"/>
      <c r="AL2" s="477"/>
      <c r="AM2" s="1230"/>
      <c r="AN2" s="284"/>
      <c r="AO2" s="284"/>
      <c r="AP2" s="284"/>
      <c r="AQ2" s="284"/>
      <c r="AR2" s="284"/>
    </row>
    <row r="3" spans="1:48" ht="13.5" thickBot="1" x14ac:dyDescent="0.25">
      <c r="A3" s="478" t="s">
        <v>32</v>
      </c>
      <c r="N3" s="478"/>
      <c r="O3" s="478"/>
      <c r="P3" s="478"/>
      <c r="Q3" s="478"/>
      <c r="R3" s="478"/>
      <c r="S3" s="478"/>
      <c r="T3" s="478"/>
      <c r="U3" s="478"/>
      <c r="AD3" s="290"/>
      <c r="AE3" s="290"/>
      <c r="AF3" s="479"/>
      <c r="AG3" s="479"/>
      <c r="AH3" s="282"/>
      <c r="AI3" s="282"/>
      <c r="AJ3" s="479"/>
      <c r="AK3" s="479"/>
      <c r="AL3" s="479"/>
      <c r="AM3" s="1103"/>
    </row>
    <row r="4" spans="1:48" ht="13.5" thickBot="1" x14ac:dyDescent="0.25">
      <c r="E4" s="434" t="s">
        <v>286</v>
      </c>
      <c r="P4" s="435" t="s">
        <v>287</v>
      </c>
      <c r="Q4" s="435"/>
      <c r="R4" s="435"/>
      <c r="S4" s="436" t="s">
        <v>520</v>
      </c>
      <c r="V4" s="435" t="s">
        <v>288</v>
      </c>
      <c r="W4" s="437"/>
      <c r="X4" s="438"/>
      <c r="AC4" s="290"/>
      <c r="AD4" s="480"/>
      <c r="AE4" s="480"/>
      <c r="AF4" s="567"/>
      <c r="AG4" s="567"/>
      <c r="AH4" s="567"/>
      <c r="AI4" s="997"/>
      <c r="AJ4" s="480"/>
      <c r="AK4" s="480"/>
      <c r="AL4" s="480"/>
      <c r="AM4" s="1231"/>
      <c r="AO4" s="297"/>
      <c r="AP4" s="439" t="s">
        <v>26</v>
      </c>
      <c r="AQ4" s="417"/>
      <c r="AR4" s="440"/>
    </row>
    <row r="5" spans="1:48" x14ac:dyDescent="0.2">
      <c r="B5" s="481">
        <v>1989</v>
      </c>
      <c r="C5" s="481">
        <v>1990</v>
      </c>
      <c r="D5" s="481">
        <v>1991</v>
      </c>
      <c r="E5" s="481">
        <f>F5-1</f>
        <v>1991</v>
      </c>
      <c r="F5" s="481">
        <f t="shared" ref="F5:P5" si="0">G5-1</f>
        <v>1992</v>
      </c>
      <c r="G5" s="481">
        <f t="shared" si="0"/>
        <v>1993</v>
      </c>
      <c r="H5" s="481">
        <f>J5-1</f>
        <v>1994</v>
      </c>
      <c r="I5" s="481" t="s">
        <v>292</v>
      </c>
      <c r="J5" s="481">
        <f>M5-1</f>
        <v>1995</v>
      </c>
      <c r="L5" s="481">
        <v>1995</v>
      </c>
      <c r="M5" s="481">
        <f t="shared" si="0"/>
        <v>1996</v>
      </c>
      <c r="N5" s="481">
        <f t="shared" si="0"/>
        <v>1997</v>
      </c>
      <c r="O5" s="481">
        <f t="shared" si="0"/>
        <v>1998</v>
      </c>
      <c r="P5" s="481">
        <f t="shared" si="0"/>
        <v>1999</v>
      </c>
      <c r="Q5" s="481">
        <v>2000</v>
      </c>
      <c r="R5" s="481">
        <v>2001</v>
      </c>
      <c r="S5" s="481">
        <v>2002</v>
      </c>
      <c r="T5" s="481">
        <v>2003</v>
      </c>
      <c r="U5" s="481">
        <v>2004</v>
      </c>
      <c r="V5" s="481">
        <f>U5+1</f>
        <v>2005</v>
      </c>
      <c r="W5" s="481">
        <f t="shared" ref="W5:AF5" si="1">V5+1</f>
        <v>2006</v>
      </c>
      <c r="X5" s="481">
        <f t="shared" si="1"/>
        <v>2007</v>
      </c>
      <c r="Y5" s="481">
        <f t="shared" si="1"/>
        <v>2008</v>
      </c>
      <c r="Z5" s="481">
        <f t="shared" si="1"/>
        <v>2009</v>
      </c>
      <c r="AA5" s="481">
        <f t="shared" si="1"/>
        <v>2010</v>
      </c>
      <c r="AB5" s="481">
        <f t="shared" si="1"/>
        <v>2011</v>
      </c>
      <c r="AC5" s="481">
        <f t="shared" si="1"/>
        <v>2012</v>
      </c>
      <c r="AD5" s="481">
        <f t="shared" si="1"/>
        <v>2013</v>
      </c>
      <c r="AE5" s="481">
        <f t="shared" si="1"/>
        <v>2014</v>
      </c>
      <c r="AF5" s="481">
        <f t="shared" si="1"/>
        <v>2015</v>
      </c>
      <c r="AG5" s="481">
        <f t="shared" ref="AG5:AM5" si="2">AF5+1</f>
        <v>2016</v>
      </c>
      <c r="AH5" s="482">
        <f t="shared" si="2"/>
        <v>2017</v>
      </c>
      <c r="AI5" s="482">
        <f t="shared" si="2"/>
        <v>2018</v>
      </c>
      <c r="AJ5" s="482">
        <f t="shared" si="2"/>
        <v>2019</v>
      </c>
      <c r="AK5" s="482">
        <f t="shared" si="2"/>
        <v>2020</v>
      </c>
      <c r="AL5" s="482">
        <f t="shared" si="2"/>
        <v>2021</v>
      </c>
      <c r="AM5" s="1232">
        <f t="shared" si="2"/>
        <v>2022</v>
      </c>
      <c r="AO5" s="442" t="str">
        <f>yrSales!AO5</f>
        <v>11A-16A</v>
      </c>
      <c r="AP5" s="439"/>
      <c r="AQ5" s="443" t="str">
        <f>yrSales!AQ5</f>
        <v>16A-22E</v>
      </c>
      <c r="AR5" s="440"/>
    </row>
    <row r="6" spans="1:48" x14ac:dyDescent="0.2">
      <c r="D6" s="481" t="s">
        <v>289</v>
      </c>
      <c r="E6" s="481" t="s">
        <v>290</v>
      </c>
      <c r="I6" s="481" t="s">
        <v>290</v>
      </c>
      <c r="J6" s="481" t="s">
        <v>291</v>
      </c>
      <c r="L6" s="483" t="s">
        <v>293</v>
      </c>
      <c r="M6" s="483" t="s">
        <v>294</v>
      </c>
      <c r="N6" s="484" t="s">
        <v>295</v>
      </c>
      <c r="O6" s="484" t="s">
        <v>295</v>
      </c>
      <c r="P6" s="484" t="s">
        <v>295</v>
      </c>
      <c r="Q6" s="484" t="s">
        <v>295</v>
      </c>
      <c r="R6" s="484" t="s">
        <v>296</v>
      </c>
      <c r="S6" s="484" t="s">
        <v>296</v>
      </c>
      <c r="T6" s="484" t="s">
        <v>296</v>
      </c>
      <c r="U6" s="484" t="s">
        <v>296</v>
      </c>
      <c r="V6" s="484" t="s">
        <v>297</v>
      </c>
      <c r="W6" s="484" t="s">
        <v>298</v>
      </c>
      <c r="X6" s="484" t="s">
        <v>299</v>
      </c>
      <c r="Y6" s="453"/>
      <c r="Z6" s="453"/>
      <c r="AA6" s="453"/>
      <c r="AB6" s="453"/>
      <c r="AC6" s="453"/>
      <c r="AD6" s="453"/>
      <c r="AE6" s="453"/>
      <c r="AF6" s="453"/>
      <c r="AG6" s="453"/>
      <c r="AH6" s="453"/>
      <c r="AI6" s="453"/>
      <c r="AJ6" s="453"/>
      <c r="AK6" s="453"/>
      <c r="AL6" s="453"/>
      <c r="AM6" s="1216"/>
      <c r="AO6" s="445"/>
      <c r="AP6" s="298"/>
      <c r="AQ6" s="298"/>
      <c r="AR6" s="446"/>
    </row>
    <row r="7" spans="1:48" x14ac:dyDescent="0.2">
      <c r="A7" s="185" t="s">
        <v>313</v>
      </c>
      <c r="B7" s="485">
        <v>7577.5860000000002</v>
      </c>
      <c r="C7" s="486">
        <f>INDEX('qtrP&amp;L'!14:14,MATCH(C5,'qtrP&amp;L'!6:6,0))</f>
        <v>7141.9830000000002</v>
      </c>
      <c r="D7" s="486">
        <f>INDEX('qtrP&amp;L'!14:14,MATCH(D5,'qtrP&amp;L'!6:6,0))</f>
        <v>6932.3230000000003</v>
      </c>
      <c r="E7" s="486">
        <f>INDEX('qtrP&amp;L'!14:14,MATCH(E5,'qtrP&amp;L'!6:6,0))</f>
        <v>6932.3230000000003</v>
      </c>
      <c r="F7" s="486">
        <f>INDEX('qtrP&amp;L'!14:14,MATCH(F5,'qtrP&amp;L'!6:6,0))</f>
        <v>7079.9410000000007</v>
      </c>
      <c r="G7" s="486">
        <f>INDEX('qtrP&amp;L'!14:14,MATCH(G5,'qtrP&amp;L'!6:6,0))</f>
        <v>7229.4059999999999</v>
      </c>
      <c r="H7" s="486">
        <f>INDEX('qtrP&amp;L'!14:14,MATCH(H5,'qtrP&amp;L'!6:6,0))</f>
        <v>7707.476999999999</v>
      </c>
      <c r="I7" s="486">
        <f>INDEX('qtrP&amp;L'!14:14,MATCH(I5,'qtrP&amp;L'!6:6,0))</f>
        <v>13701.5</v>
      </c>
      <c r="J7" s="486">
        <f>INDEX('qtrP&amp;L'!14:14,MATCH(J5,'qtrP&amp;L'!6:6,0))</f>
        <v>13998.034</v>
      </c>
      <c r="L7" s="485">
        <v>14614</v>
      </c>
      <c r="M7" s="486">
        <f>INDEX('qtrP&amp;L'!14:14,MATCH(M5,'qtrP&amp;L'!6:6,0))</f>
        <v>14833</v>
      </c>
      <c r="N7" s="486">
        <f>INDEX('qtrP&amp;L'!14:14,MATCH(N5,'qtrP&amp;L'!6:6,0))</f>
        <v>15220</v>
      </c>
      <c r="O7" s="486">
        <f>INDEX('qtrP&amp;L'!14:14,MATCH(O5,'qtrP&amp;L'!6:6,0))</f>
        <v>15365</v>
      </c>
      <c r="P7" s="486">
        <f>INDEX('qtrP&amp;L'!14:14,MATCH(P5,'qtrP&amp;L'!6:6,0))</f>
        <v>16029</v>
      </c>
      <c r="Q7" s="486">
        <f>INDEX('qtrP&amp;L'!14:14,MATCH(Q5,'qtrP&amp;L'!6:6,0))</f>
        <v>16638</v>
      </c>
      <c r="R7" s="486">
        <f>INDEX('qtrP&amp;L'!14:14,MATCH(R5,'qtrP&amp;L'!6:6,0))</f>
        <v>15785</v>
      </c>
      <c r="S7" s="486">
        <f>INDEX('qtrP&amp;L'!14:14,MATCH(S5,'qtrP&amp;L'!6:6,0))</f>
        <v>15571</v>
      </c>
      <c r="T7" s="486">
        <f>INDEX('qtrP&amp;L'!14:14,MATCH(T5,'qtrP&amp;L'!6:6,0))</f>
        <v>15412</v>
      </c>
      <c r="U7" s="487">
        <f>INDEX('qtrP&amp;L'!14:14,MATCH(U5,'qtrP&amp;L'!6:6,0))</f>
        <v>15776</v>
      </c>
      <c r="V7" s="487">
        <f>INDEX('qtrP&amp;L'!14:14,MATCH(V5,'qtrP&amp;L'!6:6,0))</f>
        <v>22390</v>
      </c>
      <c r="W7" s="487">
        <f>INDEX('qtrP&amp;L'!14:14,MATCH(W5,'qtrP&amp;L'!6:6,0))</f>
        <v>26970</v>
      </c>
      <c r="X7" s="487">
        <f>INDEX('qtrP&amp;L'!14:14,MATCH(X5,'qtrP&amp;L'!6:6,0))</f>
        <v>26313</v>
      </c>
      <c r="Y7" s="487">
        <f>INDEX('qtrP&amp;L'!14:14,MATCH(Y5,'qtrP&amp;L'!6:6,0))</f>
        <v>24892</v>
      </c>
      <c r="Z7" s="487">
        <f>INDEX('qtrP&amp;L'!14:14,MATCH(Z5,'qtrP&amp;L'!6:6,0))</f>
        <v>23895</v>
      </c>
      <c r="AA7" s="487">
        <f>INDEX('qtrP&amp;L'!14:14,MATCH(AA5,'qtrP&amp;L'!6:6,0))</f>
        <v>25003</v>
      </c>
      <c r="AB7" s="487">
        <f>INDEX('qtrP&amp;L'!14:14,MATCH(AB5,'qtrP&amp;L'!6:6,0))</f>
        <v>26405</v>
      </c>
      <c r="AC7" s="487">
        <f>INDEX('qtrP&amp;L'!14:14,MATCH(AC5,'qtrP&amp;L'!6:6,0))</f>
        <v>27686</v>
      </c>
      <c r="AD7" s="487">
        <f>INDEX('qtrP&amp;L'!14:14,MATCH(AD5,'qtrP&amp;L'!6:6,0))</f>
        <v>27931</v>
      </c>
      <c r="AE7" s="487">
        <f>INDEX('qtrP&amp;L'!14:14,MATCH(AE5,'qtrP&amp;L'!6:6,0))</f>
        <v>28105</v>
      </c>
      <c r="AF7" s="487">
        <f>INDEX('qtrP&amp;L'!14:14,MATCH(AF5,'qtrP&amp;L'!6:6,0))</f>
        <v>27079</v>
      </c>
      <c r="AG7" s="487">
        <f>INDEX('qtrP&amp;L'!14:14,MATCH(AG5,'qtrP&amp;L'!6:6,0))</f>
        <v>25910</v>
      </c>
      <c r="AH7" s="487">
        <f>INDEX('qtrP&amp;L'!14:14,MATCH(AH5,'qtrP&amp;L'!6:6,0))</f>
        <v>24945</v>
      </c>
      <c r="AI7" s="487">
        <f>INDEX('qtrP&amp;L'!14:14,MATCH(AI5,'qtrP&amp;L'!6:6,0))</f>
        <v>24555.261999999999</v>
      </c>
      <c r="AJ7" s="487">
        <f>yrSales!AJ11</f>
        <v>23831.44730298777</v>
      </c>
      <c r="AK7" s="487">
        <f>yrSales!AK11</f>
        <v>23123.892412542602</v>
      </c>
      <c r="AL7" s="487">
        <f>yrSales!AL11</f>
        <v>22454.593200827767</v>
      </c>
      <c r="AM7" s="1233">
        <f>yrSales!AM11</f>
        <v>21799.585572460201</v>
      </c>
      <c r="AO7" s="448">
        <f>RATE(5,,-AB7,AG7)*100</f>
        <v>-0.37777246930827463</v>
      </c>
      <c r="AP7" s="261" t="s">
        <v>93</v>
      </c>
      <c r="AQ7" s="449">
        <f>RATE(6,,-AG7,AM7)*100</f>
        <v>-2.8379198513198731</v>
      </c>
      <c r="AR7" s="262" t="s">
        <v>93</v>
      </c>
      <c r="AS7" s="282"/>
      <c r="AV7" s="282"/>
    </row>
    <row r="8" spans="1:48" x14ac:dyDescent="0.2">
      <c r="A8" s="450" t="s">
        <v>21</v>
      </c>
      <c r="B8" s="488"/>
      <c r="D8" s="489">
        <f>D7/C7-1</f>
        <v>-2.935599258637267E-2</v>
      </c>
      <c r="E8" s="489">
        <f>E7/C7-1</f>
        <v>-2.935599258637267E-2</v>
      </c>
      <c r="F8" s="489">
        <f>F7/E7-1</f>
        <v>2.1294160701975429E-2</v>
      </c>
      <c r="G8" s="489">
        <f>G7/F7-1</f>
        <v>2.1111051631644839E-2</v>
      </c>
      <c r="H8" s="489">
        <f>H7/G7-1</f>
        <v>6.6128669492348191E-2</v>
      </c>
      <c r="I8" s="489"/>
      <c r="J8" s="489"/>
      <c r="L8" s="490"/>
      <c r="M8" s="489">
        <f>M7/J7-1</f>
        <v>5.9648804967897595E-2</v>
      </c>
      <c r="N8" s="489">
        <f t="shared" ref="N8:AD8" si="3">N7/M7-1</f>
        <v>2.6090473943234604E-2</v>
      </c>
      <c r="O8" s="489">
        <f t="shared" si="3"/>
        <v>9.5269382391589552E-3</v>
      </c>
      <c r="P8" s="489">
        <f t="shared" si="3"/>
        <v>4.3215099251545652E-2</v>
      </c>
      <c r="Q8" s="489">
        <f t="shared" si="3"/>
        <v>3.7993636533782515E-2</v>
      </c>
      <c r="R8" s="489">
        <f>R7/Q7-1</f>
        <v>-5.126818127178745E-2</v>
      </c>
      <c r="S8" s="489">
        <f>S7/R7-1</f>
        <v>-1.3557174532784266E-2</v>
      </c>
      <c r="T8" s="489">
        <f>T7/S7-1</f>
        <v>-1.0211290218996805E-2</v>
      </c>
      <c r="U8" s="489">
        <f t="shared" si="3"/>
        <v>2.361796003114458E-2</v>
      </c>
      <c r="V8" s="489">
        <f t="shared" si="3"/>
        <v>0.41924442190669375</v>
      </c>
      <c r="W8" s="489">
        <f t="shared" si="3"/>
        <v>0.20455560518088434</v>
      </c>
      <c r="X8" s="489">
        <f t="shared" si="3"/>
        <v>-2.4360400444938812E-2</v>
      </c>
      <c r="Y8" s="489">
        <f t="shared" si="3"/>
        <v>-5.4003724394785846E-2</v>
      </c>
      <c r="Z8" s="489">
        <f t="shared" si="3"/>
        <v>-4.0053029085650005E-2</v>
      </c>
      <c r="AA8" s="489">
        <f t="shared" si="3"/>
        <v>4.6369533375183014E-2</v>
      </c>
      <c r="AB8" s="489">
        <f t="shared" si="3"/>
        <v>5.60732712074552E-2</v>
      </c>
      <c r="AC8" s="489">
        <f t="shared" si="3"/>
        <v>4.8513539102442715E-2</v>
      </c>
      <c r="AD8" s="489">
        <f t="shared" si="3"/>
        <v>8.8492378819620132E-3</v>
      </c>
      <c r="AE8" s="489">
        <f t="shared" ref="AE8:AJ8" si="4">AE7/AD7-1</f>
        <v>6.229637320539938E-3</v>
      </c>
      <c r="AF8" s="489">
        <f t="shared" si="4"/>
        <v>-3.6505959793631026E-2</v>
      </c>
      <c r="AG8" s="489">
        <f t="shared" si="4"/>
        <v>-4.3169984120536187E-2</v>
      </c>
      <c r="AH8" s="489">
        <f t="shared" si="4"/>
        <v>-3.7244307217290662E-2</v>
      </c>
      <c r="AI8" s="489">
        <f>AI7/AH7-1</f>
        <v>-1.5623892563640052E-2</v>
      </c>
      <c r="AJ8" s="489">
        <f t="shared" si="4"/>
        <v>-2.9476969010236109E-2</v>
      </c>
      <c r="AK8" s="489">
        <f>AK7/AJ7-1</f>
        <v>-2.9689967270953854E-2</v>
      </c>
      <c r="AL8" s="489">
        <f>AL7/AK7-1</f>
        <v>-2.8944054909708972E-2</v>
      </c>
      <c r="AM8" s="1234">
        <f>AM7/AL7-1</f>
        <v>-2.9170318184317812E-2</v>
      </c>
      <c r="AO8" s="260"/>
      <c r="AP8" s="261"/>
      <c r="AQ8" s="261"/>
      <c r="AR8" s="262"/>
    </row>
    <row r="9" spans="1:48" x14ac:dyDescent="0.2">
      <c r="A9" s="450" t="s">
        <v>223</v>
      </c>
      <c r="B9" s="490"/>
      <c r="C9" s="489">
        <f>INDEX('qtrP&amp;L'!14:14,MATCH(C5,'qtrP&amp;L'!6:6,0)+2)/100</f>
        <v>-4.2999999999999997E-2</v>
      </c>
      <c r="D9" s="489">
        <f>INDEX('qtrP&amp;L'!14:14,MATCH(D5,'qtrP&amp;L'!6:6,0)+2)/100</f>
        <v>1.3999999999999999E-2</v>
      </c>
      <c r="E9" s="489">
        <f>INDEX('qtrP&amp;L'!14:14,MATCH(E5,'qtrP&amp;L'!6:6,0)+2)/100</f>
        <v>1.3999999999999999E-2</v>
      </c>
      <c r="F9" s="489">
        <f>INDEX('qtrP&amp;L'!14:14,MATCH(F5,'qtrP&amp;L'!6:6,0)+2)/100</f>
        <v>5.2000000000000005E-2</v>
      </c>
      <c r="G9" s="489">
        <f>INDEX('qtrP&amp;L'!14:14,MATCH(G5,'qtrP&amp;L'!6:6,0)+2)/100</f>
        <v>1.9E-2</v>
      </c>
      <c r="H9" s="489">
        <f>INDEX('qtrP&amp;L'!14:14,MATCH(H5,'qtrP&amp;L'!6:6,0)+2)/100</f>
        <v>3.1E-2</v>
      </c>
      <c r="I9" s="489">
        <f>INDEX('qtrP&amp;L'!14:14,MATCH(I5,'qtrP&amp;L'!6:6,0)+2)/100</f>
        <v>3.0898675327518884E-2</v>
      </c>
      <c r="J9" s="489">
        <f>INDEX('qtrP&amp;L'!14:14,MATCH(J5,'qtrP&amp;L'!6:6,0)+2)/100</f>
        <v>2.7118808112624963E-2</v>
      </c>
      <c r="L9" s="490">
        <v>2.7E-2</v>
      </c>
      <c r="M9" s="489">
        <f>INDEX('qtrP&amp;L'!14:14,MATCH(M5,'qtrP&amp;L'!6:6,0)+2)/100</f>
        <v>3.1E-2</v>
      </c>
      <c r="N9" s="489">
        <f>INDEX('qtrP&amp;L'!14:14,MATCH(N5,'qtrP&amp;L'!6:6,0)+2)/100</f>
        <v>2.7000000000000003E-2</v>
      </c>
      <c r="O9" s="489">
        <f>INDEX('qtrP&amp;L'!14:14,MATCH(O5,'qtrP&amp;L'!6:6,0)+2)/100</f>
        <v>2.2000000000000002E-2</v>
      </c>
      <c r="P9" s="489">
        <f>INDEX('qtrP&amp;L'!14:14,MATCH(P5,'qtrP&amp;L'!6:6,0)+2)/100</f>
        <v>4.4999999999999998E-2</v>
      </c>
      <c r="Q9" s="489">
        <f>INDEX('qtrP&amp;L'!14:14,MATCH(Q5,'qtrP&amp;L'!6:6,0)+2)/100</f>
        <v>0.02</v>
      </c>
      <c r="R9" s="489">
        <f>INDEX('qtrP&amp;L'!14:14,MATCH(R5,'qtrP&amp;L'!6:6,0)+2)/100</f>
        <v>-5.2999999999999999E-2</v>
      </c>
      <c r="S9" s="489">
        <f>INDEX('qtrP&amp;L'!14:14,MATCH(S5,'qtrP&amp;L'!6:6,0)+2)/100</f>
        <v>-0.03</v>
      </c>
      <c r="T9" s="489">
        <f>INDEX('qtrP&amp;L'!14:14,MATCH(T5,'qtrP&amp;L'!6:6,0)+2)/100</f>
        <v>-9.0000000000000011E-3</v>
      </c>
      <c r="U9" s="489">
        <f>INDEX('qtrP&amp;L'!14:14,MATCH(U5,'qtrP&amp;L'!6:6,0)+2)/100</f>
        <v>2.6000000000000002E-2</v>
      </c>
      <c r="V9" s="489">
        <f>INDEX('qtrP&amp;L'!14:14,MATCH(V5,'qtrP&amp;L'!6:6,0)+2)/100</f>
        <v>1.3000000000000001E-2</v>
      </c>
      <c r="W9" s="489">
        <f>INDEX('qtrP&amp;L'!14:14,MATCH(W5,'qtrP&amp;L'!6:6,0)+2)/100</f>
        <v>4.4000000000000004E-2</v>
      </c>
      <c r="X9" s="489">
        <f>INDEX('qtrP&amp;L'!14:14,MATCH(X5,'qtrP&amp;L'!6:6,0)+2)/100</f>
        <v>-1.3000000000000001E-2</v>
      </c>
      <c r="Y9" s="489">
        <f>INDEX('qtrP&amp;L'!14:14,MATCH(Y5,'qtrP&amp;L'!6:6,0)+2)/100</f>
        <v>-4.4999999999999998E-2</v>
      </c>
      <c r="Z9" s="489">
        <f>INDEX('qtrP&amp;L'!14:14,MATCH(Z5,'qtrP&amp;L'!6:6,0)+2)/100</f>
        <v>-5.2999999999999999E-2</v>
      </c>
      <c r="AA9" s="489">
        <f>INDEX('qtrP&amp;L'!14:14,MATCH(AA5,'qtrP&amp;L'!6:6,0)+2)/100</f>
        <v>4.5999999999999999E-2</v>
      </c>
      <c r="AB9" s="489">
        <f>INDEX('qtrP&amp;L'!14:14,MATCH(AB5,'qtrP&amp;L'!6:6,0)+2)/100</f>
        <v>5.2999999999999999E-2</v>
      </c>
      <c r="AC9" s="489">
        <f>INDEX('qtrP&amp;L'!14:14,MATCH(AC5,'qtrP&amp;L'!6:6,0)+2)/100</f>
        <v>3.7000000000000005E-2</v>
      </c>
      <c r="AD9" s="489">
        <f>INDEX('qtrP&amp;L'!14:14,MATCH(AD5,'qtrP&amp;L'!6:6,0)+2)/100</f>
        <v>1.9428806702230499E-2</v>
      </c>
      <c r="AE9" s="489">
        <f>INDEX('qtrP&amp;L'!14:14,MATCH(AE5,'qtrP&amp;L'!6:6,0)+2)/100</f>
        <v>6.9999999999999993E-3</v>
      </c>
      <c r="AF9" s="489">
        <f>INDEX('qtrP&amp;L'!14:14,MATCH(AF5,'qtrP&amp;L'!6:6,0)+2)/100</f>
        <v>-3.052572103844307E-2</v>
      </c>
      <c r="AG9" s="489">
        <f>'qtrP&amp;L'!DJ14/100</f>
        <v>-3.5000000000000003E-2</v>
      </c>
      <c r="AH9" s="489">
        <f>'qtrP&amp;L'!DN14/100</f>
        <v>-2.2000000000000002E-2</v>
      </c>
      <c r="AI9" s="489">
        <f>'qtrP&amp;L'!DR14/100</f>
        <v>3.3402492304908001E-3</v>
      </c>
      <c r="AJ9" s="489">
        <f>yrSales!AJ27</f>
        <v>-0.02</v>
      </c>
      <c r="AK9" s="489">
        <f>yrSales!AK27</f>
        <v>-0.02</v>
      </c>
      <c r="AL9" s="489">
        <f>yrSales!AL27</f>
        <v>-0.02</v>
      </c>
      <c r="AM9" s="1234">
        <f>yrSales!AM27</f>
        <v>-0.02</v>
      </c>
      <c r="AO9" s="448"/>
      <c r="AP9" s="261"/>
      <c r="AQ9" s="449"/>
      <c r="AR9" s="262"/>
      <c r="AS9" s="282"/>
    </row>
    <row r="10" spans="1:48" x14ac:dyDescent="0.2">
      <c r="A10" s="450"/>
      <c r="B10" s="490"/>
      <c r="C10" s="489"/>
      <c r="D10" s="489"/>
      <c r="E10" s="489"/>
      <c r="F10" s="489"/>
      <c r="G10" s="489"/>
      <c r="H10" s="489"/>
      <c r="I10" s="489"/>
      <c r="J10" s="489"/>
      <c r="L10" s="490"/>
      <c r="M10" s="489"/>
      <c r="N10" s="489"/>
      <c r="O10" s="489"/>
      <c r="P10" s="489"/>
      <c r="Q10" s="489"/>
      <c r="R10" s="489"/>
      <c r="S10" s="489"/>
      <c r="T10" s="489"/>
      <c r="U10" s="489"/>
      <c r="V10" s="489"/>
      <c r="W10" s="489"/>
      <c r="X10" s="489"/>
      <c r="Y10" s="489"/>
      <c r="Z10" s="489"/>
      <c r="AA10" s="489"/>
      <c r="AB10" s="489"/>
      <c r="AC10" s="489"/>
      <c r="AD10" s="489"/>
      <c r="AE10" s="489"/>
      <c r="AF10" s="489"/>
      <c r="AG10" s="489"/>
      <c r="AH10" s="489"/>
      <c r="AI10" s="489"/>
      <c r="AJ10" s="489"/>
      <c r="AK10" s="489"/>
      <c r="AL10" s="489"/>
      <c r="AM10" s="1234"/>
      <c r="AO10" s="448"/>
      <c r="AP10" s="261"/>
      <c r="AQ10" s="449"/>
      <c r="AR10" s="262"/>
      <c r="AS10" s="282"/>
    </row>
    <row r="11" spans="1:48" x14ac:dyDescent="0.2">
      <c r="A11" s="185" t="s">
        <v>676</v>
      </c>
      <c r="B11" s="490"/>
      <c r="C11" s="489"/>
      <c r="D11" s="489"/>
      <c r="E11" s="489"/>
      <c r="F11" s="489"/>
      <c r="G11" s="489"/>
      <c r="H11" s="489"/>
      <c r="I11" s="489"/>
      <c r="J11" s="489"/>
      <c r="L11" s="490"/>
      <c r="M11" s="489"/>
      <c r="N11" s="489"/>
      <c r="O11" s="489"/>
      <c r="P11" s="489"/>
      <c r="Q11" s="489"/>
      <c r="R11" s="489"/>
      <c r="S11" s="489"/>
      <c r="T11" s="489"/>
      <c r="U11" s="489"/>
      <c r="V11" s="489"/>
      <c r="W11" s="489"/>
      <c r="X11" s="489"/>
      <c r="Y11" s="489"/>
      <c r="Z11" s="489"/>
      <c r="AA11" s="489"/>
      <c r="AB11" s="489"/>
      <c r="AC11" s="489"/>
      <c r="AD11" s="489"/>
      <c r="AE11" s="489"/>
      <c r="AF11" s="489"/>
      <c r="AG11" s="486">
        <f>'qtrP&amp;L'!DH23</f>
        <v>656</v>
      </c>
      <c r="AH11" s="486">
        <f>'qtrP&amp;L'!DL23</f>
        <v>702</v>
      </c>
      <c r="AI11" s="486">
        <f>'qtrP&amp;L'!DP23</f>
        <v>656</v>
      </c>
      <c r="AJ11" s="1403">
        <f>AI11+5</f>
        <v>661</v>
      </c>
      <c r="AK11" s="1403">
        <f t="shared" ref="AK11:AM11" si="5">AJ11+5</f>
        <v>666</v>
      </c>
      <c r="AL11" s="1403">
        <f t="shared" si="5"/>
        <v>671</v>
      </c>
      <c r="AM11" s="1403">
        <f t="shared" si="5"/>
        <v>676</v>
      </c>
      <c r="AO11" s="448"/>
      <c r="AP11" s="261"/>
      <c r="AQ11" s="449"/>
      <c r="AR11" s="262"/>
      <c r="AS11" s="282"/>
    </row>
    <row r="12" spans="1:48" x14ac:dyDescent="0.2">
      <c r="A12" s="450" t="s">
        <v>21</v>
      </c>
      <c r="B12" s="490"/>
      <c r="C12" s="489"/>
      <c r="D12" s="489"/>
      <c r="E12" s="489"/>
      <c r="F12" s="489"/>
      <c r="G12" s="489"/>
      <c r="H12" s="489"/>
      <c r="I12" s="489"/>
      <c r="J12" s="489"/>
      <c r="L12" s="490"/>
      <c r="M12" s="489"/>
      <c r="N12" s="489"/>
      <c r="O12" s="489"/>
      <c r="P12" s="489"/>
      <c r="Q12" s="489"/>
      <c r="R12" s="489"/>
      <c r="S12" s="489"/>
      <c r="T12" s="489"/>
      <c r="U12" s="489"/>
      <c r="V12" s="489"/>
      <c r="W12" s="489"/>
      <c r="X12" s="489"/>
      <c r="Y12" s="489"/>
      <c r="Z12" s="489"/>
      <c r="AA12" s="489"/>
      <c r="AB12" s="489"/>
      <c r="AC12" s="489"/>
      <c r="AD12" s="489"/>
      <c r="AE12" s="489"/>
      <c r="AF12" s="489"/>
      <c r="AG12" s="489"/>
      <c r="AH12" s="489">
        <f t="shared" ref="AH12:AM12" si="6">AH11/AG11-1</f>
        <v>7.0121951219512146E-2</v>
      </c>
      <c r="AI12" s="489">
        <f t="shared" si="6"/>
        <v>-6.5527065527065553E-2</v>
      </c>
      <c r="AJ12" s="1476">
        <f t="shared" si="6"/>
        <v>7.6219512195121464E-3</v>
      </c>
      <c r="AK12" s="1476">
        <f t="shared" si="6"/>
        <v>7.5642965204236745E-3</v>
      </c>
      <c r="AL12" s="1476">
        <f t="shared" si="6"/>
        <v>7.5075075075075048E-3</v>
      </c>
      <c r="AM12" s="1476">
        <f t="shared" si="6"/>
        <v>7.4515648286139768E-3</v>
      </c>
      <c r="AO12" s="448"/>
      <c r="AP12" s="261"/>
      <c r="AQ12" s="449"/>
      <c r="AR12" s="262"/>
      <c r="AS12" s="282"/>
    </row>
    <row r="13" spans="1:48" x14ac:dyDescent="0.2">
      <c r="A13" s="450"/>
      <c r="B13" s="490"/>
      <c r="C13" s="489"/>
      <c r="D13" s="489"/>
      <c r="E13" s="489"/>
      <c r="F13" s="489"/>
      <c r="G13" s="489"/>
      <c r="H13" s="489"/>
      <c r="I13" s="489"/>
      <c r="J13" s="489"/>
      <c r="L13" s="490"/>
      <c r="M13" s="489"/>
      <c r="N13" s="489"/>
      <c r="O13" s="489"/>
      <c r="P13" s="489"/>
      <c r="Q13" s="489"/>
      <c r="R13" s="489"/>
      <c r="S13" s="489"/>
      <c r="T13" s="489"/>
      <c r="U13" s="489"/>
      <c r="V13" s="489"/>
      <c r="W13" s="489"/>
      <c r="X13" s="489"/>
      <c r="Y13" s="489"/>
      <c r="Z13" s="489"/>
      <c r="AA13" s="489"/>
      <c r="AB13" s="489"/>
      <c r="AC13" s="489"/>
      <c r="AD13" s="489"/>
      <c r="AE13" s="489"/>
      <c r="AF13" s="489"/>
      <c r="AG13" s="489"/>
      <c r="AH13" s="489"/>
      <c r="AI13" s="489"/>
      <c r="AJ13" s="1477"/>
      <c r="AK13" s="1477"/>
      <c r="AL13" s="1477"/>
      <c r="AM13" s="1476"/>
      <c r="AO13" s="448"/>
      <c r="AP13" s="261"/>
      <c r="AQ13" s="449"/>
      <c r="AR13" s="262"/>
    </row>
    <row r="14" spans="1:48" x14ac:dyDescent="0.2">
      <c r="A14" s="185" t="s">
        <v>314</v>
      </c>
      <c r="B14" s="485">
        <v>5447.1210000000001</v>
      </c>
      <c r="C14" s="486">
        <f>INDEX('qtrP&amp;L'!33:33,MATCH(C5,'qtrP&amp;L'!6:6,0))</f>
        <v>4394.9759999999997</v>
      </c>
      <c r="D14" s="486">
        <f>INDEX('qtrP&amp;L'!33:33,MATCH(D5,'qtrP&amp;L'!6:6,0))</f>
        <v>4202.223</v>
      </c>
      <c r="E14" s="485">
        <v>4173.2920000000004</v>
      </c>
      <c r="F14" s="486">
        <f>INDEX('qtrP&amp;L'!33:33,MATCH(F5,'qtrP&amp;L'!6:6,0))</f>
        <v>4220.8230000000003</v>
      </c>
      <c r="G14" s="486">
        <f>INDEX('qtrP&amp;L'!33:33,MATCH(G5,'qtrP&amp;L'!6:6,0))</f>
        <v>4371.2170000000006</v>
      </c>
      <c r="H14" s="486">
        <f>INDEX('qtrP&amp;L'!33:33,MATCH(H5,'qtrP&amp;L'!6:6,0))</f>
        <v>4738.326</v>
      </c>
      <c r="I14" s="486">
        <f>INDEX('qtrP&amp;L'!33:33,MATCH(I5,'qtrP&amp;L'!6:6,0))</f>
        <v>8409.8680000000004</v>
      </c>
      <c r="J14" s="486">
        <f>INDEX('qtrP&amp;L'!33:33,MATCH(J5,'qtrP&amp;L'!6:6,0))</f>
        <v>8578.85</v>
      </c>
      <c r="L14" s="485">
        <v>9038</v>
      </c>
      <c r="M14" s="486">
        <f>INDEX('qtrP&amp;L'!33:33,MATCH(M5,'qtrP&amp;L'!6:6,0))</f>
        <v>9018</v>
      </c>
      <c r="N14" s="486">
        <f>INDEX('qtrP&amp;L'!33:33,MATCH(N5,'qtrP&amp;L'!6:6,0))</f>
        <v>9200</v>
      </c>
      <c r="O14" s="486">
        <f>INDEX('qtrP&amp;L'!33:33,MATCH(O5,'qtrP&amp;L'!6:6,0))</f>
        <v>9218</v>
      </c>
      <c r="P14" s="486">
        <f>INDEX('qtrP&amp;L'!33:33,MATCH(P5,'qtrP&amp;L'!6:6,0))</f>
        <v>9576</v>
      </c>
      <c r="Q14" s="486">
        <f>INDEX('qtrP&amp;L'!33:33,MATCH(Q5,'qtrP&amp;L'!6:6,0))</f>
        <v>9955</v>
      </c>
      <c r="R14" s="486">
        <f>INDEX('qtrP&amp;L'!33:33,MATCH(R5,'qtrP&amp;L'!6:6,0))</f>
        <v>9603</v>
      </c>
      <c r="S14" s="486">
        <f>INDEX('qtrP&amp;L'!33:33,MATCH(S5,'qtrP&amp;L'!6:6,0))</f>
        <v>9324</v>
      </c>
      <c r="T14" s="486">
        <f>INDEX('qtrP&amp;L'!33:33,MATCH(T5,'qtrP&amp;L'!6:6,0))</f>
        <v>9175</v>
      </c>
      <c r="U14" s="486">
        <f>INDEX('qtrP&amp;L'!33:33,MATCH(U5,'qtrP&amp;L'!6:6,0))</f>
        <v>9346</v>
      </c>
      <c r="V14" s="486">
        <f>INDEX('qtrP&amp;L'!33:33,MATCH(V5,'qtrP&amp;L'!6:6,0))</f>
        <v>13272</v>
      </c>
      <c r="W14" s="486">
        <f>INDEX('qtrP&amp;L'!33:33,MATCH(W5,'qtrP&amp;L'!6:6,0))</f>
        <v>16019</v>
      </c>
      <c r="X14" s="486">
        <f>INDEX('qtrP&amp;L'!33:33,MATCH(X5,'qtrP&amp;L'!6:6,0))</f>
        <v>15677</v>
      </c>
      <c r="Y14" s="486">
        <f>INDEX('qtrP&amp;L'!33:33,MATCH(Y5,'qtrP&amp;L'!6:6,0))</f>
        <v>15009</v>
      </c>
      <c r="Z14" s="486">
        <f>INDEX('qtrP&amp;L'!33:33,MATCH(Z5,'qtrP&amp;L'!6:6,0))</f>
        <v>14278</v>
      </c>
      <c r="AA14" s="486">
        <f>INDEX('qtrP&amp;L'!33:33,MATCH(AA5,'qtrP&amp;L'!6:6,0))</f>
        <v>14824</v>
      </c>
      <c r="AB14" s="486">
        <f>INDEX('qtrP&amp;L'!33:33,MATCH(AB5,'qtrP&amp;L'!6:6,0))</f>
        <v>15738</v>
      </c>
      <c r="AC14" s="486">
        <f>INDEX('qtrP&amp;L'!33:33,MATCH(AC5,'qtrP&amp;L'!6:6,0))</f>
        <v>16538</v>
      </c>
      <c r="AD14" s="486">
        <f>INDEX('qtrP&amp;L'!33:33,MATCH(AD5,'qtrP&amp;L'!6:6,0))</f>
        <v>16725</v>
      </c>
      <c r="AE14" s="486">
        <f>INDEX('qtrP&amp;L'!33:33,MATCH(AE5,'qtrP&amp;L'!6:6,0))</f>
        <v>16863</v>
      </c>
      <c r="AF14" s="486">
        <f>INDEX('qtrP&amp;L'!33:33,MATCH(AF5,'qtrP&amp;L'!6:6,0))</f>
        <v>16496</v>
      </c>
      <c r="AG14" s="486">
        <f>INDEX('qtrP&amp;L'!33:33,MATCH(AG5,'qtrP&amp;L'!6:6,0))</f>
        <v>15667</v>
      </c>
      <c r="AH14" s="486">
        <f>INDEX('qtrP&amp;L'!33:33,MATCH(AH5,'qtrP&amp;L'!6:6,0))</f>
        <v>15182</v>
      </c>
      <c r="AI14" s="486">
        <f>INDEX('qtrP&amp;L'!33:33,MATCH(AI5,'qtrP&amp;L'!6:6,0))</f>
        <v>14942.530947799998</v>
      </c>
      <c r="AJ14" s="486">
        <f>(1-AJ$15)*AJ7</f>
        <v>14604.545649520051</v>
      </c>
      <c r="AK14" s="486">
        <f>(1-AK$15)*AK7</f>
        <v>14255.108135560306</v>
      </c>
      <c r="AL14" s="486">
        <f>(1-AL$15)*AL7</f>
        <v>13935.469518792235</v>
      </c>
      <c r="AM14" s="1235">
        <f>(1-AM$15)*AM7</f>
        <v>13611.805864056552</v>
      </c>
      <c r="AO14" s="448">
        <f>RATE(5,,-AB14,AG14)*100</f>
        <v>-9.0390736967596336E-2</v>
      </c>
      <c r="AP14" s="261" t="s">
        <v>93</v>
      </c>
      <c r="AQ14" s="449">
        <f>RATE(6,,-AG14,AM14)*100</f>
        <v>-2.3164013679142852</v>
      </c>
      <c r="AR14" s="262" t="s">
        <v>93</v>
      </c>
      <c r="AS14" s="282"/>
    </row>
    <row r="15" spans="1:48" x14ac:dyDescent="0.2">
      <c r="A15" s="450" t="s">
        <v>36</v>
      </c>
      <c r="B15" s="489">
        <f t="shared" ref="B15:J15" si="7">1-B14/B7</f>
        <v>0.28115352303490848</v>
      </c>
      <c r="C15" s="489">
        <f t="shared" si="7"/>
        <v>0.3846280507808546</v>
      </c>
      <c r="D15" s="489">
        <f t="shared" si="7"/>
        <v>0.39382181124566762</v>
      </c>
      <c r="E15" s="489">
        <f t="shared" si="7"/>
        <v>0.39799515977544608</v>
      </c>
      <c r="F15" s="489">
        <f t="shared" si="7"/>
        <v>0.40383359126862783</v>
      </c>
      <c r="G15" s="489">
        <f t="shared" si="7"/>
        <v>0.39535599466954818</v>
      </c>
      <c r="H15" s="489">
        <f t="shared" si="7"/>
        <v>0.38522995268101345</v>
      </c>
      <c r="I15" s="489">
        <f t="shared" si="7"/>
        <v>0.38620822537678356</v>
      </c>
      <c r="J15" s="489">
        <f t="shared" si="7"/>
        <v>0.38713893679641009</v>
      </c>
      <c r="L15" s="489">
        <f t="shared" ref="L15:AE15" si="8">1-L14/L7</f>
        <v>0.38155193649924735</v>
      </c>
      <c r="M15" s="489">
        <f t="shared" si="8"/>
        <v>0.39203128160183376</v>
      </c>
      <c r="N15" s="489">
        <f t="shared" si="8"/>
        <v>0.39553219448094612</v>
      </c>
      <c r="O15" s="489">
        <f t="shared" si="8"/>
        <v>0.40006508298080057</v>
      </c>
      <c r="P15" s="489">
        <f t="shared" si="8"/>
        <v>0.40258281864121281</v>
      </c>
      <c r="Q15" s="489">
        <f t="shared" si="8"/>
        <v>0.4016708739031134</v>
      </c>
      <c r="R15" s="489">
        <f t="shared" si="8"/>
        <v>0.39163763066202095</v>
      </c>
      <c r="S15" s="489">
        <f t="shared" si="8"/>
        <v>0.40119452828976943</v>
      </c>
      <c r="T15" s="489">
        <f t="shared" si="8"/>
        <v>0.40468466130288083</v>
      </c>
      <c r="U15" s="489">
        <f t="shared" si="8"/>
        <v>0.40758113590263689</v>
      </c>
      <c r="V15" s="489">
        <f t="shared" si="8"/>
        <v>0.40723537293434564</v>
      </c>
      <c r="W15" s="489">
        <f t="shared" si="8"/>
        <v>0.40604375231738965</v>
      </c>
      <c r="X15" s="489">
        <f t="shared" si="8"/>
        <v>0.40421084634971305</v>
      </c>
      <c r="Y15" s="489">
        <f t="shared" si="8"/>
        <v>0.39703519202956772</v>
      </c>
      <c r="Z15" s="489">
        <f t="shared" si="8"/>
        <v>0.40246913580246912</v>
      </c>
      <c r="AA15" s="489">
        <f t="shared" si="8"/>
        <v>0.40711114666240056</v>
      </c>
      <c r="AB15" s="489">
        <f t="shared" si="8"/>
        <v>0.40397651959856085</v>
      </c>
      <c r="AC15" s="489">
        <f t="shared" si="8"/>
        <v>0.40265838329841797</v>
      </c>
      <c r="AD15" s="489">
        <f t="shared" si="8"/>
        <v>0.40120296444810422</v>
      </c>
      <c r="AE15" s="489">
        <f t="shared" si="8"/>
        <v>0.4</v>
      </c>
      <c r="AF15" s="489">
        <f>1-AF14/AF7</f>
        <v>0.39081945418959341</v>
      </c>
      <c r="AG15" s="489">
        <f>1-AG14/AG7</f>
        <v>0.39532998842145894</v>
      </c>
      <c r="AH15" s="489">
        <f>1-AH14/AH7</f>
        <v>0.39138103828422532</v>
      </c>
      <c r="AI15" s="1463">
        <f>1-AI14/AI7</f>
        <v>0.3914733653503677</v>
      </c>
      <c r="AJ15" s="1450">
        <f>AI15-0.0043</f>
        <v>0.38717336535036767</v>
      </c>
      <c r="AK15" s="1450">
        <f>AJ15-0.00364</f>
        <v>0.38353336535036769</v>
      </c>
      <c r="AL15" s="1450">
        <f>AK15-0.00414</f>
        <v>0.37939336535036772</v>
      </c>
      <c r="AM15" s="1449">
        <f>AL15-0.0038</f>
        <v>0.37559336535036769</v>
      </c>
      <c r="AO15" s="448"/>
      <c r="AP15" s="261"/>
      <c r="AQ15" s="449"/>
      <c r="AR15" s="262"/>
    </row>
    <row r="16" spans="1:48" ht="13.5" customHeight="1" x14ac:dyDescent="0.2">
      <c r="A16" s="450" t="s">
        <v>222</v>
      </c>
      <c r="B16" s="491"/>
      <c r="C16" s="491">
        <f>IF(ISERROR((C15-B15)*10000)=TRUE,"NM",(C15-B15)*10000)</f>
        <v>1034.7452774594612</v>
      </c>
      <c r="D16" s="491">
        <f>IF(ISERROR((D15-C15)*10000)=TRUE,"NM",(D15-C15)*10000)</f>
        <v>91.937604648130161</v>
      </c>
      <c r="E16" s="491">
        <f>IF(ISERROR((E15-C15)*10000)=TRUE,"NM",(E15-C15)*10000)</f>
        <v>133.67108994591482</v>
      </c>
      <c r="F16" s="491">
        <f>IF(ISERROR((F15-E15)*10000)=TRUE,"NM",(F15-E15)*10000)</f>
        <v>58.384314931817507</v>
      </c>
      <c r="G16" s="491">
        <f>IF(ISERROR((G15-F15)*10000)=TRUE,"NM",(G15-F15)*10000)</f>
        <v>-84.775965990796507</v>
      </c>
      <c r="H16" s="491">
        <f>IF(ISERROR((H15-G15)*10000)=TRUE,"NM",(H15-G15)*10000)</f>
        <v>-101.26041988534729</v>
      </c>
      <c r="I16" s="491">
        <f>IF(ISERROR((I15-H15)*10000)=TRUE,"NM",(I15-H15)*10000)</f>
        <v>9.7827269577011045</v>
      </c>
      <c r="J16" s="491">
        <f>IF(ISERROR((J15-H15)*10000)=TRUE,"NM",(J15-H15)*10000)</f>
        <v>19.08984115396639</v>
      </c>
      <c r="L16" s="491"/>
      <c r="M16" s="491">
        <f>IF(ISERROR((M15-J15)*10000)=TRUE,"NM",(M15-J15)*10000)</f>
        <v>48.923448054236651</v>
      </c>
      <c r="N16" s="491">
        <f>IF(ISERROR((N15-M15)*10000)=TRUE,"NM",(N15-M15)*10000)</f>
        <v>35.009128791123615</v>
      </c>
      <c r="O16" s="491">
        <f>IF(ISERROR((O15-N15)*10000)=TRUE,"NM",(O15-N15)*10000)</f>
        <v>45.328884998544481</v>
      </c>
      <c r="P16" s="491">
        <f t="shared" ref="P16:AC16" si="9">IF(ISERROR((P15-O15)*10000)=TRUE,"NM",(P15-O15)*10000)</f>
        <v>25.177356604122458</v>
      </c>
      <c r="Q16" s="491">
        <f t="shared" si="9"/>
        <v>-9.1194473809941279</v>
      </c>
      <c r="R16" s="491">
        <f>IF(ISERROR((R15-Q15)*10000)=TRUE,"NM",(R15-Q15)*10000)</f>
        <v>-100.33243241092448</v>
      </c>
      <c r="S16" s="491">
        <f t="shared" si="9"/>
        <v>95.568976277484722</v>
      </c>
      <c r="T16" s="491">
        <f t="shared" si="9"/>
        <v>34.901330131114072</v>
      </c>
      <c r="U16" s="491">
        <f t="shared" si="9"/>
        <v>28.964745997560605</v>
      </c>
      <c r="V16" s="491">
        <f t="shared" si="9"/>
        <v>-3.4576296829125219</v>
      </c>
      <c r="W16" s="491">
        <f t="shared" si="9"/>
        <v>-11.916206169559906</v>
      </c>
      <c r="X16" s="491">
        <f t="shared" si="9"/>
        <v>-18.329059676766015</v>
      </c>
      <c r="Y16" s="491">
        <f t="shared" si="9"/>
        <v>-71.756543201453297</v>
      </c>
      <c r="Z16" s="491">
        <f t="shared" si="9"/>
        <v>54.339437729014065</v>
      </c>
      <c r="AA16" s="491">
        <f t="shared" si="9"/>
        <v>46.420108599314332</v>
      </c>
      <c r="AB16" s="491">
        <f t="shared" si="9"/>
        <v>-31.346270638397122</v>
      </c>
      <c r="AC16" s="491">
        <f t="shared" si="9"/>
        <v>-13.181363001428803</v>
      </c>
      <c r="AD16" s="491">
        <f t="shared" ref="AD16:AJ16" si="10">IF(ISERROR((AD15-AC15)*10000)=TRUE,"NM",(AD15-AC15)*10000)</f>
        <v>-14.5541885031375</v>
      </c>
      <c r="AE16" s="491">
        <f t="shared" si="10"/>
        <v>-12.029644481041935</v>
      </c>
      <c r="AF16" s="491">
        <f t="shared" si="10"/>
        <v>-91.805458104066147</v>
      </c>
      <c r="AG16" s="491">
        <f t="shared" si="10"/>
        <v>45.105342318655374</v>
      </c>
      <c r="AH16" s="491">
        <f t="shared" si="10"/>
        <v>-39.4895013723362</v>
      </c>
      <c r="AI16" s="491">
        <f t="shared" si="10"/>
        <v>0.92327066142372516</v>
      </c>
      <c r="AJ16" s="491">
        <f t="shared" si="10"/>
        <v>-43.000000000000263</v>
      </c>
      <c r="AK16" s="491">
        <f>IF(ISERROR((AK15-AJ15)*10000)=TRUE,"NM",(AK15-AJ15)*10000)</f>
        <v>-36.399999999999764</v>
      </c>
      <c r="AL16" s="491">
        <f>IF(ISERROR((AL15-AK15)*10000)=TRUE,"NM",(AL15-AK15)*10000)</f>
        <v>-41.399999999999771</v>
      </c>
      <c r="AM16" s="1236">
        <f>IF(ISERROR((AM15-AL15)*10000)=TRUE,"NM",(AM15-AL15)*10000)</f>
        <v>-38.000000000000256</v>
      </c>
      <c r="AO16" s="260"/>
      <c r="AP16" s="261"/>
      <c r="AQ16" s="261"/>
      <c r="AR16" s="262"/>
    </row>
    <row r="17" spans="1:52" x14ac:dyDescent="0.2">
      <c r="N17" s="492"/>
      <c r="O17" s="492"/>
      <c r="P17" s="492"/>
      <c r="Q17" s="492"/>
      <c r="R17" s="492"/>
      <c r="S17" s="492"/>
      <c r="T17" s="492"/>
      <c r="U17" s="492"/>
      <c r="V17" s="492"/>
      <c r="W17" s="492"/>
      <c r="X17" s="492"/>
      <c r="Y17" s="492"/>
      <c r="Z17" s="492"/>
      <c r="AA17" s="492"/>
      <c r="AB17" s="492"/>
      <c r="AC17" s="492"/>
      <c r="AD17" s="492"/>
      <c r="AE17" s="492"/>
      <c r="AF17" s="492"/>
      <c r="AG17" s="391"/>
      <c r="AH17" s="492"/>
      <c r="AI17" s="492"/>
      <c r="AJ17" s="492"/>
      <c r="AK17" s="492"/>
      <c r="AL17" s="492"/>
      <c r="AM17" s="1237"/>
      <c r="AO17" s="260"/>
      <c r="AP17" s="261"/>
      <c r="AQ17" s="261"/>
      <c r="AR17" s="262"/>
      <c r="AV17" s="290"/>
      <c r="AY17" s="282"/>
    </row>
    <row r="18" spans="1:52" x14ac:dyDescent="0.2">
      <c r="A18" s="185" t="s">
        <v>315</v>
      </c>
      <c r="B18" s="485">
        <v>1881.0170000000001</v>
      </c>
      <c r="C18" s="486">
        <f>INDEX('qtrP&amp;L'!43:43,MATCH(C5,'qtrP&amp;L'!6:6,0))</f>
        <v>2611.8340000000003</v>
      </c>
      <c r="D18" s="486">
        <f>INDEX('qtrP&amp;L'!43:43,MATCH(D5,'qtrP&amp;L'!6:6,0))</f>
        <v>2463.1280000000002</v>
      </c>
      <c r="E18" s="485">
        <v>2458.1280000000002</v>
      </c>
      <c r="F18" s="486">
        <f>INDEX('qtrP&amp;L'!43:43,MATCH(F5,'qtrP&amp;L'!6:6,0))</f>
        <v>2420.6839999999997</v>
      </c>
      <c r="G18" s="486">
        <f>INDEX('qtrP&amp;L'!43:43,MATCH(G5,'qtrP&amp;L'!6:6,0))</f>
        <v>2347.5460000000003</v>
      </c>
      <c r="H18" s="486">
        <f>INDEX('qtrP&amp;L'!43:43,MATCH(H5,'qtrP&amp;L'!6:6,0))</f>
        <v>2328.047</v>
      </c>
      <c r="I18" s="486">
        <f>INDEX('qtrP&amp;L'!43:43,MATCH(I5,'qtrP&amp;L'!6:6,0))</f>
        <v>4608.8310000000001</v>
      </c>
      <c r="J18" s="486">
        <f>INDEX('qtrP&amp;L'!43:43,MATCH(J5,'qtrP&amp;L'!6:6,0))</f>
        <v>4424.5330000000004</v>
      </c>
      <c r="L18" s="485">
        <v>4913</v>
      </c>
      <c r="M18" s="486">
        <f>INDEX('qtrP&amp;L'!43:43,MATCH(M5,'qtrP&amp;L'!6:6,0))</f>
        <v>4922</v>
      </c>
      <c r="N18" s="486">
        <f>INDEX('qtrP&amp;L'!43:43,MATCH(N5,'qtrP&amp;L'!6:6,0))</f>
        <v>4679</v>
      </c>
      <c r="O18" s="486">
        <f>INDEX('qtrP&amp;L'!43:43,MATCH(O5,'qtrP&amp;L'!6:6,0))</f>
        <v>4692</v>
      </c>
      <c r="P18" s="486">
        <f>INDEX('qtrP&amp;L'!43:43,MATCH(P5,'qtrP&amp;L'!6:6,0))</f>
        <v>4760</v>
      </c>
      <c r="Q18" s="486">
        <f>INDEX('qtrP&amp;L'!43:43,MATCH(Q5,'qtrP&amp;L'!6:6,0))</f>
        <v>4912</v>
      </c>
      <c r="R18" s="486">
        <f>INDEX('qtrP&amp;L'!43:43,MATCH(R5,'qtrP&amp;L'!6:6,0))</f>
        <v>4806</v>
      </c>
      <c r="S18" s="486">
        <f>INDEX('qtrP&amp;L'!43:43,MATCH(S5,'qtrP&amp;L'!6:6,0))</f>
        <v>4836</v>
      </c>
      <c r="T18" s="486">
        <f>INDEX('qtrP&amp;L'!43:43,MATCH(T5,'qtrP&amp;L'!6:6,0))</f>
        <v>4837</v>
      </c>
      <c r="U18" s="486">
        <f>INDEX('qtrP&amp;L'!43:43,MATCH(U5,'qtrP&amp;L'!6:6,0))</f>
        <v>4931</v>
      </c>
      <c r="V18" s="486">
        <f>INDEX('qtrP&amp;L'!43:43,MATCH(V5,'qtrP&amp;L'!6:6,0))</f>
        <v>6980</v>
      </c>
      <c r="W18" s="486">
        <f>INDEX('qtrP&amp;L'!43:43,MATCH(W5,'qtrP&amp;L'!6:6,0))</f>
        <v>8678</v>
      </c>
      <c r="X18" s="486">
        <f>INDEX('qtrP&amp;L'!43:43,MATCH(X5,'qtrP&amp;L'!6:6,0))</f>
        <v>8554</v>
      </c>
      <c r="Y18" s="486">
        <f>INDEX('qtrP&amp;L'!43:43,MATCH(Y5,'qtrP&amp;L'!6:6,0))</f>
        <v>8458</v>
      </c>
      <c r="Z18" s="486">
        <f>INDEX('qtrP&amp;L'!43:43,MATCH(Z5,'qtrP&amp;L'!6:6,0))</f>
        <v>8163</v>
      </c>
      <c r="AA18" s="486">
        <f>INDEX('qtrP&amp;L'!43:43,MATCH(AA5,'qtrP&amp;L'!6:6,0))</f>
        <v>8260</v>
      </c>
      <c r="AB18" s="486">
        <f>INDEX('qtrP&amp;L'!43:43,MATCH(AB5,'qtrP&amp;L'!6:6,0))</f>
        <v>8281</v>
      </c>
      <c r="AC18" s="486">
        <f>INDEX('qtrP&amp;L'!43:43,MATCH(AC5,'qtrP&amp;L'!6:6,0))</f>
        <v>8482</v>
      </c>
      <c r="AD18" s="486">
        <f>INDEX('qtrP&amp;L'!43:43,MATCH(AD5,'qtrP&amp;L'!6:6,0))</f>
        <v>8440</v>
      </c>
      <c r="AE18" s="486">
        <f>INDEX('qtrP&amp;L'!43:43,MATCH(AE5,'qtrP&amp;L'!6:6,0))</f>
        <v>8355</v>
      </c>
      <c r="AF18" s="486">
        <f>INDEX('qtrP&amp;L'!43:43,MATCH(AF5,'qtrP&amp;L'!6:6,0))</f>
        <v>8256</v>
      </c>
      <c r="AG18" s="486">
        <f>INDEX('qtrP&amp;L'!43:43,MATCH(AG5,'qtrP&amp;L'!6:6,0))</f>
        <v>9048.25</v>
      </c>
      <c r="AH18" s="486">
        <f>INDEX('qtrP&amp;L'!43:43,MATCH(AH5,'qtrP&amp;L'!6:6,0))</f>
        <v>8409</v>
      </c>
      <c r="AI18" s="486">
        <f>sgadetail!$AJ$65</f>
        <v>8635</v>
      </c>
      <c r="AJ18" s="486">
        <f>sgadetail!$AN$65</f>
        <v>8603.5889999999999</v>
      </c>
      <c r="AK18" s="486">
        <f>sgadetail!$AR$65</f>
        <v>8579.9294594999992</v>
      </c>
      <c r="AL18" s="486">
        <f>sgadetail!$AV$65</f>
        <v>8508.1300238240001</v>
      </c>
      <c r="AM18" s="1235">
        <f>sgadetail!$AZ$65</f>
        <v>8436.8249836334071</v>
      </c>
      <c r="AO18" s="448">
        <f>RATE(5,,-AB18,AG18)*100</f>
        <v>1.7879484923947122</v>
      </c>
      <c r="AP18" s="261" t="s">
        <v>93</v>
      </c>
      <c r="AQ18" s="449">
        <f>RATE(6,,-AG18,AM18)*100</f>
        <v>-1.1593161662175182</v>
      </c>
      <c r="AR18" s="262" t="s">
        <v>93</v>
      </c>
      <c r="AS18" s="282"/>
      <c r="AT18" s="288"/>
      <c r="AU18" s="385"/>
      <c r="AV18" s="385"/>
      <c r="AW18" s="385"/>
    </row>
    <row r="19" spans="1:52" x14ac:dyDescent="0.2">
      <c r="A19" s="450" t="s">
        <v>224</v>
      </c>
      <c r="B19" s="489">
        <f t="shared" ref="B19:AB19" si="11">IF(B18=0,"NA",B18/B$7)</f>
        <v>0.24823433214746754</v>
      </c>
      <c r="C19" s="489">
        <f t="shared" si="11"/>
        <v>0.3657015145513508</v>
      </c>
      <c r="D19" s="489">
        <f t="shared" si="11"/>
        <v>0.3553106224277201</v>
      </c>
      <c r="E19" s="489">
        <f t="shared" si="11"/>
        <v>0.35458936347888004</v>
      </c>
      <c r="F19" s="489">
        <f t="shared" si="11"/>
        <v>0.34190736900208624</v>
      </c>
      <c r="G19" s="489">
        <f t="shared" si="11"/>
        <v>0.32472183745109906</v>
      </c>
      <c r="H19" s="489">
        <f t="shared" si="11"/>
        <v>0.30205046346554137</v>
      </c>
      <c r="I19" s="489">
        <f t="shared" si="11"/>
        <v>0.33637419260664891</v>
      </c>
      <c r="J19" s="489">
        <f t="shared" si="11"/>
        <v>0.31608245843666333</v>
      </c>
      <c r="L19" s="489">
        <f t="shared" si="11"/>
        <v>0.33618448063500755</v>
      </c>
      <c r="M19" s="489">
        <f t="shared" si="11"/>
        <v>0.33182768152093306</v>
      </c>
      <c r="N19" s="489">
        <f t="shared" si="11"/>
        <v>0.30742444152431014</v>
      </c>
      <c r="O19" s="489">
        <f t="shared" si="11"/>
        <v>0.30536934591604298</v>
      </c>
      <c r="P19" s="489">
        <f t="shared" si="11"/>
        <v>0.29696175681577142</v>
      </c>
      <c r="Q19" s="489">
        <f t="shared" si="11"/>
        <v>0.29522779180189929</v>
      </c>
      <c r="R19" s="489">
        <f t="shared" si="11"/>
        <v>0.30446626544187522</v>
      </c>
      <c r="S19" s="489">
        <f t="shared" si="11"/>
        <v>0.31057735534005521</v>
      </c>
      <c r="T19" s="489">
        <f t="shared" si="11"/>
        <v>0.31384635349078638</v>
      </c>
      <c r="U19" s="489">
        <f t="shared" si="11"/>
        <v>0.31256338742393508</v>
      </c>
      <c r="V19" s="489">
        <f t="shared" si="11"/>
        <v>0.311746315319339</v>
      </c>
      <c r="W19" s="489">
        <f t="shared" si="11"/>
        <v>0.32176492398961809</v>
      </c>
      <c r="X19" s="489">
        <f t="shared" si="11"/>
        <v>0.32508645916467144</v>
      </c>
      <c r="Y19" s="489">
        <f t="shared" si="11"/>
        <v>0.33978788365739998</v>
      </c>
      <c r="Z19" s="489">
        <f t="shared" si="11"/>
        <v>0.34161958568738232</v>
      </c>
      <c r="AA19" s="489">
        <f t="shared" si="11"/>
        <v>0.33036035675718911</v>
      </c>
      <c r="AB19" s="489">
        <f t="shared" si="11"/>
        <v>0.31361484567316794</v>
      </c>
      <c r="AC19" s="489">
        <f t="shared" ref="AC19:AL19" si="12">IF(AC18=0,"NA",AC18/AC$7)</f>
        <v>0.30636422740735392</v>
      </c>
      <c r="AD19" s="489">
        <f t="shared" si="12"/>
        <v>0.30217321255952168</v>
      </c>
      <c r="AE19" s="489">
        <f t="shared" si="12"/>
        <v>0.29727806440135207</v>
      </c>
      <c r="AF19" s="489">
        <f t="shared" si="12"/>
        <v>0.3048857047896894</v>
      </c>
      <c r="AG19" s="489">
        <f t="shared" si="12"/>
        <v>0.3492184484754921</v>
      </c>
      <c r="AH19" s="489">
        <f t="shared" si="12"/>
        <v>0.33710162357185808</v>
      </c>
      <c r="AI19" s="489">
        <f t="shared" si="12"/>
        <v>0.35165578766783268</v>
      </c>
      <c r="AJ19" s="489">
        <f t="shared" si="12"/>
        <v>0.36101831712593302</v>
      </c>
      <c r="AK19" s="489">
        <f t="shared" si="12"/>
        <v>0.37104174792156402</v>
      </c>
      <c r="AL19" s="489">
        <f t="shared" si="12"/>
        <v>0.37890377027673589</v>
      </c>
      <c r="AM19" s="1234">
        <f t="shared" ref="AM19" si="13">IF(AM18=0,"NA",AM18/AM$7)</f>
        <v>0.38701767772557089</v>
      </c>
      <c r="AO19" s="260"/>
      <c r="AP19" s="261"/>
      <c r="AQ19" s="261"/>
      <c r="AR19" s="262"/>
      <c r="AT19" s="385"/>
      <c r="AU19" s="385"/>
      <c r="AW19" s="385"/>
      <c r="AZ19" s="385"/>
    </row>
    <row r="20" spans="1:52" outlineLevel="1" x14ac:dyDescent="0.2">
      <c r="A20" s="450" t="s">
        <v>222</v>
      </c>
      <c r="B20" s="491"/>
      <c r="C20" s="491">
        <f>IF(ISERROR((C19-B19)*10000)=TRUE,"NM",(C19-B19)*10000)</f>
        <v>1174.6718240388327</v>
      </c>
      <c r="D20" s="491">
        <f>IF(ISERROR((D19-C19)*10000)=TRUE,"NM",(D19-C19)*10000)</f>
        <v>-103.90892123630702</v>
      </c>
      <c r="E20" s="491">
        <f>IF(ISERROR((E19-C19)*10000)=TRUE,"NM",(E19-C19)*10000)</f>
        <v>-111.12151072470766</v>
      </c>
      <c r="F20" s="491">
        <f>IF(ISERROR((F19-E19)*10000)=TRUE,"NM",(F19-E19)*10000)</f>
        <v>-126.81994476793801</v>
      </c>
      <c r="G20" s="491">
        <f>IF(ISERROR((G19-F19)*10000)=TRUE,"NM",(G19-F19)*10000)</f>
        <v>-171.85531550987176</v>
      </c>
      <c r="H20" s="491">
        <f t="shared" ref="H20:S20" si="14">IF(ISERROR((H19-G19)*10000)=TRUE,"NM",(H19-G19)*10000)</f>
        <v>-226.71373985557685</v>
      </c>
      <c r="I20" s="491">
        <f t="shared" si="14"/>
        <v>343.23729141107538</v>
      </c>
      <c r="J20" s="491">
        <f>IF(ISERROR((J19-H19)*10000)=TRUE,"NM",(J19-H19)*10000)</f>
        <v>140.31994971121952</v>
      </c>
      <c r="L20" s="491"/>
      <c r="M20" s="491">
        <f>IF(ISERROR((M19-J19)*10000)=TRUE,"NM",(M19-J19)*10000)</f>
        <v>157.45223084269733</v>
      </c>
      <c r="N20" s="491">
        <f t="shared" si="14"/>
        <v>-244.03239996622915</v>
      </c>
      <c r="O20" s="491">
        <f t="shared" si="14"/>
        <v>-20.550956082671657</v>
      </c>
      <c r="P20" s="491">
        <f t="shared" si="14"/>
        <v>-84.075891002715622</v>
      </c>
      <c r="Q20" s="491">
        <f t="shared" si="14"/>
        <v>-17.339650138721296</v>
      </c>
      <c r="R20" s="491">
        <f t="shared" si="14"/>
        <v>92.384736399759305</v>
      </c>
      <c r="S20" s="491">
        <f t="shared" si="14"/>
        <v>61.110898981799892</v>
      </c>
      <c r="T20" s="491">
        <f t="shared" ref="T20:AC20" si="15">IF(ISERROR((T19-S19)*10000)=TRUE,"NM",(T19-S19)*10000)</f>
        <v>32.689981507311728</v>
      </c>
      <c r="U20" s="491">
        <f t="shared" si="15"/>
        <v>-12.829660668512988</v>
      </c>
      <c r="V20" s="491">
        <f t="shared" si="15"/>
        <v>-8.170721045960839</v>
      </c>
      <c r="W20" s="491">
        <f t="shared" si="15"/>
        <v>100.18608670279094</v>
      </c>
      <c r="X20" s="491">
        <f t="shared" si="15"/>
        <v>33.215351750533472</v>
      </c>
      <c r="Y20" s="491">
        <f t="shared" si="15"/>
        <v>147.01424492728543</v>
      </c>
      <c r="Z20" s="491">
        <f t="shared" si="15"/>
        <v>18.317020299823405</v>
      </c>
      <c r="AA20" s="491">
        <f t="shared" si="15"/>
        <v>-112.5922893019321</v>
      </c>
      <c r="AB20" s="491">
        <f t="shared" si="15"/>
        <v>-167.45511084021169</v>
      </c>
      <c r="AC20" s="491">
        <f t="shared" si="15"/>
        <v>-72.506182658140233</v>
      </c>
      <c r="AD20" s="491">
        <f t="shared" ref="AD20:AJ20" si="16">IF(ISERROR((AD19-AC19)*10000)=TRUE,"NM",(AD19-AC19)*10000)</f>
        <v>-41.910148478322419</v>
      </c>
      <c r="AE20" s="491">
        <f t="shared" si="16"/>
        <v>-48.951481581696044</v>
      </c>
      <c r="AF20" s="491">
        <f t="shared" si="16"/>
        <v>76.076403883373331</v>
      </c>
      <c r="AG20" s="491">
        <f t="shared" si="16"/>
        <v>443.327436858027</v>
      </c>
      <c r="AH20" s="491">
        <f t="shared" si="16"/>
        <v>-121.16824903634027</v>
      </c>
      <c r="AI20" s="491">
        <f t="shared" si="16"/>
        <v>145.54164095974599</v>
      </c>
      <c r="AJ20" s="491">
        <f t="shared" si="16"/>
        <v>93.62529458100343</v>
      </c>
      <c r="AK20" s="491">
        <f>IF(ISERROR((AK19-AJ19)*10000)=TRUE,"NM",(AK19-AJ19)*10000)</f>
        <v>100.23430795631005</v>
      </c>
      <c r="AL20" s="491">
        <f>IF(ISERROR((AL19-AK19)*10000)=TRUE,"NM",(AL19-AK19)*10000)</f>
        <v>78.62022355171861</v>
      </c>
      <c r="AM20" s="1236">
        <f>IF(ISERROR((AM19-AL19)*10000)=TRUE,"NM",(AM19-AL19)*10000)</f>
        <v>81.139074488350005</v>
      </c>
      <c r="AO20" s="260"/>
      <c r="AP20" s="261"/>
      <c r="AQ20" s="261"/>
      <c r="AR20" s="262"/>
      <c r="AY20" s="385"/>
      <c r="AZ20" s="385"/>
    </row>
    <row r="21" spans="1:52" x14ac:dyDescent="0.2">
      <c r="A21" s="385"/>
      <c r="B21" s="493"/>
      <c r="C21" s="493"/>
      <c r="D21" s="493"/>
      <c r="E21" s="493"/>
      <c r="F21" s="493"/>
      <c r="G21" s="493"/>
      <c r="H21" s="493"/>
      <c r="I21" s="493"/>
      <c r="J21" s="493"/>
      <c r="L21" s="493"/>
      <c r="M21" s="493"/>
      <c r="N21" s="486"/>
      <c r="O21" s="486"/>
      <c r="P21" s="486"/>
      <c r="Q21" s="486"/>
      <c r="R21" s="486"/>
      <c r="S21" s="486"/>
      <c r="T21" s="486"/>
      <c r="U21" s="486"/>
      <c r="V21" s="486"/>
      <c r="W21" s="486"/>
      <c r="X21" s="486"/>
      <c r="Y21" s="486"/>
      <c r="Z21" s="486"/>
      <c r="AA21" s="486"/>
      <c r="AB21" s="486"/>
      <c r="AC21" s="494"/>
      <c r="AD21" s="495"/>
      <c r="AE21" s="496"/>
      <c r="AF21" s="496"/>
      <c r="AG21" s="1027">
        <f t="shared" ref="AG21:AM21" si="17">AG18/AF18-1</f>
        <v>9.5960513565891414E-2</v>
      </c>
      <c r="AH21" s="1027">
        <f t="shared" si="17"/>
        <v>-7.0649020528831596E-2</v>
      </c>
      <c r="AI21" s="1027">
        <f t="shared" si="17"/>
        <v>2.6875966226661996E-2</v>
      </c>
      <c r="AJ21" s="1027">
        <f>AJ18/AI18-1</f>
        <v>-3.6376375217139767E-3</v>
      </c>
      <c r="AK21" s="1027">
        <f t="shared" si="17"/>
        <v>-2.7499617310869917E-3</v>
      </c>
      <c r="AL21" s="1027">
        <f t="shared" si="17"/>
        <v>-8.3683013962895236E-3</v>
      </c>
      <c r="AM21" s="1238">
        <f t="shared" si="17"/>
        <v>-8.3808122338197011E-3</v>
      </c>
      <c r="AO21" s="448"/>
      <c r="AP21" s="261"/>
      <c r="AQ21" s="449"/>
      <c r="AR21" s="262"/>
      <c r="AV21" s="385"/>
      <c r="AY21" s="385"/>
    </row>
    <row r="22" spans="1:52" x14ac:dyDescent="0.2">
      <c r="A22" s="185" t="s">
        <v>316</v>
      </c>
      <c r="B22" s="486">
        <f t="shared" ref="B22:J22" si="18">B7-B14-B18</f>
        <v>249.44800000000009</v>
      </c>
      <c r="C22" s="486">
        <f t="shared" si="18"/>
        <v>135.17300000000023</v>
      </c>
      <c r="D22" s="486">
        <f t="shared" si="18"/>
        <v>266.97200000000021</v>
      </c>
      <c r="E22" s="486">
        <f t="shared" si="18"/>
        <v>300.90299999999979</v>
      </c>
      <c r="F22" s="486">
        <f t="shared" si="18"/>
        <v>438.43400000000065</v>
      </c>
      <c r="G22" s="486">
        <f t="shared" si="18"/>
        <v>510.64299999999912</v>
      </c>
      <c r="H22" s="486">
        <f t="shared" si="18"/>
        <v>641.1039999999989</v>
      </c>
      <c r="I22" s="486">
        <f t="shared" si="18"/>
        <v>682.80099999999948</v>
      </c>
      <c r="J22" s="486">
        <f t="shared" si="18"/>
        <v>994.65099999999893</v>
      </c>
      <c r="K22" s="486"/>
      <c r="L22" s="486">
        <f t="shared" ref="L22:AE22" si="19">L7-L14-L18</f>
        <v>663</v>
      </c>
      <c r="M22" s="486">
        <f t="shared" si="19"/>
        <v>893</v>
      </c>
      <c r="N22" s="486">
        <f t="shared" si="19"/>
        <v>1341</v>
      </c>
      <c r="O22" s="486">
        <f t="shared" si="19"/>
        <v>1455</v>
      </c>
      <c r="P22" s="486">
        <f t="shared" si="19"/>
        <v>1693</v>
      </c>
      <c r="Q22" s="486">
        <f t="shared" si="19"/>
        <v>1771</v>
      </c>
      <c r="R22" s="486">
        <f t="shared" si="19"/>
        <v>1376</v>
      </c>
      <c r="S22" s="486">
        <f t="shared" si="19"/>
        <v>1411</v>
      </c>
      <c r="T22" s="486">
        <f t="shared" si="19"/>
        <v>1400</v>
      </c>
      <c r="U22" s="486">
        <f t="shared" si="19"/>
        <v>1499</v>
      </c>
      <c r="V22" s="486">
        <f t="shared" si="19"/>
        <v>2138</v>
      </c>
      <c r="W22" s="486">
        <f t="shared" si="19"/>
        <v>2273</v>
      </c>
      <c r="X22" s="486">
        <f t="shared" si="19"/>
        <v>2082</v>
      </c>
      <c r="Y22" s="486">
        <f t="shared" si="19"/>
        <v>1425</v>
      </c>
      <c r="Z22" s="486">
        <f t="shared" si="19"/>
        <v>1454</v>
      </c>
      <c r="AA22" s="486">
        <f t="shared" si="19"/>
        <v>1919</v>
      </c>
      <c r="AB22" s="486">
        <f t="shared" si="19"/>
        <v>2386</v>
      </c>
      <c r="AC22" s="486">
        <f>AC7-AC14-AC18</f>
        <v>2666</v>
      </c>
      <c r="AD22" s="486">
        <f>AD7-AD14-AD18</f>
        <v>2766</v>
      </c>
      <c r="AE22" s="486">
        <f t="shared" si="19"/>
        <v>2887</v>
      </c>
      <c r="AF22" s="486">
        <f t="shared" ref="AF22" si="20">AF7-AF14-AF18</f>
        <v>2327</v>
      </c>
      <c r="AG22" s="486">
        <f t="shared" ref="AG22:AM22" si="21">AG7-AG14-AG18+AG11</f>
        <v>1850.75</v>
      </c>
      <c r="AH22" s="486">
        <f t="shared" si="21"/>
        <v>2056</v>
      </c>
      <c r="AI22" s="486">
        <f t="shared" si="21"/>
        <v>1633.7310522000007</v>
      </c>
      <c r="AJ22" s="486">
        <f t="shared" si="21"/>
        <v>1284.3126534677194</v>
      </c>
      <c r="AK22" s="486">
        <f t="shared" si="21"/>
        <v>954.85481748229722</v>
      </c>
      <c r="AL22" s="486">
        <f t="shared" si="21"/>
        <v>681.99365821153151</v>
      </c>
      <c r="AM22" s="486">
        <f t="shared" si="21"/>
        <v>426.95472477024123</v>
      </c>
      <c r="AO22" s="448"/>
      <c r="AP22" s="261"/>
      <c r="AQ22" s="449"/>
      <c r="AR22" s="262"/>
      <c r="AT22" s="385"/>
      <c r="AV22" s="385"/>
      <c r="AW22" s="385"/>
      <c r="AX22" s="385"/>
      <c r="AY22" s="385"/>
    </row>
    <row r="23" spans="1:52" x14ac:dyDescent="0.2">
      <c r="A23" s="450" t="s">
        <v>38</v>
      </c>
      <c r="B23" s="489">
        <f t="shared" ref="B23:J23" si="22">IF(B22=0,"NA",B22/B$7)</f>
        <v>3.2919190887440948E-2</v>
      </c>
      <c r="C23" s="489">
        <f t="shared" si="22"/>
        <v>1.8926536229503799E-2</v>
      </c>
      <c r="D23" s="489">
        <f t="shared" si="22"/>
        <v>3.8511188817947489E-2</v>
      </c>
      <c r="E23" s="489">
        <f t="shared" si="22"/>
        <v>4.3405796296566067E-2</v>
      </c>
      <c r="F23" s="489">
        <f t="shared" si="22"/>
        <v>6.192622226654157E-2</v>
      </c>
      <c r="G23" s="489">
        <f t="shared" si="22"/>
        <v>7.0634157218449081E-2</v>
      </c>
      <c r="H23" s="489">
        <f t="shared" si="22"/>
        <v>8.3179489215472066E-2</v>
      </c>
      <c r="I23" s="489">
        <f t="shared" si="22"/>
        <v>4.9834032770134616E-2</v>
      </c>
      <c r="J23" s="489">
        <f t="shared" si="22"/>
        <v>7.1056478359746725E-2</v>
      </c>
      <c r="L23" s="489"/>
      <c r="M23" s="489">
        <f>IF(M22=0,"NA",M22/M$7)</f>
        <v>6.0203600080900692E-2</v>
      </c>
      <c r="N23" s="489">
        <f t="shared" ref="N23:AH23" si="23">IF(N22=0,"NA",N22/N$7)</f>
        <v>8.8107752956636004E-2</v>
      </c>
      <c r="O23" s="489">
        <f t="shared" si="23"/>
        <v>9.4695737064757562E-2</v>
      </c>
      <c r="P23" s="489">
        <f t="shared" si="23"/>
        <v>0.10562106182544138</v>
      </c>
      <c r="Q23" s="489">
        <f t="shared" si="23"/>
        <v>0.10644308210121409</v>
      </c>
      <c r="R23" s="489">
        <f t="shared" si="23"/>
        <v>8.7171365220145708E-2</v>
      </c>
      <c r="S23" s="489">
        <f t="shared" si="23"/>
        <v>9.0617172949714206E-2</v>
      </c>
      <c r="T23" s="489">
        <f t="shared" si="23"/>
        <v>9.0838307812094468E-2</v>
      </c>
      <c r="U23" s="489">
        <f t="shared" si="23"/>
        <v>9.5017748478701827E-2</v>
      </c>
      <c r="V23" s="489">
        <f t="shared" si="23"/>
        <v>9.5489057615006701E-2</v>
      </c>
      <c r="W23" s="489">
        <f t="shared" si="23"/>
        <v>8.4278828327771602E-2</v>
      </c>
      <c r="X23" s="489">
        <f t="shared" si="23"/>
        <v>7.9124387185041611E-2</v>
      </c>
      <c r="Y23" s="489">
        <f t="shared" si="23"/>
        <v>5.7247308372167766E-2</v>
      </c>
      <c r="Z23" s="489">
        <f t="shared" si="23"/>
        <v>6.0849550115086838E-2</v>
      </c>
      <c r="AA23" s="489">
        <f t="shared" si="23"/>
        <v>7.6750789905211378E-2</v>
      </c>
      <c r="AB23" s="489">
        <f t="shared" si="23"/>
        <v>9.0361673925392919E-2</v>
      </c>
      <c r="AC23" s="489">
        <f t="shared" si="23"/>
        <v>9.6294155891064076E-2</v>
      </c>
      <c r="AD23" s="489">
        <f t="shared" si="23"/>
        <v>9.9029751888582582E-2</v>
      </c>
      <c r="AE23" s="489">
        <f t="shared" si="23"/>
        <v>0.10272193559864792</v>
      </c>
      <c r="AF23" s="489">
        <f>IF(AF22=0,"NA",AF22/AF$7)</f>
        <v>8.5933749399903989E-2</v>
      </c>
      <c r="AG23" s="489">
        <f t="shared" si="23"/>
        <v>7.1429949826321879E-2</v>
      </c>
      <c r="AH23" s="489">
        <f t="shared" si="23"/>
        <v>8.2421326919222285E-2</v>
      </c>
      <c r="AI23" s="489">
        <f>IF(AI22=0,"NA",AI22/AI$7)</f>
        <v>6.6532829183414979E-2</v>
      </c>
      <c r="AJ23" s="489">
        <f>IF(AJ22=0,"NA",AJ22/AJ$7)</f>
        <v>5.3891508859669805E-2</v>
      </c>
      <c r="AK23" s="489">
        <f>IF(AK22=0,"NA",AK22/AK$7)</f>
        <v>4.1292996890280272E-2</v>
      </c>
      <c r="AL23" s="489">
        <f>IF(AL22=0,"NA",AL22/AL$7)</f>
        <v>3.0372122625957457E-2</v>
      </c>
      <c r="AM23" s="1234">
        <f>IF(AM22=0,"NA",AM22/AM$7)</f>
        <v>1.9585451445903661E-2</v>
      </c>
      <c r="AO23" s="448"/>
      <c r="AP23" s="261"/>
      <c r="AQ23" s="449"/>
      <c r="AR23" s="262"/>
    </row>
    <row r="24" spans="1:52" x14ac:dyDescent="0.2">
      <c r="A24" s="281"/>
      <c r="B24" s="385"/>
      <c r="C24" s="385"/>
      <c r="D24" s="385"/>
      <c r="E24" s="453"/>
      <c r="F24" s="453"/>
      <c r="G24" s="453"/>
      <c r="H24" s="453"/>
      <c r="I24" s="453"/>
      <c r="J24" s="453"/>
      <c r="L24" s="453"/>
      <c r="N24" s="281"/>
      <c r="O24" s="281"/>
      <c r="P24" s="281"/>
      <c r="Q24" s="281"/>
      <c r="R24" s="281"/>
      <c r="S24" s="281"/>
      <c r="T24" s="281"/>
      <c r="U24" s="281"/>
      <c r="V24" s="281"/>
      <c r="W24" s="281"/>
      <c r="X24" s="281"/>
      <c r="Y24" s="281"/>
      <c r="Z24" s="281"/>
      <c r="AA24" s="281"/>
      <c r="AB24" s="281"/>
      <c r="AC24" s="497"/>
      <c r="AD24" s="498"/>
      <c r="AE24" s="498"/>
      <c r="AF24" s="498"/>
      <c r="AG24" s="486"/>
      <c r="AH24" s="282"/>
      <c r="AI24" s="282"/>
      <c r="AJ24" s="282"/>
      <c r="AK24" s="282"/>
      <c r="AL24" s="282"/>
      <c r="AM24" s="1160"/>
      <c r="AO24" s="448"/>
      <c r="AP24" s="261"/>
      <c r="AQ24" s="449"/>
      <c r="AR24" s="262"/>
      <c r="AT24" s="282"/>
    </row>
    <row r="25" spans="1:52" x14ac:dyDescent="0.2">
      <c r="A25" s="185" t="s">
        <v>317</v>
      </c>
      <c r="B25" s="493">
        <v>806.66499999999996</v>
      </c>
      <c r="C25" s="486">
        <f>INDEX('qtrP&amp;L'!82:82,MATCH(C5,'qtrP&amp;L'!6:6,0))</f>
        <v>555.94200000000001</v>
      </c>
      <c r="D25" s="486">
        <f>INDEX('qtrP&amp;L'!82:82,MATCH(D5,'qtrP&amp;L'!6:6,0))</f>
        <v>436.99700000000001</v>
      </c>
      <c r="E25" s="493">
        <v>224.37599999999998</v>
      </c>
      <c r="F25" s="486">
        <f>INDEX('qtrP&amp;L'!82:82,MATCH(F5,'qtrP&amp;L'!6:6,0))</f>
        <v>197.85400000000001</v>
      </c>
      <c r="G25" s="486">
        <f>INDEX('qtrP&amp;L'!82:82,MATCH(G5,'qtrP&amp;L'!6:6,0))</f>
        <v>164.13899999999998</v>
      </c>
      <c r="H25" s="486">
        <f>INDEX('qtrP&amp;L'!82:82,MATCH(H5,'qtrP&amp;L'!6:6,0))</f>
        <v>199.44799999999998</v>
      </c>
      <c r="I25" s="486">
        <f>INDEX('qtrP&amp;L'!82:82,MATCH(I5,'qtrP&amp;L'!6:6,0))</f>
        <v>448</v>
      </c>
      <c r="J25" s="486">
        <f>INDEX('qtrP&amp;L'!82:82,MATCH(J5,'qtrP&amp;L'!6:6,0))</f>
        <v>413.26499999999999</v>
      </c>
      <c r="L25" s="499">
        <f>508-47</f>
        <v>461</v>
      </c>
      <c r="M25" s="486">
        <f>INDEX('qtrP&amp;L'!82:82,MATCH(M5,'qtrP&amp;L'!6:6,0))</f>
        <v>451.76400000000001</v>
      </c>
      <c r="N25" s="486">
        <f>INDEX('qtrP&amp;L'!82:82,MATCH(N5,'qtrP&amp;L'!6:6,0))</f>
        <v>383</v>
      </c>
      <c r="O25" s="486">
        <f>INDEX('qtrP&amp;L'!82:82,MATCH(O5,'qtrP&amp;L'!6:6,0))</f>
        <v>292</v>
      </c>
      <c r="P25" s="486">
        <f>INDEX('qtrP&amp;L'!82:82,MATCH(P5,'qtrP&amp;L'!6:6,0))</f>
        <v>307</v>
      </c>
      <c r="Q25" s="486">
        <f>INDEX('qtrP&amp;L'!82:82,MATCH(Q5,'qtrP&amp;L'!6:6,0))</f>
        <v>321</v>
      </c>
      <c r="R25" s="486">
        <f>INDEX('qtrP&amp;L'!82:82,MATCH(R5,'qtrP&amp;L'!6:6,0))</f>
        <v>324</v>
      </c>
      <c r="S25" s="486">
        <f>INDEX('qtrP&amp;L'!82:82,MATCH(S5,'qtrP&amp;L'!6:6,0))</f>
        <v>295</v>
      </c>
      <c r="T25" s="486">
        <f>INDEX('qtrP&amp;L'!82:82,MATCH(T5,'qtrP&amp;L'!6:6,0))</f>
        <v>257</v>
      </c>
      <c r="U25" s="486">
        <f>INDEX('qtrP&amp;L'!82:82,MATCH(U5,'qtrP&amp;L'!6:6,0))</f>
        <v>225</v>
      </c>
      <c r="V25" s="486">
        <f>INDEX('qtrP&amp;L'!82:82,MATCH(V5,'qtrP&amp;L'!6:6,0))</f>
        <v>397</v>
      </c>
      <c r="W25" s="486">
        <f>INDEX('qtrP&amp;L'!82:82,MATCH(W5,'qtrP&amp;L'!6:6,0))</f>
        <v>461</v>
      </c>
      <c r="X25" s="486">
        <f>INDEX('qtrP&amp;L'!82:82,MATCH(X5,'qtrP&amp;L'!6:6,0))</f>
        <v>543</v>
      </c>
      <c r="Y25" s="486">
        <f>INDEX('qtrP&amp;L'!82:82,MATCH(Y5,'qtrP&amp;L'!6:6,0))</f>
        <v>560</v>
      </c>
      <c r="Z25" s="486">
        <f>INDEX('qtrP&amp;L'!82:82,MATCH(Z5,'qtrP&amp;L'!6:6,0))</f>
        <v>556</v>
      </c>
      <c r="AA25" s="486">
        <f>INDEX('qtrP&amp;L'!82:82,MATCH(AA5,'qtrP&amp;L'!6:6,0))</f>
        <v>574</v>
      </c>
      <c r="AB25" s="486">
        <f>INDEX('qtrP&amp;L'!82:82,MATCH(AB5,'qtrP&amp;L'!6:6,0))</f>
        <v>443</v>
      </c>
      <c r="AC25" s="486">
        <f>INDEX('qtrP&amp;L'!82:82,MATCH(AC5,'qtrP&amp;L'!6:6,0))</f>
        <v>422</v>
      </c>
      <c r="AD25" s="486">
        <f>INDEX('qtrP&amp;L'!82:82,MATCH(AD5,'qtrP&amp;L'!6:6,0))</f>
        <v>388</v>
      </c>
      <c r="AE25" s="486">
        <f>INDEX('qtrP&amp;L'!82:82,MATCH(AE5,'qtrP&amp;L'!6:6,0))</f>
        <v>393</v>
      </c>
      <c r="AF25" s="486">
        <f>INDEX('qtrP&amp;L'!82:82,MATCH(AF5,'qtrP&amp;L'!6:6,0))</f>
        <v>361</v>
      </c>
      <c r="AG25" s="486">
        <f>INDEX('qtrP&amp;L'!82:82,MATCH(AG5,'qtrP&amp;L'!6:6,0))</f>
        <v>363</v>
      </c>
      <c r="AH25" s="486">
        <f>INDEX('qtrP&amp;L'!82:82,MATCH(AH5,'qtrP&amp;L'!6:6,0))</f>
        <v>310</v>
      </c>
      <c r="AI25" s="486">
        <f>INDEX('qtrP&amp;L'!82:82,MATCH(AI5,'qtrP&amp;L'!6:6,0))</f>
        <v>255</v>
      </c>
      <c r="AJ25" s="1061">
        <f>AI25-12</f>
        <v>243</v>
      </c>
      <c r="AK25" s="1061">
        <f t="shared" ref="AK25:AM25" si="24">AJ25-12</f>
        <v>231</v>
      </c>
      <c r="AL25" s="1061">
        <f t="shared" si="24"/>
        <v>219</v>
      </c>
      <c r="AM25" s="1061">
        <f t="shared" si="24"/>
        <v>207</v>
      </c>
      <c r="AO25" s="448">
        <f>RATE(5,,-AB25,AG25)*100</f>
        <v>-3.9050467650250229</v>
      </c>
      <c r="AP25" s="261" t="s">
        <v>93</v>
      </c>
      <c r="AQ25" s="449">
        <f>RATE(6,,-AG25,AM25)*100</f>
        <v>-8.9365807012606808</v>
      </c>
      <c r="AR25" s="262" t="s">
        <v>93</v>
      </c>
      <c r="AS25" s="282"/>
    </row>
    <row r="26" spans="1:52" x14ac:dyDescent="0.2">
      <c r="A26" s="450" t="s">
        <v>217</v>
      </c>
      <c r="C26" s="489">
        <f t="shared" ref="C26:AD26" si="25">C25/B25-1</f>
        <v>-0.3108142785418978</v>
      </c>
      <c r="D26" s="489">
        <f t="shared" si="25"/>
        <v>-0.21395217486716234</v>
      </c>
      <c r="E26" s="489">
        <f>E25/C25-1</f>
        <v>-0.59640394141834951</v>
      </c>
      <c r="F26" s="489">
        <f t="shared" si="25"/>
        <v>-0.11820337290975846</v>
      </c>
      <c r="G26" s="489">
        <f t="shared" si="25"/>
        <v>-0.17040342879092685</v>
      </c>
      <c r="H26" s="489">
        <f t="shared" si="25"/>
        <v>0.21511645617433994</v>
      </c>
      <c r="I26" s="489">
        <f t="shared" si="25"/>
        <v>1.2461995106493924</v>
      </c>
      <c r="J26" s="489">
        <f>J25/H25-1</f>
        <v>1.0720438410011632</v>
      </c>
      <c r="L26" s="489"/>
      <c r="M26" s="489">
        <f>M25/J25-1</f>
        <v>9.3158143080106059E-2</v>
      </c>
      <c r="N26" s="489">
        <f t="shared" si="25"/>
        <v>-0.15221221699825571</v>
      </c>
      <c r="O26" s="489">
        <f t="shared" si="25"/>
        <v>-0.23759791122715401</v>
      </c>
      <c r="P26" s="489">
        <f t="shared" si="25"/>
        <v>5.1369863013698724E-2</v>
      </c>
      <c r="Q26" s="489">
        <f t="shared" si="25"/>
        <v>4.5602605863192203E-2</v>
      </c>
      <c r="R26" s="489">
        <f>R25/Q25-1</f>
        <v>9.3457943925232545E-3</v>
      </c>
      <c r="S26" s="489">
        <f t="shared" si="25"/>
        <v>-8.9506172839506126E-2</v>
      </c>
      <c r="T26" s="489">
        <f t="shared" si="25"/>
        <v>-0.12881355932203387</v>
      </c>
      <c r="U26" s="489">
        <f t="shared" si="25"/>
        <v>-0.1245136186770428</v>
      </c>
      <c r="V26" s="489">
        <f t="shared" si="25"/>
        <v>0.76444444444444448</v>
      </c>
      <c r="W26" s="489">
        <f t="shared" si="25"/>
        <v>0.16120906801007551</v>
      </c>
      <c r="X26" s="489">
        <f t="shared" si="25"/>
        <v>0.17787418655097609</v>
      </c>
      <c r="Y26" s="489">
        <f t="shared" si="25"/>
        <v>3.130755064456725E-2</v>
      </c>
      <c r="Z26" s="489">
        <f t="shared" si="25"/>
        <v>-7.1428571428571175E-3</v>
      </c>
      <c r="AA26" s="489">
        <f t="shared" si="25"/>
        <v>3.2374100719424481E-2</v>
      </c>
      <c r="AB26" s="489">
        <f t="shared" si="25"/>
        <v>-0.22822299651567945</v>
      </c>
      <c r="AC26" s="489">
        <f t="shared" si="25"/>
        <v>-4.7404063205417568E-2</v>
      </c>
      <c r="AD26" s="489">
        <f t="shared" si="25"/>
        <v>-8.0568720379146974E-2</v>
      </c>
      <c r="AE26" s="489">
        <f t="shared" ref="AE26:AJ26" si="26">AE25/AD25-1</f>
        <v>1.2886597938144284E-2</v>
      </c>
      <c r="AF26" s="489">
        <f t="shared" si="26"/>
        <v>-8.1424936386768398E-2</v>
      </c>
      <c r="AG26" s="489">
        <f t="shared" si="26"/>
        <v>5.5401662049860967E-3</v>
      </c>
      <c r="AH26" s="489">
        <f t="shared" si="26"/>
        <v>-0.14600550964187331</v>
      </c>
      <c r="AI26" s="489">
        <f t="shared" si="26"/>
        <v>-0.17741935483870963</v>
      </c>
      <c r="AJ26" s="489">
        <f t="shared" si="26"/>
        <v>-4.705882352941182E-2</v>
      </c>
      <c r="AK26" s="489">
        <f>AK25/AJ25-1</f>
        <v>-4.9382716049382713E-2</v>
      </c>
      <c r="AL26" s="489">
        <f>AL25/AK25-1</f>
        <v>-5.1948051948051965E-2</v>
      </c>
      <c r="AM26" s="1234">
        <f>AM25/AL25-1</f>
        <v>-5.4794520547945202E-2</v>
      </c>
      <c r="AO26" s="260"/>
      <c r="AP26" s="261"/>
      <c r="AQ26" s="261"/>
      <c r="AR26" s="262"/>
    </row>
    <row r="27" spans="1:52" x14ac:dyDescent="0.2">
      <c r="A27" s="450"/>
      <c r="C27" s="489"/>
      <c r="D27" s="489"/>
      <c r="E27" s="489"/>
      <c r="F27" s="489"/>
      <c r="G27" s="489"/>
      <c r="H27" s="489"/>
      <c r="I27" s="489"/>
      <c r="J27" s="489"/>
      <c r="L27" s="489"/>
      <c r="M27" s="489"/>
      <c r="N27" s="489"/>
      <c r="O27" s="489"/>
      <c r="P27" s="489"/>
      <c r="Q27" s="489"/>
      <c r="R27" s="489"/>
      <c r="S27" s="489"/>
      <c r="T27" s="489"/>
      <c r="U27" s="489"/>
      <c r="V27" s="489"/>
      <c r="W27" s="489"/>
      <c r="X27" s="489"/>
      <c r="Y27" s="489"/>
      <c r="Z27" s="489"/>
      <c r="AA27" s="489"/>
      <c r="AB27" s="489"/>
      <c r="AC27" s="489"/>
      <c r="AD27" s="489"/>
      <c r="AE27" s="489"/>
      <c r="AF27" s="489"/>
      <c r="AG27" s="489"/>
      <c r="AH27" s="489"/>
      <c r="AI27" s="489"/>
      <c r="AJ27" s="489"/>
      <c r="AK27" s="489"/>
      <c r="AL27" s="489"/>
      <c r="AM27" s="1234"/>
      <c r="AO27" s="260"/>
      <c r="AP27" s="261"/>
      <c r="AQ27" s="261"/>
      <c r="AR27" s="262"/>
    </row>
    <row r="28" spans="1:52" x14ac:dyDescent="0.2">
      <c r="A28" s="185" t="s">
        <v>677</v>
      </c>
      <c r="C28" s="489"/>
      <c r="D28" s="489"/>
      <c r="E28" s="489"/>
      <c r="F28" s="489"/>
      <c r="G28" s="489"/>
      <c r="H28" s="489"/>
      <c r="I28" s="489"/>
      <c r="J28" s="489"/>
      <c r="L28" s="489"/>
      <c r="M28" s="489"/>
      <c r="N28" s="489"/>
      <c r="O28" s="489"/>
      <c r="P28" s="489"/>
      <c r="Q28" s="489"/>
      <c r="R28" s="489"/>
      <c r="S28" s="489"/>
      <c r="T28" s="489"/>
      <c r="U28" s="489"/>
      <c r="V28" s="489"/>
      <c r="W28" s="489"/>
      <c r="X28" s="489"/>
      <c r="Y28" s="489"/>
      <c r="Z28" s="489"/>
      <c r="AA28" s="489"/>
      <c r="AB28" s="489"/>
      <c r="AC28" s="489"/>
      <c r="AD28" s="489"/>
      <c r="AE28" s="489"/>
      <c r="AF28" s="489"/>
      <c r="AG28" s="486">
        <f>'qtrP&amp;L'!DH63</f>
        <v>55</v>
      </c>
      <c r="AH28" s="486">
        <f>'qtrP&amp;L'!DL63</f>
        <v>57</v>
      </c>
      <c r="AI28" s="486">
        <f>'qtrP&amp;L'!DP63</f>
        <v>45</v>
      </c>
      <c r="AJ28" s="486">
        <f>AI28</f>
        <v>45</v>
      </c>
      <c r="AK28" s="486">
        <f>AJ28</f>
        <v>45</v>
      </c>
      <c r="AL28" s="486">
        <f>AK28</f>
        <v>45</v>
      </c>
      <c r="AM28" s="486">
        <f>AL28</f>
        <v>45</v>
      </c>
      <c r="AO28" s="260"/>
      <c r="AP28" s="261"/>
      <c r="AQ28" s="261"/>
      <c r="AR28" s="262"/>
    </row>
    <row r="29" spans="1:52" x14ac:dyDescent="0.2">
      <c r="C29" s="489"/>
      <c r="D29" s="489"/>
      <c r="E29" s="489"/>
      <c r="F29" s="489"/>
      <c r="G29" s="489"/>
      <c r="H29" s="489"/>
      <c r="I29" s="489"/>
      <c r="J29" s="489"/>
      <c r="L29" s="489"/>
      <c r="M29" s="489"/>
      <c r="N29" s="489"/>
      <c r="O29" s="489"/>
      <c r="P29" s="489"/>
      <c r="Q29" s="489"/>
      <c r="R29" s="489"/>
      <c r="S29" s="489"/>
      <c r="T29" s="489"/>
      <c r="U29" s="489"/>
      <c r="V29" s="489"/>
      <c r="W29" s="489"/>
      <c r="X29" s="489"/>
      <c r="Y29" s="489"/>
      <c r="Z29" s="489"/>
      <c r="AA29" s="489"/>
      <c r="AB29" s="489"/>
      <c r="AC29" s="489"/>
      <c r="AD29" s="489"/>
      <c r="AE29" s="489"/>
      <c r="AF29" s="489"/>
      <c r="AG29" s="486"/>
      <c r="AH29" s="486"/>
      <c r="AI29" s="486"/>
      <c r="AJ29" s="489"/>
      <c r="AK29" s="489"/>
      <c r="AL29" s="489"/>
      <c r="AM29" s="1234"/>
      <c r="AO29" s="260"/>
      <c r="AP29" s="261"/>
      <c r="AQ29" s="261"/>
      <c r="AR29" s="262"/>
    </row>
    <row r="30" spans="1:52" x14ac:dyDescent="0.2">
      <c r="A30" s="185" t="s">
        <v>678</v>
      </c>
      <c r="C30" s="489"/>
      <c r="D30" s="489"/>
      <c r="E30" s="489"/>
      <c r="F30" s="489"/>
      <c r="G30" s="489"/>
      <c r="H30" s="489"/>
      <c r="I30" s="489"/>
      <c r="J30" s="489"/>
      <c r="L30" s="489"/>
      <c r="M30" s="489"/>
      <c r="N30" s="489"/>
      <c r="O30" s="489"/>
      <c r="P30" s="489"/>
      <c r="Q30" s="489"/>
      <c r="R30" s="489"/>
      <c r="S30" s="489"/>
      <c r="T30" s="489"/>
      <c r="U30" s="489"/>
      <c r="V30" s="489"/>
      <c r="W30" s="489"/>
      <c r="X30" s="489"/>
      <c r="Y30" s="489"/>
      <c r="Z30" s="489"/>
      <c r="AA30" s="489"/>
      <c r="AB30" s="489"/>
      <c r="AC30" s="489"/>
      <c r="AD30" s="489"/>
      <c r="AE30" s="489"/>
      <c r="AF30" s="489"/>
      <c r="AG30" s="486">
        <f>'qtrP&amp;L'!DH72</f>
        <v>98</v>
      </c>
      <c r="AH30" s="486">
        <f>'qtrP&amp;L'!DL72</f>
        <v>105</v>
      </c>
      <c r="AI30" s="486">
        <f>'qtrP&amp;L'!DP72</f>
        <v>0</v>
      </c>
      <c r="AJ30" s="486">
        <f>AI30</f>
        <v>0</v>
      </c>
      <c r="AK30" s="486">
        <f>AJ30</f>
        <v>0</v>
      </c>
      <c r="AL30" s="486">
        <f>AK30</f>
        <v>0</v>
      </c>
      <c r="AM30" s="486">
        <f>AL30</f>
        <v>0</v>
      </c>
      <c r="AO30" s="260"/>
      <c r="AP30" s="261"/>
      <c r="AQ30" s="261"/>
      <c r="AR30" s="262"/>
    </row>
    <row r="31" spans="1:52" x14ac:dyDescent="0.2">
      <c r="A31" s="281"/>
      <c r="N31" s="501"/>
      <c r="O31" s="501"/>
      <c r="P31" s="501"/>
      <c r="Q31" s="501"/>
      <c r="R31" s="501"/>
      <c r="S31" s="501"/>
      <c r="T31" s="501"/>
      <c r="U31" s="501"/>
      <c r="V31" s="501"/>
      <c r="W31" s="501"/>
      <c r="X31" s="501"/>
      <c r="Y31" s="501"/>
      <c r="Z31" s="501"/>
      <c r="AA31" s="501"/>
      <c r="AB31" s="501"/>
      <c r="AC31" s="501"/>
      <c r="AD31" s="501"/>
      <c r="AE31" s="501"/>
      <c r="AF31" s="501"/>
      <c r="AG31" s="501"/>
      <c r="AH31" s="501"/>
      <c r="AI31" s="501"/>
      <c r="AJ31" s="501"/>
      <c r="AK31" s="501"/>
      <c r="AL31" s="501"/>
      <c r="AM31" s="1239"/>
      <c r="AO31" s="448"/>
      <c r="AP31" s="261"/>
      <c r="AQ31" s="449"/>
      <c r="AR31" s="262"/>
    </row>
    <row r="32" spans="1:52" outlineLevel="1" x14ac:dyDescent="0.2">
      <c r="A32" s="185" t="s">
        <v>305</v>
      </c>
      <c r="B32" s="485">
        <v>0</v>
      </c>
      <c r="C32" s="486">
        <f>INDEX('qtrP&amp;L'!92:92,MATCH(C5,'qtrP&amp;L'!6:6,0))</f>
        <v>0</v>
      </c>
      <c r="D32" s="485">
        <v>0</v>
      </c>
      <c r="E32" s="486">
        <f>INDEX('qtrP&amp;L'!92:92,MATCH(E5,'qtrP&amp;L'!6:6,0))</f>
        <v>23.248000000000001</v>
      </c>
      <c r="F32" s="486">
        <f>INDEX('qtrP&amp;L'!92:92,MATCH(F5,'qtrP&amp;L'!6:6,0))</f>
        <v>8.5730000000000022</v>
      </c>
      <c r="G32" s="486">
        <f>INDEX('qtrP&amp;L'!92:92,MATCH(G5,'qtrP&amp;L'!6:6,0))</f>
        <v>2.7240000000000002</v>
      </c>
      <c r="H32" s="486">
        <f>INDEX('qtrP&amp;L'!92:92,MATCH(H5,'qtrP&amp;L'!6:6,0))</f>
        <v>-11.271000000000001</v>
      </c>
      <c r="I32" s="486">
        <f>INDEX('qtrP&amp;L'!92:92,MATCH(I5,'qtrP&amp;L'!6:6,0))</f>
        <v>-2.0990000000000002</v>
      </c>
      <c r="J32" s="486">
        <f>INDEX('qtrP&amp;L'!92:92,MATCH(J5,'qtrP&amp;L'!6:6,0))</f>
        <v>-0.2390000000000001</v>
      </c>
      <c r="L32" s="485">
        <v>0</v>
      </c>
      <c r="M32" s="486">
        <f>INDEX('qtrP&amp;L'!92:92,MATCH(M5,'qtrP&amp;L'!6:6,0))</f>
        <v>0</v>
      </c>
      <c r="N32" s="486">
        <f>INDEX('qtrP&amp;L'!92:92,MATCH(N5,'qtrP&amp;L'!6:6,0))</f>
        <v>0</v>
      </c>
      <c r="O32" s="486">
        <f>INDEX('qtrP&amp;L'!92:92,MATCH(O5,'qtrP&amp;L'!6:6,0))</f>
        <v>0</v>
      </c>
      <c r="P32" s="486">
        <f>INDEX('qtrP&amp;L'!92:92,MATCH(P5,'qtrP&amp;L'!6:6,0))</f>
        <v>0</v>
      </c>
      <c r="Q32" s="486">
        <f>INDEX('qtrP&amp;L'!92:92,MATCH(Q5,'qtrP&amp;L'!6:6,0))</f>
        <v>0</v>
      </c>
      <c r="R32" s="486">
        <f>INDEX('qtrP&amp;L'!92:92,MATCH(R5,'qtrP&amp;L'!6:6,0))</f>
        <v>0</v>
      </c>
      <c r="S32" s="486">
        <f>INDEX('qtrP&amp;L'!92:92,MATCH(S5,'qtrP&amp;L'!6:6,0))</f>
        <v>0</v>
      </c>
      <c r="T32" s="486">
        <f>INDEX('qtrP&amp;L'!92:92,MATCH(T5,'qtrP&amp;L'!6:6,0))</f>
        <v>0</v>
      </c>
      <c r="U32" s="486">
        <f>INDEX('qtrP&amp;L'!92:92,MATCH(U5,'qtrP&amp;L'!6:6,0))</f>
        <v>0</v>
      </c>
      <c r="V32" s="486">
        <f>INDEX('qtrP&amp;L'!92:92,MATCH(V5,'qtrP&amp;L'!6:6,0))</f>
        <v>0</v>
      </c>
      <c r="W32" s="486">
        <f>INDEX('qtrP&amp;L'!92:92,MATCH(W5,'qtrP&amp;L'!6:6,0))</f>
        <v>0</v>
      </c>
      <c r="X32" s="486">
        <f>INDEX('qtrP&amp;L'!92:92,MATCH(X5,'qtrP&amp;L'!6:6,0))</f>
        <v>0</v>
      </c>
      <c r="Y32" s="486">
        <f>INDEX('qtrP&amp;L'!92:92,MATCH(Y5,'qtrP&amp;L'!6:6,0))</f>
        <v>0</v>
      </c>
      <c r="Z32" s="486">
        <f>INDEX('qtrP&amp;L'!92:92,MATCH(Z5,'qtrP&amp;L'!6:6,0))</f>
        <v>0</v>
      </c>
      <c r="AA32" s="486">
        <f>INDEX('qtrP&amp;L'!92:92,MATCH(AA5,'qtrP&amp;L'!6:6,0))</f>
        <v>0</v>
      </c>
      <c r="AB32" s="486">
        <f>INDEX('qtrP&amp;L'!92:92,MATCH(AB5,'qtrP&amp;L'!6:6,0))</f>
        <v>0</v>
      </c>
      <c r="AC32" s="486">
        <f>INDEX('qtrP&amp;L'!92:92,MATCH(AC5,'qtrP&amp;L'!6:6,0))</f>
        <v>0</v>
      </c>
      <c r="AD32" s="486">
        <f>INDEX('qtrP&amp;L'!92:92,MATCH(AD5,'qtrP&amp;L'!6:6,0))</f>
        <v>0</v>
      </c>
      <c r="AE32" s="486">
        <f>INDEX('qtrP&amp;L'!92:92,MATCH(AE5,'qtrP&amp;L'!6:6,0))</f>
        <v>0</v>
      </c>
      <c r="AF32" s="486">
        <f>INDEX('qtrP&amp;L'!92:92,MATCH(AF5,'qtrP&amp;L'!6:6,0))</f>
        <v>0</v>
      </c>
      <c r="AG32" s="500">
        <v>0</v>
      </c>
      <c r="AH32" s="500">
        <v>0</v>
      </c>
      <c r="AI32" s="500">
        <v>0</v>
      </c>
      <c r="AJ32" s="500">
        <v>0</v>
      </c>
      <c r="AK32" s="500">
        <v>0</v>
      </c>
      <c r="AL32" s="500">
        <v>0</v>
      </c>
      <c r="AM32" s="1240">
        <v>0</v>
      </c>
      <c r="AO32" s="448"/>
      <c r="AP32" s="261"/>
      <c r="AQ32" s="449"/>
      <c r="AR32" s="262"/>
    </row>
    <row r="33" spans="1:48" outlineLevel="1" x14ac:dyDescent="0.2">
      <c r="A33" s="281"/>
      <c r="N33" s="501"/>
      <c r="O33" s="501"/>
      <c r="P33" s="501"/>
      <c r="Q33" s="501"/>
      <c r="R33" s="501"/>
      <c r="S33" s="501"/>
      <c r="T33" s="501"/>
      <c r="U33" s="501"/>
      <c r="V33" s="501"/>
      <c r="W33" s="501"/>
      <c r="X33" s="501"/>
      <c r="Y33" s="501"/>
      <c r="Z33" s="501"/>
      <c r="AA33" s="501"/>
      <c r="AB33" s="501"/>
      <c r="AC33" s="501"/>
      <c r="AD33" s="501"/>
      <c r="AE33" s="501"/>
      <c r="AF33" s="501"/>
      <c r="AG33" s="501"/>
      <c r="AH33" s="501"/>
      <c r="AI33" s="501"/>
      <c r="AJ33" s="501"/>
      <c r="AK33" s="501"/>
      <c r="AL33" s="501"/>
      <c r="AM33" s="1239"/>
      <c r="AO33" s="448"/>
      <c r="AP33" s="261"/>
      <c r="AQ33" s="449"/>
      <c r="AR33" s="262"/>
    </row>
    <row r="34" spans="1:48" outlineLevel="1" x14ac:dyDescent="0.2">
      <c r="A34" s="185" t="s">
        <v>318</v>
      </c>
      <c r="B34" s="485">
        <f>1067.817+142.11</f>
        <v>1209.9270000000001</v>
      </c>
      <c r="C34" s="486">
        <f>INDEX('qtrP&amp;L'!102:102,MATCH(C5,'qtrP&amp;L'!6:6,0))</f>
        <v>127.032</v>
      </c>
      <c r="D34" s="486">
        <f>INDEX('qtrP&amp;L'!102:102,MATCH(D5,'qtrP&amp;L'!6:6,0))</f>
        <v>1679.9359999999999</v>
      </c>
      <c r="E34" s="485">
        <v>0</v>
      </c>
      <c r="F34" s="485">
        <v>20</v>
      </c>
      <c r="G34" s="485">
        <f>INDEX('qtrP&amp;L'!102:102,MATCH(G5,'qtrP&amp;L'!6:6,0))+18</f>
        <v>-6</v>
      </c>
      <c r="H34" s="486">
        <f>INDEX('qtrP&amp;L'!102:102,MATCH(H5,'qtrP&amp;L'!6:6,0))</f>
        <v>25.204999999999998</v>
      </c>
      <c r="I34" s="486">
        <f>INDEX('qtrP&amp;L'!102:102,MATCH(I5,'qtrP&amp;L'!6:6,0))</f>
        <v>144.60499999999999</v>
      </c>
      <c r="J34" s="486">
        <f>INDEX('qtrP&amp;L'!102:102,MATCH(J5,'qtrP&amp;L'!6:6,0))</f>
        <v>276.92599999999999</v>
      </c>
      <c r="L34" s="485">
        <v>0</v>
      </c>
      <c r="M34" s="485">
        <f>INDEX('qtrP&amp;L'!102:102,MATCH(M5,'qtrP&amp;L'!6:6,0))</f>
        <v>0</v>
      </c>
      <c r="N34" s="485">
        <f>INDEX('qtrP&amp;L'!102:102,MATCH(N5,'qtrP&amp;L'!6:6,0))</f>
        <v>0</v>
      </c>
      <c r="O34" s="485">
        <f>INDEX('qtrP&amp;L'!102:102,MATCH(O5,'qtrP&amp;L'!6:6,0))</f>
        <v>0</v>
      </c>
      <c r="P34" s="485">
        <f>INDEX('qtrP&amp;L'!102:102,MATCH(P5,'qtrP&amp;L'!6:6,0))</f>
        <v>0</v>
      </c>
      <c r="Q34" s="485">
        <f>INDEX('qtrP&amp;L'!102:102,MATCH(Q5,'qtrP&amp;L'!6:6,0))</f>
        <v>80</v>
      </c>
      <c r="R34" s="485">
        <f>INDEX('qtrP&amp;L'!102:102,MATCH(R5,'qtrP&amp;L'!6:6,0))</f>
        <v>272</v>
      </c>
      <c r="S34" s="485">
        <f>INDEX('qtrP&amp;L'!102:102,MATCH(S5,'qtrP&amp;L'!6:6,0))</f>
        <v>68</v>
      </c>
      <c r="T34" s="485">
        <f>INDEX('qtrP&amp;L'!102:102,MATCH(T5,'qtrP&amp;L'!6:6,0))</f>
        <v>59</v>
      </c>
      <c r="U34" s="485">
        <f>INDEX('qtrP&amp;L'!102:102,MATCH(U5,'qtrP&amp;L'!6:6,0))</f>
        <v>158</v>
      </c>
      <c r="V34" s="485">
        <f>INDEX('qtrP&amp;L'!102:102,MATCH(V5,'qtrP&amp;L'!6:6,0))</f>
        <v>-303</v>
      </c>
      <c r="W34" s="485">
        <f>INDEX('qtrP&amp;L'!102:102,MATCH(W5,'qtrP&amp;L'!6:6,0))</f>
        <v>437</v>
      </c>
      <c r="X34" s="485">
        <f>INDEX('qtrP&amp;L'!102:102,MATCH(X5,'qtrP&amp;L'!6:6,0))</f>
        <v>219</v>
      </c>
      <c r="Y34" s="485">
        <f>INDEX('qtrP&amp;L'!102:102,MATCH(Y5,'qtrP&amp;L'!6:6,0))</f>
        <v>421</v>
      </c>
      <c r="Z34" s="486">
        <f>INDEX('qtrP&amp;L'!102:102,MATCH(Z5,'qtrP&amp;L'!6:6,0))</f>
        <v>391</v>
      </c>
      <c r="AA34" s="486">
        <f>INDEX('qtrP&amp;L'!102:102,MATCH(AA5,'qtrP&amp;L'!6:6,0))</f>
        <v>25</v>
      </c>
      <c r="AB34" s="486">
        <f>INDEX('qtrP&amp;L'!102:102,MATCH(AB5,'qtrP&amp;L'!6:6,0))</f>
        <v>-25</v>
      </c>
      <c r="AC34" s="486">
        <f>INDEX('qtrP&amp;L'!102:102,MATCH(AC5,'qtrP&amp;L'!6:6,0))</f>
        <v>0</v>
      </c>
      <c r="AD34" s="486">
        <f>INDEX('qtrP&amp;L'!102:102,MATCH(AD5,'qtrP&amp;L'!6:6,0))</f>
        <v>0</v>
      </c>
      <c r="AE34" s="486">
        <f>INDEX('qtrP&amp;L'!102:102,MATCH(AE5,'qtrP&amp;L'!6:6,0))</f>
        <v>0</v>
      </c>
      <c r="AF34" s="486">
        <f>INDEX('qtrP&amp;L'!102:102,MATCH(AF5,'qtrP&amp;L'!6:6,0))</f>
        <v>0</v>
      </c>
      <c r="AG34" s="500">
        <v>0</v>
      </c>
      <c r="AH34" s="500">
        <v>0</v>
      </c>
      <c r="AI34" s="500">
        <v>0</v>
      </c>
      <c r="AJ34" s="500">
        <v>0</v>
      </c>
      <c r="AK34" s="500">
        <v>0</v>
      </c>
      <c r="AL34" s="500">
        <v>0</v>
      </c>
      <c r="AM34" s="1240">
        <v>0</v>
      </c>
      <c r="AO34" s="448"/>
      <c r="AP34" s="261"/>
      <c r="AQ34" s="449"/>
      <c r="AR34" s="262"/>
    </row>
    <row r="35" spans="1:48" x14ac:dyDescent="0.2">
      <c r="AO35" s="448"/>
      <c r="AP35" s="261"/>
      <c r="AQ35" s="449"/>
      <c r="AR35" s="262"/>
    </row>
    <row r="36" spans="1:48" x14ac:dyDescent="0.2">
      <c r="A36" s="185" t="s">
        <v>319</v>
      </c>
      <c r="B36" s="486">
        <f>B22-B25-B34-B32</f>
        <v>-1767.144</v>
      </c>
      <c r="C36" s="486">
        <f t="shared" ref="C36:AE36" si="27">C22-C25-C34-C32</f>
        <v>-547.80099999999982</v>
      </c>
      <c r="D36" s="486">
        <f t="shared" si="27"/>
        <v>-1849.9609999999998</v>
      </c>
      <c r="E36" s="486">
        <f t="shared" si="27"/>
        <v>53.278999999999812</v>
      </c>
      <c r="F36" s="486">
        <f t="shared" si="27"/>
        <v>212.00700000000063</v>
      </c>
      <c r="G36" s="486">
        <f t="shared" si="27"/>
        <v>349.77999999999912</v>
      </c>
      <c r="H36" s="486">
        <f t="shared" si="27"/>
        <v>427.72199999999896</v>
      </c>
      <c r="I36" s="486">
        <f t="shared" si="27"/>
        <v>92.29499999999949</v>
      </c>
      <c r="J36" s="486">
        <f t="shared" si="27"/>
        <v>304.69899999999893</v>
      </c>
      <c r="L36" s="486">
        <f t="shared" si="27"/>
        <v>202</v>
      </c>
      <c r="M36" s="486">
        <f t="shared" si="27"/>
        <v>441.23599999999999</v>
      </c>
      <c r="N36" s="486">
        <f t="shared" si="27"/>
        <v>958</v>
      </c>
      <c r="O36" s="486">
        <f t="shared" si="27"/>
        <v>1163</v>
      </c>
      <c r="P36" s="486">
        <f t="shared" si="27"/>
        <v>1386</v>
      </c>
      <c r="Q36" s="486">
        <f t="shared" si="27"/>
        <v>1370</v>
      </c>
      <c r="R36" s="486">
        <f t="shared" si="27"/>
        <v>780</v>
      </c>
      <c r="S36" s="486">
        <f t="shared" si="27"/>
        <v>1048</v>
      </c>
      <c r="T36" s="486">
        <f t="shared" si="27"/>
        <v>1084</v>
      </c>
      <c r="U36" s="486">
        <f t="shared" si="27"/>
        <v>1116</v>
      </c>
      <c r="V36" s="486">
        <f>V22-V25-V34-V32</f>
        <v>2044</v>
      </c>
      <c r="W36" s="486">
        <f t="shared" si="27"/>
        <v>1375</v>
      </c>
      <c r="X36" s="486">
        <f t="shared" si="27"/>
        <v>1320</v>
      </c>
      <c r="Y36" s="486">
        <f t="shared" si="27"/>
        <v>444</v>
      </c>
      <c r="Z36" s="486">
        <f t="shared" si="27"/>
        <v>507</v>
      </c>
      <c r="AA36" s="486">
        <f t="shared" si="27"/>
        <v>1320</v>
      </c>
      <c r="AB36" s="486">
        <f t="shared" si="27"/>
        <v>1968</v>
      </c>
      <c r="AC36" s="486">
        <f>AC22-AC25-AC34-AC32</f>
        <v>2244</v>
      </c>
      <c r="AD36" s="486">
        <f>AD22-AD25-AD34-AD32</f>
        <v>2378</v>
      </c>
      <c r="AE36" s="486">
        <f t="shared" si="27"/>
        <v>2494</v>
      </c>
      <c r="AF36" s="486">
        <f t="shared" ref="AF36" si="28">AF22-AF25-AF34-AF32</f>
        <v>1966</v>
      </c>
      <c r="AG36" s="486">
        <f>AG22-AG25-AG34-AG32+AG28</f>
        <v>1542.75</v>
      </c>
      <c r="AH36" s="486">
        <f t="shared" ref="AH36:AM36" si="29">AH22-AH25-AH34-AH32+AH28</f>
        <v>1803</v>
      </c>
      <c r="AI36" s="486">
        <f t="shared" si="29"/>
        <v>1423.7310522000007</v>
      </c>
      <c r="AJ36" s="486">
        <f t="shared" si="29"/>
        <v>1086.3126534677194</v>
      </c>
      <c r="AK36" s="486">
        <f t="shared" si="29"/>
        <v>768.85481748229722</v>
      </c>
      <c r="AL36" s="486">
        <f t="shared" si="29"/>
        <v>507.99365821153151</v>
      </c>
      <c r="AM36" s="1235">
        <f t="shared" si="29"/>
        <v>264.95472477024123</v>
      </c>
      <c r="AO36" s="448">
        <f>RATE(5,,-AB36,AG36)*100</f>
        <v>-4.7523888496175273</v>
      </c>
      <c r="AP36" s="261" t="s">
        <v>93</v>
      </c>
      <c r="AQ36" s="1462" t="s">
        <v>86</v>
      </c>
      <c r="AR36" s="262"/>
      <c r="AS36" s="282"/>
    </row>
    <row r="37" spans="1:48" x14ac:dyDescent="0.2">
      <c r="A37" s="450" t="s">
        <v>37</v>
      </c>
      <c r="B37" s="489">
        <f t="shared" ref="B37:AH37" si="30">IF(B36=0,"NA",B36/B$7)</f>
        <v>-0.23320672309096854</v>
      </c>
      <c r="C37" s="489">
        <f t="shared" si="30"/>
        <v>-7.6701526732841543E-2</v>
      </c>
      <c r="D37" s="489">
        <f t="shared" si="30"/>
        <v>-0.26686018525103339</v>
      </c>
      <c r="E37" s="489">
        <f t="shared" si="30"/>
        <v>7.6855911070502353E-3</v>
      </c>
      <c r="F37" s="489">
        <f t="shared" si="30"/>
        <v>2.9944741064932688E-2</v>
      </c>
      <c r="G37" s="489">
        <f t="shared" si="30"/>
        <v>4.8382951517731768E-2</v>
      </c>
      <c r="H37" s="489">
        <f t="shared" si="30"/>
        <v>5.5494424440059829E-2</v>
      </c>
      <c r="I37" s="489">
        <f t="shared" si="30"/>
        <v>6.73612378206762E-3</v>
      </c>
      <c r="J37" s="489">
        <f t="shared" si="30"/>
        <v>2.17672710324892E-2</v>
      </c>
      <c r="L37" s="489">
        <f t="shared" si="30"/>
        <v>1.3822362118516491E-2</v>
      </c>
      <c r="M37" s="489">
        <f t="shared" si="30"/>
        <v>2.974691566102609E-2</v>
      </c>
      <c r="N37" s="489">
        <f t="shared" si="30"/>
        <v>6.2943495400788432E-2</v>
      </c>
      <c r="O37" s="489">
        <f t="shared" si="30"/>
        <v>7.5691506671005535E-2</v>
      </c>
      <c r="P37" s="489">
        <f t="shared" si="30"/>
        <v>8.6468276249298148E-2</v>
      </c>
      <c r="Q37" s="489">
        <f t="shared" si="30"/>
        <v>8.2341627599471084E-2</v>
      </c>
      <c r="R37" s="489">
        <f t="shared" si="30"/>
        <v>4.9414000633512832E-2</v>
      </c>
      <c r="S37" s="489">
        <f t="shared" si="30"/>
        <v>6.7304604713891214E-2</v>
      </c>
      <c r="T37" s="489">
        <f t="shared" si="30"/>
        <v>7.0334804048793151E-2</v>
      </c>
      <c r="U37" s="489">
        <f t="shared" si="30"/>
        <v>7.074036511156187E-2</v>
      </c>
      <c r="V37" s="489">
        <f t="shared" si="30"/>
        <v>9.1290754801250554E-2</v>
      </c>
      <c r="W37" s="489">
        <f t="shared" si="30"/>
        <v>5.0982573229514272E-2</v>
      </c>
      <c r="X37" s="489">
        <f t="shared" si="30"/>
        <v>5.0165317523657507E-2</v>
      </c>
      <c r="Y37" s="489">
        <f t="shared" si="30"/>
        <v>1.783705608227543E-2</v>
      </c>
      <c r="Z37" s="489">
        <f t="shared" si="30"/>
        <v>2.1217827997489013E-2</v>
      </c>
      <c r="AA37" s="489">
        <f t="shared" si="30"/>
        <v>5.2793664760228773E-2</v>
      </c>
      <c r="AB37" s="489">
        <f t="shared" si="30"/>
        <v>7.4531338761598176E-2</v>
      </c>
      <c r="AC37" s="489">
        <f t="shared" si="30"/>
        <v>8.10517951311132E-2</v>
      </c>
      <c r="AD37" s="489">
        <f t="shared" si="30"/>
        <v>8.5138376714045325E-2</v>
      </c>
      <c r="AE37" s="489">
        <f t="shared" si="30"/>
        <v>8.8738658601672307E-2</v>
      </c>
      <c r="AF37" s="489">
        <f>IF(AF36=0,"NA",AF36/AF$7)</f>
        <v>7.2602385612467221E-2</v>
      </c>
      <c r="AG37" s="489">
        <f t="shared" si="30"/>
        <v>5.9542647626399076E-2</v>
      </c>
      <c r="AH37" s="489">
        <f t="shared" si="30"/>
        <v>7.2279013830426939E-2</v>
      </c>
      <c r="AI37" s="489">
        <f>IF(AI36=0,"NA",AI36/AI$7)</f>
        <v>5.7980690745633293E-2</v>
      </c>
      <c r="AJ37" s="489">
        <f>IF(AJ36=0,"NA",AJ36/AJ$7)</f>
        <v>4.5583159077859592E-2</v>
      </c>
      <c r="AK37" s="489">
        <f>IF(AK36=0,"NA",AK36/AK$7)</f>
        <v>3.3249368392030042E-2</v>
      </c>
      <c r="AL37" s="489">
        <f>IF(AL36=0,"NA",AL36/AL$7)</f>
        <v>2.2623151248752298E-2</v>
      </c>
      <c r="AM37" s="1234">
        <f>IF(AM36=0,"NA",AM36/AM$7)</f>
        <v>1.2154117512443136E-2</v>
      </c>
      <c r="AO37" s="260"/>
      <c r="AP37" s="261"/>
      <c r="AQ37" s="261"/>
      <c r="AR37" s="262"/>
    </row>
    <row r="38" spans="1:48" x14ac:dyDescent="0.2">
      <c r="A38" s="281"/>
      <c r="N38" s="501"/>
      <c r="O38" s="501"/>
      <c r="P38" s="501"/>
      <c r="Q38" s="501"/>
      <c r="R38" s="502"/>
      <c r="S38" s="502"/>
      <c r="T38" s="502"/>
      <c r="U38" s="501"/>
      <c r="V38" s="501">
        <f>V36*V40</f>
        <v>765.40858992805761</v>
      </c>
      <c r="W38" s="501"/>
      <c r="X38" s="501"/>
      <c r="Y38" s="501"/>
      <c r="Z38" s="501"/>
      <c r="AA38" s="501"/>
      <c r="AB38" s="501"/>
      <c r="AC38" s="501"/>
      <c r="AD38" s="501"/>
      <c r="AE38" s="501"/>
      <c r="AF38" s="501"/>
      <c r="AG38" s="501"/>
      <c r="AH38" s="501"/>
      <c r="AI38" s="501"/>
      <c r="AJ38" s="501"/>
      <c r="AK38" s="501"/>
      <c r="AL38" s="501"/>
      <c r="AM38" s="1239"/>
      <c r="AO38" s="260"/>
      <c r="AP38" s="261"/>
      <c r="AQ38" s="261"/>
      <c r="AR38" s="262"/>
    </row>
    <row r="39" spans="1:48" x14ac:dyDescent="0.2">
      <c r="A39" s="185" t="s">
        <v>320</v>
      </c>
      <c r="B39" s="485">
        <v>6.7830000000000004</v>
      </c>
      <c r="C39" s="486">
        <f>INDEX('qtrP&amp;L'!122:122,MATCH(C5,'qtrP&amp;L'!6:6,0))</f>
        <v>-276.35500000000002</v>
      </c>
      <c r="D39" s="486">
        <f>INDEX('qtrP&amp;L'!122:122,MATCH(D5,'qtrP&amp;L'!6:6,0))</f>
        <v>-613.98900000000003</v>
      </c>
      <c r="E39" s="485">
        <v>28.096</v>
      </c>
      <c r="F39" s="486">
        <f>INDEX('qtrP&amp;L'!122:122,MATCH(F5,'qtrP&amp;L'!6:6,0))</f>
        <v>99.299000000000007</v>
      </c>
      <c r="G39" s="486">
        <f>INDEX('qtrP&amp;L'!122:122,MATCH(G5,'qtrP&amp;L'!6:6,0))</f>
        <v>156.745</v>
      </c>
      <c r="H39" s="486">
        <f>INDEX('qtrP&amp;L'!122:122,MATCH(H5,'qtrP&amp;L'!6:6,0))</f>
        <v>180.869</v>
      </c>
      <c r="I39" s="485">
        <v>55.495050000000049</v>
      </c>
      <c r="J39" s="486">
        <f>INDEX('qtrP&amp;L'!122:122,MATCH(J5,'qtrP&amp;L'!6:6,0))</f>
        <v>155.708</v>
      </c>
      <c r="L39" s="499">
        <v>127</v>
      </c>
      <c r="M39" s="486">
        <f>INDEX('qtrP&amp;L'!122:122,MATCH(M5,'qtrP&amp;L'!6:6,0))</f>
        <v>175</v>
      </c>
      <c r="N39" s="486">
        <f>INDEX('qtrP&amp;L'!122:122,MATCH(N5,'qtrP&amp;L'!6:6,0))</f>
        <v>383</v>
      </c>
      <c r="O39" s="486">
        <f>INDEX('qtrP&amp;L'!122:122,MATCH(O5,'qtrP&amp;L'!6:6,0))</f>
        <v>477.76599999999996</v>
      </c>
      <c r="P39" s="486">
        <f>INDEX('qtrP&amp;L'!122:122,MATCH(P5,'qtrP&amp;L'!6:6,0))</f>
        <v>561</v>
      </c>
      <c r="Q39" s="486">
        <f>Q36*Q40</f>
        <v>549</v>
      </c>
      <c r="R39" s="486">
        <f t="shared" ref="R39:W39" si="31">R40*R36</f>
        <v>306</v>
      </c>
      <c r="S39" s="486">
        <f t="shared" si="31"/>
        <v>410</v>
      </c>
      <c r="T39" s="486">
        <f t="shared" si="31"/>
        <v>429</v>
      </c>
      <c r="U39" s="486">
        <f t="shared" si="31"/>
        <v>427</v>
      </c>
      <c r="V39" s="486">
        <f t="shared" si="31"/>
        <v>765.40858992805761</v>
      </c>
      <c r="W39" s="486">
        <f t="shared" si="31"/>
        <v>511.75</v>
      </c>
      <c r="X39" s="493">
        <v>489</v>
      </c>
      <c r="Y39" s="493">
        <v>-135</v>
      </c>
      <c r="Z39" s="493">
        <v>178</v>
      </c>
      <c r="AA39" s="486">
        <f>AA36*AA40</f>
        <v>473.04089219330854</v>
      </c>
      <c r="AB39" s="486">
        <f>AB36*AB40</f>
        <v>712</v>
      </c>
      <c r="AC39" s="486">
        <f>'qtrP&amp;L'!CR122</f>
        <v>817</v>
      </c>
      <c r="AD39" s="486">
        <f>INDEX('qtrP&amp;L'!122:122,MATCH(AD5,'qtrP&amp;L'!6:6,0))</f>
        <v>837.44</v>
      </c>
      <c r="AE39" s="486">
        <f>INDEX('qtrP&amp;L'!122:122,MATCH(AE5,'qtrP&amp;L'!6:6,0))</f>
        <v>903.52</v>
      </c>
      <c r="AF39" s="486">
        <f>INDEX('qtrP&amp;L'!122:122,MATCH(AF5,'qtrP&amp;L'!6:6,0))</f>
        <v>712.13</v>
      </c>
      <c r="AG39" s="486">
        <f>INDEX('qtrP&amp;L'!122:122,MATCH(AG5,'qtrP&amp;L'!6:6,0))</f>
        <v>565.45900000000006</v>
      </c>
      <c r="AH39" s="486">
        <f>INDEX('qtrP&amp;L'!122:122,MATCH(AH5,'qtrP&amp;L'!6:6,0))</f>
        <v>640.59999999999991</v>
      </c>
      <c r="AI39" s="486">
        <f>INDEX('qtrP&amp;L'!122:122,MATCH(AI5,'qtrP&amp;L'!6:6,0))</f>
        <v>331.01746963649987</v>
      </c>
      <c r="AJ39" s="486">
        <f>AJ40*AJ36</f>
        <v>252.56769193124455</v>
      </c>
      <c r="AK39" s="486">
        <f>AK40*AK36</f>
        <v>178.75874506463396</v>
      </c>
      <c r="AL39" s="486">
        <f>AL40*AL36</f>
        <v>118.10852553418097</v>
      </c>
      <c r="AM39" s="486">
        <f>AM40*AM36</f>
        <v>61.601973509081027</v>
      </c>
      <c r="AO39" s="448"/>
      <c r="AP39" s="261"/>
      <c r="AQ39" s="449"/>
      <c r="AR39" s="262"/>
      <c r="AS39" s="282"/>
    </row>
    <row r="40" spans="1:48" x14ac:dyDescent="0.2">
      <c r="A40" s="450" t="s">
        <v>22</v>
      </c>
      <c r="B40" s="489">
        <f>B39/B36</f>
        <v>-3.838396870883188E-3</v>
      </c>
      <c r="C40" s="489">
        <f>C39/C36</f>
        <v>0.50448064169287776</v>
      </c>
      <c r="D40" s="489">
        <f>D39/D36</f>
        <v>0.33189294260797936</v>
      </c>
      <c r="E40" s="489">
        <f>E39/E36</f>
        <v>0.52733722479776457</v>
      </c>
      <c r="F40" s="489">
        <f>F39/F36</f>
        <v>0.4683760441872189</v>
      </c>
      <c r="G40" s="490">
        <v>0.42619228886834626</v>
      </c>
      <c r="H40" s="489">
        <f>H39/H36</f>
        <v>0.42286578665581953</v>
      </c>
      <c r="I40" s="489">
        <f>I39/I36</f>
        <v>0.6012790508694984</v>
      </c>
      <c r="J40" s="489">
        <f>J39/J36</f>
        <v>0.51102235320759359</v>
      </c>
      <c r="L40" s="489">
        <f>L39/L36</f>
        <v>0.62871287128712872</v>
      </c>
      <c r="M40" s="489">
        <f>M39/M36</f>
        <v>0.39661315033224853</v>
      </c>
      <c r="N40" s="489">
        <f>N39/N36</f>
        <v>0.39979123173277664</v>
      </c>
      <c r="O40" s="489">
        <f>O39/O36</f>
        <v>0.41080481513327599</v>
      </c>
      <c r="P40" s="489">
        <f>P39/P36</f>
        <v>0.40476190476190477</v>
      </c>
      <c r="Q40" s="490">
        <f>549/1370</f>
        <v>0.40072992700729926</v>
      </c>
      <c r="R40" s="490">
        <v>0.3923076923076923</v>
      </c>
      <c r="S40" s="490">
        <v>0.39122137404580154</v>
      </c>
      <c r="T40" s="490">
        <v>0.39575645756457567</v>
      </c>
      <c r="U40" s="490">
        <v>0.38261648745519711</v>
      </c>
      <c r="V40" s="490">
        <v>0.37446604203916711</v>
      </c>
      <c r="W40" s="489">
        <v>0.37218181818181817</v>
      </c>
      <c r="X40" s="489">
        <f>X39/X36</f>
        <v>0.37045454545454548</v>
      </c>
      <c r="Y40" s="489">
        <f>Y39/Y36</f>
        <v>-0.30405405405405406</v>
      </c>
      <c r="Z40" s="489">
        <f>Z39/Z36</f>
        <v>0.35108481262327418</v>
      </c>
      <c r="AA40" s="489">
        <v>0.35836431226765797</v>
      </c>
      <c r="AB40" s="489">
        <v>0.36178861788617889</v>
      </c>
      <c r="AC40" s="489">
        <f t="shared" ref="AC40:AI40" si="32">AC39/AC36</f>
        <v>0.3640819964349376</v>
      </c>
      <c r="AD40" s="489">
        <f t="shared" si="32"/>
        <v>0.35216148023549204</v>
      </c>
      <c r="AE40" s="489">
        <f t="shared" si="32"/>
        <v>0.3622774659182037</v>
      </c>
      <c r="AF40" s="489">
        <f t="shared" si="32"/>
        <v>0.36222278738555441</v>
      </c>
      <c r="AG40" s="489">
        <f t="shared" si="32"/>
        <v>0.36652665694376929</v>
      </c>
      <c r="AH40" s="489">
        <f t="shared" si="32"/>
        <v>0.35529672767609533</v>
      </c>
      <c r="AI40" s="1464">
        <f t="shared" si="32"/>
        <v>0.23249999999999979</v>
      </c>
      <c r="AJ40" s="1451">
        <f>AI40</f>
        <v>0.23249999999999979</v>
      </c>
      <c r="AK40" s="1451">
        <f t="shared" ref="AK40:AN40" si="33">AJ40</f>
        <v>0.23249999999999979</v>
      </c>
      <c r="AL40" s="1451">
        <f t="shared" si="33"/>
        <v>0.23249999999999979</v>
      </c>
      <c r="AM40" s="1451">
        <f t="shared" si="33"/>
        <v>0.23249999999999979</v>
      </c>
      <c r="AN40" s="1451">
        <f t="shared" si="33"/>
        <v>0.23249999999999979</v>
      </c>
      <c r="AO40" s="260"/>
      <c r="AP40" s="261"/>
      <c r="AQ40" s="261"/>
      <c r="AR40" s="262"/>
    </row>
    <row r="41" spans="1:48" x14ac:dyDescent="0.2">
      <c r="A41" s="281"/>
      <c r="B41" s="281"/>
      <c r="C41" s="281"/>
      <c r="D41" s="281"/>
      <c r="E41" s="281"/>
      <c r="F41" s="281"/>
      <c r="G41" s="281"/>
      <c r="H41" s="281"/>
      <c r="I41" s="281"/>
      <c r="J41" s="281"/>
      <c r="K41" s="281"/>
      <c r="L41" s="281"/>
      <c r="M41" s="281"/>
      <c r="N41" s="281"/>
      <c r="O41" s="281"/>
      <c r="P41" s="281"/>
      <c r="Q41" s="281"/>
      <c r="R41" s="281"/>
      <c r="S41" s="281"/>
      <c r="T41" s="281"/>
      <c r="U41" s="281"/>
      <c r="V41" s="281"/>
      <c r="W41" s="281"/>
      <c r="X41" s="281"/>
      <c r="Y41" s="281"/>
      <c r="Z41" s="281"/>
      <c r="AA41" s="281"/>
      <c r="AB41" s="281"/>
      <c r="AC41" s="281"/>
      <c r="AD41" s="281"/>
      <c r="AE41" s="281"/>
      <c r="AF41" s="281"/>
      <c r="AG41" s="281"/>
      <c r="AH41" s="281"/>
      <c r="AI41" s="281"/>
      <c r="AJ41" s="281"/>
      <c r="AK41" s="281"/>
      <c r="AL41" s="281"/>
      <c r="AM41" s="1241"/>
      <c r="AO41" s="260"/>
      <c r="AP41" s="261"/>
      <c r="AQ41" s="261"/>
      <c r="AR41" s="262"/>
    </row>
    <row r="42" spans="1:48" x14ac:dyDescent="0.2">
      <c r="A42" s="185" t="s">
        <v>321</v>
      </c>
      <c r="B42" s="486">
        <f t="shared" ref="B42:J42" si="34">B36-B39</f>
        <v>-1773.9269999999999</v>
      </c>
      <c r="C42" s="486">
        <f t="shared" si="34"/>
        <v>-271.4459999999998</v>
      </c>
      <c r="D42" s="486">
        <f t="shared" si="34"/>
        <v>-1235.9719999999998</v>
      </c>
      <c r="E42" s="486">
        <f t="shared" si="34"/>
        <v>25.182999999999812</v>
      </c>
      <c r="F42" s="486">
        <f t="shared" si="34"/>
        <v>112.70800000000062</v>
      </c>
      <c r="G42" s="486">
        <f t="shared" si="34"/>
        <v>193.03499999999912</v>
      </c>
      <c r="H42" s="486">
        <f t="shared" si="34"/>
        <v>246.85299999999896</v>
      </c>
      <c r="I42" s="486">
        <f t="shared" si="34"/>
        <v>36.799949999999441</v>
      </c>
      <c r="J42" s="486">
        <f t="shared" si="34"/>
        <v>148.99099999999893</v>
      </c>
      <c r="L42" s="486">
        <f t="shared" ref="L42:R42" si="35">L36-L39</f>
        <v>75</v>
      </c>
      <c r="M42" s="486">
        <f t="shared" si="35"/>
        <v>266.23599999999999</v>
      </c>
      <c r="N42" s="486">
        <f t="shared" si="35"/>
        <v>575</v>
      </c>
      <c r="O42" s="486">
        <f t="shared" si="35"/>
        <v>685.23400000000004</v>
      </c>
      <c r="P42" s="486">
        <f t="shared" si="35"/>
        <v>825</v>
      </c>
      <c r="Q42" s="486">
        <f t="shared" si="35"/>
        <v>821</v>
      </c>
      <c r="R42" s="486">
        <f t="shared" si="35"/>
        <v>474</v>
      </c>
      <c r="S42" s="486">
        <f>(S$22-S$25)*(1-S$40)</f>
        <v>679.39694656488552</v>
      </c>
      <c r="T42" s="486">
        <f>(T$22-T$25)*(1-T$40)</f>
        <v>690.65036900369</v>
      </c>
      <c r="U42" s="486">
        <f>(U$22-U$25)*(1-U$40)</f>
        <v>786.54659498207877</v>
      </c>
      <c r="V42" s="486">
        <f>(V$22-V$25)*(1-V$40)</f>
        <v>1089.0546208098101</v>
      </c>
      <c r="W42" s="486">
        <f>(W$22-W$25)*(1-W$40)</f>
        <v>1137.6065454545455</v>
      </c>
      <c r="X42" s="493">
        <f>(X$22-X$25)*(1-37.5%)</f>
        <v>961.875</v>
      </c>
      <c r="Y42" s="493">
        <f>(Y$22-Y$25)*(1-37%)</f>
        <v>544.95000000000005</v>
      </c>
      <c r="Z42" s="493">
        <f>(Z$22-Z$25)*(1-35.9%)</f>
        <v>575.61800000000005</v>
      </c>
      <c r="AA42" s="486">
        <f>AA36-AA39+41</f>
        <v>887.95910780669146</v>
      </c>
      <c r="AB42" s="486">
        <f t="shared" ref="AB42:AF42" si="36">(AB$22-AB$25)*(1-AB$40)</f>
        <v>1240.0447154471544</v>
      </c>
      <c r="AC42" s="486">
        <f t="shared" si="36"/>
        <v>1427.0000000000002</v>
      </c>
      <c r="AD42" s="486">
        <f t="shared" si="36"/>
        <v>1540.56</v>
      </c>
      <c r="AE42" s="486">
        <f t="shared" si="36"/>
        <v>1590.4799999999998</v>
      </c>
      <c r="AF42" s="486">
        <f t="shared" si="36"/>
        <v>1253.8700000000001</v>
      </c>
      <c r="AG42" s="486">
        <f>(AG$22-AG$25+AG28)*(1-AG$40)</f>
        <v>977.29099999999994</v>
      </c>
      <c r="AH42" s="486">
        <f t="shared" ref="AH42:AM42" si="37">(AH$22-AH$25+AH28)*(1-AH$40)</f>
        <v>1162.4000000000001</v>
      </c>
      <c r="AI42" s="486">
        <f t="shared" si="37"/>
        <v>1092.7135825635007</v>
      </c>
      <c r="AJ42" s="486">
        <f t="shared" si="37"/>
        <v>833.74496153647488</v>
      </c>
      <c r="AK42" s="486">
        <f t="shared" si="37"/>
        <v>590.09607241766321</v>
      </c>
      <c r="AL42" s="486">
        <f t="shared" si="37"/>
        <v>389.88513267735055</v>
      </c>
      <c r="AM42" s="1235">
        <f t="shared" si="37"/>
        <v>203.35275126116019</v>
      </c>
      <c r="AO42" s="448">
        <f>RATE(5,,-AB42,AG42)*100</f>
        <v>-4.6507435521570732</v>
      </c>
      <c r="AP42" s="261" t="s">
        <v>93</v>
      </c>
      <c r="AQ42" s="1462" t="s">
        <v>86</v>
      </c>
      <c r="AR42" s="262"/>
      <c r="AS42" s="282"/>
    </row>
    <row r="43" spans="1:48" x14ac:dyDescent="0.2">
      <c r="A43" s="450" t="s">
        <v>37</v>
      </c>
      <c r="B43" s="489">
        <f t="shared" ref="B43:J43" si="38">B42/B7</f>
        <v>-0.23410186304714983</v>
      </c>
      <c r="C43" s="489">
        <f t="shared" si="38"/>
        <v>-3.8007091307834223E-2</v>
      </c>
      <c r="D43" s="489">
        <f t="shared" si="38"/>
        <v>-0.17829117310315745</v>
      </c>
      <c r="E43" s="489">
        <f t="shared" si="38"/>
        <v>3.632692821727985E-3</v>
      </c>
      <c r="F43" s="489">
        <f t="shared" si="38"/>
        <v>1.5919341700728947E-2</v>
      </c>
      <c r="G43" s="489">
        <f t="shared" si="38"/>
        <v>2.6701363846490172E-2</v>
      </c>
      <c r="H43" s="489">
        <f t="shared" si="38"/>
        <v>3.2027730994201996E-2</v>
      </c>
      <c r="I43" s="489">
        <f t="shared" si="38"/>
        <v>2.6858336678465453E-3</v>
      </c>
      <c r="J43" s="489">
        <f t="shared" si="38"/>
        <v>1.0643708966559084E-2</v>
      </c>
      <c r="L43" s="489">
        <f t="shared" ref="L43:AH43" si="39">L42/L7</f>
        <v>5.1320651430135488E-3</v>
      </c>
      <c r="M43" s="489">
        <f t="shared" si="39"/>
        <v>1.7948897728038832E-2</v>
      </c>
      <c r="N43" s="489">
        <f t="shared" si="39"/>
        <v>3.7779237844940868E-2</v>
      </c>
      <c r="O43" s="489">
        <f t="shared" si="39"/>
        <v>4.4597071265863979E-2</v>
      </c>
      <c r="P43" s="489">
        <f t="shared" si="39"/>
        <v>5.1469212053153662E-2</v>
      </c>
      <c r="Q43" s="489">
        <f t="shared" si="39"/>
        <v>4.934487318187282E-2</v>
      </c>
      <c r="R43" s="489">
        <f t="shared" si="39"/>
        <v>3.0028508077288567E-2</v>
      </c>
      <c r="S43" s="489">
        <f t="shared" si="39"/>
        <v>4.363219745455562E-2</v>
      </c>
      <c r="T43" s="489">
        <f t="shared" si="39"/>
        <v>4.4812507721495587E-2</v>
      </c>
      <c r="U43" s="489">
        <f t="shared" si="39"/>
        <v>4.9857162460831564E-2</v>
      </c>
      <c r="V43" s="489">
        <f t="shared" si="39"/>
        <v>4.8640224243403758E-2</v>
      </c>
      <c r="W43" s="489">
        <f t="shared" si="39"/>
        <v>4.2180442916371727E-2</v>
      </c>
      <c r="X43" s="489">
        <f t="shared" si="39"/>
        <v>3.655512484323338E-2</v>
      </c>
      <c r="Y43" s="489">
        <f t="shared" si="39"/>
        <v>2.1892575928009E-2</v>
      </c>
      <c r="Z43" s="489">
        <f t="shared" si="39"/>
        <v>2.4089474785519985E-2</v>
      </c>
      <c r="AA43" s="489">
        <f t="shared" si="39"/>
        <v>3.5514102619953261E-2</v>
      </c>
      <c r="AB43" s="489">
        <f t="shared" si="39"/>
        <v>4.6962496324451979E-2</v>
      </c>
      <c r="AC43" s="489">
        <f t="shared" si="39"/>
        <v>5.1542295745141957E-2</v>
      </c>
      <c r="AD43" s="489">
        <f>AD42/AD7</f>
        <v>5.5155919945580174E-2</v>
      </c>
      <c r="AE43" s="489">
        <f t="shared" si="39"/>
        <v>5.6590642234477843E-2</v>
      </c>
      <c r="AF43" s="489">
        <f>AF42/AF7</f>
        <v>4.6304147125078479E-2</v>
      </c>
      <c r="AG43" s="489">
        <f t="shared" si="39"/>
        <v>3.7718680046314165E-2</v>
      </c>
      <c r="AH43" s="489">
        <f t="shared" si="39"/>
        <v>4.6598516736821007E-2</v>
      </c>
      <c r="AI43" s="489">
        <f>AI42/AI7</f>
        <v>4.4500180147273555E-2</v>
      </c>
      <c r="AJ43" s="489">
        <f>AJ42/AJ7</f>
        <v>3.4985074592257248E-2</v>
      </c>
      <c r="AK43" s="489">
        <f>AK42/AK7</f>
        <v>2.5518890240883059E-2</v>
      </c>
      <c r="AL43" s="489">
        <f>AL42/AL7</f>
        <v>1.7363268583417392E-2</v>
      </c>
      <c r="AM43" s="1234">
        <f>AM42/AM7</f>
        <v>9.3282851908001087E-3</v>
      </c>
      <c r="AO43" s="448"/>
      <c r="AP43" s="261"/>
      <c r="AQ43" s="449"/>
      <c r="AR43" s="262"/>
    </row>
    <row r="44" spans="1:48" x14ac:dyDescent="0.2">
      <c r="A44" s="281"/>
      <c r="N44" s="501"/>
      <c r="O44" s="501"/>
      <c r="P44" s="501"/>
      <c r="Q44" s="501"/>
      <c r="R44" s="501"/>
      <c r="S44" s="501"/>
      <c r="T44" s="501"/>
      <c r="U44" s="501"/>
      <c r="V44" s="501"/>
      <c r="W44" s="501"/>
      <c r="X44" s="501"/>
      <c r="Y44" s="501"/>
      <c r="Z44" s="501"/>
      <c r="AA44" s="501"/>
      <c r="AB44" s="501"/>
      <c r="AC44" s="501"/>
      <c r="AD44" s="501"/>
      <c r="AE44" s="501"/>
      <c r="AF44" s="501"/>
      <c r="AG44" s="501"/>
      <c r="AH44" s="501"/>
      <c r="AI44" s="501"/>
      <c r="AJ44" s="501"/>
      <c r="AK44" s="501"/>
      <c r="AL44" s="501"/>
      <c r="AM44" s="1239"/>
      <c r="AO44" s="260"/>
      <c r="AP44" s="261"/>
      <c r="AQ44" s="261"/>
      <c r="AR44" s="262"/>
    </row>
    <row r="45" spans="1:48" x14ac:dyDescent="0.2">
      <c r="A45" s="185" t="s">
        <v>322</v>
      </c>
      <c r="B45" s="485">
        <v>0</v>
      </c>
      <c r="C45" s="486">
        <f>INDEX('qtrP&amp;L'!142:142,MATCH(C5,'qtrP&amp;L'!6:6,0))</f>
        <v>0</v>
      </c>
      <c r="D45" s="485">
        <f>2165.515-93.151</f>
        <v>2072.364</v>
      </c>
      <c r="E45" s="485">
        <v>0</v>
      </c>
      <c r="F45" s="486">
        <f>-INDEX('qtrP&amp;L'!142:142,MATCH(F5,'qtrP&amp;L'!6:6,0))</f>
        <v>19.698999999999998</v>
      </c>
      <c r="G45" s="485">
        <f>-INDEX('qtrP&amp;L'!142:142,MATCH(G5,'qtrP&amp;L'!6:6,0))+24*(1-G40)</f>
        <v>31.558385067159691</v>
      </c>
      <c r="H45" s="485">
        <v>16.149000000000001</v>
      </c>
      <c r="I45" s="485">
        <f>INDEX('qtrP&amp;L'!142:142,MATCH(I5,'qtrP&amp;L'!6:6,0))+I34*(1-0.39)</f>
        <v>104.35804999999999</v>
      </c>
      <c r="J45" s="485">
        <f>INDEX('qtrP&amp;L'!142:142,MATCH(J5,'qtrP&amp;L'!6:6,0))+J34*(1-0.39)</f>
        <v>168.92486</v>
      </c>
      <c r="L45" s="485">
        <v>0</v>
      </c>
      <c r="M45" s="485">
        <v>-10.637</v>
      </c>
      <c r="N45" s="485">
        <f>(INDEX('qtrP&amp;L'!142:142,MATCH(N5,'qtrP&amp;L'!6:6,0)))</f>
        <v>39</v>
      </c>
      <c r="O45" s="493">
        <f>(INDEX('qtrP&amp;L'!142:142,MATCH(O5,'qtrP&amp;L'!6:6,0)))-7</f>
        <v>16</v>
      </c>
      <c r="P45" s="485">
        <f>(INDEX('qtrP&amp;L'!142:142,MATCH(P5,'qtrP&amp;L'!6:6,0)))</f>
        <v>30</v>
      </c>
      <c r="Q45" s="485">
        <f>(INDEX('qtrP&amp;L'!142:142,MATCH(Q5,'qtrP&amp;L'!6:6,0)))</f>
        <v>1005</v>
      </c>
      <c r="R45" s="485">
        <f>(INDEX('qtrP&amp;L'!142:142,MATCH(R5,'qtrP&amp;L'!6:6,0)))</f>
        <v>750</v>
      </c>
      <c r="S45" s="485">
        <f>(INDEX('qtrP&amp;L'!142:142,MATCH(S5,'qtrP&amp;L'!6:6,0)))</f>
        <v>-180</v>
      </c>
      <c r="T45" s="485">
        <f>(INDEX('qtrP&amp;L'!142:142,MATCH(T5,'qtrP&amp;L'!6:6,0)))</f>
        <v>-38</v>
      </c>
      <c r="U45" s="485">
        <f>(INDEX('qtrP&amp;L'!142:142,MATCH(U5,'qtrP&amp;L'!6:6,0)))</f>
        <v>0</v>
      </c>
      <c r="V45" s="485">
        <f>(INDEX('qtrP&amp;L'!142:142,MATCH(V5,'qtrP&amp;L'!6:6,0)))</f>
        <v>-128</v>
      </c>
      <c r="W45" s="485">
        <f>(INDEX('qtrP&amp;L'!142:142,MATCH(W5,'qtrP&amp;L'!6:6,0)))</f>
        <v>-131.625</v>
      </c>
      <c r="X45" s="485">
        <f>(INDEX('qtrP&amp;L'!142:142,MATCH(X5,'qtrP&amp;L'!6:6,0)))</f>
        <v>-62</v>
      </c>
      <c r="Y45" s="485">
        <f>(INDEX('qtrP&amp;L'!142:142,MATCH(Y5,'qtrP&amp;L'!6:6,0)))</f>
        <v>5382</v>
      </c>
      <c r="Z45" s="486">
        <f>(INDEX('qtrP&amp;L'!142:142,MATCH(Z5,'qtrP&amp;L'!6:6,0)))</f>
        <v>0</v>
      </c>
      <c r="AA45" s="486"/>
      <c r="AB45" s="486">
        <f>(INDEX('qtrP&amp;L'!142:142,MATCH(AB5,'qtrP&amp;L'!6:6,0)))</f>
        <v>0</v>
      </c>
      <c r="AC45" s="486">
        <f>(INDEX('qtrP&amp;L'!142:142,MATCH(AC5,'qtrP&amp;L'!6:6,0)))</f>
        <v>92</v>
      </c>
      <c r="AD45" s="486">
        <f>INDEX('qtrP&amp;L'!142:142,MATCH(AD5,'qtrP&amp;L'!6:6,0))</f>
        <v>56.927713004484303</v>
      </c>
      <c r="AE45" s="486">
        <f>INDEX('qtrP&amp;L'!142:142,MATCH(AE5,'qtrP&amp;L'!6:6,0))</f>
        <v>64.48</v>
      </c>
      <c r="AF45" s="486">
        <f>INDEX('qtrP&amp;L'!142:142,MATCH(AF5,'qtrP&amp;L'!6:6,0))</f>
        <v>184.32400000000001</v>
      </c>
      <c r="AG45" s="486">
        <f>INDEX('qtrP&amp;L'!142:142,MATCH(AG5,'qtrP&amp;L'!6:6,0))</f>
        <v>252.55999999999997</v>
      </c>
      <c r="AH45" s="1465">
        <f>INDEX('qtrP&amp;L'!142:142,MATCH(AH5,'qtrP&amp;L'!6:6,0))</f>
        <v>-497.63129999999995</v>
      </c>
      <c r="AI45" s="1465">
        <f>INDEX('qtrP&amp;L'!142:142,MATCH(AI5,'qtrP&amp;L'!6:6,0))</f>
        <v>0</v>
      </c>
      <c r="AJ45" s="1061">
        <v>0</v>
      </c>
      <c r="AK45" s="1061">
        <v>0</v>
      </c>
      <c r="AL45" s="1061">
        <v>0</v>
      </c>
      <c r="AM45" s="1288">
        <v>0</v>
      </c>
      <c r="AO45" s="260"/>
      <c r="AP45" s="261"/>
      <c r="AQ45" s="261"/>
      <c r="AR45" s="262"/>
    </row>
    <row r="46" spans="1:48" x14ac:dyDescent="0.2">
      <c r="A46" s="281"/>
      <c r="N46" s="501"/>
      <c r="O46" s="493"/>
      <c r="P46" s="501"/>
      <c r="Q46" s="493"/>
      <c r="R46" s="493"/>
      <c r="S46" s="493"/>
      <c r="T46" s="501"/>
      <c r="U46" s="501"/>
      <c r="V46" s="501"/>
      <c r="W46" s="501"/>
      <c r="X46" s="501"/>
      <c r="Y46" s="503"/>
      <c r="Z46" s="502"/>
      <c r="AA46" s="502"/>
      <c r="AB46" s="501"/>
      <c r="AC46" s="501"/>
      <c r="AD46" s="501"/>
      <c r="AE46" s="501"/>
      <c r="AF46" s="501"/>
      <c r="AG46" s="501"/>
      <c r="AH46" s="501"/>
      <c r="AI46" s="501"/>
      <c r="AJ46" s="501"/>
      <c r="AK46" s="501"/>
      <c r="AL46" s="501"/>
      <c r="AM46" s="1239"/>
      <c r="AO46" s="448"/>
      <c r="AP46" s="261"/>
      <c r="AQ46" s="449"/>
      <c r="AR46" s="262"/>
      <c r="AV46" s="282"/>
    </row>
    <row r="47" spans="1:48" x14ac:dyDescent="0.2">
      <c r="A47" s="185" t="s">
        <v>323</v>
      </c>
      <c r="B47" s="486">
        <f t="shared" ref="B47:J47" si="40">B42-B45</f>
        <v>-1773.9269999999999</v>
      </c>
      <c r="C47" s="486">
        <f t="shared" si="40"/>
        <v>-271.4459999999998</v>
      </c>
      <c r="D47" s="486">
        <f t="shared" si="40"/>
        <v>-3308.3359999999998</v>
      </c>
      <c r="E47" s="486">
        <f t="shared" si="40"/>
        <v>25.182999999999812</v>
      </c>
      <c r="F47" s="486">
        <f t="shared" si="40"/>
        <v>93.009000000000626</v>
      </c>
      <c r="G47" s="486">
        <f t="shared" si="40"/>
        <v>161.47661493283942</v>
      </c>
      <c r="H47" s="486">
        <f t="shared" si="40"/>
        <v>230.70399999999896</v>
      </c>
      <c r="I47" s="486">
        <f t="shared" si="40"/>
        <v>-67.55810000000055</v>
      </c>
      <c r="J47" s="486">
        <f t="shared" si="40"/>
        <v>-19.933860000001062</v>
      </c>
      <c r="L47" s="486">
        <f t="shared" ref="L47:R47" si="41">L42-L45</f>
        <v>75</v>
      </c>
      <c r="M47" s="486">
        <f t="shared" si="41"/>
        <v>276.87299999999999</v>
      </c>
      <c r="N47" s="486">
        <f t="shared" si="41"/>
        <v>536</v>
      </c>
      <c r="O47" s="486">
        <f t="shared" si="41"/>
        <v>669.23400000000004</v>
      </c>
      <c r="P47" s="486">
        <f t="shared" si="41"/>
        <v>795</v>
      </c>
      <c r="Q47" s="486">
        <f t="shared" si="41"/>
        <v>-184</v>
      </c>
      <c r="R47" s="486">
        <f t="shared" si="41"/>
        <v>-276</v>
      </c>
      <c r="S47" s="486">
        <f t="shared" ref="S47:AE47" si="42">S36-S39-S45</f>
        <v>818</v>
      </c>
      <c r="T47" s="486">
        <f t="shared" si="42"/>
        <v>693</v>
      </c>
      <c r="U47" s="486">
        <f t="shared" si="42"/>
        <v>689</v>
      </c>
      <c r="V47" s="486">
        <f t="shared" si="42"/>
        <v>1406.5914100719424</v>
      </c>
      <c r="W47" s="486">
        <f t="shared" si="42"/>
        <v>994.875</v>
      </c>
      <c r="X47" s="486">
        <f t="shared" si="42"/>
        <v>893</v>
      </c>
      <c r="Y47" s="486">
        <f t="shared" si="42"/>
        <v>-4803</v>
      </c>
      <c r="Z47" s="486">
        <f t="shared" si="42"/>
        <v>329</v>
      </c>
      <c r="AA47" s="486">
        <f t="shared" si="42"/>
        <v>846.95910780669146</v>
      </c>
      <c r="AB47" s="486">
        <f t="shared" si="42"/>
        <v>1256</v>
      </c>
      <c r="AC47" s="486">
        <f>AC36-AC39-AC45</f>
        <v>1335</v>
      </c>
      <c r="AD47" s="486">
        <f>AD36-AD39-AD45+2</f>
        <v>1485.6322869955156</v>
      </c>
      <c r="AE47" s="486">
        <f t="shared" si="42"/>
        <v>1526</v>
      </c>
      <c r="AF47" s="486">
        <f t="shared" ref="AF47" si="43">AF36-AF39-AF45</f>
        <v>1069.5459999999998</v>
      </c>
      <c r="AG47" s="486">
        <f>AG36-AG39-AG45-AG30</f>
        <v>626.73099999999999</v>
      </c>
      <c r="AH47" s="486">
        <f t="shared" ref="AH47:AM47" si="44">AH36-AH39-AH45-AH30</f>
        <v>1555.0313000000001</v>
      </c>
      <c r="AI47" s="486">
        <f t="shared" si="44"/>
        <v>1092.7135825635009</v>
      </c>
      <c r="AJ47" s="486">
        <f t="shared" si="44"/>
        <v>833.74496153647488</v>
      </c>
      <c r="AK47" s="486">
        <f t="shared" si="44"/>
        <v>590.09607241766321</v>
      </c>
      <c r="AL47" s="486">
        <f t="shared" si="44"/>
        <v>389.88513267735055</v>
      </c>
      <c r="AM47" s="1235">
        <f t="shared" si="44"/>
        <v>203.35275126116019</v>
      </c>
      <c r="AO47" s="448">
        <f>RATE(5,,-AB47,AG47)*100</f>
        <v>-12.980154583739997</v>
      </c>
      <c r="AP47" s="261" t="s">
        <v>93</v>
      </c>
      <c r="AQ47" s="1462" t="s">
        <v>86</v>
      </c>
      <c r="AR47" s="262"/>
      <c r="AS47" s="282"/>
    </row>
    <row r="48" spans="1:48" x14ac:dyDescent="0.2">
      <c r="A48" s="450" t="s">
        <v>23</v>
      </c>
      <c r="B48" s="489"/>
      <c r="C48" s="489">
        <f t="shared" ref="C48:J48" si="45">C47/C7</f>
        <v>-3.8007091307834223E-2</v>
      </c>
      <c r="D48" s="489">
        <f t="shared" si="45"/>
        <v>-0.47723338915396751</v>
      </c>
      <c r="E48" s="489">
        <f t="shared" si="45"/>
        <v>3.632692821727985E-3</v>
      </c>
      <c r="F48" s="489">
        <f t="shared" si="45"/>
        <v>1.3136973881562094E-2</v>
      </c>
      <c r="G48" s="489">
        <f t="shared" si="45"/>
        <v>2.2336083342509666E-2</v>
      </c>
      <c r="H48" s="489">
        <f t="shared" si="45"/>
        <v>2.9932492824824387E-2</v>
      </c>
      <c r="I48" s="489">
        <f t="shared" si="45"/>
        <v>-4.9307083166077112E-3</v>
      </c>
      <c r="J48" s="489">
        <f t="shared" si="45"/>
        <v>-1.4240471197598935E-3</v>
      </c>
      <c r="L48" s="489"/>
      <c r="M48" s="489">
        <f t="shared" ref="M48:AH48" si="46">M47/M7</f>
        <v>1.8666014966628463E-2</v>
      </c>
      <c r="N48" s="489">
        <f t="shared" si="46"/>
        <v>3.521681997371879E-2</v>
      </c>
      <c r="O48" s="489">
        <f t="shared" si="46"/>
        <v>4.3555743573055646E-2</v>
      </c>
      <c r="P48" s="489">
        <f t="shared" si="46"/>
        <v>4.959760434212989E-2</v>
      </c>
      <c r="Q48" s="489">
        <f t="shared" si="46"/>
        <v>-1.1059021517009255E-2</v>
      </c>
      <c r="R48" s="489">
        <f t="shared" si="46"/>
        <v>-1.7484954070319924E-2</v>
      </c>
      <c r="S48" s="489">
        <f t="shared" si="46"/>
        <v>5.2533555969430351E-2</v>
      </c>
      <c r="T48" s="489">
        <f t="shared" si="46"/>
        <v>4.4964962366986765E-2</v>
      </c>
      <c r="U48" s="489">
        <f t="shared" si="46"/>
        <v>4.3673935091277892E-2</v>
      </c>
      <c r="V48" s="489">
        <f t="shared" si="46"/>
        <v>6.2822305050109079E-2</v>
      </c>
      <c r="W48" s="489">
        <f t="shared" si="46"/>
        <v>3.6888209121245831E-2</v>
      </c>
      <c r="X48" s="489">
        <f t="shared" si="46"/>
        <v>3.3937597385322843E-2</v>
      </c>
      <c r="Y48" s="489">
        <f t="shared" si="46"/>
        <v>-0.19295355937650652</v>
      </c>
      <c r="Z48" s="489">
        <f t="shared" si="46"/>
        <v>1.3768570830717723E-2</v>
      </c>
      <c r="AA48" s="489">
        <f t="shared" si="46"/>
        <v>3.3874299396340096E-2</v>
      </c>
      <c r="AB48" s="489">
        <f t="shared" si="46"/>
        <v>4.7566748721832988E-2</v>
      </c>
      <c r="AC48" s="489">
        <f t="shared" si="46"/>
        <v>4.8219316622119486E-2</v>
      </c>
      <c r="AD48" s="489">
        <f t="shared" si="46"/>
        <v>5.3189369768197187E-2</v>
      </c>
      <c r="AE48" s="489">
        <f t="shared" si="46"/>
        <v>5.4296388542963883E-2</v>
      </c>
      <c r="AF48" s="489">
        <f>AF47/AF7</f>
        <v>3.9497248790575715E-2</v>
      </c>
      <c r="AG48" s="489">
        <f t="shared" si="46"/>
        <v>2.4188768815129293E-2</v>
      </c>
      <c r="AH48" s="489">
        <f t="shared" si="46"/>
        <v>6.2338396472238933E-2</v>
      </c>
      <c r="AI48" s="489">
        <f>AI47/AI7</f>
        <v>4.4500180147273569E-2</v>
      </c>
      <c r="AJ48" s="489">
        <f>AJ47/AJ7</f>
        <v>3.4985074592257248E-2</v>
      </c>
      <c r="AK48" s="489">
        <f>AK47/AK7</f>
        <v>2.5518890240883059E-2</v>
      </c>
      <c r="AL48" s="489">
        <f>AL47/AL7</f>
        <v>1.7363268583417392E-2</v>
      </c>
      <c r="AM48" s="1234">
        <f>AM47/AM7</f>
        <v>9.3282851908001087E-3</v>
      </c>
      <c r="AO48" s="260"/>
      <c r="AP48" s="261"/>
      <c r="AQ48" s="261"/>
      <c r="AR48" s="262"/>
    </row>
    <row r="49" spans="1:49" x14ac:dyDescent="0.2">
      <c r="A49" s="281"/>
      <c r="B49" s="281"/>
      <c r="C49" s="281"/>
      <c r="D49" s="281"/>
      <c r="E49" s="281"/>
      <c r="F49" s="281"/>
      <c r="G49" s="504"/>
      <c r="H49" s="281"/>
      <c r="I49" s="281"/>
      <c r="J49" s="281"/>
      <c r="L49" s="281"/>
      <c r="M49" s="281"/>
      <c r="N49" s="281"/>
      <c r="O49" s="281"/>
      <c r="P49" s="281"/>
      <c r="Q49" s="505"/>
      <c r="R49" s="281"/>
      <c r="S49" s="504"/>
      <c r="T49" s="504"/>
      <c r="U49" s="504"/>
      <c r="V49" s="504"/>
      <c r="W49" s="504"/>
      <c r="X49" s="504"/>
      <c r="Y49" s="504"/>
      <c r="Z49" s="504"/>
      <c r="AA49" s="504"/>
      <c r="AB49" s="504"/>
      <c r="AC49" s="504"/>
      <c r="AD49" s="281"/>
      <c r="AE49" s="281"/>
      <c r="AF49" s="281"/>
      <c r="AG49" s="281"/>
      <c r="AH49" s="281"/>
      <c r="AI49" s="281"/>
      <c r="AJ49" s="281"/>
      <c r="AK49" s="281"/>
      <c r="AL49" s="281"/>
      <c r="AM49" s="1241"/>
      <c r="AN49" s="281"/>
      <c r="AO49" s="506"/>
      <c r="AP49" s="281"/>
      <c r="AQ49" s="281"/>
      <c r="AR49" s="262"/>
    </row>
    <row r="50" spans="1:49" x14ac:dyDescent="0.2">
      <c r="A50" s="185" t="s">
        <v>324</v>
      </c>
      <c r="B50" s="507"/>
      <c r="C50" s="507"/>
      <c r="D50" s="507"/>
      <c r="E50" s="507">
        <f t="shared" ref="E50:J50" si="47">(E$42)/E$56</f>
        <v>0.22616075437808544</v>
      </c>
      <c r="F50" s="507">
        <f t="shared" si="47"/>
        <v>1.0121957790749945</v>
      </c>
      <c r="G50" s="507">
        <f t="shared" si="47"/>
        <v>1.5284695113743367</v>
      </c>
      <c r="H50" s="507">
        <f t="shared" si="47"/>
        <v>1.9499735372413873</v>
      </c>
      <c r="I50" s="507">
        <f t="shared" si="47"/>
        <v>0.20197557628978838</v>
      </c>
      <c r="J50" s="507">
        <f t="shared" si="47"/>
        <v>0.81437207573570625</v>
      </c>
      <c r="K50" s="507"/>
      <c r="L50" s="507">
        <f>(L$42)/L$56</f>
        <v>0.19396284189183596</v>
      </c>
      <c r="M50" s="507">
        <f>(M$42)/M$56</f>
        <v>0.59855215827338126</v>
      </c>
      <c r="N50" s="508">
        <f>(N$42)/N$56</f>
        <v>1.2657726276118944</v>
      </c>
      <c r="O50" s="507">
        <f>(O$42)/O$56</f>
        <v>1.5166755201416557</v>
      </c>
      <c r="P50" s="507">
        <f>(P$42)/P$56</f>
        <v>1.8784153005464481</v>
      </c>
      <c r="Q50" s="507">
        <f>(Q$22-Q$25)*(1-Q$40)/Q56</f>
        <v>2.100160980880764</v>
      </c>
      <c r="R50" s="507">
        <f>(R$22-R$25)*(1-R$40)/R56</f>
        <v>1.6014336365037769</v>
      </c>
      <c r="S50" s="507">
        <f t="shared" ref="S50:AE50" si="48">S42/S56</f>
        <v>1.7093897259149216</v>
      </c>
      <c r="T50" s="507">
        <f t="shared" si="48"/>
        <v>1.8506172802885585</v>
      </c>
      <c r="U50" s="507">
        <f t="shared" si="48"/>
        <v>2.2069208613414109</v>
      </c>
      <c r="V50" s="507">
        <f t="shared" si="48"/>
        <v>2.5058780966631615</v>
      </c>
      <c r="W50" s="507">
        <f t="shared" si="48"/>
        <v>2.0770614304446693</v>
      </c>
      <c r="X50" s="508">
        <f t="shared" si="48"/>
        <v>2.1292197011621474</v>
      </c>
      <c r="Y50" s="507">
        <f t="shared" si="48"/>
        <v>1.2931126534970636</v>
      </c>
      <c r="Z50" s="507">
        <f t="shared" si="48"/>
        <v>1.3628933349118031</v>
      </c>
      <c r="AA50" s="507">
        <f t="shared" si="48"/>
        <v>2.0693523836091621</v>
      </c>
      <c r="AB50" s="507">
        <f t="shared" si="48"/>
        <v>2.8811447849608607</v>
      </c>
      <c r="AC50" s="507">
        <f>AC42/AC56</f>
        <v>3.4619116933527421</v>
      </c>
      <c r="AD50" s="507">
        <f>AD42/AD56</f>
        <v>4.0035343035343036</v>
      </c>
      <c r="AE50" s="507">
        <f t="shared" si="48"/>
        <v>4.3978432185815013</v>
      </c>
      <c r="AF50" s="507">
        <f t="shared" ref="AF50:AL50" si="49">AF42/AF56</f>
        <v>3.7653753753753758</v>
      </c>
      <c r="AG50" s="507">
        <f>AG42/AG56+0</f>
        <v>3.1444369369369367</v>
      </c>
      <c r="AH50" s="507">
        <f t="shared" si="49"/>
        <v>3.7850862911103875</v>
      </c>
      <c r="AI50" s="507">
        <f t="shared" si="49"/>
        <v>3.547483426876068</v>
      </c>
      <c r="AJ50" s="507">
        <f t="shared" si="49"/>
        <v>2.6979854754032035</v>
      </c>
      <c r="AK50" s="507">
        <f t="shared" si="49"/>
        <v>1.903382218910292</v>
      </c>
      <c r="AL50" s="507">
        <f t="shared" si="49"/>
        <v>1.2535491766814584</v>
      </c>
      <c r="AM50" s="1242">
        <f t="shared" ref="AM50" si="50">AM42/AM56</f>
        <v>0.65171941755038931</v>
      </c>
      <c r="AO50" s="448">
        <f>RATE(5,,-AB50,AG50)*100</f>
        <v>1.7643261496930831</v>
      </c>
      <c r="AP50" s="261" t="s">
        <v>93</v>
      </c>
      <c r="AQ50" s="1462" t="s">
        <v>86</v>
      </c>
      <c r="AR50" s="262"/>
      <c r="AS50" s="282"/>
    </row>
    <row r="51" spans="1:49" x14ac:dyDescent="0.2">
      <c r="A51" s="450" t="s">
        <v>218</v>
      </c>
      <c r="B51" s="489"/>
      <c r="C51" s="489"/>
      <c r="D51" s="489"/>
      <c r="E51" s="489"/>
      <c r="F51" s="490" t="s">
        <v>300</v>
      </c>
      <c r="G51" s="489">
        <f>G50/F50-1</f>
        <v>0.51005323572001493</v>
      </c>
      <c r="H51" s="489">
        <f>H50/G50-1</f>
        <v>0.27576868411856736</v>
      </c>
      <c r="I51" s="489">
        <f>I50/H50-1</f>
        <v>-0.89642137576106717</v>
      </c>
      <c r="J51" s="489">
        <f>J50/H50-1</f>
        <v>-0.58236762695364974</v>
      </c>
      <c r="L51" s="489"/>
      <c r="M51" s="489">
        <f>M50/J50-1</f>
        <v>-0.26501389707812928</v>
      </c>
      <c r="N51" s="489">
        <f t="shared" ref="N51:T51" si="51">N50/M50-1</f>
        <v>1.1147240221524162</v>
      </c>
      <c r="O51" s="489">
        <f t="shared" si="51"/>
        <v>0.19822113944992981</v>
      </c>
      <c r="P51" s="489">
        <f t="shared" si="51"/>
        <v>0.23850835303981577</v>
      </c>
      <c r="Q51" s="489">
        <f t="shared" si="51"/>
        <v>0.11804933673070495</v>
      </c>
      <c r="R51" s="489">
        <f>R50/Q50-1</f>
        <v>-0.23747100765953244</v>
      </c>
      <c r="S51" s="489">
        <f t="shared" si="51"/>
        <v>6.7412153054829504E-2</v>
      </c>
      <c r="T51" s="489">
        <f t="shared" si="51"/>
        <v>8.2618698493725606E-2</v>
      </c>
      <c r="U51" s="489">
        <f t="shared" ref="U51:AJ51" si="52">U50/T50-1</f>
        <v>0.19253228900861408</v>
      </c>
      <c r="V51" s="489">
        <f t="shared" si="52"/>
        <v>0.13546350508465377</v>
      </c>
      <c r="W51" s="489">
        <f t="shared" si="52"/>
        <v>-0.17112431238754444</v>
      </c>
      <c r="X51" s="489">
        <f t="shared" si="52"/>
        <v>2.5111568657991912E-2</v>
      </c>
      <c r="Y51" s="489">
        <f t="shared" si="52"/>
        <v>-0.39268237430300357</v>
      </c>
      <c r="Z51" s="489">
        <f t="shared" si="52"/>
        <v>5.3963342811646164E-2</v>
      </c>
      <c r="AA51" s="489">
        <f t="shared" si="52"/>
        <v>0.51835241291504008</v>
      </c>
      <c r="AB51" s="489">
        <f t="shared" si="52"/>
        <v>0.39229297425692655</v>
      </c>
      <c r="AC51" s="489">
        <f t="shared" si="52"/>
        <v>0.20157505149459909</v>
      </c>
      <c r="AD51" s="489">
        <f t="shared" si="52"/>
        <v>0.15645188501530449</v>
      </c>
      <c r="AE51" s="489">
        <f>AE50/AD50-1</f>
        <v>9.8490205191723579E-2</v>
      </c>
      <c r="AF51" s="489">
        <f>AF50/AE50-1</f>
        <v>-0.14381318563923806</v>
      </c>
      <c r="AG51" s="489">
        <f t="shared" si="52"/>
        <v>-0.16490744654549527</v>
      </c>
      <c r="AH51" s="489">
        <f t="shared" si="52"/>
        <v>0.2037405637390588</v>
      </c>
      <c r="AI51" s="489">
        <f t="shared" si="52"/>
        <v>-6.2773433935271461E-2</v>
      </c>
      <c r="AJ51" s="489">
        <f t="shared" si="52"/>
        <v>-0.23946495282740099</v>
      </c>
      <c r="AK51" s="489">
        <f>AK50/AJ50-1</f>
        <v>-0.2945172476787189</v>
      </c>
      <c r="AL51" s="489">
        <f>AL50/AK50-1</f>
        <v>-0.34140964214789737</v>
      </c>
      <c r="AM51" s="1234">
        <f>AM50/AL50-1</f>
        <v>-0.48010063771435196</v>
      </c>
      <c r="AO51" s="260"/>
      <c r="AP51" s="261"/>
      <c r="AQ51" s="261"/>
      <c r="AR51" s="262"/>
    </row>
    <row r="52" spans="1:49" x14ac:dyDescent="0.2">
      <c r="A52" s="450"/>
      <c r="B52" s="489"/>
      <c r="C52" s="489"/>
      <c r="D52" s="489"/>
      <c r="E52" s="489"/>
      <c r="F52" s="509"/>
      <c r="G52" s="489"/>
      <c r="H52" s="489"/>
      <c r="I52" s="489"/>
      <c r="J52" s="489"/>
      <c r="L52" s="510"/>
      <c r="M52" s="510"/>
      <c r="N52" s="510"/>
      <c r="O52" s="510"/>
      <c r="P52" s="510"/>
      <c r="Q52" s="510"/>
      <c r="R52" s="510"/>
      <c r="S52" s="510"/>
      <c r="T52" s="510"/>
      <c r="U52" s="489"/>
      <c r="V52" s="511"/>
      <c r="W52" s="489"/>
      <c r="X52" s="489"/>
      <c r="Y52" s="489"/>
      <c r="Z52" s="489"/>
      <c r="AA52" s="489"/>
      <c r="AB52" s="489"/>
      <c r="AC52" s="489"/>
      <c r="AD52" s="489"/>
      <c r="AE52" s="507"/>
      <c r="AF52" s="507"/>
      <c r="AG52" s="507"/>
      <c r="AH52" s="507"/>
      <c r="AI52" s="507"/>
      <c r="AJ52" s="507"/>
      <c r="AK52" s="993"/>
      <c r="AL52" s="993"/>
      <c r="AM52" s="1243"/>
      <c r="AO52" s="260"/>
      <c r="AP52" s="261"/>
      <c r="AQ52" s="261"/>
      <c r="AR52" s="262"/>
    </row>
    <row r="53" spans="1:49" x14ac:dyDescent="0.2">
      <c r="A53" s="185" t="s">
        <v>567</v>
      </c>
      <c r="B53" s="507"/>
      <c r="C53" s="507"/>
      <c r="D53" s="507"/>
      <c r="E53" s="507">
        <f t="shared" ref="E53:J53" si="53">E47/E56</f>
        <v>0.22616075437808544</v>
      </c>
      <c r="F53" s="507">
        <f t="shared" si="53"/>
        <v>0.83528513695555129</v>
      </c>
      <c r="G53" s="507">
        <f t="shared" si="53"/>
        <v>1.27858721332805</v>
      </c>
      <c r="H53" s="507">
        <f t="shared" si="53"/>
        <v>1.8224072421065853</v>
      </c>
      <c r="I53" s="507">
        <f t="shared" si="53"/>
        <v>-0.3707908891328241</v>
      </c>
      <c r="J53" s="507">
        <f t="shared" si="53"/>
        <v>-0.10895677554769044</v>
      </c>
      <c r="K53" s="507"/>
      <c r="L53" s="507">
        <f t="shared" ref="L53:AB53" si="54">L47/L56</f>
        <v>0.19396284189183596</v>
      </c>
      <c r="M53" s="507">
        <f t="shared" si="54"/>
        <v>0.62246627697841728</v>
      </c>
      <c r="N53" s="508">
        <f>N47/N56+0.02</f>
        <v>1.1999202233043051</v>
      </c>
      <c r="O53" s="507">
        <f t="shared" si="54"/>
        <v>1.481261620185923</v>
      </c>
      <c r="P53" s="507">
        <f t="shared" si="54"/>
        <v>1.8101092896174864</v>
      </c>
      <c r="Q53" s="507">
        <f t="shared" si="54"/>
        <v>-0.44471299093655592</v>
      </c>
      <c r="R53" s="507">
        <f t="shared" si="54"/>
        <v>-0.69138276553106215</v>
      </c>
      <c r="S53" s="507">
        <f t="shared" si="54"/>
        <v>2.0581205183041891</v>
      </c>
      <c r="T53" s="507">
        <f t="shared" si="54"/>
        <v>1.8569131832797428</v>
      </c>
      <c r="U53" s="507">
        <f t="shared" si="54"/>
        <v>1.9332210998877666</v>
      </c>
      <c r="V53" s="507">
        <f t="shared" si="54"/>
        <v>3.236519581389651</v>
      </c>
      <c r="W53" s="507">
        <f t="shared" si="54"/>
        <v>1.8164597407339782</v>
      </c>
      <c r="X53" s="508">
        <f>X47/X56-0.05</f>
        <v>1.9267570558937466</v>
      </c>
      <c r="Y53" s="507">
        <f t="shared" si="54"/>
        <v>-11.397045737675743</v>
      </c>
      <c r="Z53" s="507">
        <f t="shared" si="54"/>
        <v>0.7789747839469634</v>
      </c>
      <c r="AA53" s="507">
        <f>AA47/AA56</f>
        <v>1.9738035604910078</v>
      </c>
      <c r="AB53" s="507">
        <f t="shared" si="54"/>
        <v>2.9182156133828996</v>
      </c>
      <c r="AC53" s="507">
        <f>AC47/AC56</f>
        <v>3.2387190684133915</v>
      </c>
      <c r="AD53" s="507">
        <f t="shared" ref="AD53:AI53" si="55">AD50-AD45/AD56</f>
        <v>3.8555932614228579</v>
      </c>
      <c r="AE53" s="507">
        <f>AE50-AE45/AE56</f>
        <v>4.2195492879856209</v>
      </c>
      <c r="AF53" s="507">
        <f>AF50-AF45/AF56</f>
        <v>3.21184984984985</v>
      </c>
      <c r="AG53" s="507">
        <f t="shared" si="55"/>
        <v>2.331824324324324</v>
      </c>
      <c r="AH53" s="507">
        <f t="shared" si="55"/>
        <v>5.4055073266037121</v>
      </c>
      <c r="AI53" s="507">
        <f t="shared" si="55"/>
        <v>3.547483426876068</v>
      </c>
      <c r="AJ53" s="507">
        <f>AJ50-AJ45/AJ56</f>
        <v>2.6979854754032035</v>
      </c>
      <c r="AK53" s="507">
        <f>AK50-AK45/AK56</f>
        <v>1.903382218910292</v>
      </c>
      <c r="AL53" s="507">
        <f>AL50-AL45/AL56</f>
        <v>1.2535491766814584</v>
      </c>
      <c r="AM53" s="1242">
        <f>AM50-AM45/AM56</f>
        <v>0.65171941755038931</v>
      </c>
      <c r="AO53" s="448">
        <f>RATE(5,,-AB53,AG53)*100</f>
        <v>-4.3872762368618003</v>
      </c>
      <c r="AP53" s="261" t="s">
        <v>93</v>
      </c>
      <c r="AQ53" s="1462" t="s">
        <v>86</v>
      </c>
      <c r="AR53" s="262"/>
      <c r="AS53" s="282"/>
      <c r="AW53" s="290"/>
    </row>
    <row r="54" spans="1:49" x14ac:dyDescent="0.2">
      <c r="A54" s="450" t="s">
        <v>218</v>
      </c>
      <c r="B54" s="489"/>
      <c r="C54" s="489"/>
      <c r="D54" s="489"/>
      <c r="E54" s="489"/>
      <c r="F54" s="489">
        <f>F53/E53-1</f>
        <v>2.6933248620101389</v>
      </c>
      <c r="G54" s="489">
        <f>G53/F53-1</f>
        <v>0.53071945945099297</v>
      </c>
      <c r="H54" s="489">
        <f>H53/G53-1</f>
        <v>0.4253288497724137</v>
      </c>
      <c r="I54" s="489">
        <f>I53/H53-1</f>
        <v>-1.2034621464213529</v>
      </c>
      <c r="J54" s="489">
        <f>J53/H53-1</f>
        <v>-1.0597872819149596</v>
      </c>
      <c r="L54" s="489"/>
      <c r="M54" s="489">
        <f>M53/J53-1</f>
        <v>-6.712965291506479</v>
      </c>
      <c r="N54" s="489">
        <f t="shared" ref="N54:T54" si="56">N53/M53-1</f>
        <v>0.92768711765233491</v>
      </c>
      <c r="O54" s="489">
        <f t="shared" si="56"/>
        <v>0.2344667515535892</v>
      </c>
      <c r="P54" s="489">
        <f t="shared" si="56"/>
        <v>0.22200512384185545</v>
      </c>
      <c r="Q54" s="489">
        <f t="shared" si="56"/>
        <v>-1.2456829504645728</v>
      </c>
      <c r="R54" s="489">
        <f>R53/Q53-1</f>
        <v>0.55467184368737477</v>
      </c>
      <c r="S54" s="489">
        <f t="shared" si="56"/>
        <v>-3.976817793141421</v>
      </c>
      <c r="T54" s="489">
        <f t="shared" si="56"/>
        <v>-9.7762659297635945E-2</v>
      </c>
      <c r="U54" s="489">
        <f t="shared" ref="U54:AJ54" si="57">U53/T53-1</f>
        <v>4.1093960285879527E-2</v>
      </c>
      <c r="V54" s="489">
        <f t="shared" si="57"/>
        <v>0.67415904035888485</v>
      </c>
      <c r="W54" s="489">
        <f t="shared" si="57"/>
        <v>-0.43876139320187513</v>
      </c>
      <c r="X54" s="489">
        <f t="shared" si="57"/>
        <v>6.0721034816439312E-2</v>
      </c>
      <c r="Y54" s="489">
        <f t="shared" si="57"/>
        <v>-6.9151441552080382</v>
      </c>
      <c r="Z54" s="489">
        <f t="shared" si="57"/>
        <v>-1.0683488337132727</v>
      </c>
      <c r="AA54" s="489">
        <f t="shared" si="57"/>
        <v>1.5338478230193835</v>
      </c>
      <c r="AB54" s="489">
        <f t="shared" si="57"/>
        <v>0.47847317321535154</v>
      </c>
      <c r="AC54" s="489">
        <f t="shared" si="57"/>
        <v>0.10982857248815581</v>
      </c>
      <c r="AD54" s="489">
        <f>AD53/AC53-1</f>
        <v>0.19046857105505777</v>
      </c>
      <c r="AE54" s="489">
        <f>AE53/AD53-1</f>
        <v>9.4396893522022962E-2</v>
      </c>
      <c r="AF54" s="489">
        <f>AF53/AE53-1</f>
        <v>-0.23881684259620028</v>
      </c>
      <c r="AG54" s="489">
        <f t="shared" si="57"/>
        <v>-0.27399335792943935</v>
      </c>
      <c r="AH54" s="489">
        <f>AH53/AG53-1</f>
        <v>1.3181451836728857</v>
      </c>
      <c r="AI54" s="489">
        <f t="shared" si="57"/>
        <v>-0.34372794031435405</v>
      </c>
      <c r="AJ54" s="489">
        <f t="shared" si="57"/>
        <v>-0.23946495282740099</v>
      </c>
      <c r="AK54" s="489">
        <f>AK53/AJ53-1</f>
        <v>-0.2945172476787189</v>
      </c>
      <c r="AL54" s="489">
        <f>AL53/AK53-1</f>
        <v>-0.34140964214789737</v>
      </c>
      <c r="AM54" s="1234">
        <f>AM53/AL53-1</f>
        <v>-0.48010063771435196</v>
      </c>
      <c r="AO54" s="260"/>
      <c r="AP54" s="261"/>
      <c r="AQ54" s="261"/>
      <c r="AR54" s="262"/>
      <c r="AV54" s="290"/>
    </row>
    <row r="55" spans="1:49" x14ac:dyDescent="0.2">
      <c r="A55" s="450"/>
      <c r="M55" s="453"/>
      <c r="N55" s="453"/>
      <c r="O55" s="453"/>
      <c r="P55" s="453"/>
      <c r="Q55" s="453"/>
      <c r="R55" s="453"/>
      <c r="S55" s="453"/>
      <c r="T55" s="453"/>
      <c r="U55" s="453"/>
      <c r="V55" s="453"/>
      <c r="W55" s="453"/>
      <c r="X55" s="453"/>
      <c r="Y55" s="453"/>
      <c r="Z55" s="453"/>
      <c r="AA55" s="453"/>
      <c r="AB55" s="453"/>
      <c r="AC55" s="453"/>
      <c r="AD55" s="489"/>
      <c r="AE55" s="512"/>
      <c r="AF55" s="512"/>
      <c r="AG55" s="513"/>
      <c r="AH55" s="507"/>
      <c r="AI55" s="507"/>
      <c r="AJ55" s="507"/>
      <c r="AK55" s="507"/>
      <c r="AL55" s="507"/>
      <c r="AM55" s="1242"/>
      <c r="AO55" s="260"/>
      <c r="AP55" s="261"/>
      <c r="AQ55" s="261"/>
      <c r="AR55" s="262"/>
      <c r="AV55" s="282"/>
    </row>
    <row r="56" spans="1:49" x14ac:dyDescent="0.2">
      <c r="A56" s="185" t="s">
        <v>325</v>
      </c>
      <c r="B56" s="453"/>
      <c r="C56" s="453"/>
      <c r="D56" s="453"/>
      <c r="E56" s="515">
        <v>111.35</v>
      </c>
      <c r="F56" s="453">
        <f>INDEX('qtrP&amp;L'!182:182,MATCH(F5,'qtrP&amp;L'!6:6,0))</f>
        <v>111.35</v>
      </c>
      <c r="G56" s="453">
        <f>INDEX('qtrP&amp;L'!182:182,MATCH(G5,'qtrP&amp;L'!6:6,0))</f>
        <v>126.29300000000001</v>
      </c>
      <c r="H56" s="453">
        <f>INDEX('qtrP&amp;L'!182:182,MATCH(H5,'qtrP&amp;L'!6:6,0))</f>
        <v>126.593</v>
      </c>
      <c r="I56" s="453">
        <f>INDEX('qtrP&amp;L'!182:182,MATCH(I5,'qtrP&amp;L'!6:6,0))</f>
        <v>182.2</v>
      </c>
      <c r="J56" s="453">
        <f>INDEX('qtrP&amp;L'!182:182,MATCH(J5,'qtrP&amp;L'!6:6,0))</f>
        <v>182.952</v>
      </c>
      <c r="L56" s="515">
        <v>386.67200000000003</v>
      </c>
      <c r="M56" s="453">
        <f>INDEX('qtrP&amp;L'!182:182,MATCH(M5,'qtrP&amp;L'!6:6,0))</f>
        <v>444.8</v>
      </c>
      <c r="N56" s="453">
        <f>INDEX('qtrP&amp;L'!182:182,MATCH(N5,'qtrP&amp;L'!6:6,0))</f>
        <v>454.26799999999997</v>
      </c>
      <c r="O56" s="453">
        <f>INDEX('qtrP&amp;L'!182:182,MATCH(O5,'qtrP&amp;L'!6:6,0))</f>
        <v>451.8</v>
      </c>
      <c r="P56" s="453">
        <f>INDEX('qtrP&amp;L'!182:182,MATCH(P5,'qtrP&amp;L'!6:6,0))</f>
        <v>439.2</v>
      </c>
      <c r="Q56" s="453">
        <f>INDEX('qtrP&amp;L'!182:182,MATCH(Q5,'qtrP&amp;L'!6:6,0))</f>
        <v>413.75</v>
      </c>
      <c r="R56" s="453">
        <f>INDEX('qtrP&amp;L'!182:182,MATCH(R5,'qtrP&amp;L'!6:6,0))</f>
        <v>399.2</v>
      </c>
      <c r="S56" s="453">
        <f>INDEX('qtrP&amp;L'!182:182,MATCH(S5,'qtrP&amp;L'!6:6,0))</f>
        <v>397.45</v>
      </c>
      <c r="T56" s="453">
        <f>INDEX('qtrP&amp;L'!182:182,MATCH(T5,'qtrP&amp;L'!6:6,0))</f>
        <v>373.2</v>
      </c>
      <c r="U56" s="453">
        <f>INDEX('qtrP&amp;L'!182:182,MATCH(U5,'qtrP&amp;L'!6:6,0))</f>
        <v>356.4</v>
      </c>
      <c r="V56" s="453">
        <f>INDEX('qtrP&amp;L'!182:182,MATCH(V5,'qtrP&amp;L'!6:6,0))</f>
        <v>434.6</v>
      </c>
      <c r="W56" s="453">
        <f>INDEX('qtrP&amp;L'!182:182,MATCH(W5,'qtrP&amp;L'!6:6,0))</f>
        <v>547.70000000000005</v>
      </c>
      <c r="X56" s="453">
        <f>INDEX('qtrP&amp;L'!182:182,MATCH(X5,'qtrP&amp;L'!6:6,0))</f>
        <v>451.75</v>
      </c>
      <c r="Y56" s="453">
        <f>INDEX('qtrP&amp;L'!182:182,MATCH(Y5,'qtrP&amp;L'!6:6,0))</f>
        <v>421.42500000000001</v>
      </c>
      <c r="Z56" s="516">
        <f>INDEX('qtrP&amp;L'!182:182,MATCH(Z5,'qtrP&amp;L'!6:6,0))</f>
        <v>422.35</v>
      </c>
      <c r="AA56" s="516">
        <f>INDEX('qtrP&amp;L'!182:182,MATCH(AA5,'qtrP&amp;L'!6:6,0))</f>
        <v>429.1</v>
      </c>
      <c r="AB56" s="516">
        <f>INDEX('qtrP&amp;L'!182:182,MATCH(AB5,'qtrP&amp;L'!6:6,0))</f>
        <v>430.4</v>
      </c>
      <c r="AC56" s="516">
        <f>INDEX('qtrP&amp;L'!182:182,MATCH(AC5,'qtrP&amp;L'!6:6,0))</f>
        <v>412.2</v>
      </c>
      <c r="AD56" s="516">
        <f>INDEX('qtrP&amp;L'!182:182,MATCH(AD5,'qtrP&amp;L'!6:6,0))</f>
        <v>384.8</v>
      </c>
      <c r="AE56" s="516">
        <f>INDEX('qtrP&amp;L'!182:182,MATCH(AE5,'qtrP&amp;L'!6:6,0))</f>
        <v>361.65</v>
      </c>
      <c r="AF56" s="516">
        <f>INDEX('qtrP&amp;L'!182:182,MATCH(AF5,'qtrP&amp;L'!6:6,0))</f>
        <v>333</v>
      </c>
      <c r="AG56" s="516">
        <f>INDEX('qtrP&amp;L'!182:182,MATCH(AG5,'qtrP&amp;L'!6:6,0))</f>
        <v>310.8</v>
      </c>
      <c r="AH56" s="516">
        <f>INDEX('qtrP&amp;L'!182:182,MATCH(AH5,'qtrP&amp;L'!6:6,0))</f>
        <v>307.10000000000002</v>
      </c>
      <c r="AI56" s="1028">
        <f>INDEX('qtrP&amp;L'!182:182,MATCH(AI5,'qtrP&amp;L'!6:6,0))</f>
        <v>308.02499999999998</v>
      </c>
      <c r="AJ56" s="1028">
        <f>AI56+1</f>
        <v>309.02499999999998</v>
      </c>
      <c r="AK56" s="1028">
        <f>AJ56+1</f>
        <v>310.02499999999998</v>
      </c>
      <c r="AL56" s="1028">
        <f>AK56+1</f>
        <v>311.02499999999998</v>
      </c>
      <c r="AM56" s="1028">
        <f>AL56+1</f>
        <v>312.02499999999998</v>
      </c>
      <c r="AN56" s="387"/>
      <c r="AO56" s="517">
        <f>RATE(5,,-AB56,AG56)*100</f>
        <v>-6.3038492409905045</v>
      </c>
      <c r="AP56" s="284" t="s">
        <v>93</v>
      </c>
      <c r="AQ56" s="518">
        <f>RATE(6,,-AG56,AM56)*100</f>
        <v>6.5583068147164914E-2</v>
      </c>
      <c r="AR56" s="467" t="s">
        <v>93</v>
      </c>
      <c r="AS56" s="282"/>
      <c r="AT56" s="290"/>
    </row>
    <row r="57" spans="1:49" x14ac:dyDescent="0.2">
      <c r="W57" s="466"/>
      <c r="X57" s="466"/>
      <c r="Y57" s="466"/>
      <c r="Z57" s="466"/>
      <c r="AA57" s="466"/>
      <c r="AB57" s="466"/>
      <c r="AC57" s="466"/>
      <c r="AD57" s="466"/>
      <c r="AE57" s="466"/>
      <c r="AF57" s="466"/>
      <c r="AG57" s="519"/>
      <c r="AH57" s="466"/>
      <c r="AI57" s="466"/>
      <c r="AJ57" s="466"/>
      <c r="AK57" s="466"/>
      <c r="AL57" s="466"/>
      <c r="AM57" s="1225"/>
      <c r="AN57" s="466"/>
      <c r="AO57" s="261"/>
      <c r="AP57" s="261"/>
      <c r="AQ57" s="261"/>
      <c r="AR57" s="261"/>
    </row>
    <row r="58" spans="1:49" x14ac:dyDescent="0.2">
      <c r="A58" s="384" t="s">
        <v>78</v>
      </c>
      <c r="W58" s="466"/>
      <c r="X58" s="466"/>
      <c r="Y58" s="466"/>
      <c r="Z58" s="466"/>
      <c r="AA58" s="466"/>
      <c r="AB58" s="466"/>
      <c r="AO58" s="261"/>
      <c r="AP58" s="261"/>
      <c r="AQ58" s="261"/>
      <c r="AR58" s="261"/>
    </row>
    <row r="60" spans="1:49" x14ac:dyDescent="0.2">
      <c r="AC60" s="395"/>
    </row>
  </sheetData>
  <phoneticPr fontId="10" type="noConversion"/>
  <conditionalFormatting sqref="B20:AE20 B16:AE16 AG16:AH16">
    <cfRule type="cellIs" dxfId="15" priority="19" stopIfTrue="1" operator="greaterThan">
      <formula>0</formula>
    </cfRule>
    <cfRule type="cellIs" dxfId="14" priority="20" stopIfTrue="1" operator="lessThan">
      <formula>0</formula>
    </cfRule>
  </conditionalFormatting>
  <conditionalFormatting sqref="AI16">
    <cfRule type="cellIs" dxfId="13" priority="15" stopIfTrue="1" operator="greaterThan">
      <formula>0</formula>
    </cfRule>
    <cfRule type="cellIs" dxfId="12" priority="16" stopIfTrue="1" operator="lessThan">
      <formula>0</formula>
    </cfRule>
  </conditionalFormatting>
  <conditionalFormatting sqref="AF16">
    <cfRule type="cellIs" dxfId="11" priority="13" stopIfTrue="1" operator="greaterThan">
      <formula>0</formula>
    </cfRule>
    <cfRule type="cellIs" dxfId="10" priority="14" stopIfTrue="1" operator="lessThan">
      <formula>0</formula>
    </cfRule>
  </conditionalFormatting>
  <conditionalFormatting sqref="AJ16">
    <cfRule type="cellIs" dxfId="9" priority="11" stopIfTrue="1" operator="greaterThan">
      <formula>0</formula>
    </cfRule>
    <cfRule type="cellIs" dxfId="8" priority="12" stopIfTrue="1" operator="lessThan">
      <formula>0</formula>
    </cfRule>
  </conditionalFormatting>
  <conditionalFormatting sqref="AK16:AL16">
    <cfRule type="cellIs" dxfId="7" priority="9" stopIfTrue="1" operator="greaterThan">
      <formula>0</formula>
    </cfRule>
    <cfRule type="cellIs" dxfId="6" priority="10" stopIfTrue="1" operator="lessThan">
      <formula>0</formula>
    </cfRule>
  </conditionalFormatting>
  <conditionalFormatting sqref="AF20:AL20">
    <cfRule type="cellIs" dxfId="5" priority="5" stopIfTrue="1" operator="greaterThan">
      <formula>0</formula>
    </cfRule>
    <cfRule type="cellIs" dxfId="4" priority="6" stopIfTrue="1" operator="lessThan">
      <formula>0</formula>
    </cfRule>
  </conditionalFormatting>
  <conditionalFormatting sqref="AM16">
    <cfRule type="cellIs" dxfId="3" priority="3" stopIfTrue="1" operator="greaterThan">
      <formula>0</formula>
    </cfRule>
    <cfRule type="cellIs" dxfId="2" priority="4" stopIfTrue="1" operator="lessThan">
      <formula>0</formula>
    </cfRule>
  </conditionalFormatting>
  <conditionalFormatting sqref="AM20">
    <cfRule type="cellIs" dxfId="1" priority="1" stopIfTrue="1" operator="greaterThan">
      <formula>0</formula>
    </cfRule>
    <cfRule type="cellIs" dxfId="0" priority="2" stopIfTrue="1" operator="lessThan">
      <formula>0</formula>
    </cfRule>
  </conditionalFormatting>
  <dataValidations disablePrompts="1" count="1">
    <dataValidation type="list" allowBlank="1" showInputMessage="1" showErrorMessage="1" sqref="B4">
      <formula1>casenames</formula1>
    </dataValidation>
  </dataValidations>
  <printOptions horizontalCentered="1" verticalCentered="1"/>
  <pageMargins left="0" right="0" top="0" bottom="0" header="0.5" footer="0.5"/>
  <pageSetup scale="72" orientation="landscape" horizontalDpi="300" verticalDpi="300" r:id="rId1"/>
  <headerFooter alignWithMargins="0"/>
  <rowBreaks count="1" manualBreakCount="1">
    <brk id="56" max="44"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Z396"/>
  <sheetViews>
    <sheetView showGridLines="0" topLeftCell="A79" zoomScale="115" zoomScaleNormal="115" workbookViewId="0">
      <selection activeCell="P190" sqref="P190"/>
    </sheetView>
  </sheetViews>
  <sheetFormatPr defaultColWidth="9.7109375" defaultRowHeight="10.5" customHeight="1" outlineLevelRow="1" outlineLevelCol="1" x14ac:dyDescent="0.2"/>
  <cols>
    <col min="1" max="1" width="5.28515625" style="184" customWidth="1"/>
    <col min="2" max="2" width="9.7109375" style="184"/>
    <col min="3" max="3" width="13.28515625" style="184" customWidth="1" outlineLevel="1"/>
    <col min="4" max="4" width="6.140625" style="184" bestFit="1" customWidth="1" outlineLevel="1"/>
    <col min="5" max="5" width="9.7109375" style="184"/>
    <col min="6" max="6" width="6.140625" style="184" customWidth="1" outlineLevel="1"/>
    <col min="7" max="7" width="5.28515625" style="184" customWidth="1"/>
    <col min="8" max="8" width="9.7109375" style="184"/>
    <col min="9" max="9" width="12.85546875" style="184" bestFit="1" customWidth="1" outlineLevel="1"/>
    <col min="10" max="10" width="14.28515625" style="184" customWidth="1" outlineLevel="1"/>
    <col min="11" max="26" width="9.7109375" style="184" outlineLevel="1"/>
    <col min="27" max="16384" width="9.7109375" style="184"/>
  </cols>
  <sheetData>
    <row r="1" spans="1:9" ht="10.5" customHeight="1" x14ac:dyDescent="0.2">
      <c r="A1" s="829" t="s">
        <v>285</v>
      </c>
      <c r="B1" s="830"/>
      <c r="C1" s="830"/>
      <c r="D1" s="831"/>
      <c r="F1" s="831"/>
      <c r="G1" s="829" t="s">
        <v>285</v>
      </c>
      <c r="H1" s="830"/>
      <c r="I1" s="830"/>
    </row>
    <row r="2" spans="1:9" ht="10.5" customHeight="1" x14ac:dyDescent="0.2">
      <c r="A2" s="832" t="s">
        <v>274</v>
      </c>
      <c r="B2" s="833"/>
      <c r="C2" s="832"/>
      <c r="D2" s="831"/>
      <c r="F2" s="831"/>
      <c r="G2" s="832" t="s">
        <v>276</v>
      </c>
      <c r="H2" s="833"/>
      <c r="I2" s="832"/>
    </row>
    <row r="3" spans="1:9" ht="10.5" customHeight="1" thickBot="1" x14ac:dyDescent="0.25">
      <c r="A3" s="834"/>
      <c r="B3" s="830"/>
      <c r="C3" s="830"/>
      <c r="D3" s="831"/>
      <c r="F3" s="831"/>
      <c r="G3" s="834"/>
      <c r="H3" s="830"/>
      <c r="I3" s="830"/>
    </row>
    <row r="4" spans="1:9" ht="12.75" x14ac:dyDescent="0.2">
      <c r="A4" s="835"/>
      <c r="B4" s="835"/>
      <c r="C4" s="836"/>
      <c r="D4" s="837" t="s">
        <v>275</v>
      </c>
      <c r="F4" s="837"/>
      <c r="G4" s="835"/>
      <c r="H4" s="835"/>
      <c r="I4" s="838" t="s">
        <v>90</v>
      </c>
    </row>
    <row r="5" spans="1:9" ht="10.5" customHeight="1" x14ac:dyDescent="0.2">
      <c r="A5" s="839" t="s">
        <v>273</v>
      </c>
      <c r="B5" s="839" t="s">
        <v>201</v>
      </c>
      <c r="C5" s="840" t="s">
        <v>92</v>
      </c>
      <c r="D5" s="841"/>
      <c r="F5" s="841"/>
      <c r="G5" s="839" t="s">
        <v>273</v>
      </c>
      <c r="H5" s="839" t="s">
        <v>201</v>
      </c>
      <c r="I5" s="842" t="s">
        <v>301</v>
      </c>
    </row>
    <row r="6" spans="1:9" ht="10.5" customHeight="1" x14ac:dyDescent="0.2">
      <c r="A6" s="830"/>
      <c r="B6" s="843">
        <f>B12-1</f>
        <v>2000</v>
      </c>
      <c r="C6" s="844"/>
      <c r="D6" s="845"/>
      <c r="F6" s="845"/>
      <c r="G6" s="830"/>
      <c r="H6" s="843">
        <f>H12-1</f>
        <v>2000</v>
      </c>
      <c r="I6" s="846"/>
    </row>
    <row r="7" spans="1:9" ht="10.5" hidden="1" customHeight="1" outlineLevel="1" x14ac:dyDescent="0.2">
      <c r="A7" s="830" t="s">
        <v>355</v>
      </c>
      <c r="B7" s="847" t="s">
        <v>203</v>
      </c>
      <c r="C7" s="848" t="s">
        <v>86</v>
      </c>
      <c r="D7" s="849"/>
      <c r="F7" s="849"/>
      <c r="G7" s="830" t="s">
        <v>95</v>
      </c>
      <c r="H7" s="847" t="s">
        <v>203</v>
      </c>
      <c r="I7" s="850"/>
    </row>
    <row r="8" spans="1:9" ht="10.5" hidden="1" customHeight="1" outlineLevel="1" x14ac:dyDescent="0.2">
      <c r="A8" s="830" t="s">
        <v>356</v>
      </c>
      <c r="B8" s="851" t="s">
        <v>206</v>
      </c>
      <c r="C8" s="848" t="s">
        <v>86</v>
      </c>
      <c r="D8" s="849"/>
      <c r="F8" s="849"/>
      <c r="G8" s="830" t="s">
        <v>96</v>
      </c>
      <c r="H8" s="851" t="s">
        <v>206</v>
      </c>
      <c r="I8" s="850"/>
    </row>
    <row r="9" spans="1:9" ht="10.5" hidden="1" customHeight="1" outlineLevel="1" x14ac:dyDescent="0.2">
      <c r="A9" s="830" t="s">
        <v>357</v>
      </c>
      <c r="B9" s="851" t="s">
        <v>209</v>
      </c>
      <c r="C9" s="848" t="s">
        <v>86</v>
      </c>
      <c r="D9" s="849"/>
      <c r="F9" s="849"/>
      <c r="G9" s="830" t="s">
        <v>97</v>
      </c>
      <c r="H9" s="851" t="s">
        <v>209</v>
      </c>
      <c r="I9" s="850"/>
    </row>
    <row r="10" spans="1:9" ht="10.5" hidden="1" customHeight="1" outlineLevel="1" x14ac:dyDescent="0.2">
      <c r="A10" s="830" t="s">
        <v>358</v>
      </c>
      <c r="B10" s="851" t="s">
        <v>212</v>
      </c>
      <c r="C10" s="848">
        <v>440</v>
      </c>
      <c r="D10" s="849"/>
      <c r="F10" s="849"/>
      <c r="G10" s="830" t="s">
        <v>98</v>
      </c>
      <c r="H10" s="851" t="s">
        <v>212</v>
      </c>
      <c r="I10" s="850"/>
    </row>
    <row r="11" spans="1:9" ht="10.5" customHeight="1" collapsed="1" x14ac:dyDescent="0.2">
      <c r="A11" s="830"/>
      <c r="B11" s="830"/>
      <c r="C11" s="852"/>
      <c r="D11" s="845"/>
      <c r="F11" s="845"/>
      <c r="G11" s="830"/>
      <c r="H11" s="830"/>
      <c r="I11" s="853"/>
    </row>
    <row r="12" spans="1:9" ht="10.5" customHeight="1" x14ac:dyDescent="0.2">
      <c r="A12" s="830"/>
      <c r="B12" s="843">
        <f>B18-1</f>
        <v>2001</v>
      </c>
      <c r="C12" s="852"/>
      <c r="D12" s="845"/>
      <c r="F12" s="845"/>
      <c r="G12" s="830"/>
      <c r="H12" s="843">
        <f>H18-1</f>
        <v>2001</v>
      </c>
      <c r="I12" s="846"/>
    </row>
    <row r="13" spans="1:9" ht="10.5" hidden="1" customHeight="1" outlineLevel="1" x14ac:dyDescent="0.2">
      <c r="A13" s="830" t="s">
        <v>359</v>
      </c>
      <c r="B13" s="847" t="s">
        <v>203</v>
      </c>
      <c r="C13" s="848" t="s">
        <v>86</v>
      </c>
      <c r="D13" s="849"/>
      <c r="F13" s="849"/>
      <c r="G13" s="830" t="s">
        <v>95</v>
      </c>
      <c r="H13" s="847" t="s">
        <v>203</v>
      </c>
      <c r="I13" s="850"/>
    </row>
    <row r="14" spans="1:9" ht="10.5" hidden="1" customHeight="1" outlineLevel="1" x14ac:dyDescent="0.2">
      <c r="A14" s="830" t="s">
        <v>360</v>
      </c>
      <c r="B14" s="851" t="s">
        <v>206</v>
      </c>
      <c r="C14" s="848" t="s">
        <v>86</v>
      </c>
      <c r="D14" s="849"/>
      <c r="F14" s="849"/>
      <c r="G14" s="830" t="s">
        <v>96</v>
      </c>
      <c r="H14" s="851" t="s">
        <v>206</v>
      </c>
      <c r="I14" s="850"/>
    </row>
    <row r="15" spans="1:9" ht="10.5" hidden="1" customHeight="1" outlineLevel="1" x14ac:dyDescent="0.2">
      <c r="A15" s="830" t="s">
        <v>361</v>
      </c>
      <c r="B15" s="851" t="s">
        <v>209</v>
      </c>
      <c r="C15" s="848" t="s">
        <v>86</v>
      </c>
      <c r="D15" s="849"/>
      <c r="F15" s="849"/>
      <c r="G15" s="830" t="s">
        <v>97</v>
      </c>
      <c r="H15" s="851" t="s">
        <v>209</v>
      </c>
      <c r="I15" s="850"/>
    </row>
    <row r="16" spans="1:9" ht="10.5" hidden="1" customHeight="1" outlineLevel="1" x14ac:dyDescent="0.2">
      <c r="A16" s="830" t="s">
        <v>362</v>
      </c>
      <c r="B16" s="851" t="s">
        <v>212</v>
      </c>
      <c r="C16" s="848">
        <v>459</v>
      </c>
      <c r="D16" s="849"/>
      <c r="F16" s="849"/>
      <c r="G16" s="830" t="s">
        <v>98</v>
      </c>
      <c r="H16" s="851" t="s">
        <v>212</v>
      </c>
      <c r="I16" s="850"/>
    </row>
    <row r="17" spans="1:9" ht="10.5" customHeight="1" collapsed="1" x14ac:dyDescent="0.2">
      <c r="A17" s="830"/>
      <c r="B17" s="830"/>
      <c r="C17" s="852"/>
      <c r="D17" s="845"/>
      <c r="F17" s="845"/>
      <c r="G17" s="830"/>
      <c r="H17" s="830"/>
      <c r="I17" s="853"/>
    </row>
    <row r="18" spans="1:9" ht="10.5" customHeight="1" x14ac:dyDescent="0.2">
      <c r="A18" s="830"/>
      <c r="B18" s="843">
        <f>B24-1</f>
        <v>2002</v>
      </c>
      <c r="C18" s="852"/>
      <c r="D18" s="845"/>
      <c r="F18" s="845"/>
      <c r="G18" s="830"/>
      <c r="H18" s="843">
        <f>H24-1</f>
        <v>2002</v>
      </c>
      <c r="I18" s="846"/>
    </row>
    <row r="19" spans="1:9" ht="10.5" hidden="1" customHeight="1" outlineLevel="1" x14ac:dyDescent="0.2">
      <c r="A19" s="830" t="s">
        <v>363</v>
      </c>
      <c r="B19" s="847" t="s">
        <v>203</v>
      </c>
      <c r="C19" s="854">
        <v>463</v>
      </c>
      <c r="D19" s="849"/>
      <c r="F19" s="849"/>
      <c r="G19" s="830" t="s">
        <v>95</v>
      </c>
      <c r="H19" s="847" t="s">
        <v>203</v>
      </c>
      <c r="I19" s="850"/>
    </row>
    <row r="20" spans="1:9" ht="10.5" hidden="1" customHeight="1" outlineLevel="1" x14ac:dyDescent="0.2">
      <c r="A20" s="830" t="s">
        <v>364</v>
      </c>
      <c r="B20" s="851" t="s">
        <v>206</v>
      </c>
      <c r="C20" s="854">
        <v>465</v>
      </c>
      <c r="D20" s="849"/>
      <c r="F20" s="849"/>
      <c r="G20" s="830" t="s">
        <v>96</v>
      </c>
      <c r="H20" s="851" t="s">
        <v>206</v>
      </c>
      <c r="I20" s="850"/>
    </row>
    <row r="21" spans="1:9" ht="10.5" hidden="1" customHeight="1" outlineLevel="1" x14ac:dyDescent="0.2">
      <c r="A21" s="830" t="s">
        <v>365</v>
      </c>
      <c r="B21" s="851" t="s">
        <v>209</v>
      </c>
      <c r="C21" s="854">
        <v>473</v>
      </c>
      <c r="D21" s="849"/>
      <c r="F21" s="849"/>
      <c r="G21" s="830" t="s">
        <v>97</v>
      </c>
      <c r="H21" s="851" t="s">
        <v>209</v>
      </c>
      <c r="I21" s="850"/>
    </row>
    <row r="22" spans="1:9" ht="10.5" hidden="1" customHeight="1" outlineLevel="1" x14ac:dyDescent="0.2">
      <c r="A22" s="830" t="s">
        <v>366</v>
      </c>
      <c r="B22" s="851" t="s">
        <v>212</v>
      </c>
      <c r="C22" s="854">
        <v>455</v>
      </c>
      <c r="D22" s="849"/>
      <c r="F22" s="849"/>
      <c r="G22" s="830" t="s">
        <v>98</v>
      </c>
      <c r="H22" s="851" t="s">
        <v>212</v>
      </c>
      <c r="I22" s="850"/>
    </row>
    <row r="23" spans="1:9" ht="10.5" customHeight="1" collapsed="1" x14ac:dyDescent="0.2">
      <c r="A23" s="830"/>
      <c r="B23" s="830"/>
      <c r="C23" s="852"/>
      <c r="D23" s="845"/>
      <c r="F23" s="845"/>
      <c r="G23" s="830"/>
      <c r="H23" s="830"/>
      <c r="I23" s="853"/>
    </row>
    <row r="24" spans="1:9" ht="10.5" customHeight="1" x14ac:dyDescent="0.2">
      <c r="A24" s="830"/>
      <c r="B24" s="843">
        <f>B38-1</f>
        <v>2003</v>
      </c>
      <c r="C24" s="852"/>
      <c r="D24" s="845"/>
      <c r="F24" s="845"/>
      <c r="G24" s="830"/>
      <c r="H24" s="843">
        <f>H38-1</f>
        <v>2003</v>
      </c>
      <c r="I24" s="846"/>
    </row>
    <row r="25" spans="1:9" ht="10.5" hidden="1" customHeight="1" outlineLevel="1" x14ac:dyDescent="0.2">
      <c r="A25" s="830" t="s">
        <v>367</v>
      </c>
      <c r="B25" s="847" t="s">
        <v>203</v>
      </c>
      <c r="C25" s="854">
        <v>456</v>
      </c>
      <c r="D25" s="849"/>
      <c r="F25" s="849"/>
      <c r="G25" s="830" t="s">
        <v>95</v>
      </c>
      <c r="H25" s="847" t="s">
        <v>203</v>
      </c>
      <c r="I25" s="850"/>
    </row>
    <row r="26" spans="1:9" ht="10.5" hidden="1" customHeight="1" outlineLevel="1" x14ac:dyDescent="0.2">
      <c r="A26" s="830"/>
      <c r="B26" s="847" t="s">
        <v>204</v>
      </c>
      <c r="C26" s="854">
        <v>456</v>
      </c>
      <c r="D26" s="849"/>
      <c r="F26" s="849"/>
      <c r="G26" s="830"/>
      <c r="H26" s="847" t="s">
        <v>204</v>
      </c>
      <c r="I26" s="850"/>
    </row>
    <row r="27" spans="1:9" ht="10.5" hidden="1" customHeight="1" outlineLevel="1" x14ac:dyDescent="0.2">
      <c r="A27" s="830"/>
      <c r="B27" s="847" t="s">
        <v>205</v>
      </c>
      <c r="C27" s="854">
        <v>456</v>
      </c>
      <c r="D27" s="849"/>
      <c r="F27" s="849"/>
      <c r="G27" s="830"/>
      <c r="H27" s="847" t="s">
        <v>205</v>
      </c>
      <c r="I27" s="850"/>
    </row>
    <row r="28" spans="1:9" ht="10.5" hidden="1" customHeight="1" outlineLevel="1" x14ac:dyDescent="0.2">
      <c r="A28" s="830" t="s">
        <v>368</v>
      </c>
      <c r="B28" s="851" t="s">
        <v>206</v>
      </c>
      <c r="C28" s="854">
        <v>456</v>
      </c>
      <c r="D28" s="849"/>
      <c r="F28" s="849"/>
      <c r="G28" s="830" t="s">
        <v>96</v>
      </c>
      <c r="H28" s="851" t="s">
        <v>206</v>
      </c>
      <c r="I28" s="850"/>
    </row>
    <row r="29" spans="1:9" ht="10.5" hidden="1" customHeight="1" outlineLevel="1" x14ac:dyDescent="0.2">
      <c r="A29" s="830"/>
      <c r="B29" s="851" t="s">
        <v>207</v>
      </c>
      <c r="C29" s="854">
        <v>455</v>
      </c>
      <c r="D29" s="849"/>
      <c r="F29" s="849"/>
      <c r="G29" s="830"/>
      <c r="H29" s="851" t="s">
        <v>207</v>
      </c>
      <c r="I29" s="850"/>
    </row>
    <row r="30" spans="1:9" ht="10.5" hidden="1" customHeight="1" outlineLevel="1" x14ac:dyDescent="0.2">
      <c r="A30" s="830"/>
      <c r="B30" s="851" t="s">
        <v>208</v>
      </c>
      <c r="C30" s="854">
        <v>460</v>
      </c>
      <c r="D30" s="849"/>
      <c r="F30" s="849"/>
      <c r="G30" s="830"/>
      <c r="H30" s="851" t="s">
        <v>208</v>
      </c>
      <c r="I30" s="850"/>
    </row>
    <row r="31" spans="1:9" ht="10.5" hidden="1" customHeight="1" outlineLevel="1" x14ac:dyDescent="0.2">
      <c r="A31" s="830" t="s">
        <v>369</v>
      </c>
      <c r="B31" s="851" t="s">
        <v>209</v>
      </c>
      <c r="C31" s="854">
        <v>460</v>
      </c>
      <c r="D31" s="849"/>
      <c r="F31" s="849"/>
      <c r="G31" s="830" t="s">
        <v>97</v>
      </c>
      <c r="H31" s="851" t="s">
        <v>209</v>
      </c>
      <c r="I31" s="850"/>
    </row>
    <row r="32" spans="1:9" ht="10.5" hidden="1" customHeight="1" outlineLevel="1" x14ac:dyDescent="0.2">
      <c r="A32" s="830"/>
      <c r="B32" s="851" t="s">
        <v>210</v>
      </c>
      <c r="C32" s="854">
        <v>460</v>
      </c>
      <c r="D32" s="849"/>
      <c r="F32" s="849"/>
      <c r="G32" s="830"/>
      <c r="H32" s="851" t="s">
        <v>210</v>
      </c>
      <c r="I32" s="850"/>
    </row>
    <row r="33" spans="1:9" ht="10.5" hidden="1" customHeight="1" outlineLevel="1" x14ac:dyDescent="0.2">
      <c r="A33" s="830"/>
      <c r="B33" s="851" t="s">
        <v>211</v>
      </c>
      <c r="C33" s="854">
        <v>465</v>
      </c>
      <c r="D33" s="849"/>
      <c r="F33" s="849"/>
      <c r="G33" s="830"/>
      <c r="H33" s="851" t="s">
        <v>211</v>
      </c>
      <c r="I33" s="850"/>
    </row>
    <row r="34" spans="1:9" ht="10.5" hidden="1" customHeight="1" outlineLevel="1" x14ac:dyDescent="0.2">
      <c r="A34" s="830" t="s">
        <v>370</v>
      </c>
      <c r="B34" s="851" t="s">
        <v>212</v>
      </c>
      <c r="C34" s="854">
        <v>465</v>
      </c>
      <c r="D34" s="849"/>
      <c r="F34" s="849"/>
      <c r="G34" s="830" t="s">
        <v>98</v>
      </c>
      <c r="H34" s="851" t="s">
        <v>212</v>
      </c>
      <c r="I34" s="850"/>
    </row>
    <row r="35" spans="1:9" ht="10.5" hidden="1" customHeight="1" outlineLevel="1" x14ac:dyDescent="0.2">
      <c r="A35" s="830"/>
      <c r="B35" s="851" t="s">
        <v>213</v>
      </c>
      <c r="C35" s="854">
        <v>465</v>
      </c>
      <c r="D35" s="849"/>
      <c r="F35" s="849"/>
      <c r="G35" s="830"/>
      <c r="H35" s="851" t="s">
        <v>213</v>
      </c>
      <c r="I35" s="850"/>
    </row>
    <row r="36" spans="1:9" ht="10.5" hidden="1" customHeight="1" outlineLevel="1" x14ac:dyDescent="0.2">
      <c r="A36" s="830"/>
      <c r="B36" s="851" t="s">
        <v>214</v>
      </c>
      <c r="C36" s="854">
        <v>459</v>
      </c>
      <c r="D36" s="849"/>
      <c r="F36" s="849"/>
      <c r="G36" s="830"/>
      <c r="H36" s="851" t="s">
        <v>214</v>
      </c>
      <c r="I36" s="850"/>
    </row>
    <row r="37" spans="1:9" ht="10.5" customHeight="1" collapsed="1" x14ac:dyDescent="0.2">
      <c r="A37" s="830"/>
      <c r="B37" s="830"/>
      <c r="C37" s="852"/>
      <c r="D37" s="845"/>
      <c r="F37" s="845"/>
      <c r="G37" s="830"/>
      <c r="H37" s="830"/>
      <c r="I37" s="853"/>
    </row>
    <row r="38" spans="1:9" ht="10.5" customHeight="1" x14ac:dyDescent="0.2">
      <c r="A38" s="830"/>
      <c r="B38" s="843">
        <f>B52-1</f>
        <v>2004</v>
      </c>
      <c r="C38" s="852"/>
      <c r="D38" s="845"/>
      <c r="F38" s="845"/>
      <c r="G38" s="830"/>
      <c r="H38" s="843">
        <f>H52-1</f>
        <v>2004</v>
      </c>
      <c r="I38" s="855"/>
    </row>
    <row r="39" spans="1:9" ht="10.5" hidden="1" customHeight="1" outlineLevel="1" x14ac:dyDescent="0.2">
      <c r="A39" s="830" t="s">
        <v>371</v>
      </c>
      <c r="B39" s="847" t="s">
        <v>203</v>
      </c>
      <c r="C39" s="854">
        <v>458</v>
      </c>
      <c r="D39" s="849">
        <f t="shared" ref="D39:D44" si="0">(C39/C25-1)*100</f>
        <v>0.43859649122806044</v>
      </c>
      <c r="F39" s="849"/>
      <c r="G39" s="830" t="s">
        <v>95</v>
      </c>
      <c r="H39" s="847" t="s">
        <v>203</v>
      </c>
      <c r="I39" s="850">
        <f>C39-C36</f>
        <v>-1</v>
      </c>
    </row>
    <row r="40" spans="1:9" ht="10.5" hidden="1" customHeight="1" outlineLevel="1" x14ac:dyDescent="0.2">
      <c r="A40" s="830"/>
      <c r="B40" s="847" t="s">
        <v>204</v>
      </c>
      <c r="C40" s="854">
        <v>458</v>
      </c>
      <c r="D40" s="849">
        <f t="shared" si="0"/>
        <v>0.43859649122806044</v>
      </c>
      <c r="F40" s="849"/>
      <c r="G40" s="830"/>
      <c r="H40" s="847" t="s">
        <v>204</v>
      </c>
      <c r="I40" s="850">
        <f>C40-C39</f>
        <v>0</v>
      </c>
    </row>
    <row r="41" spans="1:9" ht="10.5" hidden="1" customHeight="1" outlineLevel="1" x14ac:dyDescent="0.2">
      <c r="A41" s="830"/>
      <c r="B41" s="847" t="s">
        <v>205</v>
      </c>
      <c r="C41" s="854">
        <v>459</v>
      </c>
      <c r="D41" s="849">
        <f t="shared" si="0"/>
        <v>0.65789473684210176</v>
      </c>
      <c r="F41" s="849"/>
      <c r="G41" s="830"/>
      <c r="H41" s="847" t="s">
        <v>205</v>
      </c>
      <c r="I41" s="850">
        <f t="shared" ref="I41:I50" si="1">C41-C40</f>
        <v>1</v>
      </c>
    </row>
    <row r="42" spans="1:9" ht="10.5" hidden="1" customHeight="1" outlineLevel="1" x14ac:dyDescent="0.2">
      <c r="A42" s="830" t="s">
        <v>372</v>
      </c>
      <c r="B42" s="851" t="s">
        <v>206</v>
      </c>
      <c r="C42" s="854">
        <v>457</v>
      </c>
      <c r="D42" s="849">
        <f t="shared" si="0"/>
        <v>0.21929824561404132</v>
      </c>
      <c r="F42" s="849"/>
      <c r="G42" s="830" t="s">
        <v>96</v>
      </c>
      <c r="H42" s="851" t="s">
        <v>206</v>
      </c>
      <c r="I42" s="850">
        <f t="shared" si="1"/>
        <v>-2</v>
      </c>
    </row>
    <row r="43" spans="1:9" ht="10.5" hidden="1" customHeight="1" outlineLevel="1" x14ac:dyDescent="0.2">
      <c r="A43" s="830"/>
      <c r="B43" s="851" t="s">
        <v>207</v>
      </c>
      <c r="C43" s="854">
        <v>457</v>
      </c>
      <c r="D43" s="849">
        <f t="shared" si="0"/>
        <v>0.439560439560438</v>
      </c>
      <c r="F43" s="849"/>
      <c r="G43" s="830"/>
      <c r="H43" s="851" t="s">
        <v>207</v>
      </c>
      <c r="I43" s="850">
        <f t="shared" si="1"/>
        <v>0</v>
      </c>
    </row>
    <row r="44" spans="1:9" ht="10.5" hidden="1" customHeight="1" outlineLevel="1" x14ac:dyDescent="0.2">
      <c r="A44" s="830"/>
      <c r="B44" s="851" t="s">
        <v>208</v>
      </c>
      <c r="C44" s="854">
        <v>457</v>
      </c>
      <c r="D44" s="849">
        <f t="shared" si="0"/>
        <v>-0.6521739130434745</v>
      </c>
      <c r="F44" s="849"/>
      <c r="G44" s="830"/>
      <c r="H44" s="851" t="s">
        <v>208</v>
      </c>
      <c r="I44" s="850">
        <f t="shared" si="1"/>
        <v>0</v>
      </c>
    </row>
    <row r="45" spans="1:9" ht="10.5" hidden="1" customHeight="1" outlineLevel="1" x14ac:dyDescent="0.2">
      <c r="A45" s="830" t="s">
        <v>373</v>
      </c>
      <c r="B45" s="851" t="s">
        <v>209</v>
      </c>
      <c r="C45" s="854">
        <v>457</v>
      </c>
      <c r="D45" s="849">
        <f t="shared" ref="D45:D50" si="2">(C45/C31-1)*100</f>
        <v>-0.6521739130434745</v>
      </c>
      <c r="F45" s="849"/>
      <c r="G45" s="830" t="s">
        <v>97</v>
      </c>
      <c r="H45" s="851" t="s">
        <v>209</v>
      </c>
      <c r="I45" s="850">
        <f t="shared" si="1"/>
        <v>0</v>
      </c>
    </row>
    <row r="46" spans="1:9" ht="10.5" hidden="1" customHeight="1" outlineLevel="1" x14ac:dyDescent="0.2">
      <c r="A46" s="830"/>
      <c r="B46" s="851" t="s">
        <v>210</v>
      </c>
      <c r="C46" s="854">
        <v>458</v>
      </c>
      <c r="D46" s="849">
        <f t="shared" si="2"/>
        <v>-0.43478260869564966</v>
      </c>
      <c r="F46" s="849"/>
      <c r="G46" s="830"/>
      <c r="H46" s="851" t="s">
        <v>210</v>
      </c>
      <c r="I46" s="850">
        <f t="shared" si="1"/>
        <v>1</v>
      </c>
    </row>
    <row r="47" spans="1:9" ht="10.5" hidden="1" customHeight="1" outlineLevel="1" x14ac:dyDescent="0.2">
      <c r="A47" s="830"/>
      <c r="B47" s="851" t="s">
        <v>211</v>
      </c>
      <c r="C47" s="854">
        <v>459</v>
      </c>
      <c r="D47" s="849">
        <f t="shared" si="2"/>
        <v>-1.2903225806451646</v>
      </c>
      <c r="F47" s="849"/>
      <c r="G47" s="830"/>
      <c r="H47" s="851" t="s">
        <v>211</v>
      </c>
      <c r="I47" s="850">
        <f t="shared" si="1"/>
        <v>1</v>
      </c>
    </row>
    <row r="48" spans="1:9" ht="10.5" hidden="1" customHeight="1" outlineLevel="1" x14ac:dyDescent="0.2">
      <c r="A48" s="830" t="s">
        <v>374</v>
      </c>
      <c r="B48" s="851" t="s">
        <v>212</v>
      </c>
      <c r="C48" s="854">
        <v>459</v>
      </c>
      <c r="D48" s="849">
        <f t="shared" si="2"/>
        <v>-1.2903225806451646</v>
      </c>
      <c r="F48" s="849"/>
      <c r="G48" s="830" t="s">
        <v>98</v>
      </c>
      <c r="H48" s="851" t="s">
        <v>212</v>
      </c>
      <c r="I48" s="850">
        <f t="shared" si="1"/>
        <v>0</v>
      </c>
    </row>
    <row r="49" spans="1:9" ht="10.5" hidden="1" customHeight="1" outlineLevel="1" x14ac:dyDescent="0.2">
      <c r="A49" s="830"/>
      <c r="B49" s="851" t="s">
        <v>213</v>
      </c>
      <c r="C49" s="854">
        <v>459</v>
      </c>
      <c r="D49" s="849">
        <f t="shared" si="2"/>
        <v>-1.2903225806451646</v>
      </c>
      <c r="F49" s="849"/>
      <c r="G49" s="830"/>
      <c r="H49" s="851" t="s">
        <v>213</v>
      </c>
      <c r="I49" s="850">
        <f t="shared" si="1"/>
        <v>0</v>
      </c>
    </row>
    <row r="50" spans="1:9" ht="10.5" hidden="1" customHeight="1" outlineLevel="1" x14ac:dyDescent="0.2">
      <c r="A50" s="830"/>
      <c r="B50" s="851" t="s">
        <v>214</v>
      </c>
      <c r="C50" s="854">
        <v>459</v>
      </c>
      <c r="D50" s="849">
        <f t="shared" si="2"/>
        <v>0</v>
      </c>
      <c r="F50" s="849"/>
      <c r="G50" s="830"/>
      <c r="H50" s="851" t="s">
        <v>214</v>
      </c>
      <c r="I50" s="850">
        <f t="shared" si="1"/>
        <v>0</v>
      </c>
    </row>
    <row r="51" spans="1:9" ht="10.5" customHeight="1" collapsed="1" x14ac:dyDescent="0.2">
      <c r="A51" s="830"/>
      <c r="B51" s="830"/>
      <c r="C51" s="852"/>
      <c r="D51" s="856"/>
      <c r="F51" s="856"/>
      <c r="G51" s="830"/>
      <c r="H51" s="830"/>
      <c r="I51" s="857"/>
    </row>
    <row r="52" spans="1:9" ht="10.5" customHeight="1" x14ac:dyDescent="0.2">
      <c r="A52" s="830"/>
      <c r="B52" s="843">
        <f>B66-1</f>
        <v>2005</v>
      </c>
      <c r="C52" s="852"/>
      <c r="D52" s="858"/>
      <c r="F52" s="858"/>
      <c r="G52" s="830"/>
      <c r="H52" s="843">
        <f>H66-1</f>
        <v>2005</v>
      </c>
      <c r="I52" s="846"/>
    </row>
    <row r="53" spans="1:9" ht="10.5" hidden="1" customHeight="1" outlineLevel="1" x14ac:dyDescent="0.2">
      <c r="A53" s="830" t="s">
        <v>375</v>
      </c>
      <c r="B53" s="847" t="s">
        <v>203</v>
      </c>
      <c r="C53" s="854">
        <v>459</v>
      </c>
      <c r="D53" s="849">
        <f>(C53/C39-1)*100</f>
        <v>0.21834061135370675</v>
      </c>
      <c r="F53" s="849"/>
      <c r="G53" s="830" t="s">
        <v>95</v>
      </c>
      <c r="H53" s="847" t="s">
        <v>203</v>
      </c>
      <c r="I53" s="850">
        <f>C53-C50</f>
        <v>0</v>
      </c>
    </row>
    <row r="54" spans="1:9" ht="10.5" hidden="1" customHeight="1" outlineLevel="1" x14ac:dyDescent="0.2">
      <c r="A54" s="830"/>
      <c r="B54" s="847" t="s">
        <v>204</v>
      </c>
      <c r="C54" s="854">
        <v>459</v>
      </c>
      <c r="D54" s="849">
        <f t="shared" ref="D54:D64" si="3">(C54/C40-1)*100</f>
        <v>0.21834061135370675</v>
      </c>
      <c r="F54" s="849"/>
      <c r="G54" s="830"/>
      <c r="H54" s="847" t="s">
        <v>204</v>
      </c>
      <c r="I54" s="850">
        <f>C54-C53</f>
        <v>0</v>
      </c>
    </row>
    <row r="55" spans="1:9" ht="10.5" hidden="1" customHeight="1" outlineLevel="1" x14ac:dyDescent="0.2">
      <c r="A55" s="830"/>
      <c r="B55" s="847" t="s">
        <v>205</v>
      </c>
      <c r="C55" s="854">
        <v>459</v>
      </c>
      <c r="D55" s="849">
        <f t="shared" si="3"/>
        <v>0</v>
      </c>
      <c r="F55" s="849"/>
      <c r="G55" s="830"/>
      <c r="H55" s="847" t="s">
        <v>205</v>
      </c>
      <c r="I55" s="850">
        <f t="shared" ref="I55:I64" si="4">C55-C54</f>
        <v>0</v>
      </c>
    </row>
    <row r="56" spans="1:9" ht="10.5" hidden="1" customHeight="1" outlineLevel="1" x14ac:dyDescent="0.2">
      <c r="A56" s="830" t="s">
        <v>376</v>
      </c>
      <c r="B56" s="851" t="s">
        <v>206</v>
      </c>
      <c r="C56" s="854">
        <v>460</v>
      </c>
      <c r="D56" s="849">
        <f t="shared" si="3"/>
        <v>0.65645514223193757</v>
      </c>
      <c r="F56" s="849"/>
      <c r="G56" s="830" t="s">
        <v>96</v>
      </c>
      <c r="H56" s="851" t="s">
        <v>206</v>
      </c>
      <c r="I56" s="850">
        <f t="shared" si="4"/>
        <v>1</v>
      </c>
    </row>
    <row r="57" spans="1:9" ht="10.5" hidden="1" customHeight="1" outlineLevel="1" x14ac:dyDescent="0.2">
      <c r="A57" s="830"/>
      <c r="B57" s="851" t="s">
        <v>207</v>
      </c>
      <c r="C57" s="854">
        <v>460</v>
      </c>
      <c r="D57" s="849">
        <f t="shared" si="3"/>
        <v>0.65645514223193757</v>
      </c>
      <c r="F57" s="849"/>
      <c r="G57" s="830"/>
      <c r="H57" s="851" t="s">
        <v>207</v>
      </c>
      <c r="I57" s="850">
        <f t="shared" si="4"/>
        <v>0</v>
      </c>
    </row>
    <row r="58" spans="1:9" ht="10.5" hidden="1" customHeight="1" outlineLevel="1" x14ac:dyDescent="0.2">
      <c r="A58" s="830"/>
      <c r="B58" s="851" t="s">
        <v>208</v>
      </c>
      <c r="C58" s="854">
        <v>460</v>
      </c>
      <c r="D58" s="849">
        <f t="shared" si="3"/>
        <v>0.65645514223193757</v>
      </c>
      <c r="F58" s="849"/>
      <c r="G58" s="830"/>
      <c r="H58" s="851" t="s">
        <v>208</v>
      </c>
      <c r="I58" s="850">
        <f t="shared" si="4"/>
        <v>0</v>
      </c>
    </row>
    <row r="59" spans="1:9" ht="10.5" hidden="1" customHeight="1" outlineLevel="1" x14ac:dyDescent="0.2">
      <c r="A59" s="830" t="s">
        <v>377</v>
      </c>
      <c r="B59" s="851" t="s">
        <v>209</v>
      </c>
      <c r="C59" s="854">
        <v>459</v>
      </c>
      <c r="D59" s="849">
        <f t="shared" si="3"/>
        <v>0.43763676148795838</v>
      </c>
      <c r="F59" s="849"/>
      <c r="G59" s="830" t="s">
        <v>97</v>
      </c>
      <c r="H59" s="851" t="s">
        <v>209</v>
      </c>
      <c r="I59" s="850">
        <f t="shared" si="4"/>
        <v>-1</v>
      </c>
    </row>
    <row r="60" spans="1:9" ht="10.5" hidden="1" customHeight="1" outlineLevel="1" x14ac:dyDescent="0.2">
      <c r="A60" s="830"/>
      <c r="B60" s="851" t="s">
        <v>210</v>
      </c>
      <c r="C60" s="854">
        <v>933</v>
      </c>
      <c r="D60" s="849">
        <f t="shared" si="3"/>
        <v>103.7117903930131</v>
      </c>
      <c r="F60" s="849"/>
      <c r="G60" s="830"/>
      <c r="H60" s="851" t="s">
        <v>210</v>
      </c>
      <c r="I60" s="850">
        <f t="shared" si="4"/>
        <v>474</v>
      </c>
    </row>
    <row r="61" spans="1:9" ht="10.5" hidden="1" customHeight="1" outlineLevel="1" x14ac:dyDescent="0.2">
      <c r="A61" s="830"/>
      <c r="B61" s="851" t="s">
        <v>211</v>
      </c>
      <c r="C61" s="854">
        <v>935</v>
      </c>
      <c r="D61" s="849">
        <f t="shared" si="3"/>
        <v>103.70370370370372</v>
      </c>
      <c r="F61" s="849"/>
      <c r="G61" s="830"/>
      <c r="H61" s="851" t="s">
        <v>211</v>
      </c>
      <c r="I61" s="850">
        <f t="shared" si="4"/>
        <v>2</v>
      </c>
    </row>
    <row r="62" spans="1:9" ht="10.5" hidden="1" customHeight="1" outlineLevel="1" x14ac:dyDescent="0.2">
      <c r="A62" s="830" t="s">
        <v>378</v>
      </c>
      <c r="B62" s="851" t="s">
        <v>212</v>
      </c>
      <c r="C62" s="854">
        <v>935</v>
      </c>
      <c r="D62" s="849">
        <f t="shared" si="3"/>
        <v>103.70370370370372</v>
      </c>
      <c r="F62" s="849"/>
      <c r="G62" s="830" t="s">
        <v>98</v>
      </c>
      <c r="H62" s="851" t="s">
        <v>212</v>
      </c>
      <c r="I62" s="850">
        <f t="shared" si="4"/>
        <v>0</v>
      </c>
    </row>
    <row r="63" spans="1:9" ht="10.5" hidden="1" customHeight="1" outlineLevel="1" x14ac:dyDescent="0.2">
      <c r="A63" s="830"/>
      <c r="B63" s="851" t="s">
        <v>213</v>
      </c>
      <c r="C63" s="854">
        <v>934</v>
      </c>
      <c r="D63" s="849">
        <f t="shared" si="3"/>
        <v>103.48583877995642</v>
      </c>
      <c r="F63" s="849"/>
      <c r="G63" s="830"/>
      <c r="H63" s="851" t="s">
        <v>213</v>
      </c>
      <c r="I63" s="850">
        <f t="shared" si="4"/>
        <v>-1</v>
      </c>
    </row>
    <row r="64" spans="1:9" ht="10.5" hidden="1" customHeight="1" outlineLevel="1" x14ac:dyDescent="0.2">
      <c r="A64" s="830"/>
      <c r="B64" s="851" t="s">
        <v>214</v>
      </c>
      <c r="C64" s="854">
        <v>868</v>
      </c>
      <c r="D64" s="849">
        <f t="shared" si="3"/>
        <v>89.106753812636171</v>
      </c>
      <c r="F64" s="849"/>
      <c r="G64" s="830"/>
      <c r="H64" s="851" t="s">
        <v>214</v>
      </c>
      <c r="I64" s="850">
        <f t="shared" si="4"/>
        <v>-66</v>
      </c>
    </row>
    <row r="65" spans="1:9" ht="10.5" customHeight="1" collapsed="1" x14ac:dyDescent="0.2">
      <c r="A65" s="830"/>
      <c r="B65" s="830"/>
      <c r="C65" s="852"/>
      <c r="D65" s="859"/>
      <c r="F65" s="859"/>
      <c r="G65" s="830"/>
      <c r="H65" s="830"/>
      <c r="I65" s="853"/>
    </row>
    <row r="66" spans="1:9" ht="10.5" customHeight="1" x14ac:dyDescent="0.2">
      <c r="A66" s="830"/>
      <c r="B66" s="843">
        <f>B80-1</f>
        <v>2006</v>
      </c>
      <c r="C66" s="852"/>
      <c r="D66" s="845"/>
      <c r="F66" s="845"/>
      <c r="G66" s="830"/>
      <c r="H66" s="843">
        <f>H80-1</f>
        <v>2006</v>
      </c>
      <c r="I66" s="855"/>
    </row>
    <row r="67" spans="1:9" ht="10.5" hidden="1" customHeight="1" outlineLevel="1" x14ac:dyDescent="0.2">
      <c r="A67" s="830" t="s">
        <v>379</v>
      </c>
      <c r="B67" s="847" t="s">
        <v>203</v>
      </c>
      <c r="C67" s="854">
        <v>868</v>
      </c>
      <c r="D67" s="849">
        <f>(C67/C53-1)*100</f>
        <v>89.106753812636171</v>
      </c>
      <c r="F67" s="849"/>
      <c r="G67" s="830" t="s">
        <v>95</v>
      </c>
      <c r="H67" s="847" t="s">
        <v>203</v>
      </c>
      <c r="I67" s="850">
        <f>C67-C64</f>
        <v>0</v>
      </c>
    </row>
    <row r="68" spans="1:9" ht="10.5" hidden="1" customHeight="1" outlineLevel="1" x14ac:dyDescent="0.2">
      <c r="A68" s="830"/>
      <c r="B68" s="847" t="s">
        <v>204</v>
      </c>
      <c r="C68" s="854">
        <v>861</v>
      </c>
      <c r="D68" s="849">
        <f t="shared" ref="D68:D78" si="5">(C68/C54-1)*100</f>
        <v>87.58169934640523</v>
      </c>
      <c r="F68" s="849"/>
      <c r="G68" s="830"/>
      <c r="H68" s="847" t="s">
        <v>204</v>
      </c>
      <c r="I68" s="850">
        <f>C68-C67</f>
        <v>-7</v>
      </c>
    </row>
    <row r="69" spans="1:9" ht="10.5" hidden="1" customHeight="1" outlineLevel="1" x14ac:dyDescent="0.2">
      <c r="A69" s="830"/>
      <c r="B69" s="847" t="s">
        <v>205</v>
      </c>
      <c r="C69" s="854">
        <v>861</v>
      </c>
      <c r="D69" s="849">
        <f t="shared" si="5"/>
        <v>87.58169934640523</v>
      </c>
      <c r="F69" s="849"/>
      <c r="G69" s="830"/>
      <c r="H69" s="847" t="s">
        <v>205</v>
      </c>
      <c r="I69" s="850">
        <f t="shared" ref="I69:I78" si="6">C69-C68</f>
        <v>0</v>
      </c>
    </row>
    <row r="70" spans="1:9" ht="10.5" hidden="1" customHeight="1" outlineLevel="1" x14ac:dyDescent="0.2">
      <c r="A70" s="830" t="s">
        <v>380</v>
      </c>
      <c r="B70" s="851" t="s">
        <v>206</v>
      </c>
      <c r="C70" s="854">
        <v>861</v>
      </c>
      <c r="D70" s="849">
        <f t="shared" si="5"/>
        <v>87.173913043478251</v>
      </c>
      <c r="F70" s="849"/>
      <c r="G70" s="830" t="s">
        <v>96</v>
      </c>
      <c r="H70" s="851" t="s">
        <v>206</v>
      </c>
      <c r="I70" s="850">
        <f t="shared" si="6"/>
        <v>0</v>
      </c>
    </row>
    <row r="71" spans="1:9" ht="10.5" hidden="1" customHeight="1" outlineLevel="1" x14ac:dyDescent="0.2">
      <c r="A71" s="830"/>
      <c r="B71" s="851" t="s">
        <v>207</v>
      </c>
      <c r="C71" s="854">
        <v>859</v>
      </c>
      <c r="D71" s="849">
        <f t="shared" si="5"/>
        <v>86.739130434782609</v>
      </c>
      <c r="F71" s="849"/>
      <c r="G71" s="830"/>
      <c r="H71" s="851" t="s">
        <v>207</v>
      </c>
      <c r="I71" s="850">
        <f t="shared" si="6"/>
        <v>-2</v>
      </c>
    </row>
    <row r="72" spans="1:9" ht="10.5" hidden="1" customHeight="1" outlineLevel="1" x14ac:dyDescent="0.2">
      <c r="A72" s="830"/>
      <c r="B72" s="851" t="s">
        <v>208</v>
      </c>
      <c r="C72" s="854">
        <v>856</v>
      </c>
      <c r="D72" s="849">
        <f t="shared" si="5"/>
        <v>86.086956521739125</v>
      </c>
      <c r="F72" s="849"/>
      <c r="G72" s="830"/>
      <c r="H72" s="851" t="s">
        <v>208</v>
      </c>
      <c r="I72" s="850">
        <f t="shared" si="6"/>
        <v>-3</v>
      </c>
    </row>
    <row r="73" spans="1:9" ht="10.5" hidden="1" customHeight="1" outlineLevel="1" x14ac:dyDescent="0.2">
      <c r="A73" s="830" t="s">
        <v>381</v>
      </c>
      <c r="B73" s="851" t="s">
        <v>209</v>
      </c>
      <c r="C73" s="854">
        <v>854</v>
      </c>
      <c r="D73" s="849">
        <f t="shared" si="5"/>
        <v>86.056644880174275</v>
      </c>
      <c r="F73" s="849"/>
      <c r="G73" s="830" t="s">
        <v>97</v>
      </c>
      <c r="H73" s="851" t="s">
        <v>209</v>
      </c>
      <c r="I73" s="850">
        <f t="shared" si="6"/>
        <v>-2</v>
      </c>
    </row>
    <row r="74" spans="1:9" ht="10.5" hidden="1" customHeight="1" outlineLevel="1" x14ac:dyDescent="0.2">
      <c r="A74" s="830"/>
      <c r="B74" s="851" t="s">
        <v>210</v>
      </c>
      <c r="C74" s="854">
        <v>855</v>
      </c>
      <c r="D74" s="849">
        <f t="shared" si="5"/>
        <v>-8.3601286173633493</v>
      </c>
      <c r="F74" s="849"/>
      <c r="G74" s="830"/>
      <c r="H74" s="851" t="s">
        <v>210</v>
      </c>
      <c r="I74" s="850">
        <f t="shared" si="6"/>
        <v>1</v>
      </c>
    </row>
    <row r="75" spans="1:9" ht="10.5" hidden="1" customHeight="1" outlineLevel="1" x14ac:dyDescent="0.2">
      <c r="A75" s="830"/>
      <c r="B75" s="851" t="s">
        <v>211</v>
      </c>
      <c r="C75" s="854">
        <v>857</v>
      </c>
      <c r="D75" s="849">
        <f t="shared" si="5"/>
        <v>-8.3422459893048089</v>
      </c>
      <c r="F75" s="849"/>
      <c r="G75" s="830"/>
      <c r="H75" s="851" t="s">
        <v>211</v>
      </c>
      <c r="I75" s="850">
        <f t="shared" si="6"/>
        <v>2</v>
      </c>
    </row>
    <row r="76" spans="1:9" ht="10.5" hidden="1" customHeight="1" outlineLevel="1" x14ac:dyDescent="0.2">
      <c r="A76" s="830" t="s">
        <v>382</v>
      </c>
      <c r="B76" s="851" t="s">
        <v>212</v>
      </c>
      <c r="C76" s="854">
        <v>860</v>
      </c>
      <c r="D76" s="849">
        <f t="shared" si="5"/>
        <v>-8.0213903743315491</v>
      </c>
      <c r="F76" s="849"/>
      <c r="G76" s="830" t="s">
        <v>98</v>
      </c>
      <c r="H76" s="851" t="s">
        <v>212</v>
      </c>
      <c r="I76" s="850">
        <f t="shared" si="6"/>
        <v>3</v>
      </c>
    </row>
    <row r="77" spans="1:9" ht="10.5" hidden="1" customHeight="1" outlineLevel="1" x14ac:dyDescent="0.2">
      <c r="A77" s="830"/>
      <c r="B77" s="851" t="s">
        <v>213</v>
      </c>
      <c r="C77" s="854">
        <v>860</v>
      </c>
      <c r="D77" s="849">
        <f t="shared" si="5"/>
        <v>-7.9229122055674566</v>
      </c>
      <c r="F77" s="849"/>
      <c r="G77" s="830"/>
      <c r="H77" s="851" t="s">
        <v>213</v>
      </c>
      <c r="I77" s="850">
        <f t="shared" si="6"/>
        <v>0</v>
      </c>
    </row>
    <row r="78" spans="1:9" ht="10.5" hidden="1" customHeight="1" outlineLevel="1" x14ac:dyDescent="0.2">
      <c r="A78" s="830"/>
      <c r="B78" s="851" t="s">
        <v>214</v>
      </c>
      <c r="C78" s="854">
        <v>858</v>
      </c>
      <c r="D78" s="849">
        <f t="shared" si="5"/>
        <v>-1.1520737327188946</v>
      </c>
      <c r="F78" s="849"/>
      <c r="G78" s="830"/>
      <c r="H78" s="851" t="s">
        <v>214</v>
      </c>
      <c r="I78" s="850">
        <f t="shared" si="6"/>
        <v>-2</v>
      </c>
    </row>
    <row r="79" spans="1:9" ht="10.5" customHeight="1" collapsed="1" x14ac:dyDescent="0.2">
      <c r="A79" s="830"/>
      <c r="B79" s="830"/>
      <c r="C79" s="852"/>
      <c r="D79" s="856"/>
      <c r="F79" s="845"/>
      <c r="G79" s="830"/>
      <c r="H79" s="830"/>
      <c r="I79" s="860"/>
    </row>
    <row r="80" spans="1:9" ht="10.5" customHeight="1" x14ac:dyDescent="0.2">
      <c r="A80" s="830"/>
      <c r="B80" s="843">
        <f>B94-1</f>
        <v>2007</v>
      </c>
      <c r="C80" s="852"/>
      <c r="D80" s="858"/>
      <c r="F80" s="845"/>
      <c r="G80" s="830"/>
      <c r="H80" s="843">
        <f>H94-1</f>
        <v>2007</v>
      </c>
      <c r="I80" s="846"/>
    </row>
    <row r="81" spans="1:9" ht="10.5" hidden="1" customHeight="1" outlineLevel="1" x14ac:dyDescent="0.2">
      <c r="A81" s="830" t="s">
        <v>383</v>
      </c>
      <c r="B81" s="847" t="s">
        <v>203</v>
      </c>
      <c r="C81" s="854">
        <v>858</v>
      </c>
      <c r="D81" s="849">
        <f>(C81/C67-1)*100</f>
        <v>-1.1520737327188946</v>
      </c>
      <c r="F81" s="849"/>
      <c r="G81" s="830" t="s">
        <v>95</v>
      </c>
      <c r="H81" s="847" t="s">
        <v>203</v>
      </c>
      <c r="I81" s="850">
        <f>C81-C78</f>
        <v>0</v>
      </c>
    </row>
    <row r="82" spans="1:9" ht="10.5" hidden="1" customHeight="1" outlineLevel="1" x14ac:dyDescent="0.2">
      <c r="A82" s="830"/>
      <c r="B82" s="847" t="s">
        <v>204</v>
      </c>
      <c r="C82" s="854">
        <v>859</v>
      </c>
      <c r="D82" s="849">
        <f t="shared" ref="D82:D92" si="7">(C82/C68-1)*100</f>
        <v>-0.23228803716608404</v>
      </c>
      <c r="F82" s="849"/>
      <c r="G82" s="830"/>
      <c r="H82" s="847" t="s">
        <v>204</v>
      </c>
      <c r="I82" s="850">
        <f>C82-C81</f>
        <v>1</v>
      </c>
    </row>
    <row r="83" spans="1:9" ht="10.5" hidden="1" customHeight="1" outlineLevel="1" x14ac:dyDescent="0.2">
      <c r="A83" s="830"/>
      <c r="B83" s="847" t="s">
        <v>205</v>
      </c>
      <c r="C83" s="854">
        <v>863</v>
      </c>
      <c r="D83" s="849">
        <f t="shared" si="7"/>
        <v>0.23228803716608404</v>
      </c>
      <c r="F83" s="849"/>
      <c r="G83" s="830"/>
      <c r="H83" s="847" t="s">
        <v>205</v>
      </c>
      <c r="I83" s="850">
        <f t="shared" ref="I83:I92" si="8">C83-C82</f>
        <v>4</v>
      </c>
    </row>
    <row r="84" spans="1:9" ht="10.5" hidden="1" customHeight="1" outlineLevel="1" x14ac:dyDescent="0.2">
      <c r="A84" s="830" t="s">
        <v>384</v>
      </c>
      <c r="B84" s="851" t="s">
        <v>206</v>
      </c>
      <c r="C84" s="854">
        <v>863</v>
      </c>
      <c r="D84" s="849">
        <f t="shared" si="7"/>
        <v>0.23228803716608404</v>
      </c>
      <c r="F84" s="849"/>
      <c r="G84" s="830" t="s">
        <v>96</v>
      </c>
      <c r="H84" s="851" t="s">
        <v>206</v>
      </c>
      <c r="I84" s="850">
        <f t="shared" si="8"/>
        <v>0</v>
      </c>
    </row>
    <row r="85" spans="1:9" ht="10.5" hidden="1" customHeight="1" outlineLevel="1" x14ac:dyDescent="0.2">
      <c r="A85" s="830"/>
      <c r="B85" s="851" t="s">
        <v>207</v>
      </c>
      <c r="C85" s="854">
        <v>863</v>
      </c>
      <c r="D85" s="849">
        <f t="shared" si="7"/>
        <v>0.46565774155995499</v>
      </c>
      <c r="F85" s="849"/>
      <c r="G85" s="830"/>
      <c r="H85" s="851" t="s">
        <v>207</v>
      </c>
      <c r="I85" s="850">
        <f t="shared" si="8"/>
        <v>0</v>
      </c>
    </row>
    <row r="86" spans="1:9" ht="10.5" hidden="1" customHeight="1" outlineLevel="1" x14ac:dyDescent="0.2">
      <c r="A86" s="830"/>
      <c r="B86" s="851" t="s">
        <v>208</v>
      </c>
      <c r="C86" s="854">
        <v>863</v>
      </c>
      <c r="D86" s="849">
        <f t="shared" si="7"/>
        <v>0.81775700934578754</v>
      </c>
      <c r="F86" s="849"/>
      <c r="G86" s="830"/>
      <c r="H86" s="851" t="s">
        <v>208</v>
      </c>
      <c r="I86" s="850">
        <f t="shared" si="8"/>
        <v>0</v>
      </c>
    </row>
    <row r="87" spans="1:9" ht="10.5" hidden="1" customHeight="1" outlineLevel="1" x14ac:dyDescent="0.2">
      <c r="A87" s="830" t="s">
        <v>385</v>
      </c>
      <c r="B87" s="851" t="s">
        <v>209</v>
      </c>
      <c r="C87" s="854">
        <v>864</v>
      </c>
      <c r="D87" s="849">
        <f t="shared" si="7"/>
        <v>1.1709601873536313</v>
      </c>
      <c r="F87" s="849"/>
      <c r="G87" s="830" t="s">
        <v>97</v>
      </c>
      <c r="H87" s="851" t="s">
        <v>209</v>
      </c>
      <c r="I87" s="850">
        <f t="shared" si="8"/>
        <v>1</v>
      </c>
    </row>
    <row r="88" spans="1:9" ht="10.5" hidden="1" customHeight="1" outlineLevel="1" x14ac:dyDescent="0.2">
      <c r="A88" s="830"/>
      <c r="B88" s="851" t="s">
        <v>210</v>
      </c>
      <c r="C88" s="854">
        <v>866</v>
      </c>
      <c r="D88" s="849">
        <f t="shared" si="7"/>
        <v>1.2865497076023358</v>
      </c>
      <c r="F88" s="849"/>
      <c r="G88" s="830"/>
      <c r="H88" s="851" t="s">
        <v>210</v>
      </c>
      <c r="I88" s="850">
        <f t="shared" si="8"/>
        <v>2</v>
      </c>
    </row>
    <row r="89" spans="1:9" ht="10.5" hidden="1" customHeight="1" outlineLevel="1" x14ac:dyDescent="0.2">
      <c r="A89" s="830"/>
      <c r="B89" s="851" t="s">
        <v>211</v>
      </c>
      <c r="C89" s="854">
        <v>866</v>
      </c>
      <c r="D89" s="849">
        <f t="shared" si="7"/>
        <v>1.0501750291715295</v>
      </c>
      <c r="F89" s="849"/>
      <c r="G89" s="830"/>
      <c r="H89" s="851" t="s">
        <v>211</v>
      </c>
      <c r="I89" s="850">
        <f t="shared" si="8"/>
        <v>0</v>
      </c>
    </row>
    <row r="90" spans="1:9" ht="10.5" hidden="1" customHeight="1" outlineLevel="1" x14ac:dyDescent="0.2">
      <c r="A90" s="830" t="s">
        <v>386</v>
      </c>
      <c r="B90" s="851" t="s">
        <v>212</v>
      </c>
      <c r="C90" s="854">
        <v>866</v>
      </c>
      <c r="D90" s="849">
        <f t="shared" si="7"/>
        <v>0.69767441860464352</v>
      </c>
      <c r="F90" s="849"/>
      <c r="G90" s="830" t="s">
        <v>98</v>
      </c>
      <c r="H90" s="851" t="s">
        <v>212</v>
      </c>
      <c r="I90" s="850">
        <f t="shared" si="8"/>
        <v>0</v>
      </c>
    </row>
    <row r="91" spans="1:9" ht="10.5" hidden="1" customHeight="1" outlineLevel="1" x14ac:dyDescent="0.2">
      <c r="A91" s="830"/>
      <c r="B91" s="851" t="s">
        <v>213</v>
      </c>
      <c r="C91" s="854">
        <v>857</v>
      </c>
      <c r="D91" s="849">
        <f t="shared" si="7"/>
        <v>-0.34883720930232176</v>
      </c>
      <c r="F91" s="849"/>
      <c r="G91" s="830"/>
      <c r="H91" s="851" t="s">
        <v>213</v>
      </c>
      <c r="I91" s="850">
        <f t="shared" si="8"/>
        <v>-9</v>
      </c>
    </row>
    <row r="92" spans="1:9" ht="10.5" hidden="1" customHeight="1" outlineLevel="1" x14ac:dyDescent="0.2">
      <c r="A92" s="830"/>
      <c r="B92" s="851" t="s">
        <v>214</v>
      </c>
      <c r="C92" s="854">
        <v>852</v>
      </c>
      <c r="D92" s="849">
        <f t="shared" si="7"/>
        <v>-0.69930069930069783</v>
      </c>
      <c r="F92" s="849"/>
      <c r="G92" s="830"/>
      <c r="H92" s="851" t="s">
        <v>214</v>
      </c>
      <c r="I92" s="850">
        <f t="shared" si="8"/>
        <v>-5</v>
      </c>
    </row>
    <row r="93" spans="1:9" ht="10.5" customHeight="1" collapsed="1" x14ac:dyDescent="0.2">
      <c r="A93" s="830"/>
      <c r="B93" s="830"/>
      <c r="C93" s="852"/>
      <c r="D93" s="856"/>
      <c r="F93" s="856"/>
      <c r="G93" s="830"/>
      <c r="H93" s="830"/>
      <c r="I93" s="853"/>
    </row>
    <row r="94" spans="1:9" ht="10.5" customHeight="1" x14ac:dyDescent="0.2">
      <c r="A94" s="830"/>
      <c r="B94" s="843">
        <f>B108-1</f>
        <v>2008</v>
      </c>
      <c r="C94" s="852"/>
      <c r="D94" s="858"/>
      <c r="F94" s="858"/>
      <c r="G94" s="830"/>
      <c r="H94" s="843">
        <f>H108-1</f>
        <v>2008</v>
      </c>
      <c r="I94" s="855"/>
    </row>
    <row r="95" spans="1:9" ht="10.5" hidden="1" customHeight="1" outlineLevel="1" x14ac:dyDescent="0.2">
      <c r="A95" s="830" t="s">
        <v>387</v>
      </c>
      <c r="B95" s="847" t="s">
        <v>203</v>
      </c>
      <c r="C95" s="854">
        <v>852</v>
      </c>
      <c r="D95" s="849">
        <f>(C95/C81-1)*100</f>
        <v>-0.69930069930069783</v>
      </c>
      <c r="F95" s="849"/>
      <c r="G95" s="830" t="s">
        <v>95</v>
      </c>
      <c r="H95" s="847" t="s">
        <v>203</v>
      </c>
      <c r="I95" s="850">
        <f>C95-C92</f>
        <v>0</v>
      </c>
    </row>
    <row r="96" spans="1:9" ht="10.5" hidden="1" customHeight="1" outlineLevel="1" x14ac:dyDescent="0.2">
      <c r="A96" s="830"/>
      <c r="B96" s="847" t="s">
        <v>204</v>
      </c>
      <c r="C96" s="854">
        <v>853</v>
      </c>
      <c r="D96" s="849">
        <f t="shared" ref="D96:D106" si="9">(C96/C82-1)*100</f>
        <v>-0.69848661233993248</v>
      </c>
      <c r="F96" s="849"/>
      <c r="G96" s="830"/>
      <c r="H96" s="847" t="s">
        <v>204</v>
      </c>
      <c r="I96" s="850">
        <f>C96-C95</f>
        <v>1</v>
      </c>
    </row>
    <row r="97" spans="1:14" ht="10.5" hidden="1" customHeight="1" outlineLevel="1" x14ac:dyDescent="0.2">
      <c r="A97" s="830"/>
      <c r="B97" s="847" t="s">
        <v>205</v>
      </c>
      <c r="C97" s="854">
        <v>851</v>
      </c>
      <c r="D97" s="849">
        <f t="shared" si="9"/>
        <v>-1.3904982618771711</v>
      </c>
      <c r="F97" s="849"/>
      <c r="G97" s="830"/>
      <c r="H97" s="847" t="s">
        <v>205</v>
      </c>
      <c r="I97" s="850">
        <f t="shared" ref="I97:I106" si="10">C97-C96</f>
        <v>-2</v>
      </c>
    </row>
    <row r="98" spans="1:14" ht="10.5" hidden="1" customHeight="1" outlineLevel="1" x14ac:dyDescent="0.2">
      <c r="A98" s="830" t="s">
        <v>388</v>
      </c>
      <c r="B98" s="851" t="s">
        <v>206</v>
      </c>
      <c r="C98" s="854">
        <v>852</v>
      </c>
      <c r="D98" s="849">
        <f t="shared" si="9"/>
        <v>-1.2746234067207429</v>
      </c>
      <c r="F98" s="849"/>
      <c r="G98" s="830" t="s">
        <v>96</v>
      </c>
      <c r="H98" s="851" t="s">
        <v>206</v>
      </c>
      <c r="I98" s="850">
        <f t="shared" si="10"/>
        <v>1</v>
      </c>
    </row>
    <row r="99" spans="1:14" ht="10.5" hidden="1" customHeight="1" outlineLevel="1" x14ac:dyDescent="0.2">
      <c r="A99" s="830"/>
      <c r="B99" s="851" t="s">
        <v>207</v>
      </c>
      <c r="C99" s="854">
        <v>853</v>
      </c>
      <c r="D99" s="849">
        <f t="shared" si="9"/>
        <v>-1.1587485515643148</v>
      </c>
      <c r="F99" s="849"/>
      <c r="G99" s="830"/>
      <c r="H99" s="851" t="s">
        <v>207</v>
      </c>
      <c r="I99" s="850">
        <f t="shared" si="10"/>
        <v>1</v>
      </c>
    </row>
    <row r="100" spans="1:14" ht="10.5" hidden="1" customHeight="1" outlineLevel="1" x14ac:dyDescent="0.2">
      <c r="A100" s="830"/>
      <c r="B100" s="851" t="s">
        <v>208</v>
      </c>
      <c r="C100" s="854">
        <v>855</v>
      </c>
      <c r="D100" s="849">
        <f t="shared" si="9"/>
        <v>-0.92699884125144738</v>
      </c>
      <c r="F100" s="849"/>
      <c r="G100" s="830"/>
      <c r="H100" s="851" t="s">
        <v>208</v>
      </c>
      <c r="I100" s="850">
        <f t="shared" si="10"/>
        <v>2</v>
      </c>
    </row>
    <row r="101" spans="1:14" ht="10.5" hidden="1" customHeight="1" outlineLevel="1" x14ac:dyDescent="0.2">
      <c r="A101" s="830" t="s">
        <v>389</v>
      </c>
      <c r="B101" s="851" t="s">
        <v>209</v>
      </c>
      <c r="C101" s="854">
        <v>856</v>
      </c>
      <c r="D101" s="849">
        <f t="shared" si="9"/>
        <v>-0.92592592592593004</v>
      </c>
      <c r="F101" s="849"/>
      <c r="G101" s="830" t="s">
        <v>97</v>
      </c>
      <c r="H101" s="851" t="s">
        <v>209</v>
      </c>
      <c r="I101" s="850">
        <f t="shared" si="10"/>
        <v>1</v>
      </c>
    </row>
    <row r="102" spans="1:14" ht="10.5" hidden="1" customHeight="1" outlineLevel="1" x14ac:dyDescent="0.2">
      <c r="A102" s="830"/>
      <c r="B102" s="851" t="s">
        <v>210</v>
      </c>
      <c r="C102" s="854">
        <v>853</v>
      </c>
      <c r="D102" s="849">
        <f t="shared" si="9"/>
        <v>-1.5011547344110809</v>
      </c>
      <c r="F102" s="849"/>
      <c r="G102" s="830"/>
      <c r="H102" s="851" t="s">
        <v>210</v>
      </c>
      <c r="I102" s="850">
        <f t="shared" si="10"/>
        <v>-3</v>
      </c>
    </row>
    <row r="103" spans="1:14" ht="10.5" hidden="1" customHeight="1" outlineLevel="1" x14ac:dyDescent="0.2">
      <c r="A103" s="830"/>
      <c r="B103" s="851" t="s">
        <v>211</v>
      </c>
      <c r="C103" s="854">
        <v>856</v>
      </c>
      <c r="D103" s="849">
        <f t="shared" si="9"/>
        <v>-1.1547344110854452</v>
      </c>
      <c r="F103" s="849"/>
      <c r="G103" s="830"/>
      <c r="H103" s="851" t="s">
        <v>211</v>
      </c>
      <c r="I103" s="850">
        <f t="shared" si="10"/>
        <v>3</v>
      </c>
    </row>
    <row r="104" spans="1:14" ht="10.5" hidden="1" customHeight="1" outlineLevel="1" x14ac:dyDescent="0.2">
      <c r="A104" s="830" t="s">
        <v>390</v>
      </c>
      <c r="B104" s="851" t="s">
        <v>212</v>
      </c>
      <c r="C104" s="854">
        <v>859</v>
      </c>
      <c r="D104" s="849">
        <f t="shared" si="9"/>
        <v>-0.8083140877598205</v>
      </c>
      <c r="F104" s="849"/>
      <c r="G104" s="830" t="s">
        <v>98</v>
      </c>
      <c r="H104" s="851" t="s">
        <v>212</v>
      </c>
      <c r="I104" s="850">
        <f t="shared" si="10"/>
        <v>3</v>
      </c>
    </row>
    <row r="105" spans="1:14" ht="10.5" hidden="1" customHeight="1" outlineLevel="1" x14ac:dyDescent="0.2">
      <c r="A105" s="830"/>
      <c r="B105" s="851" t="s">
        <v>213</v>
      </c>
      <c r="C105" s="854">
        <v>859</v>
      </c>
      <c r="D105" s="849">
        <f t="shared" si="9"/>
        <v>0.2333722287047868</v>
      </c>
      <c r="F105" s="849"/>
      <c r="G105" s="830"/>
      <c r="H105" s="851" t="s">
        <v>213</v>
      </c>
      <c r="I105" s="850">
        <f t="shared" si="10"/>
        <v>0</v>
      </c>
    </row>
    <row r="106" spans="1:14" ht="10.5" hidden="1" customHeight="1" outlineLevel="1" x14ac:dyDescent="0.2">
      <c r="A106" s="830"/>
      <c r="B106" s="851" t="s">
        <v>214</v>
      </c>
      <c r="C106" s="854">
        <v>847</v>
      </c>
      <c r="D106" s="849">
        <f t="shared" si="9"/>
        <v>-0.58685446009389963</v>
      </c>
      <c r="F106" s="849"/>
      <c r="G106" s="830"/>
      <c r="H106" s="851" t="s">
        <v>214</v>
      </c>
      <c r="I106" s="850">
        <f t="shared" si="10"/>
        <v>-12</v>
      </c>
    </row>
    <row r="107" spans="1:14" ht="10.5" customHeight="1" collapsed="1" x14ac:dyDescent="0.2">
      <c r="A107" s="830"/>
      <c r="B107" s="830"/>
      <c r="C107" s="852"/>
      <c r="D107" s="856"/>
      <c r="F107" s="859"/>
      <c r="G107" s="830"/>
      <c r="H107" s="830"/>
      <c r="I107" s="861"/>
    </row>
    <row r="108" spans="1:14" ht="10.5" customHeight="1" x14ac:dyDescent="0.2">
      <c r="A108" s="830"/>
      <c r="B108" s="843">
        <f>B122-1</f>
        <v>2009</v>
      </c>
      <c r="C108" s="852"/>
      <c r="D108" s="858"/>
      <c r="F108" s="845"/>
      <c r="G108" s="830"/>
      <c r="H108" s="843">
        <f>H122-1</f>
        <v>2009</v>
      </c>
      <c r="I108" s="857"/>
      <c r="M108" s="184">
        <f>876-84</f>
        <v>792</v>
      </c>
    </row>
    <row r="109" spans="1:14" ht="10.5" hidden="1" customHeight="1" outlineLevel="1" x14ac:dyDescent="0.2">
      <c r="A109" s="830" t="s">
        <v>391</v>
      </c>
      <c r="B109" s="847" t="s">
        <v>203</v>
      </c>
      <c r="C109" s="854">
        <v>847</v>
      </c>
      <c r="D109" s="849">
        <f>(C109/C95-1)*100</f>
        <v>-0.58685446009389963</v>
      </c>
      <c r="F109" s="849"/>
      <c r="G109" s="830" t="s">
        <v>95</v>
      </c>
      <c r="H109" s="847" t="s">
        <v>203</v>
      </c>
      <c r="I109" s="850">
        <f>C109-C106</f>
        <v>0</v>
      </c>
    </row>
    <row r="110" spans="1:14" ht="10.5" hidden="1" customHeight="1" outlineLevel="1" x14ac:dyDescent="0.2">
      <c r="A110" s="830"/>
      <c r="B110" s="847" t="s">
        <v>204</v>
      </c>
      <c r="C110" s="854">
        <v>847</v>
      </c>
      <c r="D110" s="849">
        <f t="shared" ref="D110:D120" si="11">(C110/C96-1)*100</f>
        <v>-0.70339976553340788</v>
      </c>
      <c r="F110" s="849"/>
      <c r="G110" s="830"/>
      <c r="H110" s="847" t="s">
        <v>204</v>
      </c>
      <c r="I110" s="850">
        <f>C110-C109</f>
        <v>0</v>
      </c>
      <c r="M110" s="184">
        <f>M108-54</f>
        <v>738</v>
      </c>
      <c r="N110" s="184">
        <f>54</f>
        <v>54</v>
      </c>
    </row>
    <row r="111" spans="1:14" ht="10.5" hidden="1" customHeight="1" outlineLevel="1" x14ac:dyDescent="0.2">
      <c r="A111" s="830"/>
      <c r="B111" s="847" t="s">
        <v>205</v>
      </c>
      <c r="C111" s="854">
        <v>848</v>
      </c>
      <c r="D111" s="849">
        <f t="shared" si="11"/>
        <v>-0.35252643948295859</v>
      </c>
      <c r="F111" s="849"/>
      <c r="G111" s="830"/>
      <c r="H111" s="847" t="s">
        <v>205</v>
      </c>
      <c r="I111" s="850">
        <f t="shared" ref="I111:I120" si="12">C111-C110</f>
        <v>1</v>
      </c>
    </row>
    <row r="112" spans="1:14" ht="10.5" hidden="1" customHeight="1" outlineLevel="1" x14ac:dyDescent="0.2">
      <c r="A112" s="830" t="s">
        <v>392</v>
      </c>
      <c r="B112" s="851" t="s">
        <v>206</v>
      </c>
      <c r="C112" s="854">
        <v>848</v>
      </c>
      <c r="D112" s="849">
        <f t="shared" si="11"/>
        <v>-0.46948356807511304</v>
      </c>
      <c r="F112" s="849"/>
      <c r="G112" s="830" t="s">
        <v>96</v>
      </c>
      <c r="H112" s="851" t="s">
        <v>206</v>
      </c>
      <c r="I112" s="850">
        <f t="shared" si="12"/>
        <v>0</v>
      </c>
    </row>
    <row r="113" spans="1:9" ht="10.5" hidden="1" customHeight="1" outlineLevel="1" x14ac:dyDescent="0.2">
      <c r="A113" s="830"/>
      <c r="B113" s="851" t="s">
        <v>207</v>
      </c>
      <c r="C113" s="854">
        <v>848</v>
      </c>
      <c r="D113" s="849">
        <f t="shared" si="11"/>
        <v>-0.58616647127783805</v>
      </c>
      <c r="F113" s="849"/>
      <c r="G113" s="830"/>
      <c r="H113" s="851" t="s">
        <v>207</v>
      </c>
      <c r="I113" s="850">
        <f t="shared" si="12"/>
        <v>0</v>
      </c>
    </row>
    <row r="114" spans="1:9" ht="10.5" hidden="1" customHeight="1" outlineLevel="1" x14ac:dyDescent="0.2">
      <c r="A114" s="830"/>
      <c r="B114" s="851" t="s">
        <v>208</v>
      </c>
      <c r="C114" s="854">
        <v>848</v>
      </c>
      <c r="D114" s="849">
        <f t="shared" si="11"/>
        <v>-0.81871345029239651</v>
      </c>
      <c r="F114" s="849"/>
      <c r="G114" s="830"/>
      <c r="H114" s="851" t="s">
        <v>208</v>
      </c>
      <c r="I114" s="850">
        <f t="shared" si="12"/>
        <v>0</v>
      </c>
    </row>
    <row r="115" spans="1:9" ht="10.5" hidden="1" customHeight="1" outlineLevel="1" x14ac:dyDescent="0.2">
      <c r="A115" s="830" t="s">
        <v>393</v>
      </c>
      <c r="B115" s="851" t="s">
        <v>209</v>
      </c>
      <c r="C115" s="854">
        <v>849</v>
      </c>
      <c r="D115" s="849">
        <f t="shared" si="11"/>
        <v>-0.81775700934579865</v>
      </c>
      <c r="F115" s="849"/>
      <c r="G115" s="830" t="s">
        <v>97</v>
      </c>
      <c r="H115" s="851" t="s">
        <v>209</v>
      </c>
      <c r="I115" s="850">
        <f t="shared" si="12"/>
        <v>1</v>
      </c>
    </row>
    <row r="116" spans="1:9" ht="10.5" hidden="1" customHeight="1" outlineLevel="1" x14ac:dyDescent="0.2">
      <c r="A116" s="830"/>
      <c r="B116" s="851" t="s">
        <v>210</v>
      </c>
      <c r="C116" s="854">
        <v>852</v>
      </c>
      <c r="D116" s="849">
        <f t="shared" si="11"/>
        <v>-0.11723329425556983</v>
      </c>
      <c r="F116" s="849"/>
      <c r="G116" s="830"/>
      <c r="H116" s="851" t="s">
        <v>210</v>
      </c>
      <c r="I116" s="850">
        <f t="shared" si="12"/>
        <v>3</v>
      </c>
    </row>
    <row r="117" spans="1:9" ht="10.5" hidden="1" customHeight="1" outlineLevel="1" x14ac:dyDescent="0.2">
      <c r="A117" s="830"/>
      <c r="B117" s="851" t="s">
        <v>211</v>
      </c>
      <c r="C117" s="854">
        <v>854</v>
      </c>
      <c r="D117" s="849">
        <f t="shared" si="11"/>
        <v>-0.23364485981308691</v>
      </c>
      <c r="F117" s="849"/>
      <c r="G117" s="830"/>
      <c r="H117" s="851" t="s">
        <v>211</v>
      </c>
      <c r="I117" s="850">
        <f t="shared" si="12"/>
        <v>2</v>
      </c>
    </row>
    <row r="118" spans="1:9" ht="10.5" hidden="1" customHeight="1" outlineLevel="1" x14ac:dyDescent="0.2">
      <c r="A118" s="830" t="s">
        <v>394</v>
      </c>
      <c r="B118" s="851" t="s">
        <v>212</v>
      </c>
      <c r="C118" s="854">
        <v>854</v>
      </c>
      <c r="D118" s="849">
        <f t="shared" si="11"/>
        <v>-0.58207217694994373</v>
      </c>
      <c r="F118" s="849"/>
      <c r="G118" s="830" t="s">
        <v>98</v>
      </c>
      <c r="H118" s="851" t="s">
        <v>212</v>
      </c>
      <c r="I118" s="850">
        <f t="shared" si="12"/>
        <v>0</v>
      </c>
    </row>
    <row r="119" spans="1:9" ht="10.5" hidden="1" customHeight="1" outlineLevel="1" x14ac:dyDescent="0.2">
      <c r="A119" s="830"/>
      <c r="B119" s="851" t="s">
        <v>213</v>
      </c>
      <c r="C119" s="854">
        <v>854</v>
      </c>
      <c r="D119" s="849">
        <f t="shared" si="11"/>
        <v>-0.58207217694994373</v>
      </c>
      <c r="F119" s="849"/>
      <c r="G119" s="830"/>
      <c r="H119" s="851" t="s">
        <v>213</v>
      </c>
      <c r="I119" s="850">
        <f t="shared" si="12"/>
        <v>0</v>
      </c>
    </row>
    <row r="120" spans="1:9" ht="10.5" hidden="1" customHeight="1" outlineLevel="1" x14ac:dyDescent="0.2">
      <c r="A120" s="830"/>
      <c r="B120" s="851" t="s">
        <v>214</v>
      </c>
      <c r="C120" s="854">
        <v>850</v>
      </c>
      <c r="D120" s="849">
        <f t="shared" si="11"/>
        <v>0.35419126328217754</v>
      </c>
      <c r="F120" s="849"/>
      <c r="G120" s="830"/>
      <c r="H120" s="851" t="s">
        <v>214</v>
      </c>
      <c r="I120" s="850">
        <f t="shared" si="12"/>
        <v>-4</v>
      </c>
    </row>
    <row r="121" spans="1:9" ht="10.5" customHeight="1" collapsed="1" x14ac:dyDescent="0.2">
      <c r="A121" s="830"/>
      <c r="B121" s="830"/>
      <c r="C121" s="852"/>
      <c r="D121" s="845"/>
      <c r="F121" s="845"/>
      <c r="G121" s="830"/>
      <c r="H121" s="830"/>
      <c r="I121" s="853"/>
    </row>
    <row r="122" spans="1:9" ht="10.5" customHeight="1" x14ac:dyDescent="0.2">
      <c r="A122" s="830"/>
      <c r="B122" s="843">
        <f>B136-1</f>
        <v>2010</v>
      </c>
      <c r="C122" s="852"/>
      <c r="D122" s="845"/>
      <c r="F122" s="845"/>
      <c r="G122" s="830"/>
      <c r="H122" s="843">
        <f>H136-1</f>
        <v>2010</v>
      </c>
      <c r="I122" s="855"/>
    </row>
    <row r="123" spans="1:9" ht="10.5" hidden="1" customHeight="1" outlineLevel="1" x14ac:dyDescent="0.2">
      <c r="A123" s="830" t="s">
        <v>395</v>
      </c>
      <c r="B123" s="847" t="s">
        <v>203</v>
      </c>
      <c r="C123" s="854">
        <v>850</v>
      </c>
      <c r="D123" s="849">
        <f>(C123/C109-1)*100</f>
        <v>0.35419126328217754</v>
      </c>
      <c r="F123" s="849"/>
      <c r="G123" s="830" t="s">
        <v>95</v>
      </c>
      <c r="H123" s="847" t="s">
        <v>203</v>
      </c>
      <c r="I123" s="850">
        <f>C123-C120</f>
        <v>0</v>
      </c>
    </row>
    <row r="124" spans="1:9" ht="10.5" hidden="1" customHeight="1" outlineLevel="1" x14ac:dyDescent="0.2">
      <c r="A124" s="830"/>
      <c r="B124" s="847" t="s">
        <v>204</v>
      </c>
      <c r="C124" s="854">
        <v>850</v>
      </c>
      <c r="D124" s="849">
        <f t="shared" ref="D124:D134" si="13">(C124/C110-1)*100</f>
        <v>0.35419126328217754</v>
      </c>
      <c r="F124" s="849"/>
      <c r="G124" s="830"/>
      <c r="H124" s="847" t="s">
        <v>204</v>
      </c>
      <c r="I124" s="850">
        <f>C124-C123</f>
        <v>0</v>
      </c>
    </row>
    <row r="125" spans="1:9" ht="10.5" hidden="1" customHeight="1" outlineLevel="1" x14ac:dyDescent="0.2">
      <c r="A125" s="830"/>
      <c r="B125" s="847" t="s">
        <v>205</v>
      </c>
      <c r="C125" s="854">
        <v>849</v>
      </c>
      <c r="D125" s="849">
        <f t="shared" si="13"/>
        <v>0.1179245283018826</v>
      </c>
      <c r="F125" s="849"/>
      <c r="G125" s="830"/>
      <c r="H125" s="847" t="s">
        <v>205</v>
      </c>
      <c r="I125" s="850">
        <f t="shared" ref="I125:I134" si="14">C125-C124</f>
        <v>-1</v>
      </c>
    </row>
    <row r="126" spans="1:9" ht="10.5" hidden="1" customHeight="1" outlineLevel="1" x14ac:dyDescent="0.2">
      <c r="A126" s="830" t="s">
        <v>396</v>
      </c>
      <c r="B126" s="851" t="s">
        <v>206</v>
      </c>
      <c r="C126" s="854">
        <v>850</v>
      </c>
      <c r="D126" s="849">
        <f t="shared" si="13"/>
        <v>0.23584905660376521</v>
      </c>
      <c r="F126" s="849"/>
      <c r="G126" s="830" t="s">
        <v>96</v>
      </c>
      <c r="H126" s="851" t="s">
        <v>206</v>
      </c>
      <c r="I126" s="850">
        <f t="shared" si="14"/>
        <v>1</v>
      </c>
    </row>
    <row r="127" spans="1:9" ht="10.5" hidden="1" customHeight="1" outlineLevel="1" x14ac:dyDescent="0.2">
      <c r="A127" s="830"/>
      <c r="B127" s="851" t="s">
        <v>207</v>
      </c>
      <c r="C127" s="854">
        <v>850</v>
      </c>
      <c r="D127" s="849">
        <f t="shared" si="13"/>
        <v>0.23584905660376521</v>
      </c>
      <c r="F127" s="849"/>
      <c r="G127" s="830"/>
      <c r="H127" s="851" t="s">
        <v>207</v>
      </c>
      <c r="I127" s="850">
        <f t="shared" si="14"/>
        <v>0</v>
      </c>
    </row>
    <row r="128" spans="1:9" ht="10.5" hidden="1" customHeight="1" outlineLevel="1" x14ac:dyDescent="0.2">
      <c r="A128" s="830"/>
      <c r="B128" s="851" t="s">
        <v>208</v>
      </c>
      <c r="C128" s="854">
        <v>849</v>
      </c>
      <c r="D128" s="849">
        <f t="shared" si="13"/>
        <v>0.1179245283018826</v>
      </c>
      <c r="F128" s="849"/>
      <c r="G128" s="830"/>
      <c r="H128" s="851" t="s">
        <v>208</v>
      </c>
      <c r="I128" s="850">
        <f t="shared" si="14"/>
        <v>-1</v>
      </c>
    </row>
    <row r="129" spans="1:9" ht="10.5" hidden="1" customHeight="1" outlineLevel="1" x14ac:dyDescent="0.2">
      <c r="A129" s="830" t="s">
        <v>397</v>
      </c>
      <c r="B129" s="851" t="s">
        <v>209</v>
      </c>
      <c r="C129" s="854">
        <v>849</v>
      </c>
      <c r="D129" s="849">
        <f t="shared" si="13"/>
        <v>0</v>
      </c>
      <c r="F129" s="849"/>
      <c r="G129" s="830" t="s">
        <v>97</v>
      </c>
      <c r="H129" s="851" t="s">
        <v>209</v>
      </c>
      <c r="I129" s="850">
        <f t="shared" si="14"/>
        <v>0</v>
      </c>
    </row>
    <row r="130" spans="1:9" ht="10.5" hidden="1" customHeight="1" outlineLevel="1" x14ac:dyDescent="0.2">
      <c r="A130" s="830"/>
      <c r="B130" s="851" t="s">
        <v>210</v>
      </c>
      <c r="C130" s="854">
        <v>852</v>
      </c>
      <c r="D130" s="849">
        <f t="shared" si="13"/>
        <v>0</v>
      </c>
      <c r="F130" s="849"/>
      <c r="G130" s="830"/>
      <c r="H130" s="851" t="s">
        <v>210</v>
      </c>
      <c r="I130" s="850">
        <f t="shared" si="14"/>
        <v>3</v>
      </c>
    </row>
    <row r="131" spans="1:9" ht="10.5" hidden="1" customHeight="1" outlineLevel="1" x14ac:dyDescent="0.2">
      <c r="A131" s="830"/>
      <c r="B131" s="851" t="s">
        <v>211</v>
      </c>
      <c r="C131" s="854">
        <v>854</v>
      </c>
      <c r="D131" s="849">
        <f t="shared" si="13"/>
        <v>0</v>
      </c>
      <c r="F131" s="849"/>
      <c r="G131" s="830"/>
      <c r="H131" s="851" t="s">
        <v>211</v>
      </c>
      <c r="I131" s="850">
        <f t="shared" si="14"/>
        <v>2</v>
      </c>
    </row>
    <row r="132" spans="1:9" ht="10.5" hidden="1" customHeight="1" outlineLevel="1" x14ac:dyDescent="0.2">
      <c r="A132" s="830" t="s">
        <v>398</v>
      </c>
      <c r="B132" s="851" t="s">
        <v>212</v>
      </c>
      <c r="C132" s="854">
        <v>854</v>
      </c>
      <c r="D132" s="849">
        <f t="shared" si="13"/>
        <v>0</v>
      </c>
      <c r="F132" s="849"/>
      <c r="G132" s="830" t="s">
        <v>98</v>
      </c>
      <c r="H132" s="851" t="s">
        <v>212</v>
      </c>
      <c r="I132" s="850">
        <f t="shared" si="14"/>
        <v>0</v>
      </c>
    </row>
    <row r="133" spans="1:9" ht="10.5" hidden="1" customHeight="1" outlineLevel="1" x14ac:dyDescent="0.2">
      <c r="A133" s="830"/>
      <c r="B133" s="851" t="s">
        <v>213</v>
      </c>
      <c r="C133" s="854">
        <v>854</v>
      </c>
      <c r="D133" s="849">
        <f t="shared" si="13"/>
        <v>0</v>
      </c>
      <c r="F133" s="849"/>
      <c r="G133" s="830"/>
      <c r="H133" s="851" t="s">
        <v>213</v>
      </c>
      <c r="I133" s="850">
        <f t="shared" si="14"/>
        <v>0</v>
      </c>
    </row>
    <row r="134" spans="1:9" ht="10.5" hidden="1" customHeight="1" outlineLevel="1" x14ac:dyDescent="0.2">
      <c r="A134" s="830"/>
      <c r="B134" s="851" t="s">
        <v>214</v>
      </c>
      <c r="C134" s="854">
        <v>850</v>
      </c>
      <c r="D134" s="849">
        <f t="shared" si="13"/>
        <v>0</v>
      </c>
      <c r="F134" s="849"/>
      <c r="G134" s="830"/>
      <c r="H134" s="851" t="s">
        <v>214</v>
      </c>
      <c r="I134" s="850">
        <f t="shared" si="14"/>
        <v>-4</v>
      </c>
    </row>
    <row r="135" spans="1:9" ht="10.5" customHeight="1" collapsed="1" x14ac:dyDescent="0.2">
      <c r="A135" s="830"/>
      <c r="B135" s="830"/>
      <c r="C135" s="852"/>
      <c r="D135" s="856"/>
      <c r="F135" s="862"/>
      <c r="G135" s="830"/>
      <c r="H135" s="830"/>
      <c r="I135" s="861"/>
    </row>
    <row r="136" spans="1:9" ht="10.5" customHeight="1" x14ac:dyDescent="0.2">
      <c r="A136" s="830"/>
      <c r="B136" s="843">
        <f>B150-1</f>
        <v>2011</v>
      </c>
      <c r="C136" s="852"/>
      <c r="D136" s="858"/>
      <c r="F136" s="856"/>
      <c r="G136" s="830"/>
      <c r="H136" s="843">
        <f>H150-1</f>
        <v>2011</v>
      </c>
      <c r="I136" s="857"/>
    </row>
    <row r="137" spans="1:9" ht="10.5" hidden="1" customHeight="1" outlineLevel="1" x14ac:dyDescent="0.2">
      <c r="A137" s="830" t="s">
        <v>399</v>
      </c>
      <c r="B137" s="847" t="s">
        <v>203</v>
      </c>
      <c r="C137" s="854">
        <v>850</v>
      </c>
      <c r="D137" s="849">
        <f>(C137/C123-1)*100</f>
        <v>0</v>
      </c>
      <c r="F137" s="849"/>
      <c r="G137" s="830" t="s">
        <v>95</v>
      </c>
      <c r="H137" s="847" t="s">
        <v>203</v>
      </c>
      <c r="I137" s="850">
        <f>C137-C134</f>
        <v>0</v>
      </c>
    </row>
    <row r="138" spans="1:9" ht="10.5" hidden="1" customHeight="1" outlineLevel="1" x14ac:dyDescent="0.2">
      <c r="A138" s="830"/>
      <c r="B138" s="847" t="s">
        <v>204</v>
      </c>
      <c r="C138" s="854">
        <v>850</v>
      </c>
      <c r="D138" s="849">
        <f t="shared" ref="D138:D148" si="15">(C138/C124-1)*100</f>
        <v>0</v>
      </c>
      <c r="F138" s="849"/>
      <c r="G138" s="830"/>
      <c r="H138" s="847" t="s">
        <v>204</v>
      </c>
      <c r="I138" s="850">
        <f>C138-C137</f>
        <v>0</v>
      </c>
    </row>
    <row r="139" spans="1:9" ht="10.5" hidden="1" customHeight="1" outlineLevel="1" x14ac:dyDescent="0.2">
      <c r="A139" s="830"/>
      <c r="B139" s="847" t="s">
        <v>205</v>
      </c>
      <c r="C139" s="854">
        <v>850</v>
      </c>
      <c r="D139" s="849">
        <f t="shared" si="15"/>
        <v>0.11778563015312216</v>
      </c>
      <c r="F139" s="849"/>
      <c r="G139" s="830"/>
      <c r="H139" s="847" t="s">
        <v>205</v>
      </c>
      <c r="I139" s="850">
        <f t="shared" ref="I139:I148" si="16">C139-C138</f>
        <v>0</v>
      </c>
    </row>
    <row r="140" spans="1:9" ht="10.5" hidden="1" customHeight="1" outlineLevel="1" x14ac:dyDescent="0.2">
      <c r="A140" s="830" t="s">
        <v>400</v>
      </c>
      <c r="B140" s="851" t="s">
        <v>206</v>
      </c>
      <c r="C140" s="854">
        <v>850</v>
      </c>
      <c r="D140" s="849">
        <f t="shared" si="15"/>
        <v>0</v>
      </c>
      <c r="F140" s="849"/>
      <c r="G140" s="830" t="s">
        <v>96</v>
      </c>
      <c r="H140" s="851" t="s">
        <v>206</v>
      </c>
      <c r="I140" s="850">
        <f t="shared" si="16"/>
        <v>0</v>
      </c>
    </row>
    <row r="141" spans="1:9" ht="10.5" hidden="1" customHeight="1" outlineLevel="1" x14ac:dyDescent="0.2">
      <c r="A141" s="830"/>
      <c r="B141" s="851" t="s">
        <v>207</v>
      </c>
      <c r="C141" s="854">
        <v>850</v>
      </c>
      <c r="D141" s="849">
        <f t="shared" si="15"/>
        <v>0</v>
      </c>
      <c r="F141" s="849"/>
      <c r="G141" s="830"/>
      <c r="H141" s="851" t="s">
        <v>207</v>
      </c>
      <c r="I141" s="850">
        <f t="shared" si="16"/>
        <v>0</v>
      </c>
    </row>
    <row r="142" spans="1:9" ht="10.5" hidden="1" customHeight="1" outlineLevel="1" x14ac:dyDescent="0.2">
      <c r="A142" s="830"/>
      <c r="B142" s="851" t="s">
        <v>208</v>
      </c>
      <c r="C142" s="854">
        <v>849</v>
      </c>
      <c r="D142" s="849">
        <f t="shared" si="15"/>
        <v>0</v>
      </c>
      <c r="F142" s="849"/>
      <c r="G142" s="830"/>
      <c r="H142" s="851" t="s">
        <v>208</v>
      </c>
      <c r="I142" s="850">
        <f t="shared" si="16"/>
        <v>-1</v>
      </c>
    </row>
    <row r="143" spans="1:9" ht="10.5" hidden="1" customHeight="1" outlineLevel="1" x14ac:dyDescent="0.2">
      <c r="A143" s="830" t="s">
        <v>401</v>
      </c>
      <c r="B143" s="851" t="s">
        <v>209</v>
      </c>
      <c r="C143" s="854">
        <v>849</v>
      </c>
      <c r="D143" s="849">
        <f t="shared" si="15"/>
        <v>0</v>
      </c>
      <c r="F143" s="849"/>
      <c r="G143" s="830" t="s">
        <v>97</v>
      </c>
      <c r="H143" s="851" t="s">
        <v>209</v>
      </c>
      <c r="I143" s="850">
        <f t="shared" si="16"/>
        <v>0</v>
      </c>
    </row>
    <row r="144" spans="1:9" ht="10.5" hidden="1" customHeight="1" outlineLevel="1" x14ac:dyDescent="0.2">
      <c r="A144" s="830"/>
      <c r="B144" s="851" t="s">
        <v>210</v>
      </c>
      <c r="C144" s="854">
        <v>849</v>
      </c>
      <c r="D144" s="849">
        <f t="shared" si="15"/>
        <v>-0.35211267605633756</v>
      </c>
      <c r="F144" s="849"/>
      <c r="G144" s="830"/>
      <c r="H144" s="851" t="s">
        <v>210</v>
      </c>
      <c r="I144" s="850">
        <f t="shared" si="16"/>
        <v>0</v>
      </c>
    </row>
    <row r="145" spans="1:9" ht="10.5" hidden="1" customHeight="1" outlineLevel="1" x14ac:dyDescent="0.2">
      <c r="A145" s="830"/>
      <c r="B145" s="851" t="s">
        <v>211</v>
      </c>
      <c r="C145" s="854">
        <v>850</v>
      </c>
      <c r="D145" s="849">
        <f t="shared" si="15"/>
        <v>-0.46838407494145251</v>
      </c>
      <c r="F145" s="849"/>
      <c r="G145" s="830"/>
      <c r="H145" s="851" t="s">
        <v>211</v>
      </c>
      <c r="I145" s="850">
        <f t="shared" si="16"/>
        <v>1</v>
      </c>
    </row>
    <row r="146" spans="1:9" ht="10.5" hidden="1" customHeight="1" outlineLevel="1" x14ac:dyDescent="0.2">
      <c r="A146" s="830" t="s">
        <v>402</v>
      </c>
      <c r="B146" s="851" t="s">
        <v>212</v>
      </c>
      <c r="C146" s="854">
        <v>851</v>
      </c>
      <c r="D146" s="849">
        <f t="shared" si="15"/>
        <v>-0.35128805620608938</v>
      </c>
      <c r="F146" s="849"/>
      <c r="G146" s="830" t="s">
        <v>98</v>
      </c>
      <c r="H146" s="851" t="s">
        <v>212</v>
      </c>
      <c r="I146" s="850">
        <f t="shared" si="16"/>
        <v>1</v>
      </c>
    </row>
    <row r="147" spans="1:9" ht="10.5" hidden="1" customHeight="1" outlineLevel="1" x14ac:dyDescent="0.2">
      <c r="A147" s="830"/>
      <c r="B147" s="851" t="s">
        <v>213</v>
      </c>
      <c r="C147" s="854">
        <v>850</v>
      </c>
      <c r="D147" s="849">
        <f t="shared" si="15"/>
        <v>-0.46838407494145251</v>
      </c>
      <c r="F147" s="849"/>
      <c r="G147" s="830"/>
      <c r="H147" s="851" t="s">
        <v>213</v>
      </c>
      <c r="I147" s="850">
        <f t="shared" si="16"/>
        <v>-1</v>
      </c>
    </row>
    <row r="148" spans="1:9" ht="10.5" hidden="1" customHeight="1" outlineLevel="1" x14ac:dyDescent="0.2">
      <c r="A148" s="830"/>
      <c r="B148" s="851" t="s">
        <v>214</v>
      </c>
      <c r="C148" s="854">
        <v>842</v>
      </c>
      <c r="D148" s="849">
        <f t="shared" si="15"/>
        <v>-0.94117647058823417</v>
      </c>
      <c r="F148" s="849"/>
      <c r="G148" s="830"/>
      <c r="H148" s="851" t="s">
        <v>214</v>
      </c>
      <c r="I148" s="850">
        <f t="shared" si="16"/>
        <v>-8</v>
      </c>
    </row>
    <row r="149" spans="1:9" ht="10.5" customHeight="1" collapsed="1" x14ac:dyDescent="0.2">
      <c r="A149" s="830"/>
      <c r="B149" s="830"/>
      <c r="C149" s="852"/>
      <c r="D149" s="859"/>
      <c r="F149" s="859"/>
      <c r="G149" s="830"/>
      <c r="H149" s="830"/>
      <c r="I149" s="853"/>
    </row>
    <row r="150" spans="1:9" ht="10.5" customHeight="1" x14ac:dyDescent="0.2">
      <c r="A150" s="830"/>
      <c r="B150" s="843">
        <v>2012</v>
      </c>
      <c r="C150" s="852"/>
      <c r="D150" s="845"/>
      <c r="F150" s="845"/>
      <c r="G150" s="830"/>
      <c r="H150" s="863">
        <v>2012</v>
      </c>
      <c r="I150" s="855"/>
    </row>
    <row r="151" spans="1:9" ht="10.5" hidden="1" customHeight="1" outlineLevel="1" x14ac:dyDescent="0.2">
      <c r="A151" s="830" t="s">
        <v>403</v>
      </c>
      <c r="B151" s="847" t="s">
        <v>203</v>
      </c>
      <c r="C151" s="854">
        <v>842</v>
      </c>
      <c r="D151" s="849">
        <f>(C151/C137-1)*100</f>
        <v>-0.94117647058823417</v>
      </c>
      <c r="F151" s="849"/>
      <c r="G151" s="830" t="s">
        <v>95</v>
      </c>
      <c r="H151" s="847" t="s">
        <v>203</v>
      </c>
      <c r="I151" s="850">
        <f>C151-C148</f>
        <v>0</v>
      </c>
    </row>
    <row r="152" spans="1:9" ht="10.5" hidden="1" customHeight="1" outlineLevel="1" x14ac:dyDescent="0.2">
      <c r="A152" s="830"/>
      <c r="B152" s="847" t="s">
        <v>204</v>
      </c>
      <c r="C152" s="854">
        <v>844</v>
      </c>
      <c r="D152" s="849">
        <f t="shared" ref="D152:D162" si="17">(C152/C138-1)*100</f>
        <v>-0.7058823529411784</v>
      </c>
      <c r="F152" s="849"/>
      <c r="G152" s="830"/>
      <c r="H152" s="847" t="s">
        <v>204</v>
      </c>
      <c r="I152" s="850">
        <f t="shared" ref="I152:I162" si="18">C152-C151</f>
        <v>2</v>
      </c>
    </row>
    <row r="153" spans="1:9" ht="10.5" hidden="1" customHeight="1" outlineLevel="1" x14ac:dyDescent="0.2">
      <c r="A153" s="830"/>
      <c r="B153" s="847" t="s">
        <v>205</v>
      </c>
      <c r="C153" s="854">
        <v>844</v>
      </c>
      <c r="D153" s="849">
        <f t="shared" si="17"/>
        <v>-0.7058823529411784</v>
      </c>
      <c r="F153" s="849"/>
      <c r="G153" s="830"/>
      <c r="H153" s="847" t="s">
        <v>205</v>
      </c>
      <c r="I153" s="850">
        <f t="shared" si="18"/>
        <v>0</v>
      </c>
    </row>
    <row r="154" spans="1:9" ht="10.5" hidden="1" customHeight="1" outlineLevel="1" x14ac:dyDescent="0.2">
      <c r="A154" s="830" t="s">
        <v>404</v>
      </c>
      <c r="B154" s="851" t="s">
        <v>206</v>
      </c>
      <c r="C154" s="854">
        <v>844</v>
      </c>
      <c r="D154" s="849">
        <f t="shared" si="17"/>
        <v>-0.7058823529411784</v>
      </c>
      <c r="F154" s="849"/>
      <c r="G154" s="830" t="s">
        <v>96</v>
      </c>
      <c r="H154" s="851" t="s">
        <v>206</v>
      </c>
      <c r="I154" s="850">
        <f t="shared" si="18"/>
        <v>0</v>
      </c>
    </row>
    <row r="155" spans="1:9" ht="10.5" hidden="1" customHeight="1" outlineLevel="1" x14ac:dyDescent="0.2">
      <c r="A155" s="830"/>
      <c r="B155" s="851" t="s">
        <v>207</v>
      </c>
      <c r="C155" s="854">
        <v>846</v>
      </c>
      <c r="D155" s="849">
        <f t="shared" si="17"/>
        <v>-0.47058823529412264</v>
      </c>
      <c r="F155" s="849"/>
      <c r="G155" s="830"/>
      <c r="H155" s="851" t="s">
        <v>207</v>
      </c>
      <c r="I155" s="850">
        <f t="shared" si="18"/>
        <v>2</v>
      </c>
    </row>
    <row r="156" spans="1:9" ht="10.5" hidden="1" customHeight="1" outlineLevel="1" x14ac:dyDescent="0.2">
      <c r="A156" s="830"/>
      <c r="B156" s="851" t="s">
        <v>208</v>
      </c>
      <c r="C156" s="854">
        <v>845</v>
      </c>
      <c r="D156" s="849">
        <f t="shared" si="17"/>
        <v>-0.47114252061248862</v>
      </c>
      <c r="F156" s="849"/>
      <c r="G156" s="830"/>
      <c r="H156" s="851" t="s">
        <v>208</v>
      </c>
      <c r="I156" s="850">
        <f t="shared" si="18"/>
        <v>-1</v>
      </c>
    </row>
    <row r="157" spans="1:9" ht="10.5" hidden="1" customHeight="1" outlineLevel="1" x14ac:dyDescent="0.2">
      <c r="A157" s="830" t="s">
        <v>405</v>
      </c>
      <c r="B157" s="851" t="s">
        <v>209</v>
      </c>
      <c r="C157" s="854">
        <v>846</v>
      </c>
      <c r="D157" s="849">
        <f t="shared" si="17"/>
        <v>-0.35335689045936647</v>
      </c>
      <c r="F157" s="849"/>
      <c r="G157" s="830" t="s">
        <v>97</v>
      </c>
      <c r="H157" s="851" t="s">
        <v>209</v>
      </c>
      <c r="I157" s="850">
        <f t="shared" si="18"/>
        <v>1</v>
      </c>
    </row>
    <row r="158" spans="1:9" ht="10.5" hidden="1" customHeight="1" outlineLevel="1" x14ac:dyDescent="0.2">
      <c r="A158" s="830"/>
      <c r="B158" s="851" t="s">
        <v>210</v>
      </c>
      <c r="C158" s="854">
        <v>847</v>
      </c>
      <c r="D158" s="849">
        <f t="shared" si="17"/>
        <v>-0.23557126030624431</v>
      </c>
      <c r="F158" s="849"/>
      <c r="G158" s="830"/>
      <c r="H158" s="851" t="s">
        <v>210</v>
      </c>
      <c r="I158" s="850">
        <f t="shared" si="18"/>
        <v>1</v>
      </c>
    </row>
    <row r="159" spans="1:9" ht="10.5" hidden="1" customHeight="1" outlineLevel="1" x14ac:dyDescent="0.2">
      <c r="A159" s="830"/>
      <c r="B159" s="851" t="s">
        <v>211</v>
      </c>
      <c r="C159" s="854">
        <v>846</v>
      </c>
      <c r="D159" s="849">
        <f t="shared" si="17"/>
        <v>-0.47058823529412264</v>
      </c>
      <c r="F159" s="849"/>
      <c r="G159" s="830"/>
      <c r="H159" s="851" t="s">
        <v>211</v>
      </c>
      <c r="I159" s="850">
        <f t="shared" si="18"/>
        <v>-1</v>
      </c>
    </row>
    <row r="160" spans="1:9" ht="10.5" hidden="1" customHeight="1" outlineLevel="1" x14ac:dyDescent="0.2">
      <c r="A160" s="830" t="s">
        <v>406</v>
      </c>
      <c r="B160" s="851" t="s">
        <v>212</v>
      </c>
      <c r="C160" s="854">
        <v>847</v>
      </c>
      <c r="D160" s="849">
        <f t="shared" si="17"/>
        <v>-0.47003525264395218</v>
      </c>
      <c r="F160" s="849"/>
      <c r="G160" s="830" t="s">
        <v>98</v>
      </c>
      <c r="H160" s="851" t="s">
        <v>212</v>
      </c>
      <c r="I160" s="850">
        <f t="shared" si="18"/>
        <v>1</v>
      </c>
    </row>
    <row r="161" spans="1:9" ht="10.5" hidden="1" customHeight="1" outlineLevel="1" x14ac:dyDescent="0.2">
      <c r="A161" s="830"/>
      <c r="B161" s="851" t="s">
        <v>213</v>
      </c>
      <c r="C161" s="854">
        <v>847</v>
      </c>
      <c r="D161" s="849">
        <f t="shared" si="17"/>
        <v>-0.3529411764705892</v>
      </c>
      <c r="F161" s="849"/>
      <c r="G161" s="830"/>
      <c r="H161" s="851" t="s">
        <v>213</v>
      </c>
      <c r="I161" s="850">
        <f t="shared" si="18"/>
        <v>0</v>
      </c>
    </row>
    <row r="162" spans="1:9" ht="10.5" hidden="1" customHeight="1" outlineLevel="1" x14ac:dyDescent="0.2">
      <c r="A162" s="830"/>
      <c r="B162" s="851" t="s">
        <v>214</v>
      </c>
      <c r="C162" s="854">
        <v>841</v>
      </c>
      <c r="D162" s="849">
        <f t="shared" si="17"/>
        <v>-0.11876484560570111</v>
      </c>
      <c r="F162" s="849"/>
      <c r="G162" s="830"/>
      <c r="H162" s="851" t="s">
        <v>214</v>
      </c>
      <c r="I162" s="850">
        <f t="shared" si="18"/>
        <v>-6</v>
      </c>
    </row>
    <row r="163" spans="1:9" ht="10.5" hidden="1" customHeight="1" outlineLevel="1" x14ac:dyDescent="0.2">
      <c r="A163" s="830"/>
      <c r="B163" s="851"/>
      <c r="C163" s="864"/>
      <c r="D163" s="849"/>
      <c r="F163" s="849"/>
      <c r="G163" s="830"/>
      <c r="H163" s="851"/>
      <c r="I163" s="865"/>
    </row>
    <row r="164" spans="1:9" ht="10.5" customHeight="1" collapsed="1" x14ac:dyDescent="0.2">
      <c r="A164" s="830"/>
      <c r="B164" s="843">
        <v>2013</v>
      </c>
      <c r="C164" s="852"/>
      <c r="D164" s="845"/>
      <c r="F164" s="845"/>
      <c r="G164" s="830"/>
      <c r="H164" s="863">
        <v>2013</v>
      </c>
      <c r="I164" s="855"/>
    </row>
    <row r="165" spans="1:9" ht="10.5" hidden="1" customHeight="1" outlineLevel="1" x14ac:dyDescent="0.2">
      <c r="A165" s="830" t="s">
        <v>423</v>
      </c>
      <c r="B165" s="847" t="s">
        <v>205</v>
      </c>
      <c r="C165" s="854">
        <v>843</v>
      </c>
      <c r="D165" s="849">
        <f>(C165/C153-1)*100</f>
        <v>-0.11848341232227888</v>
      </c>
      <c r="F165" s="849"/>
      <c r="G165" s="830"/>
      <c r="H165" s="847" t="s">
        <v>205</v>
      </c>
      <c r="I165" s="866">
        <f>C165-C162</f>
        <v>2</v>
      </c>
    </row>
    <row r="166" spans="1:9" ht="10.5" hidden="1" customHeight="1" outlineLevel="1" x14ac:dyDescent="0.2">
      <c r="A166" s="830" t="s">
        <v>424</v>
      </c>
      <c r="B166" s="851" t="s">
        <v>208</v>
      </c>
      <c r="C166" s="854">
        <v>844</v>
      </c>
      <c r="D166" s="849">
        <f>(C166/C156-1)*100</f>
        <v>-0.11834319526626835</v>
      </c>
      <c r="F166" s="849"/>
      <c r="G166" s="830"/>
      <c r="H166" s="851" t="s">
        <v>208</v>
      </c>
      <c r="I166" s="866">
        <f>C166-C165</f>
        <v>1</v>
      </c>
    </row>
    <row r="167" spans="1:9" ht="10.5" hidden="1" customHeight="1" outlineLevel="1" x14ac:dyDescent="0.2">
      <c r="A167" s="830" t="s">
        <v>425</v>
      </c>
      <c r="B167" s="851" t="s">
        <v>211</v>
      </c>
      <c r="C167" s="854">
        <v>847</v>
      </c>
      <c r="D167" s="849">
        <f>(C167/C159-1)*100</f>
        <v>0.11820330969267712</v>
      </c>
      <c r="F167" s="849"/>
      <c r="G167" s="830"/>
      <c r="H167" s="851" t="s">
        <v>211</v>
      </c>
      <c r="I167" s="866">
        <v>3</v>
      </c>
    </row>
    <row r="168" spans="1:9" ht="10.5" hidden="1" customHeight="1" outlineLevel="1" x14ac:dyDescent="0.2">
      <c r="A168" s="830" t="s">
        <v>426</v>
      </c>
      <c r="B168" s="851" t="s">
        <v>214</v>
      </c>
      <c r="C168" s="854">
        <v>840</v>
      </c>
      <c r="D168" s="849">
        <f>(C168/C162-1)*100</f>
        <v>-0.11890606420927874</v>
      </c>
      <c r="F168" s="849"/>
      <c r="G168" s="830"/>
      <c r="H168" s="851" t="s">
        <v>214</v>
      </c>
      <c r="I168" s="866">
        <v>-7</v>
      </c>
    </row>
    <row r="169" spans="1:9" ht="10.5" hidden="1" customHeight="1" outlineLevel="1" x14ac:dyDescent="0.2">
      <c r="A169" s="830"/>
      <c r="B169" s="851"/>
      <c r="C169" s="864"/>
      <c r="D169" s="849"/>
      <c r="F169" s="849"/>
      <c r="G169" s="830"/>
      <c r="H169" s="851"/>
      <c r="I169" s="865"/>
    </row>
    <row r="170" spans="1:9" ht="10.5" customHeight="1" collapsed="1" x14ac:dyDescent="0.2">
      <c r="A170" s="830"/>
      <c r="B170" s="843">
        <v>2014</v>
      </c>
      <c r="C170" s="852"/>
      <c r="D170" s="845"/>
      <c r="F170" s="845"/>
      <c r="G170" s="830"/>
      <c r="H170" s="863">
        <v>2014</v>
      </c>
      <c r="I170" s="855"/>
    </row>
    <row r="171" spans="1:9" ht="10.5" hidden="1" customHeight="1" outlineLevel="1" x14ac:dyDescent="0.2">
      <c r="A171" s="830" t="s">
        <v>558</v>
      </c>
      <c r="B171" s="847" t="s">
        <v>205</v>
      </c>
      <c r="C171" s="854">
        <v>838</v>
      </c>
      <c r="D171" s="849">
        <f>(C171/C165-1)*100</f>
        <v>-0.59311981020165883</v>
      </c>
      <c r="F171" s="849"/>
      <c r="G171" s="830"/>
      <c r="H171" s="847" t="s">
        <v>205</v>
      </c>
      <c r="I171" s="866">
        <f>C171-C168</f>
        <v>-2</v>
      </c>
    </row>
    <row r="172" spans="1:9" ht="10.5" hidden="1" customHeight="1" outlineLevel="1" x14ac:dyDescent="0.2">
      <c r="A172" s="830" t="s">
        <v>559</v>
      </c>
      <c r="B172" s="851" t="s">
        <v>208</v>
      </c>
      <c r="C172" s="854">
        <v>836</v>
      </c>
      <c r="D172" s="849">
        <f>(C172/C166-1)*100</f>
        <v>-0.94786729857819774</v>
      </c>
      <c r="F172" s="849"/>
      <c r="G172" s="830"/>
      <c r="H172" s="851" t="s">
        <v>208</v>
      </c>
      <c r="I172" s="866">
        <f>C172-C171</f>
        <v>-2</v>
      </c>
    </row>
    <row r="173" spans="1:9" ht="10.5" hidden="1" customHeight="1" outlineLevel="1" x14ac:dyDescent="0.2">
      <c r="A173" s="830" t="s">
        <v>560</v>
      </c>
      <c r="B173" s="851" t="s">
        <v>211</v>
      </c>
      <c r="C173" s="854">
        <v>838</v>
      </c>
      <c r="D173" s="849">
        <f>(C173/C167-1)*100</f>
        <v>-1.0625737898465215</v>
      </c>
      <c r="F173" s="849"/>
      <c r="G173" s="830"/>
      <c r="H173" s="851" t="s">
        <v>211</v>
      </c>
      <c r="I173" s="866">
        <f>C173-C172</f>
        <v>2</v>
      </c>
    </row>
    <row r="174" spans="1:9" ht="10.5" hidden="1" customHeight="1" outlineLevel="1" x14ac:dyDescent="0.2">
      <c r="A174" s="830" t="s">
        <v>561</v>
      </c>
      <c r="B174" s="851" t="s">
        <v>214</v>
      </c>
      <c r="C174" s="854">
        <v>823</v>
      </c>
      <c r="D174" s="849">
        <f>(C174/C168-1)*100</f>
        <v>-2.0238095238095277</v>
      </c>
      <c r="F174" s="849"/>
      <c r="G174" s="830"/>
      <c r="H174" s="851" t="s">
        <v>214</v>
      </c>
      <c r="I174" s="866">
        <f>C174-C173</f>
        <v>-15</v>
      </c>
    </row>
    <row r="175" spans="1:9" ht="10.5" hidden="1" customHeight="1" outlineLevel="1" x14ac:dyDescent="0.2">
      <c r="A175" s="830"/>
      <c r="B175" s="851"/>
      <c r="C175" s="864"/>
      <c r="D175" s="849"/>
      <c r="F175" s="849"/>
      <c r="G175" s="830"/>
      <c r="H175" s="851"/>
      <c r="I175" s="865"/>
    </row>
    <row r="176" spans="1:9" ht="10.5" customHeight="1" collapsed="1" x14ac:dyDescent="0.2">
      <c r="A176" s="830"/>
      <c r="B176" s="843">
        <v>2015</v>
      </c>
      <c r="C176" s="852"/>
      <c r="D176" s="845"/>
      <c r="F176" s="845"/>
      <c r="G176" s="830"/>
      <c r="H176" s="863">
        <v>2015</v>
      </c>
      <c r="I176" s="855"/>
    </row>
    <row r="177" spans="1:17" ht="10.5" hidden="1" customHeight="1" outlineLevel="1" x14ac:dyDescent="0.2">
      <c r="A177" s="830"/>
      <c r="B177" s="847" t="s">
        <v>205</v>
      </c>
      <c r="C177" s="1032">
        <f>C174+I177</f>
        <v>809</v>
      </c>
      <c r="D177" s="849">
        <f>(C177/C171-1)*100</f>
        <v>-3.4606205250596656</v>
      </c>
      <c r="F177" s="849"/>
      <c r="G177" s="830"/>
      <c r="H177" s="847" t="s">
        <v>205</v>
      </c>
      <c r="I177" s="866">
        <v>-14</v>
      </c>
      <c r="K177" s="184">
        <f>886-63</f>
        <v>823</v>
      </c>
    </row>
    <row r="178" spans="1:17" ht="10.5" hidden="1" customHeight="1" outlineLevel="1" x14ac:dyDescent="0.2">
      <c r="A178" s="830"/>
      <c r="B178" s="851" t="s">
        <v>208</v>
      </c>
      <c r="C178" s="1032">
        <v>820</v>
      </c>
      <c r="D178" s="849">
        <f>(C178/C172-1)*100</f>
        <v>-1.9138755980861233</v>
      </c>
      <c r="F178" s="849"/>
      <c r="G178" s="830"/>
      <c r="H178" s="851" t="s">
        <v>208</v>
      </c>
      <c r="I178" s="866">
        <v>1</v>
      </c>
      <c r="K178" s="184">
        <f>886-66</f>
        <v>820</v>
      </c>
    </row>
    <row r="179" spans="1:17" ht="10.5" hidden="1" customHeight="1" outlineLevel="1" x14ac:dyDescent="0.2">
      <c r="A179" s="830"/>
      <c r="B179" s="851" t="s">
        <v>211</v>
      </c>
      <c r="C179" s="1032">
        <f>C178+I179</f>
        <v>825</v>
      </c>
      <c r="D179" s="849">
        <f>(C179/C173-1)*100</f>
        <v>-1.5513126491646823</v>
      </c>
      <c r="F179" s="849"/>
      <c r="G179" s="830"/>
      <c r="H179" s="851" t="s">
        <v>211</v>
      </c>
      <c r="I179" s="866">
        <v>5</v>
      </c>
      <c r="K179" s="184">
        <f>901-76</f>
        <v>825</v>
      </c>
    </row>
    <row r="180" spans="1:17" ht="10.5" hidden="1" customHeight="1" outlineLevel="1" x14ac:dyDescent="0.2">
      <c r="A180" s="830"/>
      <c r="B180" s="851" t="s">
        <v>214</v>
      </c>
      <c r="C180" s="1032">
        <v>794</v>
      </c>
      <c r="D180" s="849">
        <f>(C180/C174-1)*100</f>
        <v>-3.523693803159178</v>
      </c>
      <c r="F180" s="849"/>
      <c r="G180" s="830"/>
      <c r="H180" s="851" t="s">
        <v>214</v>
      </c>
      <c r="I180" s="866">
        <v>-31</v>
      </c>
      <c r="K180" s="184">
        <f>871-77</f>
        <v>794</v>
      </c>
      <c r="O180" s="184">
        <f>103+95+107+110+113+100+106</f>
        <v>734</v>
      </c>
      <c r="P180" s="184">
        <f>6+38+16</f>
        <v>60</v>
      </c>
      <c r="Q180" s="184">
        <f>P180+O180</f>
        <v>794</v>
      </c>
    </row>
    <row r="181" spans="1:17" ht="10.5" hidden="1" customHeight="1" outlineLevel="1" x14ac:dyDescent="0.2">
      <c r="A181" s="830"/>
      <c r="B181" s="851"/>
      <c r="C181" s="985"/>
      <c r="D181" s="849"/>
      <c r="F181" s="849"/>
      <c r="G181" s="830"/>
      <c r="H181" s="851"/>
      <c r="I181" s="865"/>
    </row>
    <row r="182" spans="1:17" ht="10.5" customHeight="1" collapsed="1" x14ac:dyDescent="0.2">
      <c r="A182" s="830"/>
      <c r="B182" s="843">
        <v>2016</v>
      </c>
      <c r="C182" s="1033"/>
      <c r="D182" s="845"/>
      <c r="F182" s="845"/>
      <c r="G182" s="830"/>
      <c r="H182" s="863">
        <v>2016</v>
      </c>
      <c r="I182" s="855"/>
    </row>
    <row r="183" spans="1:17" ht="10.5" customHeight="1" outlineLevel="1" x14ac:dyDescent="0.2">
      <c r="A183" s="830"/>
      <c r="B183" s="847" t="s">
        <v>205</v>
      </c>
      <c r="C183" s="1032">
        <f>874-84-6</f>
        <v>784</v>
      </c>
      <c r="D183" s="849">
        <f>(C183/C177-1)*100</f>
        <v>-3.0902348578491945</v>
      </c>
      <c r="F183" s="849"/>
      <c r="G183" s="830"/>
      <c r="H183" s="847" t="s">
        <v>205</v>
      </c>
      <c r="I183" s="867">
        <f>C183-C180</f>
        <v>-10</v>
      </c>
    </row>
    <row r="184" spans="1:17" ht="10.5" customHeight="1" outlineLevel="1" x14ac:dyDescent="0.2">
      <c r="A184" s="830"/>
      <c r="B184" s="851" t="s">
        <v>208</v>
      </c>
      <c r="C184" s="1032">
        <f>879-91-6</f>
        <v>782</v>
      </c>
      <c r="D184" s="849">
        <f>(C184/C178-1)*100</f>
        <v>-4.6341463414634188</v>
      </c>
      <c r="F184" s="849"/>
      <c r="G184" s="830"/>
      <c r="H184" s="851" t="s">
        <v>208</v>
      </c>
      <c r="I184" s="867">
        <f>C184-C183</f>
        <v>-2</v>
      </c>
    </row>
    <row r="185" spans="1:17" ht="10.5" customHeight="1" outlineLevel="1" x14ac:dyDescent="0.2">
      <c r="A185" s="830"/>
      <c r="B185" s="851" t="s">
        <v>211</v>
      </c>
      <c r="C185" s="1032">
        <f>888-98-16</f>
        <v>774</v>
      </c>
      <c r="D185" s="849">
        <f>(C185/C179-1)*100</f>
        <v>-6.1818181818181772</v>
      </c>
      <c r="F185" s="849"/>
      <c r="G185" s="830"/>
      <c r="H185" s="851" t="s">
        <v>211</v>
      </c>
      <c r="I185" s="867">
        <f>C185-C184</f>
        <v>-8</v>
      </c>
    </row>
    <row r="186" spans="1:17" ht="10.5" customHeight="1" outlineLevel="1" x14ac:dyDescent="0.2">
      <c r="A186" s="830"/>
      <c r="B186" s="851" t="s">
        <v>214</v>
      </c>
      <c r="C186" s="1032">
        <f>794-66+27-24</f>
        <v>731</v>
      </c>
      <c r="D186" s="849">
        <f>(C186/C180-1)*100</f>
        <v>-7.9345088161209105</v>
      </c>
      <c r="E186" s="185">
        <f>829-101-7</f>
        <v>721</v>
      </c>
      <c r="F186" s="849"/>
      <c r="G186" s="830"/>
      <c r="H186" s="851" t="s">
        <v>214</v>
      </c>
      <c r="I186" s="867">
        <f>C186-C185</f>
        <v>-43</v>
      </c>
      <c r="J186" s="185"/>
      <c r="K186" s="188">
        <f>sumry!FT10</f>
        <v>24945</v>
      </c>
    </row>
    <row r="187" spans="1:17" ht="12.75" customHeight="1" x14ac:dyDescent="0.2">
      <c r="A187" s="830"/>
      <c r="B187" s="830"/>
      <c r="C187" s="1034"/>
      <c r="D187" s="845"/>
      <c r="F187" s="845"/>
      <c r="G187" s="830"/>
      <c r="H187" s="830"/>
      <c r="I187" s="830"/>
    </row>
    <row r="188" spans="1:17" ht="10.5" customHeight="1" x14ac:dyDescent="0.2">
      <c r="A188" s="830"/>
      <c r="B188" s="863">
        <v>2017</v>
      </c>
      <c r="C188" s="1033"/>
      <c r="D188" s="845"/>
      <c r="F188" s="845"/>
      <c r="G188" s="830"/>
      <c r="H188" s="863">
        <v>2017</v>
      </c>
      <c r="I188" s="855"/>
    </row>
    <row r="189" spans="1:17" ht="10.5" customHeight="1" outlineLevel="1" x14ac:dyDescent="0.2">
      <c r="A189" s="830"/>
      <c r="B189" s="847" t="s">
        <v>205</v>
      </c>
      <c r="C189" s="1032">
        <f>C186+I189</f>
        <v>733</v>
      </c>
      <c r="D189" s="849">
        <f>(C189/C183-1)*100</f>
        <v>-6.5051020408163236</v>
      </c>
      <c r="F189" s="849"/>
      <c r="G189" s="830"/>
      <c r="H189" s="847" t="s">
        <v>205</v>
      </c>
      <c r="I189" s="1035">
        <v>2</v>
      </c>
      <c r="L189" s="184">
        <v>15</v>
      </c>
    </row>
    <row r="190" spans="1:17" ht="10.5" customHeight="1" outlineLevel="1" x14ac:dyDescent="0.2">
      <c r="A190" s="830"/>
      <c r="B190" s="851" t="s">
        <v>208</v>
      </c>
      <c r="C190" s="1032">
        <f>C189+I190</f>
        <v>731</v>
      </c>
      <c r="D190" s="849">
        <f>(C190/C184-1)*100</f>
        <v>-6.5217391304347778</v>
      </c>
      <c r="F190" s="849"/>
      <c r="G190" s="830"/>
      <c r="H190" s="851" t="s">
        <v>208</v>
      </c>
      <c r="I190" s="1035">
        <v>-2</v>
      </c>
    </row>
    <row r="191" spans="1:17" ht="10.5" customHeight="1" outlineLevel="1" x14ac:dyDescent="0.2">
      <c r="A191" s="830"/>
      <c r="B191" s="851" t="s">
        <v>211</v>
      </c>
      <c r="C191" s="1032">
        <f>C190+I191</f>
        <v>731</v>
      </c>
      <c r="D191" s="849">
        <f>(C191/C185-1)*100</f>
        <v>-5.555555555555558</v>
      </c>
      <c r="F191" s="849"/>
      <c r="G191" s="830"/>
      <c r="H191" s="851" t="s">
        <v>211</v>
      </c>
      <c r="I191" s="1035">
        <v>0</v>
      </c>
    </row>
    <row r="192" spans="1:17" ht="10.5" customHeight="1" outlineLevel="1" x14ac:dyDescent="0.2">
      <c r="A192" s="830"/>
      <c r="B192" s="851" t="s">
        <v>214</v>
      </c>
      <c r="C192" s="1029">
        <f>C191+I192</f>
        <v>717</v>
      </c>
      <c r="D192" s="849">
        <f>(C192/C186-1)*100</f>
        <v>-1.9151846785225746</v>
      </c>
      <c r="F192" s="849"/>
      <c r="G192" s="830"/>
      <c r="H192" s="851" t="s">
        <v>214</v>
      </c>
      <c r="I192" s="1036">
        <v>-14</v>
      </c>
      <c r="K192" s="188">
        <f>sumry!FT17</f>
        <v>2056</v>
      </c>
    </row>
    <row r="193" spans="1:16" ht="10.5" customHeight="1" x14ac:dyDescent="0.2">
      <c r="A193" s="830"/>
      <c r="B193" s="830"/>
      <c r="C193" s="1031"/>
      <c r="D193" s="845"/>
      <c r="F193" s="845"/>
      <c r="G193" s="830"/>
      <c r="H193" s="830"/>
      <c r="I193" s="1031"/>
      <c r="L193" s="184">
        <v>15</v>
      </c>
    </row>
    <row r="194" spans="1:16" ht="10.5" customHeight="1" x14ac:dyDescent="0.2">
      <c r="A194" s="830"/>
      <c r="B194" s="863">
        <v>2018</v>
      </c>
      <c r="C194" s="1030"/>
      <c r="D194" s="845"/>
      <c r="F194" s="845"/>
      <c r="G194" s="830"/>
      <c r="H194" s="863">
        <v>2018</v>
      </c>
      <c r="I194" s="1037"/>
    </row>
    <row r="195" spans="1:16" s="1" customFormat="1" ht="10.5" customHeight="1" outlineLevel="1" x14ac:dyDescent="0.2">
      <c r="A195" s="1244"/>
      <c r="B195" s="1245" t="s">
        <v>205</v>
      </c>
      <c r="C195" s="1246">
        <f>C192+I195</f>
        <v>706</v>
      </c>
      <c r="D195" s="1247">
        <f>(C195/C189-1)*100</f>
        <v>-3.6834924965893578</v>
      </c>
      <c r="F195" s="1247"/>
      <c r="G195" s="1244"/>
      <c r="H195" s="1245" t="s">
        <v>205</v>
      </c>
      <c r="I195" s="1342">
        <v>-11</v>
      </c>
      <c r="L195" s="1">
        <v>15</v>
      </c>
    </row>
    <row r="196" spans="1:16" s="1" customFormat="1" ht="10.5" customHeight="1" outlineLevel="1" x14ac:dyDescent="0.2">
      <c r="A196" s="1244"/>
      <c r="B196" s="1248" t="s">
        <v>208</v>
      </c>
      <c r="C196" s="1246">
        <f>C195+I196</f>
        <v>697</v>
      </c>
      <c r="D196" s="1247">
        <f>(C196/C190-1)*100</f>
        <v>-4.651162790697672</v>
      </c>
      <c r="F196" s="1247"/>
      <c r="G196" s="1244"/>
      <c r="H196" s="1248" t="s">
        <v>208</v>
      </c>
      <c r="I196" s="1342">
        <v>-9</v>
      </c>
    </row>
    <row r="197" spans="1:16" s="1" customFormat="1" ht="10.5" customHeight="1" outlineLevel="1" x14ac:dyDescent="0.2">
      <c r="A197" s="1244"/>
      <c r="B197" s="1248" t="s">
        <v>211</v>
      </c>
      <c r="C197" s="1246">
        <f>C196+I197</f>
        <v>692</v>
      </c>
      <c r="D197" s="1247">
        <f>(C197/C191-1)*100</f>
        <v>-5.3351573187414463</v>
      </c>
      <c r="F197" s="1247"/>
      <c r="G197" s="1244"/>
      <c r="H197" s="1248" t="s">
        <v>211</v>
      </c>
      <c r="I197" s="1342">
        <v>-5</v>
      </c>
    </row>
    <row r="198" spans="1:16" s="1" customFormat="1" ht="10.5" customHeight="1" outlineLevel="1" x14ac:dyDescent="0.2">
      <c r="A198" s="1244"/>
      <c r="B198" s="1248" t="s">
        <v>214</v>
      </c>
      <c r="C198" s="1246">
        <f>C197+I198</f>
        <v>687</v>
      </c>
      <c r="D198" s="1247">
        <f>(C198/C192-1)*100</f>
        <v>-4.1841004184100417</v>
      </c>
      <c r="F198" s="1247"/>
      <c r="G198" s="1244"/>
      <c r="H198" s="1248" t="s">
        <v>214</v>
      </c>
      <c r="I198" s="1342">
        <v>-5</v>
      </c>
      <c r="K198" s="1249">
        <f>sumry!FT25</f>
        <v>0</v>
      </c>
    </row>
    <row r="199" spans="1:16" ht="10.5" customHeight="1" x14ac:dyDescent="0.2">
      <c r="A199" s="830"/>
      <c r="B199" s="830"/>
      <c r="C199" s="830"/>
      <c r="D199" s="845"/>
      <c r="F199" s="845"/>
      <c r="G199" s="830"/>
      <c r="H199" s="830"/>
      <c r="I199" s="830"/>
    </row>
    <row r="200" spans="1:16" ht="10.5" customHeight="1" x14ac:dyDescent="0.2">
      <c r="A200" s="830"/>
      <c r="B200" s="830"/>
      <c r="C200" s="830"/>
      <c r="D200" s="845"/>
      <c r="F200" s="845"/>
      <c r="G200" s="830"/>
      <c r="H200" s="830"/>
      <c r="I200" s="830"/>
      <c r="L200" s="184">
        <v>30</v>
      </c>
    </row>
    <row r="201" spans="1:16" ht="10.5" customHeight="1" x14ac:dyDescent="0.2">
      <c r="A201" s="830"/>
      <c r="B201" s="830"/>
      <c r="C201" s="830"/>
      <c r="D201" s="845"/>
      <c r="F201" s="845"/>
      <c r="G201" s="830"/>
      <c r="H201" s="844"/>
      <c r="I201" s="830"/>
    </row>
    <row r="202" spans="1:16" ht="10.5" customHeight="1" x14ac:dyDescent="0.2">
      <c r="A202" s="830"/>
      <c r="B202" s="830"/>
      <c r="C202" s="830"/>
      <c r="D202" s="845"/>
      <c r="F202" s="845"/>
      <c r="G202" s="830"/>
      <c r="H202" s="830"/>
      <c r="I202" s="830"/>
      <c r="L202" s="1515"/>
      <c r="M202" s="1516"/>
      <c r="O202" s="1515"/>
      <c r="P202" s="1516"/>
    </row>
    <row r="203" spans="1:16" ht="10.5" customHeight="1" x14ac:dyDescent="0.2">
      <c r="A203" s="839" t="s">
        <v>273</v>
      </c>
      <c r="B203" s="839" t="s">
        <v>201</v>
      </c>
      <c r="C203" s="868" t="s">
        <v>277</v>
      </c>
      <c r="D203" s="869"/>
      <c r="E203" s="870"/>
      <c r="F203" s="841"/>
      <c r="G203" s="839"/>
      <c r="H203" s="839"/>
      <c r="I203" s="841"/>
      <c r="L203" s="600"/>
      <c r="M203" s="600"/>
      <c r="O203" s="185"/>
      <c r="P203" s="600"/>
    </row>
    <row r="204" spans="1:16" ht="10.5" customHeight="1" x14ac:dyDescent="0.2">
      <c r="A204" s="830"/>
      <c r="B204" s="843">
        <v>2000</v>
      </c>
      <c r="C204" s="830"/>
      <c r="D204" s="831"/>
      <c r="F204" s="831"/>
      <c r="G204" s="830"/>
      <c r="H204" s="843"/>
      <c r="I204" s="830"/>
      <c r="L204" s="601"/>
      <c r="M204" s="601"/>
      <c r="P204" s="601"/>
    </row>
    <row r="205" spans="1:16" ht="10.5" hidden="1" customHeight="1" outlineLevel="1" x14ac:dyDescent="0.2">
      <c r="A205" s="830" t="s">
        <v>355</v>
      </c>
      <c r="B205" s="847" t="s">
        <v>203</v>
      </c>
      <c r="C205" s="830"/>
      <c r="D205" s="849"/>
      <c r="F205" s="831"/>
      <c r="G205" s="830"/>
      <c r="H205" s="847"/>
      <c r="I205" s="830"/>
    </row>
    <row r="206" spans="1:16" ht="10.5" hidden="1" customHeight="1" outlineLevel="1" x14ac:dyDescent="0.2">
      <c r="A206" s="830" t="s">
        <v>356</v>
      </c>
      <c r="B206" s="851" t="s">
        <v>206</v>
      </c>
      <c r="C206" s="830"/>
      <c r="D206" s="849"/>
      <c r="F206" s="831"/>
      <c r="G206" s="830"/>
      <c r="H206" s="851"/>
      <c r="I206" s="830"/>
    </row>
    <row r="207" spans="1:16" ht="10.5" hidden="1" customHeight="1" outlineLevel="1" x14ac:dyDescent="0.2">
      <c r="A207" s="830" t="s">
        <v>357</v>
      </c>
      <c r="B207" s="851" t="s">
        <v>209</v>
      </c>
      <c r="C207" s="830"/>
      <c r="D207" s="849"/>
      <c r="F207" s="831"/>
      <c r="G207" s="830"/>
      <c r="H207" s="851"/>
      <c r="I207" s="830"/>
    </row>
    <row r="208" spans="1:16" ht="10.5" hidden="1" customHeight="1" outlineLevel="1" x14ac:dyDescent="0.2">
      <c r="A208" s="830" t="s">
        <v>358</v>
      </c>
      <c r="B208" s="851" t="s">
        <v>212</v>
      </c>
      <c r="C208" s="871">
        <v>83.4</v>
      </c>
      <c r="D208" s="849"/>
      <c r="F208" s="831"/>
      <c r="G208" s="830"/>
      <c r="H208" s="851"/>
      <c r="I208" s="830"/>
    </row>
    <row r="209" spans="1:9" ht="10.5" customHeight="1" collapsed="1" x14ac:dyDescent="0.2">
      <c r="A209" s="830"/>
      <c r="B209" s="851"/>
      <c r="C209" s="872"/>
      <c r="D209" s="831"/>
      <c r="F209" s="831"/>
      <c r="G209" s="830"/>
      <c r="H209" s="851"/>
      <c r="I209" s="830"/>
    </row>
    <row r="210" spans="1:9" ht="10.5" customHeight="1" x14ac:dyDescent="0.2">
      <c r="A210" s="830"/>
      <c r="B210" s="843">
        <f>B204+1</f>
        <v>2001</v>
      </c>
      <c r="C210" s="872"/>
      <c r="D210" s="831"/>
      <c r="F210" s="831"/>
      <c r="G210" s="830"/>
      <c r="H210" s="843"/>
      <c r="I210" s="830"/>
    </row>
    <row r="211" spans="1:9" ht="10.5" hidden="1" customHeight="1" outlineLevel="1" x14ac:dyDescent="0.2">
      <c r="A211" s="830" t="s">
        <v>359</v>
      </c>
      <c r="B211" s="847" t="s">
        <v>203</v>
      </c>
      <c r="C211" s="872"/>
      <c r="D211" s="849"/>
      <c r="F211" s="831"/>
      <c r="G211" s="830"/>
      <c r="H211" s="847"/>
      <c r="I211" s="830"/>
    </row>
    <row r="212" spans="1:9" ht="10.5" hidden="1" customHeight="1" outlineLevel="1" x14ac:dyDescent="0.2">
      <c r="A212" s="830" t="s">
        <v>360</v>
      </c>
      <c r="B212" s="851" t="s">
        <v>206</v>
      </c>
      <c r="C212" s="872"/>
      <c r="D212" s="849"/>
      <c r="F212" s="831"/>
      <c r="G212" s="830"/>
      <c r="H212" s="851"/>
      <c r="I212" s="830"/>
    </row>
    <row r="213" spans="1:9" ht="10.5" hidden="1" customHeight="1" outlineLevel="1" x14ac:dyDescent="0.2">
      <c r="A213" s="830" t="s">
        <v>361</v>
      </c>
      <c r="B213" s="851" t="s">
        <v>209</v>
      </c>
      <c r="C213" s="872"/>
      <c r="D213" s="849"/>
      <c r="F213" s="831"/>
      <c r="G213" s="830"/>
      <c r="H213" s="851"/>
      <c r="I213" s="830"/>
    </row>
    <row r="214" spans="1:9" ht="10.5" hidden="1" customHeight="1" outlineLevel="1" x14ac:dyDescent="0.2">
      <c r="A214" s="830" t="s">
        <v>362</v>
      </c>
      <c r="B214" s="851" t="s">
        <v>212</v>
      </c>
      <c r="C214" s="871">
        <v>84</v>
      </c>
      <c r="D214" s="849"/>
      <c r="F214" s="831"/>
      <c r="G214" s="830"/>
      <c r="H214" s="851"/>
      <c r="I214" s="830"/>
    </row>
    <row r="215" spans="1:9" ht="10.5" customHeight="1" collapsed="1" x14ac:dyDescent="0.2">
      <c r="A215" s="830"/>
      <c r="B215" s="830"/>
      <c r="C215" s="873"/>
      <c r="D215" s="831"/>
      <c r="F215" s="831"/>
      <c r="G215" s="830"/>
      <c r="H215" s="830"/>
      <c r="I215" s="830"/>
    </row>
    <row r="216" spans="1:9" ht="10.5" customHeight="1" x14ac:dyDescent="0.2">
      <c r="A216" s="830"/>
      <c r="B216" s="843">
        <f>B210+1</f>
        <v>2002</v>
      </c>
      <c r="C216" s="873"/>
      <c r="D216" s="831"/>
      <c r="F216" s="831"/>
      <c r="G216" s="830"/>
      <c r="H216" s="843"/>
      <c r="I216" s="830"/>
    </row>
    <row r="217" spans="1:9" ht="10.5" hidden="1" customHeight="1" outlineLevel="1" x14ac:dyDescent="0.2">
      <c r="A217" s="830" t="s">
        <v>363</v>
      </c>
      <c r="B217" s="847" t="s">
        <v>203</v>
      </c>
      <c r="C217" s="874">
        <f>C214/C16*C19</f>
        <v>84.732026143790847</v>
      </c>
      <c r="D217" s="849"/>
      <c r="F217" s="831"/>
      <c r="G217" s="830"/>
      <c r="H217" s="847"/>
      <c r="I217" s="830"/>
    </row>
    <row r="218" spans="1:9" ht="10.5" hidden="1" customHeight="1" outlineLevel="1" x14ac:dyDescent="0.2">
      <c r="A218" s="830" t="s">
        <v>364</v>
      </c>
      <c r="B218" s="851" t="s">
        <v>206</v>
      </c>
      <c r="C218" s="874">
        <f>C217/C19*C20</f>
        <v>85.098039215686271</v>
      </c>
      <c r="D218" s="849"/>
      <c r="F218" s="831"/>
      <c r="G218" s="830"/>
      <c r="H218" s="851"/>
      <c r="I218" s="830"/>
    </row>
    <row r="219" spans="1:9" ht="10.5" hidden="1" customHeight="1" outlineLevel="1" x14ac:dyDescent="0.2">
      <c r="A219" s="830" t="s">
        <v>365</v>
      </c>
      <c r="B219" s="851" t="s">
        <v>209</v>
      </c>
      <c r="C219" s="874">
        <f>C218/C20*C21</f>
        <v>86.562091503267965</v>
      </c>
      <c r="D219" s="849"/>
      <c r="F219" s="831"/>
      <c r="G219" s="830"/>
      <c r="H219" s="851"/>
      <c r="I219" s="830"/>
    </row>
    <row r="220" spans="1:9" ht="10.5" hidden="1" customHeight="1" outlineLevel="1" x14ac:dyDescent="0.2">
      <c r="A220" s="830" t="s">
        <v>366</v>
      </c>
      <c r="B220" s="851" t="s">
        <v>212</v>
      </c>
      <c r="C220" s="874">
        <f>C219/C21*C22</f>
        <v>83.267973856209139</v>
      </c>
      <c r="D220" s="849"/>
      <c r="F220" s="831"/>
      <c r="G220" s="830"/>
      <c r="H220" s="851"/>
      <c r="I220" s="830"/>
    </row>
    <row r="221" spans="1:9" ht="10.5" customHeight="1" collapsed="1" x14ac:dyDescent="0.2">
      <c r="A221" s="830"/>
      <c r="B221" s="830"/>
      <c r="C221" s="873"/>
      <c r="D221" s="831"/>
      <c r="F221" s="831"/>
      <c r="G221" s="830"/>
      <c r="H221" s="830"/>
      <c r="I221" s="830"/>
    </row>
    <row r="222" spans="1:9" ht="10.5" customHeight="1" x14ac:dyDescent="0.2">
      <c r="A222" s="830"/>
      <c r="B222" s="843">
        <f>B216+1</f>
        <v>2003</v>
      </c>
      <c r="C222" s="873"/>
      <c r="D222" s="831"/>
      <c r="F222" s="831"/>
      <c r="G222" s="830"/>
      <c r="H222" s="843"/>
      <c r="I222" s="830"/>
    </row>
    <row r="223" spans="1:9" ht="10.5" hidden="1" customHeight="1" outlineLevel="1" x14ac:dyDescent="0.2">
      <c r="A223" s="830" t="s">
        <v>367</v>
      </c>
      <c r="B223" s="847" t="s">
        <v>203</v>
      </c>
      <c r="C223" s="874">
        <f>C220/C22*C25</f>
        <v>83.45098039215685</v>
      </c>
      <c r="D223" s="849"/>
      <c r="F223" s="831"/>
      <c r="G223" s="830"/>
      <c r="H223" s="847"/>
      <c r="I223" s="830"/>
    </row>
    <row r="224" spans="1:9" ht="10.5" hidden="1" customHeight="1" outlineLevel="1" x14ac:dyDescent="0.2">
      <c r="A224" s="830"/>
      <c r="B224" s="847" t="s">
        <v>204</v>
      </c>
      <c r="C224" s="874">
        <f t="shared" ref="C224:C234" si="19">C223/C25*C26</f>
        <v>83.45098039215685</v>
      </c>
      <c r="D224" s="849"/>
      <c r="F224" s="831"/>
      <c r="G224" s="830"/>
      <c r="H224" s="847"/>
      <c r="I224" s="830"/>
    </row>
    <row r="225" spans="1:9" ht="10.5" hidden="1" customHeight="1" outlineLevel="1" x14ac:dyDescent="0.2">
      <c r="A225" s="830"/>
      <c r="B225" s="847" t="s">
        <v>205</v>
      </c>
      <c r="C225" s="874">
        <f t="shared" si="19"/>
        <v>83.45098039215685</v>
      </c>
      <c r="D225" s="849"/>
      <c r="F225" s="831"/>
      <c r="G225" s="830"/>
      <c r="H225" s="847"/>
      <c r="I225" s="830"/>
    </row>
    <row r="226" spans="1:9" ht="10.5" hidden="1" customHeight="1" outlineLevel="1" x14ac:dyDescent="0.2">
      <c r="A226" s="830" t="s">
        <v>368</v>
      </c>
      <c r="B226" s="851" t="s">
        <v>206</v>
      </c>
      <c r="C226" s="874">
        <f t="shared" si="19"/>
        <v>83.45098039215685</v>
      </c>
      <c r="D226" s="849"/>
      <c r="F226" s="831"/>
      <c r="G226" s="830"/>
      <c r="H226" s="851"/>
      <c r="I226" s="830"/>
    </row>
    <row r="227" spans="1:9" ht="10.5" hidden="1" customHeight="1" outlineLevel="1" x14ac:dyDescent="0.2">
      <c r="A227" s="830"/>
      <c r="B227" s="851" t="s">
        <v>207</v>
      </c>
      <c r="C227" s="874">
        <f t="shared" si="19"/>
        <v>83.267973856209139</v>
      </c>
      <c r="D227" s="849"/>
      <c r="F227" s="831"/>
      <c r="G227" s="830"/>
      <c r="H227" s="851"/>
      <c r="I227" s="830"/>
    </row>
    <row r="228" spans="1:9" ht="10.5" hidden="1" customHeight="1" outlineLevel="1" x14ac:dyDescent="0.2">
      <c r="A228" s="830"/>
      <c r="B228" s="851" t="s">
        <v>208</v>
      </c>
      <c r="C228" s="874">
        <f t="shared" si="19"/>
        <v>84.183006535947712</v>
      </c>
      <c r="D228" s="849"/>
      <c r="F228" s="831"/>
      <c r="G228" s="830"/>
      <c r="H228" s="851"/>
      <c r="I228" s="830"/>
    </row>
    <row r="229" spans="1:9" ht="10.5" hidden="1" customHeight="1" outlineLevel="1" x14ac:dyDescent="0.2">
      <c r="A229" s="830" t="s">
        <v>369</v>
      </c>
      <c r="B229" s="851" t="s">
        <v>209</v>
      </c>
      <c r="C229" s="874">
        <f t="shared" si="19"/>
        <v>84.183006535947712</v>
      </c>
      <c r="D229" s="849"/>
      <c r="F229" s="831"/>
      <c r="G229" s="830"/>
      <c r="H229" s="851"/>
      <c r="I229" s="830"/>
    </row>
    <row r="230" spans="1:9" ht="10.5" hidden="1" customHeight="1" outlineLevel="1" x14ac:dyDescent="0.2">
      <c r="A230" s="830"/>
      <c r="B230" s="851" t="s">
        <v>210</v>
      </c>
      <c r="C230" s="874">
        <f t="shared" si="19"/>
        <v>84.183006535947712</v>
      </c>
      <c r="D230" s="849"/>
      <c r="F230" s="831"/>
      <c r="G230" s="830"/>
      <c r="H230" s="851"/>
      <c r="I230" s="830"/>
    </row>
    <row r="231" spans="1:9" ht="10.5" hidden="1" customHeight="1" outlineLevel="1" x14ac:dyDescent="0.2">
      <c r="A231" s="830"/>
      <c r="B231" s="851" t="s">
        <v>211</v>
      </c>
      <c r="C231" s="874">
        <f t="shared" si="19"/>
        <v>85.098039215686271</v>
      </c>
      <c r="D231" s="849"/>
      <c r="F231" s="831"/>
      <c r="G231" s="830"/>
      <c r="H231" s="851"/>
      <c r="I231" s="830"/>
    </row>
    <row r="232" spans="1:9" ht="10.5" hidden="1" customHeight="1" outlineLevel="1" x14ac:dyDescent="0.2">
      <c r="A232" s="830" t="s">
        <v>370</v>
      </c>
      <c r="B232" s="851" t="s">
        <v>212</v>
      </c>
      <c r="C232" s="874">
        <f t="shared" si="19"/>
        <v>85.098039215686271</v>
      </c>
      <c r="D232" s="849"/>
      <c r="F232" s="831"/>
      <c r="G232" s="830"/>
      <c r="H232" s="851"/>
      <c r="I232" s="830"/>
    </row>
    <row r="233" spans="1:9" ht="10.5" hidden="1" customHeight="1" outlineLevel="1" x14ac:dyDescent="0.2">
      <c r="A233" s="830"/>
      <c r="B233" s="851" t="s">
        <v>213</v>
      </c>
      <c r="C233" s="874">
        <f t="shared" si="19"/>
        <v>85.098039215686271</v>
      </c>
      <c r="D233" s="849"/>
      <c r="F233" s="831"/>
      <c r="G233" s="830"/>
      <c r="H233" s="851"/>
      <c r="I233" s="830"/>
    </row>
    <row r="234" spans="1:9" ht="10.5" hidden="1" customHeight="1" outlineLevel="1" x14ac:dyDescent="0.2">
      <c r="A234" s="830"/>
      <c r="B234" s="851" t="s">
        <v>214</v>
      </c>
      <c r="C234" s="874">
        <f t="shared" si="19"/>
        <v>84</v>
      </c>
      <c r="D234" s="849"/>
      <c r="F234" s="831"/>
      <c r="G234" s="830"/>
      <c r="H234" s="851"/>
      <c r="I234" s="830"/>
    </row>
    <row r="235" spans="1:9" ht="10.5" customHeight="1" collapsed="1" x14ac:dyDescent="0.2">
      <c r="A235" s="830"/>
      <c r="B235" s="830"/>
      <c r="C235" s="873"/>
      <c r="D235" s="831"/>
      <c r="F235" s="831"/>
      <c r="G235" s="830"/>
      <c r="H235" s="830"/>
      <c r="I235" s="830"/>
    </row>
    <row r="236" spans="1:9" ht="10.5" customHeight="1" x14ac:dyDescent="0.2">
      <c r="A236" s="830"/>
      <c r="B236" s="843">
        <f>B222+1</f>
        <v>2004</v>
      </c>
      <c r="C236" s="873"/>
      <c r="D236" s="831"/>
      <c r="F236" s="831"/>
      <c r="G236" s="830"/>
      <c r="H236" s="843"/>
      <c r="I236" s="830"/>
    </row>
    <row r="237" spans="1:9" ht="10.5" hidden="1" customHeight="1" outlineLevel="1" x14ac:dyDescent="0.2">
      <c r="A237" s="830" t="s">
        <v>371</v>
      </c>
      <c r="B237" s="847" t="s">
        <v>203</v>
      </c>
      <c r="C237" s="874">
        <f>C234/C36*C39</f>
        <v>83.816993464052288</v>
      </c>
      <c r="D237" s="849">
        <f>(C237/C223-1)*100</f>
        <v>0.43859649122808264</v>
      </c>
      <c r="F237" s="831"/>
      <c r="G237" s="830"/>
      <c r="H237" s="847"/>
      <c r="I237" s="830"/>
    </row>
    <row r="238" spans="1:9" ht="10.5" hidden="1" customHeight="1" outlineLevel="1" x14ac:dyDescent="0.2">
      <c r="A238" s="830"/>
      <c r="B238" s="847" t="s">
        <v>204</v>
      </c>
      <c r="C238" s="874">
        <f t="shared" ref="C238:C248" si="20">C237/C39*C40</f>
        <v>83.816993464052288</v>
      </c>
      <c r="D238" s="849">
        <f t="shared" ref="D238:D248" si="21">(C238/C224-1)*100</f>
        <v>0.43859649122808264</v>
      </c>
      <c r="F238" s="831"/>
      <c r="G238" s="830"/>
      <c r="H238" s="847"/>
      <c r="I238" s="830"/>
    </row>
    <row r="239" spans="1:9" ht="10.5" hidden="1" customHeight="1" outlineLevel="1" x14ac:dyDescent="0.2">
      <c r="A239" s="830"/>
      <c r="B239" s="847" t="s">
        <v>205</v>
      </c>
      <c r="C239" s="874">
        <f t="shared" si="20"/>
        <v>84</v>
      </c>
      <c r="D239" s="849">
        <f t="shared" si="21"/>
        <v>0.65789473684212396</v>
      </c>
      <c r="F239" s="831"/>
      <c r="G239" s="830"/>
      <c r="H239" s="847"/>
      <c r="I239" s="830"/>
    </row>
    <row r="240" spans="1:9" ht="10.5" hidden="1" customHeight="1" outlineLevel="1" x14ac:dyDescent="0.2">
      <c r="A240" s="830" t="s">
        <v>372</v>
      </c>
      <c r="B240" s="851" t="s">
        <v>206</v>
      </c>
      <c r="C240" s="874">
        <f t="shared" si="20"/>
        <v>83.633986928104576</v>
      </c>
      <c r="D240" s="849">
        <f t="shared" si="21"/>
        <v>0.21929824561404132</v>
      </c>
      <c r="F240" s="831"/>
      <c r="G240" s="830"/>
      <c r="H240" s="851"/>
      <c r="I240" s="830"/>
    </row>
    <row r="241" spans="1:9" ht="10.5" hidden="1" customHeight="1" outlineLevel="1" x14ac:dyDescent="0.2">
      <c r="A241" s="830"/>
      <c r="B241" s="851" t="s">
        <v>207</v>
      </c>
      <c r="C241" s="874">
        <f t="shared" si="20"/>
        <v>83.633986928104576</v>
      </c>
      <c r="D241" s="849">
        <f t="shared" si="21"/>
        <v>0.4395604395604602</v>
      </c>
      <c r="F241" s="831"/>
      <c r="G241" s="830"/>
      <c r="H241" s="851"/>
      <c r="I241" s="830"/>
    </row>
    <row r="242" spans="1:9" ht="10.5" hidden="1" customHeight="1" outlineLevel="1" x14ac:dyDescent="0.2">
      <c r="A242" s="830"/>
      <c r="B242" s="851" t="s">
        <v>208</v>
      </c>
      <c r="C242" s="874">
        <f t="shared" si="20"/>
        <v>83.633986928104576</v>
      </c>
      <c r="D242" s="849">
        <f t="shared" si="21"/>
        <v>-0.6521739130434745</v>
      </c>
      <c r="F242" s="831"/>
      <c r="G242" s="830"/>
      <c r="H242" s="851"/>
      <c r="I242" s="830"/>
    </row>
    <row r="243" spans="1:9" ht="10.5" hidden="1" customHeight="1" outlineLevel="1" x14ac:dyDescent="0.2">
      <c r="A243" s="830" t="s">
        <v>373</v>
      </c>
      <c r="B243" s="851" t="s">
        <v>209</v>
      </c>
      <c r="C243" s="874">
        <f t="shared" si="20"/>
        <v>83.633986928104576</v>
      </c>
      <c r="D243" s="849">
        <f t="shared" si="21"/>
        <v>-0.6521739130434745</v>
      </c>
      <c r="F243" s="831"/>
      <c r="G243" s="830"/>
      <c r="H243" s="851"/>
      <c r="I243" s="830"/>
    </row>
    <row r="244" spans="1:9" ht="10.5" hidden="1" customHeight="1" outlineLevel="1" x14ac:dyDescent="0.2">
      <c r="A244" s="830"/>
      <c r="B244" s="851" t="s">
        <v>210</v>
      </c>
      <c r="C244" s="874">
        <f t="shared" si="20"/>
        <v>83.816993464052288</v>
      </c>
      <c r="D244" s="849">
        <f t="shared" si="21"/>
        <v>-0.43478260869564966</v>
      </c>
      <c r="F244" s="831"/>
      <c r="G244" s="830"/>
      <c r="H244" s="851"/>
      <c r="I244" s="830"/>
    </row>
    <row r="245" spans="1:9" ht="10.5" hidden="1" customHeight="1" outlineLevel="1" x14ac:dyDescent="0.2">
      <c r="A245" s="830"/>
      <c r="B245" s="851" t="s">
        <v>211</v>
      </c>
      <c r="C245" s="874">
        <f t="shared" si="20"/>
        <v>84</v>
      </c>
      <c r="D245" s="849">
        <f t="shared" si="21"/>
        <v>-1.2903225806451535</v>
      </c>
      <c r="F245" s="831"/>
      <c r="G245" s="830"/>
      <c r="H245" s="851"/>
      <c r="I245" s="830"/>
    </row>
    <row r="246" spans="1:9" ht="10.5" hidden="1" customHeight="1" outlineLevel="1" x14ac:dyDescent="0.2">
      <c r="A246" s="830" t="s">
        <v>374</v>
      </c>
      <c r="B246" s="851" t="s">
        <v>212</v>
      </c>
      <c r="C246" s="874">
        <f t="shared" si="20"/>
        <v>84</v>
      </c>
      <c r="D246" s="849">
        <f t="shared" si="21"/>
        <v>-1.2903225806451535</v>
      </c>
      <c r="F246" s="831"/>
      <c r="G246" s="830"/>
      <c r="H246" s="851"/>
      <c r="I246" s="830"/>
    </row>
    <row r="247" spans="1:9" ht="10.5" hidden="1" customHeight="1" outlineLevel="1" x14ac:dyDescent="0.2">
      <c r="A247" s="830"/>
      <c r="B247" s="851" t="s">
        <v>213</v>
      </c>
      <c r="C247" s="874">
        <f t="shared" si="20"/>
        <v>84</v>
      </c>
      <c r="D247" s="849">
        <f t="shared" si="21"/>
        <v>-1.2903225806451535</v>
      </c>
      <c r="F247" s="831"/>
      <c r="G247" s="830"/>
      <c r="H247" s="851"/>
      <c r="I247" s="830"/>
    </row>
    <row r="248" spans="1:9" ht="10.5" hidden="1" customHeight="1" outlineLevel="1" x14ac:dyDescent="0.2">
      <c r="A248" s="830"/>
      <c r="B248" s="851" t="s">
        <v>214</v>
      </c>
      <c r="C248" s="874">
        <f t="shared" si="20"/>
        <v>84</v>
      </c>
      <c r="D248" s="849">
        <f t="shared" si="21"/>
        <v>0</v>
      </c>
      <c r="F248" s="831"/>
      <c r="G248" s="830"/>
      <c r="H248" s="851"/>
      <c r="I248" s="830"/>
    </row>
    <row r="249" spans="1:9" ht="10.5" customHeight="1" collapsed="1" x14ac:dyDescent="0.2">
      <c r="A249" s="830"/>
      <c r="B249" s="830"/>
      <c r="C249" s="873"/>
      <c r="D249" s="831"/>
      <c r="F249" s="831"/>
      <c r="G249" s="830"/>
      <c r="H249" s="830"/>
      <c r="I249" s="830"/>
    </row>
    <row r="250" spans="1:9" ht="10.5" customHeight="1" x14ac:dyDescent="0.2">
      <c r="A250" s="830"/>
      <c r="B250" s="843">
        <f>B236+1</f>
        <v>2005</v>
      </c>
      <c r="C250" s="873"/>
      <c r="D250" s="831"/>
      <c r="F250" s="831"/>
      <c r="G250" s="830"/>
      <c r="H250" s="843"/>
      <c r="I250" s="830"/>
    </row>
    <row r="251" spans="1:9" ht="10.5" hidden="1" customHeight="1" outlineLevel="1" x14ac:dyDescent="0.2">
      <c r="A251" s="830" t="s">
        <v>375</v>
      </c>
      <c r="B251" s="847" t="s">
        <v>203</v>
      </c>
      <c r="C251" s="874">
        <f>C248/C50*C53</f>
        <v>84</v>
      </c>
      <c r="D251" s="849">
        <f>(C251/C237-1)*100</f>
        <v>0.21834061135370675</v>
      </c>
      <c r="F251" s="831"/>
      <c r="G251" s="830"/>
      <c r="H251" s="847"/>
      <c r="I251" s="830"/>
    </row>
    <row r="252" spans="1:9" ht="10.5" hidden="1" customHeight="1" outlineLevel="1" x14ac:dyDescent="0.2">
      <c r="A252" s="830"/>
      <c r="B252" s="847" t="s">
        <v>204</v>
      </c>
      <c r="C252" s="874">
        <f t="shared" ref="C252:C262" si="22">C251/C53*C54</f>
        <v>84</v>
      </c>
      <c r="D252" s="849">
        <f t="shared" ref="D252:D262" si="23">(C252/C238-1)*100</f>
        <v>0.21834061135370675</v>
      </c>
      <c r="F252" s="831"/>
      <c r="G252" s="830"/>
      <c r="H252" s="847"/>
      <c r="I252" s="830"/>
    </row>
    <row r="253" spans="1:9" ht="10.5" hidden="1" customHeight="1" outlineLevel="1" x14ac:dyDescent="0.2">
      <c r="A253" s="830"/>
      <c r="B253" s="847" t="s">
        <v>205</v>
      </c>
      <c r="C253" s="874">
        <f t="shared" si="22"/>
        <v>84</v>
      </c>
      <c r="D253" s="849">
        <f t="shared" si="23"/>
        <v>0</v>
      </c>
      <c r="F253" s="831"/>
      <c r="G253" s="830"/>
      <c r="H253" s="847"/>
      <c r="I253" s="830"/>
    </row>
    <row r="254" spans="1:9" ht="10.5" hidden="1" customHeight="1" outlineLevel="1" x14ac:dyDescent="0.2">
      <c r="A254" s="830" t="s">
        <v>376</v>
      </c>
      <c r="B254" s="851" t="s">
        <v>206</v>
      </c>
      <c r="C254" s="874">
        <f t="shared" si="22"/>
        <v>84.183006535947712</v>
      </c>
      <c r="D254" s="849">
        <f t="shared" si="23"/>
        <v>0.65645514223193757</v>
      </c>
      <c r="F254" s="831"/>
      <c r="G254" s="830"/>
      <c r="H254" s="851"/>
      <c r="I254" s="830"/>
    </row>
    <row r="255" spans="1:9" ht="10.5" hidden="1" customHeight="1" outlineLevel="1" x14ac:dyDescent="0.2">
      <c r="A255" s="830"/>
      <c r="B255" s="851" t="s">
        <v>207</v>
      </c>
      <c r="C255" s="874">
        <f t="shared" si="22"/>
        <v>84.183006535947712</v>
      </c>
      <c r="D255" s="849">
        <f t="shared" si="23"/>
        <v>0.65645514223193757</v>
      </c>
      <c r="F255" s="831"/>
      <c r="G255" s="830"/>
      <c r="H255" s="851"/>
      <c r="I255" s="830"/>
    </row>
    <row r="256" spans="1:9" ht="10.5" hidden="1" customHeight="1" outlineLevel="1" x14ac:dyDescent="0.2">
      <c r="A256" s="830"/>
      <c r="B256" s="851" t="s">
        <v>208</v>
      </c>
      <c r="C256" s="874">
        <f t="shared" si="22"/>
        <v>84.183006535947712</v>
      </c>
      <c r="D256" s="849">
        <f t="shared" si="23"/>
        <v>0.65645514223193757</v>
      </c>
      <c r="F256" s="831"/>
      <c r="G256" s="830"/>
      <c r="H256" s="851"/>
      <c r="I256" s="830"/>
    </row>
    <row r="257" spans="1:9" ht="10.5" hidden="1" customHeight="1" outlineLevel="1" x14ac:dyDescent="0.2">
      <c r="A257" s="830" t="s">
        <v>377</v>
      </c>
      <c r="B257" s="851" t="s">
        <v>209</v>
      </c>
      <c r="C257" s="874">
        <f t="shared" si="22"/>
        <v>84</v>
      </c>
      <c r="D257" s="849">
        <f t="shared" si="23"/>
        <v>0.43763676148795838</v>
      </c>
      <c r="F257" s="831"/>
      <c r="G257" s="830"/>
      <c r="H257" s="851"/>
      <c r="I257" s="830"/>
    </row>
    <row r="258" spans="1:9" ht="10.5" hidden="1" customHeight="1" outlineLevel="1" x14ac:dyDescent="0.2">
      <c r="A258" s="830"/>
      <c r="B258" s="851" t="s">
        <v>210</v>
      </c>
      <c r="C258" s="874">
        <f t="shared" si="22"/>
        <v>170.74509803921566</v>
      </c>
      <c r="D258" s="849">
        <f t="shared" si="23"/>
        <v>103.71179039301306</v>
      </c>
      <c r="F258" s="831"/>
      <c r="G258" s="830"/>
      <c r="H258" s="851"/>
      <c r="I258" s="830"/>
    </row>
    <row r="259" spans="1:9" ht="10.5" hidden="1" customHeight="1" outlineLevel="1" x14ac:dyDescent="0.2">
      <c r="A259" s="830"/>
      <c r="B259" s="851" t="s">
        <v>211</v>
      </c>
      <c r="C259" s="874">
        <f t="shared" si="22"/>
        <v>171.11111111111109</v>
      </c>
      <c r="D259" s="849">
        <f t="shared" si="23"/>
        <v>103.70370370370368</v>
      </c>
      <c r="F259" s="831"/>
      <c r="G259" s="830"/>
      <c r="H259" s="851"/>
      <c r="I259" s="830"/>
    </row>
    <row r="260" spans="1:9" ht="10.5" hidden="1" customHeight="1" outlineLevel="1" x14ac:dyDescent="0.2">
      <c r="A260" s="830" t="s">
        <v>378</v>
      </c>
      <c r="B260" s="851" t="s">
        <v>212</v>
      </c>
      <c r="C260" s="874">
        <f t="shared" si="22"/>
        <v>171.11111111111109</v>
      </c>
      <c r="D260" s="849">
        <f t="shared" si="23"/>
        <v>103.70370370370368</v>
      </c>
      <c r="F260" s="831"/>
      <c r="G260" s="830"/>
      <c r="H260" s="851"/>
      <c r="I260" s="830"/>
    </row>
    <row r="261" spans="1:9" ht="10.5" hidden="1" customHeight="1" outlineLevel="1" x14ac:dyDescent="0.2">
      <c r="A261" s="830"/>
      <c r="B261" s="851" t="s">
        <v>213</v>
      </c>
      <c r="C261" s="874">
        <f t="shared" si="22"/>
        <v>170.92810457516336</v>
      </c>
      <c r="D261" s="849">
        <f t="shared" si="23"/>
        <v>103.48583877995638</v>
      </c>
      <c r="F261" s="831"/>
      <c r="G261" s="830"/>
      <c r="H261" s="851"/>
      <c r="I261" s="830"/>
    </row>
    <row r="262" spans="1:9" ht="10.5" hidden="1" customHeight="1" outlineLevel="1" x14ac:dyDescent="0.2">
      <c r="A262" s="830"/>
      <c r="B262" s="851" t="s">
        <v>214</v>
      </c>
      <c r="C262" s="874">
        <f t="shared" si="22"/>
        <v>158.84967320261435</v>
      </c>
      <c r="D262" s="849">
        <f t="shared" si="23"/>
        <v>89.106753812636128</v>
      </c>
      <c r="F262" s="831"/>
      <c r="G262" s="830"/>
      <c r="H262" s="851"/>
      <c r="I262" s="830"/>
    </row>
    <row r="263" spans="1:9" ht="10.5" customHeight="1" collapsed="1" x14ac:dyDescent="0.2">
      <c r="A263" s="830"/>
      <c r="B263" s="830"/>
      <c r="C263" s="873"/>
      <c r="D263" s="831"/>
      <c r="F263" s="831"/>
      <c r="G263" s="830"/>
      <c r="H263" s="830"/>
      <c r="I263" s="830"/>
    </row>
    <row r="264" spans="1:9" ht="10.5" customHeight="1" x14ac:dyDescent="0.2">
      <c r="A264" s="830"/>
      <c r="B264" s="843">
        <f>B250+1</f>
        <v>2006</v>
      </c>
      <c r="C264" s="873"/>
      <c r="D264" s="831"/>
      <c r="F264" s="831"/>
      <c r="G264" s="830"/>
      <c r="H264" s="843"/>
      <c r="I264" s="830"/>
    </row>
    <row r="265" spans="1:9" ht="10.5" hidden="1" customHeight="1" outlineLevel="1" x14ac:dyDescent="0.2">
      <c r="A265" s="830" t="s">
        <v>379</v>
      </c>
      <c r="B265" s="847" t="s">
        <v>203</v>
      </c>
      <c r="C265" s="874">
        <f>C262/C64*C67</f>
        <v>158.84967320261435</v>
      </c>
      <c r="D265" s="849">
        <f>(C265/C251-1)*100</f>
        <v>89.106753812636128</v>
      </c>
      <c r="F265" s="831"/>
      <c r="G265" s="830"/>
      <c r="H265" s="847"/>
      <c r="I265" s="830"/>
    </row>
    <row r="266" spans="1:9" ht="10.5" hidden="1" customHeight="1" outlineLevel="1" x14ac:dyDescent="0.2">
      <c r="A266" s="830"/>
      <c r="B266" s="847" t="s">
        <v>204</v>
      </c>
      <c r="C266" s="874">
        <f t="shared" ref="C266:C275" si="24">C265/C67*C68</f>
        <v>157.56862745098036</v>
      </c>
      <c r="D266" s="849">
        <f t="shared" ref="D266:D276" si="25">(C266/C252-1)*100</f>
        <v>87.581699346405188</v>
      </c>
      <c r="F266" s="831"/>
      <c r="G266" s="830"/>
      <c r="H266" s="847"/>
      <c r="I266" s="830"/>
    </row>
    <row r="267" spans="1:9" ht="10.5" hidden="1" customHeight="1" outlineLevel="1" x14ac:dyDescent="0.2">
      <c r="A267" s="830"/>
      <c r="B267" s="847" t="s">
        <v>205</v>
      </c>
      <c r="C267" s="874">
        <f t="shared" si="24"/>
        <v>157.56862745098036</v>
      </c>
      <c r="D267" s="849">
        <f t="shared" si="25"/>
        <v>87.581699346405188</v>
      </c>
      <c r="F267" s="831"/>
      <c r="G267" s="830"/>
      <c r="H267" s="847"/>
      <c r="I267" s="830"/>
    </row>
    <row r="268" spans="1:9" ht="10.5" hidden="1" customHeight="1" outlineLevel="1" x14ac:dyDescent="0.2">
      <c r="A268" s="830" t="s">
        <v>380</v>
      </c>
      <c r="B268" s="851" t="s">
        <v>206</v>
      </c>
      <c r="C268" s="874">
        <f t="shared" si="24"/>
        <v>157.56862745098036</v>
      </c>
      <c r="D268" s="849">
        <f t="shared" si="25"/>
        <v>87.173913043478208</v>
      </c>
      <c r="F268" s="831"/>
      <c r="G268" s="830"/>
      <c r="H268" s="851"/>
      <c r="I268" s="830"/>
    </row>
    <row r="269" spans="1:9" ht="10.5" hidden="1" customHeight="1" outlineLevel="1" x14ac:dyDescent="0.2">
      <c r="A269" s="830"/>
      <c r="B269" s="851" t="s">
        <v>207</v>
      </c>
      <c r="C269" s="874">
        <f t="shared" si="24"/>
        <v>157.20261437908493</v>
      </c>
      <c r="D269" s="849">
        <f t="shared" si="25"/>
        <v>86.739130434782567</v>
      </c>
      <c r="F269" s="831"/>
      <c r="G269" s="830"/>
      <c r="H269" s="851"/>
      <c r="I269" s="830"/>
    </row>
    <row r="270" spans="1:9" ht="10.5" hidden="1" customHeight="1" outlineLevel="1" x14ac:dyDescent="0.2">
      <c r="A270" s="830"/>
      <c r="B270" s="851" t="s">
        <v>208</v>
      </c>
      <c r="C270" s="874">
        <f t="shared" si="24"/>
        <v>156.65359477124179</v>
      </c>
      <c r="D270" s="849">
        <f t="shared" si="25"/>
        <v>86.086956521739083</v>
      </c>
      <c r="F270" s="831"/>
      <c r="G270" s="830"/>
      <c r="H270" s="851"/>
      <c r="I270" s="830"/>
    </row>
    <row r="271" spans="1:9" ht="10.5" hidden="1" customHeight="1" outlineLevel="1" x14ac:dyDescent="0.2">
      <c r="A271" s="830" t="s">
        <v>381</v>
      </c>
      <c r="B271" s="851" t="s">
        <v>209</v>
      </c>
      <c r="C271" s="874">
        <f t="shared" si="24"/>
        <v>156.28758169934636</v>
      </c>
      <c r="D271" s="849">
        <f t="shared" si="25"/>
        <v>86.056644880174233</v>
      </c>
      <c r="F271" s="831"/>
      <c r="G271" s="830"/>
      <c r="H271" s="851"/>
      <c r="I271" s="830"/>
    </row>
    <row r="272" spans="1:9" ht="10.5" hidden="1" customHeight="1" outlineLevel="1" x14ac:dyDescent="0.2">
      <c r="A272" s="830"/>
      <c r="B272" s="851" t="s">
        <v>210</v>
      </c>
      <c r="C272" s="874">
        <f t="shared" si="24"/>
        <v>156.47058823529409</v>
      </c>
      <c r="D272" s="849">
        <f t="shared" si="25"/>
        <v>-8.3601286173633493</v>
      </c>
      <c r="F272" s="831"/>
      <c r="G272" s="830"/>
      <c r="H272" s="851"/>
      <c r="I272" s="830"/>
    </row>
    <row r="273" spans="1:9" ht="10.5" hidden="1" customHeight="1" outlineLevel="1" x14ac:dyDescent="0.2">
      <c r="A273" s="830"/>
      <c r="B273" s="851" t="s">
        <v>211</v>
      </c>
      <c r="C273" s="874">
        <f t="shared" si="24"/>
        <v>156.83660130718951</v>
      </c>
      <c r="D273" s="849">
        <f t="shared" si="25"/>
        <v>-8.3422459893048195</v>
      </c>
      <c r="F273" s="831"/>
      <c r="G273" s="830"/>
      <c r="H273" s="851"/>
      <c r="I273" s="830"/>
    </row>
    <row r="274" spans="1:9" ht="10.5" hidden="1" customHeight="1" outlineLevel="1" x14ac:dyDescent="0.2">
      <c r="A274" s="830" t="s">
        <v>382</v>
      </c>
      <c r="B274" s="851" t="s">
        <v>212</v>
      </c>
      <c r="C274" s="874">
        <f t="shared" si="24"/>
        <v>157.38562091503263</v>
      </c>
      <c r="D274" s="849">
        <f t="shared" si="25"/>
        <v>-8.0213903743315598</v>
      </c>
      <c r="F274" s="831"/>
      <c r="G274" s="830"/>
      <c r="H274" s="851"/>
      <c r="I274" s="830"/>
    </row>
    <row r="275" spans="1:9" ht="10.5" hidden="1" customHeight="1" outlineLevel="1" x14ac:dyDescent="0.2">
      <c r="A275" s="830"/>
      <c r="B275" s="851" t="s">
        <v>213</v>
      </c>
      <c r="C275" s="874">
        <f t="shared" si="24"/>
        <v>157.38562091503263</v>
      </c>
      <c r="D275" s="849">
        <f t="shared" si="25"/>
        <v>-7.9229122055674566</v>
      </c>
      <c r="F275" s="831"/>
      <c r="G275" s="830"/>
      <c r="H275" s="851"/>
      <c r="I275" s="830"/>
    </row>
    <row r="276" spans="1:9" ht="10.5" hidden="1" customHeight="1" outlineLevel="1" x14ac:dyDescent="0.2">
      <c r="A276" s="830"/>
      <c r="B276" s="851" t="s">
        <v>214</v>
      </c>
      <c r="C276" s="871">
        <v>156.4</v>
      </c>
      <c r="D276" s="849">
        <f t="shared" si="25"/>
        <v>-1.5421329822251306</v>
      </c>
      <c r="F276" s="831"/>
      <c r="G276" s="830"/>
      <c r="H276" s="851"/>
      <c r="I276" s="830"/>
    </row>
    <row r="277" spans="1:9" ht="10.5" customHeight="1" collapsed="1" x14ac:dyDescent="0.2">
      <c r="A277" s="830"/>
      <c r="B277" s="830"/>
      <c r="C277" s="873"/>
      <c r="D277" s="831"/>
      <c r="F277" s="831"/>
      <c r="G277" s="830"/>
      <c r="H277" s="830"/>
      <c r="I277" s="830"/>
    </row>
    <row r="278" spans="1:9" ht="10.5" customHeight="1" x14ac:dyDescent="0.2">
      <c r="A278" s="830"/>
      <c r="B278" s="843">
        <f>B264+1</f>
        <v>2007</v>
      </c>
      <c r="C278" s="873"/>
      <c r="D278" s="831"/>
      <c r="F278" s="831"/>
      <c r="G278" s="830"/>
      <c r="H278" s="843"/>
      <c r="I278" s="830"/>
    </row>
    <row r="279" spans="1:9" ht="10.5" hidden="1" customHeight="1" outlineLevel="1" x14ac:dyDescent="0.2">
      <c r="A279" s="830" t="s">
        <v>383</v>
      </c>
      <c r="B279" s="847" t="s">
        <v>203</v>
      </c>
      <c r="C279" s="874">
        <f>C276/C78*C81</f>
        <v>156.4</v>
      </c>
      <c r="D279" s="849">
        <f>(C279/C265-1)*100</f>
        <v>-1.5421329822251306</v>
      </c>
      <c r="F279" s="831"/>
      <c r="G279" s="830"/>
      <c r="H279" s="847"/>
      <c r="I279" s="830"/>
    </row>
    <row r="280" spans="1:9" ht="10.5" hidden="1" customHeight="1" outlineLevel="1" x14ac:dyDescent="0.2">
      <c r="A280" s="830"/>
      <c r="B280" s="847" t="s">
        <v>204</v>
      </c>
      <c r="C280" s="874">
        <f>C279/C81*C82</f>
        <v>156.5822843822844</v>
      </c>
      <c r="D280" s="849">
        <f t="shared" ref="D280:D290" si="26">(C280/C266-1)*100</f>
        <v>-0.62597681064576749</v>
      </c>
      <c r="F280" s="831"/>
      <c r="G280" s="830"/>
      <c r="H280" s="847"/>
      <c r="I280" s="830"/>
    </row>
    <row r="281" spans="1:9" ht="10.5" hidden="1" customHeight="1" outlineLevel="1" x14ac:dyDescent="0.2">
      <c r="A281" s="830"/>
      <c r="B281" s="847" t="s">
        <v>205</v>
      </c>
      <c r="C281" s="871">
        <v>157.047</v>
      </c>
      <c r="D281" s="849">
        <f t="shared" si="26"/>
        <v>-0.33104778496763076</v>
      </c>
      <c r="F281" s="831"/>
      <c r="G281" s="830"/>
      <c r="H281" s="847"/>
      <c r="I281" s="830"/>
    </row>
    <row r="282" spans="1:9" ht="10.5" hidden="1" customHeight="1" outlineLevel="1" x14ac:dyDescent="0.2">
      <c r="A282" s="830" t="s">
        <v>384</v>
      </c>
      <c r="B282" s="851" t="s">
        <v>206</v>
      </c>
      <c r="C282" s="874">
        <f>C281/C83*C84</f>
        <v>157.047</v>
      </c>
      <c r="D282" s="849">
        <f t="shared" si="26"/>
        <v>-0.33104778496763076</v>
      </c>
      <c r="F282" s="831"/>
      <c r="G282" s="830"/>
      <c r="H282" s="851"/>
      <c r="I282" s="830"/>
    </row>
    <row r="283" spans="1:9" ht="10.5" hidden="1" customHeight="1" outlineLevel="1" x14ac:dyDescent="0.2">
      <c r="A283" s="830"/>
      <c r="B283" s="851" t="s">
        <v>207</v>
      </c>
      <c r="C283" s="874">
        <f>C282/C84*C85</f>
        <v>157.047</v>
      </c>
      <c r="D283" s="849">
        <f t="shared" si="26"/>
        <v>-9.8989689007134007E-2</v>
      </c>
      <c r="F283" s="831"/>
      <c r="G283" s="830"/>
      <c r="H283" s="851"/>
      <c r="I283" s="830"/>
    </row>
    <row r="284" spans="1:9" ht="10.5" hidden="1" customHeight="1" outlineLevel="1" x14ac:dyDescent="0.2">
      <c r="A284" s="830"/>
      <c r="B284" s="851" t="s">
        <v>208</v>
      </c>
      <c r="C284" s="871">
        <v>156.88300000000001</v>
      </c>
      <c r="D284" s="849">
        <f t="shared" si="26"/>
        <v>0.14644108811752155</v>
      </c>
      <c r="F284" s="831"/>
      <c r="G284" s="830"/>
      <c r="H284" s="851"/>
      <c r="I284" s="830"/>
    </row>
    <row r="285" spans="1:9" ht="10.5" hidden="1" customHeight="1" outlineLevel="1" x14ac:dyDescent="0.2">
      <c r="A285" s="830" t="s">
        <v>385</v>
      </c>
      <c r="B285" s="851" t="s">
        <v>209</v>
      </c>
      <c r="C285" s="874">
        <f>C284/C86*C87</f>
        <v>157.06478794901506</v>
      </c>
      <c r="D285" s="849">
        <f t="shared" si="26"/>
        <v>0.49729238959230759</v>
      </c>
      <c r="F285" s="831"/>
      <c r="G285" s="830"/>
      <c r="H285" s="851"/>
      <c r="I285" s="830"/>
    </row>
    <row r="286" spans="1:9" ht="10.5" hidden="1" customHeight="1" outlineLevel="1" x14ac:dyDescent="0.2">
      <c r="A286" s="830"/>
      <c r="B286" s="851" t="s">
        <v>210</v>
      </c>
      <c r="C286" s="871">
        <f>C285/C87*C88</f>
        <v>157.4283638470452</v>
      </c>
      <c r="D286" s="849">
        <f t="shared" si="26"/>
        <v>0.61211223307402474</v>
      </c>
      <c r="F286" s="831"/>
      <c r="G286" s="830"/>
      <c r="H286" s="851"/>
      <c r="I286" s="830"/>
    </row>
    <row r="287" spans="1:9" ht="10.5" hidden="1" customHeight="1" outlineLevel="1" x14ac:dyDescent="0.2">
      <c r="A287" s="830"/>
      <c r="B287" s="851" t="s">
        <v>211</v>
      </c>
      <c r="C287" s="871">
        <v>157.52099999999999</v>
      </c>
      <c r="D287" s="849">
        <f t="shared" si="26"/>
        <v>0.43637689614937081</v>
      </c>
      <c r="F287" s="831"/>
      <c r="G287" s="830"/>
      <c r="H287" s="851"/>
      <c r="I287" s="830"/>
    </row>
    <row r="288" spans="1:9" ht="10.5" hidden="1" customHeight="1" outlineLevel="1" x14ac:dyDescent="0.2">
      <c r="A288" s="830" t="s">
        <v>386</v>
      </c>
      <c r="B288" s="851" t="s">
        <v>212</v>
      </c>
      <c r="C288" s="874">
        <f>C287/C89*C90</f>
        <v>157.52099999999999</v>
      </c>
      <c r="D288" s="849">
        <f t="shared" si="26"/>
        <v>8.6017441860497534E-2</v>
      </c>
      <c r="F288" s="831"/>
      <c r="G288" s="830"/>
      <c r="H288" s="851"/>
      <c r="I288" s="830"/>
    </row>
    <row r="289" spans="1:9" ht="10.5" hidden="1" customHeight="1" outlineLevel="1" x14ac:dyDescent="0.2">
      <c r="A289" s="830"/>
      <c r="B289" s="851" t="s">
        <v>213</v>
      </c>
      <c r="C289" s="874">
        <f>C288/C90*C91</f>
        <v>155.88394572748268</v>
      </c>
      <c r="D289" s="849">
        <f t="shared" si="26"/>
        <v>-0.9541374738170405</v>
      </c>
      <c r="F289" s="831"/>
      <c r="G289" s="830"/>
      <c r="H289" s="851"/>
      <c r="I289" s="830"/>
    </row>
    <row r="290" spans="1:9" ht="10.5" hidden="1" customHeight="1" outlineLevel="1" x14ac:dyDescent="0.2">
      <c r="A290" s="830"/>
      <c r="B290" s="851" t="s">
        <v>214</v>
      </c>
      <c r="C290" s="871">
        <v>154.96100000000001</v>
      </c>
      <c r="D290" s="849">
        <f t="shared" si="26"/>
        <v>-0.9200767263427112</v>
      </c>
      <c r="F290" s="831"/>
      <c r="G290" s="830"/>
      <c r="H290" s="851"/>
      <c r="I290" s="830"/>
    </row>
    <row r="291" spans="1:9" ht="10.5" customHeight="1" collapsed="1" x14ac:dyDescent="0.2">
      <c r="A291" s="830"/>
      <c r="B291" s="830"/>
      <c r="C291" s="873"/>
      <c r="D291" s="831"/>
      <c r="F291" s="831"/>
      <c r="G291" s="830"/>
      <c r="H291" s="830"/>
      <c r="I291" s="830"/>
    </row>
    <row r="292" spans="1:9" ht="10.5" customHeight="1" x14ac:dyDescent="0.2">
      <c r="A292" s="830"/>
      <c r="B292" s="843">
        <f>B278+1</f>
        <v>2008</v>
      </c>
      <c r="C292" s="873"/>
      <c r="D292" s="831"/>
      <c r="F292" s="831"/>
      <c r="G292" s="830"/>
      <c r="H292" s="843"/>
      <c r="I292" s="830"/>
    </row>
    <row r="293" spans="1:9" ht="10.5" hidden="1" customHeight="1" outlineLevel="1" x14ac:dyDescent="0.2">
      <c r="A293" s="830" t="s">
        <v>387</v>
      </c>
      <c r="B293" s="847" t="s">
        <v>203</v>
      </c>
      <c r="C293" s="874">
        <f>C290/C92*C95</f>
        <v>154.96100000000001</v>
      </c>
      <c r="D293" s="849">
        <f>(C293/C279-1)*100</f>
        <v>-0.9200767263427112</v>
      </c>
      <c r="F293" s="831"/>
      <c r="G293" s="830"/>
      <c r="H293" s="847"/>
      <c r="I293" s="830"/>
    </row>
    <row r="294" spans="1:9" ht="10.5" hidden="1" customHeight="1" outlineLevel="1" x14ac:dyDescent="0.2">
      <c r="A294" s="830"/>
      <c r="B294" s="847" t="s">
        <v>204</v>
      </c>
      <c r="C294" s="874">
        <f>C293/C95*C96</f>
        <v>155.14287910798123</v>
      </c>
      <c r="D294" s="849">
        <f t="shared" ref="D294:D304" si="27">(C294/C280-1)*100</f>
        <v>-0.91926444934790075</v>
      </c>
      <c r="F294" s="831"/>
      <c r="G294" s="830"/>
      <c r="H294" s="847"/>
      <c r="I294" s="830"/>
    </row>
    <row r="295" spans="1:9" ht="10.5" hidden="1" customHeight="1" outlineLevel="1" x14ac:dyDescent="0.2">
      <c r="A295" s="830"/>
      <c r="B295" s="847" t="s">
        <v>205</v>
      </c>
      <c r="C295" s="875">
        <v>155.048</v>
      </c>
      <c r="D295" s="849">
        <f t="shared" si="27"/>
        <v>-1.272867358179397</v>
      </c>
      <c r="F295" s="831"/>
      <c r="G295" s="830"/>
      <c r="H295" s="847"/>
      <c r="I295" s="830"/>
    </row>
    <row r="296" spans="1:9" ht="10.5" hidden="1" customHeight="1" outlineLevel="1" x14ac:dyDescent="0.2">
      <c r="A296" s="830" t="s">
        <v>388</v>
      </c>
      <c r="B296" s="851" t="s">
        <v>206</v>
      </c>
      <c r="C296" s="874">
        <f>C295/C97*C98</f>
        <v>155.23019506462987</v>
      </c>
      <c r="D296" s="849">
        <f t="shared" si="27"/>
        <v>-1.1568542763441103</v>
      </c>
      <c r="F296" s="831"/>
      <c r="G296" s="830"/>
      <c r="H296" s="851"/>
      <c r="I296" s="830"/>
    </row>
    <row r="297" spans="1:9" ht="10.5" hidden="1" customHeight="1" outlineLevel="1" x14ac:dyDescent="0.2">
      <c r="A297" s="830"/>
      <c r="B297" s="851" t="s">
        <v>207</v>
      </c>
      <c r="C297" s="874">
        <f>C296/C98*C99</f>
        <v>155.41239012925973</v>
      </c>
      <c r="D297" s="849">
        <f t="shared" si="27"/>
        <v>-1.0408411945088125</v>
      </c>
      <c r="F297" s="831"/>
      <c r="G297" s="830"/>
      <c r="H297" s="851"/>
      <c r="I297" s="830"/>
    </row>
    <row r="298" spans="1:9" ht="10.5" hidden="1" customHeight="1" outlineLevel="1" x14ac:dyDescent="0.2">
      <c r="A298" s="830"/>
      <c r="B298" s="851" t="s">
        <v>208</v>
      </c>
      <c r="C298" s="875">
        <v>155.60599999999999</v>
      </c>
      <c r="D298" s="849">
        <f t="shared" si="27"/>
        <v>-0.813982394523316</v>
      </c>
      <c r="F298" s="831"/>
      <c r="G298" s="830"/>
      <c r="H298" s="851"/>
      <c r="I298" s="830"/>
    </row>
    <row r="299" spans="1:9" ht="10.5" hidden="1" customHeight="1" outlineLevel="1" x14ac:dyDescent="0.2">
      <c r="A299" s="830" t="s">
        <v>389</v>
      </c>
      <c r="B299" s="851" t="s">
        <v>209</v>
      </c>
      <c r="C299" s="874">
        <f>C298/C100*C101</f>
        <v>155.78799532163742</v>
      </c>
      <c r="D299" s="849">
        <f t="shared" si="27"/>
        <v>-0.81290825528130828</v>
      </c>
      <c r="F299" s="831"/>
      <c r="G299" s="830"/>
      <c r="H299" s="851"/>
      <c r="I299" s="830"/>
    </row>
    <row r="300" spans="1:9" ht="10.5" hidden="1" customHeight="1" outlineLevel="1" x14ac:dyDescent="0.2">
      <c r="A300" s="830"/>
      <c r="B300" s="851" t="s">
        <v>210</v>
      </c>
      <c r="C300" s="874">
        <f>C299/C101*C102</f>
        <v>155.24200935672516</v>
      </c>
      <c r="D300" s="849">
        <f t="shared" si="27"/>
        <v>-1.3887932497629651</v>
      </c>
      <c r="F300" s="831"/>
      <c r="G300" s="830"/>
      <c r="H300" s="851"/>
      <c r="I300" s="830"/>
    </row>
    <row r="301" spans="1:9" ht="10.5" hidden="1" customHeight="1" outlineLevel="1" x14ac:dyDescent="0.2">
      <c r="A301" s="830"/>
      <c r="B301" s="851" t="s">
        <v>211</v>
      </c>
      <c r="C301" s="875">
        <v>155.41999999999999</v>
      </c>
      <c r="D301" s="849">
        <f t="shared" si="27"/>
        <v>-1.3337904152462166</v>
      </c>
      <c r="F301" s="831"/>
      <c r="G301" s="830"/>
      <c r="H301" s="851"/>
      <c r="I301" s="830"/>
    </row>
    <row r="302" spans="1:9" ht="10.5" hidden="1" customHeight="1" outlineLevel="1" x14ac:dyDescent="0.2">
      <c r="A302" s="830" t="s">
        <v>390</v>
      </c>
      <c r="B302" s="851" t="s">
        <v>212</v>
      </c>
      <c r="C302" s="874">
        <f>C301/C103*C104</f>
        <v>155.96469626168223</v>
      </c>
      <c r="D302" s="849">
        <f t="shared" si="27"/>
        <v>-0.9879976246454425</v>
      </c>
      <c r="F302" s="831"/>
      <c r="G302" s="830"/>
      <c r="H302" s="851"/>
      <c r="I302" s="830"/>
    </row>
    <row r="303" spans="1:9" ht="10.5" hidden="1" customHeight="1" outlineLevel="1" x14ac:dyDescent="0.2">
      <c r="A303" s="830"/>
      <c r="B303" s="851" t="s">
        <v>213</v>
      </c>
      <c r="C303" s="874">
        <f>C302/C104*C105</f>
        <v>155.96469626168223</v>
      </c>
      <c r="D303" s="849">
        <f t="shared" si="27"/>
        <v>5.1801700183240484E-2</v>
      </c>
      <c r="F303" s="831"/>
      <c r="G303" s="830"/>
      <c r="H303" s="851"/>
      <c r="I303" s="830"/>
    </row>
    <row r="304" spans="1:9" ht="10.5" hidden="1" customHeight="1" outlineLevel="1" x14ac:dyDescent="0.2">
      <c r="A304" s="830"/>
      <c r="B304" s="851" t="s">
        <v>214</v>
      </c>
      <c r="C304" s="871">
        <v>154.09100000000001</v>
      </c>
      <c r="D304" s="849">
        <f t="shared" si="27"/>
        <v>-0.5614315860119623</v>
      </c>
      <c r="F304" s="831"/>
      <c r="G304" s="830"/>
      <c r="H304" s="851"/>
      <c r="I304" s="830"/>
    </row>
    <row r="305" spans="1:9" ht="10.5" customHeight="1" collapsed="1" x14ac:dyDescent="0.2">
      <c r="A305" s="830"/>
      <c r="B305" s="830"/>
      <c r="C305" s="873"/>
      <c r="D305" s="831"/>
      <c r="F305" s="831"/>
      <c r="G305" s="830"/>
      <c r="H305" s="830"/>
      <c r="I305" s="830"/>
    </row>
    <row r="306" spans="1:9" ht="10.5" customHeight="1" x14ac:dyDescent="0.2">
      <c r="A306" s="830"/>
      <c r="B306" s="843">
        <f>B292+1</f>
        <v>2009</v>
      </c>
      <c r="C306" s="873"/>
      <c r="D306" s="831"/>
      <c r="F306" s="831"/>
      <c r="G306" s="830"/>
      <c r="H306" s="843"/>
      <c r="I306" s="830"/>
    </row>
    <row r="307" spans="1:9" ht="10.5" hidden="1" customHeight="1" outlineLevel="1" x14ac:dyDescent="0.2">
      <c r="A307" s="830" t="s">
        <v>391</v>
      </c>
      <c r="B307" s="847" t="s">
        <v>203</v>
      </c>
      <c r="C307" s="874">
        <f>C304/C106*C109</f>
        <v>154.09100000000001</v>
      </c>
      <c r="D307" s="849">
        <f>(C307/C293-1)*100</f>
        <v>-0.5614315860119623</v>
      </c>
      <c r="F307" s="831"/>
      <c r="G307" s="830"/>
      <c r="H307" s="847"/>
      <c r="I307" s="830"/>
    </row>
    <row r="308" spans="1:9" ht="10.5" hidden="1" customHeight="1" outlineLevel="1" x14ac:dyDescent="0.2">
      <c r="A308" s="830"/>
      <c r="B308" s="847" t="s">
        <v>204</v>
      </c>
      <c r="C308" s="874">
        <f>C307/C109*C110</f>
        <v>154.09100000000001</v>
      </c>
      <c r="D308" s="849">
        <f t="shared" ref="D308:D318" si="28">(C308/C294-1)*100</f>
        <v>-0.67800669552425807</v>
      </c>
      <c r="F308" s="831"/>
      <c r="G308" s="830"/>
      <c r="H308" s="847"/>
      <c r="I308" s="830"/>
    </row>
    <row r="309" spans="1:9" ht="10.5" hidden="1" customHeight="1" outlineLevel="1" x14ac:dyDescent="0.2">
      <c r="A309" s="830"/>
      <c r="B309" s="847" t="s">
        <v>205</v>
      </c>
      <c r="C309" s="871">
        <v>154.44300000000001</v>
      </c>
      <c r="D309" s="849">
        <f t="shared" si="28"/>
        <v>-0.39020174397604857</v>
      </c>
      <c r="F309" s="831"/>
      <c r="G309" s="830"/>
      <c r="H309" s="847"/>
      <c r="I309" s="830"/>
    </row>
    <row r="310" spans="1:9" ht="10.5" hidden="1" customHeight="1" outlineLevel="1" x14ac:dyDescent="0.2">
      <c r="A310" s="830" t="s">
        <v>392</v>
      </c>
      <c r="B310" s="851" t="s">
        <v>206</v>
      </c>
      <c r="C310" s="874">
        <f>C309/C111*C112</f>
        <v>154.44300000000001</v>
      </c>
      <c r="D310" s="849">
        <f t="shared" si="28"/>
        <v>-0.50711465272726963</v>
      </c>
      <c r="F310" s="831"/>
      <c r="G310" s="830"/>
      <c r="H310" s="851"/>
      <c r="I310" s="830"/>
    </row>
    <row r="311" spans="1:9" ht="10.5" hidden="1" customHeight="1" outlineLevel="1" x14ac:dyDescent="0.2">
      <c r="A311" s="830"/>
      <c r="B311" s="851" t="s">
        <v>207</v>
      </c>
      <c r="C311" s="874">
        <f>C310/C112*C113</f>
        <v>154.44300000000001</v>
      </c>
      <c r="D311" s="849">
        <f t="shared" si="28"/>
        <v>-0.62375343976980302</v>
      </c>
      <c r="F311" s="831"/>
      <c r="G311" s="830"/>
      <c r="H311" s="851"/>
      <c r="I311" s="830"/>
    </row>
    <row r="312" spans="1:9" ht="10.5" hidden="1" customHeight="1" outlineLevel="1" x14ac:dyDescent="0.2">
      <c r="A312" s="830"/>
      <c r="B312" s="851" t="s">
        <v>208</v>
      </c>
      <c r="C312" s="871">
        <v>154.44300000000001</v>
      </c>
      <c r="D312" s="849">
        <f t="shared" si="28"/>
        <v>-0.74740048584244212</v>
      </c>
      <c r="F312" s="831"/>
      <c r="G312" s="830"/>
      <c r="H312" s="851"/>
      <c r="I312" s="830"/>
    </row>
    <row r="313" spans="1:9" ht="10.5" hidden="1" customHeight="1" outlineLevel="1" x14ac:dyDescent="0.2">
      <c r="A313" s="830" t="s">
        <v>393</v>
      </c>
      <c r="B313" s="851" t="s">
        <v>209</v>
      </c>
      <c r="C313" s="874">
        <f>C312/C114*C115</f>
        <v>154.62512617924531</v>
      </c>
      <c r="D313" s="849">
        <f t="shared" si="28"/>
        <v>-0.74644335719916688</v>
      </c>
      <c r="F313" s="831"/>
      <c r="G313" s="830"/>
      <c r="H313" s="851"/>
      <c r="I313" s="830"/>
    </row>
    <row r="314" spans="1:9" ht="10.5" hidden="1" customHeight="1" outlineLevel="1" x14ac:dyDescent="0.2">
      <c r="A314" s="830"/>
      <c r="B314" s="851" t="s">
        <v>210</v>
      </c>
      <c r="C314" s="874">
        <f>C313/C115*C116</f>
        <v>155.17150471698116</v>
      </c>
      <c r="D314" s="849">
        <f t="shared" si="28"/>
        <v>-4.5415954119731872E-2</v>
      </c>
      <c r="F314" s="831"/>
      <c r="G314" s="830"/>
      <c r="H314" s="851"/>
      <c r="I314" s="830"/>
    </row>
    <row r="315" spans="1:9" ht="10.5" hidden="1" customHeight="1" outlineLevel="1" x14ac:dyDescent="0.2">
      <c r="A315" s="830"/>
      <c r="B315" s="851" t="s">
        <v>211</v>
      </c>
      <c r="C315" s="871">
        <v>155.34100000000001</v>
      </c>
      <c r="D315" s="849">
        <f t="shared" si="28"/>
        <v>-5.0830009007840626E-2</v>
      </c>
      <c r="F315" s="831"/>
      <c r="G315" s="830"/>
      <c r="H315" s="851"/>
      <c r="I315" s="830"/>
    </row>
    <row r="316" spans="1:9" ht="10.5" hidden="1" customHeight="1" outlineLevel="1" x14ac:dyDescent="0.2">
      <c r="A316" s="830" t="s">
        <v>394</v>
      </c>
      <c r="B316" s="851" t="s">
        <v>212</v>
      </c>
      <c r="C316" s="874">
        <f>C315/C117*C118</f>
        <v>155.34100000000001</v>
      </c>
      <c r="D316" s="849">
        <f t="shared" si="28"/>
        <v>-0.39989579477381909</v>
      </c>
      <c r="F316" s="831"/>
      <c r="G316" s="830"/>
      <c r="H316" s="851"/>
      <c r="I316" s="830"/>
    </row>
    <row r="317" spans="1:9" ht="10.5" hidden="1" customHeight="1" outlineLevel="1" x14ac:dyDescent="0.2">
      <c r="A317" s="830"/>
      <c r="B317" s="851" t="s">
        <v>213</v>
      </c>
      <c r="C317" s="874">
        <f>C316/C118*C119</f>
        <v>155.34100000000001</v>
      </c>
      <c r="D317" s="849">
        <f t="shared" si="28"/>
        <v>-0.39989579477381909</v>
      </c>
      <c r="F317" s="831"/>
      <c r="G317" s="830"/>
      <c r="H317" s="851"/>
      <c r="I317" s="830"/>
    </row>
    <row r="318" spans="1:9" ht="10.5" hidden="1" customHeight="1" outlineLevel="1" x14ac:dyDescent="0.2">
      <c r="A318" s="830"/>
      <c r="B318" s="851" t="s">
        <v>214</v>
      </c>
      <c r="C318" s="871">
        <v>154.4</v>
      </c>
      <c r="D318" s="849">
        <f t="shared" si="28"/>
        <v>0.20053085514404323</v>
      </c>
      <c r="E318" s="281"/>
      <c r="F318" s="831"/>
      <c r="G318" s="830"/>
      <c r="H318" s="851"/>
      <c r="I318" s="830"/>
    </row>
    <row r="319" spans="1:9" ht="10.5" customHeight="1" collapsed="1" x14ac:dyDescent="0.2">
      <c r="A319" s="830"/>
      <c r="B319" s="830"/>
      <c r="C319" s="873"/>
      <c r="D319" s="831"/>
      <c r="F319" s="831"/>
      <c r="G319" s="830"/>
      <c r="H319" s="830"/>
      <c r="I319" s="830"/>
    </row>
    <row r="320" spans="1:9" ht="10.5" customHeight="1" x14ac:dyDescent="0.2">
      <c r="A320" s="830"/>
      <c r="B320" s="843">
        <f>B306+1</f>
        <v>2010</v>
      </c>
      <c r="C320" s="873"/>
      <c r="D320" s="831"/>
      <c r="F320" s="831"/>
      <c r="G320" s="830"/>
      <c r="H320" s="843"/>
      <c r="I320" s="830"/>
    </row>
    <row r="321" spans="1:9" ht="10.5" hidden="1" customHeight="1" outlineLevel="1" x14ac:dyDescent="0.2">
      <c r="A321" s="830" t="s">
        <v>395</v>
      </c>
      <c r="B321" s="847" t="s">
        <v>203</v>
      </c>
      <c r="C321" s="874">
        <f>C318/C120*C123</f>
        <v>154.4</v>
      </c>
      <c r="D321" s="849">
        <f>(C321/C307-1)*100</f>
        <v>0.20053085514404323</v>
      </c>
      <c r="F321" s="831"/>
      <c r="G321" s="830"/>
      <c r="H321" s="847"/>
      <c r="I321" s="830"/>
    </row>
    <row r="322" spans="1:9" ht="10.5" hidden="1" customHeight="1" outlineLevel="1" x14ac:dyDescent="0.2">
      <c r="A322" s="830"/>
      <c r="B322" s="847" t="s">
        <v>204</v>
      </c>
      <c r="C322" s="874">
        <f>C321/C123*C124</f>
        <v>154.4</v>
      </c>
      <c r="D322" s="849">
        <f t="shared" ref="D322:D332" si="29">(C322/C308-1)*100</f>
        <v>0.20053085514404323</v>
      </c>
      <c r="F322" s="831"/>
      <c r="G322" s="830"/>
      <c r="H322" s="847"/>
      <c r="I322" s="830"/>
    </row>
    <row r="323" spans="1:9" ht="10.5" hidden="1" customHeight="1" outlineLevel="1" x14ac:dyDescent="0.2">
      <c r="A323" s="830"/>
      <c r="B323" s="847" t="s">
        <v>205</v>
      </c>
      <c r="C323" s="871">
        <v>154.30500000000001</v>
      </c>
      <c r="D323" s="849">
        <f t="shared" si="29"/>
        <v>-8.9353353664467505E-2</v>
      </c>
      <c r="F323" s="831"/>
      <c r="G323" s="830"/>
      <c r="H323" s="847"/>
      <c r="I323" s="830"/>
    </row>
    <row r="324" spans="1:9" ht="10.5" hidden="1" customHeight="1" outlineLevel="1" x14ac:dyDescent="0.2">
      <c r="A324" s="830" t="s">
        <v>396</v>
      </c>
      <c r="B324" s="851" t="s">
        <v>206</v>
      </c>
      <c r="C324" s="874">
        <f>C323/C125*C126</f>
        <v>154.48674911660777</v>
      </c>
      <c r="D324" s="849">
        <f t="shared" si="29"/>
        <v>2.8327031077979292E-2</v>
      </c>
      <c r="F324" s="831"/>
      <c r="G324" s="830"/>
      <c r="H324" s="851"/>
      <c r="I324" s="830"/>
    </row>
    <row r="325" spans="1:9" ht="10.5" hidden="1" customHeight="1" outlineLevel="1" x14ac:dyDescent="0.2">
      <c r="A325" s="830"/>
      <c r="B325" s="851" t="s">
        <v>207</v>
      </c>
      <c r="C325" s="874">
        <f>C324/C126*C127</f>
        <v>154.48674911660777</v>
      </c>
      <c r="D325" s="849">
        <f t="shared" si="29"/>
        <v>2.8327031077979292E-2</v>
      </c>
      <c r="F325" s="831"/>
      <c r="G325" s="830"/>
      <c r="H325" s="851"/>
      <c r="I325" s="830"/>
    </row>
    <row r="326" spans="1:9" ht="10.5" hidden="1" customHeight="1" outlineLevel="1" x14ac:dyDescent="0.2">
      <c r="A326" s="830"/>
      <c r="B326" s="851" t="s">
        <v>208</v>
      </c>
      <c r="C326" s="871">
        <v>154.30500000000001</v>
      </c>
      <c r="D326" s="849">
        <f t="shared" si="29"/>
        <v>-8.9353353664467505E-2</v>
      </c>
      <c r="F326" s="831"/>
      <c r="G326" s="830"/>
      <c r="H326" s="851"/>
      <c r="I326" s="830"/>
    </row>
    <row r="327" spans="1:9" ht="10.5" hidden="1" customHeight="1" outlineLevel="1" x14ac:dyDescent="0.2">
      <c r="A327" s="830" t="s">
        <v>397</v>
      </c>
      <c r="B327" s="851" t="s">
        <v>209</v>
      </c>
      <c r="C327" s="874">
        <f>C326/C128*C129</f>
        <v>154.30500000000001</v>
      </c>
      <c r="D327" s="849">
        <f t="shared" si="29"/>
        <v>-0.2070337384069143</v>
      </c>
      <c r="F327" s="831"/>
      <c r="G327" s="830"/>
      <c r="H327" s="851"/>
      <c r="I327" s="830"/>
    </row>
    <row r="328" spans="1:9" ht="10.5" hidden="1" customHeight="1" outlineLevel="1" x14ac:dyDescent="0.2">
      <c r="A328" s="830"/>
      <c r="B328" s="851" t="s">
        <v>210</v>
      </c>
      <c r="C328" s="874">
        <f>C327/C129*C130</f>
        <v>154.85024734982332</v>
      </c>
      <c r="D328" s="849">
        <f t="shared" si="29"/>
        <v>-0.2070337384069254</v>
      </c>
      <c r="F328" s="831"/>
      <c r="G328" s="830"/>
      <c r="H328" s="851"/>
      <c r="I328" s="830"/>
    </row>
    <row r="329" spans="1:9" ht="10.5" hidden="1" customHeight="1" outlineLevel="1" x14ac:dyDescent="0.2">
      <c r="A329" s="830"/>
      <c r="B329" s="851" t="s">
        <v>211</v>
      </c>
      <c r="C329" s="871">
        <v>154.666</v>
      </c>
      <c r="D329" s="849">
        <f t="shared" si="29"/>
        <v>-0.43452790956670651</v>
      </c>
      <c r="F329" s="831"/>
      <c r="G329" s="830"/>
      <c r="H329" s="851"/>
      <c r="I329" s="830"/>
    </row>
    <row r="330" spans="1:9" ht="10.5" hidden="1" customHeight="1" outlineLevel="1" x14ac:dyDescent="0.2">
      <c r="A330" s="830" t="s">
        <v>398</v>
      </c>
      <c r="B330" s="851" t="s">
        <v>212</v>
      </c>
      <c r="C330" s="874">
        <f>C329/C131*C132</f>
        <v>154.666</v>
      </c>
      <c r="D330" s="849">
        <f t="shared" si="29"/>
        <v>-0.43452790956670651</v>
      </c>
      <c r="F330" s="831"/>
      <c r="G330" s="830"/>
      <c r="H330" s="851"/>
      <c r="I330" s="830"/>
    </row>
    <row r="331" spans="1:9" ht="10.5" hidden="1" customHeight="1" outlineLevel="1" x14ac:dyDescent="0.2">
      <c r="A331" s="830"/>
      <c r="B331" s="851" t="s">
        <v>213</v>
      </c>
      <c r="C331" s="874">
        <f>C330/C132*C133</f>
        <v>154.666</v>
      </c>
      <c r="D331" s="849">
        <f t="shared" si="29"/>
        <v>-0.43452790956670651</v>
      </c>
      <c r="F331" s="831"/>
      <c r="G331" s="830"/>
      <c r="H331" s="851"/>
      <c r="I331" s="830"/>
    </row>
    <row r="332" spans="1:9" ht="10.5" hidden="1" customHeight="1" outlineLevel="1" x14ac:dyDescent="0.2">
      <c r="A332" s="830"/>
      <c r="B332" s="851" t="s">
        <v>214</v>
      </c>
      <c r="C332" s="871">
        <v>154.221</v>
      </c>
      <c r="D332" s="849">
        <f t="shared" si="29"/>
        <v>-0.11593264248704882</v>
      </c>
      <c r="F332" s="831"/>
      <c r="G332" s="830"/>
      <c r="H332" s="851"/>
      <c r="I332" s="830"/>
    </row>
    <row r="333" spans="1:9" ht="10.5" customHeight="1" collapsed="1" x14ac:dyDescent="0.2">
      <c r="A333" s="830"/>
      <c r="B333" s="830"/>
      <c r="C333" s="873"/>
      <c r="D333" s="831"/>
      <c r="F333" s="831"/>
      <c r="G333" s="830"/>
      <c r="H333" s="830"/>
      <c r="I333" s="830"/>
    </row>
    <row r="334" spans="1:9" ht="10.5" customHeight="1" x14ac:dyDescent="0.2">
      <c r="A334" s="830"/>
      <c r="B334" s="843">
        <f>B320+1</f>
        <v>2011</v>
      </c>
      <c r="C334" s="873"/>
      <c r="D334" s="831"/>
      <c r="F334" s="831"/>
      <c r="G334" s="830"/>
      <c r="H334" s="843"/>
      <c r="I334" s="830"/>
    </row>
    <row r="335" spans="1:9" ht="10.5" hidden="1" customHeight="1" outlineLevel="1" x14ac:dyDescent="0.2">
      <c r="A335" s="830" t="s">
        <v>399</v>
      </c>
      <c r="B335" s="847" t="s">
        <v>203</v>
      </c>
      <c r="C335" s="874">
        <f>C332/C134*C137</f>
        <v>154.221</v>
      </c>
      <c r="D335" s="849">
        <f>(C335/C321-1)*100</f>
        <v>-0.11593264248704882</v>
      </c>
      <c r="F335" s="831"/>
      <c r="G335" s="830"/>
      <c r="H335" s="847"/>
      <c r="I335" s="830"/>
    </row>
    <row r="336" spans="1:9" ht="10.5" hidden="1" customHeight="1" outlineLevel="1" x14ac:dyDescent="0.2">
      <c r="A336" s="830"/>
      <c r="B336" s="847" t="s">
        <v>204</v>
      </c>
      <c r="C336" s="874">
        <f>C335/C137*C138</f>
        <v>154.221</v>
      </c>
      <c r="D336" s="849">
        <f t="shared" ref="D336:D346" si="30">(C336/C322-1)*100</f>
        <v>-0.11593264248704882</v>
      </c>
      <c r="F336" s="831"/>
      <c r="G336" s="830"/>
      <c r="H336" s="847"/>
      <c r="I336" s="830"/>
    </row>
    <row r="337" spans="1:9" ht="10.5" hidden="1" customHeight="1" outlineLevel="1" x14ac:dyDescent="0.2">
      <c r="A337" s="830"/>
      <c r="B337" s="847" t="s">
        <v>205</v>
      </c>
      <c r="C337" s="875">
        <v>154.34800000000001</v>
      </c>
      <c r="D337" s="849">
        <f t="shared" si="30"/>
        <v>2.7866887009508901E-2</v>
      </c>
      <c r="F337" s="831"/>
      <c r="G337" s="830"/>
      <c r="H337" s="847"/>
      <c r="I337" s="830"/>
    </row>
    <row r="338" spans="1:9" ht="10.5" hidden="1" customHeight="1" outlineLevel="1" x14ac:dyDescent="0.2">
      <c r="A338" s="830" t="s">
        <v>400</v>
      </c>
      <c r="B338" s="851" t="s">
        <v>206</v>
      </c>
      <c r="C338" s="874">
        <f>C337/C139*C140</f>
        <v>154.34800000000001</v>
      </c>
      <c r="D338" s="849">
        <f t="shared" si="30"/>
        <v>-8.9812956386980947E-2</v>
      </c>
      <c r="F338" s="831"/>
      <c r="G338" s="830"/>
      <c r="H338" s="851"/>
      <c r="I338" s="830"/>
    </row>
    <row r="339" spans="1:9" ht="10.5" hidden="1" customHeight="1" outlineLevel="1" x14ac:dyDescent="0.2">
      <c r="A339" s="830"/>
      <c r="B339" s="851" t="s">
        <v>207</v>
      </c>
      <c r="C339" s="874">
        <f>C338/C140*C141</f>
        <v>154.34800000000001</v>
      </c>
      <c r="D339" s="849">
        <f t="shared" si="30"/>
        <v>-8.9812956386980947E-2</v>
      </c>
      <c r="F339" s="831"/>
      <c r="G339" s="830"/>
      <c r="H339" s="851"/>
      <c r="I339" s="830"/>
    </row>
    <row r="340" spans="1:9" ht="10.5" hidden="1" customHeight="1" outlineLevel="1" x14ac:dyDescent="0.2">
      <c r="A340" s="830"/>
      <c r="B340" s="851" t="s">
        <v>208</v>
      </c>
      <c r="C340" s="875">
        <v>154.298</v>
      </c>
      <c r="D340" s="849">
        <f t="shared" si="30"/>
        <v>-4.5364699782890483E-3</v>
      </c>
      <c r="F340" s="831"/>
      <c r="G340" s="830"/>
      <c r="H340" s="851"/>
      <c r="I340" s="830"/>
    </row>
    <row r="341" spans="1:9" ht="10.5" hidden="1" customHeight="1" outlineLevel="1" x14ac:dyDescent="0.2">
      <c r="A341" s="830" t="s">
        <v>401</v>
      </c>
      <c r="B341" s="851" t="s">
        <v>209</v>
      </c>
      <c r="C341" s="874">
        <f>C340/C142*C143</f>
        <v>154.298</v>
      </c>
      <c r="D341" s="849">
        <f t="shared" si="30"/>
        <v>-4.5364699782890483E-3</v>
      </c>
      <c r="F341" s="831"/>
      <c r="G341" s="830"/>
      <c r="H341" s="851"/>
      <c r="I341" s="830"/>
    </row>
    <row r="342" spans="1:9" ht="10.5" hidden="1" customHeight="1" outlineLevel="1" x14ac:dyDescent="0.2">
      <c r="A342" s="830"/>
      <c r="B342" s="851" t="s">
        <v>210</v>
      </c>
      <c r="C342" s="874">
        <f>C341/C143*C144</f>
        <v>154.298</v>
      </c>
      <c r="D342" s="849">
        <f t="shared" si="30"/>
        <v>-0.35663317254878146</v>
      </c>
      <c r="F342" s="831"/>
      <c r="G342" s="830"/>
      <c r="H342" s="851"/>
      <c r="I342" s="830"/>
    </row>
    <row r="343" spans="1:9" ht="10.5" hidden="1" customHeight="1" outlineLevel="1" x14ac:dyDescent="0.2">
      <c r="A343" s="830"/>
      <c r="B343" s="851" t="s">
        <v>211</v>
      </c>
      <c r="C343" s="875">
        <v>154.28399999999999</v>
      </c>
      <c r="D343" s="849">
        <f t="shared" si="30"/>
        <v>-0.24698382320613721</v>
      </c>
      <c r="F343" s="831"/>
      <c r="G343" s="830"/>
      <c r="H343" s="851"/>
      <c r="I343" s="830"/>
    </row>
    <row r="344" spans="1:9" ht="10.5" hidden="1" customHeight="1" outlineLevel="1" x14ac:dyDescent="0.2">
      <c r="A344" s="830" t="s">
        <v>402</v>
      </c>
      <c r="B344" s="851" t="s">
        <v>212</v>
      </c>
      <c r="C344" s="874">
        <f>C343/C145*C146</f>
        <v>154.4655105882353</v>
      </c>
      <c r="D344" s="849">
        <f t="shared" si="30"/>
        <v>-0.12962733358636847</v>
      </c>
      <c r="F344" s="831"/>
      <c r="G344" s="830"/>
      <c r="H344" s="851"/>
      <c r="I344" s="830"/>
    </row>
    <row r="345" spans="1:9" ht="10.5" hidden="1" customHeight="1" outlineLevel="1" x14ac:dyDescent="0.2">
      <c r="A345" s="830"/>
      <c r="B345" s="851" t="s">
        <v>213</v>
      </c>
      <c r="C345" s="874">
        <f>C344/C146*C147</f>
        <v>154.28399999999999</v>
      </c>
      <c r="D345" s="849">
        <f t="shared" si="30"/>
        <v>-0.24698382320613721</v>
      </c>
      <c r="F345" s="831"/>
      <c r="G345" s="830"/>
      <c r="H345" s="851"/>
      <c r="I345" s="830"/>
    </row>
    <row r="346" spans="1:9" ht="10.5" hidden="1" customHeight="1" outlineLevel="1" x14ac:dyDescent="0.2">
      <c r="A346" s="830"/>
      <c r="B346" s="851" t="s">
        <v>214</v>
      </c>
      <c r="C346" s="875">
        <v>152.298</v>
      </c>
      <c r="D346" s="849">
        <f t="shared" si="30"/>
        <v>-1.2469118991576988</v>
      </c>
      <c r="F346" s="831"/>
      <c r="G346" s="830"/>
      <c r="H346" s="851"/>
      <c r="I346" s="830"/>
    </row>
    <row r="347" spans="1:9" ht="10.5" customHeight="1" collapsed="1" x14ac:dyDescent="0.2">
      <c r="A347" s="830"/>
      <c r="B347" s="830"/>
      <c r="C347" s="873"/>
      <c r="D347" s="831"/>
      <c r="F347" s="831"/>
      <c r="G347" s="830"/>
      <c r="H347" s="830"/>
      <c r="I347" s="830"/>
    </row>
    <row r="348" spans="1:9" ht="10.5" customHeight="1" x14ac:dyDescent="0.2">
      <c r="A348" s="830"/>
      <c r="B348" s="843">
        <f>B334+1</f>
        <v>2012</v>
      </c>
      <c r="C348" s="873"/>
      <c r="D348" s="831"/>
      <c r="F348" s="831"/>
      <c r="G348" s="830"/>
      <c r="H348" s="863"/>
      <c r="I348" s="830"/>
    </row>
    <row r="349" spans="1:9" ht="10.5" hidden="1" customHeight="1" outlineLevel="1" x14ac:dyDescent="0.2">
      <c r="A349" s="830" t="s">
        <v>403</v>
      </c>
      <c r="B349" s="847" t="s">
        <v>203</v>
      </c>
      <c r="C349" s="874">
        <f>C346/C148*C151</f>
        <v>152.298</v>
      </c>
      <c r="D349" s="849">
        <f>(C349/C335-1)*100</f>
        <v>-1.2469118991576988</v>
      </c>
      <c r="F349" s="831"/>
      <c r="G349" s="830"/>
      <c r="H349" s="847"/>
      <c r="I349" s="830"/>
    </row>
    <row r="350" spans="1:9" ht="10.5" hidden="1" customHeight="1" outlineLevel="1" x14ac:dyDescent="0.2">
      <c r="A350" s="830"/>
      <c r="B350" s="847" t="s">
        <v>204</v>
      </c>
      <c r="C350" s="874">
        <f>C349/C151*C152</f>
        <v>152.65975296912114</v>
      </c>
      <c r="D350" s="849">
        <f t="shared" ref="D350:D360" si="31">(C350/C336-1)*100</f>
        <v>-1.0123439939300538</v>
      </c>
      <c r="F350" s="831"/>
      <c r="G350" s="830"/>
      <c r="H350" s="847"/>
      <c r="I350" s="830"/>
    </row>
    <row r="351" spans="1:9" ht="10.5" hidden="1" customHeight="1" outlineLevel="1" x14ac:dyDescent="0.2">
      <c r="A351" s="830"/>
      <c r="B351" s="847" t="s">
        <v>205</v>
      </c>
      <c r="C351" s="875">
        <v>152.19800000000001</v>
      </c>
      <c r="D351" s="849">
        <f t="shared" si="31"/>
        <v>-1.3929561769507881</v>
      </c>
      <c r="F351" s="831"/>
      <c r="G351" s="830"/>
      <c r="H351" s="847"/>
      <c r="I351" s="830"/>
    </row>
    <row r="352" spans="1:9" ht="10.5" hidden="1" customHeight="1" outlineLevel="1" x14ac:dyDescent="0.2">
      <c r="A352" s="830" t="s">
        <v>404</v>
      </c>
      <c r="B352" s="851" t="s">
        <v>206</v>
      </c>
      <c r="C352" s="875">
        <f>C351+0.03</f>
        <v>152.22800000000001</v>
      </c>
      <c r="D352" s="849">
        <f t="shared" si="31"/>
        <v>-1.3735195791328758</v>
      </c>
      <c r="F352" s="831"/>
      <c r="G352" s="830"/>
      <c r="H352" s="851"/>
      <c r="I352" s="830"/>
    </row>
    <row r="353" spans="1:9" ht="10.5" hidden="1" customHeight="1" outlineLevel="1" x14ac:dyDescent="0.2">
      <c r="A353" s="830"/>
      <c r="B353" s="851" t="s">
        <v>207</v>
      </c>
      <c r="C353" s="875">
        <f>C352/C154*C155</f>
        <v>152.58872985781991</v>
      </c>
      <c r="D353" s="849">
        <f t="shared" si="31"/>
        <v>-1.1398075402208607</v>
      </c>
      <c r="F353" s="831"/>
      <c r="G353" s="830"/>
      <c r="H353" s="851"/>
      <c r="I353" s="830"/>
    </row>
    <row r="354" spans="1:9" ht="10.5" hidden="1" customHeight="1" outlineLevel="1" x14ac:dyDescent="0.2">
      <c r="A354" s="830"/>
      <c r="B354" s="851" t="s">
        <v>208</v>
      </c>
      <c r="C354" s="875">
        <v>152.20400000000001</v>
      </c>
      <c r="D354" s="849">
        <f t="shared" si="31"/>
        <v>-1.3571141557246369</v>
      </c>
      <c r="F354" s="831"/>
      <c r="G354" s="830"/>
      <c r="H354" s="851"/>
      <c r="I354" s="830"/>
    </row>
    <row r="355" spans="1:9" ht="10.5" hidden="1" customHeight="1" outlineLevel="1" x14ac:dyDescent="0.2">
      <c r="A355" s="830" t="s">
        <v>405</v>
      </c>
      <c r="B355" s="851" t="s">
        <v>209</v>
      </c>
      <c r="C355" s="875">
        <v>152.22800000000001</v>
      </c>
      <c r="D355" s="849">
        <f t="shared" si="31"/>
        <v>-1.341559838753581</v>
      </c>
      <c r="F355" s="831"/>
      <c r="G355" s="830"/>
      <c r="H355" s="851"/>
      <c r="I355" s="830"/>
    </row>
    <row r="356" spans="1:9" ht="10.5" hidden="1" customHeight="1" outlineLevel="1" x14ac:dyDescent="0.2">
      <c r="A356" s="830"/>
      <c r="B356" s="851" t="s">
        <v>210</v>
      </c>
      <c r="C356" s="875">
        <v>152.25399999999999</v>
      </c>
      <c r="D356" s="849">
        <f t="shared" si="31"/>
        <v>-1.3247093287016121</v>
      </c>
      <c r="F356" s="831"/>
      <c r="G356" s="830"/>
      <c r="H356" s="851"/>
      <c r="I356" s="830"/>
    </row>
    <row r="357" spans="1:9" ht="10.5" hidden="1" customHeight="1" outlineLevel="1" x14ac:dyDescent="0.2">
      <c r="A357" s="830"/>
      <c r="B357" s="851" t="s">
        <v>211</v>
      </c>
      <c r="C357" s="875">
        <v>152.09899999999999</v>
      </c>
      <c r="D357" s="849">
        <f t="shared" si="31"/>
        <v>-1.4162194394752525</v>
      </c>
      <c r="F357" s="831"/>
      <c r="G357" s="830"/>
      <c r="H357" s="851"/>
      <c r="I357" s="830"/>
    </row>
    <row r="358" spans="1:9" ht="10.5" hidden="1" customHeight="1" outlineLevel="1" x14ac:dyDescent="0.2">
      <c r="A358" s="830" t="s">
        <v>406</v>
      </c>
      <c r="B358" s="851" t="s">
        <v>212</v>
      </c>
      <c r="C358" s="875">
        <v>152.124</v>
      </c>
      <c r="D358" s="849">
        <f t="shared" si="31"/>
        <v>-1.5158792272257915</v>
      </c>
      <c r="F358" s="831"/>
      <c r="G358" s="830"/>
      <c r="H358" s="851"/>
      <c r="I358" s="830"/>
    </row>
    <row r="359" spans="1:9" ht="10.5" hidden="1" customHeight="1" outlineLevel="1" x14ac:dyDescent="0.2">
      <c r="A359" s="830"/>
      <c r="B359" s="851" t="s">
        <v>213</v>
      </c>
      <c r="C359" s="875">
        <v>152.124</v>
      </c>
      <c r="D359" s="849">
        <f t="shared" si="31"/>
        <v>-1.4000155557283955</v>
      </c>
      <c r="F359" s="831"/>
      <c r="G359" s="830"/>
      <c r="H359" s="851"/>
      <c r="I359" s="830"/>
    </row>
    <row r="360" spans="1:9" ht="10.5" hidden="1" customHeight="1" outlineLevel="1" x14ac:dyDescent="0.2">
      <c r="A360" s="830"/>
      <c r="B360" s="851" t="s">
        <v>214</v>
      </c>
      <c r="C360" s="875">
        <f>150.559</f>
        <v>150.559</v>
      </c>
      <c r="D360" s="849">
        <f t="shared" si="31"/>
        <v>-1.1418403393347321</v>
      </c>
      <c r="F360" s="831"/>
      <c r="G360" s="830"/>
      <c r="H360" s="851"/>
      <c r="I360" s="830"/>
    </row>
    <row r="361" spans="1:9" ht="10.5" customHeight="1" collapsed="1" x14ac:dyDescent="0.2">
      <c r="A361" s="830"/>
      <c r="B361" s="830"/>
      <c r="C361" s="873"/>
      <c r="D361" s="831"/>
      <c r="F361" s="831"/>
      <c r="G361" s="830"/>
      <c r="H361" s="830"/>
      <c r="I361" s="830"/>
    </row>
    <row r="362" spans="1:9" ht="10.5" customHeight="1" x14ac:dyDescent="0.2">
      <c r="A362" s="830"/>
      <c r="B362" s="863">
        <f>B348+1</f>
        <v>2013</v>
      </c>
      <c r="C362" s="873"/>
      <c r="D362" s="831"/>
      <c r="F362" s="831"/>
      <c r="G362" s="830"/>
      <c r="H362" s="863"/>
      <c r="I362" s="830"/>
    </row>
    <row r="363" spans="1:9" ht="10.5" hidden="1" customHeight="1" outlineLevel="1" x14ac:dyDescent="0.2">
      <c r="A363" s="830" t="s">
        <v>423</v>
      </c>
      <c r="B363" s="847" t="s">
        <v>205</v>
      </c>
      <c r="C363" s="871">
        <f>150.77</f>
        <v>150.77000000000001</v>
      </c>
      <c r="D363" s="849">
        <f>(C363/C351-1)*100</f>
        <v>-0.9382514881930093</v>
      </c>
      <c r="E363" s="876"/>
      <c r="F363" s="831"/>
      <c r="G363" s="830"/>
      <c r="H363" s="847"/>
      <c r="I363" s="830"/>
    </row>
    <row r="364" spans="1:9" ht="10.5" hidden="1" customHeight="1" outlineLevel="1" x14ac:dyDescent="0.2">
      <c r="A364" s="830" t="s">
        <v>424</v>
      </c>
      <c r="B364" s="851" t="s">
        <v>208</v>
      </c>
      <c r="C364" s="871">
        <v>150.74799999999999</v>
      </c>
      <c r="D364" s="849">
        <f>(C364/C354-1)*100</f>
        <v>-0.95661086436625853</v>
      </c>
      <c r="E364" s="876"/>
      <c r="F364" s="831"/>
      <c r="G364" s="830"/>
      <c r="H364" s="851"/>
      <c r="I364" s="830"/>
    </row>
    <row r="365" spans="1:9" ht="10.5" hidden="1" customHeight="1" outlineLevel="1" x14ac:dyDescent="0.2">
      <c r="A365" s="830" t="s">
        <v>425</v>
      </c>
      <c r="B365" s="851" t="s">
        <v>211</v>
      </c>
      <c r="C365" s="871">
        <v>150.75</v>
      </c>
      <c r="D365" s="849">
        <f>(C365/C357-1)*100</f>
        <v>-0.8869223334801557</v>
      </c>
      <c r="E365" s="876"/>
      <c r="F365" s="831"/>
      <c r="G365" s="830"/>
      <c r="H365" s="851"/>
      <c r="I365" s="830"/>
    </row>
    <row r="366" spans="1:9" ht="10.5" hidden="1" customHeight="1" outlineLevel="1" x14ac:dyDescent="0.2">
      <c r="A366" s="830" t="s">
        <v>426</v>
      </c>
      <c r="B366" s="851" t="s">
        <v>214</v>
      </c>
      <c r="C366" s="871">
        <v>150.083</v>
      </c>
      <c r="D366" s="849">
        <f>(C366/C360-1)*100</f>
        <v>-0.31615512855425187</v>
      </c>
      <c r="E366" s="876"/>
      <c r="F366" s="831"/>
      <c r="G366" s="830"/>
      <c r="H366" s="851"/>
      <c r="I366" s="830"/>
    </row>
    <row r="367" spans="1:9" ht="10.5" customHeight="1" collapsed="1" x14ac:dyDescent="0.2">
      <c r="A367" s="830"/>
      <c r="B367" s="830"/>
      <c r="C367" s="873"/>
      <c r="D367" s="831"/>
      <c r="F367" s="831"/>
      <c r="G367" s="830"/>
      <c r="H367" s="830"/>
      <c r="I367" s="830"/>
    </row>
    <row r="368" spans="1:9" ht="10.5" customHeight="1" x14ac:dyDescent="0.2">
      <c r="A368" s="830"/>
      <c r="B368" s="863">
        <f>B362+1</f>
        <v>2014</v>
      </c>
      <c r="C368" s="873"/>
      <c r="D368" s="831"/>
      <c r="F368" s="831"/>
      <c r="G368" s="830"/>
      <c r="H368" s="863"/>
      <c r="I368" s="830"/>
    </row>
    <row r="369" spans="1:9" ht="10.5" hidden="1" customHeight="1" outlineLevel="1" x14ac:dyDescent="0.2">
      <c r="A369" s="830" t="s">
        <v>558</v>
      </c>
      <c r="B369" s="847" t="s">
        <v>205</v>
      </c>
      <c r="C369" s="871">
        <v>149.684</v>
      </c>
      <c r="D369" s="849">
        <f>(C369/C363-1)*100</f>
        <v>-0.72030244743650496</v>
      </c>
      <c r="E369" s="876"/>
      <c r="F369" s="831"/>
      <c r="G369" s="830"/>
      <c r="H369" s="847"/>
      <c r="I369" s="830"/>
    </row>
    <row r="370" spans="1:9" ht="10.5" hidden="1" customHeight="1" outlineLevel="1" x14ac:dyDescent="0.2">
      <c r="A370" s="830" t="s">
        <v>559</v>
      </c>
      <c r="B370" s="851" t="s">
        <v>208</v>
      </c>
      <c r="C370" s="871">
        <v>149.43199999999999</v>
      </c>
      <c r="D370" s="849">
        <f>(C370/C364-1)*100</f>
        <v>-0.87298007270412148</v>
      </c>
      <c r="E370" s="876"/>
      <c r="F370" s="831"/>
      <c r="G370" s="830"/>
      <c r="H370" s="851"/>
      <c r="I370" s="830"/>
    </row>
    <row r="371" spans="1:9" ht="10.5" hidden="1" customHeight="1" outlineLevel="1" x14ac:dyDescent="0.2">
      <c r="A371" s="830" t="s">
        <v>560</v>
      </c>
      <c r="B371" s="851" t="s">
        <v>211</v>
      </c>
      <c r="C371" s="871">
        <v>149.65799999999999</v>
      </c>
      <c r="D371" s="849">
        <f>(C371/C365-1)*100</f>
        <v>-0.72437810945275016</v>
      </c>
      <c r="E371" s="876"/>
      <c r="F371" s="831"/>
      <c r="G371" s="830"/>
      <c r="H371" s="851"/>
      <c r="I371" s="830"/>
    </row>
    <row r="372" spans="1:9" ht="10.5" hidden="1" customHeight="1" outlineLevel="1" x14ac:dyDescent="0.2">
      <c r="A372" s="830" t="s">
        <v>561</v>
      </c>
      <c r="B372" s="851" t="s">
        <v>214</v>
      </c>
      <c r="C372" s="871">
        <v>147.37700000000001</v>
      </c>
      <c r="D372" s="849">
        <f>(C372/C366-1)*100</f>
        <v>-1.8030023387059058</v>
      </c>
      <c r="E372" s="876"/>
      <c r="F372" s="831"/>
      <c r="G372" s="830"/>
      <c r="H372" s="851"/>
      <c r="I372" s="830"/>
    </row>
    <row r="373" spans="1:9" ht="10.5" customHeight="1" collapsed="1" x14ac:dyDescent="0.2"/>
    <row r="374" spans="1:9" ht="10.5" customHeight="1" x14ac:dyDescent="0.2">
      <c r="A374" s="830"/>
      <c r="B374" s="863">
        <f>B368+1</f>
        <v>2015</v>
      </c>
      <c r="C374" s="873"/>
      <c r="D374" s="831"/>
      <c r="F374" s="831"/>
      <c r="G374" s="830"/>
      <c r="H374" s="863"/>
      <c r="I374" s="830"/>
    </row>
    <row r="375" spans="1:9" ht="10.5" hidden="1" customHeight="1" outlineLevel="1" x14ac:dyDescent="0.2">
      <c r="A375" s="830" t="s">
        <v>632</v>
      </c>
      <c r="B375" s="847" t="s">
        <v>205</v>
      </c>
      <c r="C375" s="1039">
        <v>147.56399999999999</v>
      </c>
      <c r="D375" s="849">
        <f>(C375/C369-1)*100</f>
        <v>-1.4163170412335391</v>
      </c>
      <c r="E375" s="876"/>
      <c r="F375" s="831"/>
      <c r="G375" s="830"/>
      <c r="H375" s="847"/>
      <c r="I375" s="830"/>
    </row>
    <row r="376" spans="1:9" ht="10.5" hidden="1" customHeight="1" outlineLevel="1" x14ac:dyDescent="0.2">
      <c r="A376" s="830" t="s">
        <v>633</v>
      </c>
      <c r="B376" s="851" t="s">
        <v>208</v>
      </c>
      <c r="C376" s="1039">
        <v>146.315</v>
      </c>
      <c r="D376" s="849">
        <f>(C376/C370-1)*100</f>
        <v>-2.0858986027089133</v>
      </c>
      <c r="E376" s="876"/>
      <c r="F376" s="831"/>
      <c r="G376" s="830"/>
      <c r="H376" s="851"/>
      <c r="I376" s="830"/>
    </row>
    <row r="377" spans="1:9" ht="10.5" hidden="1" customHeight="1" outlineLevel="1" x14ac:dyDescent="0.2">
      <c r="A377" s="830" t="s">
        <v>634</v>
      </c>
      <c r="B377" s="851" t="s">
        <v>211</v>
      </c>
      <c r="C377" s="1039">
        <v>146.29300000000001</v>
      </c>
      <c r="D377" s="849">
        <f>(C377/C371-1)*100</f>
        <v>-2.2484598217268559</v>
      </c>
      <c r="E377" s="876"/>
      <c r="F377" s="831"/>
      <c r="G377" s="830"/>
      <c r="H377" s="851"/>
      <c r="I377" s="830"/>
    </row>
    <row r="378" spans="1:9" ht="10.5" hidden="1" customHeight="1" outlineLevel="1" x14ac:dyDescent="0.2">
      <c r="A378" s="830" t="s">
        <v>635</v>
      </c>
      <c r="B378" s="851" t="s">
        <v>214</v>
      </c>
      <c r="C378" s="1039">
        <v>141.91499999999999</v>
      </c>
      <c r="D378" s="849">
        <f>(C378/C372-1)*100</f>
        <v>-3.7061413924832309</v>
      </c>
      <c r="E378" s="876"/>
      <c r="F378" s="831"/>
      <c r="G378" s="830"/>
      <c r="H378" s="851"/>
      <c r="I378" s="830"/>
    </row>
    <row r="379" spans="1:9" ht="10.5" customHeight="1" collapsed="1" x14ac:dyDescent="0.2">
      <c r="C379" s="1040"/>
    </row>
    <row r="380" spans="1:9" ht="10.5" customHeight="1" x14ac:dyDescent="0.2">
      <c r="A380" s="830"/>
      <c r="B380" s="863">
        <f>B374+1</f>
        <v>2016</v>
      </c>
      <c r="C380" s="1041"/>
      <c r="D380" s="831"/>
      <c r="F380" s="831"/>
      <c r="G380" s="830"/>
      <c r="H380" s="863"/>
      <c r="I380" s="830"/>
    </row>
    <row r="381" spans="1:9" ht="10.5" customHeight="1" outlineLevel="1" x14ac:dyDescent="0.2">
      <c r="A381" s="830" t="s">
        <v>636</v>
      </c>
      <c r="B381" s="847" t="s">
        <v>205</v>
      </c>
      <c r="C381" s="1039">
        <v>141.90199999999999</v>
      </c>
      <c r="D381" s="849">
        <f>(C381/C375-1)*100</f>
        <v>-3.8369792090211741</v>
      </c>
      <c r="E381" s="876"/>
      <c r="F381" s="831"/>
      <c r="G381" s="830"/>
      <c r="H381" s="847"/>
      <c r="I381" s="830"/>
    </row>
    <row r="382" spans="1:9" ht="10.5" customHeight="1" outlineLevel="1" x14ac:dyDescent="0.2">
      <c r="A382" s="830" t="s">
        <v>637</v>
      </c>
      <c r="B382" s="851" t="s">
        <v>208</v>
      </c>
      <c r="C382" s="1039">
        <v>141.33500000000001</v>
      </c>
      <c r="D382" s="849">
        <f>(C382/C376-1)*100</f>
        <v>-3.4036154871339153</v>
      </c>
      <c r="E382" s="876"/>
      <c r="F382" s="831"/>
      <c r="G382" s="830"/>
      <c r="H382" s="851"/>
      <c r="I382" s="830"/>
    </row>
    <row r="383" spans="1:9" ht="10.5" customHeight="1" outlineLevel="1" x14ac:dyDescent="0.2">
      <c r="A383" s="830" t="s">
        <v>638</v>
      </c>
      <c r="B383" s="851" t="s">
        <v>211</v>
      </c>
      <c r="C383" s="1039">
        <v>141.47999999999999</v>
      </c>
      <c r="D383" s="849">
        <f>(C383/C377-1)*100</f>
        <v>-3.289972862679702</v>
      </c>
      <c r="E383" s="876"/>
      <c r="F383" s="831"/>
      <c r="G383" s="830"/>
      <c r="H383" s="851"/>
      <c r="I383" s="830"/>
    </row>
    <row r="384" spans="1:9" ht="10.5" customHeight="1" outlineLevel="1" x14ac:dyDescent="0.2">
      <c r="A384" s="830" t="s">
        <v>642</v>
      </c>
      <c r="B384" s="851" t="s">
        <v>214</v>
      </c>
      <c r="C384" s="1039">
        <v>130.01499999999999</v>
      </c>
      <c r="D384" s="849">
        <f>(C384/C378-1)*100</f>
        <v>-8.3853010604939655</v>
      </c>
      <c r="E384" s="876"/>
      <c r="F384" s="831"/>
      <c r="G384" s="830"/>
      <c r="H384" s="851"/>
      <c r="I384" s="830"/>
    </row>
    <row r="385" spans="1:9" ht="10.5" customHeight="1" x14ac:dyDescent="0.2">
      <c r="C385" s="1040"/>
    </row>
    <row r="386" spans="1:9" ht="10.5" customHeight="1" x14ac:dyDescent="0.2">
      <c r="A386" s="830"/>
      <c r="B386" s="863">
        <f>B380+1</f>
        <v>2017</v>
      </c>
      <c r="C386" s="1041"/>
      <c r="D386" s="831"/>
      <c r="F386" s="831"/>
      <c r="G386" s="830"/>
      <c r="H386" s="863"/>
      <c r="I386" s="830"/>
    </row>
    <row r="387" spans="1:9" ht="10.5" customHeight="1" outlineLevel="1" x14ac:dyDescent="0.2">
      <c r="A387" s="830" t="s">
        <v>643</v>
      </c>
      <c r="B387" s="847" t="s">
        <v>205</v>
      </c>
      <c r="C387" s="1039">
        <v>130.14099999999999</v>
      </c>
      <c r="D387" s="849">
        <f>(C387/C381-1)*100</f>
        <v>-8.2881143324265985</v>
      </c>
      <c r="E387" s="876"/>
      <c r="F387" s="831"/>
      <c r="G387" s="830"/>
      <c r="H387" s="847"/>
      <c r="I387" s="830"/>
    </row>
    <row r="388" spans="1:9" ht="10.5" customHeight="1" outlineLevel="1" x14ac:dyDescent="0.2">
      <c r="A388" s="830" t="s">
        <v>644</v>
      </c>
      <c r="B388" s="851" t="s">
        <v>208</v>
      </c>
      <c r="C388" s="1038">
        <f>C387*C190/C189</f>
        <v>129.78590859481582</v>
      </c>
      <c r="D388" s="849">
        <f>(C388/C382-1)*100</f>
        <v>-8.1714305764206898</v>
      </c>
      <c r="E388" s="876"/>
      <c r="F388" s="831"/>
      <c r="G388" s="830"/>
      <c r="H388" s="851"/>
      <c r="I388" s="830"/>
    </row>
    <row r="389" spans="1:9" ht="10.5" customHeight="1" outlineLevel="1" x14ac:dyDescent="0.2">
      <c r="A389" s="830" t="s">
        <v>645</v>
      </c>
      <c r="B389" s="851" t="s">
        <v>211</v>
      </c>
      <c r="C389" s="1038">
        <f>C388*C191/C190</f>
        <v>129.78590859481582</v>
      </c>
      <c r="D389" s="849">
        <f>(C389/C383-1)*100</f>
        <v>-8.2655438261126424</v>
      </c>
      <c r="E389" s="876"/>
      <c r="F389" s="831"/>
      <c r="G389" s="830"/>
      <c r="H389" s="851"/>
      <c r="I389" s="830"/>
    </row>
    <row r="390" spans="1:9" ht="10.5" customHeight="1" outlineLevel="1" x14ac:dyDescent="0.2">
      <c r="A390" s="830" t="s">
        <v>646</v>
      </c>
      <c r="B390" s="851" t="s">
        <v>214</v>
      </c>
      <c r="C390" s="1038">
        <f>C389*C192/C191</f>
        <v>127.3002687585266</v>
      </c>
      <c r="D390" s="849">
        <f>(C390/C384-1)*100</f>
        <v>-2.0880138764553191</v>
      </c>
      <c r="E390" s="876"/>
      <c r="F390" s="831"/>
      <c r="G390" s="830"/>
      <c r="H390" s="851"/>
      <c r="I390" s="830"/>
    </row>
    <row r="392" spans="1:9" s="1" customFormat="1" ht="10.5" customHeight="1" x14ac:dyDescent="0.2">
      <c r="A392" s="1244"/>
      <c r="B392" s="1250">
        <f>B386+1</f>
        <v>2018</v>
      </c>
      <c r="C392" s="1251"/>
      <c r="D392" s="1252"/>
      <c r="F392" s="1252"/>
      <c r="G392" s="1244"/>
      <c r="H392" s="1250"/>
      <c r="I392" s="1244"/>
    </row>
    <row r="393" spans="1:9" s="1" customFormat="1" ht="10.5" customHeight="1" outlineLevel="1" x14ac:dyDescent="0.2">
      <c r="A393" s="1244" t="s">
        <v>643</v>
      </c>
      <c r="B393" s="1245" t="s">
        <v>205</v>
      </c>
      <c r="C393" s="1253">
        <f>C390*C195/C192</f>
        <v>125.34726603001364</v>
      </c>
      <c r="D393" s="1247">
        <f>(C393/C387-1)*100</f>
        <v>-3.6834924965893467</v>
      </c>
      <c r="E393" s="1254"/>
      <c r="F393" s="1252"/>
      <c r="G393" s="1244"/>
      <c r="H393" s="1245"/>
      <c r="I393" s="1244"/>
    </row>
    <row r="394" spans="1:9" s="1" customFormat="1" ht="10.5" customHeight="1" outlineLevel="1" x14ac:dyDescent="0.2">
      <c r="A394" s="1244" t="s">
        <v>644</v>
      </c>
      <c r="B394" s="1248" t="s">
        <v>208</v>
      </c>
      <c r="C394" s="1253">
        <f>C393*C196/C195</f>
        <v>123.74935470668487</v>
      </c>
      <c r="D394" s="1247">
        <f>(C394/C388-1)*100</f>
        <v>-4.6511627906976605</v>
      </c>
      <c r="E394" s="1254"/>
      <c r="F394" s="1252"/>
      <c r="G394" s="1244"/>
      <c r="H394" s="1248"/>
      <c r="I394" s="1244"/>
    </row>
    <row r="395" spans="1:9" s="1" customFormat="1" ht="10.5" customHeight="1" outlineLevel="1" x14ac:dyDescent="0.2">
      <c r="A395" s="1244" t="s">
        <v>645</v>
      </c>
      <c r="B395" s="1248" t="s">
        <v>211</v>
      </c>
      <c r="C395" s="1253">
        <f>C394*C197/C196</f>
        <v>122.86162619372443</v>
      </c>
      <c r="D395" s="1247">
        <f>(C395/C389-1)*100</f>
        <v>-5.3351573187414347</v>
      </c>
      <c r="E395" s="1254"/>
      <c r="F395" s="1252"/>
      <c r="G395" s="1244"/>
      <c r="H395" s="1248"/>
      <c r="I395" s="1244"/>
    </row>
    <row r="396" spans="1:9" s="1" customFormat="1" ht="10.5" customHeight="1" outlineLevel="1" x14ac:dyDescent="0.2">
      <c r="A396" s="1244" t="s">
        <v>646</v>
      </c>
      <c r="B396" s="1248" t="s">
        <v>214</v>
      </c>
      <c r="C396" s="1253">
        <f>C395*C198/C197</f>
        <v>121.973897680764</v>
      </c>
      <c r="D396" s="1247">
        <f>(C396/C390-1)*100</f>
        <v>-4.184100418410031</v>
      </c>
      <c r="E396" s="1254"/>
      <c r="F396" s="1252"/>
      <c r="G396" s="1244"/>
      <c r="H396" s="1248"/>
      <c r="I396" s="1244"/>
    </row>
  </sheetData>
  <mergeCells count="2">
    <mergeCell ref="L202:M202"/>
    <mergeCell ref="O202:P202"/>
  </mergeCells>
  <phoneticPr fontId="10" type="noConversion"/>
  <dataValidations count="1">
    <dataValidation type="custom" allowBlank="1" showInputMessage="1" showErrorMessage="1" sqref="C344:C345 C341:C342 C338:C339 C335:C336 D335:D346 C327:C328 C324:C325 C321:C322 D321:D332 C313:C314 C310:C311 C307:C308 D307:D318 C293:C300 D293:D304 D211:D214 H205:H209 D205:D208 B217:D220 B307:B318 B321:B332 D203 B335:B346 B265:D276 B251:D262 H279:H290 F203 H203:K203 B293:B304 B279:D290 B349:D360 B237:D248 H211:H214 H217:H220 C330:C331 C302:C304 C316:C317 H349:H360 H223:H234 H237:H248 H307:H318 H321:H332 H335:H346 H265:H276 H251:H262 H293:H304 B223:D234 B211:B214 B205:B209 B203 H363:H366 H109:H120 H25:H36 H95:H106 H53:H64 H67:H78 H123:H134 H19:H22 H13:H16 H7:H10 H137:H148 B81:B92 B39:B50 B109:B120 B25:B36 D177:D181 B95:B106 B53:B64 B67:B78 B123:B134 A4:B4 B19:B22 B13:B16 B5 B7:B10 I123:I149 I95:K121 I81:K93 H39:H50 I39:K51 F109:F120 F81:F93 F25:F36 F67:F78 F39:F51 F53:F65 F95:F107 F123:F149 I53:I65 I67:I79 D109:D120 D39:D51 D81:D93 D25:D36 D53:D65 D67:D79 D123:D135 D95:D107 D137:D149 G4:J4 F5 H5 D5 F19:F22 I19:K23 D19:D22 F13:F16 I13:K17 D13:D16 F7:F10 I7:K11 B137:B148 D7:D10 Q7:Q10 Q13:Q16 Q19:Q22 J5 K4:K5 H81:H92 I25:K37 J53:K79 H151:I163 H171:I175 D151:D163 F151:F163 B151:B163 B369:D372 Q25:Q36 B381:D384 B165:B169 B363:D366 D165:D169 F165:F169 H165:I169 H369:H372 F177:F181 D171:D175 H375:H378 B171:B175 F171:F175 H177:I181 B375:D378 B177:B181 D183:D186 F183:F186 B183:B186 H381:H384 J123:J186 K182:K186 K123:K180 H183:I186 D189:D192 F189:F192 B189:B192 J188:K192 B387:D390 H387:H390 H189:I192 D195:D198 F195:F198 B195:B198 J194:K198 H195:I198 H393:H396 B393:D396">
      <formula1>-1</formula1>
    </dataValidation>
  </dataValidations>
  <pageMargins left="0.75" right="0.75" top="1" bottom="1" header="0.5" footer="0.5"/>
  <pageSetup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R74"/>
  <sheetViews>
    <sheetView showGridLines="0" zoomScale="85" zoomScaleNormal="85" workbookViewId="0">
      <selection activeCell="A2" sqref="A2"/>
    </sheetView>
  </sheetViews>
  <sheetFormatPr defaultRowHeight="12.75" outlineLevelCol="1" x14ac:dyDescent="0.2"/>
  <cols>
    <col min="1" max="1" width="1.85546875" style="185" customWidth="1"/>
    <col min="2" max="2" width="17.140625" style="185" customWidth="1"/>
    <col min="3" max="3" width="29.140625" style="185" customWidth="1"/>
    <col min="4" max="4" width="5.5703125" style="185" customWidth="1"/>
    <col min="5" max="18" width="9.140625" style="185" hidden="1" customWidth="1" outlineLevel="1"/>
    <col min="19" max="19" width="9.140625" style="185" hidden="1" customWidth="1" outlineLevel="1" collapsed="1"/>
    <col min="20" max="20" width="9.140625" style="185" hidden="1" customWidth="1" outlineLevel="1"/>
    <col min="21" max="21" width="9.140625" style="185" hidden="1" customWidth="1" outlineLevel="1" collapsed="1"/>
    <col min="22" max="23" width="9.140625" style="185" hidden="1" customWidth="1" outlineLevel="1"/>
    <col min="24" max="24" width="9.140625" style="185" customWidth="1" collapsed="1"/>
    <col min="25" max="25" width="8.7109375" style="185" customWidth="1"/>
    <col min="26" max="27" width="9.140625" style="185"/>
    <col min="28" max="28" width="9" style="185" customWidth="1"/>
    <col min="29" max="29" width="9.28515625" style="185" customWidth="1"/>
    <col min="30" max="30" width="9.85546875" style="185" customWidth="1"/>
    <col min="31" max="31" width="9.42578125" style="185" customWidth="1"/>
    <col min="32" max="35" width="9.5703125" style="185" customWidth="1"/>
    <col min="36" max="36" width="9.5703125" style="185" hidden="1" customWidth="1" outlineLevel="1"/>
    <col min="37" max="37" width="9.5703125" style="12" hidden="1" customWidth="1" outlineLevel="1"/>
    <col min="38" max="38" width="10.7109375" style="185" customWidth="1" collapsed="1"/>
    <col min="39" max="39" width="41.28515625" customWidth="1" outlineLevel="1"/>
    <col min="40" max="44" width="9.140625" customWidth="1" outlineLevel="1"/>
    <col min="45" max="16384" width="9.140625" style="185"/>
  </cols>
  <sheetData>
    <row r="1" spans="1:38" x14ac:dyDescent="0.2">
      <c r="A1" s="281" t="s">
        <v>285</v>
      </c>
      <c r="D1" s="261"/>
      <c r="E1" s="261"/>
      <c r="F1" s="261"/>
      <c r="G1" s="261"/>
      <c r="H1" s="261"/>
      <c r="I1" s="261"/>
      <c r="J1" s="261"/>
      <c r="K1" s="261"/>
      <c r="L1" s="261"/>
      <c r="M1" s="261"/>
      <c r="N1" s="261"/>
      <c r="O1" s="261"/>
      <c r="P1" s="261"/>
      <c r="Q1" s="261"/>
      <c r="R1" s="261"/>
      <c r="S1" s="261"/>
      <c r="T1" s="261"/>
    </row>
    <row r="2" spans="1:38" x14ac:dyDescent="0.2">
      <c r="A2" s="329" t="s">
        <v>697</v>
      </c>
      <c r="B2" s="284"/>
      <c r="C2" s="284"/>
      <c r="D2" s="284"/>
      <c r="E2" s="284"/>
      <c r="F2" s="284"/>
      <c r="G2" s="284"/>
      <c r="H2" s="284"/>
      <c r="I2" s="284"/>
      <c r="J2" s="284"/>
      <c r="K2" s="284"/>
      <c r="L2" s="284"/>
      <c r="M2" s="284"/>
      <c r="N2" s="284"/>
      <c r="O2" s="284"/>
      <c r="P2" s="284"/>
      <c r="Q2" s="284"/>
      <c r="R2" s="284"/>
      <c r="S2" s="284"/>
      <c r="T2" s="284"/>
      <c r="U2" s="284"/>
      <c r="V2" s="284"/>
      <c r="W2" s="284"/>
      <c r="X2" s="284"/>
      <c r="Y2" s="284"/>
      <c r="Z2" s="284"/>
      <c r="AA2" s="284"/>
      <c r="AB2" s="284"/>
      <c r="AC2" s="392"/>
      <c r="AD2" s="284"/>
      <c r="AE2" s="284"/>
      <c r="AF2" s="284"/>
      <c r="AG2" s="284"/>
      <c r="AH2" s="284"/>
      <c r="AI2" s="284"/>
      <c r="AJ2" s="284"/>
      <c r="AK2" s="1122"/>
      <c r="AL2" s="284"/>
    </row>
    <row r="3" spans="1:38" x14ac:dyDescent="0.2">
      <c r="A3" s="285" t="s">
        <v>87</v>
      </c>
      <c r="D3" s="261"/>
      <c r="E3" s="261"/>
      <c r="F3" s="261"/>
      <c r="G3" s="261"/>
      <c r="H3" s="261"/>
      <c r="I3" s="261"/>
      <c r="J3" s="261"/>
      <c r="K3" s="261"/>
      <c r="L3" s="261"/>
      <c r="M3" s="261"/>
      <c r="N3" s="261"/>
      <c r="O3" s="261"/>
      <c r="P3" s="261"/>
      <c r="Q3" s="261"/>
      <c r="R3" s="261"/>
      <c r="S3" s="261"/>
      <c r="T3" s="261"/>
      <c r="W3" s="393"/>
      <c r="AB3" s="290"/>
      <c r="AC3" s="290"/>
      <c r="AD3" s="290"/>
    </row>
    <row r="4" spans="1:38" x14ac:dyDescent="0.2">
      <c r="A4" s="285" t="s">
        <v>88</v>
      </c>
      <c r="D4" s="261"/>
      <c r="E4" s="261"/>
      <c r="F4" s="261"/>
      <c r="G4" s="261"/>
      <c r="H4" s="261"/>
      <c r="I4" s="261"/>
      <c r="J4" s="261"/>
      <c r="K4" s="261"/>
      <c r="L4" s="261"/>
      <c r="M4" s="261"/>
      <c r="N4" s="261"/>
      <c r="O4" s="261"/>
      <c r="P4" s="261"/>
      <c r="Q4" s="261"/>
      <c r="R4" s="394"/>
      <c r="S4" s="394"/>
      <c r="T4" s="394"/>
      <c r="U4" s="394"/>
      <c r="V4" s="394"/>
      <c r="W4" s="394"/>
      <c r="X4" s="395"/>
      <c r="Y4" s="394"/>
      <c r="Z4" s="394"/>
      <c r="AB4" s="290"/>
      <c r="AC4" s="290"/>
      <c r="AD4" s="290"/>
      <c r="AE4" s="290"/>
    </row>
    <row r="5" spans="1:38" x14ac:dyDescent="0.2">
      <c r="D5" s="261"/>
      <c r="E5" s="261"/>
      <c r="F5" s="261"/>
      <c r="G5" s="261"/>
      <c r="H5" s="261"/>
      <c r="I5" s="261"/>
      <c r="J5" s="261"/>
      <c r="K5" s="261"/>
      <c r="L5" s="261"/>
      <c r="M5" s="261"/>
      <c r="N5" s="261"/>
      <c r="O5" s="261"/>
      <c r="P5" s="261"/>
      <c r="Q5" s="261"/>
      <c r="R5" s="261"/>
      <c r="S5" s="261"/>
      <c r="T5" s="261"/>
      <c r="AA5" s="396"/>
      <c r="AB5" s="290"/>
      <c r="AC5" s="290"/>
      <c r="AD5" s="290"/>
      <c r="AE5" s="290"/>
      <c r="AF5" s="396"/>
      <c r="AG5" s="396"/>
      <c r="AH5" s="396"/>
      <c r="AI5" s="396"/>
      <c r="AJ5" s="396"/>
      <c r="AK5" s="1218"/>
      <c r="AL5" s="396"/>
    </row>
    <row r="6" spans="1:38" x14ac:dyDescent="0.2">
      <c r="D6" s="261"/>
      <c r="E6" s="397">
        <v>1989</v>
      </c>
      <c r="F6" s="397">
        <f t="shared" ref="F6:L6" si="0">G6-1</f>
        <v>1991</v>
      </c>
      <c r="G6" s="397">
        <f t="shared" si="0"/>
        <v>1992</v>
      </c>
      <c r="H6" s="397">
        <f t="shared" si="0"/>
        <v>1993</v>
      </c>
      <c r="I6" s="397">
        <f t="shared" si="0"/>
        <v>1994</v>
      </c>
      <c r="J6" s="397">
        <f t="shared" si="0"/>
        <v>1995</v>
      </c>
      <c r="K6" s="397">
        <f t="shared" si="0"/>
        <v>1996</v>
      </c>
      <c r="L6" s="397">
        <f t="shared" si="0"/>
        <v>1997</v>
      </c>
      <c r="M6" s="397">
        <v>1998</v>
      </c>
      <c r="N6" s="397">
        <v>1999</v>
      </c>
      <c r="O6" s="397">
        <v>2000</v>
      </c>
      <c r="P6" s="397">
        <v>2001</v>
      </c>
      <c r="Q6" s="397">
        <v>2002</v>
      </c>
      <c r="R6" s="397">
        <v>2003</v>
      </c>
      <c r="S6" s="397">
        <v>2004</v>
      </c>
      <c r="T6" s="397">
        <v>2005</v>
      </c>
      <c r="U6" s="397">
        <v>2006</v>
      </c>
      <c r="V6" s="397">
        <v>2007</v>
      </c>
      <c r="W6" s="397">
        <v>2008</v>
      </c>
      <c r="X6" s="397">
        <v>2009</v>
      </c>
      <c r="Y6" s="397">
        <v>2010</v>
      </c>
      <c r="Z6" s="397">
        <v>2011</v>
      </c>
      <c r="AA6" s="397">
        <v>2012</v>
      </c>
      <c r="AB6" s="397">
        <v>2013</v>
      </c>
      <c r="AC6" s="397">
        <v>2014</v>
      </c>
      <c r="AD6" s="397">
        <v>2015</v>
      </c>
      <c r="AE6" s="397">
        <v>2016</v>
      </c>
      <c r="AF6" s="397">
        <v>2017</v>
      </c>
      <c r="AG6" s="398">
        <v>2018</v>
      </c>
      <c r="AH6" s="398">
        <v>2019</v>
      </c>
      <c r="AI6" s="398">
        <v>2020</v>
      </c>
      <c r="AJ6" s="398">
        <v>2021</v>
      </c>
      <c r="AK6" s="1255">
        <v>2022</v>
      </c>
      <c r="AL6" s="398"/>
    </row>
    <row r="7" spans="1:38" x14ac:dyDescent="0.2">
      <c r="D7" s="261"/>
      <c r="E7" s="269"/>
      <c r="F7" s="269"/>
      <c r="G7" s="269"/>
      <c r="H7" s="269"/>
      <c r="I7" s="269"/>
      <c r="J7" s="269"/>
      <c r="K7" s="269"/>
      <c r="L7" s="269"/>
      <c r="M7" s="269"/>
      <c r="N7" s="269"/>
      <c r="O7" s="269"/>
      <c r="P7" s="269"/>
      <c r="Q7" s="269"/>
      <c r="R7" s="269"/>
      <c r="S7" s="269"/>
      <c r="T7" s="269"/>
      <c r="U7" s="269"/>
      <c r="V7" s="269"/>
      <c r="W7" s="269"/>
      <c r="X7" s="269"/>
      <c r="Y7" s="269"/>
      <c r="Z7" s="269"/>
    </row>
    <row r="8" spans="1:38" x14ac:dyDescent="0.2">
      <c r="B8" s="185" t="s">
        <v>146</v>
      </c>
      <c r="D8" s="261"/>
      <c r="E8" s="400">
        <v>-1773.9269999999999</v>
      </c>
      <c r="F8" s="400">
        <v>836.39200000000005</v>
      </c>
      <c r="G8" s="400">
        <v>113.00900000000063</v>
      </c>
      <c r="H8" s="400">
        <v>193.24799999999911</v>
      </c>
      <c r="I8" s="400">
        <v>187.61600000000001</v>
      </c>
      <c r="J8" s="400">
        <v>75</v>
      </c>
      <c r="K8" s="400">
        <v>266</v>
      </c>
      <c r="L8" s="400">
        <v>536</v>
      </c>
      <c r="M8" s="400">
        <f>'yrP&amp;L'!O47-7</f>
        <v>662.23400000000004</v>
      </c>
      <c r="N8" s="401">
        <f>'yrP&amp;L'!P47</f>
        <v>795</v>
      </c>
      <c r="O8" s="401">
        <f>'yrP&amp;L'!Q47</f>
        <v>-184</v>
      </c>
      <c r="P8" s="401">
        <f>'yrP&amp;L'!R47</f>
        <v>-276</v>
      </c>
      <c r="Q8" s="401">
        <f>'yrP&amp;L'!S47</f>
        <v>818</v>
      </c>
      <c r="R8" s="401">
        <f>'yrP&amp;L'!T47</f>
        <v>693</v>
      </c>
      <c r="S8" s="401">
        <f>'yrP&amp;L'!U47</f>
        <v>689</v>
      </c>
      <c r="T8" s="401">
        <f>'yrP&amp;L'!V47</f>
        <v>1406.5914100719424</v>
      </c>
      <c r="U8" s="401">
        <f>'yrP&amp;L'!W47</f>
        <v>994.875</v>
      </c>
      <c r="V8" s="400">
        <f>'yrP&amp;L'!X47+(23-0.233999999999014)</f>
        <v>915.76600000000099</v>
      </c>
      <c r="W8" s="393">
        <f>'yrP&amp;L'!Y47</f>
        <v>-4803</v>
      </c>
      <c r="X8" s="393">
        <f>'yrP&amp;L'!Z47</f>
        <v>329</v>
      </c>
      <c r="Y8" s="393">
        <f>'yrP&amp;L'!AA47</f>
        <v>846.95910780669146</v>
      </c>
      <c r="Z8" s="393">
        <f>'yrP&amp;L'!AB47</f>
        <v>1256</v>
      </c>
      <c r="AA8" s="401">
        <f>'yrP&amp;L'!AC47</f>
        <v>1335</v>
      </c>
      <c r="AB8" s="401">
        <f>'yrP&amp;L'!AD47</f>
        <v>1485.6322869955156</v>
      </c>
      <c r="AC8" s="401">
        <f>'yrP&amp;L'!AE47</f>
        <v>1526</v>
      </c>
      <c r="AD8" s="401">
        <f>'yrP&amp;L'!AF47</f>
        <v>1069.5459999999998</v>
      </c>
      <c r="AE8" s="401">
        <f>'yrP&amp;L'!AG47-8</f>
        <v>618.73099999999999</v>
      </c>
      <c r="AF8" s="401">
        <f>'yrP&amp;L'!AH47-19</f>
        <v>1536.0313000000001</v>
      </c>
      <c r="AG8" s="401">
        <f>'yrP&amp;L'!AI47</f>
        <v>1092.7135825635009</v>
      </c>
      <c r="AH8" s="401">
        <f>'yrP&amp;L'!AJ47</f>
        <v>833.74496153647488</v>
      </c>
      <c r="AI8" s="401">
        <f>'yrP&amp;L'!AK47</f>
        <v>590.09607241766321</v>
      </c>
      <c r="AJ8" s="401">
        <f>'yrP&amp;L'!AL47</f>
        <v>389.88513267735055</v>
      </c>
      <c r="AK8" s="1256">
        <f>'yrP&amp;L'!AM47</f>
        <v>203.35275126116019</v>
      </c>
      <c r="AL8" s="401"/>
    </row>
    <row r="9" spans="1:38" x14ac:dyDescent="0.2">
      <c r="D9" s="261"/>
      <c r="E9" s="403"/>
      <c r="F9" s="403"/>
      <c r="G9" s="403"/>
      <c r="H9" s="403"/>
      <c r="I9" s="403"/>
      <c r="J9" s="403"/>
      <c r="K9" s="403"/>
      <c r="L9" s="403"/>
      <c r="M9" s="403"/>
      <c r="N9" s="403"/>
      <c r="O9" s="403"/>
      <c r="P9" s="403"/>
      <c r="Q9" s="403"/>
      <c r="R9" s="403"/>
      <c r="S9" s="403"/>
      <c r="T9" s="403"/>
      <c r="U9" s="403"/>
      <c r="V9" s="403"/>
      <c r="W9" s="403"/>
      <c r="X9" s="404"/>
      <c r="Y9" s="404"/>
      <c r="Z9" s="404"/>
      <c r="AA9" s="404"/>
      <c r="AB9" s="404"/>
      <c r="AC9" s="404"/>
      <c r="AD9" s="404"/>
      <c r="AE9" s="404"/>
      <c r="AF9" s="404"/>
      <c r="AG9" s="404"/>
      <c r="AH9" s="404"/>
      <c r="AI9" s="404"/>
      <c r="AJ9" s="404"/>
      <c r="AK9" s="1257"/>
      <c r="AL9" s="404"/>
    </row>
    <row r="10" spans="1:38" x14ac:dyDescent="0.2">
      <c r="B10" s="185" t="s">
        <v>264</v>
      </c>
      <c r="D10" s="405"/>
      <c r="E10" s="406">
        <v>235.45400000000001</v>
      </c>
      <c r="F10" s="406">
        <v>212.18600000000001</v>
      </c>
      <c r="G10" s="406">
        <v>205.554</v>
      </c>
      <c r="H10" s="406">
        <v>207.91399999999999</v>
      </c>
      <c r="I10" s="406">
        <v>260.48500000000001</v>
      </c>
      <c r="J10" s="406">
        <v>519.81500000000005</v>
      </c>
      <c r="K10" s="406">
        <v>560.58299999999986</v>
      </c>
      <c r="L10" s="406">
        <v>610</v>
      </c>
      <c r="M10" s="406">
        <v>631</v>
      </c>
      <c r="N10" s="406">
        <v>671</v>
      </c>
      <c r="O10" s="406">
        <v>657</v>
      </c>
      <c r="P10" s="406">
        <v>689</v>
      </c>
      <c r="Q10" s="406">
        <v>685</v>
      </c>
      <c r="R10" s="406">
        <v>713</v>
      </c>
      <c r="S10" s="406">
        <v>743</v>
      </c>
      <c r="T10" s="406">
        <v>958</v>
      </c>
      <c r="U10" s="406">
        <v>1216</v>
      </c>
      <c r="V10" s="406">
        <v>1273</v>
      </c>
      <c r="W10" s="406">
        <v>1251</v>
      </c>
      <c r="X10" s="1044">
        <v>1210</v>
      </c>
      <c r="Y10" s="1044">
        <v>1150</v>
      </c>
      <c r="Z10" s="1044">
        <v>1085</v>
      </c>
      <c r="AA10" s="1044">
        <v>1049</v>
      </c>
      <c r="AB10" s="1044">
        <v>1020</v>
      </c>
      <c r="AC10" s="1044">
        <v>1036</v>
      </c>
      <c r="AD10" s="1044">
        <v>1061</v>
      </c>
      <c r="AE10" s="1485">
        <v>1058</v>
      </c>
      <c r="AF10" s="1044">
        <v>991</v>
      </c>
      <c r="AG10" s="1057">
        <f>sgadetail!$AJ$45</f>
        <v>991</v>
      </c>
      <c r="AH10" s="1057">
        <f>sgadetail!$AN$45</f>
        <v>981</v>
      </c>
      <c r="AI10" s="1057">
        <f>sgadetail!$AR$45</f>
        <v>971</v>
      </c>
      <c r="AJ10" s="1057">
        <f>sgadetail!$AV$45</f>
        <v>961</v>
      </c>
      <c r="AK10" s="1258">
        <f>sgadetail!$AZ$45</f>
        <v>951</v>
      </c>
      <c r="AL10" s="407"/>
    </row>
    <row r="11" spans="1:38" x14ac:dyDescent="0.2">
      <c r="B11" s="385" t="s">
        <v>266</v>
      </c>
      <c r="D11" s="405"/>
      <c r="E11" s="406">
        <v>0</v>
      </c>
      <c r="F11" s="406">
        <v>0</v>
      </c>
      <c r="G11" s="406">
        <v>0</v>
      </c>
      <c r="H11" s="406">
        <v>0</v>
      </c>
      <c r="I11" s="406">
        <v>0</v>
      </c>
      <c r="J11" s="406">
        <v>0</v>
      </c>
      <c r="K11" s="406">
        <v>0</v>
      </c>
      <c r="L11" s="406">
        <v>0</v>
      </c>
      <c r="M11" s="406">
        <v>0</v>
      </c>
      <c r="N11" s="406">
        <v>30</v>
      </c>
      <c r="O11" s="406">
        <v>1005</v>
      </c>
      <c r="P11" s="406">
        <v>784</v>
      </c>
      <c r="Q11" s="406">
        <v>-180</v>
      </c>
      <c r="R11" s="406">
        <v>0</v>
      </c>
      <c r="S11" s="406">
        <v>0</v>
      </c>
      <c r="T11" s="406">
        <v>-33.591410071938299</v>
      </c>
      <c r="U11" s="406">
        <v>-7</v>
      </c>
      <c r="V11" s="406">
        <v>16</v>
      </c>
      <c r="W11" s="406">
        <v>0</v>
      </c>
      <c r="X11" s="1044">
        <v>0</v>
      </c>
      <c r="Y11" s="1044">
        <v>0</v>
      </c>
      <c r="Z11" s="1044">
        <v>0</v>
      </c>
      <c r="AA11" s="1044">
        <v>0</v>
      </c>
      <c r="AB11" s="1044">
        <v>0</v>
      </c>
      <c r="AC11" s="1044">
        <v>0</v>
      </c>
      <c r="AD11" s="1044"/>
      <c r="AE11" s="1485">
        <v>-209</v>
      </c>
      <c r="AF11" s="1044">
        <v>-544</v>
      </c>
      <c r="AG11" s="1042">
        <v>0</v>
      </c>
      <c r="AH11" s="1042">
        <v>0</v>
      </c>
      <c r="AI11" s="1042">
        <v>0</v>
      </c>
      <c r="AJ11" s="1042">
        <v>0</v>
      </c>
      <c r="AK11" s="1259">
        <v>0</v>
      </c>
      <c r="AL11" s="405"/>
    </row>
    <row r="12" spans="1:38" x14ac:dyDescent="0.2">
      <c r="B12" s="185" t="s">
        <v>333</v>
      </c>
      <c r="D12" s="261"/>
      <c r="E12" s="406">
        <v>0</v>
      </c>
      <c r="F12" s="406">
        <v>0</v>
      </c>
      <c r="G12" s="406">
        <v>0</v>
      </c>
      <c r="H12" s="406">
        <v>0</v>
      </c>
      <c r="I12" s="406">
        <v>0</v>
      </c>
      <c r="J12" s="406">
        <v>0</v>
      </c>
      <c r="K12" s="406">
        <v>0</v>
      </c>
      <c r="L12" s="406">
        <v>0</v>
      </c>
      <c r="M12" s="406">
        <v>0</v>
      </c>
      <c r="N12" s="406">
        <v>0</v>
      </c>
      <c r="O12" s="406">
        <v>0</v>
      </c>
      <c r="P12" s="406">
        <v>0</v>
      </c>
      <c r="Q12" s="406">
        <v>0</v>
      </c>
      <c r="R12" s="406">
        <v>0</v>
      </c>
      <c r="S12" s="406">
        <v>0</v>
      </c>
      <c r="T12" s="406">
        <v>-480</v>
      </c>
      <c r="U12" s="406">
        <v>-191</v>
      </c>
      <c r="V12" s="406">
        <v>0</v>
      </c>
      <c r="W12" s="406">
        <v>0</v>
      </c>
      <c r="X12" s="1044">
        <v>79.5</v>
      </c>
      <c r="Y12" s="1044">
        <v>0</v>
      </c>
      <c r="Z12" s="1044">
        <v>0</v>
      </c>
      <c r="AA12" s="1044">
        <v>0</v>
      </c>
      <c r="AB12" s="1044">
        <v>0</v>
      </c>
      <c r="AC12" s="1044">
        <v>0</v>
      </c>
      <c r="AD12" s="1044"/>
      <c r="AE12" s="1485">
        <v>0</v>
      </c>
      <c r="AF12" s="1042">
        <v>0</v>
      </c>
      <c r="AG12" s="1042">
        <v>0</v>
      </c>
      <c r="AH12" s="1042">
        <v>0</v>
      </c>
      <c r="AI12" s="1042">
        <v>0</v>
      </c>
      <c r="AJ12" s="1042">
        <v>0</v>
      </c>
      <c r="AK12" s="1259">
        <v>0</v>
      </c>
      <c r="AL12" s="405"/>
    </row>
    <row r="13" spans="1:38" x14ac:dyDescent="0.2">
      <c r="A13" s="261"/>
      <c r="B13" s="261" t="s">
        <v>531</v>
      </c>
      <c r="C13" s="261"/>
      <c r="D13" s="261"/>
      <c r="E13" s="406">
        <v>1417.308</v>
      </c>
      <c r="F13" s="406">
        <v>-1187.134</v>
      </c>
      <c r="G13" s="406">
        <v>79.92</v>
      </c>
      <c r="H13" s="406">
        <v>52.420999999999999</v>
      </c>
      <c r="I13" s="406">
        <v>66.278999999999996</v>
      </c>
      <c r="J13" s="406">
        <v>0</v>
      </c>
      <c r="K13" s="406">
        <v>0</v>
      </c>
      <c r="L13" s="406">
        <v>39</v>
      </c>
      <c r="M13" s="406">
        <v>23</v>
      </c>
      <c r="N13" s="406">
        <v>0</v>
      </c>
      <c r="O13" s="406">
        <v>80</v>
      </c>
      <c r="P13" s="406">
        <v>232</v>
      </c>
      <c r="Q13" s="406">
        <v>0</v>
      </c>
      <c r="R13" s="406">
        <v>0</v>
      </c>
      <c r="S13" s="406">
        <v>0</v>
      </c>
      <c r="T13" s="406">
        <v>194</v>
      </c>
      <c r="U13" s="406">
        <v>665</v>
      </c>
      <c r="V13" s="406">
        <v>279</v>
      </c>
      <c r="W13" s="406">
        <v>5823</v>
      </c>
      <c r="X13" s="1044">
        <v>465</v>
      </c>
      <c r="Y13" s="1044">
        <v>66</v>
      </c>
      <c r="Z13" s="1044">
        <v>30</v>
      </c>
      <c r="AA13" s="1044">
        <f>5+61-16</f>
        <v>50</v>
      </c>
      <c r="AB13" s="1044">
        <f>88+62-8</f>
        <v>142</v>
      </c>
      <c r="AC13" s="1044">
        <f>87+73-5</f>
        <v>155</v>
      </c>
      <c r="AD13" s="1044">
        <f>288+65+-14</f>
        <v>339</v>
      </c>
      <c r="AE13" s="1485">
        <f>479+61-14+98</f>
        <v>624</v>
      </c>
      <c r="AF13" s="1044">
        <f>186+105+58-45</f>
        <v>304</v>
      </c>
      <c r="AG13" s="275">
        <f>bal!AE21-bal!AF21</f>
        <v>13.74902545600321</v>
      </c>
      <c r="AH13" s="275">
        <f>bal!AF21-bal!AG21</f>
        <v>25.534453131720284</v>
      </c>
      <c r="AI13" s="275">
        <f>bal!AG21-bal!AH21</f>
        <v>24.960846004880636</v>
      </c>
      <c r="AJ13" s="275">
        <f>bal!AH21-bal!AI21</f>
        <v>23.611277061898363</v>
      </c>
      <c r="AK13" s="1260">
        <f>bal!AI21-bal!AJ21</f>
        <v>23.107104147663222</v>
      </c>
      <c r="AL13" s="405"/>
    </row>
    <row r="14" spans="1:38" x14ac:dyDescent="0.2">
      <c r="A14" s="261"/>
      <c r="B14" s="261" t="s">
        <v>267</v>
      </c>
      <c r="C14" s="261"/>
      <c r="D14" s="261"/>
      <c r="E14" s="406">
        <v>61.610999999999997</v>
      </c>
      <c r="F14" s="406">
        <v>8.4649999999999999</v>
      </c>
      <c r="G14" s="406">
        <v>10.430999999999999</v>
      </c>
      <c r="H14" s="406">
        <v>1.097</v>
      </c>
      <c r="I14" s="406">
        <v>8.7230000000000008</v>
      </c>
      <c r="J14" s="406">
        <v>46.991999999999997</v>
      </c>
      <c r="K14" s="406">
        <v>196.22200000000001</v>
      </c>
      <c r="L14" s="406">
        <v>178</v>
      </c>
      <c r="M14" s="406">
        <v>50</v>
      </c>
      <c r="N14" s="406">
        <v>46</v>
      </c>
      <c r="O14" s="406">
        <v>70</v>
      </c>
      <c r="P14" s="406">
        <v>55</v>
      </c>
      <c r="Q14" s="406">
        <v>20</v>
      </c>
      <c r="R14" s="406">
        <v>6</v>
      </c>
      <c r="S14" s="406">
        <v>27</v>
      </c>
      <c r="T14" s="406">
        <v>19</v>
      </c>
      <c r="U14" s="406">
        <v>2466</v>
      </c>
      <c r="V14" s="406">
        <v>293</v>
      </c>
      <c r="W14" s="406">
        <v>38</v>
      </c>
      <c r="X14" s="1044">
        <v>60</v>
      </c>
      <c r="Y14" s="1044">
        <v>74</v>
      </c>
      <c r="Z14" s="1044">
        <v>114</v>
      </c>
      <c r="AA14" s="1044">
        <v>66</v>
      </c>
      <c r="AB14" s="1044">
        <v>132</v>
      </c>
      <c r="AC14" s="1044">
        <v>172</v>
      </c>
      <c r="AD14" s="1044">
        <v>204</v>
      </c>
      <c r="AE14" s="1485">
        <v>673</v>
      </c>
      <c r="AF14" s="1044">
        <v>411</v>
      </c>
      <c r="AG14" s="1042">
        <v>0</v>
      </c>
      <c r="AH14" s="1042">
        <v>0</v>
      </c>
      <c r="AI14" s="1042">
        <v>0</v>
      </c>
      <c r="AJ14" s="1042">
        <v>0</v>
      </c>
      <c r="AK14" s="1259">
        <v>0</v>
      </c>
      <c r="AL14" s="405"/>
    </row>
    <row r="15" spans="1:38" x14ac:dyDescent="0.2">
      <c r="A15" s="261"/>
      <c r="B15" s="261" t="s">
        <v>337</v>
      </c>
      <c r="C15" s="261"/>
      <c r="D15" s="261"/>
      <c r="E15" s="406">
        <v>0</v>
      </c>
      <c r="F15" s="406">
        <v>0</v>
      </c>
      <c r="G15" s="406">
        <v>0</v>
      </c>
      <c r="H15" s="406">
        <v>0</v>
      </c>
      <c r="I15" s="406">
        <v>0</v>
      </c>
      <c r="J15" s="406">
        <v>0</v>
      </c>
      <c r="K15" s="406">
        <v>0</v>
      </c>
      <c r="L15" s="406">
        <v>0</v>
      </c>
      <c r="M15" s="406">
        <v>0</v>
      </c>
      <c r="N15" s="406">
        <v>0</v>
      </c>
      <c r="O15" s="406">
        <v>0</v>
      </c>
      <c r="P15" s="406">
        <v>0</v>
      </c>
      <c r="Q15" s="406">
        <v>0</v>
      </c>
      <c r="R15" s="406">
        <v>0</v>
      </c>
      <c r="S15" s="406">
        <v>0</v>
      </c>
      <c r="T15" s="406">
        <f>2195+1388</f>
        <v>3583</v>
      </c>
      <c r="U15" s="406">
        <f>1860+182</f>
        <v>2042</v>
      </c>
      <c r="V15" s="406">
        <v>0</v>
      </c>
      <c r="W15" s="406">
        <v>0</v>
      </c>
      <c r="X15" s="1044">
        <v>0</v>
      </c>
      <c r="Y15" s="1044">
        <v>0</v>
      </c>
      <c r="Z15" s="1044">
        <v>0</v>
      </c>
      <c r="AA15" s="1044">
        <v>0</v>
      </c>
      <c r="AB15" s="1044">
        <v>0</v>
      </c>
      <c r="AC15" s="1044">
        <v>0</v>
      </c>
      <c r="AD15" s="1044">
        <v>0</v>
      </c>
      <c r="AE15" s="1485">
        <v>0</v>
      </c>
      <c r="AF15" s="1042">
        <v>0</v>
      </c>
      <c r="AG15" s="1042">
        <v>0</v>
      </c>
      <c r="AH15" s="1042">
        <v>0</v>
      </c>
      <c r="AI15" s="1042">
        <v>0</v>
      </c>
      <c r="AJ15" s="1042">
        <v>0</v>
      </c>
      <c r="AK15" s="1259">
        <v>0</v>
      </c>
      <c r="AL15" s="405"/>
    </row>
    <row r="16" spans="1:38" x14ac:dyDescent="0.2">
      <c r="B16" s="185" t="s">
        <v>530</v>
      </c>
      <c r="D16" s="261"/>
      <c r="E16" s="408">
        <v>416.09399999999999</v>
      </c>
      <c r="F16" s="408">
        <v>0</v>
      </c>
      <c r="G16" s="408">
        <v>0</v>
      </c>
      <c r="H16" s="408">
        <v>12.635999999999999</v>
      </c>
      <c r="I16" s="408">
        <v>0</v>
      </c>
      <c r="J16" s="408">
        <v>0</v>
      </c>
      <c r="K16" s="408">
        <v>0</v>
      </c>
      <c r="L16" s="408">
        <v>200</v>
      </c>
      <c r="M16" s="408">
        <v>200</v>
      </c>
      <c r="N16" s="408">
        <v>0</v>
      </c>
      <c r="O16" s="408">
        <v>-4</v>
      </c>
      <c r="P16" s="408">
        <v>-175</v>
      </c>
      <c r="Q16" s="408">
        <v>-30</v>
      </c>
      <c r="R16" s="408">
        <v>-186</v>
      </c>
      <c r="S16" s="408">
        <v>-206</v>
      </c>
      <c r="T16" s="408">
        <v>-131</v>
      </c>
      <c r="U16" s="408">
        <v>17</v>
      </c>
      <c r="V16" s="408">
        <v>23</v>
      </c>
      <c r="W16" s="408">
        <v>68</v>
      </c>
      <c r="X16" s="1045">
        <v>23</v>
      </c>
      <c r="Y16" s="1045">
        <v>-34</v>
      </c>
      <c r="Z16" s="1045">
        <v>33</v>
      </c>
      <c r="AA16" s="1045">
        <v>13</v>
      </c>
      <c r="AB16" s="1045">
        <v>-2</v>
      </c>
      <c r="AC16" s="1045">
        <v>-3</v>
      </c>
      <c r="AD16" s="1045">
        <v>0</v>
      </c>
      <c r="AE16" s="1486">
        <v>0</v>
      </c>
      <c r="AF16" s="1043">
        <v>0</v>
      </c>
      <c r="AG16" s="1043">
        <v>0</v>
      </c>
      <c r="AH16" s="1043">
        <v>0</v>
      </c>
      <c r="AI16" s="1043">
        <v>0</v>
      </c>
      <c r="AJ16" s="1043">
        <v>0</v>
      </c>
      <c r="AK16" s="1261">
        <v>0</v>
      </c>
      <c r="AL16" s="405"/>
    </row>
    <row r="17" spans="1:38" x14ac:dyDescent="0.2">
      <c r="A17" s="185" t="s">
        <v>148</v>
      </c>
      <c r="D17" s="261"/>
      <c r="E17" s="409">
        <f t="shared" ref="E17:AD17" si="1">SUM(E8:E16)</f>
        <v>356.54</v>
      </c>
      <c r="F17" s="409">
        <f t="shared" si="1"/>
        <v>-130.09100000000004</v>
      </c>
      <c r="G17" s="409">
        <f t="shared" si="1"/>
        <v>408.91400000000061</v>
      </c>
      <c r="H17" s="409">
        <f t="shared" si="1"/>
        <v>467.31599999999912</v>
      </c>
      <c r="I17" s="409">
        <f t="shared" si="1"/>
        <v>523.10299999999995</v>
      </c>
      <c r="J17" s="409">
        <f t="shared" si="1"/>
        <v>641.80700000000002</v>
      </c>
      <c r="K17" s="409">
        <f t="shared" si="1"/>
        <v>1022.8049999999998</v>
      </c>
      <c r="L17" s="409">
        <f t="shared" si="1"/>
        <v>1563</v>
      </c>
      <c r="M17" s="409">
        <f t="shared" si="1"/>
        <v>1566.2339999999999</v>
      </c>
      <c r="N17" s="409">
        <f t="shared" si="1"/>
        <v>1542</v>
      </c>
      <c r="O17" s="409">
        <f t="shared" si="1"/>
        <v>1624</v>
      </c>
      <c r="P17" s="409">
        <f t="shared" si="1"/>
        <v>1309</v>
      </c>
      <c r="Q17" s="409">
        <f t="shared" si="1"/>
        <v>1313</v>
      </c>
      <c r="R17" s="409">
        <f t="shared" si="1"/>
        <v>1226</v>
      </c>
      <c r="S17" s="409">
        <f t="shared" si="1"/>
        <v>1253</v>
      </c>
      <c r="T17" s="409">
        <f t="shared" si="1"/>
        <v>5516.0000000000036</v>
      </c>
      <c r="U17" s="409">
        <f t="shared" si="1"/>
        <v>7202.875</v>
      </c>
      <c r="V17" s="409">
        <f t="shared" si="1"/>
        <v>2799.766000000001</v>
      </c>
      <c r="W17" s="409">
        <f t="shared" si="1"/>
        <v>2377</v>
      </c>
      <c r="X17" s="409">
        <f t="shared" si="1"/>
        <v>2166.5</v>
      </c>
      <c r="Y17" s="409">
        <f t="shared" si="1"/>
        <v>2102.9591078066915</v>
      </c>
      <c r="Z17" s="409">
        <f t="shared" si="1"/>
        <v>2518</v>
      </c>
      <c r="AA17" s="409">
        <f t="shared" si="1"/>
        <v>2513</v>
      </c>
      <c r="AB17" s="409">
        <f t="shared" si="1"/>
        <v>2777.6322869955156</v>
      </c>
      <c r="AC17" s="409">
        <f t="shared" si="1"/>
        <v>2886</v>
      </c>
      <c r="AD17" s="409">
        <f t="shared" si="1"/>
        <v>2673.5459999999998</v>
      </c>
      <c r="AE17" s="1262">
        <f t="shared" ref="AE17:AJ17" si="2">SUM(AE8:AE16)</f>
        <v>2764.7309999999998</v>
      </c>
      <c r="AF17" s="409">
        <f t="shared" si="2"/>
        <v>2698.0313000000001</v>
      </c>
      <c r="AG17" s="409">
        <f t="shared" si="2"/>
        <v>2097.4626080195039</v>
      </c>
      <c r="AH17" s="409">
        <f t="shared" si="2"/>
        <v>1840.2794146681952</v>
      </c>
      <c r="AI17" s="409">
        <f t="shared" si="2"/>
        <v>1586.0569184225437</v>
      </c>
      <c r="AJ17" s="409">
        <f t="shared" si="2"/>
        <v>1374.496409739249</v>
      </c>
      <c r="AK17" s="1262">
        <f t="shared" ref="AK17" si="3">SUM(AK8:AK16)</f>
        <v>1177.4598554088234</v>
      </c>
      <c r="AL17" s="409"/>
    </row>
    <row r="18" spans="1:38" ht="4.5" customHeight="1" x14ac:dyDescent="0.2">
      <c r="D18" s="261"/>
      <c r="E18" s="317"/>
      <c r="F18" s="317"/>
      <c r="G18" s="317"/>
      <c r="H18" s="317"/>
      <c r="I18" s="317"/>
      <c r="J18" s="317"/>
      <c r="K18" s="317"/>
      <c r="L18" s="317"/>
      <c r="M18" s="317"/>
      <c r="N18" s="317"/>
      <c r="O18" s="317"/>
      <c r="P18" s="317"/>
      <c r="Q18" s="317"/>
      <c r="R18" s="317"/>
      <c r="S18" s="317"/>
      <c r="T18" s="317"/>
      <c r="U18" s="410"/>
      <c r="V18" s="410"/>
      <c r="W18" s="410"/>
      <c r="X18" s="410"/>
      <c r="Y18" s="410"/>
      <c r="Z18" s="410"/>
      <c r="AA18" s="410"/>
      <c r="AB18" s="410"/>
      <c r="AC18" s="410"/>
      <c r="AD18" s="410"/>
      <c r="AE18" s="1263"/>
      <c r="AF18" s="410"/>
      <c r="AG18" s="410"/>
      <c r="AH18" s="410"/>
      <c r="AI18" s="410"/>
      <c r="AJ18" s="410"/>
      <c r="AK18" s="1263"/>
      <c r="AL18" s="410"/>
    </row>
    <row r="19" spans="1:38" x14ac:dyDescent="0.2">
      <c r="B19" s="185" t="s">
        <v>147</v>
      </c>
      <c r="D19" s="261"/>
      <c r="E19" s="411">
        <v>-177.792</v>
      </c>
      <c r="F19" s="411">
        <v>-201.631</v>
      </c>
      <c r="G19" s="411">
        <v>-198.505</v>
      </c>
      <c r="H19" s="411">
        <v>-418.86099999999999</v>
      </c>
      <c r="I19" s="411">
        <v>-962.255</v>
      </c>
      <c r="J19" s="411">
        <v>-680.22600000000011</v>
      </c>
      <c r="K19" s="411">
        <v>-846.01599999999996</v>
      </c>
      <c r="L19" s="411">
        <v>-696</v>
      </c>
      <c r="M19" s="411">
        <v>-695</v>
      </c>
      <c r="N19" s="411">
        <v>-782</v>
      </c>
      <c r="O19" s="411">
        <v>-786</v>
      </c>
      <c r="P19" s="411">
        <v>-651</v>
      </c>
      <c r="Q19" s="411">
        <v>-627</v>
      </c>
      <c r="R19" s="411">
        <v>-568</v>
      </c>
      <c r="S19" s="411">
        <v>-548</v>
      </c>
      <c r="T19" s="411">
        <f>-656-5321</f>
        <v>-5977</v>
      </c>
      <c r="U19" s="411">
        <v>-1392</v>
      </c>
      <c r="V19" s="411">
        <v>-1105</v>
      </c>
      <c r="W19" s="411">
        <v>-897</v>
      </c>
      <c r="X19" s="1046">
        <v>-460</v>
      </c>
      <c r="Y19" s="1046">
        <v>-505</v>
      </c>
      <c r="Z19" s="1046">
        <f>-555-209</f>
        <v>-764</v>
      </c>
      <c r="AA19" s="1046">
        <f>-698-244</f>
        <v>-942</v>
      </c>
      <c r="AB19" s="1046">
        <f>-607-256</f>
        <v>-863</v>
      </c>
      <c r="AC19" s="1046">
        <f>-770-298</f>
        <v>-1068</v>
      </c>
      <c r="AD19" s="1046">
        <f>-777+-336</f>
        <v>-1113</v>
      </c>
      <c r="AE19" s="1487">
        <f>-596-316</f>
        <v>-912</v>
      </c>
      <c r="AF19" s="1484">
        <f>-487-273</f>
        <v>-760</v>
      </c>
      <c r="AG19" s="1056">
        <f>-1000-50</f>
        <v>-1050</v>
      </c>
      <c r="AH19" s="1056">
        <v>-1000</v>
      </c>
      <c r="AI19" s="1056">
        <v>-1000</v>
      </c>
      <c r="AJ19" s="1056">
        <f>AI19</f>
        <v>-1000</v>
      </c>
      <c r="AK19" s="1339">
        <v>-1000</v>
      </c>
      <c r="AL19" s="412"/>
    </row>
    <row r="20" spans="1:38" ht="4.5" customHeight="1" x14ac:dyDescent="0.2">
      <c r="D20" s="261"/>
      <c r="E20" s="413"/>
      <c r="F20" s="413"/>
      <c r="G20" s="413"/>
      <c r="H20" s="413"/>
      <c r="I20" s="413"/>
      <c r="J20" s="413"/>
      <c r="K20" s="413"/>
      <c r="L20" s="413"/>
      <c r="M20" s="413"/>
      <c r="N20" s="413"/>
      <c r="O20" s="413"/>
      <c r="P20" s="413"/>
      <c r="Q20" s="413"/>
      <c r="R20" s="413"/>
      <c r="S20" s="413"/>
      <c r="T20" s="413"/>
      <c r="U20" s="414"/>
      <c r="V20" s="414"/>
      <c r="W20" s="414"/>
      <c r="X20" s="1047"/>
      <c r="Y20" s="1047"/>
      <c r="Z20" s="1047"/>
      <c r="AA20" s="1047"/>
      <c r="AB20" s="1047"/>
      <c r="AC20" s="1047"/>
      <c r="AD20" s="1047"/>
      <c r="AE20" s="1488"/>
      <c r="AF20" s="414"/>
      <c r="AG20" s="414"/>
      <c r="AH20" s="414"/>
      <c r="AI20" s="414"/>
      <c r="AJ20" s="414"/>
      <c r="AK20" s="1264"/>
      <c r="AL20" s="414"/>
    </row>
    <row r="21" spans="1:38" x14ac:dyDescent="0.2">
      <c r="B21" s="185" t="s">
        <v>155</v>
      </c>
      <c r="D21" s="261"/>
      <c r="E21" s="413"/>
      <c r="F21" s="413"/>
      <c r="G21" s="413"/>
      <c r="H21" s="413"/>
      <c r="I21" s="413"/>
      <c r="J21" s="413"/>
      <c r="K21" s="413"/>
      <c r="L21" s="413"/>
      <c r="M21" s="413"/>
      <c r="N21" s="413"/>
      <c r="O21" s="413"/>
      <c r="P21" s="413"/>
      <c r="Q21" s="413"/>
      <c r="R21" s="413"/>
      <c r="S21" s="413"/>
      <c r="T21" s="413"/>
      <c r="U21" s="414"/>
      <c r="V21" s="414"/>
      <c r="W21" s="414"/>
      <c r="X21" s="1047"/>
      <c r="Y21" s="1047"/>
      <c r="Z21" s="1047"/>
      <c r="AA21" s="1044"/>
      <c r="AB21" s="1048"/>
      <c r="AC21" s="1044"/>
      <c r="AD21" s="1044"/>
      <c r="AE21" s="1485"/>
      <c r="AF21" s="405"/>
      <c r="AG21" s="405"/>
      <c r="AH21" s="405"/>
      <c r="AI21" s="405"/>
      <c r="AJ21" s="405"/>
      <c r="AK21" s="1265"/>
      <c r="AL21" s="405"/>
    </row>
    <row r="22" spans="1:38" x14ac:dyDescent="0.2">
      <c r="B22" s="185" t="s">
        <v>16</v>
      </c>
      <c r="D22" s="261"/>
      <c r="E22" s="403"/>
      <c r="F22" s="403"/>
      <c r="G22" s="403"/>
      <c r="H22" s="403"/>
      <c r="I22" s="403"/>
      <c r="J22" s="403">
        <v>-21.097999999999999</v>
      </c>
      <c r="K22" s="403">
        <v>222.828</v>
      </c>
      <c r="L22" s="403">
        <v>194</v>
      </c>
      <c r="M22" s="403">
        <v>235</v>
      </c>
      <c r="N22" s="403">
        <v>-126</v>
      </c>
      <c r="O22" s="403">
        <v>-105</v>
      </c>
      <c r="P22" s="403">
        <v>83</v>
      </c>
      <c r="Q22" s="403">
        <v>39</v>
      </c>
      <c r="R22" s="403">
        <v>-71</v>
      </c>
      <c r="S22" s="403">
        <v>17</v>
      </c>
      <c r="T22" s="403">
        <v>-147</v>
      </c>
      <c r="U22" s="403">
        <v>207</v>
      </c>
      <c r="V22" s="403">
        <v>28</v>
      </c>
      <c r="W22" s="403">
        <v>12</v>
      </c>
      <c r="X22" s="1049">
        <v>7</v>
      </c>
      <c r="Y22" s="1049">
        <v>-51</v>
      </c>
      <c r="Z22" s="1049">
        <v>-37</v>
      </c>
      <c r="AA22" s="1049">
        <v>7</v>
      </c>
      <c r="AB22" s="1049">
        <v>-58</v>
      </c>
      <c r="AC22" s="1049">
        <v>22</v>
      </c>
      <c r="AD22" s="1049">
        <v>-45</v>
      </c>
      <c r="AE22" s="1489">
        <v>-1</v>
      </c>
      <c r="AF22" s="1044">
        <v>120</v>
      </c>
      <c r="AG22" s="1055">
        <f>-bal!AF10+bal!AE10</f>
        <v>-131.70655206483985</v>
      </c>
      <c r="AH22" s="1055">
        <f>-bal!AG10+bal!AF10</f>
        <v>14.582449704376074</v>
      </c>
      <c r="AI22" s="1055">
        <f>-bal!AH10+bal!AG10</f>
        <v>14.254868885078281</v>
      </c>
      <c r="AJ22" s="1055">
        <f>-bal!AI10+bal!AH10</f>
        <v>13.484144674455536</v>
      </c>
      <c r="AK22" s="1266">
        <f>-bal!AJ10+bal!AI10</f>
        <v>13.19621698216406</v>
      </c>
      <c r="AL22" s="405"/>
    </row>
    <row r="23" spans="1:38" x14ac:dyDescent="0.2">
      <c r="B23" s="185" t="s">
        <v>11</v>
      </c>
      <c r="D23" s="261"/>
      <c r="E23" s="406"/>
      <c r="F23" s="406"/>
      <c r="G23" s="406"/>
      <c r="H23" s="406"/>
      <c r="I23" s="406"/>
      <c r="J23" s="406">
        <v>-361.99099999999999</v>
      </c>
      <c r="K23" s="406">
        <v>-151.148</v>
      </c>
      <c r="L23" s="406">
        <v>7</v>
      </c>
      <c r="M23" s="406">
        <v>-20</v>
      </c>
      <c r="N23" s="406">
        <v>-109</v>
      </c>
      <c r="O23" s="406">
        <v>-258</v>
      </c>
      <c r="P23" s="406">
        <v>305</v>
      </c>
      <c r="Q23" s="406">
        <v>17</v>
      </c>
      <c r="R23" s="406">
        <v>143</v>
      </c>
      <c r="S23" s="406">
        <v>95</v>
      </c>
      <c r="T23" s="406">
        <v>495</v>
      </c>
      <c r="U23" s="406">
        <v>-51</v>
      </c>
      <c r="V23" s="406">
        <v>256</v>
      </c>
      <c r="W23" s="406">
        <v>291</v>
      </c>
      <c r="X23" s="1044">
        <v>154</v>
      </c>
      <c r="Y23" s="1044">
        <v>-143</v>
      </c>
      <c r="Z23" s="1044">
        <v>-359</v>
      </c>
      <c r="AA23" s="1044">
        <f>-bal!Z11+bal!Y11</f>
        <v>-191</v>
      </c>
      <c r="AB23" s="1044">
        <v>-249</v>
      </c>
      <c r="AC23" s="1044">
        <v>40</v>
      </c>
      <c r="AD23" s="1044">
        <v>-60</v>
      </c>
      <c r="AE23" s="1485">
        <v>107</v>
      </c>
      <c r="AF23" s="1044">
        <v>221</v>
      </c>
      <c r="AG23" s="1055">
        <f>-bal!AF11+bal!AE11</f>
        <v>19.756439937534196</v>
      </c>
      <c r="AH23" s="1055">
        <f>-bal!AG11+bal!AF11</f>
        <v>116.67437694047567</v>
      </c>
      <c r="AI23" s="1055">
        <f>-bal!AH11+bal!AG11</f>
        <v>120.62774454500777</v>
      </c>
      <c r="AJ23" s="1055">
        <f>-bal!AI11+bal!AH11</f>
        <v>110.3410019528128</v>
      </c>
      <c r="AK23" s="1266">
        <f>-bal!AJ11+bal!AI11</f>
        <v>111.73046711423649</v>
      </c>
      <c r="AL23" s="405"/>
    </row>
    <row r="24" spans="1:38" x14ac:dyDescent="0.2">
      <c r="B24" s="185" t="s">
        <v>334</v>
      </c>
      <c r="D24" s="261"/>
      <c r="E24" s="406"/>
      <c r="F24" s="406"/>
      <c r="G24" s="406"/>
      <c r="H24" s="406"/>
      <c r="I24" s="406"/>
      <c r="J24" s="406">
        <v>-67.745000000000005</v>
      </c>
      <c r="K24" s="406">
        <v>66.730999999999995</v>
      </c>
      <c r="L24" s="406">
        <v>-5</v>
      </c>
      <c r="M24" s="406">
        <v>-2</v>
      </c>
      <c r="N24" s="406">
        <v>-5</v>
      </c>
      <c r="O24" s="406">
        <v>0</v>
      </c>
      <c r="P24" s="406">
        <v>0</v>
      </c>
      <c r="Q24" s="406">
        <v>0</v>
      </c>
      <c r="R24" s="406">
        <v>25</v>
      </c>
      <c r="S24" s="406">
        <v>-5</v>
      </c>
      <c r="T24" s="406">
        <v>122</v>
      </c>
      <c r="U24" s="406">
        <v>-41</v>
      </c>
      <c r="V24" s="406">
        <v>33</v>
      </c>
      <c r="W24" s="406">
        <v>-7</v>
      </c>
      <c r="X24" s="1044">
        <v>3</v>
      </c>
      <c r="Y24" s="1044">
        <v>-10</v>
      </c>
      <c r="Z24" s="1044">
        <v>-99</v>
      </c>
      <c r="AA24" s="1044">
        <v>75</v>
      </c>
      <c r="AB24" s="1044">
        <v>-57</v>
      </c>
      <c r="AC24" s="1044">
        <v>-74</v>
      </c>
      <c r="AD24" s="1044">
        <v>0</v>
      </c>
      <c r="AE24" s="1485">
        <v>-8</v>
      </c>
      <c r="AF24" s="1044">
        <v>-14</v>
      </c>
      <c r="AG24" s="1055">
        <f>-bal!AF12+bal!AE12</f>
        <v>61.332809880355114</v>
      </c>
      <c r="AH24" s="1055">
        <f>-bal!AG12+bal!AF12</f>
        <v>11.397776780431855</v>
      </c>
      <c r="AI24" s="1055">
        <f>-bal!AH12+bal!AG12</f>
        <v>11.14173659983129</v>
      </c>
      <c r="AJ24" s="1055">
        <f>-bal!AI12+bal!AH12</f>
        <v>10.539331469689387</v>
      </c>
      <c r="AK24" s="1266">
        <f>-bal!AJ12+bal!AI12</f>
        <v>10.314284537783408</v>
      </c>
      <c r="AL24" s="405"/>
    </row>
    <row r="25" spans="1:38" x14ac:dyDescent="0.2">
      <c r="B25" s="185" t="s">
        <v>249</v>
      </c>
      <c r="D25" s="261"/>
      <c r="E25" s="406"/>
      <c r="F25" s="406"/>
      <c r="G25" s="406"/>
      <c r="H25" s="406"/>
      <c r="I25" s="406"/>
      <c r="J25" s="406">
        <v>61.482999999999997</v>
      </c>
      <c r="K25" s="406">
        <v>-11.608000000000001</v>
      </c>
      <c r="L25" s="406">
        <v>-7</v>
      </c>
      <c r="M25" s="406">
        <v>31</v>
      </c>
      <c r="N25" s="406">
        <v>-27</v>
      </c>
      <c r="O25" s="406">
        <v>-25</v>
      </c>
      <c r="P25" s="406">
        <v>-52</v>
      </c>
      <c r="Q25" s="406">
        <v>-87</v>
      </c>
      <c r="R25" s="406">
        <v>2</v>
      </c>
      <c r="S25" s="406">
        <v>-1</v>
      </c>
      <c r="T25" s="406">
        <v>-2</v>
      </c>
      <c r="U25" s="406">
        <v>25</v>
      </c>
      <c r="V25" s="406">
        <v>3</v>
      </c>
      <c r="W25" s="406">
        <v>1</v>
      </c>
      <c r="X25" s="1044">
        <v>-15</v>
      </c>
      <c r="Y25" s="1044">
        <v>2</v>
      </c>
      <c r="Z25" s="1044">
        <v>8</v>
      </c>
      <c r="AA25" s="1044">
        <v>23</v>
      </c>
      <c r="AB25" s="1044">
        <v>-1</v>
      </c>
      <c r="AC25" s="1044">
        <v>-61</v>
      </c>
      <c r="AD25" s="1044">
        <v>-1</v>
      </c>
      <c r="AE25" s="1485" t="s">
        <v>261</v>
      </c>
      <c r="AF25" s="1055">
        <v>0</v>
      </c>
      <c r="AG25" s="1055">
        <f>-bal!AF13+bal!AE13</f>
        <v>0</v>
      </c>
      <c r="AH25" s="1055">
        <f>-bal!AG13+bal!AF13</f>
        <v>0</v>
      </c>
      <c r="AI25" s="1055">
        <f>-bal!AH13+bal!AG13</f>
        <v>0</v>
      </c>
      <c r="AJ25" s="1055">
        <f>-bal!AI13+bal!AH13</f>
        <v>0</v>
      </c>
      <c r="AK25" s="1266">
        <f>-bal!AJ13+bal!AI13</f>
        <v>0</v>
      </c>
      <c r="AL25" s="405"/>
    </row>
    <row r="26" spans="1:38" x14ac:dyDescent="0.2">
      <c r="B26" s="185" t="s">
        <v>156</v>
      </c>
      <c r="D26" s="261"/>
      <c r="E26" s="406"/>
      <c r="F26" s="406"/>
      <c r="G26" s="406"/>
      <c r="H26" s="406"/>
      <c r="I26" s="406"/>
      <c r="J26" s="406"/>
      <c r="K26" s="406"/>
      <c r="L26" s="406"/>
      <c r="M26" s="406"/>
      <c r="N26" s="406"/>
      <c r="O26" s="406"/>
      <c r="P26" s="406"/>
      <c r="Q26" s="406"/>
      <c r="R26" s="406"/>
      <c r="S26" s="406"/>
      <c r="T26" s="406"/>
      <c r="U26" s="406"/>
      <c r="V26" s="406"/>
      <c r="W26" s="406"/>
      <c r="X26" s="1044"/>
      <c r="Y26" s="1044"/>
      <c r="Z26" s="1044"/>
      <c r="AA26" s="1044"/>
      <c r="AB26" s="1044"/>
      <c r="AC26" s="1050"/>
      <c r="AD26" s="1050"/>
      <c r="AE26" s="1490"/>
      <c r="AF26" s="317"/>
      <c r="AG26" s="317"/>
      <c r="AH26" s="317"/>
      <c r="AI26" s="317"/>
      <c r="AJ26" s="317"/>
      <c r="AK26" s="1267"/>
      <c r="AL26" s="317"/>
    </row>
    <row r="27" spans="1:38" x14ac:dyDescent="0.2">
      <c r="B27" s="185" t="s">
        <v>265</v>
      </c>
      <c r="D27" s="261"/>
      <c r="E27" s="403"/>
      <c r="F27" s="403"/>
      <c r="G27" s="403"/>
      <c r="H27" s="403"/>
      <c r="I27" s="403"/>
      <c r="J27" s="403">
        <v>-83.22</v>
      </c>
      <c r="K27" s="403">
        <v>176.691</v>
      </c>
      <c r="L27" s="403">
        <v>-36</v>
      </c>
      <c r="M27" s="403">
        <v>6</v>
      </c>
      <c r="N27" s="403">
        <v>240</v>
      </c>
      <c r="O27" s="403">
        <v>-23</v>
      </c>
      <c r="P27" s="403">
        <v>-236</v>
      </c>
      <c r="Q27" s="403">
        <v>-1</v>
      </c>
      <c r="R27" s="403">
        <v>60</v>
      </c>
      <c r="S27" s="403">
        <v>-24</v>
      </c>
      <c r="T27" s="403">
        <v>-444</v>
      </c>
      <c r="U27" s="403">
        <v>-841</v>
      </c>
      <c r="V27" s="403">
        <v>-528</v>
      </c>
      <c r="W27" s="403">
        <v>-317</v>
      </c>
      <c r="X27" s="1049">
        <v>-172</v>
      </c>
      <c r="Y27" s="1049">
        <v>46</v>
      </c>
      <c r="Z27" s="1049">
        <v>252</v>
      </c>
      <c r="AA27" s="1049">
        <f>23-33</f>
        <v>-10</v>
      </c>
      <c r="AB27" s="1049">
        <f>101+48</f>
        <v>149</v>
      </c>
      <c r="AC27" s="1049">
        <f>-17+37</f>
        <v>20</v>
      </c>
      <c r="AD27" s="1049">
        <v>-78</v>
      </c>
      <c r="AE27" s="1489">
        <v>-132</v>
      </c>
      <c r="AF27" s="1049">
        <v>162</v>
      </c>
      <c r="AG27" s="1054">
        <f>bal!AF26-bal!AE26</f>
        <v>110.02849471011632</v>
      </c>
      <c r="AH27" s="1054">
        <f>bal!AG26-bal!AF26</f>
        <v>-110.0873796593205</v>
      </c>
      <c r="AI27" s="1054">
        <f>bal!AH26-bal!AG26</f>
        <v>-113.81755497137783</v>
      </c>
      <c r="AJ27" s="1054">
        <f>bal!AI26-bal!AH26</f>
        <v>-104.11156324551393</v>
      </c>
      <c r="AK27" s="1268">
        <f>bal!AJ26-bal!AI26</f>
        <v>-105.42258442051389</v>
      </c>
      <c r="AL27" s="323"/>
    </row>
    <row r="28" spans="1:38" x14ac:dyDescent="0.2">
      <c r="B28" s="185" t="s">
        <v>335</v>
      </c>
      <c r="D28" s="261"/>
      <c r="E28" s="403"/>
      <c r="F28" s="403"/>
      <c r="G28" s="403"/>
      <c r="H28" s="403"/>
      <c r="I28" s="403"/>
      <c r="J28" s="403">
        <v>-45.436999999999998</v>
      </c>
      <c r="K28" s="403">
        <v>2.536</v>
      </c>
      <c r="L28" s="403">
        <v>103</v>
      </c>
      <c r="M28" s="403">
        <v>25</v>
      </c>
      <c r="N28" s="403">
        <v>127</v>
      </c>
      <c r="O28" s="403">
        <v>19</v>
      </c>
      <c r="P28" s="403">
        <v>-181</v>
      </c>
      <c r="Q28" s="403">
        <v>14</v>
      </c>
      <c r="R28" s="403">
        <v>284</v>
      </c>
      <c r="S28" s="403">
        <v>-6</v>
      </c>
      <c r="T28" s="403">
        <v>49</v>
      </c>
      <c r="U28" s="403">
        <v>-139</v>
      </c>
      <c r="V28" s="403">
        <v>14</v>
      </c>
      <c r="W28" s="403">
        <v>-146</v>
      </c>
      <c r="X28" s="1049">
        <v>40</v>
      </c>
      <c r="Y28" s="1049">
        <v>115</v>
      </c>
      <c r="Z28" s="1049">
        <v>188</v>
      </c>
      <c r="AA28" s="1049">
        <v>-16</v>
      </c>
      <c r="AB28" s="1049">
        <v>7</v>
      </c>
      <c r="AC28" s="1049">
        <v>-65</v>
      </c>
      <c r="AD28" s="1049">
        <v>-69</v>
      </c>
      <c r="AE28" s="1489">
        <v>125</v>
      </c>
      <c r="AF28" s="1049">
        <v>-114</v>
      </c>
      <c r="AG28" s="1054">
        <f>+bal!AF27-bal!AE27</f>
        <v>-4.6246721988374588</v>
      </c>
      <c r="AH28" s="1054">
        <f>+bal!AG27-bal!AF27</f>
        <v>-8.5888615079422834</v>
      </c>
      <c r="AI28" s="1054">
        <f>+bal!AH27-bal!AG27</f>
        <v>-8.3959209289143928</v>
      </c>
      <c r="AJ28" s="1054">
        <f>+bal!AI27-bal!AH27</f>
        <v>-7.9419750117294825</v>
      </c>
      <c r="AK28" s="1268">
        <f>+bal!AJ27-bal!AI27</f>
        <v>-7.7723895769412934</v>
      </c>
      <c r="AL28" s="323"/>
    </row>
    <row r="29" spans="1:38" x14ac:dyDescent="0.2">
      <c r="B29" s="185" t="s">
        <v>262</v>
      </c>
      <c r="D29" s="261"/>
      <c r="E29" s="403"/>
      <c r="F29" s="403"/>
      <c r="G29" s="403"/>
      <c r="H29" s="403"/>
      <c r="I29" s="403"/>
      <c r="J29" s="403">
        <v>192.07900000000001</v>
      </c>
      <c r="K29" s="403">
        <v>84.004999999999995</v>
      </c>
      <c r="L29" s="403">
        <v>138</v>
      </c>
      <c r="M29" s="403">
        <v>103</v>
      </c>
      <c r="N29" s="403">
        <v>146</v>
      </c>
      <c r="O29" s="403">
        <v>174</v>
      </c>
      <c r="P29" s="403">
        <v>17</v>
      </c>
      <c r="Q29" s="403">
        <v>-119</v>
      </c>
      <c r="R29" s="403">
        <v>3</v>
      </c>
      <c r="S29" s="403">
        <v>59</v>
      </c>
      <c r="T29" s="403">
        <v>-36</v>
      </c>
      <c r="U29" s="403">
        <v>-18</v>
      </c>
      <c r="V29" s="403">
        <v>-2</v>
      </c>
      <c r="W29" s="403">
        <v>-291</v>
      </c>
      <c r="X29" s="1049">
        <v>96</v>
      </c>
      <c r="Y29" s="1049">
        <v>241</v>
      </c>
      <c r="Z29" s="1049">
        <v>153</v>
      </c>
      <c r="AA29" s="1049">
        <v>14</v>
      </c>
      <c r="AB29" s="1049">
        <v>-142</v>
      </c>
      <c r="AC29" s="1049">
        <v>29</v>
      </c>
      <c r="AD29" s="1049">
        <f>-1+-88</f>
        <v>-89</v>
      </c>
      <c r="AE29" s="1489">
        <f>-139</f>
        <v>-139</v>
      </c>
      <c r="AF29" s="1049">
        <v>-412</v>
      </c>
      <c r="AG29" s="1054">
        <f>+bal!AF28-bal!AE28+bal!AF33-bal!AE33</f>
        <v>-17.530007456404064</v>
      </c>
      <c r="AH29" s="1054">
        <f>+bal!AG28-bal!AF28+bal!AG33-bal!AF33</f>
        <v>-32.556427742943242</v>
      </c>
      <c r="AI29" s="1054">
        <f>+bal!AH28-bal!AG28+bal!AH33-bal!AG33</f>
        <v>-31.825078656222786</v>
      </c>
      <c r="AJ29" s="1054">
        <f>+bal!AI28-bal!AH28+bal!AI33-bal!AH33</f>
        <v>-30.104378253920459</v>
      </c>
      <c r="AK29" s="1268">
        <f>+bal!AJ28-bal!AI28+bal!AJ33-bal!AI33</f>
        <v>-29.461557788270625</v>
      </c>
      <c r="AL29" s="323"/>
    </row>
    <row r="30" spans="1:38" x14ac:dyDescent="0.2">
      <c r="B30" s="185" t="s">
        <v>336</v>
      </c>
      <c r="D30" s="261"/>
      <c r="E30" s="406"/>
      <c r="F30" s="406"/>
      <c r="G30" s="406"/>
      <c r="H30" s="406"/>
      <c r="I30" s="406"/>
      <c r="J30" s="406">
        <v>26.068000000000001</v>
      </c>
      <c r="K30" s="406">
        <v>4.0049999999999999</v>
      </c>
      <c r="L30" s="406">
        <v>-6</v>
      </c>
      <c r="M30" s="406">
        <v>-4</v>
      </c>
      <c r="N30" s="406">
        <f>-7-37</f>
        <v>-44</v>
      </c>
      <c r="O30" s="406">
        <v>-8</v>
      </c>
      <c r="P30" s="406">
        <v>7</v>
      </c>
      <c r="Q30" s="406">
        <v>-18</v>
      </c>
      <c r="R30" s="406">
        <v>-76</v>
      </c>
      <c r="S30" s="406">
        <v>-60</v>
      </c>
      <c r="T30" s="406">
        <v>-132</v>
      </c>
      <c r="U30" s="406">
        <v>12</v>
      </c>
      <c r="V30" s="406">
        <v>-34</v>
      </c>
      <c r="W30" s="406">
        <v>65</v>
      </c>
      <c r="X30" s="1044">
        <v>-367</v>
      </c>
      <c r="Y30" s="1044">
        <v>-757</v>
      </c>
      <c r="Z30" s="1044">
        <v>-384</v>
      </c>
      <c r="AA30" s="1044">
        <v>-75</v>
      </c>
      <c r="AB30" s="1044">
        <v>197</v>
      </c>
      <c r="AC30" s="1044">
        <v>10</v>
      </c>
      <c r="AD30" s="1044">
        <v>-144</v>
      </c>
      <c r="AE30" s="1485">
        <f>-127-108-7.3</f>
        <v>-242.3</v>
      </c>
      <c r="AF30" s="1049">
        <f>-179-127</f>
        <v>-306</v>
      </c>
      <c r="AG30" s="1058">
        <v>-50</v>
      </c>
      <c r="AH30" s="1058">
        <v>-50</v>
      </c>
      <c r="AI30" s="1058">
        <v>-50</v>
      </c>
      <c r="AJ30" s="1058">
        <v>-50</v>
      </c>
      <c r="AK30" s="1269">
        <v>-50</v>
      </c>
      <c r="AL30" s="323"/>
    </row>
    <row r="31" spans="1:38" x14ac:dyDescent="0.2">
      <c r="B31" s="185" t="s">
        <v>149</v>
      </c>
      <c r="D31" s="261"/>
      <c r="E31" s="415">
        <v>-751.67200000000003</v>
      </c>
      <c r="F31" s="415">
        <v>688.55499999999995</v>
      </c>
      <c r="G31" s="415">
        <v>42.136000000000003</v>
      </c>
      <c r="H31" s="415">
        <v>-43.079000000000022</v>
      </c>
      <c r="I31" s="415">
        <v>-352.92100000000011</v>
      </c>
      <c r="J31" s="409">
        <f t="shared" ref="J31:AF31" si="4">SUM(J22:J30)</f>
        <v>-299.86100000000005</v>
      </c>
      <c r="K31" s="409">
        <f t="shared" si="4"/>
        <v>394.04</v>
      </c>
      <c r="L31" s="409">
        <f t="shared" si="4"/>
        <v>388</v>
      </c>
      <c r="M31" s="409">
        <f t="shared" si="4"/>
        <v>374</v>
      </c>
      <c r="N31" s="409">
        <f t="shared" si="4"/>
        <v>202</v>
      </c>
      <c r="O31" s="409">
        <f t="shared" si="4"/>
        <v>-226</v>
      </c>
      <c r="P31" s="409">
        <f t="shared" si="4"/>
        <v>-57</v>
      </c>
      <c r="Q31" s="409">
        <f t="shared" si="4"/>
        <v>-155</v>
      </c>
      <c r="R31" s="409">
        <f t="shared" si="4"/>
        <v>370</v>
      </c>
      <c r="S31" s="409">
        <f t="shared" si="4"/>
        <v>75</v>
      </c>
      <c r="T31" s="409">
        <f t="shared" si="4"/>
        <v>-95</v>
      </c>
      <c r="U31" s="416">
        <f t="shared" si="4"/>
        <v>-846</v>
      </c>
      <c r="V31" s="416">
        <f t="shared" si="4"/>
        <v>-230</v>
      </c>
      <c r="W31" s="416">
        <f t="shared" si="4"/>
        <v>-392</v>
      </c>
      <c r="X31" s="416">
        <f t="shared" si="4"/>
        <v>-254</v>
      </c>
      <c r="Y31" s="416">
        <f t="shared" si="4"/>
        <v>-557</v>
      </c>
      <c r="Z31" s="416">
        <f t="shared" si="4"/>
        <v>-278</v>
      </c>
      <c r="AA31" s="416">
        <f t="shared" si="4"/>
        <v>-173</v>
      </c>
      <c r="AB31" s="416">
        <f t="shared" si="4"/>
        <v>-154</v>
      </c>
      <c r="AC31" s="416">
        <f t="shared" si="4"/>
        <v>-79</v>
      </c>
      <c r="AD31" s="416">
        <f t="shared" si="4"/>
        <v>-486</v>
      </c>
      <c r="AE31" s="1270">
        <f t="shared" si="4"/>
        <v>-290.3</v>
      </c>
      <c r="AF31" s="416">
        <f t="shared" si="4"/>
        <v>-343</v>
      </c>
      <c r="AG31" s="416">
        <f>SUM(AG22:AG30)</f>
        <v>-12.743487192075747</v>
      </c>
      <c r="AH31" s="416">
        <f>SUM(AH22:AH30)</f>
        <v>-58.578065484922433</v>
      </c>
      <c r="AI31" s="416">
        <f>SUM(AI22:AI30)</f>
        <v>-58.014204526597666</v>
      </c>
      <c r="AJ31" s="416">
        <f>SUM(AJ22:AJ30)</f>
        <v>-57.79343841420615</v>
      </c>
      <c r="AK31" s="1270">
        <f>SUM(AK22:AK30)</f>
        <v>-57.415563151541846</v>
      </c>
      <c r="AL31" s="416"/>
    </row>
    <row r="32" spans="1:38" ht="4.5" customHeight="1" x14ac:dyDescent="0.2">
      <c r="D32" s="261"/>
      <c r="E32" s="413"/>
      <c r="F32" s="413"/>
      <c r="G32" s="413"/>
      <c r="H32" s="413"/>
      <c r="I32" s="317"/>
      <c r="J32" s="317"/>
      <c r="K32" s="317"/>
      <c r="L32" s="317"/>
      <c r="M32" s="317"/>
      <c r="N32" s="317"/>
      <c r="O32" s="317"/>
      <c r="P32" s="317"/>
      <c r="Q32" s="317"/>
      <c r="R32" s="317"/>
      <c r="S32" s="317"/>
      <c r="T32" s="317"/>
      <c r="U32" s="410"/>
      <c r="V32" s="410"/>
      <c r="W32" s="410"/>
      <c r="X32" s="410"/>
      <c r="Y32" s="410"/>
      <c r="Z32" s="410"/>
      <c r="AA32" s="410"/>
      <c r="AB32" s="410"/>
      <c r="AC32" s="410"/>
      <c r="AD32" s="410"/>
      <c r="AE32" s="1263"/>
      <c r="AF32" s="410"/>
      <c r="AG32" s="410"/>
      <c r="AH32" s="410"/>
      <c r="AI32" s="410"/>
      <c r="AJ32" s="410"/>
      <c r="AK32" s="1263"/>
      <c r="AL32" s="410"/>
    </row>
    <row r="33" spans="1:38" x14ac:dyDescent="0.2">
      <c r="A33" s="185" t="s">
        <v>150</v>
      </c>
      <c r="D33" s="261"/>
      <c r="E33" s="317">
        <f t="shared" ref="E33:AD33" si="5">SUM(E19:E19)+E31</f>
        <v>-929.46400000000006</v>
      </c>
      <c r="F33" s="317">
        <f t="shared" si="5"/>
        <v>486.92399999999998</v>
      </c>
      <c r="G33" s="317">
        <f t="shared" si="5"/>
        <v>-156.369</v>
      </c>
      <c r="H33" s="317">
        <f t="shared" si="5"/>
        <v>-461.94</v>
      </c>
      <c r="I33" s="317">
        <f t="shared" si="5"/>
        <v>-1315.1760000000002</v>
      </c>
      <c r="J33" s="317">
        <f t="shared" si="5"/>
        <v>-980.08700000000022</v>
      </c>
      <c r="K33" s="317">
        <f t="shared" si="5"/>
        <v>-451.97599999999994</v>
      </c>
      <c r="L33" s="317">
        <f t="shared" si="5"/>
        <v>-308</v>
      </c>
      <c r="M33" s="317">
        <f t="shared" si="5"/>
        <v>-321</v>
      </c>
      <c r="N33" s="317">
        <f t="shared" si="5"/>
        <v>-580</v>
      </c>
      <c r="O33" s="317">
        <f t="shared" si="5"/>
        <v>-1012</v>
      </c>
      <c r="P33" s="317">
        <f t="shared" si="5"/>
        <v>-708</v>
      </c>
      <c r="Q33" s="317">
        <f t="shared" si="5"/>
        <v>-782</v>
      </c>
      <c r="R33" s="317">
        <f t="shared" si="5"/>
        <v>-198</v>
      </c>
      <c r="S33" s="317">
        <f t="shared" si="5"/>
        <v>-473</v>
      </c>
      <c r="T33" s="317">
        <f t="shared" si="5"/>
        <v>-6072</v>
      </c>
      <c r="U33" s="410">
        <f t="shared" si="5"/>
        <v>-2238</v>
      </c>
      <c r="V33" s="410">
        <f t="shared" si="5"/>
        <v>-1335</v>
      </c>
      <c r="W33" s="410">
        <f t="shared" si="5"/>
        <v>-1289</v>
      </c>
      <c r="X33" s="410">
        <f t="shared" si="5"/>
        <v>-714</v>
      </c>
      <c r="Y33" s="410">
        <f t="shared" si="5"/>
        <v>-1062</v>
      </c>
      <c r="Z33" s="410">
        <f t="shared" si="5"/>
        <v>-1042</v>
      </c>
      <c r="AA33" s="410">
        <f t="shared" si="5"/>
        <v>-1115</v>
      </c>
      <c r="AB33" s="410">
        <f t="shared" si="5"/>
        <v>-1017</v>
      </c>
      <c r="AC33" s="410">
        <f t="shared" si="5"/>
        <v>-1147</v>
      </c>
      <c r="AD33" s="410">
        <f t="shared" si="5"/>
        <v>-1599</v>
      </c>
      <c r="AE33" s="1263">
        <f t="shared" ref="AE33:AJ33" si="6">SUM(AE19:AE19)+AE31</f>
        <v>-1202.3</v>
      </c>
      <c r="AF33" s="410">
        <f t="shared" si="6"/>
        <v>-1103</v>
      </c>
      <c r="AG33" s="410">
        <f t="shared" si="6"/>
        <v>-1062.7434871920757</v>
      </c>
      <c r="AH33" s="410">
        <f t="shared" si="6"/>
        <v>-1058.5780654849225</v>
      </c>
      <c r="AI33" s="410">
        <f t="shared" si="6"/>
        <v>-1058.0142045265977</v>
      </c>
      <c r="AJ33" s="410">
        <f t="shared" si="6"/>
        <v>-1057.7934384142061</v>
      </c>
      <c r="AK33" s="1263">
        <f t="shared" ref="AK33" si="7">SUM(AK19:AK19)+AK31</f>
        <v>-1057.4155631515418</v>
      </c>
      <c r="AL33" s="410"/>
    </row>
    <row r="34" spans="1:38" ht="4.5" customHeight="1" x14ac:dyDescent="0.2">
      <c r="D34" s="261"/>
      <c r="E34" s="317"/>
      <c r="F34" s="317"/>
      <c r="G34" s="317"/>
      <c r="H34" s="317"/>
      <c r="I34" s="317"/>
      <c r="J34" s="317"/>
      <c r="K34" s="317"/>
      <c r="L34" s="317"/>
      <c r="M34" s="317"/>
      <c r="N34" s="317"/>
      <c r="O34" s="317"/>
      <c r="P34" s="317"/>
      <c r="Q34" s="317"/>
      <c r="R34" s="317"/>
      <c r="S34" s="317"/>
      <c r="T34" s="317"/>
      <c r="U34" s="410"/>
      <c r="V34" s="410"/>
      <c r="W34" s="410"/>
      <c r="X34" s="410"/>
      <c r="Y34" s="410"/>
      <c r="Z34" s="410"/>
      <c r="AA34" s="410"/>
      <c r="AB34" s="410"/>
      <c r="AC34" s="410"/>
      <c r="AD34" s="410"/>
      <c r="AE34" s="1263"/>
      <c r="AF34" s="410"/>
      <c r="AG34" s="410"/>
      <c r="AH34" s="410"/>
      <c r="AI34" s="410"/>
      <c r="AJ34" s="410"/>
      <c r="AK34" s="1263"/>
      <c r="AL34" s="410"/>
    </row>
    <row r="35" spans="1:38" x14ac:dyDescent="0.2">
      <c r="A35" s="417" t="s">
        <v>151</v>
      </c>
      <c r="B35" s="417"/>
      <c r="C35" s="417"/>
      <c r="D35" s="418"/>
      <c r="E35" s="418">
        <f t="shared" ref="E35:AD35" si="8">E17+E19+E31</f>
        <v>-572.92399999999998</v>
      </c>
      <c r="F35" s="418">
        <f t="shared" si="8"/>
        <v>356.83299999999991</v>
      </c>
      <c r="G35" s="418">
        <f t="shared" si="8"/>
        <v>252.54500000000061</v>
      </c>
      <c r="H35" s="418">
        <f t="shared" si="8"/>
        <v>5.3759999999991095</v>
      </c>
      <c r="I35" s="418">
        <f t="shared" si="8"/>
        <v>-792.07300000000009</v>
      </c>
      <c r="J35" s="418">
        <f t="shared" si="8"/>
        <v>-338.28000000000014</v>
      </c>
      <c r="K35" s="418">
        <f t="shared" si="8"/>
        <v>570.82899999999995</v>
      </c>
      <c r="L35" s="418">
        <f t="shared" si="8"/>
        <v>1255</v>
      </c>
      <c r="M35" s="418">
        <f t="shared" si="8"/>
        <v>1245.2339999999999</v>
      </c>
      <c r="N35" s="418">
        <f t="shared" si="8"/>
        <v>962</v>
      </c>
      <c r="O35" s="418">
        <f t="shared" si="8"/>
        <v>612</v>
      </c>
      <c r="P35" s="418">
        <f t="shared" si="8"/>
        <v>601</v>
      </c>
      <c r="Q35" s="418">
        <f t="shared" si="8"/>
        <v>531</v>
      </c>
      <c r="R35" s="418">
        <f t="shared" si="8"/>
        <v>1028</v>
      </c>
      <c r="S35" s="418">
        <f t="shared" si="8"/>
        <v>780</v>
      </c>
      <c r="T35" s="418">
        <f t="shared" si="8"/>
        <v>-555.99999999999636</v>
      </c>
      <c r="U35" s="418">
        <f t="shared" si="8"/>
        <v>4964.875</v>
      </c>
      <c r="V35" s="418">
        <f t="shared" si="8"/>
        <v>1464.766000000001</v>
      </c>
      <c r="W35" s="418">
        <f t="shared" si="8"/>
        <v>1088</v>
      </c>
      <c r="X35" s="418">
        <f t="shared" si="8"/>
        <v>1452.5</v>
      </c>
      <c r="Y35" s="418">
        <f t="shared" si="8"/>
        <v>1040.9591078066915</v>
      </c>
      <c r="Z35" s="418">
        <f t="shared" si="8"/>
        <v>1476</v>
      </c>
      <c r="AA35" s="418">
        <f t="shared" si="8"/>
        <v>1398</v>
      </c>
      <c r="AB35" s="418">
        <f t="shared" si="8"/>
        <v>1760.6322869955156</v>
      </c>
      <c r="AC35" s="418">
        <f t="shared" si="8"/>
        <v>1739</v>
      </c>
      <c r="AD35" s="418">
        <f t="shared" si="8"/>
        <v>1074.5459999999998</v>
      </c>
      <c r="AE35" s="1271">
        <f t="shared" ref="AE35:AJ35" si="9">AE17+AE19+AE31</f>
        <v>1562.4309999999998</v>
      </c>
      <c r="AF35" s="418">
        <f t="shared" si="9"/>
        <v>1595.0313000000001</v>
      </c>
      <c r="AG35" s="418">
        <f t="shared" si="9"/>
        <v>1034.7191208274282</v>
      </c>
      <c r="AH35" s="418">
        <f t="shared" si="9"/>
        <v>781.70134918327267</v>
      </c>
      <c r="AI35" s="418">
        <f t="shared" si="9"/>
        <v>528.04271389594601</v>
      </c>
      <c r="AJ35" s="418">
        <f t="shared" si="9"/>
        <v>316.70297132504282</v>
      </c>
      <c r="AK35" s="1271">
        <f t="shared" ref="AK35" si="10">AK17+AK19+AK31</f>
        <v>120.04429225728154</v>
      </c>
      <c r="AL35" s="409"/>
    </row>
    <row r="36" spans="1:38" ht="4.5" customHeight="1" x14ac:dyDescent="0.2">
      <c r="D36" s="261"/>
      <c r="E36" s="317"/>
      <c r="F36" s="317"/>
      <c r="G36" s="317"/>
      <c r="H36" s="317"/>
      <c r="I36" s="317"/>
      <c r="J36" s="317"/>
      <c r="K36" s="317"/>
      <c r="L36" s="317"/>
      <c r="M36" s="317"/>
      <c r="N36" s="317"/>
      <c r="O36" s="317"/>
      <c r="P36" s="317"/>
      <c r="Q36" s="317"/>
      <c r="R36" s="317"/>
      <c r="S36" s="317"/>
      <c r="T36" s="317"/>
      <c r="U36" s="410"/>
      <c r="V36" s="410"/>
      <c r="W36" s="410"/>
      <c r="X36" s="410"/>
      <c r="Y36" s="410"/>
      <c r="Z36" s="410"/>
      <c r="AA36" s="410"/>
      <c r="AB36" s="410"/>
      <c r="AC36" s="410"/>
      <c r="AD36" s="410"/>
      <c r="AE36" s="1263"/>
      <c r="AF36" s="410"/>
      <c r="AG36" s="410"/>
      <c r="AH36" s="410"/>
      <c r="AI36" s="410"/>
      <c r="AJ36" s="410"/>
      <c r="AK36" s="1263"/>
      <c r="AL36" s="410"/>
    </row>
    <row r="37" spans="1:38" x14ac:dyDescent="0.2">
      <c r="B37" s="185" t="s">
        <v>268</v>
      </c>
      <c r="D37" s="261"/>
      <c r="E37" s="400">
        <v>1178.6570000000002</v>
      </c>
      <c r="F37" s="400">
        <v>638.37900000000002</v>
      </c>
      <c r="G37" s="400">
        <v>952.62299999999993</v>
      </c>
      <c r="H37" s="400">
        <v>-0.63300000000000001</v>
      </c>
      <c r="I37" s="400">
        <v>2460.259</v>
      </c>
      <c r="J37" s="400">
        <v>1319.87</v>
      </c>
      <c r="K37" s="400">
        <v>677.54499999999996</v>
      </c>
      <c r="L37" s="400">
        <v>756</v>
      </c>
      <c r="M37" s="400">
        <v>650</v>
      </c>
      <c r="N37" s="400">
        <v>1506</v>
      </c>
      <c r="O37" s="400">
        <v>744</v>
      </c>
      <c r="P37" s="400">
        <v>984</v>
      </c>
      <c r="Q37" s="400">
        <v>6</v>
      </c>
      <c r="R37" s="400">
        <v>164</v>
      </c>
      <c r="S37" s="400">
        <v>186</v>
      </c>
      <c r="T37" s="400">
        <v>4578</v>
      </c>
      <c r="U37" s="400">
        <v>1136</v>
      </c>
      <c r="V37" s="400">
        <v>1932</v>
      </c>
      <c r="W37" s="400">
        <v>632</v>
      </c>
      <c r="X37" s="1051">
        <v>0</v>
      </c>
      <c r="Y37" s="1051">
        <v>0</v>
      </c>
      <c r="Z37" s="1051">
        <v>780</v>
      </c>
      <c r="AA37" s="1051">
        <f>1000-11</f>
        <v>989</v>
      </c>
      <c r="AB37" s="1051">
        <f>400-9</f>
        <v>391</v>
      </c>
      <c r="AC37" s="1051">
        <f>1044-9</f>
        <v>1035</v>
      </c>
      <c r="AD37" s="1051">
        <f>499-4</f>
        <v>495</v>
      </c>
      <c r="AE37" s="1491">
        <v>0</v>
      </c>
      <c r="AF37" s="1053">
        <v>0</v>
      </c>
      <c r="AG37" s="1053">
        <v>0</v>
      </c>
      <c r="AH37" s="1053">
        <v>0</v>
      </c>
      <c r="AI37" s="1053">
        <v>0</v>
      </c>
      <c r="AJ37" s="1053">
        <v>0</v>
      </c>
      <c r="AK37" s="1272">
        <v>0</v>
      </c>
      <c r="AL37" s="419"/>
    </row>
    <row r="38" spans="1:38" x14ac:dyDescent="0.2">
      <c r="B38" s="185" t="s">
        <v>269</v>
      </c>
      <c r="D38" s="261"/>
      <c r="E38" s="403">
        <v>-724.47799999999995</v>
      </c>
      <c r="F38" s="403">
        <v>-502.99900000000002</v>
      </c>
      <c r="G38" s="403">
        <v>-2133.0140000000001</v>
      </c>
      <c r="H38" s="403">
        <v>-391.98599999999999</v>
      </c>
      <c r="I38" s="403">
        <v>-1594.136</v>
      </c>
      <c r="J38" s="403">
        <v>-1020.117</v>
      </c>
      <c r="K38" s="403">
        <v>-1334.8979999999999</v>
      </c>
      <c r="L38" s="403">
        <v>-2027</v>
      </c>
      <c r="M38" s="403">
        <v>-1229</v>
      </c>
      <c r="N38" s="403">
        <v>-525</v>
      </c>
      <c r="O38" s="403">
        <v>-361</v>
      </c>
      <c r="P38" s="403">
        <v>-1140</v>
      </c>
      <c r="Q38" s="403">
        <v>-1015</v>
      </c>
      <c r="R38" s="403">
        <v>-457</v>
      </c>
      <c r="S38" s="403">
        <v>-365</v>
      </c>
      <c r="T38" s="403">
        <v>-4755</v>
      </c>
      <c r="U38" s="403">
        <v>-2680</v>
      </c>
      <c r="V38" s="403">
        <v>-649</v>
      </c>
      <c r="W38" s="403">
        <v>-666</v>
      </c>
      <c r="X38" s="1049">
        <v>-966</v>
      </c>
      <c r="Y38" s="1049">
        <v>-1245</v>
      </c>
      <c r="Z38" s="1049">
        <v>-454</v>
      </c>
      <c r="AA38" s="1049">
        <v>-1803</v>
      </c>
      <c r="AB38" s="1049">
        <f>-124</f>
        <v>-124</v>
      </c>
      <c r="AC38" s="1049">
        <f>-870</f>
        <v>-870</v>
      </c>
      <c r="AD38" s="1049">
        <v>-152</v>
      </c>
      <c r="AE38" s="1489">
        <v>-751</v>
      </c>
      <c r="AF38" s="1483">
        <v>-954</v>
      </c>
      <c r="AG38" s="1059">
        <v>-100</v>
      </c>
      <c r="AH38" s="1340">
        <v>-100</v>
      </c>
      <c r="AI38" s="1340">
        <v>-100</v>
      </c>
      <c r="AJ38" s="1340">
        <v>-100</v>
      </c>
      <c r="AK38" s="1340">
        <v>-100</v>
      </c>
      <c r="AL38" s="420"/>
    </row>
    <row r="39" spans="1:38" x14ac:dyDescent="0.2">
      <c r="B39" s="185" t="s">
        <v>270</v>
      </c>
      <c r="D39" s="261"/>
      <c r="E39" s="403">
        <v>0</v>
      </c>
      <c r="F39" s="403">
        <v>0</v>
      </c>
      <c r="G39" s="403">
        <v>502.03100000000001</v>
      </c>
      <c r="H39" s="403">
        <v>7.09</v>
      </c>
      <c r="I39" s="403">
        <v>5.3760000000000003</v>
      </c>
      <c r="J39" s="403">
        <v>15.654999999999999</v>
      </c>
      <c r="K39" s="403">
        <v>129.36099999999999</v>
      </c>
      <c r="L39" s="403">
        <v>56</v>
      </c>
      <c r="M39" s="403">
        <v>46</v>
      </c>
      <c r="N39" s="403">
        <v>290</v>
      </c>
      <c r="O39" s="403">
        <v>53</v>
      </c>
      <c r="P39" s="403">
        <v>323</v>
      </c>
      <c r="Q39" s="403">
        <v>29</v>
      </c>
      <c r="R39" s="403">
        <v>193</v>
      </c>
      <c r="S39" s="403">
        <v>298</v>
      </c>
      <c r="T39" s="403">
        <v>336</v>
      </c>
      <c r="U39" s="403">
        <v>382</v>
      </c>
      <c r="V39" s="403">
        <v>257</v>
      </c>
      <c r="W39" s="403">
        <v>7</v>
      </c>
      <c r="X39" s="1049">
        <v>8</v>
      </c>
      <c r="Y39" s="1049">
        <v>43</v>
      </c>
      <c r="Z39" s="1049">
        <v>162</v>
      </c>
      <c r="AA39" s="1049">
        <v>234</v>
      </c>
      <c r="AB39" s="1049">
        <f>315</f>
        <v>315</v>
      </c>
      <c r="AC39" s="1049">
        <v>258</v>
      </c>
      <c r="AD39" s="1049">
        <f>163+5</f>
        <v>168</v>
      </c>
      <c r="AE39" s="1489">
        <f>36</f>
        <v>36</v>
      </c>
      <c r="AF39" s="1049">
        <v>6</v>
      </c>
      <c r="AG39" s="1058">
        <v>200</v>
      </c>
      <c r="AH39" s="1058">
        <v>200</v>
      </c>
      <c r="AI39" s="1058">
        <v>200</v>
      </c>
      <c r="AJ39" s="1058">
        <v>200</v>
      </c>
      <c r="AK39" s="1269">
        <v>200</v>
      </c>
      <c r="AL39" s="323"/>
    </row>
    <row r="40" spans="1:38" x14ac:dyDescent="0.2">
      <c r="B40" s="185" t="s">
        <v>629</v>
      </c>
      <c r="D40" s="261"/>
      <c r="E40" s="403"/>
      <c r="F40" s="403"/>
      <c r="G40" s="403"/>
      <c r="H40" s="403"/>
      <c r="I40" s="403"/>
      <c r="J40" s="403"/>
      <c r="K40" s="403"/>
      <c r="L40" s="403"/>
      <c r="M40" s="403"/>
      <c r="N40" s="403"/>
      <c r="O40" s="403"/>
      <c r="P40" s="403"/>
      <c r="Q40" s="403"/>
      <c r="R40" s="403"/>
      <c r="S40" s="403"/>
      <c r="T40" s="403"/>
      <c r="U40" s="403"/>
      <c r="V40" s="403"/>
      <c r="W40" s="403"/>
      <c r="X40" s="1049"/>
      <c r="Y40" s="1049"/>
      <c r="Z40" s="1049"/>
      <c r="AA40" s="1049"/>
      <c r="AB40" s="1049"/>
      <c r="AC40" s="1049"/>
      <c r="AD40" s="1049">
        <f>-212+29</f>
        <v>-183</v>
      </c>
      <c r="AE40" s="1489">
        <f>52-3+6</f>
        <v>55</v>
      </c>
      <c r="AF40" s="323">
        <f>-24-1+13</f>
        <v>-12</v>
      </c>
      <c r="AG40" s="323"/>
      <c r="AH40" s="323"/>
      <c r="AI40" s="323"/>
      <c r="AJ40" s="323"/>
      <c r="AK40" s="1273"/>
      <c r="AL40" s="323"/>
    </row>
    <row r="41" spans="1:38" x14ac:dyDescent="0.2">
      <c r="B41" s="185" t="s">
        <v>271</v>
      </c>
      <c r="D41" s="261"/>
      <c r="E41" s="406"/>
      <c r="F41" s="406"/>
      <c r="G41" s="406"/>
      <c r="H41" s="406">
        <v>-0.17899999999999999</v>
      </c>
      <c r="I41" s="406">
        <v>-0.35399999999999998</v>
      </c>
      <c r="J41" s="406">
        <v>-1.006</v>
      </c>
      <c r="K41" s="406">
        <v>-1.415</v>
      </c>
      <c r="L41" s="406">
        <v>-2</v>
      </c>
      <c r="M41" s="406">
        <v>-594</v>
      </c>
      <c r="N41" s="406">
        <v>-267</v>
      </c>
      <c r="O41" s="406">
        <v>-603</v>
      </c>
      <c r="P41" s="406">
        <v>-299</v>
      </c>
      <c r="Q41" s="406">
        <v>-392</v>
      </c>
      <c r="R41" s="406">
        <v>-645</v>
      </c>
      <c r="S41" s="406">
        <v>-901</v>
      </c>
      <c r="T41" s="406">
        <v>-7</v>
      </c>
      <c r="U41" s="406">
        <v>-2500</v>
      </c>
      <c r="V41" s="406">
        <v>-3322</v>
      </c>
      <c r="W41" s="406">
        <v>-1</v>
      </c>
      <c r="X41" s="1044">
        <v>-1</v>
      </c>
      <c r="Y41" s="1044">
        <v>-1</v>
      </c>
      <c r="Z41" s="1044">
        <v>-502</v>
      </c>
      <c r="AA41" s="1044">
        <v>-1397</v>
      </c>
      <c r="AB41" s="1044">
        <f>-1571</f>
        <v>-1571</v>
      </c>
      <c r="AC41" s="1044">
        <f>-1901</f>
        <v>-1901</v>
      </c>
      <c r="AD41" s="1044">
        <v>-2001</v>
      </c>
      <c r="AE41" s="1485">
        <v>-316</v>
      </c>
      <c r="AF41" s="1049">
        <v>-1</v>
      </c>
      <c r="AG41" s="1058">
        <v>0</v>
      </c>
      <c r="AH41" s="1058">
        <v>0</v>
      </c>
      <c r="AI41" s="1058">
        <v>0</v>
      </c>
      <c r="AJ41" s="1058">
        <v>0</v>
      </c>
      <c r="AK41" s="1269">
        <v>0</v>
      </c>
      <c r="AL41" s="323"/>
    </row>
    <row r="42" spans="1:38" x14ac:dyDescent="0.2">
      <c r="B42" s="185" t="s">
        <v>528</v>
      </c>
      <c r="D42" s="261"/>
      <c r="E42" s="406">
        <v>-105.736</v>
      </c>
      <c r="F42" s="406">
        <v>24.193999999999999</v>
      </c>
      <c r="G42" s="406">
        <v>-10.62</v>
      </c>
      <c r="H42" s="406">
        <v>35.776000000000003</v>
      </c>
      <c r="I42" s="406">
        <v>-95.01</v>
      </c>
      <c r="J42" s="406">
        <v>-9.6470000000000002</v>
      </c>
      <c r="K42" s="406">
        <v>-65.010000000000005</v>
      </c>
      <c r="L42" s="406">
        <v>-45</v>
      </c>
      <c r="M42" s="406">
        <v>47</v>
      </c>
      <c r="N42" s="406">
        <v>-3</v>
      </c>
      <c r="O42" s="406">
        <v>-38</v>
      </c>
      <c r="P42" s="406">
        <v>37</v>
      </c>
      <c r="Q42" s="406">
        <v>-3</v>
      </c>
      <c r="R42" s="406">
        <v>-5</v>
      </c>
      <c r="S42" s="406">
        <v>38</v>
      </c>
      <c r="T42" s="406">
        <v>-53</v>
      </c>
      <c r="U42" s="406">
        <v>-77</v>
      </c>
      <c r="V42" s="406">
        <v>-57</v>
      </c>
      <c r="W42" s="406">
        <v>-116</v>
      </c>
      <c r="X42" s="1044">
        <v>-29</v>
      </c>
      <c r="Y42" s="1044">
        <v>24</v>
      </c>
      <c r="Z42" s="1044">
        <v>49</v>
      </c>
      <c r="AA42" s="1044">
        <v>-88</v>
      </c>
      <c r="AB42" s="1044">
        <v>24</v>
      </c>
      <c r="AC42" s="1044">
        <v>133</v>
      </c>
      <c r="AD42" s="1044">
        <v>-83</v>
      </c>
      <c r="AE42" s="1485">
        <v>61</v>
      </c>
      <c r="AF42" s="1044">
        <v>-15</v>
      </c>
      <c r="AG42" s="1042">
        <v>0</v>
      </c>
      <c r="AH42" s="1042">
        <v>0</v>
      </c>
      <c r="AI42" s="1042">
        <v>0</v>
      </c>
      <c r="AJ42" s="1042">
        <v>0</v>
      </c>
      <c r="AK42" s="1259">
        <v>0</v>
      </c>
      <c r="AL42" s="405"/>
    </row>
    <row r="43" spans="1:38" x14ac:dyDescent="0.2">
      <c r="B43" s="185" t="s">
        <v>272</v>
      </c>
      <c r="D43" s="261"/>
      <c r="E43" s="406">
        <v>-500</v>
      </c>
      <c r="F43" s="406">
        <v>0</v>
      </c>
      <c r="G43" s="406">
        <v>0</v>
      </c>
      <c r="H43" s="406">
        <v>0</v>
      </c>
      <c r="I43" s="406">
        <v>0</v>
      </c>
      <c r="J43" s="406">
        <v>0</v>
      </c>
      <c r="K43" s="406">
        <v>0</v>
      </c>
      <c r="L43" s="406">
        <v>0</v>
      </c>
      <c r="M43" s="406">
        <v>0</v>
      </c>
      <c r="N43" s="406">
        <v>0</v>
      </c>
      <c r="O43" s="406">
        <v>0</v>
      </c>
      <c r="P43" s="406">
        <v>0</v>
      </c>
      <c r="Q43" s="406">
        <v>0</v>
      </c>
      <c r="R43" s="406">
        <v>-69</v>
      </c>
      <c r="S43" s="406">
        <v>-93</v>
      </c>
      <c r="T43" s="406">
        <v>-157</v>
      </c>
      <c r="U43" s="406">
        <v>-274</v>
      </c>
      <c r="V43" s="406">
        <v>-230</v>
      </c>
      <c r="W43" s="406">
        <v>-221</v>
      </c>
      <c r="X43" s="1044">
        <v>-84</v>
      </c>
      <c r="Y43" s="1044">
        <v>-84</v>
      </c>
      <c r="Z43" s="1044">
        <v>-148</v>
      </c>
      <c r="AA43" s="1044">
        <v>-324</v>
      </c>
      <c r="AB43" s="1044">
        <v>-359</v>
      </c>
      <c r="AC43" s="1044">
        <f>-421</f>
        <v>-421</v>
      </c>
      <c r="AD43" s="1044">
        <v>-456</v>
      </c>
      <c r="AE43" s="1485">
        <v>-459</v>
      </c>
      <c r="AF43" s="1044">
        <v>-461</v>
      </c>
      <c r="AG43" s="275">
        <f>-AG56*'yrP&amp;L'!AI56</f>
        <v>-511.62952500000006</v>
      </c>
      <c r="AH43" s="275">
        <f>-AH56*'yrP&amp;L'!AJ56</f>
        <v>-564.6195775000001</v>
      </c>
      <c r="AI43" s="275">
        <f>-AI56*'yrP&amp;L'!AK56</f>
        <v>-623.09134525000024</v>
      </c>
      <c r="AJ43" s="275">
        <f>-AJ56*'yrP&amp;L'!AL56</f>
        <v>-687.61127077500021</v>
      </c>
      <c r="AK43" s="1260">
        <f>-AK56*'yrP&amp;L'!AM56</f>
        <v>-745.00782671700028</v>
      </c>
      <c r="AL43" s="405"/>
    </row>
    <row r="44" spans="1:38" ht="4.5" customHeight="1" x14ac:dyDescent="0.2">
      <c r="D44" s="261"/>
      <c r="E44" s="317"/>
      <c r="F44" s="317"/>
      <c r="G44" s="317"/>
      <c r="H44" s="317"/>
      <c r="I44" s="317"/>
      <c r="J44" s="317"/>
      <c r="K44" s="317"/>
      <c r="L44" s="317"/>
      <c r="M44" s="317"/>
      <c r="N44" s="317"/>
      <c r="O44" s="317"/>
      <c r="P44" s="317"/>
      <c r="Q44" s="317"/>
      <c r="R44" s="317"/>
      <c r="S44" s="317"/>
      <c r="T44" s="317"/>
      <c r="U44" s="410"/>
      <c r="V44" s="410"/>
      <c r="W44" s="410"/>
      <c r="X44" s="410"/>
      <c r="Y44" s="410"/>
      <c r="Z44" s="410"/>
      <c r="AA44" s="421"/>
      <c r="AB44" s="410"/>
      <c r="AC44" s="410"/>
      <c r="AD44" s="410"/>
      <c r="AE44" s="410"/>
      <c r="AF44" s="410"/>
      <c r="AG44" s="410"/>
      <c r="AH44" s="410"/>
      <c r="AI44" s="410"/>
      <c r="AJ44" s="410"/>
      <c r="AK44" s="1263"/>
      <c r="AL44" s="410"/>
    </row>
    <row r="45" spans="1:38" x14ac:dyDescent="0.2">
      <c r="A45" s="185" t="s">
        <v>152</v>
      </c>
      <c r="D45" s="261"/>
      <c r="E45" s="317">
        <f t="shared" ref="E45:AD45" si="11">SUM(E37:E43)</f>
        <v>-151.55699999999979</v>
      </c>
      <c r="F45" s="317">
        <f t="shared" si="11"/>
        <v>159.57399999999998</v>
      </c>
      <c r="G45" s="317">
        <f t="shared" si="11"/>
        <v>-688.98000000000013</v>
      </c>
      <c r="H45" s="317">
        <f t="shared" si="11"/>
        <v>-349.93199999999996</v>
      </c>
      <c r="I45" s="317">
        <f t="shared" si="11"/>
        <v>776.13499999999999</v>
      </c>
      <c r="J45" s="317">
        <f t="shared" si="11"/>
        <v>304.75499999999994</v>
      </c>
      <c r="K45" s="317">
        <f t="shared" si="11"/>
        <v>-594.41699999999992</v>
      </c>
      <c r="L45" s="317">
        <f t="shared" si="11"/>
        <v>-1262</v>
      </c>
      <c r="M45" s="317">
        <f t="shared" si="11"/>
        <v>-1080</v>
      </c>
      <c r="N45" s="317">
        <f t="shared" si="11"/>
        <v>1001</v>
      </c>
      <c r="O45" s="317">
        <f t="shared" si="11"/>
        <v>-205</v>
      </c>
      <c r="P45" s="317">
        <f t="shared" si="11"/>
        <v>-95</v>
      </c>
      <c r="Q45" s="317">
        <f t="shared" si="11"/>
        <v>-1375</v>
      </c>
      <c r="R45" s="317">
        <f t="shared" si="11"/>
        <v>-819</v>
      </c>
      <c r="S45" s="317">
        <f t="shared" si="11"/>
        <v>-837</v>
      </c>
      <c r="T45" s="317">
        <f t="shared" si="11"/>
        <v>-58</v>
      </c>
      <c r="U45" s="410">
        <f t="shared" si="11"/>
        <v>-4013</v>
      </c>
      <c r="V45" s="410">
        <f t="shared" si="11"/>
        <v>-2069</v>
      </c>
      <c r="W45" s="410">
        <f t="shared" si="11"/>
        <v>-365</v>
      </c>
      <c r="X45" s="410">
        <f t="shared" si="11"/>
        <v>-1072</v>
      </c>
      <c r="Y45" s="410">
        <f t="shared" si="11"/>
        <v>-1263</v>
      </c>
      <c r="Z45" s="410">
        <f t="shared" si="11"/>
        <v>-113</v>
      </c>
      <c r="AA45" s="410">
        <f>SUM(AA37:AA43)</f>
        <v>-2389</v>
      </c>
      <c r="AB45" s="410">
        <f t="shared" si="11"/>
        <v>-1324</v>
      </c>
      <c r="AC45" s="410">
        <f t="shared" si="11"/>
        <v>-1766</v>
      </c>
      <c r="AD45" s="410">
        <f t="shared" si="11"/>
        <v>-2212</v>
      </c>
      <c r="AE45" s="410">
        <f t="shared" ref="AE45:AJ45" si="12">SUM(AE37:AE43)</f>
        <v>-1374</v>
      </c>
      <c r="AF45" s="410">
        <f t="shared" si="12"/>
        <v>-1437</v>
      </c>
      <c r="AG45" s="410">
        <f t="shared" si="12"/>
        <v>-411.62952500000006</v>
      </c>
      <c r="AH45" s="410">
        <f t="shared" si="12"/>
        <v>-464.6195775000001</v>
      </c>
      <c r="AI45" s="410">
        <f t="shared" si="12"/>
        <v>-523.09134525000024</v>
      </c>
      <c r="AJ45" s="410">
        <f t="shared" si="12"/>
        <v>-587.61127077500021</v>
      </c>
      <c r="AK45" s="1263">
        <f t="shared" ref="AK45" si="13">SUM(AK37:AK43)</f>
        <v>-645.00782671700028</v>
      </c>
      <c r="AL45" s="410"/>
    </row>
    <row r="46" spans="1:38" ht="4.5" customHeight="1" x14ac:dyDescent="0.2">
      <c r="D46" s="261"/>
      <c r="E46" s="317"/>
      <c r="F46" s="317"/>
      <c r="G46" s="317"/>
      <c r="H46" s="317"/>
      <c r="I46" s="317"/>
      <c r="J46" s="317"/>
      <c r="K46" s="317"/>
      <c r="L46" s="317"/>
      <c r="M46" s="317"/>
      <c r="N46" s="317"/>
      <c r="O46" s="317"/>
      <c r="P46" s="317"/>
      <c r="Q46" s="317"/>
      <c r="R46" s="317"/>
      <c r="S46" s="317"/>
      <c r="T46" s="317"/>
      <c r="U46" s="410"/>
      <c r="V46" s="410"/>
      <c r="W46" s="410"/>
      <c r="X46" s="410"/>
      <c r="Y46" s="410"/>
      <c r="Z46" s="410"/>
      <c r="AA46" s="410"/>
      <c r="AB46" s="410"/>
      <c r="AC46" s="410"/>
      <c r="AD46" s="410"/>
      <c r="AE46" s="410"/>
      <c r="AF46" s="410"/>
      <c r="AG46" s="410"/>
      <c r="AH46" s="410"/>
      <c r="AI46" s="410"/>
      <c r="AJ46" s="410"/>
      <c r="AK46" s="1263"/>
      <c r="AL46" s="410"/>
    </row>
    <row r="47" spans="1:38" x14ac:dyDescent="0.2">
      <c r="B47" s="185" t="s">
        <v>153</v>
      </c>
      <c r="D47" s="261"/>
      <c r="E47" s="411">
        <v>119.482</v>
      </c>
      <c r="F47" s="422">
        <f t="shared" ref="F47:N47" si="14">E50</f>
        <v>446.19499999999999</v>
      </c>
      <c r="G47" s="422">
        <f t="shared" si="14"/>
        <v>1002.482</v>
      </c>
      <c r="H47" s="422">
        <f t="shared" si="14"/>
        <v>566.98400000000004</v>
      </c>
      <c r="I47" s="422">
        <f t="shared" si="14"/>
        <v>222.4279999999992</v>
      </c>
      <c r="J47" s="422">
        <f t="shared" si="14"/>
        <v>206.48999999999887</v>
      </c>
      <c r="K47" s="422">
        <f t="shared" si="14"/>
        <v>172.96499999999855</v>
      </c>
      <c r="L47" s="422">
        <f t="shared" si="14"/>
        <v>149.37699999999853</v>
      </c>
      <c r="M47" s="422">
        <f t="shared" si="14"/>
        <v>142.37699999999853</v>
      </c>
      <c r="N47" s="422">
        <f t="shared" si="14"/>
        <v>307.61099999999846</v>
      </c>
      <c r="O47" s="422">
        <f t="shared" ref="O47:X47" si="15">N50</f>
        <v>173.61099999999851</v>
      </c>
      <c r="P47" s="422">
        <f t="shared" si="15"/>
        <v>222.61099999999851</v>
      </c>
      <c r="Q47" s="422">
        <f t="shared" si="15"/>
        <v>636.61099999999851</v>
      </c>
      <c r="R47" s="422">
        <f t="shared" si="15"/>
        <v>716.61099999999851</v>
      </c>
      <c r="S47" s="422">
        <f t="shared" si="15"/>
        <v>925.61099999999851</v>
      </c>
      <c r="T47" s="422">
        <f t="shared" si="15"/>
        <v>868.61099999999851</v>
      </c>
      <c r="U47" s="422">
        <f t="shared" si="15"/>
        <v>248.61100000000215</v>
      </c>
      <c r="V47" s="422">
        <f t="shared" si="15"/>
        <v>1211.4860000000022</v>
      </c>
      <c r="W47" s="422">
        <f t="shared" si="15"/>
        <v>583.25200000000314</v>
      </c>
      <c r="X47" s="422">
        <f t="shared" si="15"/>
        <v>1306.2520000000031</v>
      </c>
      <c r="Y47" s="422">
        <f t="shared" ref="Y47:AH47" si="16">X50</f>
        <v>1686.375</v>
      </c>
      <c r="Z47" s="422">
        <f t="shared" si="16"/>
        <v>1464.3999999999978</v>
      </c>
      <c r="AA47" s="422">
        <f>Z50</f>
        <v>2827.3999999999978</v>
      </c>
      <c r="AB47" s="422">
        <f>AA50</f>
        <v>1836.3999999999978</v>
      </c>
      <c r="AC47" s="422">
        <f t="shared" si="16"/>
        <v>2273.0322869955135</v>
      </c>
      <c r="AD47" s="422">
        <f t="shared" si="16"/>
        <v>2246.0322869955135</v>
      </c>
      <c r="AE47" s="422">
        <f t="shared" si="16"/>
        <v>1108.5782869955133</v>
      </c>
      <c r="AF47" s="422">
        <f t="shared" si="16"/>
        <v>1297.0092869955131</v>
      </c>
      <c r="AG47" s="422">
        <f t="shared" si="16"/>
        <v>1455.0405869955132</v>
      </c>
      <c r="AH47" s="422">
        <f t="shared" si="16"/>
        <v>2078.1301828229416</v>
      </c>
      <c r="AI47" s="422">
        <f>AH50</f>
        <v>2395.2119545062142</v>
      </c>
      <c r="AJ47" s="422">
        <f>AI50</f>
        <v>2400.16332315216</v>
      </c>
      <c r="AK47" s="1274">
        <f>AJ50</f>
        <v>2129.2550237022028</v>
      </c>
      <c r="AL47" s="422"/>
    </row>
    <row r="48" spans="1:38" x14ac:dyDescent="0.2">
      <c r="A48" s="281"/>
      <c r="B48" s="281"/>
      <c r="C48" s="185" t="s">
        <v>154</v>
      </c>
      <c r="D48" s="326"/>
      <c r="E48" s="317">
        <f>E50-E47</f>
        <v>326.71299999999997</v>
      </c>
      <c r="F48" s="317">
        <f>F50-F47</f>
        <v>556.28700000000003</v>
      </c>
      <c r="G48" s="317">
        <f>G50-G47</f>
        <v>-435.49799999999993</v>
      </c>
      <c r="H48" s="317">
        <f t="shared" ref="H48:AD48" si="17">H45+H17+H33</f>
        <v>-344.55600000000084</v>
      </c>
      <c r="I48" s="317">
        <f t="shared" si="17"/>
        <v>-15.938000000000329</v>
      </c>
      <c r="J48" s="317">
        <f t="shared" si="17"/>
        <v>-33.525000000000318</v>
      </c>
      <c r="K48" s="317">
        <f t="shared" si="17"/>
        <v>-23.588000000000022</v>
      </c>
      <c r="L48" s="317">
        <f t="shared" si="17"/>
        <v>-7</v>
      </c>
      <c r="M48" s="317">
        <f t="shared" si="17"/>
        <v>165.23399999999992</v>
      </c>
      <c r="N48" s="317">
        <f t="shared" si="17"/>
        <v>1963</v>
      </c>
      <c r="O48" s="317">
        <f t="shared" si="17"/>
        <v>407</v>
      </c>
      <c r="P48" s="317">
        <f t="shared" si="17"/>
        <v>506</v>
      </c>
      <c r="Q48" s="317">
        <f t="shared" si="17"/>
        <v>-844</v>
      </c>
      <c r="R48" s="317">
        <f t="shared" si="17"/>
        <v>209</v>
      </c>
      <c r="S48" s="317">
        <f t="shared" si="17"/>
        <v>-57</v>
      </c>
      <c r="T48" s="317">
        <f t="shared" si="17"/>
        <v>-613.99999999999636</v>
      </c>
      <c r="U48" s="317">
        <f t="shared" si="17"/>
        <v>951.875</v>
      </c>
      <c r="V48" s="317">
        <f t="shared" si="17"/>
        <v>-604.23399999999901</v>
      </c>
      <c r="W48" s="317">
        <f t="shared" si="17"/>
        <v>723</v>
      </c>
      <c r="X48" s="317">
        <f t="shared" si="17"/>
        <v>380.5</v>
      </c>
      <c r="Y48" s="317">
        <f t="shared" si="17"/>
        <v>-222.04089219330854</v>
      </c>
      <c r="Z48" s="317">
        <f t="shared" si="17"/>
        <v>1363</v>
      </c>
      <c r="AA48" s="317">
        <f>AA45+AA17+AA33</f>
        <v>-991</v>
      </c>
      <c r="AB48" s="317">
        <f t="shared" si="17"/>
        <v>436.63228699551564</v>
      </c>
      <c r="AC48" s="317">
        <f t="shared" si="17"/>
        <v>-27</v>
      </c>
      <c r="AD48" s="317">
        <f t="shared" si="17"/>
        <v>-1137.4540000000002</v>
      </c>
      <c r="AE48" s="317">
        <f>AE45+AE17+AE33</f>
        <v>188.43099999999981</v>
      </c>
      <c r="AF48" s="317">
        <f t="shared" ref="AF48:AJ48" si="18">AF45+AF17+AF33</f>
        <v>158.0313000000001</v>
      </c>
      <c r="AG48" s="317">
        <f t="shared" si="18"/>
        <v>623.08959582742818</v>
      </c>
      <c r="AH48" s="317">
        <f t="shared" si="18"/>
        <v>317.08177168327256</v>
      </c>
      <c r="AI48" s="317">
        <f t="shared" si="18"/>
        <v>4.9513686459456494</v>
      </c>
      <c r="AJ48" s="317">
        <f t="shared" si="18"/>
        <v>-270.90829944995733</v>
      </c>
      <c r="AK48" s="1267">
        <f t="shared" ref="AK48" si="19">AK45+AK17+AK33</f>
        <v>-524.96353445971874</v>
      </c>
      <c r="AL48" s="317"/>
    </row>
    <row r="49" spans="1:38" x14ac:dyDescent="0.2">
      <c r="A49" s="281"/>
      <c r="B49" s="281"/>
      <c r="C49" s="185" t="s">
        <v>338</v>
      </c>
      <c r="D49" s="326"/>
      <c r="E49" s="413">
        <v>0</v>
      </c>
      <c r="F49" s="413">
        <v>0</v>
      </c>
      <c r="G49" s="413">
        <v>0</v>
      </c>
      <c r="H49" s="413">
        <v>0</v>
      </c>
      <c r="I49" s="413">
        <v>0</v>
      </c>
      <c r="J49" s="413">
        <v>0</v>
      </c>
      <c r="K49" s="413">
        <v>0</v>
      </c>
      <c r="L49" s="413">
        <v>0</v>
      </c>
      <c r="M49" s="413">
        <v>0</v>
      </c>
      <c r="N49" s="413">
        <v>-2097</v>
      </c>
      <c r="O49" s="413">
        <v>-358</v>
      </c>
      <c r="P49" s="413">
        <v>-92</v>
      </c>
      <c r="Q49" s="413">
        <v>924</v>
      </c>
      <c r="R49" s="413">
        <v>0</v>
      </c>
      <c r="S49" s="413">
        <v>0</v>
      </c>
      <c r="T49" s="413">
        <v>-6</v>
      </c>
      <c r="U49" s="413">
        <v>11</v>
      </c>
      <c r="V49" s="413">
        <f>-1-23</f>
        <v>-24</v>
      </c>
      <c r="W49" s="413">
        <v>0</v>
      </c>
      <c r="X49" s="1050">
        <f>-0.38+0.0029999999969732</f>
        <v>-0.3770000000030268</v>
      </c>
      <c r="Y49" s="1050">
        <v>1.0658921933063539</v>
      </c>
      <c r="Z49" s="423">
        <v>0</v>
      </c>
      <c r="AA49" s="423">
        <v>0</v>
      </c>
      <c r="AB49" s="423">
        <v>0</v>
      </c>
      <c r="AC49" s="423">
        <v>0</v>
      </c>
      <c r="AD49" s="423">
        <v>0</v>
      </c>
      <c r="AE49" s="423">
        <v>0</v>
      </c>
      <c r="AF49" s="423">
        <v>0</v>
      </c>
      <c r="AG49" s="423">
        <v>0</v>
      </c>
      <c r="AH49" s="423">
        <v>0</v>
      </c>
      <c r="AI49" s="423">
        <v>0</v>
      </c>
      <c r="AJ49" s="423">
        <v>0</v>
      </c>
      <c r="AK49" s="1275">
        <v>0</v>
      </c>
      <c r="AL49" s="423"/>
    </row>
    <row r="50" spans="1:38" x14ac:dyDescent="0.2">
      <c r="B50" s="185" t="s">
        <v>157</v>
      </c>
      <c r="D50" s="261"/>
      <c r="E50" s="411">
        <v>446.19499999999999</v>
      </c>
      <c r="F50" s="411">
        <v>1002.482</v>
      </c>
      <c r="G50" s="411">
        <v>566.98400000000004</v>
      </c>
      <c r="H50" s="422">
        <f t="shared" ref="H50:M50" si="20">SUM(H47:H48)</f>
        <v>222.4279999999992</v>
      </c>
      <c r="I50" s="422">
        <f t="shared" si="20"/>
        <v>206.48999999999887</v>
      </c>
      <c r="J50" s="422">
        <f t="shared" si="20"/>
        <v>172.96499999999855</v>
      </c>
      <c r="K50" s="422">
        <f t="shared" si="20"/>
        <v>149.37699999999853</v>
      </c>
      <c r="L50" s="422">
        <f t="shared" si="20"/>
        <v>142.37699999999853</v>
      </c>
      <c r="M50" s="422">
        <f t="shared" si="20"/>
        <v>307.61099999999846</v>
      </c>
      <c r="N50" s="422">
        <f>SUM(N47:N49)</f>
        <v>173.61099999999851</v>
      </c>
      <c r="O50" s="422">
        <f t="shared" ref="O50:AE50" si="21">SUM(O47:O49)</f>
        <v>222.61099999999851</v>
      </c>
      <c r="P50" s="422">
        <f t="shared" si="21"/>
        <v>636.61099999999851</v>
      </c>
      <c r="Q50" s="422">
        <f t="shared" si="21"/>
        <v>716.61099999999851</v>
      </c>
      <c r="R50" s="422">
        <f t="shared" si="21"/>
        <v>925.61099999999851</v>
      </c>
      <c r="S50" s="422">
        <f t="shared" si="21"/>
        <v>868.61099999999851</v>
      </c>
      <c r="T50" s="422">
        <f t="shared" si="21"/>
        <v>248.61100000000215</v>
      </c>
      <c r="U50" s="422">
        <f t="shared" si="21"/>
        <v>1211.4860000000022</v>
      </c>
      <c r="V50" s="422">
        <f t="shared" si="21"/>
        <v>583.25200000000314</v>
      </c>
      <c r="W50" s="422">
        <f t="shared" si="21"/>
        <v>1306.2520000000031</v>
      </c>
      <c r="X50" s="422">
        <f t="shared" si="21"/>
        <v>1686.375</v>
      </c>
      <c r="Y50" s="422">
        <f>SUM(Y47:Y49)-1</f>
        <v>1464.3999999999978</v>
      </c>
      <c r="Z50" s="422">
        <f t="shared" si="21"/>
        <v>2827.3999999999978</v>
      </c>
      <c r="AA50" s="422">
        <f t="shared" si="21"/>
        <v>1836.3999999999978</v>
      </c>
      <c r="AB50" s="422">
        <f t="shared" si="21"/>
        <v>2273.0322869955135</v>
      </c>
      <c r="AC50" s="422">
        <f t="shared" si="21"/>
        <v>2246.0322869955135</v>
      </c>
      <c r="AD50" s="422">
        <f t="shared" si="21"/>
        <v>1108.5782869955133</v>
      </c>
      <c r="AE50" s="422">
        <f t="shared" si="21"/>
        <v>1297.0092869955131</v>
      </c>
      <c r="AF50" s="422">
        <f t="shared" ref="AF50:AK50" si="22">SUM(AF47:AF49)</f>
        <v>1455.0405869955132</v>
      </c>
      <c r="AG50" s="422">
        <f t="shared" si="22"/>
        <v>2078.1301828229416</v>
      </c>
      <c r="AH50" s="422">
        <f t="shared" si="22"/>
        <v>2395.2119545062142</v>
      </c>
      <c r="AI50" s="422">
        <f t="shared" si="22"/>
        <v>2400.16332315216</v>
      </c>
      <c r="AJ50" s="422">
        <f t="shared" si="22"/>
        <v>2129.2550237022028</v>
      </c>
      <c r="AK50" s="1274">
        <f t="shared" si="22"/>
        <v>1604.2914892424842</v>
      </c>
      <c r="AL50" s="422"/>
    </row>
    <row r="51" spans="1:38" x14ac:dyDescent="0.2">
      <c r="D51" s="261"/>
      <c r="H51" s="424"/>
      <c r="I51" s="424"/>
      <c r="J51" s="424"/>
      <c r="K51" s="424"/>
      <c r="L51" s="424"/>
      <c r="M51" s="424"/>
      <c r="N51" s="424"/>
      <c r="O51" s="424"/>
      <c r="P51" s="424"/>
      <c r="Q51" s="424"/>
      <c r="R51" s="424"/>
      <c r="S51" s="424"/>
      <c r="T51" s="424"/>
      <c r="U51" s="424"/>
      <c r="V51" s="424"/>
      <c r="W51" s="424"/>
      <c r="X51" s="424"/>
      <c r="Y51" s="424"/>
      <c r="Z51" s="424"/>
      <c r="AA51" s="424"/>
      <c r="AB51" s="424"/>
      <c r="AC51" s="424"/>
      <c r="AD51" s="424"/>
      <c r="AE51" s="424"/>
      <c r="AF51" s="424"/>
      <c r="AG51" s="424"/>
      <c r="AH51" s="424"/>
      <c r="AI51" s="424"/>
      <c r="AJ51" s="424"/>
      <c r="AK51" s="1276"/>
      <c r="AL51" s="424"/>
    </row>
    <row r="52" spans="1:38" ht="4.5" customHeight="1" x14ac:dyDescent="0.2">
      <c r="D52" s="261"/>
      <c r="E52" s="261"/>
      <c r="F52" s="261"/>
      <c r="G52" s="261"/>
      <c r="H52" s="261"/>
      <c r="I52" s="261"/>
      <c r="J52" s="261"/>
      <c r="K52" s="261"/>
      <c r="L52" s="261"/>
      <c r="M52" s="261"/>
      <c r="N52" s="261"/>
      <c r="O52" s="261"/>
      <c r="P52" s="261"/>
      <c r="Q52" s="261"/>
      <c r="R52" s="261"/>
      <c r="S52" s="261"/>
      <c r="T52" s="261"/>
    </row>
    <row r="53" spans="1:38" x14ac:dyDescent="0.2">
      <c r="A53" s="185" t="s">
        <v>158</v>
      </c>
      <c r="D53" s="261"/>
      <c r="E53" s="409">
        <f t="shared" ref="E53:M53" si="23">-E45+E48</f>
        <v>478.26999999999975</v>
      </c>
      <c r="F53" s="409">
        <f t="shared" si="23"/>
        <v>396.71300000000008</v>
      </c>
      <c r="G53" s="409">
        <f t="shared" si="23"/>
        <v>253.4820000000002</v>
      </c>
      <c r="H53" s="409">
        <f t="shared" si="23"/>
        <v>5.3759999999991237</v>
      </c>
      <c r="I53" s="409">
        <f t="shared" si="23"/>
        <v>-792.07300000000032</v>
      </c>
      <c r="J53" s="409">
        <f t="shared" si="23"/>
        <v>-338.28000000000026</v>
      </c>
      <c r="K53" s="409">
        <f t="shared" si="23"/>
        <v>570.82899999999995</v>
      </c>
      <c r="L53" s="409">
        <f t="shared" si="23"/>
        <v>1255</v>
      </c>
      <c r="M53" s="409">
        <f t="shared" si="23"/>
        <v>1245.2339999999999</v>
      </c>
      <c r="N53" s="409">
        <f t="shared" ref="N53:AD53" si="24">-N45+N48</f>
        <v>962</v>
      </c>
      <c r="O53" s="409">
        <f t="shared" si="24"/>
        <v>612</v>
      </c>
      <c r="P53" s="409">
        <f t="shared" si="24"/>
        <v>601</v>
      </c>
      <c r="Q53" s="409">
        <f t="shared" si="24"/>
        <v>531</v>
      </c>
      <c r="R53" s="409">
        <f t="shared" si="24"/>
        <v>1028</v>
      </c>
      <c r="S53" s="409">
        <f t="shared" si="24"/>
        <v>780</v>
      </c>
      <c r="T53" s="409">
        <f t="shared" si="24"/>
        <v>-555.99999999999636</v>
      </c>
      <c r="U53" s="416">
        <f t="shared" si="24"/>
        <v>4964.875</v>
      </c>
      <c r="V53" s="416">
        <f t="shared" si="24"/>
        <v>1464.766000000001</v>
      </c>
      <c r="W53" s="416">
        <f t="shared" si="24"/>
        <v>1088</v>
      </c>
      <c r="X53" s="416">
        <f t="shared" si="24"/>
        <v>1452.5</v>
      </c>
      <c r="Y53" s="416">
        <f t="shared" si="24"/>
        <v>1040.9591078066915</v>
      </c>
      <c r="Z53" s="416">
        <f t="shared" si="24"/>
        <v>1476</v>
      </c>
      <c r="AA53" s="416">
        <f t="shared" si="24"/>
        <v>1398</v>
      </c>
      <c r="AB53" s="416">
        <f t="shared" si="24"/>
        <v>1760.6322869955156</v>
      </c>
      <c r="AC53" s="416">
        <f t="shared" si="24"/>
        <v>1739</v>
      </c>
      <c r="AD53" s="416">
        <f t="shared" si="24"/>
        <v>1074.5459999999998</v>
      </c>
      <c r="AE53" s="416">
        <f t="shared" ref="AE53:AJ53" si="25">-AE45+AE48</f>
        <v>1562.4309999999998</v>
      </c>
      <c r="AF53" s="416">
        <f t="shared" si="25"/>
        <v>1595.0313000000001</v>
      </c>
      <c r="AG53" s="416">
        <f t="shared" si="25"/>
        <v>1034.7191208274282</v>
      </c>
      <c r="AH53" s="416">
        <f t="shared" si="25"/>
        <v>781.70134918327267</v>
      </c>
      <c r="AI53" s="416">
        <f t="shared" si="25"/>
        <v>528.04271389594589</v>
      </c>
      <c r="AJ53" s="416">
        <f t="shared" si="25"/>
        <v>316.70297132504288</v>
      </c>
      <c r="AK53" s="1270">
        <f t="shared" ref="AK53" si="26">-AK45+AK48</f>
        <v>120.04429225728154</v>
      </c>
      <c r="AL53" s="416"/>
    </row>
    <row r="54" spans="1:38" ht="4.5" customHeight="1" x14ac:dyDescent="0.2">
      <c r="D54" s="261"/>
      <c r="E54" s="261"/>
      <c r="F54" s="261"/>
      <c r="G54" s="261"/>
      <c r="H54" s="261"/>
      <c r="I54" s="261"/>
      <c r="J54" s="261"/>
      <c r="K54" s="261"/>
      <c r="L54" s="261"/>
      <c r="M54" s="261"/>
      <c r="N54" s="261"/>
      <c r="O54" s="261"/>
      <c r="P54" s="261"/>
      <c r="Q54" s="261"/>
      <c r="R54" s="261"/>
      <c r="S54" s="261"/>
      <c r="T54" s="261"/>
    </row>
    <row r="55" spans="1:38" x14ac:dyDescent="0.2">
      <c r="D55" s="261"/>
      <c r="E55" s="261"/>
      <c r="F55" s="261"/>
      <c r="G55" s="261"/>
      <c r="H55" s="261"/>
      <c r="I55" s="261"/>
      <c r="J55" s="261"/>
      <c r="K55" s="261"/>
      <c r="L55" s="261"/>
      <c r="M55" s="261"/>
      <c r="N55" s="261"/>
      <c r="O55" s="261"/>
      <c r="P55" s="261"/>
      <c r="Q55" s="261"/>
      <c r="R55" s="261"/>
      <c r="S55" s="261"/>
      <c r="T55" s="261"/>
    </row>
    <row r="56" spans="1:38" x14ac:dyDescent="0.2">
      <c r="A56" s="185" t="s">
        <v>252</v>
      </c>
      <c r="D56" s="261"/>
      <c r="E56" s="425"/>
      <c r="F56" s="426"/>
      <c r="G56" s="426"/>
      <c r="H56" s="426"/>
      <c r="I56" s="426"/>
      <c r="J56" s="426">
        <f>-IF(ISERROR(J43/'yrP&amp;L'!L56),"NA",J43/'yrP&amp;L'!L56)</f>
        <v>0</v>
      </c>
      <c r="K56" s="426">
        <f>-IF(ISERROR(K43/'yrP&amp;L'!M56),"NA",K43/'yrP&amp;L'!M56)</f>
        <v>0</v>
      </c>
      <c r="L56" s="426">
        <f>-IF(ISERROR(L43/'yrP&amp;L'!N56),"NA",L43/'yrP&amp;L'!N56)</f>
        <v>0</v>
      </c>
      <c r="M56" s="426">
        <f>-IF(ISERROR(M43/'yrP&amp;L'!O56),"NA",M43/'yrP&amp;L'!O56)</f>
        <v>0</v>
      </c>
      <c r="N56" s="426">
        <f>-IF(ISERROR(N43/'yrP&amp;L'!P56),"NA",N43/'yrP&amp;L'!P56)</f>
        <v>0</v>
      </c>
      <c r="O56" s="426">
        <f>-IF(ISERROR(O43/'yrP&amp;L'!Q56),"NA",O43/'yrP&amp;L'!Q56)</f>
        <v>0</v>
      </c>
      <c r="P56" s="426">
        <f>-IF(ISERROR(P43/'yrP&amp;L'!R56),"NA",P43/'yrP&amp;L'!R56)</f>
        <v>0</v>
      </c>
      <c r="Q56" s="426">
        <f>-IF(ISERROR(Q43/'yrP&amp;L'!S56),"NA",Q43/'yrP&amp;L'!S56)</f>
        <v>0</v>
      </c>
      <c r="R56" s="426">
        <f>-IF(ISERROR(R43/'yrP&amp;L'!T56),"NA",R43/'yrP&amp;L'!T56)</f>
        <v>0.18488745980707397</v>
      </c>
      <c r="S56" s="426">
        <f>-IF(ISERROR(S43/'yrP&amp;L'!U56),"NA",S43/'yrP&amp;L'!U56)</f>
        <v>0.26094276094276098</v>
      </c>
      <c r="T56" s="426">
        <f>-IF(ISERROR(T43/'yrP&amp;L'!V56),"NA",T43/'yrP&amp;L'!V56)</f>
        <v>0.36125172572480441</v>
      </c>
      <c r="U56" s="426">
        <f>-IF(ISERROR(U43/'yrP&amp;L'!W56),"NA",U43/'yrP&amp;L'!W56)</f>
        <v>0.50027387255796962</v>
      </c>
      <c r="V56" s="426">
        <f>-IF(ISERROR(V43/'yrP&amp;L'!X56),"NA",V43/'yrP&amp;L'!X56)</f>
        <v>0.50913115661317099</v>
      </c>
      <c r="W56" s="426">
        <f>-IF(ISERROR(W43/'yrP&amp;L'!Y56),"NA",W43/'yrP&amp;L'!Y56)</f>
        <v>0.52441122382393068</v>
      </c>
      <c r="X56" s="426">
        <f>-IF(ISERROR(X43/'yrP&amp;L'!Z56),"NA",X43/'yrP&amp;L'!Z56)</f>
        <v>0.19888717888007576</v>
      </c>
      <c r="Y56" s="426">
        <f>-IF(ISERROR(Y43/'yrP&amp;L'!AA56),"NA",Y43/'yrP&amp;L'!AA56)</f>
        <v>0.19575856443719411</v>
      </c>
      <c r="Z56" s="426">
        <f>-IF(ISERROR(Z43/'yrP&amp;L'!AB56),"NA",Z43/'yrP&amp;L'!AB56)</f>
        <v>0.34386617100371747</v>
      </c>
      <c r="AA56" s="426">
        <f>-IF(ISERROR(AA43/'yrP&amp;L'!AC56),"NA",AA43/'yrP&amp;L'!AC56)</f>
        <v>0.7860262008733625</v>
      </c>
      <c r="AB56" s="426">
        <f>-IF(ISERROR(AB43/'yrP&amp;L'!AD56),"NA",AB43/'yrP&amp;L'!AD56)</f>
        <v>0.93295218295218296</v>
      </c>
      <c r="AC56" s="426">
        <f>-IF(ISERROR(AC43/'yrP&amp;L'!AE56),"NA",AC43/'yrP&amp;L'!AE56)</f>
        <v>1.164108945112678</v>
      </c>
      <c r="AD56" s="426">
        <f>-IF(ISERROR(AD43/'yrP&amp;L'!AF56),"NA",AD43/'yrP&amp;L'!AF56)</f>
        <v>1.3693693693693694</v>
      </c>
      <c r="AE56" s="426">
        <f>0.3775*3+0.36</f>
        <v>1.4925000000000002</v>
      </c>
      <c r="AF56" s="1478">
        <f>0.3775*4</f>
        <v>1.51</v>
      </c>
      <c r="AG56" s="1052">
        <f>AF56*(1.1)</f>
        <v>1.6610000000000003</v>
      </c>
      <c r="AH56" s="1052">
        <f>AG56*(1.1)</f>
        <v>1.8271000000000004</v>
      </c>
      <c r="AI56" s="1052">
        <f>AH56*(1.1)</f>
        <v>2.0098100000000008</v>
      </c>
      <c r="AJ56" s="1052">
        <f>AI56*(1.1)</f>
        <v>2.2107910000000008</v>
      </c>
      <c r="AK56" s="1341">
        <f>AJ56*(1.08)</f>
        <v>2.3876542800000009</v>
      </c>
      <c r="AL56" s="427"/>
    </row>
    <row r="57" spans="1:38" x14ac:dyDescent="0.2">
      <c r="D57" s="261"/>
      <c r="E57" s="261"/>
      <c r="F57" s="261"/>
      <c r="G57" s="261"/>
      <c r="H57" s="261"/>
      <c r="I57" s="261"/>
      <c r="J57" s="261"/>
      <c r="K57" s="261"/>
      <c r="L57" s="261"/>
      <c r="M57" s="261"/>
      <c r="N57" s="261"/>
      <c r="O57" s="261"/>
      <c r="P57" s="261"/>
      <c r="Q57" s="261"/>
      <c r="R57" s="261"/>
      <c r="S57" s="261"/>
      <c r="T57" s="261"/>
      <c r="AB57" s="385"/>
    </row>
    <row r="58" spans="1:38" x14ac:dyDescent="0.2">
      <c r="A58" s="185" t="s">
        <v>143</v>
      </c>
      <c r="D58" s="261"/>
      <c r="E58" s="261"/>
      <c r="F58" s="261"/>
      <c r="G58" s="261"/>
      <c r="H58" s="261"/>
      <c r="I58" s="261"/>
      <c r="J58" s="261"/>
      <c r="K58" s="261"/>
      <c r="L58" s="261"/>
      <c r="M58" s="261"/>
      <c r="N58" s="261"/>
      <c r="O58" s="261"/>
      <c r="P58" s="261"/>
      <c r="Q58" s="261"/>
      <c r="R58" s="261"/>
      <c r="S58" s="261"/>
      <c r="T58" s="261"/>
      <c r="Y58" s="428"/>
      <c r="Z58" s="428"/>
    </row>
    <row r="59" spans="1:38" x14ac:dyDescent="0.2">
      <c r="B59" s="185" t="s">
        <v>159</v>
      </c>
      <c r="D59" s="261"/>
      <c r="E59" s="429"/>
      <c r="F59" s="429"/>
      <c r="G59" s="429"/>
      <c r="H59" s="429"/>
      <c r="I59" s="429"/>
      <c r="J59" s="429"/>
      <c r="K59" s="429">
        <f>-K19/bal!J62</f>
        <v>5.7036068226252276E-2</v>
      </c>
      <c r="L59" s="429">
        <f>-L19/bal!K62</f>
        <v>4.5729303547963208E-2</v>
      </c>
      <c r="M59" s="429">
        <f>-M19/bal!L62</f>
        <v>4.5232671656361863E-2</v>
      </c>
      <c r="N59" s="429">
        <f>-N19/bal!M62</f>
        <v>4.8786574334019589E-2</v>
      </c>
      <c r="O59" s="429">
        <f>-O19/bal!N62</f>
        <v>4.724125495852867E-2</v>
      </c>
      <c r="P59" s="429">
        <f>-P19/bal!O62</f>
        <v>4.1241685144124171E-2</v>
      </c>
      <c r="Q59" s="429">
        <f>-Q19/bal!P62</f>
        <v>4.026716331642155E-2</v>
      </c>
      <c r="R59" s="429">
        <f>-R19/bal!Q62</f>
        <v>3.685439916947833E-2</v>
      </c>
      <c r="S59" s="429">
        <f>-S19/bal!R62</f>
        <v>3.4736308316430022E-2</v>
      </c>
      <c r="T59" s="429">
        <f>-T19/bal!S62</f>
        <v>0.26694953104064312</v>
      </c>
      <c r="U59" s="429">
        <f>-U19/bal!T62</f>
        <v>5.1612903225806452E-2</v>
      </c>
      <c r="V59" s="429">
        <f>-V19/bal!U62</f>
        <v>4.1994451411849654E-2</v>
      </c>
      <c r="W59" s="429">
        <f>-W19/bal!V62</f>
        <v>3.6035674112164552E-2</v>
      </c>
      <c r="X59" s="429">
        <f>-X19/bal!W62</f>
        <v>1.9250889307386481E-2</v>
      </c>
      <c r="Y59" s="429">
        <f>-Y19/bal!X62</f>
        <v>2.01975762908451E-2</v>
      </c>
      <c r="Z59" s="429">
        <f>-Z19/bal!Y62</f>
        <v>2.8933914031433441E-2</v>
      </c>
      <c r="AA59" s="429">
        <f>-AA19/bal!Z62</f>
        <v>3.4024416672686554E-2</v>
      </c>
      <c r="AB59" s="429">
        <f>-AB19/bal!AA62</f>
        <v>3.0897569009344455E-2</v>
      </c>
      <c r="AC59" s="429">
        <f>-AC19/bal!AB62</f>
        <v>3.8000355808574984E-2</v>
      </c>
      <c r="AD59" s="429">
        <f>-AD19/bal!AC62</f>
        <v>4.1101960929133277E-2</v>
      </c>
      <c r="AE59" s="429">
        <f>-AE19/bal!AD62</f>
        <v>3.5198764955615594E-2</v>
      </c>
      <c r="AF59" s="429">
        <f>-AF19/bal!AE62</f>
        <v>3.046702746041291E-2</v>
      </c>
      <c r="AG59" s="429">
        <f>-AG19/bal!AF62</f>
        <v>4.2760692188908433E-2</v>
      </c>
      <c r="AH59" s="429">
        <f>-AH19/bal!AG62</f>
        <v>4.1961362534395009E-2</v>
      </c>
      <c r="AI59" s="429">
        <f>-AI19/bal!AH62</f>
        <v>4.3245314506721678E-2</v>
      </c>
      <c r="AJ59" s="429">
        <f>-AJ19/bal!AI62</f>
        <v>4.4534318259799782E-2</v>
      </c>
      <c r="AK59" s="1277">
        <f>-AK19/bal!AJ62</f>
        <v>4.5872431688027938E-2</v>
      </c>
      <c r="AL59" s="429"/>
    </row>
    <row r="60" spans="1:38" x14ac:dyDescent="0.2">
      <c r="B60" s="185" t="s">
        <v>160</v>
      </c>
      <c r="D60" s="261"/>
      <c r="E60" s="430"/>
      <c r="F60" s="430"/>
      <c r="G60" s="430"/>
      <c r="H60" s="430"/>
      <c r="I60" s="430"/>
      <c r="J60" s="430"/>
      <c r="K60" s="430">
        <f>K35/'yrP&amp;L'!M56</f>
        <v>1.2833385791366905</v>
      </c>
      <c r="L60" s="430">
        <f>L35/'yrP&amp;L'!N56</f>
        <v>2.7626863437442215</v>
      </c>
      <c r="M60" s="430">
        <f>M35/'yrP&amp;L'!O56</f>
        <v>2.7561620185922973</v>
      </c>
      <c r="N60" s="430">
        <f>N35/'yrP&amp;L'!P56</f>
        <v>2.190346083788707</v>
      </c>
      <c r="O60" s="430">
        <f>O35/'yrP&amp;L'!Q56</f>
        <v>1.4791540785498489</v>
      </c>
      <c r="P60" s="430">
        <f>P35/'yrP&amp;L'!R56</f>
        <v>1.5055110220440882</v>
      </c>
      <c r="Q60" s="430">
        <f>Q35/'yrP&amp;L'!S56</f>
        <v>1.3360171090703234</v>
      </c>
      <c r="R60" s="430">
        <f>R35/'yrP&amp;L'!T56</f>
        <v>2.754555198285102</v>
      </c>
      <c r="S60" s="430">
        <f>S35/'yrP&amp;L'!U56</f>
        <v>2.1885521885521886</v>
      </c>
      <c r="T60" s="430">
        <f>T35/'yrP&amp;L'!V56</f>
        <v>-1.2793373216750952</v>
      </c>
      <c r="U60" s="430">
        <f>U35/'yrP&amp;L'!W56</f>
        <v>9.0649534416651445</v>
      </c>
      <c r="V60" s="430">
        <f>V35/'yrP&amp;L'!X56</f>
        <v>3.2424261206419502</v>
      </c>
      <c r="W60" s="430">
        <f>W35/'yrP&amp;L'!Y56</f>
        <v>2.5817167942101205</v>
      </c>
      <c r="X60" s="430">
        <f>X35/'yrP&amp;L'!Z56</f>
        <v>3.4390908014679766</v>
      </c>
      <c r="Y60" s="430">
        <f>Y35/'yrP&amp;L'!AA56</f>
        <v>2.4259126259769084</v>
      </c>
      <c r="Z60" s="430">
        <f>Z35/'yrP&amp;L'!AB56</f>
        <v>3.4293680297397771</v>
      </c>
      <c r="AA60" s="430">
        <f>AA35/'yrP&amp;L'!AC56</f>
        <v>3.3915574963609898</v>
      </c>
      <c r="AB60" s="430">
        <f>AB35/'yrP&amp;L'!AD56</f>
        <v>4.5754477312773272</v>
      </c>
      <c r="AC60" s="430">
        <f>AC35/'yrP&amp;L'!AE56</f>
        <v>4.8085165214986869</v>
      </c>
      <c r="AD60" s="430">
        <f>AD35/'yrP&amp;L'!AF56</f>
        <v>3.2268648648648641</v>
      </c>
      <c r="AE60" s="430">
        <f>AE35/'yrP&amp;L'!AG56</f>
        <v>5.0271267696267685</v>
      </c>
      <c r="AF60" s="430">
        <f>AF35/'yrP&amp;L'!AH56</f>
        <v>5.193849886030609</v>
      </c>
      <c r="AG60" s="430">
        <f>AG35/'yrP&amp;L'!AI56</f>
        <v>3.3592050022804263</v>
      </c>
      <c r="AH60" s="430">
        <f>AH35/'yrP&amp;L'!AJ56</f>
        <v>2.5295731710485323</v>
      </c>
      <c r="AI60" s="589">
        <f>AI35/'yrP&amp;L'!AK56</f>
        <v>1.7032262362581922</v>
      </c>
      <c r="AJ60" s="589">
        <f>AJ35/'yrP&amp;L'!AL56</f>
        <v>1.018255675026261</v>
      </c>
      <c r="AK60" s="589">
        <f>AK35/'yrP&amp;L'!AM56</f>
        <v>0.38472651953299108</v>
      </c>
      <c r="AL60" s="430"/>
    </row>
    <row r="61" spans="1:38" x14ac:dyDescent="0.2">
      <c r="D61" s="261"/>
      <c r="E61" s="430"/>
      <c r="F61" s="430"/>
      <c r="G61" s="430"/>
      <c r="H61" s="430"/>
      <c r="I61" s="430"/>
      <c r="J61" s="430"/>
      <c r="K61" s="430"/>
      <c r="L61" s="430"/>
      <c r="M61" s="430"/>
      <c r="N61" s="430"/>
      <c r="O61" s="430"/>
      <c r="P61" s="430"/>
      <c r="Q61" s="430"/>
      <c r="R61" s="430"/>
      <c r="S61" s="430"/>
      <c r="T61" s="430"/>
      <c r="U61" s="430"/>
      <c r="V61" s="430"/>
      <c r="W61" s="430"/>
      <c r="X61" s="430"/>
      <c r="Y61" s="430"/>
      <c r="Z61" s="430"/>
      <c r="AA61" s="430"/>
      <c r="AB61" s="430"/>
      <c r="AC61" s="430"/>
      <c r="AD61" s="430"/>
      <c r="AE61" s="430"/>
      <c r="AF61" s="430"/>
      <c r="AG61" s="430"/>
      <c r="AH61" s="430"/>
      <c r="AI61" s="430"/>
      <c r="AJ61" s="430"/>
      <c r="AK61" s="589"/>
      <c r="AL61" s="430"/>
    </row>
    <row r="62" spans="1:38" x14ac:dyDescent="0.2">
      <c r="A62" s="185" t="s">
        <v>415</v>
      </c>
      <c r="D62" s="261"/>
      <c r="E62" s="430"/>
      <c r="F62" s="430"/>
      <c r="G62" s="430"/>
      <c r="H62" s="430"/>
      <c r="I62" s="430"/>
      <c r="J62" s="430"/>
      <c r="K62" s="429">
        <f>K10/'yrP&amp;L'!M7</f>
        <v>3.7792961639587397E-2</v>
      </c>
      <c r="L62" s="429">
        <f>L10/'yrP&amp;L'!N7</f>
        <v>4.0078843626806832E-2</v>
      </c>
      <c r="M62" s="429">
        <f>M10/'yrP&amp;L'!O7</f>
        <v>4.1067360885128537E-2</v>
      </c>
      <c r="N62" s="429">
        <f>N10/'yrP&amp;L'!P7</f>
        <v>4.186162580323164E-2</v>
      </c>
      <c r="O62" s="429">
        <f>O10/'yrP&amp;L'!Q7</f>
        <v>3.9487919221060222E-2</v>
      </c>
      <c r="P62" s="429">
        <f>P10/'yrP&amp;L'!R7</f>
        <v>4.3649033892936333E-2</v>
      </c>
      <c r="Q62" s="429">
        <f>Q10/'yrP&amp;L'!S7</f>
        <v>4.3992036478068201E-2</v>
      </c>
      <c r="R62" s="429">
        <f>R10/'yrP&amp;L'!T7</f>
        <v>4.6262652478588115E-2</v>
      </c>
      <c r="S62" s="429">
        <f>S10/'yrP&amp;L'!U7</f>
        <v>4.709685598377282E-2</v>
      </c>
      <c r="T62" s="429">
        <f>T10/'yrP&amp;L'!V7</f>
        <v>4.2786958463599818E-2</v>
      </c>
      <c r="U62" s="429">
        <f>U10/'yrP&amp;L'!W7</f>
        <v>4.5087133852428622E-2</v>
      </c>
      <c r="V62" s="429">
        <f>V10/'yrP&amp;L'!X7</f>
        <v>4.8379128187587883E-2</v>
      </c>
      <c r="W62" s="429">
        <f>W10/'yrP&amp;L'!Y7</f>
        <v>5.025711071830307E-2</v>
      </c>
      <c r="X62" s="429">
        <f>X10/'yrP&amp;L'!Z7</f>
        <v>5.0638208830299229E-2</v>
      </c>
      <c r="Y62" s="429">
        <f>Y10/'yrP&amp;L'!AA7</f>
        <v>4.5994480662320522E-2</v>
      </c>
      <c r="Z62" s="429">
        <f>Z10/'yrP&amp;L'!AB7</f>
        <v>4.1090702518462412E-2</v>
      </c>
      <c r="AA62" s="429">
        <f>AA10/'yrP&amp;L'!AC7</f>
        <v>3.7889185870114861E-2</v>
      </c>
      <c r="AB62" s="429">
        <f>AB10/'yrP&amp;L'!AD7</f>
        <v>3.6518563603164945E-2</v>
      </c>
      <c r="AC62" s="429">
        <f>AC10/'yrP&amp;L'!AE7</f>
        <v>3.6861768368617681E-2</v>
      </c>
      <c r="AD62" s="429">
        <f>AD10/'yrP&amp;L'!AF7</f>
        <v>3.9181653679973408E-2</v>
      </c>
      <c r="AE62" s="429">
        <f>AE10/'yrP&amp;L'!AG7</f>
        <v>4.0833654959475107E-2</v>
      </c>
      <c r="AF62" s="429">
        <f>AF10/'yrP&amp;L'!AH7</f>
        <v>3.9727400280617359E-2</v>
      </c>
      <c r="AG62" s="429">
        <f>AG10/'yrP&amp;L'!AI7</f>
        <v>4.0357948532579291E-2</v>
      </c>
      <c r="AH62" s="429">
        <f>AH10/'yrP&amp;L'!AJ7</f>
        <v>4.1164096646241502E-2</v>
      </c>
      <c r="AI62" s="429">
        <f>AI10/'yrP&amp;L'!AK7</f>
        <v>4.1991200386026752E-2</v>
      </c>
      <c r="AJ62" s="429">
        <f>AJ10/'yrP&amp;L'!AL7</f>
        <v>4.2797479847667588E-2</v>
      </c>
      <c r="AK62" s="1277">
        <f>AK10/'yrP&amp;L'!AM7</f>
        <v>4.3624682535314568E-2</v>
      </c>
      <c r="AL62" s="429"/>
    </row>
    <row r="63" spans="1:38" x14ac:dyDescent="0.2">
      <c r="D63" s="261"/>
      <c r="E63" s="261"/>
      <c r="F63" s="261"/>
      <c r="G63" s="261"/>
      <c r="H63" s="261"/>
      <c r="I63" s="261"/>
      <c r="J63" s="261"/>
      <c r="K63" s="261"/>
      <c r="L63" s="261"/>
      <c r="M63" s="261"/>
      <c r="N63" s="261"/>
      <c r="O63" s="261"/>
      <c r="P63" s="261"/>
      <c r="Q63" s="261"/>
      <c r="R63" s="261"/>
      <c r="S63" s="261"/>
      <c r="T63" s="261"/>
    </row>
    <row r="64" spans="1:38" x14ac:dyDescent="0.2">
      <c r="A64" s="185" t="s">
        <v>78</v>
      </c>
      <c r="D64" s="261"/>
      <c r="E64" s="261"/>
      <c r="F64" s="261"/>
      <c r="G64" s="261"/>
      <c r="H64" s="261"/>
      <c r="I64" s="261"/>
      <c r="J64" s="261"/>
      <c r="K64" s="261"/>
      <c r="L64" s="261"/>
      <c r="M64" s="261"/>
      <c r="N64" s="261"/>
      <c r="O64" s="261"/>
      <c r="P64" s="261"/>
      <c r="Q64" s="261"/>
      <c r="R64" s="261"/>
      <c r="S64" s="261"/>
      <c r="T64" s="261"/>
    </row>
    <row r="65" spans="4:31" x14ac:dyDescent="0.2">
      <c r="D65" s="261"/>
      <c r="E65" s="261"/>
      <c r="F65" s="261"/>
      <c r="G65" s="261"/>
      <c r="H65" s="261"/>
      <c r="I65" s="261"/>
      <c r="J65" s="261"/>
      <c r="K65" s="261"/>
      <c r="L65" s="261"/>
      <c r="M65" s="261"/>
      <c r="N65" s="261"/>
      <c r="O65" s="261"/>
      <c r="P65" s="261"/>
      <c r="Q65" s="261"/>
      <c r="R65" s="261"/>
      <c r="S65" s="261"/>
      <c r="T65" s="261"/>
    </row>
    <row r="66" spans="4:31" customFormat="1" x14ac:dyDescent="0.2"/>
    <row r="72" spans="4:31" x14ac:dyDescent="0.2">
      <c r="AE72" s="385"/>
    </row>
    <row r="73" spans="4:31" x14ac:dyDescent="0.2">
      <c r="AC73" s="396"/>
    </row>
    <row r="74" spans="4:31" x14ac:dyDescent="0.2">
      <c r="AE74" s="385"/>
    </row>
  </sheetData>
  <phoneticPr fontId="10" type="noConversion"/>
  <pageMargins left="0" right="0" top="0" bottom="0" header="0" footer="0"/>
  <pageSetup paperSize="5" orientation="landscape" horizontalDpi="300" verticalDpi="300"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AU92"/>
  <sheetViews>
    <sheetView showGridLines="0" zoomScale="85" zoomScaleNormal="85" workbookViewId="0">
      <selection activeCell="A2" sqref="A2"/>
    </sheetView>
  </sheetViews>
  <sheetFormatPr defaultRowHeight="12.75" outlineLevelRow="2" outlineLevelCol="1" x14ac:dyDescent="0.2"/>
  <cols>
    <col min="1" max="1" width="1.85546875" style="185" customWidth="1"/>
    <col min="2" max="2" width="4" style="185" customWidth="1"/>
    <col min="3" max="3" width="29.140625" style="185" customWidth="1"/>
    <col min="4" max="4" width="2.140625" style="185" customWidth="1"/>
    <col min="5" max="9" width="9.140625" style="185" hidden="1" customWidth="1" outlineLevel="1"/>
    <col min="10" max="13" width="9.42578125" style="185" hidden="1" customWidth="1" outlineLevel="1"/>
    <col min="14" max="14" width="9.28515625" style="185" hidden="1" customWidth="1" outlineLevel="1"/>
    <col min="15" max="16" width="9.42578125" style="185" hidden="1" customWidth="1" outlineLevel="1"/>
    <col min="17" max="17" width="9.28515625" style="185" customWidth="1" collapsed="1"/>
    <col min="18" max="22" width="9.28515625" style="185" hidden="1" customWidth="1" outlineLevel="1"/>
    <col min="23" max="23" width="9" style="185" customWidth="1" collapsed="1"/>
    <col min="24" max="24" width="9" style="185" customWidth="1"/>
    <col min="25" max="25" width="8.7109375" style="185" bestFit="1" customWidth="1"/>
    <col min="26" max="27" width="9.140625" style="185" customWidth="1"/>
    <col min="28" max="28" width="11.7109375" style="185" bestFit="1" customWidth="1"/>
    <col min="29" max="29" width="8.85546875" style="185" customWidth="1"/>
    <col min="30" max="30" width="8.28515625" style="185" customWidth="1"/>
    <col min="31" max="31" width="11.7109375" style="185" bestFit="1" customWidth="1"/>
    <col min="32" max="32" width="10.28515625" style="185" customWidth="1"/>
    <col min="33" max="34" width="8.28515625" style="185" customWidth="1"/>
    <col min="35" max="35" width="8.28515625" style="185" customWidth="1" outlineLevel="1"/>
    <col min="36" max="36" width="8.28515625" style="12" customWidth="1" outlineLevel="1"/>
    <col min="37" max="38" width="9.140625" style="185"/>
    <col min="39" max="39" width="35.140625" hidden="1" customWidth="1" outlineLevel="1"/>
    <col min="40" max="40" width="9.140625" hidden="1" customWidth="1" outlineLevel="1"/>
    <col min="41" max="41" width="15.85546875" hidden="1" customWidth="1" outlineLevel="1"/>
    <col min="42" max="43" width="9.140625" hidden="1" customWidth="1" outlineLevel="1"/>
    <col min="44" max="44" width="9.140625" collapsed="1"/>
    <col min="45" max="16384" width="9.140625" style="185"/>
  </cols>
  <sheetData>
    <row r="1" spans="1:38" x14ac:dyDescent="0.2">
      <c r="A1" s="281" t="s">
        <v>285</v>
      </c>
      <c r="AK1" s="675"/>
      <c r="AL1" s="675"/>
    </row>
    <row r="2" spans="1:38" x14ac:dyDescent="0.2">
      <c r="A2" s="329" t="s">
        <v>696</v>
      </c>
      <c r="B2" s="284"/>
      <c r="C2" s="284"/>
      <c r="D2" s="284"/>
      <c r="E2" s="906"/>
      <c r="F2" s="906"/>
      <c r="G2" s="906"/>
      <c r="H2" s="906"/>
      <c r="I2" s="906"/>
      <c r="J2" s="906"/>
      <c r="K2" s="906"/>
      <c r="L2" s="906"/>
      <c r="M2" s="906"/>
      <c r="N2" s="906"/>
      <c r="O2" s="906"/>
      <c r="P2" s="906"/>
      <c r="Q2" s="906"/>
      <c r="R2" s="906"/>
      <c r="S2" s="906"/>
      <c r="T2" s="906"/>
      <c r="U2" s="906"/>
      <c r="V2" s="906"/>
      <c r="W2" s="906"/>
      <c r="X2" s="906"/>
      <c r="Y2" s="906"/>
      <c r="Z2" s="906"/>
      <c r="AA2" s="906"/>
      <c r="AB2" s="906"/>
      <c r="AC2" s="906"/>
      <c r="AD2" s="906"/>
      <c r="AE2" s="906"/>
      <c r="AF2" s="906"/>
      <c r="AG2" s="906"/>
      <c r="AH2" s="906"/>
      <c r="AI2" s="906"/>
      <c r="AJ2" s="1278"/>
      <c r="AK2" s="675"/>
      <c r="AL2" s="675"/>
    </row>
    <row r="3" spans="1:38" x14ac:dyDescent="0.2">
      <c r="A3" s="285" t="s">
        <v>87</v>
      </c>
      <c r="AK3" s="675"/>
      <c r="AL3" s="675"/>
    </row>
    <row r="4" spans="1:38" ht="13.5" thickBot="1" x14ac:dyDescent="0.25">
      <c r="A4" s="285" t="s">
        <v>88</v>
      </c>
      <c r="P4" s="396"/>
      <c r="Q4" s="396"/>
      <c r="AB4" s="396"/>
      <c r="AC4" s="396"/>
      <c r="AD4" s="396"/>
      <c r="AE4" s="396"/>
      <c r="AF4" s="396"/>
      <c r="AG4" s="396"/>
      <c r="AH4" s="396"/>
      <c r="AI4" s="396"/>
      <c r="AJ4" s="1218"/>
      <c r="AK4" s="675"/>
      <c r="AL4" s="675"/>
    </row>
    <row r="5" spans="1:38" ht="13.5" thickBot="1" x14ac:dyDescent="0.25">
      <c r="N5" s="435" t="s">
        <v>287</v>
      </c>
      <c r="O5" s="435"/>
      <c r="P5" s="436"/>
      <c r="Z5" s="543"/>
      <c r="AA5" s="396"/>
      <c r="AB5" s="396"/>
      <c r="AC5" s="396"/>
      <c r="AD5" s="396"/>
      <c r="AE5" s="396"/>
      <c r="AF5" s="396"/>
      <c r="AG5" s="396"/>
      <c r="AH5" s="396"/>
      <c r="AI5" s="396"/>
      <c r="AJ5" s="1218"/>
      <c r="AK5" s="675"/>
      <c r="AL5" s="675"/>
    </row>
    <row r="6" spans="1:38" x14ac:dyDescent="0.2">
      <c r="E6" s="399">
        <f>F6-1</f>
        <v>1991</v>
      </c>
      <c r="F6" s="399">
        <v>1992</v>
      </c>
      <c r="G6" s="399">
        <f>F6+1</f>
        <v>1993</v>
      </c>
      <c r="H6" s="399">
        <f>G6+1</f>
        <v>1994</v>
      </c>
      <c r="I6" s="399">
        <f t="shared" ref="I6:AB6" si="0">H6+1</f>
        <v>1995</v>
      </c>
      <c r="J6" s="399">
        <f t="shared" si="0"/>
        <v>1996</v>
      </c>
      <c r="K6" s="399">
        <f t="shared" si="0"/>
        <v>1997</v>
      </c>
      <c r="L6" s="399">
        <f t="shared" si="0"/>
        <v>1998</v>
      </c>
      <c r="M6" s="399">
        <f t="shared" si="0"/>
        <v>1999</v>
      </c>
      <c r="N6" s="399">
        <f t="shared" si="0"/>
        <v>2000</v>
      </c>
      <c r="O6" s="399">
        <f t="shared" si="0"/>
        <v>2001</v>
      </c>
      <c r="P6" s="399">
        <f t="shared" si="0"/>
        <v>2002</v>
      </c>
      <c r="Q6" s="399">
        <f t="shared" si="0"/>
        <v>2003</v>
      </c>
      <c r="R6" s="399">
        <f t="shared" si="0"/>
        <v>2004</v>
      </c>
      <c r="S6" s="399">
        <f t="shared" si="0"/>
        <v>2005</v>
      </c>
      <c r="T6" s="399">
        <f t="shared" si="0"/>
        <v>2006</v>
      </c>
      <c r="U6" s="399">
        <f t="shared" si="0"/>
        <v>2007</v>
      </c>
      <c r="V6" s="399">
        <f t="shared" si="0"/>
        <v>2008</v>
      </c>
      <c r="W6" s="399">
        <f t="shared" si="0"/>
        <v>2009</v>
      </c>
      <c r="X6" s="399">
        <f t="shared" si="0"/>
        <v>2010</v>
      </c>
      <c r="Y6" s="399">
        <f t="shared" si="0"/>
        <v>2011</v>
      </c>
      <c r="Z6" s="399">
        <f t="shared" si="0"/>
        <v>2012</v>
      </c>
      <c r="AA6" s="399">
        <f t="shared" si="0"/>
        <v>2013</v>
      </c>
      <c r="AB6" s="397">
        <f t="shared" si="0"/>
        <v>2014</v>
      </c>
      <c r="AC6" s="397">
        <f t="shared" ref="AC6:AJ6" si="1">AB6+1</f>
        <v>2015</v>
      </c>
      <c r="AD6" s="397">
        <f t="shared" si="1"/>
        <v>2016</v>
      </c>
      <c r="AE6" s="907">
        <f t="shared" si="1"/>
        <v>2017</v>
      </c>
      <c r="AF6" s="907">
        <f t="shared" si="1"/>
        <v>2018</v>
      </c>
      <c r="AG6" s="907">
        <f t="shared" si="1"/>
        <v>2019</v>
      </c>
      <c r="AH6" s="907">
        <f t="shared" si="1"/>
        <v>2020</v>
      </c>
      <c r="AI6" s="907">
        <f t="shared" si="1"/>
        <v>2021</v>
      </c>
      <c r="AJ6" s="1279">
        <f t="shared" si="1"/>
        <v>2022</v>
      </c>
      <c r="AK6" s="675"/>
      <c r="AL6" s="675"/>
    </row>
    <row r="7" spans="1:38" x14ac:dyDescent="0.2">
      <c r="E7" s="453"/>
      <c r="F7" s="453"/>
      <c r="G7" s="453"/>
      <c r="H7" s="453"/>
      <c r="I7" s="453"/>
      <c r="J7" s="453"/>
      <c r="K7" s="453"/>
      <c r="L7" s="453"/>
      <c r="M7" s="453"/>
      <c r="N7" s="453"/>
      <c r="O7" s="453"/>
      <c r="P7" s="453"/>
      <c r="Q7" s="453"/>
      <c r="R7" s="453"/>
      <c r="S7" s="453"/>
      <c r="T7" s="453"/>
      <c r="U7" s="453"/>
      <c r="V7" s="453"/>
      <c r="W7" s="453"/>
      <c r="X7" s="453"/>
      <c r="Y7" s="453"/>
      <c r="Z7" s="453"/>
      <c r="AK7" s="675"/>
      <c r="AL7" s="675"/>
    </row>
    <row r="8" spans="1:38" x14ac:dyDescent="0.2">
      <c r="A8" s="908" t="s">
        <v>122</v>
      </c>
      <c r="I8" s="487"/>
      <c r="J8" s="487"/>
      <c r="K8" s="487"/>
      <c r="L8" s="487"/>
      <c r="M8" s="487"/>
      <c r="N8" s="487"/>
      <c r="O8" s="487"/>
      <c r="P8" s="487"/>
      <c r="Q8" s="487"/>
      <c r="R8" s="487"/>
      <c r="S8" s="487"/>
      <c r="T8" s="487"/>
      <c r="U8" s="487"/>
      <c r="V8" s="487"/>
      <c r="W8" s="487"/>
      <c r="X8" s="487"/>
      <c r="Y8" s="487"/>
      <c r="Z8" s="453"/>
      <c r="AC8" s="543"/>
      <c r="AK8" s="675"/>
      <c r="AL8" s="675"/>
    </row>
    <row r="9" spans="1:38" x14ac:dyDescent="0.2">
      <c r="B9" s="185" t="s">
        <v>10</v>
      </c>
      <c r="E9" s="487">
        <f>flow!F50</f>
        <v>1002.482</v>
      </c>
      <c r="F9" s="487">
        <f>flow!G50</f>
        <v>566.98400000000004</v>
      </c>
      <c r="G9" s="487">
        <f>flow!H50</f>
        <v>222.4279999999992</v>
      </c>
      <c r="H9" s="487">
        <f>flow!I50</f>
        <v>206.48999999999887</v>
      </c>
      <c r="I9" s="487">
        <f>flow!J50</f>
        <v>172.96499999999855</v>
      </c>
      <c r="J9" s="487">
        <f>flow!K50</f>
        <v>149.37699999999853</v>
      </c>
      <c r="K9" s="487">
        <f>flow!L50</f>
        <v>142.37699999999853</v>
      </c>
      <c r="L9" s="487">
        <f>flow!M50</f>
        <v>307.61099999999846</v>
      </c>
      <c r="M9" s="487">
        <f>flow!N50</f>
        <v>173.61099999999851</v>
      </c>
      <c r="N9" s="487">
        <f>flow!O50</f>
        <v>222.61099999999851</v>
      </c>
      <c r="O9" s="487">
        <f>flow!P50</f>
        <v>636.61099999999851</v>
      </c>
      <c r="P9" s="487">
        <f>flow!Q50</f>
        <v>716.61099999999851</v>
      </c>
      <c r="Q9" s="487">
        <f>flow!R50</f>
        <v>925.61099999999851</v>
      </c>
      <c r="R9" s="487">
        <f>flow!S50</f>
        <v>868.61099999999851</v>
      </c>
      <c r="S9" s="487">
        <f>flow!T50</f>
        <v>248.61100000000215</v>
      </c>
      <c r="T9" s="487">
        <f>flow!U50</f>
        <v>1211.4860000000022</v>
      </c>
      <c r="U9" s="487">
        <f>flow!V50</f>
        <v>583.25200000000314</v>
      </c>
      <c r="V9" s="487">
        <f>flow!W50</f>
        <v>1306.2520000000031</v>
      </c>
      <c r="W9" s="487">
        <f>flow!X50</f>
        <v>1686.375</v>
      </c>
      <c r="X9" s="487">
        <f>flow!Y50</f>
        <v>1464.3999999999978</v>
      </c>
      <c r="Y9" s="487">
        <f>flow!Z50</f>
        <v>2827.3999999999978</v>
      </c>
      <c r="Z9" s="487">
        <f>flow!AA50</f>
        <v>1836.3999999999978</v>
      </c>
      <c r="AA9" s="487">
        <f>flow!AB50</f>
        <v>2273.0322869955135</v>
      </c>
      <c r="AB9" s="487">
        <f>flow!AC50</f>
        <v>2246.0322869955135</v>
      </c>
      <c r="AC9" s="487">
        <v>1109</v>
      </c>
      <c r="AD9" s="487">
        <f>flow!AE50</f>
        <v>1297.0092869955131</v>
      </c>
      <c r="AE9" s="487">
        <f>flow!AF50</f>
        <v>1455.0405869955132</v>
      </c>
      <c r="AF9" s="487">
        <f>flow!AG50</f>
        <v>2078.1301828229416</v>
      </c>
      <c r="AG9" s="487">
        <f>flow!AH50</f>
        <v>2395.2119545062142</v>
      </c>
      <c r="AH9" s="487">
        <f>flow!AI50</f>
        <v>2400.16332315216</v>
      </c>
      <c r="AI9" s="487">
        <f>flow!AJ50</f>
        <v>2129.2550237022028</v>
      </c>
      <c r="AJ9" s="1233">
        <f>flow!AK50</f>
        <v>1604.2914892424842</v>
      </c>
      <c r="AK9" s="675"/>
      <c r="AL9" s="675"/>
    </row>
    <row r="10" spans="1:38" x14ac:dyDescent="0.2">
      <c r="B10" s="185" t="s">
        <v>16</v>
      </c>
      <c r="E10" s="909">
        <v>1515.3779999999999</v>
      </c>
      <c r="F10" s="909">
        <v>1543.8340000000001</v>
      </c>
      <c r="G10" s="909">
        <v>1758.9349999999999</v>
      </c>
      <c r="H10" s="909">
        <v>2265.6509999999998</v>
      </c>
      <c r="I10" s="909">
        <v>2842.0770000000002</v>
      </c>
      <c r="J10" s="909">
        <v>2834.3209999999999</v>
      </c>
      <c r="K10" s="909">
        <v>2640</v>
      </c>
      <c r="L10" s="909">
        <v>2209</v>
      </c>
      <c r="M10" s="909">
        <v>4313</v>
      </c>
      <c r="N10" s="909">
        <v>2435</v>
      </c>
      <c r="O10" s="909">
        <v>2379</v>
      </c>
      <c r="P10" s="909">
        <v>2945</v>
      </c>
      <c r="Q10" s="909">
        <v>3213</v>
      </c>
      <c r="R10" s="909">
        <v>3418</v>
      </c>
      <c r="S10" s="909">
        <v>2522</v>
      </c>
      <c r="T10" s="909">
        <v>517</v>
      </c>
      <c r="U10" s="909">
        <v>463</v>
      </c>
      <c r="V10" s="909">
        <v>439</v>
      </c>
      <c r="W10" s="1067">
        <v>358</v>
      </c>
      <c r="X10" s="1067">
        <v>392</v>
      </c>
      <c r="Y10" s="1067">
        <v>368</v>
      </c>
      <c r="Z10" s="1067">
        <v>371</v>
      </c>
      <c r="AA10" s="1067">
        <v>438</v>
      </c>
      <c r="AB10" s="1067">
        <v>424</v>
      </c>
      <c r="AC10" s="1067">
        <v>558</v>
      </c>
      <c r="AD10" s="1067">
        <v>522</v>
      </c>
      <c r="AE10" s="1001">
        <v>363</v>
      </c>
      <c r="AF10" s="1009">
        <f t="shared" ref="AF10:AI11" si="2">AF71/365*AF62</f>
        <v>494.70655206483985</v>
      </c>
      <c r="AG10" s="1009">
        <f t="shared" si="2"/>
        <v>480.12410236046378</v>
      </c>
      <c r="AH10" s="1009">
        <f t="shared" si="2"/>
        <v>465.8692334753855</v>
      </c>
      <c r="AI10" s="1009">
        <f t="shared" si="2"/>
        <v>452.38508880092996</v>
      </c>
      <c r="AJ10" s="1141">
        <f t="shared" ref="AJ10" si="3">AJ71/365*AJ62</f>
        <v>439.1888718187659</v>
      </c>
      <c r="AK10" s="675"/>
      <c r="AL10" s="675"/>
    </row>
    <row r="11" spans="1:38" x14ac:dyDescent="0.2">
      <c r="B11" s="185" t="s">
        <v>11</v>
      </c>
      <c r="E11" s="485">
        <v>1167.346</v>
      </c>
      <c r="F11" s="485">
        <v>1148.934</v>
      </c>
      <c r="G11" s="485">
        <v>1180.8440000000001</v>
      </c>
      <c r="H11" s="485">
        <v>2380.6210000000001</v>
      </c>
      <c r="I11" s="485">
        <v>3094.848</v>
      </c>
      <c r="J11" s="485">
        <v>3245.9960000000001</v>
      </c>
      <c r="K11" s="485">
        <v>3239</v>
      </c>
      <c r="L11" s="485">
        <v>3259</v>
      </c>
      <c r="M11" s="485">
        <v>3589</v>
      </c>
      <c r="N11" s="485">
        <v>3626</v>
      </c>
      <c r="O11" s="485">
        <v>3376</v>
      </c>
      <c r="P11" s="485">
        <v>3359</v>
      </c>
      <c r="Q11" s="485">
        <v>3215</v>
      </c>
      <c r="R11" s="485">
        <v>3120</v>
      </c>
      <c r="S11" s="485">
        <v>5459</v>
      </c>
      <c r="T11" s="485">
        <v>5317</v>
      </c>
      <c r="U11" s="485">
        <v>5060</v>
      </c>
      <c r="V11" s="485">
        <v>4769</v>
      </c>
      <c r="W11" s="1068">
        <v>4615</v>
      </c>
      <c r="X11" s="1068">
        <v>4758</v>
      </c>
      <c r="Y11" s="1068">
        <v>5117</v>
      </c>
      <c r="Z11" s="1068">
        <v>5308</v>
      </c>
      <c r="AA11" s="1068">
        <v>5557</v>
      </c>
      <c r="AB11" s="1068">
        <v>5516</v>
      </c>
      <c r="AC11" s="1068">
        <f>wc!BL13</f>
        <v>5506</v>
      </c>
      <c r="AD11" s="1068">
        <f>wc!$BP$13</f>
        <v>5399</v>
      </c>
      <c r="AE11" s="1001">
        <v>5178</v>
      </c>
      <c r="AF11" s="1009">
        <f t="shared" si="2"/>
        <v>5158.2435600624658</v>
      </c>
      <c r="AG11" s="1009">
        <f t="shared" si="2"/>
        <v>5041.5691831219901</v>
      </c>
      <c r="AH11" s="1009">
        <f t="shared" si="2"/>
        <v>4920.9414385769824</v>
      </c>
      <c r="AI11" s="1009">
        <f t="shared" si="2"/>
        <v>4810.6004366241696</v>
      </c>
      <c r="AJ11" s="1141">
        <f t="shared" ref="AJ11" si="4">AJ72/365*AJ63</f>
        <v>4698.8699695099331</v>
      </c>
      <c r="AK11" s="675"/>
      <c r="AL11" s="675"/>
    </row>
    <row r="12" spans="1:38" x14ac:dyDescent="0.2">
      <c r="B12" s="185" t="s">
        <v>339</v>
      </c>
      <c r="E12" s="485">
        <v>42.615000000000002</v>
      </c>
      <c r="F12" s="485">
        <v>40.067999999999998</v>
      </c>
      <c r="G12" s="485">
        <v>50.605842000000003</v>
      </c>
      <c r="H12" s="485">
        <v>99.558999999999997</v>
      </c>
      <c r="I12" s="485">
        <v>176.411</v>
      </c>
      <c r="J12" s="485">
        <v>109.678</v>
      </c>
      <c r="K12" s="485">
        <v>115</v>
      </c>
      <c r="L12" s="485">
        <v>117</v>
      </c>
      <c r="M12" s="485">
        <v>230</v>
      </c>
      <c r="N12" s="485">
        <v>121</v>
      </c>
      <c r="O12" s="485">
        <v>124</v>
      </c>
      <c r="P12" s="485">
        <v>124</v>
      </c>
      <c r="Q12" s="485">
        <v>99</v>
      </c>
      <c r="R12" s="485">
        <v>104</v>
      </c>
      <c r="S12" s="485">
        <v>203</v>
      </c>
      <c r="T12" s="485">
        <v>251</v>
      </c>
      <c r="U12" s="485">
        <v>218</v>
      </c>
      <c r="V12" s="485">
        <v>226</v>
      </c>
      <c r="W12" s="1068">
        <v>223</v>
      </c>
      <c r="X12" s="1068">
        <v>285</v>
      </c>
      <c r="Y12" s="1068">
        <v>465</v>
      </c>
      <c r="Z12" s="1068">
        <v>361</v>
      </c>
      <c r="AA12" s="1068">
        <v>420</v>
      </c>
      <c r="AB12" s="1068">
        <v>493</v>
      </c>
      <c r="AC12" s="1068">
        <v>479</v>
      </c>
      <c r="AD12" s="1068">
        <v>408</v>
      </c>
      <c r="AE12" s="1001">
        <v>448</v>
      </c>
      <c r="AF12" s="1009">
        <f t="shared" ref="AF12:AJ12" si="5">AF75*AF62</f>
        <v>386.66719011964489</v>
      </c>
      <c r="AG12" s="1009">
        <f t="shared" si="5"/>
        <v>375.26941333921303</v>
      </c>
      <c r="AH12" s="1009">
        <f t="shared" si="5"/>
        <v>364.12767673938174</v>
      </c>
      <c r="AI12" s="1009">
        <f t="shared" si="5"/>
        <v>353.58834526969235</v>
      </c>
      <c r="AJ12" s="1141">
        <f t="shared" si="5"/>
        <v>343.27406073190895</v>
      </c>
      <c r="AK12" s="675"/>
      <c r="AL12" s="675"/>
    </row>
    <row r="13" spans="1:38" x14ac:dyDescent="0.2">
      <c r="A13" s="261"/>
      <c r="B13" s="261" t="s">
        <v>249</v>
      </c>
      <c r="C13" s="261"/>
      <c r="D13" s="261"/>
      <c r="E13" s="910">
        <v>113.342</v>
      </c>
      <c r="F13" s="910">
        <v>90.260999999999996</v>
      </c>
      <c r="G13" s="910">
        <v>90.260999999999996</v>
      </c>
      <c r="H13" s="910">
        <v>135.405</v>
      </c>
      <c r="I13" s="910">
        <v>74.510999999999996</v>
      </c>
      <c r="J13" s="910">
        <v>88.513000000000005</v>
      </c>
      <c r="K13" s="910">
        <v>58</v>
      </c>
      <c r="L13" s="910">
        <v>80</v>
      </c>
      <c r="M13" s="910">
        <v>172</v>
      </c>
      <c r="N13" s="910">
        <v>4</v>
      </c>
      <c r="O13" s="910">
        <v>21</v>
      </c>
      <c r="P13" s="910">
        <v>10</v>
      </c>
      <c r="Q13" s="910">
        <v>0</v>
      </c>
      <c r="R13" s="910">
        <v>0</v>
      </c>
      <c r="S13" s="910">
        <v>0</v>
      </c>
      <c r="T13" s="910">
        <v>0</v>
      </c>
      <c r="U13" s="911">
        <v>0</v>
      </c>
      <c r="V13" s="911">
        <v>0</v>
      </c>
      <c r="W13" s="1069">
        <v>0</v>
      </c>
      <c r="X13" s="1069">
        <v>0</v>
      </c>
      <c r="Y13" s="1069">
        <v>0</v>
      </c>
      <c r="Z13" s="1069">
        <v>0</v>
      </c>
      <c r="AA13" s="1069">
        <v>0</v>
      </c>
      <c r="AB13" s="1069">
        <v>0</v>
      </c>
      <c r="AC13" s="1069">
        <v>0</v>
      </c>
      <c r="AD13" s="1069">
        <v>232</v>
      </c>
      <c r="AE13" s="1069"/>
      <c r="AF13" s="1062">
        <v>0</v>
      </c>
      <c r="AG13" s="1062">
        <v>0</v>
      </c>
      <c r="AH13" s="1062">
        <v>0</v>
      </c>
      <c r="AI13" s="1062">
        <v>0</v>
      </c>
      <c r="AJ13" s="1280">
        <v>0</v>
      </c>
      <c r="AK13" s="675"/>
      <c r="AL13" s="675"/>
    </row>
    <row r="14" spans="1:38" x14ac:dyDescent="0.2">
      <c r="B14" s="185" t="s">
        <v>340</v>
      </c>
      <c r="E14" s="912">
        <v>0</v>
      </c>
      <c r="F14" s="912">
        <v>0</v>
      </c>
      <c r="G14" s="912">
        <v>0</v>
      </c>
      <c r="H14" s="912">
        <v>0</v>
      </c>
      <c r="I14" s="912">
        <v>0</v>
      </c>
      <c r="J14" s="912">
        <v>0</v>
      </c>
      <c r="K14" s="912">
        <v>0</v>
      </c>
      <c r="L14" s="912">
        <v>0</v>
      </c>
      <c r="M14" s="912">
        <v>0</v>
      </c>
      <c r="N14" s="912">
        <v>1436</v>
      </c>
      <c r="O14" s="912">
        <v>1812</v>
      </c>
      <c r="P14" s="912">
        <v>0</v>
      </c>
      <c r="Q14" s="912">
        <v>0</v>
      </c>
      <c r="R14" s="912">
        <v>0</v>
      </c>
      <c r="S14" s="912">
        <v>1713</v>
      </c>
      <c r="T14" s="912">
        <v>126</v>
      </c>
      <c r="U14" s="912">
        <v>0</v>
      </c>
      <c r="V14" s="912">
        <v>0</v>
      </c>
      <c r="W14" s="1070">
        <v>0</v>
      </c>
      <c r="X14" s="1070">
        <v>0</v>
      </c>
      <c r="Y14" s="1070">
        <v>0</v>
      </c>
      <c r="Z14" s="1070">
        <v>0</v>
      </c>
      <c r="AA14" s="1070">
        <v>0</v>
      </c>
      <c r="AB14" s="1070">
        <v>0</v>
      </c>
      <c r="AC14" s="1070">
        <v>0</v>
      </c>
      <c r="AD14" s="1070">
        <v>0</v>
      </c>
      <c r="AE14" s="1063">
        <v>0</v>
      </c>
      <c r="AF14" s="1063">
        <v>0</v>
      </c>
      <c r="AG14" s="1063">
        <v>0</v>
      </c>
      <c r="AH14" s="1063">
        <v>0</v>
      </c>
      <c r="AI14" s="1063">
        <v>0</v>
      </c>
      <c r="AJ14" s="1281">
        <v>0</v>
      </c>
      <c r="AK14" s="675"/>
      <c r="AL14" s="675"/>
    </row>
    <row r="15" spans="1:38" x14ac:dyDescent="0.2">
      <c r="C15" s="185" t="s">
        <v>17</v>
      </c>
      <c r="E15" s="487">
        <f>SUM(E9:E14)</f>
        <v>3841.1629999999996</v>
      </c>
      <c r="F15" s="487">
        <f>SUM(F9:F14)</f>
        <v>3390.0810000000006</v>
      </c>
      <c r="G15" s="487">
        <f>SUM(G9:G14)</f>
        <v>3303.0738419999993</v>
      </c>
      <c r="H15" s="487">
        <f>SUM(H9:H14)</f>
        <v>5087.7259999999987</v>
      </c>
      <c r="I15" s="487">
        <f t="shared" ref="I15:AE15" si="6">SUM(I9:I14)</f>
        <v>6360.811999999999</v>
      </c>
      <c r="J15" s="487">
        <f t="shared" si="6"/>
        <v>6427.8849999999984</v>
      </c>
      <c r="K15" s="487">
        <f t="shared" si="6"/>
        <v>6194.3769999999986</v>
      </c>
      <c r="L15" s="487">
        <f t="shared" si="6"/>
        <v>5972.610999999999</v>
      </c>
      <c r="M15" s="487">
        <f t="shared" si="6"/>
        <v>8477.610999999999</v>
      </c>
      <c r="N15" s="487">
        <f t="shared" si="6"/>
        <v>7844.610999999999</v>
      </c>
      <c r="O15" s="487">
        <f t="shared" si="6"/>
        <v>8348.610999999999</v>
      </c>
      <c r="P15" s="487">
        <f t="shared" si="6"/>
        <v>7154.610999999999</v>
      </c>
      <c r="Q15" s="487">
        <f t="shared" si="6"/>
        <v>7452.610999999999</v>
      </c>
      <c r="R15" s="487">
        <f t="shared" si="6"/>
        <v>7510.610999999999</v>
      </c>
      <c r="S15" s="487">
        <f t="shared" si="6"/>
        <v>10145.611000000003</v>
      </c>
      <c r="T15" s="487">
        <f t="shared" si="6"/>
        <v>7422.4860000000026</v>
      </c>
      <c r="U15" s="487">
        <f t="shared" si="6"/>
        <v>6324.2520000000031</v>
      </c>
      <c r="V15" s="487">
        <f t="shared" si="6"/>
        <v>6740.2520000000031</v>
      </c>
      <c r="W15" s="487">
        <f t="shared" si="6"/>
        <v>6882.375</v>
      </c>
      <c r="X15" s="487">
        <f t="shared" si="6"/>
        <v>6899.3999999999978</v>
      </c>
      <c r="Y15" s="487">
        <f t="shared" si="6"/>
        <v>8777.3999999999978</v>
      </c>
      <c r="Z15" s="487">
        <f t="shared" si="6"/>
        <v>7876.3999999999978</v>
      </c>
      <c r="AA15" s="487">
        <f t="shared" si="6"/>
        <v>8688.0322869955125</v>
      </c>
      <c r="AB15" s="487">
        <f t="shared" si="6"/>
        <v>8679.0322869955125</v>
      </c>
      <c r="AC15" s="487">
        <f t="shared" si="6"/>
        <v>7652</v>
      </c>
      <c r="AD15" s="487">
        <f t="shared" si="6"/>
        <v>7858.0092869955133</v>
      </c>
      <c r="AE15" s="487">
        <f t="shared" si="6"/>
        <v>7444.040586995513</v>
      </c>
      <c r="AF15" s="487">
        <f>SUM(AF9:AF14)</f>
        <v>8117.7474850698918</v>
      </c>
      <c r="AG15" s="487">
        <f>SUM(AG9:AG14)</f>
        <v>8292.1746533278802</v>
      </c>
      <c r="AH15" s="487">
        <f>SUM(AH9:AH14)</f>
        <v>8151.1016719439094</v>
      </c>
      <c r="AI15" s="487">
        <f>SUM(AI9:AI14)</f>
        <v>7745.8288943969947</v>
      </c>
      <c r="AJ15" s="1233">
        <f>SUM(AJ9:AJ14)</f>
        <v>7085.6243913030921</v>
      </c>
      <c r="AK15" s="675"/>
      <c r="AL15" s="675"/>
    </row>
    <row r="16" spans="1:38" x14ac:dyDescent="0.2">
      <c r="E16" s="387"/>
      <c r="F16" s="387"/>
      <c r="G16" s="387"/>
      <c r="H16" s="387"/>
      <c r="I16" s="387"/>
      <c r="J16" s="387"/>
      <c r="K16" s="387"/>
      <c r="L16" s="387"/>
      <c r="M16" s="387"/>
      <c r="N16" s="387"/>
      <c r="O16" s="387"/>
      <c r="P16" s="387"/>
      <c r="Q16" s="387"/>
      <c r="R16" s="387"/>
      <c r="S16" s="387"/>
      <c r="T16" s="387"/>
      <c r="U16" s="387"/>
      <c r="V16" s="387"/>
      <c r="W16" s="387"/>
      <c r="X16" s="387"/>
      <c r="Y16" s="387"/>
      <c r="Z16" s="387"/>
      <c r="AA16" s="387"/>
      <c r="AB16" s="387"/>
      <c r="AC16" s="387"/>
      <c r="AD16" s="387"/>
      <c r="AE16" s="387"/>
      <c r="AF16" s="387"/>
      <c r="AG16" s="387"/>
      <c r="AH16" s="387"/>
      <c r="AI16" s="387"/>
      <c r="AJ16" s="1282"/>
      <c r="AK16" s="675"/>
      <c r="AL16" s="675"/>
    </row>
    <row r="17" spans="1:38" x14ac:dyDescent="0.2">
      <c r="B17" s="185" t="s">
        <v>12</v>
      </c>
      <c r="E17" s="913">
        <v>2499.6999999999998</v>
      </c>
      <c r="F17" s="913">
        <v>2478.2510000000002</v>
      </c>
      <c r="G17" s="913">
        <v>2689.1980000000003</v>
      </c>
      <c r="H17" s="913">
        <v>5349.9120000000003</v>
      </c>
      <c r="I17" s="913">
        <v>6305.1670000000004</v>
      </c>
      <c r="J17" s="913">
        <v>6524.7569999999996</v>
      </c>
      <c r="K17" s="913">
        <v>6520</v>
      </c>
      <c r="L17" s="913">
        <v>6572</v>
      </c>
      <c r="M17" s="913">
        <v>6828</v>
      </c>
      <c r="N17" s="913">
        <v>6621</v>
      </c>
      <c r="O17" s="913">
        <v>6506</v>
      </c>
      <c r="P17" s="913">
        <v>6379</v>
      </c>
      <c r="Q17" s="913">
        <v>6174</v>
      </c>
      <c r="R17" s="913">
        <v>6018</v>
      </c>
      <c r="S17" s="913">
        <v>12034</v>
      </c>
      <c r="T17" s="913">
        <v>11473</v>
      </c>
      <c r="U17" s="913">
        <v>10991</v>
      </c>
      <c r="V17" s="913">
        <v>10442</v>
      </c>
      <c r="W17" s="1071">
        <v>9507</v>
      </c>
      <c r="X17" s="1071">
        <v>8813</v>
      </c>
      <c r="Y17" s="1071">
        <v>8420</v>
      </c>
      <c r="Z17" s="1071">
        <v>8196</v>
      </c>
      <c r="AA17" s="1071">
        <v>7930</v>
      </c>
      <c r="AB17" s="1071">
        <v>7800</v>
      </c>
      <c r="AC17" s="1071">
        <v>7616</v>
      </c>
      <c r="AD17" s="1071">
        <v>7017</v>
      </c>
      <c r="AE17" s="1071">
        <v>6672</v>
      </c>
      <c r="AF17" s="1064">
        <f>AE17-flow!AG10-flow!AG19-flow!AG14</f>
        <v>6731</v>
      </c>
      <c r="AG17" s="1064">
        <f>AF17-flow!AH10-flow!AH19-flow!AH14</f>
        <v>6750</v>
      </c>
      <c r="AH17" s="1064">
        <f>AG17-flow!AI10-flow!AI19-flow!AI14</f>
        <v>6779</v>
      </c>
      <c r="AI17" s="1064">
        <f>AH17-flow!AJ10-flow!AJ19-flow!AJ14</f>
        <v>6818</v>
      </c>
      <c r="AJ17" s="1283">
        <f>AI17-flow!AK10-flow!AK19-flow!AK14</f>
        <v>6867</v>
      </c>
      <c r="AK17" s="675"/>
      <c r="AL17" s="675"/>
    </row>
    <row r="18" spans="1:38" x14ac:dyDescent="0.2">
      <c r="B18" s="185" t="s">
        <v>341</v>
      </c>
      <c r="E18" s="909">
        <v>375.24400000000003</v>
      </c>
      <c r="F18" s="909">
        <v>356.48200000000003</v>
      </c>
      <c r="G18" s="909"/>
      <c r="H18" s="909">
        <v>1006.547</v>
      </c>
      <c r="I18" s="909">
        <v>744.68899999999996</v>
      </c>
      <c r="J18" s="909">
        <v>717.404</v>
      </c>
      <c r="K18" s="909">
        <v>690</v>
      </c>
      <c r="L18" s="909">
        <v>631</v>
      </c>
      <c r="M18" s="909">
        <v>1735</v>
      </c>
      <c r="N18" s="909">
        <v>617</v>
      </c>
      <c r="O18" s="909">
        <v>683</v>
      </c>
      <c r="P18" s="909">
        <v>640</v>
      </c>
      <c r="Q18" s="909">
        <v>378</v>
      </c>
      <c r="R18" s="909">
        <v>378</v>
      </c>
      <c r="S18" s="909">
        <v>1080</v>
      </c>
      <c r="T18" s="909">
        <v>883</v>
      </c>
      <c r="U18" s="909">
        <v>831</v>
      </c>
      <c r="V18" s="909">
        <v>719</v>
      </c>
      <c r="W18" s="1067">
        <v>678</v>
      </c>
      <c r="X18" s="1067">
        <v>637</v>
      </c>
      <c r="Y18" s="1067">
        <v>598</v>
      </c>
      <c r="Z18" s="1067">
        <v>561</v>
      </c>
      <c r="AA18" s="1067">
        <v>527</v>
      </c>
      <c r="AB18" s="1067">
        <v>496</v>
      </c>
      <c r="AC18" s="1067">
        <v>514</v>
      </c>
      <c r="AD18" s="1067">
        <v>498</v>
      </c>
      <c r="AE18" s="1067">
        <v>488</v>
      </c>
      <c r="AF18" s="1060">
        <f t="shared" ref="AF18:AG19" si="7">AE18</f>
        <v>488</v>
      </c>
      <c r="AG18" s="1060">
        <f t="shared" si="7"/>
        <v>488</v>
      </c>
      <c r="AH18" s="1060">
        <f t="shared" ref="AH18:AJ19" si="8">AG18</f>
        <v>488</v>
      </c>
      <c r="AI18" s="1060">
        <f t="shared" si="8"/>
        <v>488</v>
      </c>
      <c r="AJ18" s="1284">
        <f t="shared" si="8"/>
        <v>488</v>
      </c>
      <c r="AK18" s="675"/>
      <c r="AL18" s="675"/>
    </row>
    <row r="19" spans="1:38" x14ac:dyDescent="0.2">
      <c r="B19" s="185" t="s">
        <v>342</v>
      </c>
      <c r="E19" s="909"/>
      <c r="F19" s="909"/>
      <c r="G19" s="909"/>
      <c r="H19" s="909">
        <v>408.13400000000001</v>
      </c>
      <c r="I19" s="909">
        <v>0</v>
      </c>
      <c r="J19" s="909">
        <v>0</v>
      </c>
      <c r="K19" s="909">
        <v>0</v>
      </c>
      <c r="L19" s="909">
        <v>0</v>
      </c>
      <c r="M19" s="909">
        <v>0</v>
      </c>
      <c r="N19" s="909">
        <v>0</v>
      </c>
      <c r="O19" s="909">
        <v>0</v>
      </c>
      <c r="P19" s="909">
        <v>0</v>
      </c>
      <c r="Q19" s="909">
        <v>262</v>
      </c>
      <c r="R19" s="909">
        <v>260</v>
      </c>
      <c r="S19" s="909">
        <v>9520</v>
      </c>
      <c r="T19" s="909">
        <v>9204</v>
      </c>
      <c r="U19" s="909">
        <v>9133</v>
      </c>
      <c r="V19" s="909">
        <v>3743</v>
      </c>
      <c r="W19" s="1067">
        <v>3743</v>
      </c>
      <c r="X19" s="1067">
        <v>3743</v>
      </c>
      <c r="Y19" s="1067">
        <v>3743</v>
      </c>
      <c r="Z19" s="1067">
        <v>3743</v>
      </c>
      <c r="AA19" s="1067">
        <v>3743</v>
      </c>
      <c r="AB19" s="1067">
        <v>3743</v>
      </c>
      <c r="AC19" s="1067">
        <v>3897</v>
      </c>
      <c r="AD19" s="1067">
        <v>3897</v>
      </c>
      <c r="AE19" s="1067">
        <v>3897</v>
      </c>
      <c r="AF19" s="1060">
        <f t="shared" si="7"/>
        <v>3897</v>
      </c>
      <c r="AG19" s="1060">
        <f t="shared" si="7"/>
        <v>3897</v>
      </c>
      <c r="AH19" s="1060">
        <f t="shared" si="8"/>
        <v>3897</v>
      </c>
      <c r="AI19" s="1060">
        <f t="shared" si="8"/>
        <v>3897</v>
      </c>
      <c r="AJ19" s="1284">
        <f t="shared" si="8"/>
        <v>3897</v>
      </c>
      <c r="AK19" s="675"/>
      <c r="AL19" s="675"/>
    </row>
    <row r="20" spans="1:38" x14ac:dyDescent="0.2">
      <c r="B20" s="185" t="s">
        <v>343</v>
      </c>
      <c r="E20" s="909">
        <v>420.57499999999999</v>
      </c>
      <c r="F20" s="909">
        <v>421.45400000000001</v>
      </c>
      <c r="G20" s="909">
        <v>421.45400000000001</v>
      </c>
      <c r="H20" s="909">
        <v>408.13400000000001</v>
      </c>
      <c r="I20" s="909">
        <v>415.06599999999997</v>
      </c>
      <c r="J20" s="909">
        <v>204.4</v>
      </c>
      <c r="K20" s="909">
        <v>204</v>
      </c>
      <c r="L20" s="909">
        <v>0</v>
      </c>
      <c r="M20" s="909">
        <v>0</v>
      </c>
      <c r="N20" s="909">
        <v>0</v>
      </c>
      <c r="O20" s="909">
        <v>0</v>
      </c>
      <c r="P20" s="909">
        <v>0</v>
      </c>
      <c r="Q20" s="909">
        <v>0</v>
      </c>
      <c r="R20" s="909">
        <v>0</v>
      </c>
      <c r="S20" s="909">
        <v>0</v>
      </c>
      <c r="T20" s="909">
        <v>0</v>
      </c>
      <c r="U20" s="909">
        <v>0</v>
      </c>
      <c r="V20" s="909">
        <v>0</v>
      </c>
      <c r="W20" s="1067">
        <v>0</v>
      </c>
      <c r="X20" s="1067">
        <v>0</v>
      </c>
      <c r="Y20" s="1067">
        <v>0</v>
      </c>
      <c r="Z20" s="1067">
        <v>0</v>
      </c>
      <c r="AA20" s="1067">
        <v>0</v>
      </c>
      <c r="AB20" s="1067">
        <v>0</v>
      </c>
      <c r="AC20" s="1067">
        <v>0</v>
      </c>
      <c r="AD20" s="1072">
        <v>0</v>
      </c>
      <c r="AE20" s="1072">
        <v>0</v>
      </c>
      <c r="AF20" s="1065">
        <v>0</v>
      </c>
      <c r="AG20" s="1065">
        <v>0</v>
      </c>
      <c r="AH20" s="1065">
        <v>0</v>
      </c>
      <c r="AI20" s="1065">
        <v>0</v>
      </c>
      <c r="AJ20" s="1285">
        <v>0</v>
      </c>
      <c r="AK20" s="675"/>
      <c r="AL20" s="675"/>
    </row>
    <row r="21" spans="1:38" x14ac:dyDescent="0.2">
      <c r="B21" s="185" t="s">
        <v>216</v>
      </c>
      <c r="E21" s="909">
        <v>364.46300000000002</v>
      </c>
      <c r="F21" s="909">
        <v>373.50200000000001</v>
      </c>
      <c r="G21" s="909"/>
      <c r="H21" s="909">
        <v>424.67099999999999</v>
      </c>
      <c r="I21" s="909">
        <v>469.76299999999998</v>
      </c>
      <c r="J21" s="909">
        <v>390.28</v>
      </c>
      <c r="K21" s="909">
        <v>130</v>
      </c>
      <c r="L21" s="909">
        <v>289</v>
      </c>
      <c r="M21" s="909">
        <v>607</v>
      </c>
      <c r="N21" s="909">
        <v>492</v>
      </c>
      <c r="O21" s="909">
        <v>575</v>
      </c>
      <c r="P21" s="909">
        <v>268</v>
      </c>
      <c r="Q21" s="909">
        <v>284</v>
      </c>
      <c r="R21" s="909">
        <v>719</v>
      </c>
      <c r="S21" s="909">
        <v>389</v>
      </c>
      <c r="T21" s="909">
        <v>568</v>
      </c>
      <c r="U21" s="909">
        <v>510</v>
      </c>
      <c r="V21" s="909">
        <v>501</v>
      </c>
      <c r="W21" s="1067">
        <v>490</v>
      </c>
      <c r="X21" s="1067">
        <v>539</v>
      </c>
      <c r="Y21" s="1067">
        <v>557</v>
      </c>
      <c r="Z21" s="1067">
        <v>615</v>
      </c>
      <c r="AA21" s="1067">
        <f>746</f>
        <v>746</v>
      </c>
      <c r="AB21" s="1067">
        <v>743</v>
      </c>
      <c r="AC21" s="1067">
        <v>897</v>
      </c>
      <c r="AD21" s="1067">
        <v>813</v>
      </c>
      <c r="AE21" s="1067">
        <v>880</v>
      </c>
      <c r="AF21" s="1060">
        <f t="shared" ref="AF21:AJ21" si="9">AE21/AE62*AF62</f>
        <v>866.25097454399679</v>
      </c>
      <c r="AG21" s="1060">
        <f t="shared" si="9"/>
        <v>840.71652141227651</v>
      </c>
      <c r="AH21" s="1060">
        <f t="shared" si="9"/>
        <v>815.75567540739587</v>
      </c>
      <c r="AI21" s="1060">
        <f t="shared" si="9"/>
        <v>792.14439834549751</v>
      </c>
      <c r="AJ21" s="1284">
        <f t="shared" si="9"/>
        <v>769.03729419783429</v>
      </c>
      <c r="AK21" s="675"/>
      <c r="AL21" s="675"/>
    </row>
    <row r="22" spans="1:38" x14ac:dyDescent="0.2">
      <c r="A22" s="185" t="s">
        <v>113</v>
      </c>
      <c r="E22" s="914">
        <f t="shared" ref="E22:AE22" si="10">SUM(E17:E21)+E15</f>
        <v>7501.1449999999995</v>
      </c>
      <c r="F22" s="914">
        <f t="shared" si="10"/>
        <v>7019.77</v>
      </c>
      <c r="G22" s="914">
        <f t="shared" si="10"/>
        <v>6413.7258419999998</v>
      </c>
      <c r="H22" s="914">
        <f t="shared" si="10"/>
        <v>12685.124</v>
      </c>
      <c r="I22" s="914">
        <f t="shared" si="10"/>
        <v>14295.496999999999</v>
      </c>
      <c r="J22" s="914">
        <f t="shared" si="10"/>
        <v>14264.725999999999</v>
      </c>
      <c r="K22" s="914">
        <f t="shared" si="10"/>
        <v>13738.376999999999</v>
      </c>
      <c r="L22" s="914">
        <f t="shared" si="10"/>
        <v>13464.610999999999</v>
      </c>
      <c r="M22" s="914">
        <f t="shared" si="10"/>
        <v>17647.610999999997</v>
      </c>
      <c r="N22" s="914">
        <f t="shared" si="10"/>
        <v>15574.610999999999</v>
      </c>
      <c r="O22" s="914">
        <f t="shared" si="10"/>
        <v>16112.610999999999</v>
      </c>
      <c r="P22" s="914">
        <f t="shared" si="10"/>
        <v>14441.610999999999</v>
      </c>
      <c r="Q22" s="914">
        <f t="shared" si="10"/>
        <v>14550.610999999999</v>
      </c>
      <c r="R22" s="914">
        <f t="shared" si="10"/>
        <v>14885.610999999999</v>
      </c>
      <c r="S22" s="914">
        <f t="shared" si="10"/>
        <v>33168.611000000004</v>
      </c>
      <c r="T22" s="914">
        <f t="shared" si="10"/>
        <v>29550.486000000004</v>
      </c>
      <c r="U22" s="914">
        <f t="shared" si="10"/>
        <v>27789.252000000004</v>
      </c>
      <c r="V22" s="914">
        <f t="shared" si="10"/>
        <v>22145.252000000004</v>
      </c>
      <c r="W22" s="914">
        <f t="shared" si="10"/>
        <v>21300.375</v>
      </c>
      <c r="X22" s="914">
        <f t="shared" si="10"/>
        <v>20631.399999999998</v>
      </c>
      <c r="Y22" s="914">
        <f t="shared" si="10"/>
        <v>22095.399999999998</v>
      </c>
      <c r="Z22" s="914">
        <f t="shared" si="10"/>
        <v>20991.399999999998</v>
      </c>
      <c r="AA22" s="914">
        <f t="shared" si="10"/>
        <v>21634.032286995513</v>
      </c>
      <c r="AB22" s="914">
        <f t="shared" si="10"/>
        <v>21461.032286995513</v>
      </c>
      <c r="AC22" s="914">
        <f t="shared" si="10"/>
        <v>20576</v>
      </c>
      <c r="AD22" s="914">
        <f t="shared" si="10"/>
        <v>20083.009286995512</v>
      </c>
      <c r="AE22" s="914">
        <f t="shared" si="10"/>
        <v>19381.040586995514</v>
      </c>
      <c r="AF22" s="914">
        <f>SUM(AF17:AF21)+AF15</f>
        <v>20099.998459613889</v>
      </c>
      <c r="AG22" s="914">
        <f>SUM(AG17:AG21)+AG15</f>
        <v>20267.891174740158</v>
      </c>
      <c r="AH22" s="914">
        <f>SUM(AH17:AH21)+AH15</f>
        <v>20130.857347351306</v>
      </c>
      <c r="AI22" s="914">
        <f>SUM(AI17:AI21)+AI15</f>
        <v>19740.973292742492</v>
      </c>
      <c r="AJ22" s="1286">
        <f>SUM(AJ17:AJ21)+AJ15</f>
        <v>19106.661685500927</v>
      </c>
      <c r="AK22" s="675"/>
      <c r="AL22" s="675"/>
    </row>
    <row r="23" spans="1:38" ht="4.5" customHeight="1" x14ac:dyDescent="0.2">
      <c r="E23" s="387"/>
      <c r="F23" s="387"/>
      <c r="G23" s="387"/>
      <c r="H23" s="387"/>
      <c r="I23" s="387"/>
      <c r="J23" s="387"/>
      <c r="K23" s="387"/>
      <c r="L23" s="387"/>
      <c r="M23" s="387"/>
      <c r="N23" s="387"/>
      <c r="O23" s="387"/>
      <c r="P23" s="387"/>
      <c r="Q23" s="387"/>
      <c r="R23" s="387"/>
      <c r="S23" s="387"/>
      <c r="T23" s="387"/>
      <c r="U23" s="387"/>
      <c r="V23" s="387"/>
      <c r="W23" s="387"/>
      <c r="X23" s="387"/>
      <c r="Y23" s="387"/>
      <c r="Z23" s="387"/>
      <c r="AA23" s="387"/>
      <c r="AB23" s="387"/>
      <c r="AC23" s="387"/>
      <c r="AD23" s="387"/>
      <c r="AE23" s="387"/>
      <c r="AF23" s="387"/>
      <c r="AG23" s="387"/>
      <c r="AH23" s="387"/>
      <c r="AI23" s="387"/>
      <c r="AJ23" s="1282"/>
      <c r="AK23" s="675"/>
      <c r="AL23" s="675"/>
    </row>
    <row r="24" spans="1:38" x14ac:dyDescent="0.2">
      <c r="A24" s="908" t="s">
        <v>18</v>
      </c>
      <c r="E24" s="515"/>
      <c r="F24" s="515"/>
      <c r="G24" s="515"/>
      <c r="H24" s="515"/>
      <c r="I24" s="515"/>
      <c r="J24" s="515"/>
      <c r="K24" s="515"/>
      <c r="L24" s="515"/>
      <c r="M24" s="515"/>
      <c r="N24" s="515"/>
      <c r="O24" s="515"/>
      <c r="P24" s="515"/>
      <c r="Q24" s="515"/>
      <c r="R24" s="515"/>
      <c r="S24" s="515"/>
      <c r="T24" s="515"/>
      <c r="U24" s="515"/>
      <c r="V24" s="515"/>
      <c r="W24" s="515"/>
      <c r="X24" s="515"/>
      <c r="Y24" s="515"/>
      <c r="Z24" s="402"/>
      <c r="AA24" s="402"/>
      <c r="AB24" s="402"/>
      <c r="AC24" s="402"/>
      <c r="AD24" s="402"/>
      <c r="AE24" s="402"/>
      <c r="AF24" s="402"/>
      <c r="AG24" s="402"/>
      <c r="AH24" s="402"/>
      <c r="AI24" s="402"/>
      <c r="AJ24" s="1287"/>
      <c r="AK24" s="675"/>
      <c r="AL24" s="675"/>
    </row>
    <row r="25" spans="1:38" x14ac:dyDescent="0.2">
      <c r="A25" s="261"/>
      <c r="B25" s="915" t="s">
        <v>344</v>
      </c>
      <c r="C25" s="261"/>
      <c r="D25" s="261"/>
      <c r="E25" s="911">
        <v>771.60500000000002</v>
      </c>
      <c r="F25" s="911">
        <v>12.944000000000001</v>
      </c>
      <c r="G25" s="911">
        <v>10.099</v>
      </c>
      <c r="H25" s="911">
        <v>463.04199999999997</v>
      </c>
      <c r="I25" s="911">
        <v>733.11500000000001</v>
      </c>
      <c r="J25" s="911">
        <v>1094.557</v>
      </c>
      <c r="K25" s="911">
        <v>556</v>
      </c>
      <c r="L25" s="911">
        <v>524</v>
      </c>
      <c r="M25" s="911">
        <v>1284</v>
      </c>
      <c r="N25" s="911">
        <v>1117</v>
      </c>
      <c r="O25" s="911">
        <v>1012</v>
      </c>
      <c r="P25" s="911">
        <v>946</v>
      </c>
      <c r="Q25" s="911">
        <v>908</v>
      </c>
      <c r="R25" s="911">
        <v>1242</v>
      </c>
      <c r="S25" s="911">
        <v>1323</v>
      </c>
      <c r="T25" s="911">
        <v>650</v>
      </c>
      <c r="U25" s="911">
        <v>666</v>
      </c>
      <c r="V25" s="911">
        <v>966</v>
      </c>
      <c r="W25" s="1069">
        <v>242</v>
      </c>
      <c r="X25" s="1069">
        <v>454</v>
      </c>
      <c r="Y25" s="1069">
        <v>1103</v>
      </c>
      <c r="Z25" s="1069">
        <v>124</v>
      </c>
      <c r="AA25" s="1069">
        <v>463</v>
      </c>
      <c r="AB25" s="1069">
        <v>76</v>
      </c>
      <c r="AC25" s="1069">
        <v>642</v>
      </c>
      <c r="AD25" s="1069">
        <v>309</v>
      </c>
      <c r="AE25" s="1069">
        <v>22</v>
      </c>
      <c r="AF25" s="1062">
        <v>0</v>
      </c>
      <c r="AG25" s="1062">
        <v>0</v>
      </c>
      <c r="AH25" s="1062">
        <v>0</v>
      </c>
      <c r="AI25" s="1062">
        <v>0</v>
      </c>
      <c r="AJ25" s="1280">
        <v>0</v>
      </c>
      <c r="AK25" s="675"/>
      <c r="AL25" s="675"/>
    </row>
    <row r="26" spans="1:38" x14ac:dyDescent="0.2">
      <c r="A26" s="261"/>
      <c r="B26" s="915" t="s">
        <v>265</v>
      </c>
      <c r="C26" s="261"/>
      <c r="D26" s="261"/>
      <c r="E26" s="911">
        <v>1111.011</v>
      </c>
      <c r="F26" s="911">
        <v>1103.289</v>
      </c>
      <c r="G26" s="911">
        <v>1135.016742</v>
      </c>
      <c r="H26" s="911">
        <v>2183.7109999999998</v>
      </c>
      <c r="I26" s="911">
        <v>2358.5430000000001</v>
      </c>
      <c r="J26" s="911">
        <v>2492.1950000000002</v>
      </c>
      <c r="K26" s="911">
        <v>2416</v>
      </c>
      <c r="L26" s="911">
        <v>2446</v>
      </c>
      <c r="M26" s="911">
        <v>3043</v>
      </c>
      <c r="N26" s="911">
        <v>2642</v>
      </c>
      <c r="O26" s="911">
        <v>2645</v>
      </c>
      <c r="P26" s="911">
        <v>2584</v>
      </c>
      <c r="Q26" s="911">
        <v>2613</v>
      </c>
      <c r="R26" s="911">
        <v>2707</v>
      </c>
      <c r="S26" s="911">
        <v>5246</v>
      </c>
      <c r="T26" s="911">
        <v>4604</v>
      </c>
      <c r="U26" s="911">
        <v>4127</v>
      </c>
      <c r="V26" s="911">
        <v>3910</v>
      </c>
      <c r="W26" s="1069">
        <v>3938</v>
      </c>
      <c r="X26" s="1069">
        <v>4065</v>
      </c>
      <c r="Y26" s="1069">
        <v>4381</v>
      </c>
      <c r="Z26" s="1069">
        <f>1579+2610</f>
        <v>4189</v>
      </c>
      <c r="AA26" s="1069">
        <f>1691+2810</f>
        <v>4501</v>
      </c>
      <c r="AB26" s="1069">
        <f>1693+3109</f>
        <v>4802</v>
      </c>
      <c r="AC26" s="1069">
        <f>1526+3333</f>
        <v>4859</v>
      </c>
      <c r="AD26" s="1069">
        <f>1423+3563+117</f>
        <v>5103</v>
      </c>
      <c r="AE26" s="1069">
        <f>1590+3167</f>
        <v>4757</v>
      </c>
      <c r="AF26" s="1062">
        <f t="shared" ref="AF26:AJ26" si="11">AF73/365*AF63</f>
        <v>4867.0284947101163</v>
      </c>
      <c r="AG26" s="1062">
        <f t="shared" si="11"/>
        <v>4756.9411150507958</v>
      </c>
      <c r="AH26" s="1062">
        <f t="shared" si="11"/>
        <v>4643.123560079418</v>
      </c>
      <c r="AI26" s="1062">
        <f t="shared" si="11"/>
        <v>4539.011996833904</v>
      </c>
      <c r="AJ26" s="1280">
        <f t="shared" si="11"/>
        <v>4433.5894124133902</v>
      </c>
      <c r="AK26" s="675"/>
      <c r="AL26" s="675"/>
    </row>
    <row r="27" spans="1:38" x14ac:dyDescent="0.2">
      <c r="B27" s="185" t="s">
        <v>345</v>
      </c>
      <c r="E27" s="911">
        <v>34.734999999999999</v>
      </c>
      <c r="F27" s="911">
        <v>46.512</v>
      </c>
      <c r="G27" s="911">
        <v>46.512</v>
      </c>
      <c r="H27" s="911">
        <v>65.319000000000003</v>
      </c>
      <c r="I27" s="911">
        <v>6.4109999999999996</v>
      </c>
      <c r="J27" s="911">
        <v>8.9469999999999992</v>
      </c>
      <c r="K27" s="911">
        <v>88</v>
      </c>
      <c r="L27" s="911">
        <v>98</v>
      </c>
      <c r="M27" s="911">
        <v>225</v>
      </c>
      <c r="N27" s="911">
        <v>245</v>
      </c>
      <c r="O27" s="911">
        <v>57</v>
      </c>
      <c r="P27" s="911">
        <v>71</v>
      </c>
      <c r="Q27" s="911">
        <v>362</v>
      </c>
      <c r="R27" s="911">
        <v>352</v>
      </c>
      <c r="S27" s="911">
        <v>454</v>
      </c>
      <c r="T27" s="911">
        <v>665</v>
      </c>
      <c r="U27" s="911">
        <v>344</v>
      </c>
      <c r="V27" s="911">
        <v>28</v>
      </c>
      <c r="W27" s="1069">
        <v>68</v>
      </c>
      <c r="X27" s="1069">
        <v>182</v>
      </c>
      <c r="Y27" s="1069">
        <v>371</v>
      </c>
      <c r="Z27" s="1069">
        <v>355</v>
      </c>
      <c r="AA27" s="1069">
        <f>362</f>
        <v>362</v>
      </c>
      <c r="AB27" s="1069">
        <v>296</v>
      </c>
      <c r="AC27" s="1069">
        <v>227</v>
      </c>
      <c r="AD27" s="1069">
        <f>352+3</f>
        <v>355</v>
      </c>
      <c r="AE27" s="1068">
        <v>296</v>
      </c>
      <c r="AF27" s="1061">
        <f t="shared" ref="AF27:AG28" si="12">AE27/AE$62*AF$62</f>
        <v>291.37532780116254</v>
      </c>
      <c r="AG27" s="1061">
        <f t="shared" si="12"/>
        <v>282.78646629322026</v>
      </c>
      <c r="AH27" s="1061">
        <f t="shared" ref="AH27:AJ28" si="13">AG27/AG$62*AH$62</f>
        <v>274.39054536430586</v>
      </c>
      <c r="AI27" s="1061">
        <f t="shared" si="13"/>
        <v>266.44857035257638</v>
      </c>
      <c r="AJ27" s="1288">
        <f t="shared" si="13"/>
        <v>258.67618077563509</v>
      </c>
      <c r="AK27" s="916"/>
      <c r="AL27" s="916"/>
    </row>
    <row r="28" spans="1:38" x14ac:dyDescent="0.2">
      <c r="B28" s="185" t="s">
        <v>262</v>
      </c>
      <c r="E28" s="911">
        <v>0</v>
      </c>
      <c r="F28" s="911">
        <v>0</v>
      </c>
      <c r="G28" s="911">
        <v>0</v>
      </c>
      <c r="H28" s="911">
        <v>0</v>
      </c>
      <c r="I28" s="911">
        <v>0</v>
      </c>
      <c r="J28" s="911">
        <v>0</v>
      </c>
      <c r="K28" s="911">
        <v>0</v>
      </c>
      <c r="L28" s="911">
        <v>0</v>
      </c>
      <c r="M28" s="911">
        <v>0</v>
      </c>
      <c r="N28" s="911">
        <v>0</v>
      </c>
      <c r="O28" s="911">
        <v>0</v>
      </c>
      <c r="P28" s="911">
        <v>0</v>
      </c>
      <c r="Q28" s="911">
        <v>0</v>
      </c>
      <c r="R28" s="911">
        <v>0</v>
      </c>
      <c r="S28" s="911">
        <v>103</v>
      </c>
      <c r="T28" s="911">
        <v>128</v>
      </c>
      <c r="U28" s="911">
        <v>223</v>
      </c>
      <c r="V28" s="911">
        <v>222</v>
      </c>
      <c r="W28" s="1069">
        <v>214</v>
      </c>
      <c r="X28" s="1069">
        <v>364</v>
      </c>
      <c r="Y28" s="1069">
        <v>408</v>
      </c>
      <c r="Z28" s="1069">
        <v>407</v>
      </c>
      <c r="AA28" s="1069">
        <v>400</v>
      </c>
      <c r="AB28" s="1069">
        <v>362</v>
      </c>
      <c r="AC28" s="1069">
        <v>0</v>
      </c>
      <c r="AD28" s="1069">
        <v>0</v>
      </c>
      <c r="AE28" s="1069">
        <v>0</v>
      </c>
      <c r="AF28" s="1061">
        <f t="shared" si="12"/>
        <v>0</v>
      </c>
      <c r="AG28" s="1061">
        <f t="shared" si="12"/>
        <v>0</v>
      </c>
      <c r="AH28" s="1061">
        <f t="shared" si="13"/>
        <v>0</v>
      </c>
      <c r="AI28" s="1061">
        <f t="shared" si="13"/>
        <v>0</v>
      </c>
      <c r="AJ28" s="1288">
        <f t="shared" si="13"/>
        <v>0</v>
      </c>
      <c r="AK28" s="675"/>
      <c r="AL28" s="675"/>
    </row>
    <row r="29" spans="1:38" x14ac:dyDescent="0.2">
      <c r="B29" s="185" t="s">
        <v>346</v>
      </c>
      <c r="E29" s="912">
        <v>0</v>
      </c>
      <c r="F29" s="912">
        <v>0</v>
      </c>
      <c r="G29" s="912">
        <v>0</v>
      </c>
      <c r="H29" s="912">
        <v>0</v>
      </c>
      <c r="I29" s="912">
        <v>0</v>
      </c>
      <c r="J29" s="912">
        <v>0</v>
      </c>
      <c r="K29" s="912">
        <v>0</v>
      </c>
      <c r="L29" s="912">
        <v>0</v>
      </c>
      <c r="M29" s="912">
        <v>0</v>
      </c>
      <c r="N29" s="912">
        <v>0</v>
      </c>
      <c r="O29" s="912">
        <v>1068</v>
      </c>
      <c r="P29" s="912">
        <v>0</v>
      </c>
      <c r="Q29" s="912">
        <v>0</v>
      </c>
      <c r="R29" s="912">
        <v>0</v>
      </c>
      <c r="S29" s="912">
        <v>464</v>
      </c>
      <c r="T29" s="912">
        <v>48</v>
      </c>
      <c r="U29" s="912">
        <v>0</v>
      </c>
      <c r="V29" s="912">
        <v>0</v>
      </c>
      <c r="W29" s="1070">
        <v>0</v>
      </c>
      <c r="X29" s="1070">
        <v>0</v>
      </c>
      <c r="Y29" s="1070">
        <v>0</v>
      </c>
      <c r="Z29" s="1070">
        <v>0</v>
      </c>
      <c r="AA29" s="1070">
        <v>0</v>
      </c>
      <c r="AB29" s="1070">
        <v>0</v>
      </c>
      <c r="AC29" s="1070">
        <v>0</v>
      </c>
      <c r="AD29" s="1070">
        <v>0</v>
      </c>
      <c r="AE29" s="1070">
        <v>0</v>
      </c>
      <c r="AF29" s="1063">
        <v>0</v>
      </c>
      <c r="AG29" s="1063">
        <v>0</v>
      </c>
      <c r="AH29" s="1063">
        <v>0</v>
      </c>
      <c r="AI29" s="1063">
        <v>0</v>
      </c>
      <c r="AJ29" s="1281">
        <v>0</v>
      </c>
      <c r="AK29" s="675"/>
      <c r="AL29" s="675"/>
    </row>
    <row r="30" spans="1:38" x14ac:dyDescent="0.2">
      <c r="C30" s="185" t="s">
        <v>13</v>
      </c>
      <c r="E30" s="487">
        <f>SUM(E25:E29)</f>
        <v>1917.3509999999999</v>
      </c>
      <c r="F30" s="487">
        <f t="shared" ref="F30:AE30" si="14">SUM(F25:F29)</f>
        <v>1162.7449999999999</v>
      </c>
      <c r="G30" s="487">
        <f t="shared" si="14"/>
        <v>1191.6277419999999</v>
      </c>
      <c r="H30" s="487">
        <f t="shared" si="14"/>
        <v>2712.0719999999997</v>
      </c>
      <c r="I30" s="487">
        <f t="shared" si="14"/>
        <v>3098.0690000000004</v>
      </c>
      <c r="J30" s="487">
        <f t="shared" si="14"/>
        <v>3595.6990000000005</v>
      </c>
      <c r="K30" s="487">
        <f t="shared" si="14"/>
        <v>3060</v>
      </c>
      <c r="L30" s="487">
        <f t="shared" si="14"/>
        <v>3068</v>
      </c>
      <c r="M30" s="487">
        <f t="shared" si="14"/>
        <v>4552</v>
      </c>
      <c r="N30" s="487">
        <f t="shared" si="14"/>
        <v>4004</v>
      </c>
      <c r="O30" s="487">
        <f t="shared" si="14"/>
        <v>4782</v>
      </c>
      <c r="P30" s="487">
        <f t="shared" si="14"/>
        <v>3601</v>
      </c>
      <c r="Q30" s="487">
        <f t="shared" si="14"/>
        <v>3883</v>
      </c>
      <c r="R30" s="487">
        <f t="shared" si="14"/>
        <v>4301</v>
      </c>
      <c r="S30" s="487">
        <f t="shared" si="14"/>
        <v>7590</v>
      </c>
      <c r="T30" s="487">
        <f t="shared" si="14"/>
        <v>6095</v>
      </c>
      <c r="U30" s="487">
        <f t="shared" si="14"/>
        <v>5360</v>
      </c>
      <c r="V30" s="487">
        <f t="shared" si="14"/>
        <v>5126</v>
      </c>
      <c r="W30" s="487">
        <f t="shared" si="14"/>
        <v>4462</v>
      </c>
      <c r="X30" s="487">
        <f t="shared" si="14"/>
        <v>5065</v>
      </c>
      <c r="Y30" s="487">
        <f t="shared" si="14"/>
        <v>6263</v>
      </c>
      <c r="Z30" s="487">
        <f t="shared" si="14"/>
        <v>5075</v>
      </c>
      <c r="AA30" s="487">
        <f t="shared" si="14"/>
        <v>5726</v>
      </c>
      <c r="AB30" s="487">
        <f t="shared" si="14"/>
        <v>5536</v>
      </c>
      <c r="AC30" s="487">
        <f t="shared" si="14"/>
        <v>5728</v>
      </c>
      <c r="AD30" s="487">
        <f t="shared" si="14"/>
        <v>5767</v>
      </c>
      <c r="AE30" s="487">
        <f t="shared" si="14"/>
        <v>5075</v>
      </c>
      <c r="AF30" s="487">
        <f>SUM(AF25:AF29)</f>
        <v>5158.403822511279</v>
      </c>
      <c r="AG30" s="487">
        <f>SUM(AG25:AG29)</f>
        <v>5039.7275813440165</v>
      </c>
      <c r="AH30" s="487">
        <f>SUM(AH25:AH29)</f>
        <v>4917.5141054437236</v>
      </c>
      <c r="AI30" s="487">
        <f>SUM(AI25:AI29)</f>
        <v>4805.4605671864801</v>
      </c>
      <c r="AJ30" s="1233">
        <f>SUM(AJ25:AJ29)</f>
        <v>4692.2655931890249</v>
      </c>
      <c r="AK30" s="675"/>
      <c r="AL30" s="675"/>
    </row>
    <row r="31" spans="1:38" x14ac:dyDescent="0.2">
      <c r="E31" s="387"/>
      <c r="F31" s="387"/>
      <c r="G31" s="387"/>
      <c r="H31" s="387"/>
      <c r="I31" s="387"/>
      <c r="J31" s="387"/>
      <c r="K31" s="387"/>
      <c r="L31" s="387"/>
      <c r="M31" s="387"/>
      <c r="N31" s="387"/>
      <c r="O31" s="387"/>
      <c r="P31" s="387"/>
      <c r="Q31" s="387"/>
      <c r="R31" s="387"/>
      <c r="S31" s="387"/>
      <c r="T31" s="387"/>
      <c r="U31" s="387"/>
      <c r="V31" s="387"/>
      <c r="W31" s="387"/>
      <c r="X31" s="387"/>
      <c r="Y31" s="387"/>
      <c r="Z31" s="387"/>
      <c r="AA31" s="387"/>
      <c r="AB31" s="387"/>
      <c r="AC31" s="387"/>
      <c r="AD31" s="387"/>
      <c r="AE31" s="387"/>
      <c r="AF31" s="387"/>
      <c r="AG31" s="387"/>
      <c r="AH31" s="387"/>
      <c r="AI31" s="387"/>
      <c r="AJ31" s="1282"/>
      <c r="AK31" s="675"/>
      <c r="AL31" s="675"/>
    </row>
    <row r="32" spans="1:38" x14ac:dyDescent="0.2">
      <c r="B32" s="185" t="s">
        <v>347</v>
      </c>
      <c r="E32" s="913">
        <v>3176.6869999999999</v>
      </c>
      <c r="F32" s="913">
        <v>2809.7570000000001</v>
      </c>
      <c r="G32" s="913">
        <v>2417.1380000000004</v>
      </c>
      <c r="H32" s="913">
        <v>4529.22</v>
      </c>
      <c r="I32" s="913">
        <v>5632.232</v>
      </c>
      <c r="J32" s="913">
        <v>4605.9160000000002</v>
      </c>
      <c r="K32" s="913">
        <v>3919</v>
      </c>
      <c r="L32" s="913">
        <v>3057</v>
      </c>
      <c r="M32" s="913">
        <v>4589</v>
      </c>
      <c r="N32" s="913">
        <v>3845</v>
      </c>
      <c r="O32" s="913">
        <v>3859</v>
      </c>
      <c r="P32" s="913">
        <v>3408</v>
      </c>
      <c r="Q32" s="913">
        <v>3151</v>
      </c>
      <c r="R32" s="913">
        <v>2637</v>
      </c>
      <c r="S32" s="913">
        <v>8860</v>
      </c>
      <c r="T32" s="913">
        <v>7847</v>
      </c>
      <c r="U32" s="913">
        <v>9087</v>
      </c>
      <c r="V32" s="913">
        <v>8733</v>
      </c>
      <c r="W32" s="1071">
        <v>8456</v>
      </c>
      <c r="X32" s="1071">
        <v>6971</v>
      </c>
      <c r="Y32" s="1071">
        <v>6655</v>
      </c>
      <c r="Z32" s="1071">
        <v>6806</v>
      </c>
      <c r="AA32" s="1071">
        <v>6728</v>
      </c>
      <c r="AB32" s="1071">
        <v>7265</v>
      </c>
      <c r="AC32" s="1071">
        <v>6995</v>
      </c>
      <c r="AD32" s="1071">
        <v>6562</v>
      </c>
      <c r="AE32" s="1071">
        <v>5861</v>
      </c>
      <c r="AF32" s="1064">
        <f>AE32+flow!AG38+flow!AG37+(AE25-AF25)</f>
        <v>5783</v>
      </c>
      <c r="AG32" s="1064">
        <f>AF32+flow!AH38+flow!AH37+(AF25-AG25)</f>
        <v>5683</v>
      </c>
      <c r="AH32" s="1064">
        <f>AG32+flow!AI38+flow!AI37+(AG25-AH25)</f>
        <v>5583</v>
      </c>
      <c r="AI32" s="1064">
        <f>AH32+flow!AJ38+flow!AJ37+(AH25-AI25)</f>
        <v>5483</v>
      </c>
      <c r="AJ32" s="1283">
        <f>AI32+flow!AK38+flow!AK37+(AI25-AJ25)</f>
        <v>5383</v>
      </c>
      <c r="AK32" s="675"/>
      <c r="AL32" s="675"/>
    </row>
    <row r="33" spans="1:38" x14ac:dyDescent="0.2">
      <c r="B33" s="185" t="s">
        <v>262</v>
      </c>
      <c r="E33" s="485">
        <v>746.62699999999995</v>
      </c>
      <c r="F33" s="485">
        <v>750.77099999999996</v>
      </c>
      <c r="G33" s="485">
        <v>650.77099999999996</v>
      </c>
      <c r="H33" s="485">
        <v>890.72900000000004</v>
      </c>
      <c r="I33" s="485">
        <v>732.93600000000004</v>
      </c>
      <c r="J33" s="485">
        <v>830.94299999999998</v>
      </c>
      <c r="K33" s="911">
        <v>939</v>
      </c>
      <c r="L33" s="911">
        <v>1060</v>
      </c>
      <c r="M33" s="911">
        <v>1444</v>
      </c>
      <c r="N33" s="911">
        <v>1362</v>
      </c>
      <c r="O33" s="911">
        <v>1345</v>
      </c>
      <c r="P33" s="911">
        <v>998</v>
      </c>
      <c r="Q33" s="911">
        <v>998</v>
      </c>
      <c r="R33" s="911">
        <v>1199</v>
      </c>
      <c r="S33" s="911">
        <v>1704</v>
      </c>
      <c r="T33" s="911">
        <v>1652</v>
      </c>
      <c r="U33" s="911">
        <v>1446</v>
      </c>
      <c r="V33" s="911">
        <v>1119</v>
      </c>
      <c r="W33" s="1069">
        <v>1132</v>
      </c>
      <c r="X33" s="1069">
        <v>1245</v>
      </c>
      <c r="Y33" s="1069">
        <v>1141</v>
      </c>
      <c r="Z33" s="1069">
        <v>1238</v>
      </c>
      <c r="AA33" s="1069">
        <v>1273</v>
      </c>
      <c r="AB33" s="1069">
        <v>1081</v>
      </c>
      <c r="AC33" s="1069">
        <v>1477</v>
      </c>
      <c r="AD33" s="1069">
        <f>1443+38</f>
        <v>1481</v>
      </c>
      <c r="AE33" s="1069">
        <v>1122</v>
      </c>
      <c r="AF33" s="1062">
        <f t="shared" ref="AF33:AJ33" si="15">AE33/AE$62*AF$62</f>
        <v>1104.4699925435959</v>
      </c>
      <c r="AG33" s="1062">
        <f t="shared" si="15"/>
        <v>1071.9135648006527</v>
      </c>
      <c r="AH33" s="1062">
        <f t="shared" si="15"/>
        <v>1040.0884861444299</v>
      </c>
      <c r="AI33" s="1062">
        <f t="shared" si="15"/>
        <v>1009.9841078905094</v>
      </c>
      <c r="AJ33" s="1280">
        <f t="shared" si="15"/>
        <v>980.52255010223882</v>
      </c>
      <c r="AK33" s="675"/>
      <c r="AL33" s="675"/>
    </row>
    <row r="34" spans="1:38" x14ac:dyDescent="0.2">
      <c r="B34" s="185" t="s">
        <v>263</v>
      </c>
      <c r="E34" s="912">
        <v>206.34800000000001</v>
      </c>
      <c r="F34" s="912">
        <v>221.517</v>
      </c>
      <c r="G34" s="912"/>
      <c r="H34" s="912">
        <v>505.35899999999998</v>
      </c>
      <c r="I34" s="912">
        <v>558.12699999999995</v>
      </c>
      <c r="J34" s="912">
        <v>562.43100000000004</v>
      </c>
      <c r="K34" s="912">
        <v>564</v>
      </c>
      <c r="L34" s="912">
        <v>570</v>
      </c>
      <c r="M34" s="912">
        <v>510</v>
      </c>
      <c r="N34" s="912">
        <v>541</v>
      </c>
      <c r="O34" s="912">
        <v>562</v>
      </c>
      <c r="P34" s="912">
        <v>672</v>
      </c>
      <c r="Q34" s="912">
        <v>578</v>
      </c>
      <c r="R34" s="912">
        <v>581</v>
      </c>
      <c r="S34" s="912">
        <v>1495</v>
      </c>
      <c r="T34" s="912">
        <v>1702</v>
      </c>
      <c r="U34" s="912">
        <v>1989</v>
      </c>
      <c r="V34" s="912">
        <v>2521</v>
      </c>
      <c r="W34" s="1070">
        <v>2597</v>
      </c>
      <c r="X34" s="1070">
        <v>1820</v>
      </c>
      <c r="Y34" s="1070">
        <v>2103</v>
      </c>
      <c r="Z34" s="1070">
        <v>1821</v>
      </c>
      <c r="AA34" s="1070">
        <v>1658</v>
      </c>
      <c r="AB34" s="1070">
        <v>2201</v>
      </c>
      <c r="AC34" s="1070">
        <v>2123</v>
      </c>
      <c r="AD34" s="1070">
        <v>1877</v>
      </c>
      <c r="AE34" s="1070">
        <v>1662</v>
      </c>
      <c r="AF34" s="1063">
        <f>AE34+flow!AG30</f>
        <v>1612</v>
      </c>
      <c r="AG34" s="1063">
        <f>AF34+flow!AH30</f>
        <v>1562</v>
      </c>
      <c r="AH34" s="1063">
        <f>AG34+flow!AI30</f>
        <v>1512</v>
      </c>
      <c r="AI34" s="1063">
        <f>AH34+flow!AJ30</f>
        <v>1462</v>
      </c>
      <c r="AJ34" s="1281">
        <f>AI34+flow!AK30</f>
        <v>1412</v>
      </c>
      <c r="AK34" s="675"/>
      <c r="AL34" s="675"/>
    </row>
    <row r="35" spans="1:38" x14ac:dyDescent="0.2">
      <c r="C35" s="185" t="s">
        <v>14</v>
      </c>
      <c r="E35" s="487">
        <f t="shared" ref="E35:AE35" si="16">SUM(E32:E34)</f>
        <v>4129.6620000000003</v>
      </c>
      <c r="F35" s="487">
        <f t="shared" si="16"/>
        <v>3782.0450000000001</v>
      </c>
      <c r="G35" s="487">
        <f t="shared" si="16"/>
        <v>3067.9090000000006</v>
      </c>
      <c r="H35" s="487">
        <f t="shared" si="16"/>
        <v>5925.3080000000009</v>
      </c>
      <c r="I35" s="487">
        <f t="shared" si="16"/>
        <v>6923.2950000000001</v>
      </c>
      <c r="J35" s="487">
        <f t="shared" si="16"/>
        <v>5999.2900000000009</v>
      </c>
      <c r="K35" s="487">
        <f t="shared" si="16"/>
        <v>5422</v>
      </c>
      <c r="L35" s="487">
        <f t="shared" si="16"/>
        <v>4687</v>
      </c>
      <c r="M35" s="487">
        <f t="shared" si="16"/>
        <v>6543</v>
      </c>
      <c r="N35" s="487">
        <f t="shared" si="16"/>
        <v>5748</v>
      </c>
      <c r="O35" s="487">
        <f t="shared" si="16"/>
        <v>5766</v>
      </c>
      <c r="P35" s="487">
        <f t="shared" si="16"/>
        <v>5078</v>
      </c>
      <c r="Q35" s="487">
        <f t="shared" si="16"/>
        <v>4727</v>
      </c>
      <c r="R35" s="487">
        <f t="shared" si="16"/>
        <v>4417</v>
      </c>
      <c r="S35" s="487">
        <f t="shared" si="16"/>
        <v>12059</v>
      </c>
      <c r="T35" s="487">
        <f t="shared" si="16"/>
        <v>11201</v>
      </c>
      <c r="U35" s="487">
        <f t="shared" si="16"/>
        <v>12522</v>
      </c>
      <c r="V35" s="487">
        <f t="shared" si="16"/>
        <v>12373</v>
      </c>
      <c r="W35" s="487">
        <f t="shared" si="16"/>
        <v>12185</v>
      </c>
      <c r="X35" s="487">
        <f t="shared" si="16"/>
        <v>10036</v>
      </c>
      <c r="Y35" s="487">
        <f t="shared" si="16"/>
        <v>9899</v>
      </c>
      <c r="Z35" s="487">
        <f t="shared" si="16"/>
        <v>9865</v>
      </c>
      <c r="AA35" s="487">
        <f t="shared" si="16"/>
        <v>9659</v>
      </c>
      <c r="AB35" s="487">
        <f t="shared" si="16"/>
        <v>10547</v>
      </c>
      <c r="AC35" s="487">
        <f t="shared" si="16"/>
        <v>10595</v>
      </c>
      <c r="AD35" s="487">
        <f t="shared" si="16"/>
        <v>9920</v>
      </c>
      <c r="AE35" s="487">
        <f t="shared" si="16"/>
        <v>8645</v>
      </c>
      <c r="AF35" s="487">
        <f>SUM(AF32:AF34)</f>
        <v>8499.4699925435962</v>
      </c>
      <c r="AG35" s="487">
        <f>SUM(AG32:AG34)</f>
        <v>8316.9135648006522</v>
      </c>
      <c r="AH35" s="487">
        <f>SUM(AH32:AH34)</f>
        <v>8135.0884861444301</v>
      </c>
      <c r="AI35" s="487">
        <f>SUM(AI32:AI34)</f>
        <v>7954.9841078905092</v>
      </c>
      <c r="AJ35" s="1233">
        <f>SUM(AJ32:AJ34)</f>
        <v>7775.5225501022387</v>
      </c>
      <c r="AK35" s="675"/>
      <c r="AL35" s="675"/>
    </row>
    <row r="36" spans="1:38" ht="4.5" customHeight="1" x14ac:dyDescent="0.2">
      <c r="E36" s="917"/>
      <c r="F36" s="917"/>
      <c r="G36" s="917"/>
      <c r="H36" s="917"/>
      <c r="I36" s="917"/>
      <c r="J36" s="917"/>
      <c r="K36" s="917"/>
      <c r="L36" s="917"/>
      <c r="M36" s="917"/>
      <c r="N36" s="917"/>
      <c r="O36" s="917"/>
      <c r="P36" s="917"/>
      <c r="Q36" s="917"/>
      <c r="R36" s="917"/>
      <c r="S36" s="917"/>
      <c r="T36" s="917"/>
      <c r="U36" s="917"/>
      <c r="V36" s="917"/>
      <c r="W36" s="917"/>
      <c r="X36" s="917"/>
      <c r="Y36" s="917"/>
      <c r="Z36" s="917"/>
      <c r="AA36" s="917"/>
      <c r="AB36" s="917"/>
      <c r="AC36" s="917"/>
      <c r="AD36" s="917"/>
      <c r="AE36" s="917"/>
      <c r="AF36" s="917"/>
      <c r="AG36" s="917"/>
      <c r="AH36" s="917"/>
      <c r="AI36" s="917"/>
      <c r="AJ36" s="1289"/>
      <c r="AK36" s="675"/>
      <c r="AL36" s="675"/>
    </row>
    <row r="37" spans="1:38" x14ac:dyDescent="0.2">
      <c r="A37" s="185" t="s">
        <v>19</v>
      </c>
      <c r="E37" s="914">
        <f t="shared" ref="E37:AC37" si="17">E35+E30</f>
        <v>6047.0129999999999</v>
      </c>
      <c r="F37" s="914">
        <f t="shared" si="17"/>
        <v>4944.79</v>
      </c>
      <c r="G37" s="914">
        <f t="shared" si="17"/>
        <v>4259.5367420000002</v>
      </c>
      <c r="H37" s="914">
        <f t="shared" si="17"/>
        <v>8637.380000000001</v>
      </c>
      <c r="I37" s="914">
        <f t="shared" si="17"/>
        <v>10021.364000000001</v>
      </c>
      <c r="J37" s="914">
        <f t="shared" si="17"/>
        <v>9594.9890000000014</v>
      </c>
      <c r="K37" s="914">
        <f t="shared" si="17"/>
        <v>8482</v>
      </c>
      <c r="L37" s="914">
        <f t="shared" si="17"/>
        <v>7755</v>
      </c>
      <c r="M37" s="914">
        <f t="shared" si="17"/>
        <v>11095</v>
      </c>
      <c r="N37" s="914">
        <f t="shared" si="17"/>
        <v>9752</v>
      </c>
      <c r="O37" s="914">
        <f t="shared" si="17"/>
        <v>10548</v>
      </c>
      <c r="P37" s="914">
        <f t="shared" si="17"/>
        <v>8679</v>
      </c>
      <c r="Q37" s="914">
        <f t="shared" si="17"/>
        <v>8610</v>
      </c>
      <c r="R37" s="914">
        <f t="shared" si="17"/>
        <v>8718</v>
      </c>
      <c r="S37" s="914">
        <f t="shared" si="17"/>
        <v>19649</v>
      </c>
      <c r="T37" s="914">
        <f t="shared" si="17"/>
        <v>17296</v>
      </c>
      <c r="U37" s="914">
        <f t="shared" si="17"/>
        <v>17882</v>
      </c>
      <c r="V37" s="914">
        <f t="shared" si="17"/>
        <v>17499</v>
      </c>
      <c r="W37" s="914">
        <f t="shared" si="17"/>
        <v>16647</v>
      </c>
      <c r="X37" s="914">
        <f t="shared" si="17"/>
        <v>15101</v>
      </c>
      <c r="Y37" s="914">
        <f t="shared" si="17"/>
        <v>16162</v>
      </c>
      <c r="Z37" s="914">
        <f t="shared" si="17"/>
        <v>14940</v>
      </c>
      <c r="AA37" s="914">
        <f t="shared" si="17"/>
        <v>15385</v>
      </c>
      <c r="AB37" s="914">
        <f t="shared" si="17"/>
        <v>16083</v>
      </c>
      <c r="AC37" s="914">
        <f t="shared" si="17"/>
        <v>16323</v>
      </c>
      <c r="AD37" s="914">
        <f t="shared" ref="AD37:AI37" si="18">AD35+AD30</f>
        <v>15687</v>
      </c>
      <c r="AE37" s="914">
        <f t="shared" si="18"/>
        <v>13720</v>
      </c>
      <c r="AF37" s="914">
        <f t="shared" si="18"/>
        <v>13657.873815054874</v>
      </c>
      <c r="AG37" s="914">
        <f t="shared" si="18"/>
        <v>13356.64114614467</v>
      </c>
      <c r="AH37" s="914">
        <f t="shared" si="18"/>
        <v>13052.602591588155</v>
      </c>
      <c r="AI37" s="914">
        <f t="shared" si="18"/>
        <v>12760.444675076989</v>
      </c>
      <c r="AJ37" s="1286">
        <f t="shared" ref="AJ37" si="19">AJ35+AJ30</f>
        <v>12467.788143291264</v>
      </c>
      <c r="AK37" s="675"/>
      <c r="AL37" s="675"/>
    </row>
    <row r="38" spans="1:38" ht="4.5" customHeight="1" x14ac:dyDescent="0.2">
      <c r="E38" s="387"/>
      <c r="F38" s="387"/>
      <c r="G38" s="387"/>
      <c r="H38" s="387"/>
      <c r="I38" s="387"/>
      <c r="J38" s="387"/>
      <c r="K38" s="387"/>
      <c r="L38" s="387"/>
      <c r="M38" s="387"/>
      <c r="N38" s="387"/>
      <c r="O38" s="387"/>
      <c r="P38" s="387"/>
      <c r="Q38" s="387"/>
      <c r="R38" s="387"/>
      <c r="S38" s="387"/>
      <c r="T38" s="387"/>
      <c r="U38" s="387"/>
      <c r="V38" s="387"/>
      <c r="W38" s="387"/>
      <c r="X38" s="387"/>
      <c r="Y38" s="387"/>
      <c r="Z38" s="387"/>
      <c r="AA38" s="387"/>
      <c r="AB38" s="387"/>
      <c r="AC38" s="387"/>
      <c r="AD38" s="387"/>
      <c r="AE38" s="387"/>
      <c r="AF38" s="387"/>
      <c r="AG38" s="387"/>
      <c r="AH38" s="387"/>
      <c r="AI38" s="387"/>
      <c r="AJ38" s="1282"/>
      <c r="AK38" s="387"/>
      <c r="AL38" s="387"/>
    </row>
    <row r="39" spans="1:38" x14ac:dyDescent="0.2">
      <c r="A39" s="908" t="s">
        <v>107</v>
      </c>
      <c r="E39" s="387"/>
      <c r="F39" s="387"/>
      <c r="G39" s="387"/>
      <c r="H39" s="387"/>
      <c r="I39" s="387"/>
      <c r="J39" s="387"/>
      <c r="K39" s="387"/>
      <c r="L39" s="387"/>
      <c r="M39" s="387"/>
      <c r="N39" s="387"/>
      <c r="O39" s="918"/>
      <c r="P39" s="387"/>
      <c r="Q39" s="387"/>
      <c r="R39" s="387"/>
      <c r="S39" s="387"/>
      <c r="T39" s="387"/>
      <c r="U39" s="387"/>
      <c r="V39" s="387"/>
      <c r="W39" s="387"/>
      <c r="X39" s="387"/>
      <c r="Y39" s="387"/>
      <c r="Z39" s="387"/>
      <c r="AA39" s="387"/>
      <c r="AB39" s="387"/>
      <c r="AC39" s="387"/>
      <c r="AD39" s="387"/>
      <c r="AE39" s="387"/>
      <c r="AF39" s="387"/>
      <c r="AG39" s="387"/>
      <c r="AH39" s="387"/>
      <c r="AI39" s="387"/>
      <c r="AJ39" s="1282"/>
      <c r="AK39" s="387"/>
      <c r="AL39" s="387"/>
    </row>
    <row r="40" spans="1:38" outlineLevel="1" x14ac:dyDescent="0.2">
      <c r="B40" s="185" t="s">
        <v>248</v>
      </c>
      <c r="E40" s="485">
        <v>1</v>
      </c>
      <c r="F40" s="485">
        <v>1</v>
      </c>
      <c r="G40" s="485">
        <v>1</v>
      </c>
      <c r="H40" s="485">
        <v>2.1</v>
      </c>
      <c r="I40" s="485">
        <v>2.2999999999999998</v>
      </c>
      <c r="J40" s="485">
        <v>2.4</v>
      </c>
      <c r="K40" s="485">
        <v>2</v>
      </c>
      <c r="L40" s="485">
        <v>2</v>
      </c>
      <c r="M40" s="485">
        <v>3</v>
      </c>
      <c r="N40" s="485">
        <v>3</v>
      </c>
      <c r="O40" s="485">
        <v>3</v>
      </c>
      <c r="P40" s="485">
        <v>3</v>
      </c>
      <c r="Q40" s="485">
        <v>2</v>
      </c>
      <c r="R40" s="485">
        <v>2</v>
      </c>
      <c r="S40" s="485">
        <v>3</v>
      </c>
      <c r="T40" s="485">
        <v>5.875000000003638</v>
      </c>
      <c r="U40" s="485">
        <v>4.875000000003638</v>
      </c>
      <c r="V40" s="485">
        <v>4.875000000003638</v>
      </c>
      <c r="W40" s="1068">
        <v>5</v>
      </c>
      <c r="X40" s="1068">
        <v>5</v>
      </c>
      <c r="Y40" s="1068">
        <v>5</v>
      </c>
      <c r="Z40" s="1068">
        <v>4</v>
      </c>
      <c r="AA40" s="1068">
        <v>4</v>
      </c>
      <c r="AB40" s="1068">
        <f t="shared" ref="AB40:AG40" si="20">AA40</f>
        <v>4</v>
      </c>
      <c r="AC40" s="1068">
        <v>3</v>
      </c>
      <c r="AD40" s="1068">
        <v>3</v>
      </c>
      <c r="AE40" s="1068">
        <f t="shared" si="20"/>
        <v>3</v>
      </c>
      <c r="AF40" s="1062">
        <f t="shared" si="20"/>
        <v>3</v>
      </c>
      <c r="AG40" s="1062">
        <f t="shared" si="20"/>
        <v>3</v>
      </c>
      <c r="AH40" s="1062">
        <f>AG40</f>
        <v>3</v>
      </c>
      <c r="AI40" s="1062">
        <f>AH40</f>
        <v>3</v>
      </c>
      <c r="AJ40" s="1280">
        <f>AI40</f>
        <v>3</v>
      </c>
      <c r="AK40" s="675"/>
      <c r="AL40" s="675"/>
    </row>
    <row r="41" spans="1:38" outlineLevel="1" x14ac:dyDescent="0.2">
      <c r="B41" s="185" t="s">
        <v>348</v>
      </c>
      <c r="E41" s="485">
        <v>1453.1320000000001</v>
      </c>
      <c r="F41" s="485">
        <v>2073.98</v>
      </c>
      <c r="G41" s="911">
        <f>2073.98-124.0549</f>
        <v>1949.9250999999999</v>
      </c>
      <c r="H41" s="911">
        <f>3711.3+408.1434</f>
        <v>4119.4434000000001</v>
      </c>
      <c r="I41" s="911">
        <v>4268.3999999999996</v>
      </c>
      <c r="J41" s="485">
        <v>4399.7</v>
      </c>
      <c r="K41" s="911">
        <v>4461</v>
      </c>
      <c r="L41" s="911">
        <v>4406</v>
      </c>
      <c r="M41" s="911">
        <v>4719</v>
      </c>
      <c r="N41" s="911">
        <v>4766</v>
      </c>
      <c r="O41" s="911">
        <v>5098</v>
      </c>
      <c r="P41" s="485">
        <v>5106</v>
      </c>
      <c r="Q41" s="485">
        <v>3880</v>
      </c>
      <c r="R41" s="485">
        <v>3124</v>
      </c>
      <c r="S41" s="485">
        <v>9241</v>
      </c>
      <c r="T41" s="485">
        <v>9486</v>
      </c>
      <c r="U41" s="485">
        <v>5609</v>
      </c>
      <c r="V41" s="485">
        <v>5663</v>
      </c>
      <c r="W41" s="1068">
        <v>5689</v>
      </c>
      <c r="X41" s="1068">
        <v>5696</v>
      </c>
      <c r="Y41" s="1068">
        <v>5408</v>
      </c>
      <c r="Z41" s="1068">
        <v>3872</v>
      </c>
      <c r="AA41" s="1068">
        <v>2522</v>
      </c>
      <c r="AB41" s="1068">
        <v>1048</v>
      </c>
      <c r="AC41" s="1068">
        <v>621</v>
      </c>
      <c r="AD41" s="1068">
        <v>617</v>
      </c>
      <c r="AE41" s="1068">
        <v>676</v>
      </c>
      <c r="AF41" s="1061">
        <f>AE41+flow!AG8+flow!AG41+flow!AG43+flow!AG39+flow!AG42</f>
        <v>1457.0840575635009</v>
      </c>
      <c r="AG41" s="1061">
        <f>AF41+flow!AH8+flow!AH41+flow!AH43+flow!AH39+flow!AH42</f>
        <v>1926.2094415999759</v>
      </c>
      <c r="AH41" s="1061">
        <f>AG41+flow!AI8+flow!AI41+flow!AI43+flow!AI39+flow!AI42</f>
        <v>2093.214168767639</v>
      </c>
      <c r="AI41" s="1061">
        <f>AH41+flow!AJ8+flow!AJ41+flow!AJ43+flow!AJ39+flow!AJ42</f>
        <v>1995.4880306699893</v>
      </c>
      <c r="AJ41" s="1288">
        <f>AI41+flow!AK8+flow!AK41+flow!AK43+flow!AK39+flow!AK42</f>
        <v>1653.8329552141495</v>
      </c>
      <c r="AK41" s="675"/>
      <c r="AL41" s="675"/>
    </row>
    <row r="42" spans="1:38" outlineLevel="1" x14ac:dyDescent="0.2">
      <c r="A42" s="261"/>
      <c r="B42" s="261" t="s">
        <v>349</v>
      </c>
      <c r="C42" s="261"/>
      <c r="D42" s="261"/>
      <c r="E42" s="911">
        <v>0</v>
      </c>
      <c r="F42" s="911">
        <v>0</v>
      </c>
      <c r="G42" s="911">
        <v>203.26400000000012</v>
      </c>
      <c r="H42" s="911">
        <v>-73.8</v>
      </c>
      <c r="I42" s="911">
        <v>5.9859999999998763</v>
      </c>
      <c r="J42" s="911">
        <v>268.054000000001</v>
      </c>
      <c r="K42" s="911">
        <v>796</v>
      </c>
      <c r="L42" s="911">
        <v>1311</v>
      </c>
      <c r="M42" s="911">
        <v>1830</v>
      </c>
      <c r="N42" s="911">
        <v>1055</v>
      </c>
      <c r="O42" s="911">
        <v>475</v>
      </c>
      <c r="P42" s="911">
        <v>926</v>
      </c>
      <c r="Q42" s="911">
        <v>2328</v>
      </c>
      <c r="R42" s="911">
        <v>3081</v>
      </c>
      <c r="S42" s="911">
        <v>4563</v>
      </c>
      <c r="T42" s="911">
        <v>2944</v>
      </c>
      <c r="U42" s="911">
        <v>4475</v>
      </c>
      <c r="V42" s="911">
        <v>-536</v>
      </c>
      <c r="W42" s="1069">
        <v>-287.625</v>
      </c>
      <c r="X42" s="1069">
        <v>559</v>
      </c>
      <c r="Y42" s="1069">
        <v>1581</v>
      </c>
      <c r="Z42" s="1068">
        <f>5108-2002</f>
        <v>3106</v>
      </c>
      <c r="AA42" s="1068">
        <f>6235-1847</f>
        <v>4388</v>
      </c>
      <c r="AB42" s="1068">
        <f>7340-1942</f>
        <v>5398</v>
      </c>
      <c r="AC42" s="1068">
        <f>6334+-1665</f>
        <v>4669</v>
      </c>
      <c r="AD42" s="1068">
        <f>6088-1489+74</f>
        <v>4673</v>
      </c>
      <c r="AE42" s="1506">
        <f>7174-1456-12+0.040587</f>
        <v>5706.0405870000004</v>
      </c>
      <c r="AF42" s="1066">
        <f t="shared" ref="AF42:AG43" si="21">AE42</f>
        <v>5706.0405870000004</v>
      </c>
      <c r="AG42" s="1066">
        <f t="shared" si="21"/>
        <v>5706.0405870000004</v>
      </c>
      <c r="AH42" s="1066">
        <f t="shared" ref="AH42:AJ43" si="22">AG42</f>
        <v>5706.0405870000004</v>
      </c>
      <c r="AI42" s="1066">
        <f t="shared" si="22"/>
        <v>5706.0405870000004</v>
      </c>
      <c r="AJ42" s="1290">
        <f t="shared" si="22"/>
        <v>5706.0405870000004</v>
      </c>
      <c r="AK42" s="675"/>
      <c r="AL42" s="675"/>
    </row>
    <row r="43" spans="1:38" outlineLevel="1" x14ac:dyDescent="0.2">
      <c r="B43" s="185" t="s">
        <v>350</v>
      </c>
      <c r="E43" s="911">
        <v>0</v>
      </c>
      <c r="F43" s="911">
        <v>0</v>
      </c>
      <c r="G43" s="911">
        <v>0</v>
      </c>
      <c r="H43" s="911">
        <v>0</v>
      </c>
      <c r="I43" s="911">
        <f>-3+0.45</f>
        <v>-2.5499999999999998</v>
      </c>
      <c r="J43" s="911">
        <f>-1+0.58</f>
        <v>-0.42000000000000004</v>
      </c>
      <c r="K43" s="911">
        <f>-3+0.38</f>
        <v>-2.62</v>
      </c>
      <c r="L43" s="911">
        <f>-10+0.61</f>
        <v>-9.39</v>
      </c>
      <c r="M43" s="911">
        <v>0.61099999999714805</v>
      </c>
      <c r="N43" s="911">
        <f>-2+0.610999999997148</f>
        <v>-1.389000000002852</v>
      </c>
      <c r="O43" s="911">
        <f>-12+0.610999999997148</f>
        <v>-11.389000000002852</v>
      </c>
      <c r="P43" s="911">
        <f>-273+0.610999999997148</f>
        <v>-272.38900000000285</v>
      </c>
      <c r="Q43" s="911">
        <f>-270+0.610999999997148</f>
        <v>-269.38900000000285</v>
      </c>
      <c r="R43" s="911">
        <f>-40+0.610999999997148</f>
        <v>-39.389000000002852</v>
      </c>
      <c r="S43" s="911">
        <f>-288+0.610999999997148</f>
        <v>-287.38900000000285</v>
      </c>
      <c r="T43" s="911">
        <f>-182+0.610999999997148</f>
        <v>-181.38900000000285</v>
      </c>
      <c r="U43" s="911">
        <f>-182--0.377000000000407</f>
        <v>-181.62299999999959</v>
      </c>
      <c r="V43" s="911">
        <f>-486--0.377000000000407</f>
        <v>-485.62299999999959</v>
      </c>
      <c r="W43" s="1069">
        <v>-753</v>
      </c>
      <c r="X43" s="1069">
        <f>-730+0.4</f>
        <v>-729.6</v>
      </c>
      <c r="Y43" s="1069">
        <f>-1061+0.4</f>
        <v>-1060.5999999999999</v>
      </c>
      <c r="Z43" s="1069">
        <v>-930.6</v>
      </c>
      <c r="AA43" s="1069">
        <f>-665+0.03</f>
        <v>-664.97</v>
      </c>
      <c r="AB43" s="1069">
        <f>+-1072+0.03</f>
        <v>-1071.97</v>
      </c>
      <c r="AC43" s="1069">
        <f>-1043+3</f>
        <v>-1040</v>
      </c>
      <c r="AD43" s="1069">
        <f>-896-1</f>
        <v>-897</v>
      </c>
      <c r="AE43" s="1069">
        <v>-724</v>
      </c>
      <c r="AF43" s="1062">
        <f t="shared" si="21"/>
        <v>-724</v>
      </c>
      <c r="AG43" s="1062">
        <f t="shared" si="21"/>
        <v>-724</v>
      </c>
      <c r="AH43" s="1062">
        <f t="shared" si="22"/>
        <v>-724</v>
      </c>
      <c r="AI43" s="1062">
        <f t="shared" si="22"/>
        <v>-724</v>
      </c>
      <c r="AJ43" s="1280">
        <f t="shared" si="22"/>
        <v>-724</v>
      </c>
      <c r="AK43" s="675"/>
      <c r="AL43" s="675"/>
    </row>
    <row r="44" spans="1:38" x14ac:dyDescent="0.2">
      <c r="C44" s="185" t="s">
        <v>15</v>
      </c>
      <c r="E44" s="487">
        <f>SUM(E40:E43)</f>
        <v>1454.1320000000001</v>
      </c>
      <c r="F44" s="487">
        <f>SUM(F40:F43)</f>
        <v>2074.98</v>
      </c>
      <c r="G44" s="487">
        <f>SUM(G40:G43)</f>
        <v>2154.1891000000001</v>
      </c>
      <c r="H44" s="487">
        <f>SUM(H40:H43)</f>
        <v>4047.7434000000003</v>
      </c>
      <c r="I44" s="487">
        <f>SUM(I40:I43)</f>
        <v>4274.1359999999995</v>
      </c>
      <c r="J44" s="487">
        <f t="shared" ref="J44:X44" si="23">SUM(J40:J43)</f>
        <v>4669.7340000000004</v>
      </c>
      <c r="K44" s="487">
        <f t="shared" si="23"/>
        <v>5256.38</v>
      </c>
      <c r="L44" s="487">
        <f t="shared" si="23"/>
        <v>5709.61</v>
      </c>
      <c r="M44" s="487">
        <f t="shared" si="23"/>
        <v>6552.6109999999971</v>
      </c>
      <c r="N44" s="487">
        <f t="shared" si="23"/>
        <v>5822.6109999999971</v>
      </c>
      <c r="O44" s="487">
        <f t="shared" si="23"/>
        <v>5564.6109999999971</v>
      </c>
      <c r="P44" s="487">
        <f t="shared" si="23"/>
        <v>5762.6109999999971</v>
      </c>
      <c r="Q44" s="487">
        <f t="shared" si="23"/>
        <v>5940.6109999999971</v>
      </c>
      <c r="R44" s="487">
        <f t="shared" si="23"/>
        <v>6167.6109999999971</v>
      </c>
      <c r="S44" s="487">
        <f t="shared" si="23"/>
        <v>13519.610999999997</v>
      </c>
      <c r="T44" s="487">
        <f t="shared" si="23"/>
        <v>12254.486000000001</v>
      </c>
      <c r="U44" s="487">
        <f t="shared" si="23"/>
        <v>9907.252000000004</v>
      </c>
      <c r="V44" s="487">
        <f t="shared" si="23"/>
        <v>4646.252000000004</v>
      </c>
      <c r="W44" s="487">
        <f t="shared" si="23"/>
        <v>4653.375</v>
      </c>
      <c r="X44" s="487">
        <f t="shared" si="23"/>
        <v>5530.4</v>
      </c>
      <c r="Y44" s="487">
        <f t="shared" ref="Y44:AG44" si="24">SUM(Y40:Y43)</f>
        <v>5933.4</v>
      </c>
      <c r="Z44" s="487">
        <f t="shared" si="24"/>
        <v>6051.4</v>
      </c>
      <c r="AA44" s="487">
        <f t="shared" si="24"/>
        <v>6249.03</v>
      </c>
      <c r="AB44" s="487">
        <f t="shared" si="24"/>
        <v>5378.03</v>
      </c>
      <c r="AC44" s="487">
        <f t="shared" si="24"/>
        <v>4253</v>
      </c>
      <c r="AD44" s="487">
        <f t="shared" si="24"/>
        <v>4396</v>
      </c>
      <c r="AE44" s="487">
        <f>SUM(AE40:AE43)</f>
        <v>5661.0405870000004</v>
      </c>
      <c r="AF44" s="487">
        <f t="shared" si="24"/>
        <v>6442.1246445635015</v>
      </c>
      <c r="AG44" s="487">
        <f t="shared" si="24"/>
        <v>6911.2500285999758</v>
      </c>
      <c r="AH44" s="487">
        <f>SUM(AH40:AH43)</f>
        <v>7078.2547557676389</v>
      </c>
      <c r="AI44" s="487">
        <f>SUM(AI40:AI43)</f>
        <v>6980.5286176699901</v>
      </c>
      <c r="AJ44" s="1233">
        <f>SUM(AJ40:AJ43)</f>
        <v>6638.8735422141499</v>
      </c>
      <c r="AK44" s="487"/>
      <c r="AL44" s="487"/>
    </row>
    <row r="45" spans="1:38" ht="4.5" customHeight="1" x14ac:dyDescent="0.2">
      <c r="E45" s="387"/>
      <c r="F45" s="387"/>
      <c r="G45" s="387"/>
      <c r="H45" s="387"/>
      <c r="I45" s="387"/>
      <c r="J45" s="387"/>
      <c r="K45" s="387"/>
      <c r="L45" s="387"/>
      <c r="M45" s="387"/>
      <c r="N45" s="387"/>
      <c r="O45" s="387"/>
      <c r="P45" s="387"/>
      <c r="Q45" s="387"/>
      <c r="R45" s="387"/>
      <c r="S45" s="387"/>
      <c r="T45" s="387"/>
      <c r="U45" s="387"/>
      <c r="V45" s="387"/>
      <c r="W45" s="387"/>
      <c r="X45" s="387"/>
      <c r="Y45" s="387"/>
      <c r="Z45" s="387"/>
      <c r="AA45" s="387"/>
      <c r="AB45" s="387"/>
      <c r="AC45" s="387"/>
      <c r="AD45" s="387"/>
      <c r="AE45" s="387"/>
      <c r="AF45" s="387"/>
      <c r="AG45" s="387"/>
      <c r="AH45" s="387"/>
      <c r="AI45" s="387"/>
      <c r="AJ45" s="1282"/>
      <c r="AK45" s="675"/>
      <c r="AL45" s="675"/>
    </row>
    <row r="46" spans="1:38" x14ac:dyDescent="0.2">
      <c r="A46" s="185" t="s">
        <v>124</v>
      </c>
      <c r="E46" s="914">
        <f>E44+E37</f>
        <v>7501.1450000000004</v>
      </c>
      <c r="F46" s="914">
        <f t="shared" ref="F46:AC46" si="25">F44+F37</f>
        <v>7019.77</v>
      </c>
      <c r="G46" s="914">
        <f t="shared" si="25"/>
        <v>6413.7258419999998</v>
      </c>
      <c r="H46" s="914">
        <f t="shared" si="25"/>
        <v>12685.1234</v>
      </c>
      <c r="I46" s="914">
        <f t="shared" si="25"/>
        <v>14295.5</v>
      </c>
      <c r="J46" s="914">
        <f t="shared" si="25"/>
        <v>14264.723000000002</v>
      </c>
      <c r="K46" s="914">
        <f t="shared" si="25"/>
        <v>13738.380000000001</v>
      </c>
      <c r="L46" s="914">
        <f t="shared" si="25"/>
        <v>13464.61</v>
      </c>
      <c r="M46" s="914">
        <f t="shared" si="25"/>
        <v>17647.610999999997</v>
      </c>
      <c r="N46" s="914">
        <f t="shared" si="25"/>
        <v>15574.610999999997</v>
      </c>
      <c r="O46" s="914">
        <f t="shared" si="25"/>
        <v>16112.610999999997</v>
      </c>
      <c r="P46" s="914">
        <f t="shared" si="25"/>
        <v>14441.610999999997</v>
      </c>
      <c r="Q46" s="914">
        <f t="shared" si="25"/>
        <v>14550.610999999997</v>
      </c>
      <c r="R46" s="914">
        <f t="shared" si="25"/>
        <v>14885.610999999997</v>
      </c>
      <c r="S46" s="914">
        <f t="shared" si="25"/>
        <v>33168.610999999997</v>
      </c>
      <c r="T46" s="914">
        <f t="shared" si="25"/>
        <v>29550.486000000001</v>
      </c>
      <c r="U46" s="914">
        <f t="shared" si="25"/>
        <v>27789.252000000004</v>
      </c>
      <c r="V46" s="914">
        <f t="shared" si="25"/>
        <v>22145.252000000004</v>
      </c>
      <c r="W46" s="914">
        <f t="shared" si="25"/>
        <v>21300.375</v>
      </c>
      <c r="X46" s="914">
        <f t="shared" si="25"/>
        <v>20631.400000000001</v>
      </c>
      <c r="Y46" s="914">
        <f t="shared" si="25"/>
        <v>22095.4</v>
      </c>
      <c r="Z46" s="914">
        <f t="shared" si="25"/>
        <v>20991.4</v>
      </c>
      <c r="AA46" s="914">
        <f t="shared" si="25"/>
        <v>21634.03</v>
      </c>
      <c r="AB46" s="914">
        <f t="shared" si="25"/>
        <v>21461.03</v>
      </c>
      <c r="AC46" s="914">
        <f t="shared" si="25"/>
        <v>20576</v>
      </c>
      <c r="AD46" s="914">
        <f t="shared" ref="AD46:AI46" si="26">AD44+AD37</f>
        <v>20083</v>
      </c>
      <c r="AE46" s="914">
        <f>AE44+AE37</f>
        <v>19381.040587</v>
      </c>
      <c r="AF46" s="914">
        <f t="shared" si="26"/>
        <v>20099.998459618375</v>
      </c>
      <c r="AG46" s="914">
        <f t="shared" si="26"/>
        <v>20267.891174744647</v>
      </c>
      <c r="AH46" s="914">
        <f t="shared" si="26"/>
        <v>20130.857347355792</v>
      </c>
      <c r="AI46" s="914">
        <f t="shared" si="26"/>
        <v>19740.973292746981</v>
      </c>
      <c r="AJ46" s="1286">
        <f t="shared" ref="AJ46" si="27">AJ44+AJ37</f>
        <v>19106.661685505413</v>
      </c>
      <c r="AK46" s="675"/>
      <c r="AL46" s="675"/>
    </row>
    <row r="47" spans="1:38" x14ac:dyDescent="0.2">
      <c r="E47" s="919"/>
      <c r="F47" s="919"/>
      <c r="G47" s="919"/>
      <c r="H47" s="919"/>
      <c r="I47" s="919"/>
      <c r="J47" s="919"/>
      <c r="K47" s="919"/>
      <c r="L47" s="919"/>
      <c r="M47" s="919"/>
      <c r="N47" s="919"/>
      <c r="O47" s="919"/>
      <c r="P47" s="919"/>
      <c r="Q47" s="919"/>
      <c r="R47" s="919"/>
      <c r="S47" s="919"/>
      <c r="T47" s="919"/>
      <c r="U47" s="919"/>
      <c r="V47" s="919"/>
      <c r="W47" s="919"/>
      <c r="X47" s="919"/>
      <c r="Y47" s="919"/>
      <c r="Z47" s="919"/>
      <c r="AA47" s="919"/>
      <c r="AB47" s="919"/>
      <c r="AC47" s="919"/>
      <c r="AD47" s="919"/>
      <c r="AE47" s="919"/>
      <c r="AF47" s="919"/>
      <c r="AG47" s="919"/>
      <c r="AH47" s="919"/>
      <c r="AI47" s="919"/>
      <c r="AJ47" s="1291"/>
      <c r="AK47" s="675"/>
      <c r="AL47" s="675"/>
    </row>
    <row r="48" spans="1:38" outlineLevel="1" x14ac:dyDescent="0.2">
      <c r="A48" s="920" t="s">
        <v>9</v>
      </c>
      <c r="B48" s="920"/>
      <c r="C48" s="920"/>
      <c r="D48" s="269"/>
      <c r="E48" s="269">
        <f t="shared" ref="E48:AC48" si="28">E46-E22</f>
        <v>0</v>
      </c>
      <c r="F48" s="269">
        <f t="shared" si="28"/>
        <v>0</v>
      </c>
      <c r="G48" s="269">
        <f t="shared" si="28"/>
        <v>0</v>
      </c>
      <c r="H48" s="269">
        <f t="shared" si="28"/>
        <v>-5.9999999939464033E-4</v>
      </c>
      <c r="I48" s="269">
        <f t="shared" si="28"/>
        <v>3.0000000006111804E-3</v>
      </c>
      <c r="J48" s="269">
        <f t="shared" si="28"/>
        <v>-2.9999999969732016E-3</v>
      </c>
      <c r="K48" s="269">
        <f t="shared" si="28"/>
        <v>3.0000000024301698E-3</v>
      </c>
      <c r="L48" s="269">
        <f t="shared" si="28"/>
        <v>-9.9999999838473741E-4</v>
      </c>
      <c r="M48" s="269">
        <f t="shared" si="28"/>
        <v>0</v>
      </c>
      <c r="N48" s="269">
        <f t="shared" si="28"/>
        <v>0</v>
      </c>
      <c r="O48" s="269">
        <f t="shared" si="28"/>
        <v>0</v>
      </c>
      <c r="P48" s="269">
        <f t="shared" si="28"/>
        <v>0</v>
      </c>
      <c r="Q48" s="269">
        <f t="shared" si="28"/>
        <v>0</v>
      </c>
      <c r="R48" s="269">
        <f t="shared" si="28"/>
        <v>0</v>
      </c>
      <c r="S48" s="269">
        <f t="shared" si="28"/>
        <v>0</v>
      </c>
      <c r="T48" s="269">
        <f t="shared" si="28"/>
        <v>0</v>
      </c>
      <c r="U48" s="269">
        <f t="shared" si="28"/>
        <v>0</v>
      </c>
      <c r="V48" s="269">
        <f t="shared" si="28"/>
        <v>0</v>
      </c>
      <c r="W48" s="269">
        <f t="shared" si="28"/>
        <v>0</v>
      </c>
      <c r="X48" s="269">
        <f t="shared" si="28"/>
        <v>0</v>
      </c>
      <c r="Y48" s="269">
        <f t="shared" si="28"/>
        <v>0</v>
      </c>
      <c r="Z48" s="269">
        <f t="shared" si="28"/>
        <v>0</v>
      </c>
      <c r="AA48" s="1518">
        <f t="shared" si="28"/>
        <v>-2.2869955137139186E-3</v>
      </c>
      <c r="AB48" s="1518">
        <f t="shared" si="28"/>
        <v>-2.2869955137139186E-3</v>
      </c>
      <c r="AC48" s="1518">
        <f t="shared" si="28"/>
        <v>0</v>
      </c>
      <c r="AD48" s="1518">
        <f t="shared" ref="AD48:AI48" si="29">AD46-AD22</f>
        <v>-9.2869955115020275E-3</v>
      </c>
      <c r="AE48" s="1518">
        <f t="shared" si="29"/>
        <v>4.4856278691440821E-9</v>
      </c>
      <c r="AF48" s="1518">
        <f t="shared" si="29"/>
        <v>4.4856278691440821E-9</v>
      </c>
      <c r="AG48" s="1518">
        <f t="shared" si="29"/>
        <v>4.4892658479511738E-9</v>
      </c>
      <c r="AH48" s="1518">
        <f t="shared" si="29"/>
        <v>4.4856278691440821E-9</v>
      </c>
      <c r="AI48" s="1518">
        <f t="shared" si="29"/>
        <v>4.4892658479511738E-9</v>
      </c>
      <c r="AJ48" s="1519">
        <f t="shared" ref="AJ48" si="30">AJ46-AJ22</f>
        <v>4.4856278691440821E-9</v>
      </c>
      <c r="AK48" s="675"/>
      <c r="AL48" s="675"/>
    </row>
    <row r="49" spans="1:38" x14ac:dyDescent="0.2">
      <c r="A49" s="185" t="s">
        <v>78</v>
      </c>
      <c r="E49" s="387"/>
      <c r="F49" s="387"/>
      <c r="G49" s="387"/>
      <c r="H49" s="387"/>
      <c r="I49" s="387"/>
      <c r="J49" s="387"/>
      <c r="K49" s="387"/>
      <c r="L49" s="387"/>
      <c r="M49" s="387"/>
      <c r="N49" s="387"/>
      <c r="O49" s="387"/>
      <c r="P49" s="387"/>
      <c r="Q49" s="387"/>
      <c r="R49" s="387"/>
      <c r="S49" s="387"/>
      <c r="T49" s="387"/>
      <c r="U49" s="387"/>
      <c r="V49" s="387"/>
      <c r="W49" s="387"/>
      <c r="X49" s="387"/>
      <c r="Y49" s="387"/>
      <c r="Z49" s="387"/>
      <c r="AA49" s="387"/>
      <c r="AB49" s="387"/>
      <c r="AC49" s="387"/>
      <c r="AD49" s="387"/>
      <c r="AE49" s="387"/>
      <c r="AF49" s="387"/>
      <c r="AG49" s="387"/>
      <c r="AH49" s="387"/>
      <c r="AI49" s="387"/>
      <c r="AJ49" s="1282"/>
      <c r="AK49" s="675"/>
      <c r="AL49" s="675"/>
    </row>
    <row r="50" spans="1:38" x14ac:dyDescent="0.2">
      <c r="E50" s="387"/>
      <c r="F50" s="387"/>
      <c r="G50" s="387"/>
      <c r="H50" s="387"/>
      <c r="I50" s="387"/>
      <c r="J50" s="387"/>
      <c r="K50" s="387"/>
      <c r="L50" s="387"/>
      <c r="M50" s="387"/>
      <c r="N50" s="387"/>
      <c r="O50" s="387"/>
      <c r="P50" s="387"/>
      <c r="Q50" s="387"/>
      <c r="R50" s="387"/>
      <c r="S50" s="387"/>
      <c r="T50" s="387"/>
      <c r="U50" s="387"/>
      <c r="V50" s="387"/>
      <c r="W50" s="387"/>
      <c r="X50" s="387"/>
      <c r="Y50" s="387"/>
      <c r="Z50" s="387"/>
      <c r="AA50" s="387"/>
      <c r="AB50" s="387"/>
      <c r="AC50" s="387"/>
      <c r="AD50" s="387"/>
      <c r="AE50" s="387"/>
      <c r="AF50" s="387"/>
      <c r="AG50" s="387"/>
      <c r="AH50" s="387"/>
      <c r="AI50" s="387"/>
      <c r="AJ50" s="1282"/>
      <c r="AK50" s="675"/>
      <c r="AL50" s="675"/>
    </row>
    <row r="51" spans="1:38" x14ac:dyDescent="0.2">
      <c r="A51" s="185" t="s">
        <v>143</v>
      </c>
      <c r="E51" s="387"/>
      <c r="F51" s="387"/>
      <c r="G51" s="387"/>
      <c r="H51" s="387"/>
      <c r="I51" s="387"/>
      <c r="J51" s="387"/>
      <c r="K51" s="387"/>
      <c r="L51" s="387"/>
      <c r="M51" s="387"/>
      <c r="N51" s="387"/>
      <c r="O51" s="387"/>
      <c r="P51" s="387"/>
      <c r="Q51" s="387"/>
      <c r="R51" s="387"/>
      <c r="S51" s="387"/>
      <c r="T51" s="387"/>
      <c r="U51" s="387"/>
      <c r="V51" s="387"/>
      <c r="W51" s="387"/>
      <c r="X51" s="387"/>
      <c r="Y51" s="387"/>
      <c r="Z51" s="387"/>
      <c r="AA51" s="387"/>
      <c r="AB51" s="387"/>
      <c r="AC51" s="387"/>
      <c r="AD51" s="387"/>
      <c r="AE51" s="387"/>
      <c r="AF51" s="387"/>
      <c r="AG51" s="387"/>
      <c r="AH51" s="387"/>
      <c r="AI51" s="387"/>
      <c r="AJ51" s="1282"/>
      <c r="AK51" s="675"/>
      <c r="AL51" s="675"/>
    </row>
    <row r="52" spans="1:38" x14ac:dyDescent="0.2">
      <c r="A52" s="921" t="s">
        <v>233</v>
      </c>
      <c r="B52" s="675"/>
      <c r="C52" s="675"/>
      <c r="D52" s="675"/>
      <c r="E52" s="675"/>
      <c r="F52" s="675"/>
      <c r="G52" s="675"/>
      <c r="H52" s="675"/>
      <c r="I52" s="675"/>
      <c r="J52" s="675"/>
      <c r="K52" s="675"/>
      <c r="L52" s="675"/>
      <c r="M52" s="675"/>
      <c r="N52" s="675"/>
      <c r="O52" s="675"/>
      <c r="P52" s="675"/>
      <c r="Q52" s="675"/>
      <c r="R52" s="675"/>
      <c r="S52" s="675"/>
      <c r="T52" s="675"/>
      <c r="U52" s="675"/>
      <c r="V52" s="675"/>
      <c r="W52" s="675"/>
      <c r="X52" s="675"/>
      <c r="Y52" s="675"/>
      <c r="Z52" s="675"/>
      <c r="AA52" s="675"/>
      <c r="AB52" s="675"/>
      <c r="AC52" s="675"/>
      <c r="AD52" s="675"/>
      <c r="AE52" s="675"/>
      <c r="AF52" s="675"/>
      <c r="AG52" s="675"/>
      <c r="AH52" s="675"/>
      <c r="AI52" s="675"/>
      <c r="AJ52" s="1292"/>
      <c r="AK52" s="675"/>
      <c r="AL52" s="675"/>
    </row>
    <row r="53" spans="1:38" x14ac:dyDescent="0.2">
      <c r="B53" s="525" t="s">
        <v>105</v>
      </c>
      <c r="E53" s="543">
        <f t="shared" ref="E53:AB53" si="31">E32+E25</f>
        <v>3948.2919999999999</v>
      </c>
      <c r="F53" s="543">
        <f t="shared" si="31"/>
        <v>2822.701</v>
      </c>
      <c r="G53" s="543">
        <f t="shared" si="31"/>
        <v>2427.2370000000005</v>
      </c>
      <c r="H53" s="543">
        <f t="shared" si="31"/>
        <v>4992.2620000000006</v>
      </c>
      <c r="I53" s="543">
        <f t="shared" si="31"/>
        <v>6365.3469999999998</v>
      </c>
      <c r="J53" s="543">
        <f t="shared" si="31"/>
        <v>5700.473</v>
      </c>
      <c r="K53" s="543">
        <f t="shared" si="31"/>
        <v>4475</v>
      </c>
      <c r="L53" s="543">
        <f t="shared" si="31"/>
        <v>3581</v>
      </c>
      <c r="M53" s="543">
        <f t="shared" si="31"/>
        <v>5873</v>
      </c>
      <c r="N53" s="543">
        <f t="shared" si="31"/>
        <v>4962</v>
      </c>
      <c r="O53" s="543">
        <f t="shared" si="31"/>
        <v>4871</v>
      </c>
      <c r="P53" s="543">
        <f t="shared" si="31"/>
        <v>4354</v>
      </c>
      <c r="Q53" s="543">
        <f t="shared" si="31"/>
        <v>4059</v>
      </c>
      <c r="R53" s="543">
        <f t="shared" si="31"/>
        <v>3879</v>
      </c>
      <c r="S53" s="543">
        <f t="shared" si="31"/>
        <v>10183</v>
      </c>
      <c r="T53" s="543">
        <f t="shared" si="31"/>
        <v>8497</v>
      </c>
      <c r="U53" s="543">
        <f t="shared" si="31"/>
        <v>9753</v>
      </c>
      <c r="V53" s="543">
        <f t="shared" si="31"/>
        <v>9699</v>
      </c>
      <c r="W53" s="543">
        <f t="shared" si="31"/>
        <v>8698</v>
      </c>
      <c r="X53" s="543">
        <f t="shared" si="31"/>
        <v>7425</v>
      </c>
      <c r="Y53" s="543">
        <f t="shared" si="31"/>
        <v>7758</v>
      </c>
      <c r="Z53" s="543">
        <f t="shared" si="31"/>
        <v>6930</v>
      </c>
      <c r="AA53" s="543">
        <f t="shared" si="31"/>
        <v>7191</v>
      </c>
      <c r="AB53" s="543">
        <f t="shared" si="31"/>
        <v>7341</v>
      </c>
      <c r="AC53" s="543">
        <f t="shared" ref="AC53:AI53" si="32">AC32+AC25</f>
        <v>7637</v>
      </c>
      <c r="AD53" s="543">
        <f t="shared" si="32"/>
        <v>6871</v>
      </c>
      <c r="AE53" s="543">
        <f t="shared" si="32"/>
        <v>5883</v>
      </c>
      <c r="AF53" s="543">
        <f t="shared" si="32"/>
        <v>5783</v>
      </c>
      <c r="AG53" s="543">
        <f t="shared" si="32"/>
        <v>5683</v>
      </c>
      <c r="AH53" s="543">
        <f t="shared" si="32"/>
        <v>5583</v>
      </c>
      <c r="AI53" s="543">
        <f t="shared" si="32"/>
        <v>5483</v>
      </c>
      <c r="AJ53" s="1117">
        <f t="shared" ref="AJ53" si="33">AJ32+AJ25</f>
        <v>5383</v>
      </c>
      <c r="AK53" s="675"/>
      <c r="AL53" s="675"/>
    </row>
    <row r="54" spans="1:38" x14ac:dyDescent="0.2">
      <c r="A54" s="261"/>
      <c r="B54" s="525" t="s">
        <v>227</v>
      </c>
      <c r="C54" s="261"/>
      <c r="D54" s="261"/>
      <c r="E54" s="543">
        <f t="shared" ref="E54:AE54" si="34">E53-E9</f>
        <v>2945.81</v>
      </c>
      <c r="F54" s="543">
        <f t="shared" si="34"/>
        <v>2255.7170000000001</v>
      </c>
      <c r="G54" s="543">
        <f t="shared" si="34"/>
        <v>2204.8090000000011</v>
      </c>
      <c r="H54" s="543">
        <f t="shared" si="34"/>
        <v>4785.7720000000018</v>
      </c>
      <c r="I54" s="543">
        <f t="shared" si="34"/>
        <v>6192.3820000000014</v>
      </c>
      <c r="J54" s="543">
        <f t="shared" si="34"/>
        <v>5551.0960000000014</v>
      </c>
      <c r="K54" s="543">
        <f t="shared" si="34"/>
        <v>4332.6230000000014</v>
      </c>
      <c r="L54" s="543">
        <f t="shared" si="34"/>
        <v>3273.3890000000015</v>
      </c>
      <c r="M54" s="543">
        <f t="shared" si="34"/>
        <v>5699.389000000001</v>
      </c>
      <c r="N54" s="543">
        <f t="shared" si="34"/>
        <v>4739.389000000001</v>
      </c>
      <c r="O54" s="543">
        <f t="shared" si="34"/>
        <v>4234.389000000001</v>
      </c>
      <c r="P54" s="543">
        <f t="shared" si="34"/>
        <v>3637.3890000000015</v>
      </c>
      <c r="Q54" s="543">
        <f t="shared" si="34"/>
        <v>3133.3890000000015</v>
      </c>
      <c r="R54" s="543">
        <f t="shared" si="34"/>
        <v>3010.3890000000015</v>
      </c>
      <c r="S54" s="543">
        <f t="shared" si="34"/>
        <v>9934.3889999999974</v>
      </c>
      <c r="T54" s="543">
        <f t="shared" si="34"/>
        <v>7285.5139999999974</v>
      </c>
      <c r="U54" s="543">
        <f t="shared" si="34"/>
        <v>9169.747999999996</v>
      </c>
      <c r="V54" s="543">
        <f t="shared" si="34"/>
        <v>8392.747999999996</v>
      </c>
      <c r="W54" s="543">
        <f t="shared" si="34"/>
        <v>7011.625</v>
      </c>
      <c r="X54" s="543">
        <f t="shared" si="34"/>
        <v>5960.6000000000022</v>
      </c>
      <c r="Y54" s="543">
        <f t="shared" si="34"/>
        <v>4930.6000000000022</v>
      </c>
      <c r="Z54" s="543">
        <f t="shared" si="34"/>
        <v>5093.6000000000022</v>
      </c>
      <c r="AA54" s="543">
        <f t="shared" si="34"/>
        <v>4917.9677130044865</v>
      </c>
      <c r="AB54" s="543">
        <f t="shared" si="34"/>
        <v>5094.9677130044865</v>
      </c>
      <c r="AC54" s="543">
        <f>AC53-AC9</f>
        <v>6528</v>
      </c>
      <c r="AD54" s="543">
        <f>AD53-AD9</f>
        <v>5573.9907130044867</v>
      </c>
      <c r="AE54" s="543">
        <f t="shared" si="34"/>
        <v>4427.959413004487</v>
      </c>
      <c r="AF54" s="543">
        <f>AF53-AF9</f>
        <v>3704.8698171770584</v>
      </c>
      <c r="AG54" s="543">
        <f>AG53-AG9</f>
        <v>3287.7880454937858</v>
      </c>
      <c r="AH54" s="543">
        <f>AH53-AH9</f>
        <v>3182.83667684784</v>
      </c>
      <c r="AI54" s="543">
        <f>AI53-AI9</f>
        <v>3353.7449762977972</v>
      </c>
      <c r="AJ54" s="1117">
        <f>AJ53-AJ9</f>
        <v>3778.7085107575158</v>
      </c>
      <c r="AK54" s="675"/>
      <c r="AL54" s="675"/>
    </row>
    <row r="55" spans="1:38" x14ac:dyDescent="0.2">
      <c r="B55" s="922" t="s">
        <v>228</v>
      </c>
      <c r="E55" s="543">
        <f t="shared" ref="E55:AB55" si="35">E53+E44</f>
        <v>5402.424</v>
      </c>
      <c r="F55" s="543">
        <f t="shared" si="35"/>
        <v>4897.6810000000005</v>
      </c>
      <c r="G55" s="543">
        <f t="shared" si="35"/>
        <v>4581.4261000000006</v>
      </c>
      <c r="H55" s="543">
        <f t="shared" si="35"/>
        <v>9040.0054000000018</v>
      </c>
      <c r="I55" s="543">
        <f t="shared" si="35"/>
        <v>10639.483</v>
      </c>
      <c r="J55" s="543">
        <f t="shared" si="35"/>
        <v>10370.207</v>
      </c>
      <c r="K55" s="543">
        <f t="shared" si="35"/>
        <v>9731.380000000001</v>
      </c>
      <c r="L55" s="543">
        <f t="shared" si="35"/>
        <v>9290.61</v>
      </c>
      <c r="M55" s="543">
        <f t="shared" si="35"/>
        <v>12425.610999999997</v>
      </c>
      <c r="N55" s="543">
        <f t="shared" si="35"/>
        <v>10784.610999999997</v>
      </c>
      <c r="O55" s="543">
        <f t="shared" si="35"/>
        <v>10435.610999999997</v>
      </c>
      <c r="P55" s="543">
        <f t="shared" si="35"/>
        <v>10116.610999999997</v>
      </c>
      <c r="Q55" s="543">
        <f t="shared" si="35"/>
        <v>9999.6109999999971</v>
      </c>
      <c r="R55" s="543">
        <f t="shared" si="35"/>
        <v>10046.610999999997</v>
      </c>
      <c r="S55" s="543">
        <f t="shared" si="35"/>
        <v>23702.610999999997</v>
      </c>
      <c r="T55" s="543">
        <f t="shared" si="35"/>
        <v>20751.486000000001</v>
      </c>
      <c r="U55" s="543">
        <f t="shared" si="35"/>
        <v>19660.252000000004</v>
      </c>
      <c r="V55" s="543">
        <f t="shared" si="35"/>
        <v>14345.252000000004</v>
      </c>
      <c r="W55" s="543">
        <f t="shared" si="35"/>
        <v>13351.375</v>
      </c>
      <c r="X55" s="543">
        <f t="shared" si="35"/>
        <v>12955.4</v>
      </c>
      <c r="Y55" s="543">
        <f t="shared" si="35"/>
        <v>13691.4</v>
      </c>
      <c r="Z55" s="543">
        <f t="shared" si="35"/>
        <v>12981.4</v>
      </c>
      <c r="AA55" s="543">
        <f t="shared" si="35"/>
        <v>13440.029999999999</v>
      </c>
      <c r="AB55" s="543">
        <f t="shared" si="35"/>
        <v>12719.029999999999</v>
      </c>
      <c r="AC55" s="543">
        <f t="shared" ref="AC55:AI55" si="36">AC53+AC44</f>
        <v>11890</v>
      </c>
      <c r="AD55" s="543">
        <f t="shared" si="36"/>
        <v>11267</v>
      </c>
      <c r="AE55" s="543">
        <f t="shared" si="36"/>
        <v>11544.040587</v>
      </c>
      <c r="AF55" s="543">
        <f t="shared" si="36"/>
        <v>12225.124644563501</v>
      </c>
      <c r="AG55" s="543">
        <f t="shared" si="36"/>
        <v>12594.250028599976</v>
      </c>
      <c r="AH55" s="543">
        <f t="shared" si="36"/>
        <v>12661.254755767639</v>
      </c>
      <c r="AI55" s="543">
        <f t="shared" si="36"/>
        <v>12463.52861766999</v>
      </c>
      <c r="AJ55" s="1117">
        <f t="shared" ref="AJ55" si="37">AJ53+AJ44</f>
        <v>12021.873542214151</v>
      </c>
      <c r="AK55" s="675"/>
      <c r="AL55" s="675"/>
    </row>
    <row r="56" spans="1:38" x14ac:dyDescent="0.2">
      <c r="B56" s="922" t="s">
        <v>229</v>
      </c>
      <c r="E56" s="543"/>
      <c r="F56" s="543"/>
      <c r="G56" s="543"/>
      <c r="H56" s="543"/>
      <c r="I56" s="543">
        <f t="shared" ref="I56:AB56" si="38">SUM(I10:I13)+I17+I18+I21-(I26+I27+I33+I34)+I20+I19-I28</f>
        <v>10466.515000000003</v>
      </c>
      <c r="J56" s="543">
        <f t="shared" si="38"/>
        <v>10220.833000000001</v>
      </c>
      <c r="K56" s="543">
        <f t="shared" si="38"/>
        <v>9589</v>
      </c>
      <c r="L56" s="543">
        <f t="shared" si="38"/>
        <v>8983</v>
      </c>
      <c r="M56" s="543">
        <f t="shared" si="38"/>
        <v>12252</v>
      </c>
      <c r="N56" s="543">
        <f t="shared" si="38"/>
        <v>9126</v>
      </c>
      <c r="O56" s="543">
        <f t="shared" si="38"/>
        <v>9055</v>
      </c>
      <c r="P56" s="543">
        <f t="shared" si="38"/>
        <v>9400</v>
      </c>
      <c r="Q56" s="543">
        <f t="shared" si="38"/>
        <v>9074</v>
      </c>
      <c r="R56" s="543">
        <f t="shared" si="38"/>
        <v>9178</v>
      </c>
      <c r="S56" s="543">
        <f t="shared" si="38"/>
        <v>22205</v>
      </c>
      <c r="T56" s="543">
        <f t="shared" si="38"/>
        <v>19462</v>
      </c>
      <c r="U56" s="543">
        <f t="shared" si="38"/>
        <v>19077</v>
      </c>
      <c r="V56" s="543">
        <f t="shared" si="38"/>
        <v>13039</v>
      </c>
      <c r="W56" s="543">
        <f t="shared" si="38"/>
        <v>11665</v>
      </c>
      <c r="X56" s="543">
        <f t="shared" si="38"/>
        <v>11491</v>
      </c>
      <c r="Y56" s="543">
        <f t="shared" si="38"/>
        <v>10864</v>
      </c>
      <c r="Z56" s="543">
        <f t="shared" si="38"/>
        <v>11145</v>
      </c>
      <c r="AA56" s="543">
        <f t="shared" si="38"/>
        <v>11167</v>
      </c>
      <c r="AB56" s="543">
        <f t="shared" si="38"/>
        <v>10473</v>
      </c>
      <c r="AC56" s="543">
        <f t="shared" ref="AC56:AI56" si="39">SUM(AC10:AC13)+AC17+AC18+AC21-(AC26+AC27+AC33+AC34)+AC20+AC19-AC28</f>
        <v>10781</v>
      </c>
      <c r="AD56" s="543">
        <f t="shared" si="39"/>
        <v>9970</v>
      </c>
      <c r="AE56" s="543">
        <f t="shared" si="39"/>
        <v>10089</v>
      </c>
      <c r="AF56" s="543">
        <f t="shared" si="39"/>
        <v>10146.994461736074</v>
      </c>
      <c r="AG56" s="543">
        <f t="shared" si="39"/>
        <v>10199.038074089272</v>
      </c>
      <c r="AH56" s="543">
        <f t="shared" si="39"/>
        <v>10261.091432610992</v>
      </c>
      <c r="AI56" s="543">
        <f t="shared" si="39"/>
        <v>10334.2735939633</v>
      </c>
      <c r="AJ56" s="1117">
        <f t="shared" ref="AJ56" si="40">SUM(AJ10:AJ13)+AJ17+AJ18+AJ21-(AJ26+AJ27+AJ33+AJ34)+AJ20+AJ19-AJ28</f>
        <v>10417.582052967178</v>
      </c>
      <c r="AK56" s="675"/>
      <c r="AL56" s="675"/>
    </row>
    <row r="57" spans="1:38" x14ac:dyDescent="0.2">
      <c r="B57" s="923" t="s">
        <v>230</v>
      </c>
      <c r="E57" s="924">
        <f t="shared" ref="E57:AB57" si="41">E53/E44</f>
        <v>2.7152225520104087</v>
      </c>
      <c r="F57" s="924">
        <f t="shared" si="41"/>
        <v>1.3603509431416207</v>
      </c>
      <c r="G57" s="924">
        <f t="shared" si="41"/>
        <v>1.1267520571894085</v>
      </c>
      <c r="H57" s="924">
        <f t="shared" si="41"/>
        <v>1.2333444852260151</v>
      </c>
      <c r="I57" s="924">
        <f t="shared" si="41"/>
        <v>1.4892710479966011</v>
      </c>
      <c r="J57" s="924">
        <f t="shared" si="41"/>
        <v>1.220727561784033</v>
      </c>
      <c r="K57" s="924">
        <f t="shared" si="41"/>
        <v>0.85134636384736262</v>
      </c>
      <c r="L57" s="924">
        <f t="shared" si="41"/>
        <v>0.62718819674198412</v>
      </c>
      <c r="M57" s="924">
        <f t="shared" si="41"/>
        <v>0.89628393933349659</v>
      </c>
      <c r="N57" s="924">
        <f t="shared" si="41"/>
        <v>0.85219500323823838</v>
      </c>
      <c r="O57" s="924">
        <f t="shared" si="41"/>
        <v>0.87535319180442306</v>
      </c>
      <c r="P57" s="924">
        <f t="shared" si="41"/>
        <v>0.75556028335072456</v>
      </c>
      <c r="Q57" s="924">
        <f t="shared" si="41"/>
        <v>0.68326305156153166</v>
      </c>
      <c r="R57" s="924">
        <f t="shared" si="41"/>
        <v>0.62893071563689762</v>
      </c>
      <c r="S57" s="924">
        <f t="shared" si="41"/>
        <v>0.75320214464750523</v>
      </c>
      <c r="T57" s="924">
        <f t="shared" si="41"/>
        <v>0.69337873493837276</v>
      </c>
      <c r="U57" s="924">
        <f t="shared" si="41"/>
        <v>0.9844303950278035</v>
      </c>
      <c r="V57" s="924">
        <f t="shared" si="41"/>
        <v>2.0874890126493337</v>
      </c>
      <c r="W57" s="924">
        <f t="shared" si="41"/>
        <v>1.869180970800763</v>
      </c>
      <c r="X57" s="924">
        <f t="shared" si="41"/>
        <v>1.342579198611312</v>
      </c>
      <c r="Y57" s="924">
        <f t="shared" si="41"/>
        <v>1.3075133987258571</v>
      </c>
      <c r="Z57" s="924">
        <f t="shared" si="41"/>
        <v>1.1451895429156891</v>
      </c>
      <c r="AA57" s="924">
        <f t="shared" si="41"/>
        <v>1.1507385946298867</v>
      </c>
      <c r="AB57" s="924">
        <f t="shared" si="41"/>
        <v>1.3649979639384682</v>
      </c>
      <c r="AC57" s="924">
        <f t="shared" ref="AC57:AI57" si="42">AC53/AC44</f>
        <v>1.7956736421349635</v>
      </c>
      <c r="AD57" s="924">
        <f t="shared" si="42"/>
        <v>1.5630118289353958</v>
      </c>
      <c r="AE57" s="924">
        <f t="shared" si="42"/>
        <v>1.0392082355865293</v>
      </c>
      <c r="AF57" s="924">
        <f t="shared" si="42"/>
        <v>0.8976852077645322</v>
      </c>
      <c r="AG57" s="924">
        <f t="shared" si="42"/>
        <v>0.82228250699696004</v>
      </c>
      <c r="AH57" s="924">
        <f t="shared" si="42"/>
        <v>0.78875375253352575</v>
      </c>
      <c r="AI57" s="924">
        <f t="shared" si="42"/>
        <v>0.78547059976528744</v>
      </c>
      <c r="AJ57" s="1293">
        <f t="shared" ref="AJ57" si="43">AJ53/AJ44</f>
        <v>0.81083032622499696</v>
      </c>
      <c r="AK57" s="675"/>
      <c r="AL57" s="675"/>
    </row>
    <row r="58" spans="1:38" x14ac:dyDescent="0.2">
      <c r="B58" s="923" t="s">
        <v>231</v>
      </c>
      <c r="E58" s="924">
        <f t="shared" ref="E58:Y58" si="44">E53/E55</f>
        <v>0.73083712052219518</v>
      </c>
      <c r="F58" s="924">
        <f t="shared" si="44"/>
        <v>0.57633418754712684</v>
      </c>
      <c r="G58" s="924">
        <f t="shared" si="44"/>
        <v>0.52979944388931655</v>
      </c>
      <c r="H58" s="924">
        <f t="shared" si="44"/>
        <v>0.55224104180291744</v>
      </c>
      <c r="I58" s="924">
        <f t="shared" si="44"/>
        <v>0.59827596886051693</v>
      </c>
      <c r="J58" s="924">
        <f t="shared" si="44"/>
        <v>0.5496971275501058</v>
      </c>
      <c r="K58" s="924">
        <f t="shared" si="44"/>
        <v>0.45985255945199954</v>
      </c>
      <c r="L58" s="924">
        <f t="shared" si="44"/>
        <v>0.38544293647026406</v>
      </c>
      <c r="M58" s="924">
        <f t="shared" si="44"/>
        <v>0.47265281361214362</v>
      </c>
      <c r="N58" s="924">
        <f t="shared" si="44"/>
        <v>0.46010004440586694</v>
      </c>
      <c r="O58" s="924">
        <f t="shared" si="44"/>
        <v>0.46676711119262698</v>
      </c>
      <c r="P58" s="924">
        <f t="shared" si="44"/>
        <v>0.43038128084592769</v>
      </c>
      <c r="Q58" s="924">
        <f t="shared" si="44"/>
        <v>0.40591579012423595</v>
      </c>
      <c r="R58" s="924">
        <f t="shared" si="44"/>
        <v>0.38610034766947793</v>
      </c>
      <c r="S58" s="924">
        <f t="shared" si="44"/>
        <v>0.42961511708562405</v>
      </c>
      <c r="T58" s="924">
        <f t="shared" si="44"/>
        <v>0.40946465231453782</v>
      </c>
      <c r="U58" s="924">
        <f t="shared" si="44"/>
        <v>0.49607705943952285</v>
      </c>
      <c r="V58" s="924">
        <f t="shared" si="44"/>
        <v>0.67611220771862335</v>
      </c>
      <c r="W58" s="924">
        <f t="shared" si="44"/>
        <v>0.65146848171068528</v>
      </c>
      <c r="X58" s="924">
        <f t="shared" si="44"/>
        <v>0.57312008892045019</v>
      </c>
      <c r="Y58" s="924">
        <f t="shared" si="44"/>
        <v>0.56663306893378329</v>
      </c>
      <c r="Z58" s="924">
        <f t="shared" ref="Z58:AE58" si="45">Z53/Z55</f>
        <v>0.53384072596176069</v>
      </c>
      <c r="AA58" s="924">
        <f t="shared" si="45"/>
        <v>0.53504344856373098</v>
      </c>
      <c r="AB58" s="924">
        <f t="shared" si="45"/>
        <v>0.57716665500435183</v>
      </c>
      <c r="AC58" s="924">
        <f>AC53/AC55</f>
        <v>0.64230445752733389</v>
      </c>
      <c r="AD58" s="924">
        <f>AD53/AD55</f>
        <v>0.60983402857903612</v>
      </c>
      <c r="AE58" s="924">
        <f t="shared" si="45"/>
        <v>0.50961359288921571</v>
      </c>
      <c r="AF58" s="924">
        <f>AF53/AF55</f>
        <v>0.47304221168589017</v>
      </c>
      <c r="AG58" s="924">
        <f>AG53/AG55</f>
        <v>0.45123766695870049</v>
      </c>
      <c r="AH58" s="924">
        <f>AH53/AH55</f>
        <v>0.44095155714774248</v>
      </c>
      <c r="AI58" s="924">
        <f>AI53/AI55</f>
        <v>0.43992356965639368</v>
      </c>
      <c r="AJ58" s="1293">
        <f>AJ53/AJ55</f>
        <v>0.44776714553666613</v>
      </c>
      <c r="AK58" s="675"/>
      <c r="AL58" s="675"/>
    </row>
    <row r="59" spans="1:38" x14ac:dyDescent="0.2">
      <c r="B59" s="923" t="s">
        <v>232</v>
      </c>
      <c r="E59" s="924">
        <f t="shared" ref="E59:Y59" si="46">E54/E55</f>
        <v>0.54527560221115556</v>
      </c>
      <c r="F59" s="924">
        <f t="shared" si="46"/>
        <v>0.46056837919823684</v>
      </c>
      <c r="G59" s="924">
        <f t="shared" si="46"/>
        <v>0.48124949565376618</v>
      </c>
      <c r="H59" s="924">
        <f t="shared" si="46"/>
        <v>0.52939924128806393</v>
      </c>
      <c r="I59" s="924">
        <f t="shared" si="46"/>
        <v>0.58201906991157382</v>
      </c>
      <c r="J59" s="924">
        <f t="shared" si="46"/>
        <v>0.53529268991448298</v>
      </c>
      <c r="K59" s="924">
        <f t="shared" si="46"/>
        <v>0.44522184931633552</v>
      </c>
      <c r="L59" s="924">
        <f t="shared" si="46"/>
        <v>0.3523330545572359</v>
      </c>
      <c r="M59" s="924">
        <f t="shared" si="46"/>
        <v>0.45868078438959681</v>
      </c>
      <c r="N59" s="924">
        <f t="shared" si="46"/>
        <v>0.43945850249026158</v>
      </c>
      <c r="O59" s="924">
        <f t="shared" si="46"/>
        <v>0.40576339995808602</v>
      </c>
      <c r="P59" s="924">
        <f t="shared" si="46"/>
        <v>0.35954619585550956</v>
      </c>
      <c r="Q59" s="924">
        <f t="shared" si="46"/>
        <v>0.31335108935737627</v>
      </c>
      <c r="R59" s="924">
        <f t="shared" si="46"/>
        <v>0.29964223756647912</v>
      </c>
      <c r="S59" s="924">
        <f t="shared" si="46"/>
        <v>0.41912635700767303</v>
      </c>
      <c r="T59" s="924">
        <f t="shared" si="46"/>
        <v>0.35108396574587464</v>
      </c>
      <c r="U59" s="924">
        <f t="shared" si="46"/>
        <v>0.466410501757556</v>
      </c>
      <c r="V59" s="924">
        <f t="shared" si="46"/>
        <v>0.58505406527539516</v>
      </c>
      <c r="W59" s="924">
        <f t="shared" si="46"/>
        <v>0.52516126616172487</v>
      </c>
      <c r="X59" s="924">
        <f t="shared" si="46"/>
        <v>0.46008614168609246</v>
      </c>
      <c r="Y59" s="924">
        <f t="shared" si="46"/>
        <v>0.36012387338037033</v>
      </c>
      <c r="Z59" s="924">
        <f t="shared" ref="Z59:AE59" si="47">Z54/Z55</f>
        <v>0.39237678524658376</v>
      </c>
      <c r="AA59" s="924">
        <f t="shared" si="47"/>
        <v>0.36591939995703038</v>
      </c>
      <c r="AB59" s="925">
        <f t="shared" si="47"/>
        <v>0.40057832342595995</v>
      </c>
      <c r="AC59" s="925">
        <f>AC54/AC55</f>
        <v>0.54903280067283433</v>
      </c>
      <c r="AD59" s="925">
        <f>AD54/AD55</f>
        <v>0.4947182668859933</v>
      </c>
      <c r="AE59" s="924">
        <f t="shared" si="47"/>
        <v>0.38357101914479669</v>
      </c>
      <c r="AF59" s="924">
        <f>AF54/AF55</f>
        <v>0.30305374586300105</v>
      </c>
      <c r="AG59" s="924">
        <f>AG54/AG55</f>
        <v>0.2610546906745243</v>
      </c>
      <c r="AH59" s="924">
        <f>AH54/AH55</f>
        <v>0.25138398509815529</v>
      </c>
      <c r="AI59" s="924">
        <f>AI54/AI55</f>
        <v>0.26908470940910528</v>
      </c>
      <c r="AJ59" s="1293">
        <f>AJ54/AJ55</f>
        <v>0.31431943594222544</v>
      </c>
      <c r="AK59" s="675"/>
      <c r="AL59" s="675"/>
    </row>
    <row r="60" spans="1:38" x14ac:dyDescent="0.2">
      <c r="B60" s="923"/>
      <c r="E60" s="470"/>
      <c r="F60" s="470"/>
      <c r="G60" s="470"/>
      <c r="H60" s="470"/>
      <c r="I60" s="470"/>
      <c r="J60" s="470"/>
      <c r="K60" s="470"/>
      <c r="L60" s="470"/>
      <c r="M60" s="470"/>
      <c r="N60" s="470"/>
      <c r="O60" s="470"/>
      <c r="P60" s="470"/>
      <c r="Q60" s="470"/>
      <c r="R60" s="470"/>
      <c r="S60" s="470"/>
      <c r="T60" s="470"/>
      <c r="U60" s="470"/>
      <c r="V60" s="470"/>
      <c r="W60" s="470"/>
      <c r="X60" s="470"/>
      <c r="Y60" s="470"/>
      <c r="Z60" s="470"/>
      <c r="AA60" s="470"/>
      <c r="AB60" s="387"/>
      <c r="AC60" s="387"/>
      <c r="AD60" s="387"/>
      <c r="AE60" s="387"/>
      <c r="AF60" s="387"/>
      <c r="AG60" s="387"/>
      <c r="AH60" s="387"/>
      <c r="AI60" s="387"/>
      <c r="AJ60" s="1282"/>
      <c r="AK60" s="675"/>
      <c r="AL60" s="675"/>
    </row>
    <row r="61" spans="1:38" x14ac:dyDescent="0.2">
      <c r="A61" s="921" t="s">
        <v>234</v>
      </c>
      <c r="B61" s="675"/>
      <c r="C61" s="675"/>
      <c r="D61" s="675"/>
      <c r="E61" s="675"/>
      <c r="F61" s="675"/>
      <c r="G61" s="675"/>
      <c r="H61" s="675"/>
      <c r="I61" s="675"/>
      <c r="J61" s="675"/>
      <c r="K61" s="675"/>
      <c r="L61" s="675"/>
      <c r="M61" s="675"/>
      <c r="N61" s="675"/>
      <c r="O61" s="675"/>
      <c r="P61" s="675"/>
      <c r="Q61" s="675"/>
      <c r="R61" s="675"/>
      <c r="S61" s="675"/>
      <c r="T61" s="675"/>
      <c r="U61" s="675"/>
      <c r="V61" s="675"/>
      <c r="W61" s="675"/>
      <c r="X61" s="675"/>
      <c r="Y61" s="675"/>
      <c r="Z61" s="675"/>
      <c r="AA61" s="675"/>
      <c r="AB61" s="675"/>
      <c r="AC61" s="675"/>
      <c r="AD61" s="675"/>
      <c r="AE61" s="675"/>
      <c r="AF61" s="675"/>
      <c r="AG61" s="675"/>
      <c r="AH61" s="675"/>
      <c r="AI61" s="675"/>
      <c r="AJ61" s="1292"/>
      <c r="AK61" s="675"/>
      <c r="AL61" s="675"/>
    </row>
    <row r="62" spans="1:38" outlineLevel="1" x14ac:dyDescent="0.2">
      <c r="B62" s="185" t="s">
        <v>89</v>
      </c>
      <c r="E62" s="926" t="s">
        <v>240</v>
      </c>
      <c r="F62" s="926" t="s">
        <v>240</v>
      </c>
      <c r="G62" s="926" t="s">
        <v>240</v>
      </c>
      <c r="H62" s="926" t="s">
        <v>240</v>
      </c>
      <c r="I62" s="926" t="s">
        <v>240</v>
      </c>
      <c r="J62" s="487">
        <f>'yrP&amp;L'!M7</f>
        <v>14833</v>
      </c>
      <c r="K62" s="487">
        <f>'yrP&amp;L'!N7</f>
        <v>15220</v>
      </c>
      <c r="L62" s="487">
        <f>'yrP&amp;L'!O7</f>
        <v>15365</v>
      </c>
      <c r="M62" s="487">
        <f>'yrP&amp;L'!P7</f>
        <v>16029</v>
      </c>
      <c r="N62" s="487">
        <f>'yrP&amp;L'!Q7</f>
        <v>16638</v>
      </c>
      <c r="O62" s="487">
        <f>'yrP&amp;L'!R7</f>
        <v>15785</v>
      </c>
      <c r="P62" s="487">
        <f>'yrP&amp;L'!S7</f>
        <v>15571</v>
      </c>
      <c r="Q62" s="487">
        <f>'yrP&amp;L'!T7</f>
        <v>15412</v>
      </c>
      <c r="R62" s="487">
        <f>'yrP&amp;L'!U7</f>
        <v>15776</v>
      </c>
      <c r="S62" s="487">
        <f>'yrP&amp;L'!V7</f>
        <v>22390</v>
      </c>
      <c r="T62" s="487">
        <f>'yrP&amp;L'!W7</f>
        <v>26970</v>
      </c>
      <c r="U62" s="487">
        <f>'yrP&amp;L'!X7</f>
        <v>26313</v>
      </c>
      <c r="V62" s="487">
        <f>'yrP&amp;L'!Y7</f>
        <v>24892</v>
      </c>
      <c r="W62" s="487">
        <f>'yrP&amp;L'!Z7</f>
        <v>23895</v>
      </c>
      <c r="X62" s="487">
        <f>'yrP&amp;L'!AA7</f>
        <v>25003</v>
      </c>
      <c r="Y62" s="487">
        <f>'yrP&amp;L'!AB7</f>
        <v>26405</v>
      </c>
      <c r="Z62" s="487">
        <f>'yrP&amp;L'!AC7</f>
        <v>27686</v>
      </c>
      <c r="AA62" s="487">
        <f>'yrP&amp;L'!AD7</f>
        <v>27931</v>
      </c>
      <c r="AB62" s="487">
        <f>'yrP&amp;L'!AE7</f>
        <v>28105</v>
      </c>
      <c r="AC62" s="487">
        <f>'yrP&amp;L'!AF7</f>
        <v>27079</v>
      </c>
      <c r="AD62" s="487">
        <f>'yrP&amp;L'!AG7</f>
        <v>25910</v>
      </c>
      <c r="AE62" s="487">
        <f>'yrP&amp;L'!AH7</f>
        <v>24945</v>
      </c>
      <c r="AF62" s="487">
        <f>'yrP&amp;L'!AI7</f>
        <v>24555.261999999999</v>
      </c>
      <c r="AG62" s="487">
        <f>'yrP&amp;L'!AJ7</f>
        <v>23831.44730298777</v>
      </c>
      <c r="AH62" s="487">
        <f>'yrP&amp;L'!AK7</f>
        <v>23123.892412542602</v>
      </c>
      <c r="AI62" s="487">
        <f>'yrP&amp;L'!AL7</f>
        <v>22454.593200827767</v>
      </c>
      <c r="AJ62" s="1233">
        <f>'yrP&amp;L'!AM7</f>
        <v>21799.585572460201</v>
      </c>
      <c r="AK62" s="675"/>
      <c r="AL62" s="675"/>
    </row>
    <row r="63" spans="1:38" outlineLevel="1" x14ac:dyDescent="0.2">
      <c r="B63" s="185" t="s">
        <v>144</v>
      </c>
      <c r="E63" s="926" t="s">
        <v>240</v>
      </c>
      <c r="F63" s="926" t="s">
        <v>240</v>
      </c>
      <c r="G63" s="926" t="s">
        <v>240</v>
      </c>
      <c r="H63" s="926" t="s">
        <v>240</v>
      </c>
      <c r="I63" s="926" t="s">
        <v>240</v>
      </c>
      <c r="J63" s="926" t="s">
        <v>240</v>
      </c>
      <c r="K63" s="486">
        <f>'yrP&amp;L'!N14</f>
        <v>9200</v>
      </c>
      <c r="L63" s="486">
        <f>'yrP&amp;L'!O14</f>
        <v>9218</v>
      </c>
      <c r="M63" s="486">
        <f>'yrP&amp;L'!P14</f>
        <v>9576</v>
      </c>
      <c r="N63" s="486">
        <f>'yrP&amp;L'!Q14</f>
        <v>9955</v>
      </c>
      <c r="O63" s="486">
        <f>'yrP&amp;L'!R14</f>
        <v>9603</v>
      </c>
      <c r="P63" s="486">
        <f>'yrP&amp;L'!S14</f>
        <v>9324</v>
      </c>
      <c r="Q63" s="486">
        <f>'yrP&amp;L'!T14</f>
        <v>9175</v>
      </c>
      <c r="R63" s="486">
        <f>'yrP&amp;L'!U14</f>
        <v>9346</v>
      </c>
      <c r="S63" s="486">
        <f>'yrP&amp;L'!V14</f>
        <v>13272</v>
      </c>
      <c r="T63" s="486">
        <f>'yrP&amp;L'!W14</f>
        <v>16019</v>
      </c>
      <c r="U63" s="486">
        <f>'yrP&amp;L'!X14</f>
        <v>15677</v>
      </c>
      <c r="V63" s="486">
        <f>'yrP&amp;L'!Y14</f>
        <v>15009</v>
      </c>
      <c r="W63" s="486">
        <f>'yrP&amp;L'!Z14</f>
        <v>14278</v>
      </c>
      <c r="X63" s="486">
        <f>'yrP&amp;L'!AA14</f>
        <v>14824</v>
      </c>
      <c r="Y63" s="486">
        <f>'yrP&amp;L'!AB14</f>
        <v>15738</v>
      </c>
      <c r="Z63" s="486">
        <f>'yrP&amp;L'!AC14</f>
        <v>16538</v>
      </c>
      <c r="AA63" s="486">
        <f>'yrP&amp;L'!AD14</f>
        <v>16725</v>
      </c>
      <c r="AB63" s="486">
        <f>'yrP&amp;L'!AE14</f>
        <v>16863</v>
      </c>
      <c r="AC63" s="486">
        <f>'yrP&amp;L'!AF14</f>
        <v>16496</v>
      </c>
      <c r="AD63" s="486">
        <f>'yrP&amp;L'!AG14</f>
        <v>15667</v>
      </c>
      <c r="AE63" s="486">
        <f>'yrP&amp;L'!AH14</f>
        <v>15182</v>
      </c>
      <c r="AF63" s="486">
        <f>'yrP&amp;L'!AI14</f>
        <v>14942.530947799998</v>
      </c>
      <c r="AG63" s="486">
        <f>'yrP&amp;L'!AJ14</f>
        <v>14604.545649520051</v>
      </c>
      <c r="AH63" s="486">
        <f>'yrP&amp;L'!AK14</f>
        <v>14255.108135560306</v>
      </c>
      <c r="AI63" s="486">
        <f>'yrP&amp;L'!AL14</f>
        <v>13935.469518792235</v>
      </c>
      <c r="AJ63" s="1235">
        <f>'yrP&amp;L'!AM14</f>
        <v>13611.805864056552</v>
      </c>
      <c r="AK63" s="675"/>
      <c r="AL63" s="675"/>
    </row>
    <row r="64" spans="1:38" outlineLevel="1" x14ac:dyDescent="0.2">
      <c r="B64" s="185" t="s">
        <v>145</v>
      </c>
      <c r="E64" s="926" t="s">
        <v>240</v>
      </c>
      <c r="F64" s="926" t="s">
        <v>240</v>
      </c>
      <c r="G64" s="926" t="s">
        <v>240</v>
      </c>
      <c r="H64" s="926" t="s">
        <v>240</v>
      </c>
      <c r="I64" s="926" t="s">
        <v>240</v>
      </c>
      <c r="J64" s="926" t="s">
        <v>240</v>
      </c>
      <c r="K64" s="486">
        <f>'yrP&amp;L'!N18</f>
        <v>4679</v>
      </c>
      <c r="L64" s="486">
        <f>'yrP&amp;L'!O18</f>
        <v>4692</v>
      </c>
      <c r="M64" s="486">
        <f>'yrP&amp;L'!P18</f>
        <v>4760</v>
      </c>
      <c r="N64" s="486">
        <f>'yrP&amp;L'!Q18</f>
        <v>4912</v>
      </c>
      <c r="O64" s="486">
        <f>'yrP&amp;L'!R18</f>
        <v>4806</v>
      </c>
      <c r="P64" s="486">
        <f>'yrP&amp;L'!S18</f>
        <v>4836</v>
      </c>
      <c r="Q64" s="486">
        <f>'yrP&amp;L'!T18</f>
        <v>4837</v>
      </c>
      <c r="R64" s="486">
        <f>'yrP&amp;L'!U18</f>
        <v>4931</v>
      </c>
      <c r="S64" s="486">
        <f>'yrP&amp;L'!V18</f>
        <v>6980</v>
      </c>
      <c r="T64" s="486">
        <f>'yrP&amp;L'!W18</f>
        <v>8678</v>
      </c>
      <c r="U64" s="486">
        <f>'yrP&amp;L'!X18</f>
        <v>8554</v>
      </c>
      <c r="V64" s="486">
        <f>'yrP&amp;L'!Y18</f>
        <v>8458</v>
      </c>
      <c r="W64" s="486">
        <f>'yrP&amp;L'!Z18</f>
        <v>8163</v>
      </c>
      <c r="X64" s="486">
        <f>'yrP&amp;L'!AA18</f>
        <v>8260</v>
      </c>
      <c r="Y64" s="486">
        <f>'yrP&amp;L'!AB18</f>
        <v>8281</v>
      </c>
      <c r="Z64" s="486">
        <f>'yrP&amp;L'!AC18</f>
        <v>8482</v>
      </c>
      <c r="AA64" s="486">
        <f>'yrP&amp;L'!AD18</f>
        <v>8440</v>
      </c>
      <c r="AB64" s="486">
        <f>'yrP&amp;L'!AE18</f>
        <v>8355</v>
      </c>
      <c r="AC64" s="486">
        <f>'yrP&amp;L'!AF18</f>
        <v>8256</v>
      </c>
      <c r="AD64" s="486">
        <f>'yrP&amp;L'!AG18</f>
        <v>9048.25</v>
      </c>
      <c r="AE64" s="486">
        <f>'yrP&amp;L'!AH18</f>
        <v>8409</v>
      </c>
      <c r="AF64" s="486">
        <f>'yrP&amp;L'!AI18</f>
        <v>8635</v>
      </c>
      <c r="AG64" s="486">
        <f>'yrP&amp;L'!AJ18</f>
        <v>8603.5889999999999</v>
      </c>
      <c r="AH64" s="486">
        <f>'yrP&amp;L'!AK18</f>
        <v>8579.9294594999992</v>
      </c>
      <c r="AI64" s="486">
        <f>'yrP&amp;L'!AL18</f>
        <v>8508.1300238240001</v>
      </c>
      <c r="AJ64" s="1235">
        <f>'yrP&amp;L'!AM18</f>
        <v>8436.8249836334071</v>
      </c>
      <c r="AK64" s="675"/>
      <c r="AL64" s="675"/>
    </row>
    <row r="65" spans="1:47" outlineLevel="1" x14ac:dyDescent="0.2">
      <c r="B65" s="185" t="s">
        <v>146</v>
      </c>
      <c r="E65" s="926" t="s">
        <v>240</v>
      </c>
      <c r="F65" s="926" t="s">
        <v>240</v>
      </c>
      <c r="G65" s="926" t="s">
        <v>240</v>
      </c>
      <c r="H65" s="926" t="s">
        <v>240</v>
      </c>
      <c r="I65" s="926" t="s">
        <v>240</v>
      </c>
      <c r="J65" s="926" t="s">
        <v>240</v>
      </c>
      <c r="K65" s="486">
        <f>'yrP&amp;L'!N47</f>
        <v>536</v>
      </c>
      <c r="L65" s="486">
        <f>'yrP&amp;L'!O47</f>
        <v>669.23400000000004</v>
      </c>
      <c r="M65" s="486">
        <f>'yrP&amp;L'!P47</f>
        <v>795</v>
      </c>
      <c r="N65" s="486">
        <f>'yrP&amp;L'!Q47</f>
        <v>-184</v>
      </c>
      <c r="O65" s="486">
        <f>'yrP&amp;L'!R47</f>
        <v>-276</v>
      </c>
      <c r="P65" s="486">
        <f>'yrP&amp;L'!S47</f>
        <v>818</v>
      </c>
      <c r="Q65" s="486">
        <f>'yrP&amp;L'!T47</f>
        <v>693</v>
      </c>
      <c r="R65" s="486">
        <f>'yrP&amp;L'!U47</f>
        <v>689</v>
      </c>
      <c r="S65" s="486">
        <f>'yrP&amp;L'!V47</f>
        <v>1406.5914100719424</v>
      </c>
      <c r="T65" s="486">
        <f>'yrP&amp;L'!W47</f>
        <v>994.875</v>
      </c>
      <c r="U65" s="486">
        <f>'yrP&amp;L'!X47</f>
        <v>893</v>
      </c>
      <c r="V65" s="486">
        <f>'yrP&amp;L'!Y47</f>
        <v>-4803</v>
      </c>
      <c r="W65" s="486">
        <f>'yrP&amp;L'!Z47</f>
        <v>329</v>
      </c>
      <c r="X65" s="486">
        <f>'yrP&amp;L'!AA47</f>
        <v>846.95910780669146</v>
      </c>
      <c r="Y65" s="486">
        <f>'yrP&amp;L'!AB47</f>
        <v>1256</v>
      </c>
      <c r="Z65" s="486">
        <f>'yrP&amp;L'!AC47</f>
        <v>1335</v>
      </c>
      <c r="AA65" s="486">
        <f>'yrP&amp;L'!AD47</f>
        <v>1485.6322869955156</v>
      </c>
      <c r="AB65" s="486">
        <f>'yrP&amp;L'!AE47</f>
        <v>1526</v>
      </c>
      <c r="AC65" s="486">
        <f>'yrP&amp;L'!AF47</f>
        <v>1069.5459999999998</v>
      </c>
      <c r="AD65" s="486">
        <f>'yrP&amp;L'!AG47</f>
        <v>626.73099999999999</v>
      </c>
      <c r="AE65" s="486">
        <f>'yrP&amp;L'!AH47</f>
        <v>1555.0313000000001</v>
      </c>
      <c r="AF65" s="486">
        <f>'yrP&amp;L'!AI47</f>
        <v>1092.7135825635009</v>
      </c>
      <c r="AG65" s="486">
        <f>'yrP&amp;L'!AJ47</f>
        <v>833.74496153647488</v>
      </c>
      <c r="AH65" s="486">
        <f>'yrP&amp;L'!AK47</f>
        <v>590.09607241766321</v>
      </c>
      <c r="AI65" s="486">
        <f>'yrP&amp;L'!AL47</f>
        <v>389.88513267735055</v>
      </c>
      <c r="AJ65" s="1235">
        <f>'yrP&amp;L'!AM47</f>
        <v>203.35275126116019</v>
      </c>
      <c r="AK65" s="675"/>
      <c r="AL65" s="675"/>
    </row>
    <row r="66" spans="1:47" x14ac:dyDescent="0.2">
      <c r="AK66" s="675"/>
      <c r="AL66" s="675"/>
    </row>
    <row r="67" spans="1:47" x14ac:dyDescent="0.2">
      <c r="B67" s="185" t="s">
        <v>225</v>
      </c>
      <c r="E67" s="927" t="str">
        <f t="shared" ref="E67:S67" si="48">IF(ISERROR(E62/E10),"NA ",E62/E10)</f>
        <v xml:space="preserve">NA </v>
      </c>
      <c r="F67" s="927" t="str">
        <f t="shared" si="48"/>
        <v xml:space="preserve">NA </v>
      </c>
      <c r="G67" s="927" t="str">
        <f t="shared" si="48"/>
        <v xml:space="preserve">NA </v>
      </c>
      <c r="H67" s="927" t="str">
        <f t="shared" si="48"/>
        <v xml:space="preserve">NA </v>
      </c>
      <c r="I67" s="927" t="str">
        <f t="shared" si="48"/>
        <v xml:space="preserve">NA </v>
      </c>
      <c r="J67" s="927">
        <f t="shared" si="48"/>
        <v>5.2333521855851899</v>
      </c>
      <c r="K67" s="927">
        <f t="shared" si="48"/>
        <v>5.7651515151515156</v>
      </c>
      <c r="L67" s="927">
        <f t="shared" si="48"/>
        <v>6.9556360344047077</v>
      </c>
      <c r="M67" s="927">
        <f t="shared" si="48"/>
        <v>3.7164386737769535</v>
      </c>
      <c r="N67" s="927">
        <f t="shared" si="48"/>
        <v>6.8328542094455855</v>
      </c>
      <c r="O67" s="927">
        <f t="shared" si="48"/>
        <v>6.6351408154686844</v>
      </c>
      <c r="P67" s="927">
        <f t="shared" si="48"/>
        <v>5.2872665534804755</v>
      </c>
      <c r="Q67" s="927">
        <f t="shared" si="48"/>
        <v>4.7967631497043266</v>
      </c>
      <c r="R67" s="927">
        <f t="shared" si="48"/>
        <v>4.6155646576945584</v>
      </c>
      <c r="S67" s="927">
        <f t="shared" si="48"/>
        <v>8.8778747026169711</v>
      </c>
      <c r="T67" s="927">
        <f t="shared" ref="T67:AB67" si="49">IF(ISERROR(T62/T10),"NM ",T62/T10)</f>
        <v>52.166344294003871</v>
      </c>
      <c r="U67" s="927">
        <f t="shared" si="49"/>
        <v>56.831533477321813</v>
      </c>
      <c r="V67" s="927">
        <f t="shared" si="49"/>
        <v>56.701594533029613</v>
      </c>
      <c r="W67" s="927">
        <f t="shared" si="49"/>
        <v>66.745810055865917</v>
      </c>
      <c r="X67" s="927">
        <f t="shared" si="49"/>
        <v>63.783163265306122</v>
      </c>
      <c r="Y67" s="927">
        <f t="shared" si="49"/>
        <v>71.752717391304344</v>
      </c>
      <c r="Z67" s="927">
        <f t="shared" si="49"/>
        <v>74.625336927223714</v>
      </c>
      <c r="AA67" s="927">
        <f t="shared" si="49"/>
        <v>63.769406392694066</v>
      </c>
      <c r="AB67" s="927">
        <f t="shared" si="49"/>
        <v>66.285377358490564</v>
      </c>
      <c r="AC67" s="927">
        <f t="shared" ref="AC67:AI67" si="50">IF(ISERROR(AC62/AC10),"NM ",AC62/AC10)</f>
        <v>48.528673835125446</v>
      </c>
      <c r="AD67" s="927">
        <f t="shared" si="50"/>
        <v>49.636015325670499</v>
      </c>
      <c r="AE67" s="927">
        <f t="shared" si="50"/>
        <v>68.719008264462815</v>
      </c>
      <c r="AF67" s="927">
        <f t="shared" si="50"/>
        <v>49.636015325670492</v>
      </c>
      <c r="AG67" s="927">
        <f t="shared" si="50"/>
        <v>49.636015325670499</v>
      </c>
      <c r="AH67" s="927">
        <f t="shared" si="50"/>
        <v>49.636015325670499</v>
      </c>
      <c r="AI67" s="927">
        <f t="shared" si="50"/>
        <v>49.636015325670492</v>
      </c>
      <c r="AJ67" s="1294">
        <f t="shared" ref="AJ67" si="51">IF(ISERROR(AJ62/AJ10),"NM ",AJ62/AJ10)</f>
        <v>49.636015325670499</v>
      </c>
      <c r="AK67" s="675"/>
      <c r="AL67" s="675"/>
    </row>
    <row r="68" spans="1:47" x14ac:dyDescent="0.2">
      <c r="B68" s="185" t="s">
        <v>196</v>
      </c>
      <c r="D68" s="928"/>
      <c r="E68" s="927" t="str">
        <f t="shared" ref="E68:J68" si="52">IF(ISERROR(E63/E11),"NA ",E63/E11)</f>
        <v xml:space="preserve">NA </v>
      </c>
      <c r="F68" s="927" t="str">
        <f t="shared" si="52"/>
        <v xml:space="preserve">NA </v>
      </c>
      <c r="G68" s="927" t="str">
        <f t="shared" si="52"/>
        <v xml:space="preserve">NA </v>
      </c>
      <c r="H68" s="927" t="str">
        <f t="shared" si="52"/>
        <v xml:space="preserve">NA </v>
      </c>
      <c r="I68" s="927" t="str">
        <f t="shared" si="52"/>
        <v xml:space="preserve">NA </v>
      </c>
      <c r="J68" s="927" t="str">
        <f t="shared" si="52"/>
        <v xml:space="preserve">NA </v>
      </c>
      <c r="K68" s="928">
        <f t="shared" ref="K68:AB68" si="53">K63/K11</f>
        <v>2.8403828342080888</v>
      </c>
      <c r="L68" s="928">
        <f t="shared" si="53"/>
        <v>2.8284749923289354</v>
      </c>
      <c r="M68" s="928">
        <f t="shared" si="53"/>
        <v>2.6681526887712455</v>
      </c>
      <c r="N68" s="928">
        <f t="shared" si="53"/>
        <v>2.7454495311638167</v>
      </c>
      <c r="O68" s="928">
        <f t="shared" si="53"/>
        <v>2.8444905213270144</v>
      </c>
      <c r="P68" s="928">
        <f t="shared" si="53"/>
        <v>2.7758261387317655</v>
      </c>
      <c r="Q68" s="928">
        <f t="shared" si="53"/>
        <v>2.8538102643856922</v>
      </c>
      <c r="R68" s="928">
        <f t="shared" si="53"/>
        <v>2.9955128205128205</v>
      </c>
      <c r="S68" s="928">
        <f t="shared" si="53"/>
        <v>2.4312145081516761</v>
      </c>
      <c r="T68" s="928">
        <f t="shared" si="53"/>
        <v>3.0127891668233966</v>
      </c>
      <c r="U68" s="928">
        <f t="shared" si="53"/>
        <v>3.0982213438735178</v>
      </c>
      <c r="V68" s="928">
        <f t="shared" si="53"/>
        <v>3.1472006710002098</v>
      </c>
      <c r="W68" s="928">
        <f t="shared" si="53"/>
        <v>3.0938244853737813</v>
      </c>
      <c r="X68" s="928">
        <f t="shared" si="53"/>
        <v>3.1155947877259353</v>
      </c>
      <c r="Y68" s="928">
        <f t="shared" si="53"/>
        <v>3.0756302521008405</v>
      </c>
      <c r="Z68" s="928">
        <f t="shared" si="53"/>
        <v>3.1156744536548606</v>
      </c>
      <c r="AA68" s="928">
        <f t="shared" si="53"/>
        <v>3.009717473456901</v>
      </c>
      <c r="AB68" s="928">
        <f t="shared" si="53"/>
        <v>3.0571065989847717</v>
      </c>
      <c r="AC68" s="928">
        <f t="shared" ref="AC68:AI68" si="54">AC63/AC11</f>
        <v>2.9960043588812204</v>
      </c>
      <c r="AD68" s="928">
        <f t="shared" si="54"/>
        <v>2.9018336729023892</v>
      </c>
      <c r="AE68" s="928">
        <f t="shared" si="54"/>
        <v>2.9320200849748939</v>
      </c>
      <c r="AF68" s="928">
        <f t="shared" si="54"/>
        <v>2.8968253968253963</v>
      </c>
      <c r="AG68" s="928">
        <f t="shared" si="54"/>
        <v>2.8968253968253967</v>
      </c>
      <c r="AH68" s="928">
        <f t="shared" si="54"/>
        <v>2.8968253968253967</v>
      </c>
      <c r="AI68" s="928">
        <f t="shared" si="54"/>
        <v>2.8968253968253963</v>
      </c>
      <c r="AJ68" s="1295">
        <f t="shared" ref="AJ68" si="55">AJ63/AJ11</f>
        <v>2.8968253968253967</v>
      </c>
      <c r="AK68" s="675"/>
      <c r="AL68" s="675"/>
    </row>
    <row r="69" spans="1:47" x14ac:dyDescent="0.2">
      <c r="B69" s="185" t="s">
        <v>226</v>
      </c>
      <c r="E69" s="927" t="str">
        <f>IF(ISERROR(E64/#REF!),"NA ",E64/#REF!)</f>
        <v xml:space="preserve">NA </v>
      </c>
      <c r="F69" s="927" t="str">
        <f>IF(ISERROR(F64/#REF!),"NA ",F64/#REF!)</f>
        <v xml:space="preserve">NA </v>
      </c>
      <c r="G69" s="927" t="str">
        <f>IF(ISERROR(G64/#REF!),"NA ",G64/#REF!)</f>
        <v xml:space="preserve">NA </v>
      </c>
      <c r="H69" s="927" t="str">
        <f>IF(ISERROR(H64/#REF!),"NA ",H64/#REF!)</f>
        <v xml:space="preserve">NA </v>
      </c>
      <c r="I69" s="927" t="str">
        <f>IF(ISERROR(I64/#REF!),"NA ",I64/#REF!)</f>
        <v xml:space="preserve">NA </v>
      </c>
      <c r="J69" s="927" t="str">
        <f>IF(ISERROR(J64/#REF!),"NA ",J64/#REF!)</f>
        <v xml:space="preserve">NA </v>
      </c>
      <c r="K69" s="928">
        <f t="shared" ref="K69:AB69" si="56">K63/K26</f>
        <v>3.8079470198675498</v>
      </c>
      <c r="L69" s="928">
        <f t="shared" si="56"/>
        <v>3.7686017988552738</v>
      </c>
      <c r="M69" s="928">
        <f t="shared" si="56"/>
        <v>3.1468945119947422</v>
      </c>
      <c r="N69" s="928">
        <f t="shared" si="56"/>
        <v>3.7679788039364119</v>
      </c>
      <c r="O69" s="928">
        <f t="shared" si="56"/>
        <v>3.6306238185255197</v>
      </c>
      <c r="P69" s="928">
        <f t="shared" si="56"/>
        <v>3.6083591331269349</v>
      </c>
      <c r="Q69" s="928">
        <f t="shared" si="56"/>
        <v>3.5112897053195562</v>
      </c>
      <c r="R69" s="928">
        <f t="shared" si="56"/>
        <v>3.4525304765422979</v>
      </c>
      <c r="S69" s="928">
        <f t="shared" si="56"/>
        <v>2.5299275638581777</v>
      </c>
      <c r="T69" s="928">
        <f t="shared" si="56"/>
        <v>3.4793657688966118</v>
      </c>
      <c r="U69" s="928">
        <f t="shared" si="56"/>
        <v>3.7986430821419916</v>
      </c>
      <c r="V69" s="928">
        <f t="shared" si="56"/>
        <v>3.8386189258312022</v>
      </c>
      <c r="W69" s="928">
        <f t="shared" si="56"/>
        <v>3.6256983240223462</v>
      </c>
      <c r="X69" s="928">
        <f t="shared" si="56"/>
        <v>3.6467404674046739</v>
      </c>
      <c r="Y69" s="928">
        <f t="shared" si="56"/>
        <v>3.5923305181465417</v>
      </c>
      <c r="Z69" s="928">
        <f t="shared" si="56"/>
        <v>3.9479589400811648</v>
      </c>
      <c r="AA69" s="928">
        <f t="shared" si="56"/>
        <v>3.7158409242390582</v>
      </c>
      <c r="AB69" s="928">
        <f t="shared" si="56"/>
        <v>3.5116618075801749</v>
      </c>
      <c r="AC69" s="928">
        <f t="shared" ref="AC69:AI69" si="57">AC63/AC26</f>
        <v>3.3949372298826921</v>
      </c>
      <c r="AD69" s="928">
        <f t="shared" si="57"/>
        <v>3.0701548108955516</v>
      </c>
      <c r="AE69" s="928">
        <f t="shared" si="57"/>
        <v>3.1915072524700441</v>
      </c>
      <c r="AF69" s="928">
        <f t="shared" si="57"/>
        <v>3.0701548108955516</v>
      </c>
      <c r="AG69" s="928">
        <f t="shared" si="57"/>
        <v>3.0701548108955516</v>
      </c>
      <c r="AH69" s="928">
        <f t="shared" si="57"/>
        <v>3.0701548108955516</v>
      </c>
      <c r="AI69" s="928">
        <f t="shared" si="57"/>
        <v>3.0701548108955516</v>
      </c>
      <c r="AJ69" s="1295">
        <f t="shared" ref="AJ69" si="58">AJ63/AJ26</f>
        <v>3.0701548108955516</v>
      </c>
      <c r="AK69" s="675"/>
      <c r="AL69" s="675"/>
    </row>
    <row r="70" spans="1:47" x14ac:dyDescent="0.2">
      <c r="AB70" s="396"/>
      <c r="AC70" s="396"/>
      <c r="AD70" s="396"/>
      <c r="AE70" s="396"/>
      <c r="AF70" s="396"/>
      <c r="AG70" s="396"/>
      <c r="AH70" s="396"/>
      <c r="AI70" s="396"/>
      <c r="AJ70" s="1218"/>
      <c r="AK70" s="675"/>
      <c r="AL70" s="675"/>
    </row>
    <row r="71" spans="1:47" x14ac:dyDescent="0.2">
      <c r="B71" s="929" t="s">
        <v>236</v>
      </c>
      <c r="E71" s="930"/>
      <c r="F71" s="930"/>
      <c r="G71" s="930"/>
      <c r="H71" s="930"/>
      <c r="I71" s="930"/>
      <c r="J71" s="930">
        <f t="shared" ref="J71:Y71" si="59">IF(ISERROR(365/J67),"NA ",365/J67)</f>
        <v>69.744971684756962</v>
      </c>
      <c r="K71" s="930">
        <f t="shared" si="59"/>
        <v>63.311432325886983</v>
      </c>
      <c r="L71" s="930">
        <f t="shared" si="59"/>
        <v>52.475431174747804</v>
      </c>
      <c r="M71" s="930">
        <f t="shared" si="59"/>
        <v>98.212302701353792</v>
      </c>
      <c r="N71" s="930">
        <f t="shared" si="59"/>
        <v>53.418379612934245</v>
      </c>
      <c r="O71" s="930">
        <f t="shared" si="59"/>
        <v>55.010136205258156</v>
      </c>
      <c r="P71" s="930">
        <f t="shared" si="59"/>
        <v>69.033780746259069</v>
      </c>
      <c r="Q71" s="930">
        <f t="shared" si="59"/>
        <v>76.092979496496227</v>
      </c>
      <c r="R71" s="930">
        <f t="shared" si="59"/>
        <v>79.080248478701819</v>
      </c>
      <c r="S71" s="930">
        <f t="shared" si="59"/>
        <v>41.113443501563196</v>
      </c>
      <c r="T71" s="930">
        <f t="shared" si="59"/>
        <v>6.9968483500185386</v>
      </c>
      <c r="U71" s="930">
        <f t="shared" si="59"/>
        <v>6.4224907840231067</v>
      </c>
      <c r="V71" s="930">
        <f t="shared" si="59"/>
        <v>6.4372087417644224</v>
      </c>
      <c r="W71" s="930">
        <f t="shared" si="59"/>
        <v>5.4685080560786776</v>
      </c>
      <c r="X71" s="930">
        <f t="shared" si="59"/>
        <v>5.7225132984041913</v>
      </c>
      <c r="Y71" s="930">
        <f t="shared" si="59"/>
        <v>5.0869153569399739</v>
      </c>
      <c r="Z71" s="930">
        <f>IF(ISERROR(365/Z67),"NA ",365/Z67)</f>
        <v>4.8911001950444275</v>
      </c>
      <c r="AA71" s="930">
        <f>IF(ISERROR(365/AA67),"NA ",365/AA67)</f>
        <v>5.7237478070960579</v>
      </c>
      <c r="AB71" s="930">
        <f>IF(ISERROR(365/AB67),"NA ",365/AB67)</f>
        <v>5.5064935064935066</v>
      </c>
      <c r="AC71" s="930">
        <f>IF(ISERROR(365/AC67),"NA ",365/AC67)</f>
        <v>7.5213264891613427</v>
      </c>
      <c r="AD71" s="930">
        <f>IF(ISERROR(365/AD67),"NA ",365/AD67)</f>
        <v>7.3535314550366655</v>
      </c>
      <c r="AE71" s="1073">
        <f t="shared" ref="AE71:AG72" si="60">AD71</f>
        <v>7.3535314550366655</v>
      </c>
      <c r="AF71" s="1073">
        <f t="shared" si="60"/>
        <v>7.3535314550366655</v>
      </c>
      <c r="AG71" s="1073">
        <f t="shared" si="60"/>
        <v>7.3535314550366655</v>
      </c>
      <c r="AH71" s="1073">
        <f t="shared" ref="AH71:AJ73" si="61">AG71</f>
        <v>7.3535314550366655</v>
      </c>
      <c r="AI71" s="1073">
        <f t="shared" si="61"/>
        <v>7.3535314550366655</v>
      </c>
      <c r="AJ71" s="1296">
        <f t="shared" si="61"/>
        <v>7.3535314550366655</v>
      </c>
      <c r="AK71" s="675"/>
      <c r="AL71" s="675"/>
    </row>
    <row r="72" spans="1:47" x14ac:dyDescent="0.2">
      <c r="B72" s="929" t="s">
        <v>235</v>
      </c>
      <c r="E72" s="453"/>
      <c r="F72" s="453"/>
      <c r="G72" s="453"/>
      <c r="H72" s="453"/>
      <c r="I72" s="453"/>
      <c r="J72" s="453"/>
      <c r="K72" s="453">
        <f t="shared" ref="K72:R72" si="62">365/K68</f>
        <v>128.5038043478261</v>
      </c>
      <c r="L72" s="453">
        <f t="shared" si="62"/>
        <v>129.04480364504229</v>
      </c>
      <c r="M72" s="453">
        <f t="shared" si="62"/>
        <v>136.79876775271512</v>
      </c>
      <c r="N72" s="453">
        <f t="shared" si="62"/>
        <v>132.94726268206932</v>
      </c>
      <c r="O72" s="453">
        <f t="shared" si="62"/>
        <v>128.31823388524418</v>
      </c>
      <c r="P72" s="453">
        <f t="shared" si="62"/>
        <v>131.49238524238524</v>
      </c>
      <c r="Q72" s="453">
        <f t="shared" si="62"/>
        <v>127.8991825613079</v>
      </c>
      <c r="R72" s="453">
        <f t="shared" si="62"/>
        <v>121.84891932377488</v>
      </c>
      <c r="S72" s="453">
        <f t="shared" ref="S72:Y72" si="63">365/S68</f>
        <v>150.13072634116938</v>
      </c>
      <c r="T72" s="453">
        <f t="shared" si="63"/>
        <v>121.15019664148824</v>
      </c>
      <c r="U72" s="453">
        <f t="shared" si="63"/>
        <v>117.80952988454423</v>
      </c>
      <c r="V72" s="453">
        <f t="shared" si="63"/>
        <v>115.97608101805582</v>
      </c>
      <c r="W72" s="453">
        <f t="shared" si="63"/>
        <v>117.97695755708082</v>
      </c>
      <c r="X72" s="453">
        <f t="shared" si="63"/>
        <v>117.15259039395575</v>
      </c>
      <c r="Y72" s="453">
        <f t="shared" si="63"/>
        <v>118.67486338797814</v>
      </c>
      <c r="Z72" s="453">
        <f t="shared" ref="Z72:AB73" si="64">365/Z68</f>
        <v>117.14959487241504</v>
      </c>
      <c r="AA72" s="453">
        <f t="shared" si="64"/>
        <v>121.27384155455906</v>
      </c>
      <c r="AB72" s="453">
        <f t="shared" si="64"/>
        <v>119.39393939393939</v>
      </c>
      <c r="AC72" s="453">
        <f>365/AC68</f>
        <v>121.82892822502426</v>
      </c>
      <c r="AD72" s="453">
        <f>365/AD68</f>
        <v>125.78253654177571</v>
      </c>
      <c r="AE72" s="1074">
        <f>AD72</f>
        <v>125.78253654177571</v>
      </c>
      <c r="AF72" s="1074">
        <v>126</v>
      </c>
      <c r="AG72" s="1074">
        <f t="shared" si="60"/>
        <v>126</v>
      </c>
      <c r="AH72" s="1074">
        <f t="shared" si="61"/>
        <v>126</v>
      </c>
      <c r="AI72" s="1074">
        <f t="shared" si="61"/>
        <v>126</v>
      </c>
      <c r="AJ72" s="1297">
        <f t="shared" si="61"/>
        <v>126</v>
      </c>
      <c r="AK72" s="675"/>
      <c r="AL72" s="675"/>
    </row>
    <row r="73" spans="1:47" x14ac:dyDescent="0.2">
      <c r="A73" s="261"/>
      <c r="B73" s="929" t="s">
        <v>416</v>
      </c>
      <c r="C73" s="931"/>
      <c r="D73" s="261"/>
      <c r="E73" s="453"/>
      <c r="F73" s="453"/>
      <c r="G73" s="453"/>
      <c r="H73" s="453"/>
      <c r="I73" s="453"/>
      <c r="J73" s="453"/>
      <c r="K73" s="453">
        <f t="shared" ref="K73:Y73" si="65">365/K69</f>
        <v>95.852173913043472</v>
      </c>
      <c r="L73" s="453">
        <f t="shared" si="65"/>
        <v>96.852896506834455</v>
      </c>
      <c r="M73" s="453">
        <f t="shared" si="65"/>
        <v>115.98736424394319</v>
      </c>
      <c r="N73" s="453">
        <f t="shared" si="65"/>
        <v>96.868910095429428</v>
      </c>
      <c r="O73" s="453">
        <f t="shared" si="65"/>
        <v>100.5336873893575</v>
      </c>
      <c r="P73" s="453">
        <f t="shared" si="65"/>
        <v>101.15401115401116</v>
      </c>
      <c r="Q73" s="453">
        <f t="shared" si="65"/>
        <v>103.95040871934604</v>
      </c>
      <c r="R73" s="453">
        <f t="shared" si="65"/>
        <v>105.71955916969826</v>
      </c>
      <c r="S73" s="453">
        <f t="shared" si="65"/>
        <v>144.27290536467751</v>
      </c>
      <c r="T73" s="453">
        <f t="shared" si="65"/>
        <v>104.90417629065485</v>
      </c>
      <c r="U73" s="453">
        <f t="shared" si="65"/>
        <v>96.086942654844677</v>
      </c>
      <c r="V73" s="453">
        <f t="shared" si="65"/>
        <v>95.086281564394696</v>
      </c>
      <c r="W73" s="453">
        <f t="shared" si="65"/>
        <v>100.67026194144839</v>
      </c>
      <c r="X73" s="453">
        <f t="shared" si="65"/>
        <v>100.08938208310848</v>
      </c>
      <c r="Y73" s="453">
        <f t="shared" si="65"/>
        <v>101.60535010801881</v>
      </c>
      <c r="Z73" s="453">
        <f t="shared" si="64"/>
        <v>92.452835893094701</v>
      </c>
      <c r="AA73" s="453">
        <f t="shared" si="64"/>
        <v>98.228101644245143</v>
      </c>
      <c r="AB73" s="453">
        <f t="shared" si="64"/>
        <v>103.93939393939394</v>
      </c>
      <c r="AC73" s="453">
        <f>365/AC69</f>
        <v>107.5130334626576</v>
      </c>
      <c r="AD73" s="453">
        <f>365/AD69</f>
        <v>118.88651305291377</v>
      </c>
      <c r="AE73" s="1074">
        <f>AD73</f>
        <v>118.88651305291377</v>
      </c>
      <c r="AF73" s="1074">
        <f>AE73</f>
        <v>118.88651305291377</v>
      </c>
      <c r="AG73" s="1074">
        <f>AF73</f>
        <v>118.88651305291377</v>
      </c>
      <c r="AH73" s="1074">
        <f t="shared" si="61"/>
        <v>118.88651305291377</v>
      </c>
      <c r="AI73" s="1074">
        <f t="shared" si="61"/>
        <v>118.88651305291377</v>
      </c>
      <c r="AJ73" s="1297">
        <f t="shared" si="61"/>
        <v>118.88651305291377</v>
      </c>
      <c r="AK73" s="675"/>
      <c r="AL73" s="675"/>
    </row>
    <row r="74" spans="1:47" x14ac:dyDescent="0.2">
      <c r="A74" s="261"/>
      <c r="B74" s="929"/>
      <c r="C74" s="931"/>
      <c r="D74" s="261"/>
      <c r="E74" s="453"/>
      <c r="F74" s="453"/>
      <c r="G74" s="453"/>
      <c r="H74" s="453"/>
      <c r="I74" s="453"/>
      <c r="J74" s="453"/>
      <c r="K74" s="453"/>
      <c r="L74" s="453"/>
      <c r="M74" s="453"/>
      <c r="N74" s="453"/>
      <c r="O74" s="453"/>
      <c r="P74" s="453"/>
      <c r="Q74" s="453"/>
      <c r="R74" s="453"/>
      <c r="S74" s="453"/>
      <c r="T74" s="453"/>
      <c r="U74" s="453"/>
      <c r="V74" s="453"/>
      <c r="W74" s="453"/>
      <c r="X74" s="453"/>
      <c r="Y74" s="453"/>
      <c r="Z74" s="932"/>
      <c r="AA74" s="932"/>
      <c r="AB74" s="932"/>
      <c r="AC74" s="932"/>
      <c r="AD74" s="932"/>
      <c r="AE74" s="1075"/>
      <c r="AF74" s="1075"/>
      <c r="AG74" s="1075"/>
      <c r="AH74" s="1075"/>
      <c r="AI74" s="1075"/>
      <c r="AJ74" s="1298"/>
      <c r="AK74" s="675"/>
      <c r="AL74" s="675"/>
    </row>
    <row r="75" spans="1:47" x14ac:dyDescent="0.2">
      <c r="A75" s="395"/>
      <c r="B75" s="395" t="s">
        <v>417</v>
      </c>
      <c r="C75" s="395"/>
      <c r="D75" s="395"/>
      <c r="E75" s="395" t="str">
        <f t="shared" ref="E75:AB75" si="66">IF(ISERROR(E12/E62),"NA",E12/E62)</f>
        <v>NA</v>
      </c>
      <c r="F75" s="395" t="str">
        <f t="shared" si="66"/>
        <v>NA</v>
      </c>
      <c r="G75" s="395" t="str">
        <f t="shared" si="66"/>
        <v>NA</v>
      </c>
      <c r="H75" s="395" t="str">
        <f t="shared" si="66"/>
        <v>NA</v>
      </c>
      <c r="I75" s="395" t="str">
        <f t="shared" si="66"/>
        <v>NA</v>
      </c>
      <c r="J75" s="395">
        <f t="shared" si="66"/>
        <v>7.3941886334524367E-3</v>
      </c>
      <c r="K75" s="395">
        <f t="shared" si="66"/>
        <v>7.5558475689881735E-3</v>
      </c>
      <c r="L75" s="395">
        <f t="shared" si="66"/>
        <v>7.6147087536609179E-3</v>
      </c>
      <c r="M75" s="395">
        <f t="shared" si="66"/>
        <v>1.4348992451182232E-2</v>
      </c>
      <c r="N75" s="395">
        <f t="shared" si="66"/>
        <v>7.2725087149897822E-3</v>
      </c>
      <c r="O75" s="395">
        <f t="shared" si="66"/>
        <v>7.8555590750712702E-3</v>
      </c>
      <c r="P75" s="395">
        <f t="shared" si="66"/>
        <v>7.9635219317962871E-3</v>
      </c>
      <c r="Q75" s="395">
        <f t="shared" si="66"/>
        <v>6.4235660524266805E-3</v>
      </c>
      <c r="R75" s="395">
        <f t="shared" si="66"/>
        <v>6.5922920892494928E-3</v>
      </c>
      <c r="S75" s="395">
        <f t="shared" si="66"/>
        <v>9.0665475658776237E-3</v>
      </c>
      <c r="T75" s="395">
        <f t="shared" si="66"/>
        <v>9.3066370040786051E-3</v>
      </c>
      <c r="U75" s="395">
        <f t="shared" si="66"/>
        <v>8.2848781970888911E-3</v>
      </c>
      <c r="V75" s="395">
        <f t="shared" si="66"/>
        <v>9.0792222400771332E-3</v>
      </c>
      <c r="W75" s="395">
        <f t="shared" si="66"/>
        <v>9.3324963381460554E-3</v>
      </c>
      <c r="X75" s="395">
        <f t="shared" si="66"/>
        <v>1.1398632164140303E-2</v>
      </c>
      <c r="Y75" s="395">
        <f t="shared" si="66"/>
        <v>1.7610301079341036E-2</v>
      </c>
      <c r="Z75" s="395">
        <f t="shared" si="66"/>
        <v>1.3039081124033809E-2</v>
      </c>
      <c r="AA75" s="395">
        <f>IF(ISERROR(AA12/AA62),"NA",AA12/AA62)</f>
        <v>1.5037055601303211E-2</v>
      </c>
      <c r="AB75" s="395">
        <f t="shared" si="66"/>
        <v>1.7541362746842201E-2</v>
      </c>
      <c r="AC75" s="395">
        <f>IF(ISERROR(AC12/AC62),"NA",AC12/AC62)</f>
        <v>1.7688984083607223E-2</v>
      </c>
      <c r="AD75" s="395">
        <f>IF(ISERROR(AD12/AD62),"NA",AD12/AD62)</f>
        <v>1.5746815901196448E-2</v>
      </c>
      <c r="AE75" s="1076">
        <f>AD75</f>
        <v>1.5746815901196448E-2</v>
      </c>
      <c r="AF75" s="1076">
        <f>AE75</f>
        <v>1.5746815901196448E-2</v>
      </c>
      <c r="AG75" s="1076">
        <f>AF75</f>
        <v>1.5746815901196448E-2</v>
      </c>
      <c r="AH75" s="1076">
        <f t="shared" ref="AH75:AJ75" si="67">AG75</f>
        <v>1.5746815901196448E-2</v>
      </c>
      <c r="AI75" s="1076">
        <f t="shared" si="67"/>
        <v>1.5746815901196448E-2</v>
      </c>
      <c r="AJ75" s="1299">
        <f t="shared" si="67"/>
        <v>1.5746815901196448E-2</v>
      </c>
      <c r="AK75" s="395"/>
      <c r="AL75" s="395"/>
    </row>
    <row r="76" spans="1:47" outlineLevel="1" x14ac:dyDescent="0.2">
      <c r="B76" s="185" t="s">
        <v>197</v>
      </c>
      <c r="E76" s="395">
        <f t="shared" ref="E76:AB76" si="68">E26/E11</f>
        <v>0.95174095769377709</v>
      </c>
      <c r="F76" s="395">
        <f t="shared" si="68"/>
        <v>0.96027186940242004</v>
      </c>
      <c r="G76" s="395">
        <f t="shared" si="68"/>
        <v>0.96119109890891596</v>
      </c>
      <c r="H76" s="395">
        <f t="shared" si="68"/>
        <v>0.91728628790555056</v>
      </c>
      <c r="I76" s="395">
        <f t="shared" si="68"/>
        <v>0.76208686177802598</v>
      </c>
      <c r="J76" s="395">
        <f t="shared" si="68"/>
        <v>0.76777512972905704</v>
      </c>
      <c r="K76" s="395">
        <f t="shared" si="68"/>
        <v>0.74590923124421116</v>
      </c>
      <c r="L76" s="395">
        <f t="shared" si="68"/>
        <v>0.75053697453206503</v>
      </c>
      <c r="M76" s="395">
        <f t="shared" si="68"/>
        <v>0.84786848704374473</v>
      </c>
      <c r="N76" s="395">
        <f t="shared" si="68"/>
        <v>0.72862658576944295</v>
      </c>
      <c r="O76" s="395">
        <f t="shared" si="68"/>
        <v>0.78347156398104267</v>
      </c>
      <c r="P76" s="395">
        <f t="shared" si="68"/>
        <v>0.76927657040785946</v>
      </c>
      <c r="Q76" s="395">
        <f t="shared" si="68"/>
        <v>0.81275272161741841</v>
      </c>
      <c r="R76" s="395">
        <f t="shared" si="68"/>
        <v>0.86762820512820515</v>
      </c>
      <c r="S76" s="395">
        <f t="shared" si="68"/>
        <v>0.96098186481040482</v>
      </c>
      <c r="T76" s="395">
        <f t="shared" si="68"/>
        <v>0.86590182433703211</v>
      </c>
      <c r="U76" s="395">
        <f t="shared" si="68"/>
        <v>0.81561264822134383</v>
      </c>
      <c r="V76" s="395">
        <f t="shared" si="68"/>
        <v>0.81987838121199408</v>
      </c>
      <c r="W76" s="395">
        <f t="shared" si="68"/>
        <v>0.85330444203683642</v>
      </c>
      <c r="X76" s="395">
        <f t="shared" si="68"/>
        <v>0.85435056746532156</v>
      </c>
      <c r="Y76" s="395">
        <f t="shared" si="68"/>
        <v>0.85616572210279462</v>
      </c>
      <c r="Z76" s="395">
        <f t="shared" si="68"/>
        <v>0.78918613413715144</v>
      </c>
      <c r="AA76" s="395">
        <f t="shared" si="68"/>
        <v>0.80996940795393202</v>
      </c>
      <c r="AB76" s="395">
        <f t="shared" si="68"/>
        <v>0.87055837563451777</v>
      </c>
      <c r="AC76" s="395">
        <f t="shared" ref="AC76:AI76" si="69">AC26/AC11</f>
        <v>0.88249182709771157</v>
      </c>
      <c r="AD76" s="395">
        <f t="shared" si="69"/>
        <v>0.94517503241340994</v>
      </c>
      <c r="AE76" s="395">
        <f t="shared" si="69"/>
        <v>0.91869447663190418</v>
      </c>
      <c r="AF76" s="395">
        <f t="shared" si="69"/>
        <v>0.94354375438820437</v>
      </c>
      <c r="AG76" s="395">
        <f t="shared" si="69"/>
        <v>0.94354375438820448</v>
      </c>
      <c r="AH76" s="395">
        <f t="shared" si="69"/>
        <v>0.94354375438820448</v>
      </c>
      <c r="AI76" s="395">
        <f t="shared" si="69"/>
        <v>0.94354375438820437</v>
      </c>
      <c r="AJ76" s="1094">
        <f t="shared" ref="AJ76" si="70">AJ26/AJ11</f>
        <v>0.94354375438820448</v>
      </c>
      <c r="AK76" s="675"/>
      <c r="AL76" s="675"/>
    </row>
    <row r="77" spans="1:47" ht="9.75" customHeight="1" outlineLevel="2" x14ac:dyDescent="0.2">
      <c r="E77" s="185">
        <v>0</v>
      </c>
      <c r="F77" s="185">
        <v>0</v>
      </c>
      <c r="G77" s="185">
        <v>0</v>
      </c>
      <c r="H77" s="185">
        <v>0</v>
      </c>
      <c r="I77" s="185">
        <v>0</v>
      </c>
      <c r="J77" s="185">
        <v>0</v>
      </c>
      <c r="K77" s="185">
        <v>0</v>
      </c>
      <c r="L77" s="185">
        <v>0</v>
      </c>
      <c r="M77" s="185">
        <v>0</v>
      </c>
      <c r="N77" s="185">
        <v>0</v>
      </c>
      <c r="O77" s="185">
        <v>0</v>
      </c>
      <c r="P77" s="185">
        <v>0</v>
      </c>
      <c r="Q77" s="185">
        <v>0</v>
      </c>
      <c r="R77" s="185">
        <v>0</v>
      </c>
      <c r="S77" s="185">
        <v>0</v>
      </c>
      <c r="T77" s="185">
        <v>0</v>
      </c>
      <c r="U77" s="185">
        <v>0</v>
      </c>
      <c r="V77" s="185">
        <v>0</v>
      </c>
      <c r="W77" s="185">
        <v>0</v>
      </c>
      <c r="X77" s="185">
        <v>0</v>
      </c>
      <c r="Y77" s="185">
        <v>0</v>
      </c>
      <c r="Z77" s="185">
        <v>0</v>
      </c>
      <c r="AA77" s="185">
        <v>0</v>
      </c>
      <c r="AB77" s="185">
        <v>0</v>
      </c>
      <c r="AC77" s="185">
        <v>0</v>
      </c>
      <c r="AD77" s="185">
        <v>0</v>
      </c>
      <c r="AE77" s="185">
        <v>0</v>
      </c>
      <c r="AF77" s="185">
        <v>0</v>
      </c>
      <c r="AG77" s="185">
        <v>0</v>
      </c>
      <c r="AH77" s="185">
        <v>0</v>
      </c>
      <c r="AI77" s="185">
        <v>0</v>
      </c>
      <c r="AJ77" s="12">
        <v>0</v>
      </c>
      <c r="AK77" s="675"/>
      <c r="AL77" s="675"/>
      <c r="AS77" s="389"/>
      <c r="AT77" s="389"/>
      <c r="AU77" s="389"/>
    </row>
    <row r="78" spans="1:47" x14ac:dyDescent="0.2">
      <c r="D78" s="390"/>
      <c r="E78" s="933"/>
      <c r="F78" s="933"/>
      <c r="G78" s="933"/>
      <c r="H78" s="933"/>
      <c r="I78" s="933"/>
      <c r="J78" s="933"/>
      <c r="K78" s="933"/>
      <c r="L78" s="933"/>
      <c r="M78" s="933"/>
      <c r="N78" s="933"/>
      <c r="O78" s="933"/>
      <c r="P78" s="933"/>
      <c r="Q78" s="933"/>
      <c r="R78" s="933"/>
      <c r="S78" s="933"/>
      <c r="T78" s="933"/>
      <c r="U78" s="933"/>
      <c r="V78" s="933"/>
      <c r="W78" s="933"/>
      <c r="X78" s="933"/>
      <c r="Y78" s="933"/>
      <c r="Z78" s="933"/>
      <c r="AA78" s="933"/>
      <c r="AB78" s="933"/>
      <c r="AC78" s="933"/>
      <c r="AD78" s="933"/>
      <c r="AE78" s="933"/>
      <c r="AF78" s="933"/>
      <c r="AG78" s="933"/>
      <c r="AH78" s="933"/>
      <c r="AI78" s="933"/>
      <c r="AJ78" s="1300"/>
      <c r="AK78" s="675"/>
      <c r="AL78" s="675"/>
    </row>
    <row r="79" spans="1:47" x14ac:dyDescent="0.2">
      <c r="B79" s="185" t="s">
        <v>533</v>
      </c>
      <c r="D79" s="390"/>
      <c r="E79" s="933"/>
      <c r="F79" s="933"/>
      <c r="G79" s="933"/>
      <c r="H79" s="933"/>
      <c r="I79" s="933"/>
      <c r="J79" s="933"/>
      <c r="K79" s="933"/>
      <c r="L79" s="933"/>
      <c r="M79" s="933"/>
      <c r="N79" s="933"/>
      <c r="O79" s="933"/>
      <c r="P79" s="933"/>
      <c r="Q79" s="933"/>
      <c r="R79" s="933"/>
      <c r="S79" s="933"/>
      <c r="T79" s="933"/>
      <c r="U79" s="911">
        <v>1398</v>
      </c>
      <c r="V79" s="911">
        <v>1282</v>
      </c>
      <c r="W79" s="1069">
        <v>1312</v>
      </c>
      <c r="X79" s="1069">
        <v>1421</v>
      </c>
      <c r="Y79" s="1069">
        <v>1593</v>
      </c>
      <c r="Z79" s="1069">
        <v>1579</v>
      </c>
      <c r="AA79" s="1069">
        <v>1691</v>
      </c>
      <c r="AB79" s="1069">
        <v>1693</v>
      </c>
      <c r="AC79" s="1069">
        <v>1693</v>
      </c>
      <c r="AD79" s="1069">
        <v>1693</v>
      </c>
      <c r="AE79" s="1077">
        <f>AE80*AE11</f>
        <v>1553.3999999999999</v>
      </c>
      <c r="AF79" s="933"/>
      <c r="AG79" s="933"/>
      <c r="AH79" s="933"/>
      <c r="AI79" s="933"/>
      <c r="AJ79" s="1300"/>
      <c r="AK79" s="675"/>
      <c r="AL79" s="675"/>
    </row>
    <row r="80" spans="1:47" x14ac:dyDescent="0.2">
      <c r="B80" s="185" t="s">
        <v>534</v>
      </c>
      <c r="D80" s="390"/>
      <c r="E80" s="933"/>
      <c r="F80" s="933"/>
      <c r="G80" s="933"/>
      <c r="H80" s="933"/>
      <c r="I80" s="933"/>
      <c r="J80" s="933"/>
      <c r="K80" s="933"/>
      <c r="L80" s="933"/>
      <c r="M80" s="933"/>
      <c r="N80" s="933"/>
      <c r="O80" s="933"/>
      <c r="P80" s="933"/>
      <c r="Q80" s="933"/>
      <c r="R80" s="933"/>
      <c r="S80" s="933"/>
      <c r="T80" s="933"/>
      <c r="U80" s="934">
        <f t="shared" ref="U80:AB80" si="71">U79/U11</f>
        <v>0.27628458498023717</v>
      </c>
      <c r="V80" s="934">
        <f t="shared" si="71"/>
        <v>0.26881945900608095</v>
      </c>
      <c r="W80" s="934">
        <f t="shared" si="71"/>
        <v>0.28429035752979415</v>
      </c>
      <c r="X80" s="934">
        <f t="shared" si="71"/>
        <v>0.29865489701555276</v>
      </c>
      <c r="Y80" s="934">
        <f t="shared" si="71"/>
        <v>0.31131522376392418</v>
      </c>
      <c r="Z80" s="934">
        <f t="shared" si="71"/>
        <v>0.29747550866616429</v>
      </c>
      <c r="AA80" s="934">
        <f t="shared" si="71"/>
        <v>0.30430088177073961</v>
      </c>
      <c r="AB80" s="934">
        <f t="shared" si="71"/>
        <v>0.30692530819434372</v>
      </c>
      <c r="AC80" s="934">
        <f>AC79/AC11</f>
        <v>0.3074827460951689</v>
      </c>
      <c r="AD80" s="934">
        <f>AD79/AD11</f>
        <v>0.31357658825708462</v>
      </c>
      <c r="AE80" s="1078">
        <v>0.3</v>
      </c>
      <c r="AF80" s="933"/>
      <c r="AG80" s="933"/>
      <c r="AH80" s="933"/>
      <c r="AI80" s="933"/>
      <c r="AJ80" s="1300"/>
      <c r="AK80" s="675"/>
      <c r="AL80" s="675"/>
    </row>
    <row r="81" spans="2:36" customFormat="1" x14ac:dyDescent="0.2"/>
    <row r="82" spans="2:36" x14ac:dyDescent="0.2">
      <c r="AA82" s="282"/>
    </row>
    <row r="84" spans="2:36" x14ac:dyDescent="0.2">
      <c r="Y84" s="637"/>
    </row>
    <row r="85" spans="2:36" x14ac:dyDescent="0.2">
      <c r="B85" s="281" t="s">
        <v>687</v>
      </c>
    </row>
    <row r="86" spans="2:36" x14ac:dyDescent="0.2">
      <c r="B86" s="1435" t="s">
        <v>688</v>
      </c>
      <c r="P86" s="543">
        <f t="shared" ref="P86:AI86" si="72">+O91</f>
        <v>5564.6109999999971</v>
      </c>
      <c r="Q86" s="543">
        <f t="shared" si="72"/>
        <v>5762.6109999999971</v>
      </c>
      <c r="R86" s="543">
        <f t="shared" si="72"/>
        <v>5940.6109999999971</v>
      </c>
      <c r="S86" s="543">
        <f t="shared" si="72"/>
        <v>6167.6109999999971</v>
      </c>
      <c r="T86" s="543">
        <f t="shared" si="72"/>
        <v>13519.610999999997</v>
      </c>
      <c r="U86" s="543">
        <f t="shared" si="72"/>
        <v>12254.486000000001</v>
      </c>
      <c r="V86" s="543">
        <f t="shared" si="72"/>
        <v>9907.252000000004</v>
      </c>
      <c r="W86" s="543">
        <f t="shared" si="72"/>
        <v>4646.252000000004</v>
      </c>
      <c r="X86" s="543">
        <f t="shared" si="72"/>
        <v>4653.375</v>
      </c>
      <c r="Y86" s="543">
        <f t="shared" si="72"/>
        <v>5530.4</v>
      </c>
      <c r="Z86" s="543">
        <f t="shared" si="72"/>
        <v>5933.4</v>
      </c>
      <c r="AA86" s="543">
        <f t="shared" si="72"/>
        <v>6051.4</v>
      </c>
      <c r="AB86" s="543">
        <f t="shared" si="72"/>
        <v>6249.03</v>
      </c>
      <c r="AC86" s="543">
        <f t="shared" si="72"/>
        <v>5378.03</v>
      </c>
      <c r="AD86" s="543">
        <f t="shared" si="72"/>
        <v>4252.9999999999991</v>
      </c>
      <c r="AE86" s="543">
        <f t="shared" si="72"/>
        <v>4395.9999999999991</v>
      </c>
      <c r="AF86" s="543">
        <f t="shared" si="72"/>
        <v>5661.0405869999995</v>
      </c>
      <c r="AG86" s="543">
        <f t="shared" si="72"/>
        <v>6442.1246445635006</v>
      </c>
      <c r="AH86" s="543">
        <f t="shared" si="72"/>
        <v>6911.2500285999758</v>
      </c>
      <c r="AI86" s="543">
        <f t="shared" si="72"/>
        <v>7078.2547557676389</v>
      </c>
      <c r="AJ86" s="543">
        <f t="shared" ref="AJ86" si="73">+AI91</f>
        <v>6980.5286176699892</v>
      </c>
    </row>
    <row r="87" spans="2:36" x14ac:dyDescent="0.2">
      <c r="B87" s="1435" t="s">
        <v>689</v>
      </c>
      <c r="P87" s="385">
        <f t="shared" ref="P87:AI87" si="74">+P40-O40+P41-O41</f>
        <v>8</v>
      </c>
      <c r="Q87" s="385">
        <f t="shared" si="74"/>
        <v>-1227</v>
      </c>
      <c r="R87" s="385">
        <f t="shared" si="74"/>
        <v>-756</v>
      </c>
      <c r="S87" s="385">
        <f t="shared" si="74"/>
        <v>6118</v>
      </c>
      <c r="T87" s="385">
        <f t="shared" si="74"/>
        <v>247.87500000000364</v>
      </c>
      <c r="U87" s="385">
        <f t="shared" si="74"/>
        <v>-3878</v>
      </c>
      <c r="V87" s="385">
        <f t="shared" si="74"/>
        <v>54</v>
      </c>
      <c r="W87" s="385">
        <f t="shared" si="74"/>
        <v>26.124999999996362</v>
      </c>
      <c r="X87" s="385">
        <f t="shared" si="74"/>
        <v>7</v>
      </c>
      <c r="Y87" s="385">
        <f t="shared" si="74"/>
        <v>-288</v>
      </c>
      <c r="Z87" s="385">
        <f t="shared" si="74"/>
        <v>-1537</v>
      </c>
      <c r="AA87" s="385">
        <f t="shared" si="74"/>
        <v>-1350</v>
      </c>
      <c r="AB87" s="385">
        <f t="shared" si="74"/>
        <v>-1474</v>
      </c>
      <c r="AC87" s="385">
        <f t="shared" si="74"/>
        <v>-428</v>
      </c>
      <c r="AD87" s="385">
        <f t="shared" si="74"/>
        <v>-4</v>
      </c>
      <c r="AE87" s="385">
        <f t="shared" si="74"/>
        <v>59</v>
      </c>
      <c r="AF87" s="385">
        <f t="shared" si="74"/>
        <v>781.08405756350089</v>
      </c>
      <c r="AG87" s="385">
        <f t="shared" si="74"/>
        <v>469.125384036475</v>
      </c>
      <c r="AH87" s="385">
        <f t="shared" si="74"/>
        <v>167.00472716766308</v>
      </c>
      <c r="AI87" s="385">
        <f t="shared" si="74"/>
        <v>-97.726138097649709</v>
      </c>
      <c r="AJ87" s="385">
        <f>+AJ40-AI40+AJ41-AI41</f>
        <v>-341.65507545583978</v>
      </c>
    </row>
    <row r="88" spans="2:36" x14ac:dyDescent="0.2">
      <c r="B88" s="1435" t="s">
        <v>146</v>
      </c>
      <c r="P88" s="185">
        <f>+sumry!FE32</f>
        <v>818</v>
      </c>
      <c r="Q88" s="185">
        <f>+sumry!FF32</f>
        <v>693</v>
      </c>
      <c r="R88" s="185">
        <f>+sumry!FG32</f>
        <v>689</v>
      </c>
      <c r="S88" s="185">
        <f>+sumry!FH32</f>
        <v>1406.5914100719424</v>
      </c>
      <c r="T88" s="185">
        <f>+sumry!FI32</f>
        <v>994.875</v>
      </c>
      <c r="U88" s="185">
        <f>+sumry!FJ32</f>
        <v>893</v>
      </c>
      <c r="V88" s="185">
        <f>+sumry!FK32</f>
        <v>-4803</v>
      </c>
      <c r="W88" s="185">
        <f>+sumry!FL32</f>
        <v>329</v>
      </c>
      <c r="X88" s="185">
        <f>+sumry!FM32</f>
        <v>846.95910780669146</v>
      </c>
      <c r="Y88" s="185">
        <f>+sumry!FN32</f>
        <v>1256</v>
      </c>
      <c r="Z88" s="185">
        <f>+sumry!FO32</f>
        <v>1335</v>
      </c>
      <c r="AA88" s="185">
        <f>+sumry!FP32</f>
        <v>1485.6322869955156</v>
      </c>
      <c r="AB88" s="185">
        <f>+sumry!FQ32</f>
        <v>1526</v>
      </c>
      <c r="AC88" s="185">
        <f>+sumry!FR32</f>
        <v>1069.5459999999998</v>
      </c>
      <c r="AD88" s="185">
        <f>+sumry!FS32</f>
        <v>626.73099999999999</v>
      </c>
      <c r="AE88" s="185">
        <f>+sumry!FT32</f>
        <v>1555.0313000000001</v>
      </c>
      <c r="AF88" s="185">
        <f>+sumry!FU32</f>
        <v>1092.7135825635009</v>
      </c>
      <c r="AG88" s="185">
        <f>+sumry!FV32</f>
        <v>833.74496153647488</v>
      </c>
      <c r="AH88" s="185">
        <f>+sumry!FW32</f>
        <v>590.09607241766321</v>
      </c>
      <c r="AI88" s="185">
        <f>+sumry!FX32</f>
        <v>389.88513267735055</v>
      </c>
      <c r="AJ88" s="185">
        <f>+sumry!FY32</f>
        <v>203.35275126116019</v>
      </c>
    </row>
    <row r="89" spans="2:36" x14ac:dyDescent="0.2">
      <c r="B89" s="1435" t="s">
        <v>690</v>
      </c>
      <c r="P89" s="185">
        <f>flow!Q43</f>
        <v>0</v>
      </c>
      <c r="Q89" s="185">
        <f>flow!R43</f>
        <v>-69</v>
      </c>
      <c r="R89" s="185">
        <f>flow!S43</f>
        <v>-93</v>
      </c>
      <c r="S89" s="185">
        <f>flow!T43</f>
        <v>-157</v>
      </c>
      <c r="T89" s="185">
        <f>flow!U43</f>
        <v>-274</v>
      </c>
      <c r="U89" s="185">
        <f>flow!V43</f>
        <v>-230</v>
      </c>
      <c r="V89" s="185">
        <f>flow!W43</f>
        <v>-221</v>
      </c>
      <c r="W89" s="185">
        <f>flow!X43</f>
        <v>-84</v>
      </c>
      <c r="X89" s="185">
        <f>flow!Y43</f>
        <v>-84</v>
      </c>
      <c r="Y89" s="185">
        <f>flow!Z43</f>
        <v>-148</v>
      </c>
      <c r="Z89" s="185">
        <f>flow!AA43</f>
        <v>-324</v>
      </c>
      <c r="AA89" s="185">
        <f>flow!AB43</f>
        <v>-359</v>
      </c>
      <c r="AB89" s="185">
        <f>flow!AC43</f>
        <v>-421</v>
      </c>
      <c r="AC89" s="185">
        <f>flow!AD43</f>
        <v>-456</v>
      </c>
      <c r="AD89" s="185">
        <f>flow!AE43</f>
        <v>-459</v>
      </c>
      <c r="AE89" s="185">
        <f>flow!AF43</f>
        <v>-461</v>
      </c>
      <c r="AF89" s="185">
        <f>flow!AG43</f>
        <v>-511.62952500000006</v>
      </c>
      <c r="AG89" s="185">
        <f>flow!AH43</f>
        <v>-564.6195775000001</v>
      </c>
      <c r="AH89" s="185">
        <f>flow!AI43</f>
        <v>-623.09134525000024</v>
      </c>
      <c r="AI89" s="185">
        <f>flow!AJ43</f>
        <v>-687.61127077500021</v>
      </c>
      <c r="AJ89" s="185">
        <f>flow!AK43</f>
        <v>-745.00782671700028</v>
      </c>
    </row>
    <row r="90" spans="2:36" x14ac:dyDescent="0.2">
      <c r="B90" s="1435" t="s">
        <v>691</v>
      </c>
      <c r="P90" s="385">
        <f t="shared" ref="P90:AI90" si="75">+P42-O42+P43-O43-P89-P88</f>
        <v>-628</v>
      </c>
      <c r="Q90" s="385">
        <f t="shared" si="75"/>
        <v>781</v>
      </c>
      <c r="R90" s="385">
        <f t="shared" si="75"/>
        <v>387</v>
      </c>
      <c r="S90" s="385">
        <f t="shared" si="75"/>
        <v>-15.591410071942391</v>
      </c>
      <c r="T90" s="385">
        <f t="shared" si="75"/>
        <v>-2233.875</v>
      </c>
      <c r="U90" s="385">
        <f t="shared" si="75"/>
        <v>867.76600000000326</v>
      </c>
      <c r="V90" s="385">
        <f t="shared" si="75"/>
        <v>-291</v>
      </c>
      <c r="W90" s="385">
        <f t="shared" si="75"/>
        <v>-264.00200000000041</v>
      </c>
      <c r="X90" s="385">
        <f t="shared" si="75"/>
        <v>107.06589219330851</v>
      </c>
      <c r="Y90" s="385">
        <f t="shared" si="75"/>
        <v>-416.99999999999989</v>
      </c>
      <c r="Z90" s="385">
        <f t="shared" si="75"/>
        <v>644</v>
      </c>
      <c r="AA90" s="385">
        <f t="shared" si="75"/>
        <v>420.99771300448447</v>
      </c>
      <c r="AB90" s="385">
        <f t="shared" si="75"/>
        <v>-502</v>
      </c>
      <c r="AC90" s="385">
        <f t="shared" si="75"/>
        <v>-1310.5759999999998</v>
      </c>
      <c r="AD90" s="385">
        <f t="shared" si="75"/>
        <v>-20.730999999999995</v>
      </c>
      <c r="AE90" s="385">
        <f t="shared" si="75"/>
        <v>112.00928700000031</v>
      </c>
      <c r="AF90" s="385">
        <f t="shared" si="75"/>
        <v>-581.08405756350089</v>
      </c>
      <c r="AG90" s="385">
        <f t="shared" si="75"/>
        <v>-269.12538403647477</v>
      </c>
      <c r="AH90" s="385">
        <f t="shared" si="75"/>
        <v>32.995272832337037</v>
      </c>
      <c r="AI90" s="385">
        <f t="shared" si="75"/>
        <v>297.72613809764965</v>
      </c>
      <c r="AJ90" s="385">
        <f>+AJ42-AI42+AJ43-AI43-AJ89-AJ88</f>
        <v>541.65507545584012</v>
      </c>
    </row>
    <row r="91" spans="2:36" x14ac:dyDescent="0.2">
      <c r="B91" s="281" t="s">
        <v>692</v>
      </c>
      <c r="O91" s="543">
        <f>+O44</f>
        <v>5564.6109999999971</v>
      </c>
      <c r="P91" s="543">
        <f t="shared" ref="P91" si="76">+SUM(P86:P90)</f>
        <v>5762.6109999999971</v>
      </c>
      <c r="Q91" s="543">
        <f t="shared" ref="Q91" si="77">+SUM(Q86:Q90)</f>
        <v>5940.6109999999971</v>
      </c>
      <c r="R91" s="543">
        <f t="shared" ref="R91" si="78">+SUM(R86:R90)</f>
        <v>6167.6109999999971</v>
      </c>
      <c r="S91" s="543">
        <f t="shared" ref="S91" si="79">+SUM(S86:S90)</f>
        <v>13519.610999999997</v>
      </c>
      <c r="T91" s="543">
        <f t="shared" ref="T91" si="80">+SUM(T86:T90)</f>
        <v>12254.486000000001</v>
      </c>
      <c r="U91" s="543">
        <f t="shared" ref="U91" si="81">+SUM(U86:U90)</f>
        <v>9907.252000000004</v>
      </c>
      <c r="V91" s="543">
        <f t="shared" ref="V91" si="82">+SUM(V86:V90)</f>
        <v>4646.252000000004</v>
      </c>
      <c r="W91" s="543">
        <f t="shared" ref="W91" si="83">+SUM(W86:W90)</f>
        <v>4653.375</v>
      </c>
      <c r="X91" s="543">
        <f t="shared" ref="X91" si="84">+SUM(X86:X90)</f>
        <v>5530.4</v>
      </c>
      <c r="Y91" s="543">
        <f t="shared" ref="Y91" si="85">+SUM(Y86:Y90)</f>
        <v>5933.4</v>
      </c>
      <c r="Z91" s="543">
        <f t="shared" ref="Z91" si="86">+SUM(Z86:Z90)</f>
        <v>6051.4</v>
      </c>
      <c r="AA91" s="543">
        <f t="shared" ref="AA91" si="87">+SUM(AA86:AA90)</f>
        <v>6249.03</v>
      </c>
      <c r="AB91" s="543">
        <f t="shared" ref="AB91" si="88">+SUM(AB86:AB90)</f>
        <v>5378.03</v>
      </c>
      <c r="AC91" s="543">
        <f t="shared" ref="AC91" si="89">+SUM(AC86:AC90)</f>
        <v>4252.9999999999991</v>
      </c>
      <c r="AD91" s="543">
        <f t="shared" ref="AD91" si="90">+SUM(AD86:AD90)</f>
        <v>4395.9999999999991</v>
      </c>
      <c r="AE91" s="543">
        <f t="shared" ref="AE91" si="91">+SUM(AE86:AE90)</f>
        <v>5661.0405869999995</v>
      </c>
      <c r="AF91" s="543">
        <f t="shared" ref="AF91" si="92">+SUM(AF86:AF90)</f>
        <v>6442.1246445635006</v>
      </c>
      <c r="AG91" s="543">
        <f t="shared" ref="AG91" si="93">+SUM(AG86:AG90)</f>
        <v>6911.2500285999758</v>
      </c>
      <c r="AH91" s="543">
        <f t="shared" ref="AH91" si="94">+SUM(AH86:AH90)</f>
        <v>7078.2547557676389</v>
      </c>
      <c r="AI91" s="543">
        <f t="shared" ref="AI91" si="95">+SUM(AI86:AI90)</f>
        <v>6980.5286176699892</v>
      </c>
      <c r="AJ91" s="543">
        <f t="shared" ref="AJ91" si="96">+SUM(AJ86:AJ90)</f>
        <v>6638.873542214149</v>
      </c>
    </row>
    <row r="92" spans="2:36" x14ac:dyDescent="0.2">
      <c r="B92" s="1502" t="s">
        <v>693</v>
      </c>
      <c r="O92" s="453">
        <f>+O91-O44</f>
        <v>0</v>
      </c>
      <c r="P92" s="453">
        <f t="shared" ref="P92" si="97">+P91-P44</f>
        <v>0</v>
      </c>
      <c r="Q92" s="453">
        <f t="shared" ref="Q92" si="98">+Q91-Q44</f>
        <v>0</v>
      </c>
      <c r="R92" s="453">
        <f t="shared" ref="R92" si="99">+R91-R44</f>
        <v>0</v>
      </c>
      <c r="S92" s="453">
        <f t="shared" ref="S92" si="100">+S91-S44</f>
        <v>0</v>
      </c>
      <c r="T92" s="453">
        <f t="shared" ref="T92" si="101">+T91-T44</f>
        <v>0</v>
      </c>
      <c r="U92" s="453">
        <f t="shared" ref="U92" si="102">+U91-U44</f>
        <v>0</v>
      </c>
      <c r="V92" s="453">
        <f t="shared" ref="V92" si="103">+V91-V44</f>
        <v>0</v>
      </c>
      <c r="W92" s="453">
        <f t="shared" ref="W92" si="104">+W91-W44</f>
        <v>0</v>
      </c>
      <c r="X92" s="453">
        <f t="shared" ref="X92" si="105">+X91-X44</f>
        <v>0</v>
      </c>
      <c r="Y92" s="453">
        <f t="shared" ref="Y92" si="106">+Y91-Y44</f>
        <v>0</v>
      </c>
      <c r="Z92" s="453">
        <f t="shared" ref="Z92" si="107">+Z91-Z44</f>
        <v>0</v>
      </c>
      <c r="AA92" s="453">
        <f t="shared" ref="AA92" si="108">+AA91-AA44</f>
        <v>0</v>
      </c>
      <c r="AB92" s="453">
        <f t="shared" ref="AB92" si="109">+AB91-AB44</f>
        <v>0</v>
      </c>
      <c r="AC92" s="453">
        <f t="shared" ref="AC92" si="110">+AC91-AC44</f>
        <v>0</v>
      </c>
      <c r="AD92" s="453">
        <f t="shared" ref="AD92" si="111">+AD91-AD44</f>
        <v>0</v>
      </c>
      <c r="AE92" s="453">
        <f t="shared" ref="AE92" si="112">+AE91-AE44</f>
        <v>0</v>
      </c>
      <c r="AF92" s="453">
        <f t="shared" ref="AF92" si="113">+AF91-AF44</f>
        <v>0</v>
      </c>
      <c r="AG92" s="453">
        <f t="shared" ref="AG92" si="114">+AG91-AG44</f>
        <v>0</v>
      </c>
      <c r="AH92" s="453">
        <f t="shared" ref="AH92" si="115">+AH91-AH44</f>
        <v>0</v>
      </c>
      <c r="AI92" s="453">
        <f t="shared" ref="AI92" si="116">+AI91-AI44</f>
        <v>0</v>
      </c>
      <c r="AJ92" s="453">
        <f t="shared" ref="AJ92" si="117">+AJ91-AJ44</f>
        <v>0</v>
      </c>
    </row>
  </sheetData>
  <phoneticPr fontId="10" type="noConversion"/>
  <pageMargins left="0" right="0" top="0" bottom="0" header="0" footer="0"/>
  <pageSetup paperSize="5" orientation="landscape" horizontalDpi="300" verticalDpi="300" r:id="rId1"/>
  <headerFooter alignWithMargins="0"/>
  <rowBreaks count="1" manualBreakCount="1">
    <brk id="48" max="16383" man="1"/>
  </rowBreaks>
  <colBreaks count="1" manualBreakCount="1">
    <brk id="15" max="45" man="1"/>
  </colBreaks>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N61"/>
  <sheetViews>
    <sheetView showGridLines="0" zoomScale="85" zoomScaleNormal="85" workbookViewId="0"/>
  </sheetViews>
  <sheetFormatPr defaultRowHeight="12.75" outlineLevelCol="1" x14ac:dyDescent="0.2"/>
  <cols>
    <col min="1" max="1" width="3.140625" style="185" customWidth="1"/>
    <col min="2" max="2" width="4.42578125" style="185" customWidth="1"/>
    <col min="3" max="3" width="4.28515625" style="185" customWidth="1"/>
    <col min="4" max="4" width="10.28515625" style="185" hidden="1" customWidth="1" outlineLevel="1"/>
    <col min="5" max="5" width="2.140625" style="185" hidden="1" customWidth="1" outlineLevel="1"/>
    <col min="6" max="6" width="10.28515625" style="185" hidden="1" customWidth="1" outlineLevel="1"/>
    <col min="7" max="7" width="2.140625" style="185" hidden="1" customWidth="1" outlineLevel="1"/>
    <col min="8" max="8" width="10.28515625" style="185" hidden="1" customWidth="1" outlineLevel="1"/>
    <col min="9" max="9" width="2.140625" style="185" hidden="1" customWidth="1" outlineLevel="1"/>
    <col min="10" max="10" width="10.28515625" style="185" hidden="1" customWidth="1" outlineLevel="1"/>
    <col min="11" max="11" width="2.140625" style="185" hidden="1" customWidth="1" outlineLevel="1"/>
    <col min="12" max="12" width="10.28515625" style="185" hidden="1" customWidth="1" outlineLevel="1"/>
    <col min="13" max="13" width="2.140625" style="185" hidden="1" customWidth="1" outlineLevel="1"/>
    <col min="14" max="14" width="10.28515625" style="185" hidden="1" customWidth="1" outlineLevel="1"/>
    <col min="15" max="15" width="2.140625" style="185" hidden="1" customWidth="1" outlineLevel="1"/>
    <col min="16" max="16" width="10.28515625" style="185" hidden="1" customWidth="1" outlineLevel="1"/>
    <col min="17" max="17" width="2.140625" style="185" hidden="1" customWidth="1" outlineLevel="1"/>
    <col min="18" max="18" width="10.28515625" style="185" hidden="1" customWidth="1" outlineLevel="1"/>
    <col min="19" max="19" width="2.140625" style="185" hidden="1" customWidth="1" outlineLevel="1"/>
    <col min="20" max="20" width="10.28515625" style="185" hidden="1" customWidth="1" outlineLevel="1"/>
    <col min="21" max="21" width="2.140625" style="185" hidden="1" customWidth="1" outlineLevel="1"/>
    <col min="22" max="22" width="9.140625" style="185" customWidth="1" collapsed="1"/>
    <col min="23" max="23" width="2.140625" style="185" customWidth="1"/>
    <col min="24" max="24" width="9.42578125" style="185" customWidth="1"/>
    <col min="25" max="25" width="2.140625" style="185" customWidth="1"/>
    <col min="26" max="26" width="9.42578125" style="185" customWidth="1"/>
    <col min="27" max="27" width="2.140625" style="185" customWidth="1"/>
    <col min="28" max="28" width="10.28515625" style="185" customWidth="1"/>
    <col min="29" max="29" width="2.140625" style="185" customWidth="1"/>
    <col min="30" max="30" width="10.28515625" style="185" customWidth="1"/>
    <col min="31" max="31" width="2.140625" style="185" customWidth="1"/>
    <col min="32" max="32" width="10.28515625" style="185" customWidth="1"/>
    <col min="33" max="33" width="2.140625" style="185" customWidth="1"/>
    <col min="34" max="34" width="10.28515625" style="185" customWidth="1"/>
    <col min="35" max="35" width="2.140625" style="185" customWidth="1"/>
    <col min="36" max="36" width="10.28515625" style="185" customWidth="1"/>
    <col min="37" max="37" width="2.140625" style="185" customWidth="1"/>
    <col min="38" max="38" width="9.140625" style="185"/>
    <col min="39" max="39" width="2.140625" style="185" hidden="1" customWidth="1"/>
    <col min="40" max="40" width="0" style="12" hidden="1" customWidth="1"/>
    <col min="41" max="16384" width="9.140625" style="185"/>
  </cols>
  <sheetData>
    <row r="1" spans="1:40" x14ac:dyDescent="0.2">
      <c r="A1" s="281" t="s">
        <v>285</v>
      </c>
      <c r="AB1" s="387"/>
      <c r="AD1" s="387"/>
      <c r="AF1" s="387"/>
      <c r="AH1" s="387"/>
      <c r="AJ1" s="387"/>
    </row>
    <row r="2" spans="1:40" x14ac:dyDescent="0.2">
      <c r="A2" s="329" t="s">
        <v>698</v>
      </c>
      <c r="B2" s="284"/>
      <c r="C2" s="284"/>
      <c r="D2" s="284"/>
      <c r="E2" s="284"/>
      <c r="F2" s="284"/>
      <c r="G2" s="284"/>
      <c r="H2" s="284"/>
      <c r="I2" s="284"/>
      <c r="J2" s="284"/>
      <c r="K2" s="284"/>
      <c r="L2" s="284"/>
      <c r="M2" s="284"/>
      <c r="N2" s="284"/>
      <c r="O2" s="284"/>
      <c r="P2" s="284"/>
      <c r="Q2" s="284"/>
      <c r="R2" s="284"/>
      <c r="S2" s="284"/>
      <c r="T2" s="284"/>
      <c r="U2" s="284"/>
      <c r="V2" s="284"/>
      <c r="W2" s="284"/>
      <c r="X2" s="284"/>
      <c r="Y2" s="284"/>
      <c r="Z2" s="284"/>
      <c r="AA2" s="284"/>
      <c r="AB2" s="956"/>
      <c r="AC2" s="284"/>
      <c r="AD2" s="956"/>
      <c r="AE2" s="284"/>
      <c r="AF2" s="956"/>
      <c r="AG2" s="284"/>
      <c r="AH2" s="956"/>
      <c r="AI2" s="284"/>
      <c r="AJ2" s="956"/>
      <c r="AK2" s="284"/>
      <c r="AL2" s="284"/>
      <c r="AM2" s="284"/>
      <c r="AN2" s="1122"/>
    </row>
    <row r="3" spans="1:40" x14ac:dyDescent="0.2">
      <c r="A3" s="478" t="s">
        <v>102</v>
      </c>
      <c r="AB3" s="387"/>
      <c r="AD3" s="387"/>
      <c r="AF3" s="387"/>
      <c r="AH3" s="387"/>
      <c r="AJ3" s="387"/>
    </row>
    <row r="4" spans="1:40" x14ac:dyDescent="0.2">
      <c r="AB4" s="387"/>
      <c r="AD4" s="387"/>
      <c r="AF4" s="387"/>
      <c r="AH4" s="387"/>
      <c r="AJ4" s="387"/>
    </row>
    <row r="5" spans="1:40" x14ac:dyDescent="0.2">
      <c r="D5" s="603">
        <v>2000</v>
      </c>
      <c r="F5" s="603">
        <v>2001</v>
      </c>
      <c r="H5" s="603">
        <f>F5+1</f>
        <v>2002</v>
      </c>
      <c r="J5" s="603">
        <v>2003</v>
      </c>
      <c r="L5" s="603">
        <f>J5+1</f>
        <v>2004</v>
      </c>
      <c r="N5" s="603">
        <f>L5+1</f>
        <v>2005</v>
      </c>
      <c r="P5" s="603">
        <f>N5+1</f>
        <v>2006</v>
      </c>
      <c r="R5" s="603">
        <f>P5+1</f>
        <v>2007</v>
      </c>
      <c r="T5" s="603">
        <f>R5+1</f>
        <v>2008</v>
      </c>
      <c r="V5" s="603">
        <f>T5+1</f>
        <v>2009</v>
      </c>
      <c r="X5" s="603">
        <f>V5+1</f>
        <v>2010</v>
      </c>
      <c r="Z5" s="603">
        <f>X5+1</f>
        <v>2011</v>
      </c>
      <c r="AB5" s="603">
        <f>Z5+1</f>
        <v>2012</v>
      </c>
      <c r="AD5" s="603">
        <f>AB5+1</f>
        <v>2013</v>
      </c>
      <c r="AF5" s="603">
        <f>AD5+1</f>
        <v>2014</v>
      </c>
      <c r="AH5" s="603">
        <f>AF5+1</f>
        <v>2015</v>
      </c>
      <c r="AJ5" s="603">
        <f>AH5+1</f>
        <v>2016</v>
      </c>
      <c r="AL5" s="603">
        <f>AJ5+1</f>
        <v>2017</v>
      </c>
      <c r="AN5" s="1301">
        <f>AL5+1</f>
        <v>2018</v>
      </c>
    </row>
    <row r="6" spans="1:40" x14ac:dyDescent="0.2">
      <c r="AB6" s="387"/>
      <c r="AD6" s="387"/>
      <c r="AF6" s="387"/>
      <c r="AH6" s="387"/>
      <c r="AJ6" s="387"/>
    </row>
    <row r="7" spans="1:40" x14ac:dyDescent="0.2">
      <c r="A7" s="942" t="s">
        <v>103</v>
      </c>
      <c r="B7" s="942"/>
      <c r="C7" s="942"/>
      <c r="D7" s="942"/>
      <c r="E7" s="942"/>
      <c r="F7" s="942"/>
      <c r="G7" s="942"/>
      <c r="H7" s="942"/>
      <c r="I7" s="942"/>
      <c r="J7" s="942"/>
      <c r="K7" s="942"/>
      <c r="L7" s="942"/>
      <c r="M7" s="942"/>
      <c r="N7" s="942"/>
      <c r="O7" s="942"/>
      <c r="P7" s="942"/>
      <c r="Q7" s="942"/>
      <c r="R7" s="942"/>
      <c r="S7" s="942"/>
      <c r="T7" s="942"/>
      <c r="U7" s="942"/>
      <c r="V7" s="942"/>
      <c r="W7" s="942"/>
      <c r="X7" s="942"/>
      <c r="Y7" s="942"/>
      <c r="Z7" s="942"/>
      <c r="AA7" s="942"/>
      <c r="AB7" s="942"/>
      <c r="AC7" s="942"/>
      <c r="AD7" s="942"/>
      <c r="AE7" s="942"/>
      <c r="AF7" s="942"/>
      <c r="AG7" s="942"/>
      <c r="AH7" s="942"/>
      <c r="AI7" s="942"/>
      <c r="AJ7" s="942"/>
    </row>
    <row r="8" spans="1:40" x14ac:dyDescent="0.2">
      <c r="A8" s="185" t="s">
        <v>95</v>
      </c>
      <c r="B8" s="185" t="s">
        <v>79</v>
      </c>
      <c r="D8" s="944"/>
      <c r="E8" s="488"/>
      <c r="F8" s="944">
        <v>448</v>
      </c>
      <c r="G8" s="488"/>
      <c r="H8" s="944">
        <v>1009</v>
      </c>
      <c r="I8" s="488"/>
      <c r="J8" s="944">
        <v>744</v>
      </c>
      <c r="K8" s="488"/>
      <c r="L8" s="944">
        <v>913</v>
      </c>
      <c r="M8" s="488"/>
      <c r="N8" s="944">
        <v>918.35400000000004</v>
      </c>
      <c r="O8" s="488"/>
      <c r="P8" s="944">
        <v>241.00000000000364</v>
      </c>
      <c r="Q8" s="488"/>
      <c r="R8" s="944">
        <v>499.87500000000364</v>
      </c>
      <c r="S8" s="488"/>
      <c r="T8" s="944">
        <v>366</v>
      </c>
      <c r="U8" s="488"/>
      <c r="V8" s="1081">
        <v>294.87500000000364</v>
      </c>
      <c r="W8" s="1080"/>
      <c r="X8" s="1081">
        <v>981</v>
      </c>
      <c r="Y8" s="1080"/>
      <c r="Z8" s="1081">
        <v>1152</v>
      </c>
      <c r="AA8" s="1080"/>
      <c r="AB8" s="1081">
        <v>1891</v>
      </c>
      <c r="AC8" s="1080"/>
      <c r="AD8" s="1081">
        <v>1752</v>
      </c>
      <c r="AE8" s="1080"/>
      <c r="AF8" s="1081">
        <v>1878</v>
      </c>
      <c r="AG8" s="1080"/>
      <c r="AH8" s="1081">
        <v>1509</v>
      </c>
      <c r="AI8" s="1080"/>
      <c r="AJ8" s="1081">
        <v>734</v>
      </c>
      <c r="AK8" s="1080"/>
      <c r="AL8" s="1081">
        <v>1201</v>
      </c>
      <c r="AM8" s="1080"/>
      <c r="AN8" s="1302"/>
    </row>
    <row r="9" spans="1:40" x14ac:dyDescent="0.2">
      <c r="A9" s="185" t="s">
        <v>96</v>
      </c>
      <c r="B9" s="185" t="s">
        <v>80</v>
      </c>
      <c r="D9" s="944"/>
      <c r="E9" s="488"/>
      <c r="F9" s="944">
        <v>257</v>
      </c>
      <c r="G9" s="488"/>
      <c r="H9" s="944">
        <v>1398</v>
      </c>
      <c r="I9" s="488"/>
      <c r="J9" s="944">
        <v>564</v>
      </c>
      <c r="K9" s="488"/>
      <c r="L9" s="944">
        <v>605</v>
      </c>
      <c r="M9" s="488"/>
      <c r="N9" s="944">
        <v>1399.354</v>
      </c>
      <c r="O9" s="488"/>
      <c r="P9" s="944">
        <v>1061.875</v>
      </c>
      <c r="Q9" s="488"/>
      <c r="R9" s="944">
        <v>248.87500000000364</v>
      </c>
      <c r="S9" s="488"/>
      <c r="T9" s="944">
        <v>1292.875</v>
      </c>
      <c r="U9" s="488"/>
      <c r="V9" s="1081">
        <v>514.87500000000364</v>
      </c>
      <c r="W9" s="1080"/>
      <c r="X9" s="1081">
        <v>1208</v>
      </c>
      <c r="Y9" s="1080"/>
      <c r="Z9" s="1081">
        <v>1495</v>
      </c>
      <c r="AA9" s="1080"/>
      <c r="AB9" s="1081">
        <v>1604</v>
      </c>
      <c r="AC9" s="1080"/>
      <c r="AD9" s="1081">
        <v>1424</v>
      </c>
      <c r="AE9" s="1080"/>
      <c r="AF9" s="1081">
        <v>1630</v>
      </c>
      <c r="AG9" s="1080"/>
      <c r="AH9" s="1081">
        <v>843</v>
      </c>
      <c r="AI9" s="1080"/>
      <c r="AJ9" s="1081">
        <v>1000</v>
      </c>
      <c r="AK9" s="1080"/>
      <c r="AL9" s="1081">
        <v>783</v>
      </c>
      <c r="AM9" s="1080"/>
      <c r="AN9" s="1302"/>
    </row>
    <row r="10" spans="1:40" x14ac:dyDescent="0.2">
      <c r="A10" s="185" t="s">
        <v>97</v>
      </c>
      <c r="B10" s="185" t="s">
        <v>81</v>
      </c>
      <c r="D10" s="944"/>
      <c r="E10" s="488"/>
      <c r="F10" s="944">
        <v>224</v>
      </c>
      <c r="G10" s="488"/>
      <c r="H10" s="944">
        <v>216</v>
      </c>
      <c r="I10" s="488"/>
      <c r="J10" s="944">
        <v>227</v>
      </c>
      <c r="K10" s="488"/>
      <c r="L10" s="944">
        <v>212</v>
      </c>
      <c r="M10" s="488"/>
      <c r="N10" s="944">
        <v>269.59141007194262</v>
      </c>
      <c r="O10" s="488"/>
      <c r="P10" s="944">
        <v>770.87500000000364</v>
      </c>
      <c r="Q10" s="488"/>
      <c r="R10" s="944">
        <v>274.87500000000364</v>
      </c>
      <c r="S10" s="488"/>
      <c r="T10" s="944">
        <v>299.87500000000364</v>
      </c>
      <c r="U10" s="488"/>
      <c r="V10" s="1081">
        <v>488.87500000000364</v>
      </c>
      <c r="W10" s="1080"/>
      <c r="X10" s="1081">
        <v>715</v>
      </c>
      <c r="Y10" s="1080"/>
      <c r="Z10" s="1081">
        <v>1097</v>
      </c>
      <c r="AA10" s="1080"/>
      <c r="AB10" s="1081">
        <v>1264</v>
      </c>
      <c r="AC10" s="1080"/>
      <c r="AD10" s="1081">
        <v>1171</v>
      </c>
      <c r="AE10" s="1080"/>
      <c r="AF10" s="1081">
        <v>1048</v>
      </c>
      <c r="AG10" s="1080"/>
      <c r="AH10" s="1081">
        <v>474</v>
      </c>
      <c r="AI10" s="1080"/>
      <c r="AJ10" s="1081">
        <v>457</v>
      </c>
      <c r="AK10" s="1080"/>
      <c r="AL10" s="1081">
        <v>534</v>
      </c>
      <c r="AM10" s="1080"/>
      <c r="AN10" s="1303"/>
    </row>
    <row r="11" spans="1:40" x14ac:dyDescent="0.2">
      <c r="A11" s="185" t="s">
        <v>98</v>
      </c>
      <c r="B11" s="185" t="s">
        <v>82</v>
      </c>
      <c r="D11" s="944">
        <v>222</v>
      </c>
      <c r="E11" s="488"/>
      <c r="F11" s="944">
        <v>636</v>
      </c>
      <c r="G11" s="488"/>
      <c r="H11" s="944">
        <v>716</v>
      </c>
      <c r="I11" s="488"/>
      <c r="J11" s="944">
        <v>925</v>
      </c>
      <c r="K11" s="488"/>
      <c r="L11" s="944">
        <v>868</v>
      </c>
      <c r="M11" s="488"/>
      <c r="N11" s="944">
        <v>248.00000000000432</v>
      </c>
      <c r="O11" s="488"/>
      <c r="P11" s="944">
        <v>1210.875</v>
      </c>
      <c r="Q11" s="488"/>
      <c r="R11" s="944">
        <v>582.87500000000364</v>
      </c>
      <c r="S11" s="488"/>
      <c r="T11" s="944">
        <v>1305.875</v>
      </c>
      <c r="U11" s="488"/>
      <c r="V11" s="1081">
        <v>1686.375</v>
      </c>
      <c r="W11" s="1080"/>
      <c r="X11" s="1081">
        <v>1464</v>
      </c>
      <c r="Y11" s="1080"/>
      <c r="Z11" s="1081">
        <v>2827</v>
      </c>
      <c r="AA11" s="1080"/>
      <c r="AB11" s="1081">
        <f>bal!Z9</f>
        <v>1836.3999999999978</v>
      </c>
      <c r="AC11" s="1080"/>
      <c r="AD11" s="1081">
        <f>bal!AA9</f>
        <v>2273.0322869955135</v>
      </c>
      <c r="AE11" s="1080"/>
      <c r="AF11" s="1081">
        <v>2246</v>
      </c>
      <c r="AG11" s="1080"/>
      <c r="AH11" s="1081">
        <v>1109</v>
      </c>
      <c r="AI11" s="1080"/>
      <c r="AJ11" s="1081">
        <v>1297</v>
      </c>
      <c r="AK11" s="1080"/>
      <c r="AL11" s="1079">
        <v>1455</v>
      </c>
      <c r="AM11" s="1080"/>
      <c r="AN11" s="1303"/>
    </row>
    <row r="12" spans="1:40" x14ac:dyDescent="0.2">
      <c r="AB12" s="387"/>
      <c r="AD12" s="387"/>
      <c r="AF12" s="387"/>
      <c r="AH12" s="387"/>
      <c r="AJ12" s="387"/>
    </row>
    <row r="13" spans="1:40" x14ac:dyDescent="0.2">
      <c r="A13" s="942" t="s">
        <v>279</v>
      </c>
      <c r="B13" s="942"/>
      <c r="C13" s="942"/>
      <c r="D13" s="942"/>
      <c r="E13" s="942"/>
      <c r="F13" s="942"/>
      <c r="G13" s="942"/>
      <c r="H13" s="942"/>
      <c r="I13" s="942"/>
      <c r="J13" s="942"/>
      <c r="K13" s="942"/>
      <c r="L13" s="942"/>
      <c r="M13" s="942"/>
      <c r="N13" s="942"/>
      <c r="O13" s="942"/>
      <c r="P13" s="942"/>
      <c r="Q13" s="942"/>
      <c r="R13" s="942"/>
      <c r="S13" s="942"/>
      <c r="T13" s="942"/>
      <c r="U13" s="942"/>
      <c r="V13" s="942"/>
      <c r="W13" s="942"/>
      <c r="X13" s="942"/>
      <c r="Y13" s="942"/>
      <c r="Z13" s="942"/>
      <c r="AA13" s="942"/>
      <c r="AB13" s="957"/>
      <c r="AC13" s="942"/>
      <c r="AD13" s="957"/>
      <c r="AE13" s="942"/>
      <c r="AF13" s="957"/>
      <c r="AG13" s="942"/>
      <c r="AH13" s="957"/>
      <c r="AI13" s="942"/>
      <c r="AJ13" s="957"/>
    </row>
    <row r="14" spans="1:40" x14ac:dyDescent="0.2">
      <c r="A14" s="185" t="s">
        <v>95</v>
      </c>
      <c r="B14" s="185" t="s">
        <v>79</v>
      </c>
      <c r="D14" s="944"/>
      <c r="E14" s="488"/>
      <c r="F14" s="944">
        <v>1129</v>
      </c>
      <c r="G14" s="488"/>
      <c r="H14" s="944">
        <v>1006</v>
      </c>
      <c r="I14" s="488"/>
      <c r="J14" s="944">
        <v>939</v>
      </c>
      <c r="K14" s="944"/>
      <c r="L14" s="944">
        <v>916</v>
      </c>
      <c r="M14" s="488"/>
      <c r="N14" s="944">
        <v>1226</v>
      </c>
      <c r="O14" s="488"/>
      <c r="P14" s="944">
        <v>1346</v>
      </c>
      <c r="Q14" s="488"/>
      <c r="R14" s="944">
        <v>648</v>
      </c>
      <c r="S14" s="488"/>
      <c r="T14" s="944">
        <v>1016</v>
      </c>
      <c r="U14" s="488"/>
      <c r="V14" s="1081">
        <v>135</v>
      </c>
      <c r="W14" s="1080"/>
      <c r="X14" s="1081">
        <v>685</v>
      </c>
      <c r="Y14" s="1080"/>
      <c r="Z14" s="1081">
        <v>741</v>
      </c>
      <c r="AA14" s="1080"/>
      <c r="AB14" s="1081">
        <v>313</v>
      </c>
      <c r="AC14" s="1080"/>
      <c r="AD14" s="1081">
        <v>124</v>
      </c>
      <c r="AE14" s="1080"/>
      <c r="AF14" s="1081">
        <v>461</v>
      </c>
      <c r="AG14" s="1080"/>
      <c r="AH14" s="1081">
        <v>76</v>
      </c>
      <c r="AI14" s="1080"/>
      <c r="AJ14" s="1081">
        <v>642</v>
      </c>
      <c r="AK14" s="1080"/>
      <c r="AL14" s="1081">
        <v>313</v>
      </c>
      <c r="AM14" s="1080"/>
      <c r="AN14" s="1302"/>
    </row>
    <row r="15" spans="1:40" x14ac:dyDescent="0.2">
      <c r="A15" s="185" t="s">
        <v>96</v>
      </c>
      <c r="B15" s="185" t="s">
        <v>80</v>
      </c>
      <c r="D15" s="944"/>
      <c r="E15" s="488"/>
      <c r="F15" s="944">
        <v>599</v>
      </c>
      <c r="G15" s="488"/>
      <c r="H15" s="944">
        <v>1919</v>
      </c>
      <c r="I15" s="488"/>
      <c r="J15" s="944">
        <v>749</v>
      </c>
      <c r="K15" s="944"/>
      <c r="L15" s="944">
        <v>691</v>
      </c>
      <c r="M15" s="488"/>
      <c r="N15" s="944">
        <v>1229</v>
      </c>
      <c r="O15" s="488"/>
      <c r="P15" s="944">
        <v>428</v>
      </c>
      <c r="Q15" s="488"/>
      <c r="R15" s="944">
        <v>895</v>
      </c>
      <c r="S15" s="488"/>
      <c r="T15" s="944">
        <v>1616</v>
      </c>
      <c r="U15" s="488"/>
      <c r="V15" s="1081">
        <v>92</v>
      </c>
      <c r="W15" s="1080"/>
      <c r="X15" s="1081">
        <v>609</v>
      </c>
      <c r="Y15" s="1080"/>
      <c r="Z15" s="1081">
        <v>914</v>
      </c>
      <c r="AA15" s="1080"/>
      <c r="AB15" s="1081">
        <v>313</v>
      </c>
      <c r="AC15" s="1080"/>
      <c r="AD15" s="1081">
        <v>575</v>
      </c>
      <c r="AE15" s="1080"/>
      <c r="AF15" s="1081">
        <v>483</v>
      </c>
      <c r="AG15" s="1080"/>
      <c r="AH15" s="1081">
        <v>83</v>
      </c>
      <c r="AI15" s="1080"/>
      <c r="AJ15" s="1081">
        <v>942</v>
      </c>
      <c r="AK15" s="1080"/>
      <c r="AL15" s="1081">
        <v>16</v>
      </c>
      <c r="AM15" s="1080"/>
      <c r="AN15" s="1302"/>
    </row>
    <row r="16" spans="1:40" x14ac:dyDescent="0.2">
      <c r="A16" s="185" t="s">
        <v>97</v>
      </c>
      <c r="B16" s="185" t="s">
        <v>81</v>
      </c>
      <c r="D16" s="944"/>
      <c r="E16" s="488"/>
      <c r="F16" s="944">
        <v>1809</v>
      </c>
      <c r="G16" s="488"/>
      <c r="H16" s="944">
        <v>1306</v>
      </c>
      <c r="I16" s="488"/>
      <c r="J16" s="944">
        <v>839</v>
      </c>
      <c r="K16" s="944"/>
      <c r="L16" s="944">
        <v>845</v>
      </c>
      <c r="M16" s="488"/>
      <c r="N16" s="944">
        <v>2738</v>
      </c>
      <c r="O16" s="488"/>
      <c r="P16" s="944">
        <v>657</v>
      </c>
      <c r="Q16" s="488"/>
      <c r="R16" s="944">
        <v>1634</v>
      </c>
      <c r="S16" s="488"/>
      <c r="T16" s="944">
        <v>1086</v>
      </c>
      <c r="U16" s="488"/>
      <c r="V16" s="1081">
        <v>92</v>
      </c>
      <c r="W16" s="1080"/>
      <c r="X16" s="1081">
        <v>605</v>
      </c>
      <c r="Y16" s="1080"/>
      <c r="Z16" s="1081">
        <v>805</v>
      </c>
      <c r="AA16" s="1080"/>
      <c r="AB16" s="1081">
        <v>421</v>
      </c>
      <c r="AC16" s="1080"/>
      <c r="AD16" s="1081">
        <v>465</v>
      </c>
      <c r="AE16" s="1080"/>
      <c r="AF16" s="1081">
        <v>483</v>
      </c>
      <c r="AG16" s="1080"/>
      <c r="AH16" s="1081">
        <v>857</v>
      </c>
      <c r="AI16" s="1080"/>
      <c r="AJ16" s="1081">
        <v>938</v>
      </c>
      <c r="AK16" s="1080"/>
      <c r="AL16" s="1081">
        <v>22</v>
      </c>
      <c r="AM16" s="1080"/>
      <c r="AN16" s="1303"/>
    </row>
    <row r="17" spans="1:40" x14ac:dyDescent="0.2">
      <c r="A17" s="185" t="s">
        <v>98</v>
      </c>
      <c r="B17" s="185" t="s">
        <v>82</v>
      </c>
      <c r="D17" s="944">
        <v>1117</v>
      </c>
      <c r="E17" s="488"/>
      <c r="F17" s="944">
        <v>1012</v>
      </c>
      <c r="G17" s="488"/>
      <c r="H17" s="944">
        <v>946</v>
      </c>
      <c r="I17" s="488"/>
      <c r="J17" s="944">
        <v>908</v>
      </c>
      <c r="K17" s="944"/>
      <c r="L17" s="944">
        <v>1242</v>
      </c>
      <c r="M17" s="488"/>
      <c r="N17" s="944">
        <v>1323</v>
      </c>
      <c r="O17" s="488"/>
      <c r="P17" s="944">
        <v>650</v>
      </c>
      <c r="Q17" s="488"/>
      <c r="R17" s="944">
        <v>666</v>
      </c>
      <c r="S17" s="488"/>
      <c r="T17" s="944">
        <v>966</v>
      </c>
      <c r="U17" s="488"/>
      <c r="V17" s="1081">
        <v>242</v>
      </c>
      <c r="W17" s="1080"/>
      <c r="X17" s="1081">
        <v>454</v>
      </c>
      <c r="Y17" s="1080"/>
      <c r="Z17" s="1081">
        <v>1103</v>
      </c>
      <c r="AA17" s="1080"/>
      <c r="AB17" s="1081">
        <f>bal!Z25+bal!Z29</f>
        <v>124</v>
      </c>
      <c r="AC17" s="1080"/>
      <c r="AD17" s="1081">
        <f>bal!AA25+bal!AA29</f>
        <v>463</v>
      </c>
      <c r="AE17" s="1080"/>
      <c r="AF17" s="1081">
        <f>bal!AB25+bal!AB29</f>
        <v>76</v>
      </c>
      <c r="AG17" s="1080"/>
      <c r="AH17" s="1081">
        <v>642</v>
      </c>
      <c r="AI17" s="1080"/>
      <c r="AJ17" s="1081">
        <v>309</v>
      </c>
      <c r="AK17" s="1080"/>
      <c r="AL17" s="1079">
        <v>22</v>
      </c>
      <c r="AM17" s="1080"/>
      <c r="AN17" s="1303"/>
    </row>
    <row r="18" spans="1:40" x14ac:dyDescent="0.2">
      <c r="AB18" s="387"/>
      <c r="AD18" s="387"/>
      <c r="AF18" s="387"/>
      <c r="AH18" s="387"/>
      <c r="AJ18" s="387"/>
    </row>
    <row r="19" spans="1:40" x14ac:dyDescent="0.2">
      <c r="A19" s="942" t="s">
        <v>104</v>
      </c>
      <c r="B19" s="942"/>
      <c r="C19" s="942"/>
      <c r="D19" s="942"/>
      <c r="E19" s="942"/>
      <c r="F19" s="942"/>
      <c r="G19" s="942"/>
      <c r="H19" s="942"/>
      <c r="I19" s="942"/>
      <c r="J19" s="942"/>
      <c r="K19" s="942"/>
      <c r="L19" s="942"/>
      <c r="M19" s="942"/>
      <c r="N19" s="942"/>
      <c r="O19" s="942"/>
      <c r="P19" s="942"/>
      <c r="Q19" s="942"/>
      <c r="R19" s="942"/>
      <c r="S19" s="942"/>
      <c r="T19" s="942"/>
      <c r="U19" s="942"/>
      <c r="V19" s="942"/>
      <c r="W19" s="942"/>
      <c r="X19" s="942"/>
      <c r="Y19" s="942"/>
      <c r="Z19" s="942"/>
      <c r="AA19" s="942"/>
      <c r="AB19" s="957"/>
      <c r="AC19" s="942"/>
      <c r="AD19" s="957"/>
      <c r="AE19" s="942"/>
      <c r="AF19" s="957"/>
      <c r="AG19" s="942"/>
      <c r="AH19" s="957"/>
      <c r="AI19" s="942"/>
      <c r="AJ19" s="957"/>
    </row>
    <row r="20" spans="1:40" x14ac:dyDescent="0.2">
      <c r="A20" s="185" t="s">
        <v>95</v>
      </c>
      <c r="B20" s="185" t="s">
        <v>79</v>
      </c>
      <c r="D20" s="944"/>
      <c r="E20" s="488"/>
      <c r="F20" s="944">
        <v>4342</v>
      </c>
      <c r="G20" s="488"/>
      <c r="H20" s="944">
        <v>3859</v>
      </c>
      <c r="I20" s="488"/>
      <c r="J20" s="944">
        <v>3406</v>
      </c>
      <c r="K20" s="944"/>
      <c r="L20" s="944">
        <v>3149</v>
      </c>
      <c r="M20" s="488"/>
      <c r="N20" s="944">
        <v>2635</v>
      </c>
      <c r="O20" s="488"/>
      <c r="P20" s="944">
        <v>8837</v>
      </c>
      <c r="Q20" s="488"/>
      <c r="R20" s="944">
        <v>9425</v>
      </c>
      <c r="S20" s="488"/>
      <c r="T20" s="944">
        <v>8723</v>
      </c>
      <c r="U20" s="488"/>
      <c r="V20" s="1081">
        <v>8719</v>
      </c>
      <c r="W20" s="1080"/>
      <c r="X20" s="1081">
        <v>7503</v>
      </c>
      <c r="Y20" s="1080"/>
      <c r="Z20" s="1081">
        <v>6343</v>
      </c>
      <c r="AA20" s="1080"/>
      <c r="AB20" s="1081">
        <v>6644</v>
      </c>
      <c r="AC20" s="1080"/>
      <c r="AD20" s="1081">
        <v>6797</v>
      </c>
      <c r="AE20" s="1080"/>
      <c r="AF20" s="1081">
        <v>6722</v>
      </c>
      <c r="AG20" s="1080"/>
      <c r="AH20" s="1081">
        <v>7260</v>
      </c>
      <c r="AI20" s="1080"/>
      <c r="AJ20" s="1081">
        <v>6990</v>
      </c>
      <c r="AK20" s="1080"/>
      <c r="AL20" s="1081">
        <v>6412</v>
      </c>
      <c r="AM20" s="1080"/>
      <c r="AN20" s="1302"/>
    </row>
    <row r="21" spans="1:40" x14ac:dyDescent="0.2">
      <c r="A21" s="185" t="s">
        <v>96</v>
      </c>
      <c r="B21" s="185" t="s">
        <v>80</v>
      </c>
      <c r="D21" s="944"/>
      <c r="E21" s="488"/>
      <c r="F21" s="944">
        <v>4713</v>
      </c>
      <c r="G21" s="488"/>
      <c r="H21" s="944">
        <v>3402</v>
      </c>
      <c r="I21" s="488"/>
      <c r="J21" s="944">
        <v>3154</v>
      </c>
      <c r="K21" s="944"/>
      <c r="L21" s="944">
        <v>3040</v>
      </c>
      <c r="M21" s="488"/>
      <c r="N21" s="944">
        <v>2634</v>
      </c>
      <c r="O21" s="488"/>
      <c r="P21" s="944">
        <v>8205</v>
      </c>
      <c r="Q21" s="488"/>
      <c r="R21" s="944">
        <v>9412</v>
      </c>
      <c r="S21" s="488"/>
      <c r="T21" s="944">
        <v>8761</v>
      </c>
      <c r="U21" s="488"/>
      <c r="V21" s="1081">
        <v>8632</v>
      </c>
      <c r="W21" s="1080"/>
      <c r="X21" s="1081">
        <v>7493</v>
      </c>
      <c r="Y21" s="1080"/>
      <c r="Z21" s="1081">
        <v>6162</v>
      </c>
      <c r="AA21" s="1080"/>
      <c r="AB21" s="1081">
        <v>6637</v>
      </c>
      <c r="AC21" s="1080"/>
      <c r="AD21" s="1081">
        <v>6339</v>
      </c>
      <c r="AE21" s="1080"/>
      <c r="AF21" s="1081">
        <v>6742</v>
      </c>
      <c r="AG21" s="1080"/>
      <c r="AH21" s="1081">
        <v>7181</v>
      </c>
      <c r="AI21" s="1080"/>
      <c r="AJ21" s="1081">
        <v>6688</v>
      </c>
      <c r="AK21" s="1080"/>
      <c r="AL21" s="1081">
        <v>6301</v>
      </c>
      <c r="AM21" s="1080"/>
      <c r="AN21" s="1302"/>
    </row>
    <row r="22" spans="1:40" x14ac:dyDescent="0.2">
      <c r="A22" s="185" t="s">
        <v>97</v>
      </c>
      <c r="B22" s="185" t="s">
        <v>81</v>
      </c>
      <c r="D22" s="944"/>
      <c r="E22" s="488"/>
      <c r="F22" s="944">
        <v>3861</v>
      </c>
      <c r="G22" s="488"/>
      <c r="H22" s="944">
        <v>3410</v>
      </c>
      <c r="I22" s="488"/>
      <c r="J22" s="944">
        <v>3152</v>
      </c>
      <c r="K22" s="944"/>
      <c r="L22" s="944">
        <v>3038</v>
      </c>
      <c r="M22" s="488"/>
      <c r="N22" s="944">
        <v>8868</v>
      </c>
      <c r="O22" s="488"/>
      <c r="P22" s="944">
        <v>7953</v>
      </c>
      <c r="Q22" s="488"/>
      <c r="R22" s="944">
        <v>9097</v>
      </c>
      <c r="S22" s="488"/>
      <c r="T22" s="944">
        <v>8748</v>
      </c>
      <c r="U22" s="488"/>
      <c r="V22" s="1081">
        <v>8618</v>
      </c>
      <c r="W22" s="1080"/>
      <c r="X22" s="1081">
        <v>6982</v>
      </c>
      <c r="Y22" s="1080"/>
      <c r="Z22" s="1081">
        <v>6151</v>
      </c>
      <c r="AA22" s="1080"/>
      <c r="AB22" s="1081">
        <v>6519</v>
      </c>
      <c r="AC22" s="1080"/>
      <c r="AD22" s="1081">
        <v>6732</v>
      </c>
      <c r="AE22" s="1080"/>
      <c r="AF22" s="1081">
        <v>6736</v>
      </c>
      <c r="AG22" s="1080"/>
      <c r="AH22" s="1081">
        <v>7106</v>
      </c>
      <c r="AI22" s="1080"/>
      <c r="AJ22" s="1081">
        <v>6563</v>
      </c>
      <c r="AK22" s="1080"/>
      <c r="AL22" s="1081">
        <v>6297</v>
      </c>
      <c r="AM22" s="1080"/>
      <c r="AN22" s="1303"/>
    </row>
    <row r="23" spans="1:40" x14ac:dyDescent="0.2">
      <c r="A23" s="185" t="s">
        <v>98</v>
      </c>
      <c r="B23" s="185" t="s">
        <v>82</v>
      </c>
      <c r="D23" s="944">
        <v>3845</v>
      </c>
      <c r="E23" s="488"/>
      <c r="F23" s="944">
        <v>3859</v>
      </c>
      <c r="G23" s="488"/>
      <c r="H23" s="944">
        <v>3408</v>
      </c>
      <c r="I23" s="488"/>
      <c r="J23" s="944">
        <v>3151</v>
      </c>
      <c r="K23" s="944"/>
      <c r="L23" s="944">
        <v>2637</v>
      </c>
      <c r="M23" s="488"/>
      <c r="N23" s="944">
        <v>8860</v>
      </c>
      <c r="O23" s="488"/>
      <c r="P23" s="944">
        <v>7847</v>
      </c>
      <c r="Q23" s="488"/>
      <c r="R23" s="944">
        <v>9087</v>
      </c>
      <c r="S23" s="488"/>
      <c r="T23" s="944">
        <v>8733</v>
      </c>
      <c r="U23" s="488"/>
      <c r="V23" s="1081">
        <v>8456</v>
      </c>
      <c r="W23" s="1080"/>
      <c r="X23" s="1081">
        <v>6971</v>
      </c>
      <c r="Y23" s="1080"/>
      <c r="Z23" s="1081">
        <v>6655</v>
      </c>
      <c r="AA23" s="1080"/>
      <c r="AB23" s="1081">
        <f>bal!Z32</f>
        <v>6806</v>
      </c>
      <c r="AC23" s="1080"/>
      <c r="AD23" s="1081">
        <f>bal!AA32</f>
        <v>6728</v>
      </c>
      <c r="AE23" s="1080"/>
      <c r="AF23" s="1081">
        <f>bal!AB32</f>
        <v>7265</v>
      </c>
      <c r="AG23" s="1080"/>
      <c r="AH23" s="1081">
        <v>6995</v>
      </c>
      <c r="AI23" s="1080"/>
      <c r="AJ23" s="1081">
        <v>6562</v>
      </c>
      <c r="AK23" s="1080"/>
      <c r="AL23" s="1079">
        <v>5861</v>
      </c>
      <c r="AM23" s="1080"/>
      <c r="AN23" s="1303"/>
    </row>
    <row r="24" spans="1:40" x14ac:dyDescent="0.2">
      <c r="AB24" s="387"/>
      <c r="AD24" s="387"/>
      <c r="AF24" s="387"/>
      <c r="AH24" s="387"/>
      <c r="AJ24" s="387"/>
    </row>
    <row r="25" spans="1:40" x14ac:dyDescent="0.2">
      <c r="A25" s="942" t="s">
        <v>105</v>
      </c>
      <c r="B25" s="957"/>
      <c r="C25" s="957"/>
      <c r="D25" s="957"/>
      <c r="E25" s="957"/>
      <c r="F25" s="957"/>
      <c r="G25" s="957"/>
      <c r="H25" s="957"/>
      <c r="I25" s="957"/>
      <c r="J25" s="957"/>
      <c r="K25" s="957"/>
      <c r="L25" s="957"/>
      <c r="M25" s="957"/>
      <c r="N25" s="957"/>
      <c r="O25" s="957"/>
      <c r="P25" s="957"/>
      <c r="Q25" s="957"/>
      <c r="R25" s="957"/>
      <c r="S25" s="957"/>
      <c r="T25" s="957"/>
      <c r="U25" s="957"/>
      <c r="V25" s="957"/>
      <c r="W25" s="957"/>
      <c r="X25" s="957"/>
      <c r="Y25" s="957"/>
      <c r="Z25" s="957"/>
      <c r="AA25" s="957"/>
      <c r="AB25" s="957"/>
      <c r="AC25" s="957"/>
      <c r="AD25" s="957"/>
      <c r="AE25" s="957"/>
      <c r="AF25" s="957"/>
      <c r="AG25" s="957"/>
      <c r="AH25" s="957"/>
      <c r="AI25" s="957"/>
      <c r="AJ25" s="957"/>
    </row>
    <row r="26" spans="1:40" x14ac:dyDescent="0.2">
      <c r="A26" s="185" t="s">
        <v>95</v>
      </c>
      <c r="B26" s="185" t="s">
        <v>79</v>
      </c>
      <c r="D26" s="386"/>
      <c r="F26" s="386">
        <f>F20+F14</f>
        <v>5471</v>
      </c>
      <c r="H26" s="386">
        <f>H20+H14</f>
        <v>4865</v>
      </c>
      <c r="J26" s="386">
        <f>J20+J14</f>
        <v>4345</v>
      </c>
      <c r="L26" s="386">
        <f>L20+L14</f>
        <v>4065</v>
      </c>
      <c r="N26" s="386">
        <f>N20+N14</f>
        <v>3861</v>
      </c>
      <c r="P26" s="386">
        <f>P20+P14</f>
        <v>10183</v>
      </c>
      <c r="R26" s="386">
        <f>R20+R14</f>
        <v>10073</v>
      </c>
      <c r="T26" s="386">
        <f>T20+T14</f>
        <v>9739</v>
      </c>
      <c r="V26" s="386">
        <f>V20+V14</f>
        <v>8854</v>
      </c>
      <c r="W26" s="958"/>
      <c r="X26" s="386">
        <f>X20+X14</f>
        <v>8188</v>
      </c>
      <c r="Y26" s="958"/>
      <c r="Z26" s="386">
        <f>Z20+Z14</f>
        <v>7084</v>
      </c>
      <c r="AA26" s="386"/>
      <c r="AB26" s="386">
        <f>AB20+AB14</f>
        <v>6957</v>
      </c>
      <c r="AC26" s="386"/>
      <c r="AD26" s="386">
        <f>AD20+AD14</f>
        <v>6921</v>
      </c>
      <c r="AE26" s="386"/>
      <c r="AF26" s="386">
        <f>AF20+AF14</f>
        <v>7183</v>
      </c>
      <c r="AG26" s="386"/>
      <c r="AH26" s="386">
        <f>AH20+AH14</f>
        <v>7336</v>
      </c>
      <c r="AI26" s="386"/>
      <c r="AJ26" s="386">
        <f>AJ20+AJ14</f>
        <v>7632</v>
      </c>
      <c r="AL26" s="386">
        <f>AL20+AL14</f>
        <v>6725</v>
      </c>
      <c r="AN26" s="1105"/>
    </row>
    <row r="27" spans="1:40" x14ac:dyDescent="0.2">
      <c r="A27" s="185" t="s">
        <v>96</v>
      </c>
      <c r="B27" s="185" t="s">
        <v>80</v>
      </c>
      <c r="D27" s="386"/>
      <c r="F27" s="386">
        <f t="shared" ref="F27:H29" si="0">F21+F15</f>
        <v>5312</v>
      </c>
      <c r="H27" s="386">
        <f t="shared" si="0"/>
        <v>5321</v>
      </c>
      <c r="J27" s="386">
        <f>J21+J15</f>
        <v>3903</v>
      </c>
      <c r="L27" s="386">
        <f>L21+L15</f>
        <v>3731</v>
      </c>
      <c r="N27" s="386">
        <f>N21+N15</f>
        <v>3863</v>
      </c>
      <c r="P27" s="386">
        <f>P21+P15</f>
        <v>8633</v>
      </c>
      <c r="R27" s="386">
        <f>R21+R15</f>
        <v>10307</v>
      </c>
      <c r="T27" s="386">
        <f>T21+T15</f>
        <v>10377</v>
      </c>
      <c r="V27" s="386">
        <f>V21+V15</f>
        <v>8724</v>
      </c>
      <c r="W27" s="479"/>
      <c r="X27" s="386">
        <f>X21+X15</f>
        <v>8102</v>
      </c>
      <c r="Y27" s="479"/>
      <c r="Z27" s="386">
        <f>Z21+Z15</f>
        <v>7076</v>
      </c>
      <c r="AA27" s="386"/>
      <c r="AB27" s="386">
        <f>AB21+AB15</f>
        <v>6950</v>
      </c>
      <c r="AC27" s="386"/>
      <c r="AD27" s="386">
        <f>AD21+AD15</f>
        <v>6914</v>
      </c>
      <c r="AE27" s="386"/>
      <c r="AF27" s="386">
        <f>AF21+AF15</f>
        <v>7225</v>
      </c>
      <c r="AG27" s="386"/>
      <c r="AH27" s="386">
        <f>AH21+AH15</f>
        <v>7264</v>
      </c>
      <c r="AI27" s="386"/>
      <c r="AJ27" s="386">
        <f>AJ21+AJ15</f>
        <v>7630</v>
      </c>
      <c r="AL27" s="386">
        <f>AL21+AL15</f>
        <v>6317</v>
      </c>
      <c r="AN27" s="1105"/>
    </row>
    <row r="28" spans="1:40" x14ac:dyDescent="0.2">
      <c r="A28" s="185" t="s">
        <v>97</v>
      </c>
      <c r="B28" s="185" t="s">
        <v>81</v>
      </c>
      <c r="D28" s="386"/>
      <c r="F28" s="386">
        <f t="shared" si="0"/>
        <v>5670</v>
      </c>
      <c r="H28" s="386">
        <f t="shared" si="0"/>
        <v>4716</v>
      </c>
      <c r="J28" s="386">
        <f>J22+J16</f>
        <v>3991</v>
      </c>
      <c r="L28" s="386">
        <f>L22+L16</f>
        <v>3883</v>
      </c>
      <c r="N28" s="386">
        <f>N22+N16</f>
        <v>11606</v>
      </c>
      <c r="P28" s="386">
        <f>P22+P16</f>
        <v>8610</v>
      </c>
      <c r="R28" s="386">
        <f>R22+R16</f>
        <v>10731</v>
      </c>
      <c r="T28" s="386">
        <f>T22+T16</f>
        <v>9834</v>
      </c>
      <c r="V28" s="386">
        <f>V22+V16</f>
        <v>8710</v>
      </c>
      <c r="W28" s="479"/>
      <c r="X28" s="386">
        <f>X22+X16</f>
        <v>7587</v>
      </c>
      <c r="Y28" s="386">
        <f>Y22+Y16</f>
        <v>0</v>
      </c>
      <c r="Z28" s="386">
        <f>Z22+Z16</f>
        <v>6956</v>
      </c>
      <c r="AA28" s="479"/>
      <c r="AB28" s="386">
        <f>AB22+AB16</f>
        <v>6940</v>
      </c>
      <c r="AC28" s="479"/>
      <c r="AD28" s="386">
        <f>AD22+AD16</f>
        <v>7197</v>
      </c>
      <c r="AE28" s="479"/>
      <c r="AF28" s="386">
        <f>AF22+AF16</f>
        <v>7219</v>
      </c>
      <c r="AG28" s="479"/>
      <c r="AH28" s="386">
        <f>AH22+AH16</f>
        <v>7963</v>
      </c>
      <c r="AI28" s="479"/>
      <c r="AJ28" s="386">
        <f>AJ22+AJ16</f>
        <v>7501</v>
      </c>
      <c r="AL28" s="386">
        <f>AL22+AL16</f>
        <v>6319</v>
      </c>
    </row>
    <row r="29" spans="1:40" x14ac:dyDescent="0.2">
      <c r="A29" s="185" t="s">
        <v>98</v>
      </c>
      <c r="B29" s="185" t="s">
        <v>82</v>
      </c>
      <c r="D29" s="386">
        <f>D23+D17</f>
        <v>4962</v>
      </c>
      <c r="F29" s="386">
        <f t="shared" si="0"/>
        <v>4871</v>
      </c>
      <c r="H29" s="386">
        <f t="shared" si="0"/>
        <v>4354</v>
      </c>
      <c r="J29" s="386">
        <f>J23+J17</f>
        <v>4059</v>
      </c>
      <c r="L29" s="386">
        <f>L23+L17</f>
        <v>3879</v>
      </c>
      <c r="N29" s="386">
        <f>N23+N17</f>
        <v>10183</v>
      </c>
      <c r="P29" s="386">
        <f>P23+P17</f>
        <v>8497</v>
      </c>
      <c r="R29" s="386">
        <f>R23+R17</f>
        <v>9753</v>
      </c>
      <c r="T29" s="386">
        <f>T23+T17</f>
        <v>9699</v>
      </c>
      <c r="V29" s="386">
        <f>V23+V17</f>
        <v>8698</v>
      </c>
      <c r="W29" s="479"/>
      <c r="X29" s="386">
        <f>X23+X17</f>
        <v>7425</v>
      </c>
      <c r="Y29" s="479"/>
      <c r="Z29" s="386">
        <f>Z23+Z17</f>
        <v>7758</v>
      </c>
      <c r="AA29" s="479"/>
      <c r="AB29" s="386">
        <f>AB23+AB17</f>
        <v>6930</v>
      </c>
      <c r="AC29" s="479"/>
      <c r="AD29" s="386">
        <f>AD23+AD17</f>
        <v>7191</v>
      </c>
      <c r="AE29" s="479"/>
      <c r="AF29" s="386">
        <f>AF23+AF17</f>
        <v>7341</v>
      </c>
      <c r="AG29" s="479"/>
      <c r="AH29" s="386">
        <f>AH23+AH17</f>
        <v>7637</v>
      </c>
      <c r="AI29" s="479"/>
      <c r="AJ29" s="386">
        <f>AJ23+AJ17</f>
        <v>6871</v>
      </c>
      <c r="AL29" s="386">
        <f>AL23+AL17</f>
        <v>5883</v>
      </c>
    </row>
    <row r="30" spans="1:40" x14ac:dyDescent="0.2">
      <c r="AB30" s="387"/>
      <c r="AD30" s="387"/>
      <c r="AF30" s="387"/>
      <c r="AH30" s="387"/>
      <c r="AJ30" s="387"/>
    </row>
    <row r="31" spans="1:40" x14ac:dyDescent="0.2">
      <c r="A31" s="942" t="s">
        <v>106</v>
      </c>
      <c r="B31" s="957"/>
      <c r="C31" s="957"/>
      <c r="D31" s="957"/>
      <c r="E31" s="957"/>
      <c r="F31" s="957"/>
      <c r="G31" s="957"/>
      <c r="H31" s="957"/>
      <c r="I31" s="957"/>
      <c r="J31" s="957"/>
      <c r="K31" s="957"/>
      <c r="L31" s="957"/>
      <c r="M31" s="957"/>
      <c r="N31" s="957"/>
      <c r="O31" s="957"/>
      <c r="P31" s="957"/>
      <c r="Q31" s="957"/>
      <c r="R31" s="957"/>
      <c r="S31" s="957"/>
      <c r="T31" s="957"/>
      <c r="U31" s="957"/>
      <c r="V31" s="957"/>
      <c r="W31" s="957"/>
      <c r="X31" s="957"/>
      <c r="Y31" s="957"/>
      <c r="Z31" s="957"/>
      <c r="AA31" s="957"/>
      <c r="AB31" s="957"/>
      <c r="AC31" s="957"/>
      <c r="AD31" s="957"/>
      <c r="AE31" s="957"/>
      <c r="AF31" s="957"/>
      <c r="AG31" s="957"/>
      <c r="AH31" s="957"/>
      <c r="AI31" s="957"/>
      <c r="AJ31" s="957"/>
    </row>
    <row r="32" spans="1:40" x14ac:dyDescent="0.2">
      <c r="A32" s="185" t="s">
        <v>95</v>
      </c>
      <c r="B32" s="185" t="s">
        <v>79</v>
      </c>
      <c r="D32" s="386"/>
      <c r="F32" s="386">
        <f>F26-F8</f>
        <v>5023</v>
      </c>
      <c r="H32" s="386">
        <f>H26-H8</f>
        <v>3856</v>
      </c>
      <c r="J32" s="386">
        <f>J26-J8</f>
        <v>3601</v>
      </c>
      <c r="L32" s="386">
        <f>L26-L8</f>
        <v>3152</v>
      </c>
      <c r="N32" s="386">
        <f>N26-N8</f>
        <v>2942.6459999999997</v>
      </c>
      <c r="P32" s="386">
        <f>P26-P8</f>
        <v>9941.9999999999964</v>
      </c>
      <c r="R32" s="386">
        <f>R26-R8</f>
        <v>9573.1249999999964</v>
      </c>
      <c r="T32" s="386">
        <f>T26-T8</f>
        <v>9373</v>
      </c>
      <c r="V32" s="386">
        <f>V26-V8</f>
        <v>8559.1249999999964</v>
      </c>
      <c r="W32" s="958"/>
      <c r="X32" s="386">
        <f>X26-X8</f>
        <v>7207</v>
      </c>
      <c r="Y32" s="958"/>
      <c r="Z32" s="386">
        <f>Z26-Z8</f>
        <v>5932</v>
      </c>
      <c r="AA32" s="958"/>
      <c r="AB32" s="386">
        <f>AB26-AB8</f>
        <v>5066</v>
      </c>
      <c r="AC32" s="958"/>
      <c r="AD32" s="386">
        <f>AD26-AD8</f>
        <v>5169</v>
      </c>
      <c r="AE32" s="958"/>
      <c r="AF32" s="386">
        <f>AF26-AF8</f>
        <v>5305</v>
      </c>
      <c r="AG32" s="958"/>
      <c r="AH32" s="386">
        <f>AH26-AH8</f>
        <v>5827</v>
      </c>
      <c r="AI32" s="958"/>
      <c r="AJ32" s="386">
        <f>AJ26-AJ8</f>
        <v>6898</v>
      </c>
      <c r="AL32" s="386">
        <f>AL26-AL8</f>
        <v>5524</v>
      </c>
      <c r="AN32" s="1105"/>
    </row>
    <row r="33" spans="1:40" x14ac:dyDescent="0.2">
      <c r="A33" s="185" t="s">
        <v>96</v>
      </c>
      <c r="B33" s="185" t="s">
        <v>80</v>
      </c>
      <c r="D33" s="386"/>
      <c r="F33" s="386">
        <f t="shared" ref="F33:H35" si="1">F27-F9</f>
        <v>5055</v>
      </c>
      <c r="H33" s="386">
        <f t="shared" si="1"/>
        <v>3923</v>
      </c>
      <c r="J33" s="386">
        <f>J27-J9</f>
        <v>3339</v>
      </c>
      <c r="L33" s="386">
        <f>L27-L9</f>
        <v>3126</v>
      </c>
      <c r="N33" s="386">
        <f>N27-N9</f>
        <v>2463.6459999999997</v>
      </c>
      <c r="P33" s="386">
        <f>P27-P9</f>
        <v>7571.125</v>
      </c>
      <c r="R33" s="386">
        <f>R27-R9</f>
        <v>10058.124999999996</v>
      </c>
      <c r="T33" s="386">
        <f>T27-T9</f>
        <v>9084.125</v>
      </c>
      <c r="V33" s="386">
        <f>V27-V9</f>
        <v>8209.1249999999964</v>
      </c>
      <c r="W33" s="479"/>
      <c r="X33" s="386">
        <f>X27-X9</f>
        <v>6894</v>
      </c>
      <c r="Y33" s="479"/>
      <c r="Z33" s="386">
        <f>Z27-Z9</f>
        <v>5581</v>
      </c>
      <c r="AA33" s="479"/>
      <c r="AB33" s="386">
        <f>AB27-AB9</f>
        <v>5346</v>
      </c>
      <c r="AC33" s="479"/>
      <c r="AD33" s="386">
        <f>AD27-AD9</f>
        <v>5490</v>
      </c>
      <c r="AE33" s="479"/>
      <c r="AF33" s="386">
        <f>AF27-AF9</f>
        <v>5595</v>
      </c>
      <c r="AG33" s="479"/>
      <c r="AH33" s="386">
        <f>AH27-AH9</f>
        <v>6421</v>
      </c>
      <c r="AI33" s="479"/>
      <c r="AJ33" s="386">
        <f>AJ27-AJ9</f>
        <v>6630</v>
      </c>
      <c r="AL33" s="386">
        <f>AL27-AL9</f>
        <v>5534</v>
      </c>
      <c r="AN33" s="1105"/>
    </row>
    <row r="34" spans="1:40" x14ac:dyDescent="0.2">
      <c r="A34" s="185" t="s">
        <v>97</v>
      </c>
      <c r="B34" s="185" t="s">
        <v>81</v>
      </c>
      <c r="D34" s="386"/>
      <c r="F34" s="386">
        <f t="shared" si="1"/>
        <v>5446</v>
      </c>
      <c r="H34" s="386">
        <f t="shared" si="1"/>
        <v>4500</v>
      </c>
      <c r="J34" s="386">
        <f>J28-J10</f>
        <v>3764</v>
      </c>
      <c r="L34" s="386">
        <f>L28-L10</f>
        <v>3671</v>
      </c>
      <c r="N34" s="386">
        <f>N28-N10</f>
        <v>11336.408589928058</v>
      </c>
      <c r="P34" s="386">
        <f>P28-P10</f>
        <v>7839.1249999999964</v>
      </c>
      <c r="R34" s="386">
        <f>R28-R10</f>
        <v>10456.124999999996</v>
      </c>
      <c r="T34" s="386">
        <f>T28-T10</f>
        <v>9534.1249999999964</v>
      </c>
      <c r="V34" s="386">
        <f>V28-V10</f>
        <v>8221.1249999999964</v>
      </c>
      <c r="W34" s="479"/>
      <c r="X34" s="386">
        <f>X28-X10</f>
        <v>6872</v>
      </c>
      <c r="Y34" s="386">
        <f>Y28-Y10</f>
        <v>0</v>
      </c>
      <c r="Z34" s="386">
        <f>Z28-Z10</f>
        <v>5859</v>
      </c>
      <c r="AA34" s="479"/>
      <c r="AB34" s="386">
        <f>AB28-AB10</f>
        <v>5676</v>
      </c>
      <c r="AC34" s="479"/>
      <c r="AD34" s="386">
        <f>AD28-AD10</f>
        <v>6026</v>
      </c>
      <c r="AE34" s="479"/>
      <c r="AF34" s="386">
        <f>AF28-AF10</f>
        <v>6171</v>
      </c>
      <c r="AG34" s="479"/>
      <c r="AH34" s="386">
        <f>AH28-AH10</f>
        <v>7489</v>
      </c>
      <c r="AI34" s="479"/>
      <c r="AJ34" s="386">
        <f>AJ28-AJ10</f>
        <v>7044</v>
      </c>
      <c r="AL34" s="386">
        <f>AL28-AL10</f>
        <v>5785</v>
      </c>
    </row>
    <row r="35" spans="1:40" x14ac:dyDescent="0.2">
      <c r="A35" s="185" t="s">
        <v>98</v>
      </c>
      <c r="B35" s="185" t="s">
        <v>82</v>
      </c>
      <c r="D35" s="386">
        <f>D29-D11</f>
        <v>4740</v>
      </c>
      <c r="F35" s="386">
        <f t="shared" si="1"/>
        <v>4235</v>
      </c>
      <c r="H35" s="386">
        <f t="shared" si="1"/>
        <v>3638</v>
      </c>
      <c r="J35" s="386">
        <f>J29-J11</f>
        <v>3134</v>
      </c>
      <c r="L35" s="386">
        <f>L29-L11</f>
        <v>3011</v>
      </c>
      <c r="N35" s="386">
        <f>N29-N11</f>
        <v>9934.9999999999964</v>
      </c>
      <c r="P35" s="386">
        <f>P29-P11</f>
        <v>7286.125</v>
      </c>
      <c r="R35" s="386">
        <f>R29-R11</f>
        <v>9170.1249999999964</v>
      </c>
      <c r="T35" s="386">
        <f>T29-T11</f>
        <v>8393.125</v>
      </c>
      <c r="V35" s="386">
        <f>V29-V11</f>
        <v>7011.625</v>
      </c>
      <c r="W35" s="479"/>
      <c r="X35" s="386">
        <f>X29-X11</f>
        <v>5961</v>
      </c>
      <c r="Y35" s="479"/>
      <c r="Z35" s="386">
        <f>Z29-Z11</f>
        <v>4931</v>
      </c>
      <c r="AA35" s="479"/>
      <c r="AB35" s="386">
        <f>AB29-AB11</f>
        <v>5093.6000000000022</v>
      </c>
      <c r="AC35" s="479"/>
      <c r="AD35" s="386">
        <f>AD29-AD11</f>
        <v>4917.9677130044865</v>
      </c>
      <c r="AE35" s="479"/>
      <c r="AF35" s="386">
        <f>AF29-AF11</f>
        <v>5095</v>
      </c>
      <c r="AG35" s="479"/>
      <c r="AH35" s="386">
        <f>AH29-AH11</f>
        <v>6528</v>
      </c>
      <c r="AI35" s="479"/>
      <c r="AJ35" s="386">
        <f>AJ29-AJ11</f>
        <v>5574</v>
      </c>
      <c r="AL35" s="386">
        <f>AL29-AL11</f>
        <v>4428</v>
      </c>
    </row>
    <row r="36" spans="1:40" x14ac:dyDescent="0.2">
      <c r="AB36" s="387"/>
      <c r="AD36" s="387"/>
      <c r="AF36" s="387"/>
      <c r="AH36" s="387"/>
      <c r="AJ36" s="387"/>
    </row>
    <row r="37" spans="1:40" x14ac:dyDescent="0.2">
      <c r="A37" s="942" t="s">
        <v>107</v>
      </c>
      <c r="B37" s="942"/>
      <c r="C37" s="942"/>
      <c r="D37" s="942"/>
      <c r="E37" s="942"/>
      <c r="F37" s="942"/>
      <c r="G37" s="942"/>
      <c r="H37" s="942"/>
      <c r="I37" s="942"/>
      <c r="J37" s="942"/>
      <c r="K37" s="942"/>
      <c r="L37" s="942"/>
      <c r="M37" s="942"/>
      <c r="N37" s="942"/>
      <c r="O37" s="942"/>
      <c r="P37" s="942"/>
      <c r="Q37" s="942"/>
      <c r="R37" s="942"/>
      <c r="S37" s="942"/>
      <c r="T37" s="942"/>
      <c r="U37" s="942"/>
      <c r="V37" s="942"/>
      <c r="W37" s="942"/>
      <c r="X37" s="942"/>
      <c r="Y37" s="942"/>
      <c r="Z37" s="942"/>
      <c r="AA37" s="942"/>
      <c r="AB37" s="957"/>
      <c r="AC37" s="942"/>
      <c r="AD37" s="957"/>
      <c r="AE37" s="942"/>
      <c r="AF37" s="957"/>
      <c r="AG37" s="942"/>
      <c r="AH37" s="957"/>
      <c r="AI37" s="942"/>
      <c r="AJ37" s="957"/>
    </row>
    <row r="38" spans="1:40" x14ac:dyDescent="0.2">
      <c r="A38" s="185" t="s">
        <v>95</v>
      </c>
      <c r="B38" s="185" t="s">
        <v>79</v>
      </c>
      <c r="D38" s="473"/>
      <c r="E38" s="488"/>
      <c r="F38" s="473">
        <v>5765</v>
      </c>
      <c r="G38" s="488"/>
      <c r="H38" s="473">
        <v>5668</v>
      </c>
      <c r="I38" s="488"/>
      <c r="J38" s="473">
        <v>5668</v>
      </c>
      <c r="K38" s="488"/>
      <c r="L38" s="473">
        <v>6047</v>
      </c>
      <c r="M38" s="488"/>
      <c r="N38" s="473">
        <v>6372</v>
      </c>
      <c r="O38" s="488"/>
      <c r="P38" s="473">
        <v>13512</v>
      </c>
      <c r="Q38" s="488"/>
      <c r="R38" s="473">
        <v>10449</v>
      </c>
      <c r="S38" s="488"/>
      <c r="T38" s="473">
        <v>9811</v>
      </c>
      <c r="U38" s="488"/>
      <c r="V38" s="1079">
        <v>4554.8750000000036</v>
      </c>
      <c r="W38" s="1080"/>
      <c r="X38" s="1079">
        <v>4739</v>
      </c>
      <c r="Y38" s="1080"/>
      <c r="Z38" s="1079">
        <v>5688</v>
      </c>
      <c r="AA38" s="1080"/>
      <c r="AB38" s="1079">
        <v>6033</v>
      </c>
      <c r="AC38" s="1080"/>
      <c r="AD38" s="1079">
        <v>5971</v>
      </c>
      <c r="AE38" s="1080"/>
      <c r="AF38" s="1079">
        <v>6100</v>
      </c>
      <c r="AG38" s="1080"/>
      <c r="AH38" s="1079">
        <v>5207</v>
      </c>
      <c r="AI38" s="1080"/>
      <c r="AJ38" s="1079">
        <v>4154</v>
      </c>
      <c r="AK38" s="1080"/>
      <c r="AL38" s="1079">
        <v>4300</v>
      </c>
      <c r="AM38" s="1080"/>
      <c r="AN38" s="1304"/>
    </row>
    <row r="39" spans="1:40" x14ac:dyDescent="0.2">
      <c r="A39" s="185" t="s">
        <v>96</v>
      </c>
      <c r="B39" s="185" t="s">
        <v>80</v>
      </c>
      <c r="D39" s="473"/>
      <c r="E39" s="488"/>
      <c r="F39" s="473">
        <v>5770</v>
      </c>
      <c r="G39" s="488"/>
      <c r="H39" s="473">
        <v>5825</v>
      </c>
      <c r="I39" s="488"/>
      <c r="J39" s="473">
        <v>5707</v>
      </c>
      <c r="K39" s="488"/>
      <c r="L39" s="473">
        <v>5846</v>
      </c>
      <c r="M39" s="488"/>
      <c r="N39" s="473">
        <v>6613</v>
      </c>
      <c r="O39" s="488"/>
      <c r="P39" s="473">
        <v>13572</v>
      </c>
      <c r="Q39" s="488"/>
      <c r="R39" s="473">
        <v>9577</v>
      </c>
      <c r="S39" s="488"/>
      <c r="T39" s="473">
        <v>9836</v>
      </c>
      <c r="U39" s="488"/>
      <c r="V39" s="1079">
        <v>4548.8750000000036</v>
      </c>
      <c r="W39" s="1080"/>
      <c r="X39" s="1079">
        <v>4887</v>
      </c>
      <c r="Y39" s="1080"/>
      <c r="Z39" s="1079">
        <v>5963</v>
      </c>
      <c r="AA39" s="1080"/>
      <c r="AB39" s="1079">
        <v>5903</v>
      </c>
      <c r="AC39" s="1080"/>
      <c r="AD39" s="1079">
        <v>5855</v>
      </c>
      <c r="AE39" s="1080"/>
      <c r="AF39" s="1079">
        <v>5807</v>
      </c>
      <c r="AG39" s="1080"/>
      <c r="AH39" s="1079">
        <v>4844</v>
      </c>
      <c r="AI39" s="1080"/>
      <c r="AJ39" s="1079">
        <v>4050</v>
      </c>
      <c r="AK39" s="1080"/>
      <c r="AL39" s="1079">
        <v>4383</v>
      </c>
      <c r="AM39" s="1080"/>
      <c r="AN39" s="1304"/>
    </row>
    <row r="40" spans="1:40" x14ac:dyDescent="0.2">
      <c r="A40" s="185" t="s">
        <v>97</v>
      </c>
      <c r="B40" s="185" t="s">
        <v>81</v>
      </c>
      <c r="D40" s="473"/>
      <c r="E40" s="488"/>
      <c r="F40" s="473">
        <v>5746</v>
      </c>
      <c r="G40" s="488"/>
      <c r="H40" s="473">
        <v>5680</v>
      </c>
      <c r="I40" s="488"/>
      <c r="J40" s="473">
        <v>5550</v>
      </c>
      <c r="K40" s="488"/>
      <c r="L40" s="473">
        <v>5548</v>
      </c>
      <c r="M40" s="488"/>
      <c r="N40" s="473">
        <v>12986</v>
      </c>
      <c r="O40" s="488"/>
      <c r="P40" s="473">
        <v>13074</v>
      </c>
      <c r="Q40" s="488"/>
      <c r="R40" s="473">
        <v>9440</v>
      </c>
      <c r="S40" s="488"/>
      <c r="T40" s="473">
        <v>9690</v>
      </c>
      <c r="U40" s="488"/>
      <c r="V40" s="1079">
        <v>4493.8750000000036</v>
      </c>
      <c r="W40" s="1080"/>
      <c r="X40" s="1079">
        <v>4843</v>
      </c>
      <c r="Y40" s="1080"/>
      <c r="Z40" s="1079">
        <v>5852</v>
      </c>
      <c r="AA40" s="1080"/>
      <c r="AB40" s="1079">
        <v>5563</v>
      </c>
      <c r="AC40" s="1080"/>
      <c r="AD40" s="1079">
        <v>5442</v>
      </c>
      <c r="AE40" s="1080"/>
      <c r="AF40" s="1079">
        <v>5351</v>
      </c>
      <c r="AG40" s="1080"/>
      <c r="AH40" s="1079">
        <v>3975</v>
      </c>
      <c r="AI40" s="1080"/>
      <c r="AJ40" s="1079">
        <v>3791</v>
      </c>
      <c r="AK40" s="1080"/>
      <c r="AL40" s="1079">
        <v>4224</v>
      </c>
      <c r="AM40" s="1080"/>
      <c r="AN40" s="1303"/>
    </row>
    <row r="41" spans="1:40" x14ac:dyDescent="0.2">
      <c r="A41" s="185" t="s">
        <v>98</v>
      </c>
      <c r="B41" s="185" t="s">
        <v>82</v>
      </c>
      <c r="D41" s="473">
        <v>5822</v>
      </c>
      <c r="E41" s="488"/>
      <c r="F41" s="473">
        <v>5564</v>
      </c>
      <c r="G41" s="488"/>
      <c r="H41" s="473">
        <v>5762</v>
      </c>
      <c r="I41" s="488"/>
      <c r="J41" s="473">
        <v>5940</v>
      </c>
      <c r="K41" s="488"/>
      <c r="L41" s="473">
        <v>6167</v>
      </c>
      <c r="M41" s="488"/>
      <c r="N41" s="473">
        <v>13519</v>
      </c>
      <c r="O41" s="488"/>
      <c r="P41" s="473">
        <v>12254</v>
      </c>
      <c r="Q41" s="488"/>
      <c r="R41" s="473">
        <v>9907</v>
      </c>
      <c r="S41" s="488"/>
      <c r="T41" s="473">
        <v>4646</v>
      </c>
      <c r="U41" s="488"/>
      <c r="V41" s="1079">
        <v>4653.375</v>
      </c>
      <c r="W41" s="1080"/>
      <c r="X41" s="1079">
        <v>5530</v>
      </c>
      <c r="Y41" s="1080"/>
      <c r="Z41" s="1079">
        <v>5933</v>
      </c>
      <c r="AA41" s="1080"/>
      <c r="AB41" s="1079">
        <f>bal!Z44</f>
        <v>6051.4</v>
      </c>
      <c r="AC41" s="1080"/>
      <c r="AD41" s="1079">
        <f>bal!AA44</f>
        <v>6249.03</v>
      </c>
      <c r="AE41" s="1080"/>
      <c r="AF41" s="1079">
        <f>bal!AB44</f>
        <v>5378.03</v>
      </c>
      <c r="AG41" s="1080"/>
      <c r="AH41" s="1081">
        <v>4253</v>
      </c>
      <c r="AI41" s="1080"/>
      <c r="AJ41" s="1079">
        <v>4322</v>
      </c>
      <c r="AK41" s="1080"/>
      <c r="AL41" s="1079">
        <v>5735</v>
      </c>
      <c r="AM41" s="1080"/>
      <c r="AN41" s="1303"/>
    </row>
    <row r="42" spans="1:40" x14ac:dyDescent="0.2">
      <c r="AB42" s="387"/>
      <c r="AD42" s="387"/>
      <c r="AF42" s="387"/>
      <c r="AH42" s="387"/>
      <c r="AJ42" s="387"/>
    </row>
    <row r="43" spans="1:40" x14ac:dyDescent="0.2">
      <c r="A43" s="942" t="s">
        <v>108</v>
      </c>
      <c r="B43" s="957"/>
      <c r="C43" s="957"/>
      <c r="D43" s="957"/>
      <c r="E43" s="957"/>
      <c r="F43" s="957"/>
      <c r="G43" s="957"/>
      <c r="H43" s="957"/>
      <c r="I43" s="957"/>
      <c r="J43" s="957"/>
      <c r="K43" s="957"/>
      <c r="L43" s="957"/>
      <c r="M43" s="957"/>
      <c r="N43" s="957"/>
      <c r="O43" s="957"/>
      <c r="P43" s="957"/>
      <c r="Q43" s="957"/>
      <c r="R43" s="957"/>
      <c r="S43" s="957"/>
      <c r="T43" s="957"/>
      <c r="U43" s="957"/>
      <c r="V43" s="957"/>
      <c r="W43" s="957"/>
      <c r="X43" s="957"/>
      <c r="Y43" s="957"/>
      <c r="Z43" s="957"/>
      <c r="AA43" s="957"/>
      <c r="AB43" s="957"/>
      <c r="AC43" s="957"/>
      <c r="AD43" s="957"/>
      <c r="AE43" s="957"/>
      <c r="AF43" s="957"/>
      <c r="AG43" s="957"/>
      <c r="AH43" s="957"/>
      <c r="AI43" s="957"/>
      <c r="AJ43" s="957"/>
    </row>
    <row r="44" spans="1:40" x14ac:dyDescent="0.2">
      <c r="A44" s="185" t="s">
        <v>95</v>
      </c>
      <c r="B44" s="185" t="s">
        <v>79</v>
      </c>
      <c r="D44" s="386"/>
      <c r="E44" s="386"/>
      <c r="F44" s="386">
        <f>F38+F26</f>
        <v>11236</v>
      </c>
      <c r="H44" s="386">
        <f>H38+H26</f>
        <v>10533</v>
      </c>
      <c r="J44" s="386">
        <f>J38+J26</f>
        <v>10013</v>
      </c>
      <c r="L44" s="386">
        <f>L38+L26</f>
        <v>10112</v>
      </c>
      <c r="N44" s="386">
        <f>N38+N26</f>
        <v>10233</v>
      </c>
      <c r="P44" s="386">
        <f>P38+P26</f>
        <v>23695</v>
      </c>
      <c r="R44" s="386">
        <f>R38+R26</f>
        <v>20522</v>
      </c>
      <c r="T44" s="386">
        <f>T38+T26</f>
        <v>19550</v>
      </c>
      <c r="V44" s="386">
        <f>V38+V26</f>
        <v>13408.875000000004</v>
      </c>
      <c r="W44" s="958"/>
      <c r="X44" s="386">
        <f>X38+X26</f>
        <v>12927</v>
      </c>
      <c r="Y44" s="958"/>
      <c r="Z44" s="386">
        <f>Z38+Z26</f>
        <v>12772</v>
      </c>
      <c r="AA44" s="386"/>
      <c r="AB44" s="386">
        <f>AB38+AB26</f>
        <v>12990</v>
      </c>
      <c r="AC44" s="386"/>
      <c r="AD44" s="386">
        <f>AD38+AD26</f>
        <v>12892</v>
      </c>
      <c r="AE44" s="386"/>
      <c r="AF44" s="386">
        <f>AF38+AF26</f>
        <v>13283</v>
      </c>
      <c r="AG44" s="386"/>
      <c r="AH44" s="386">
        <f>AH38+AH26</f>
        <v>12543</v>
      </c>
      <c r="AI44" s="386"/>
      <c r="AJ44" s="386">
        <f>AJ38+AJ26</f>
        <v>11786</v>
      </c>
      <c r="AL44" s="386">
        <f>AL38+AL26</f>
        <v>11025</v>
      </c>
      <c r="AN44" s="1105"/>
    </row>
    <row r="45" spans="1:40" x14ac:dyDescent="0.2">
      <c r="A45" s="185" t="s">
        <v>96</v>
      </c>
      <c r="B45" s="185" t="s">
        <v>80</v>
      </c>
      <c r="D45" s="386"/>
      <c r="E45" s="386"/>
      <c r="F45" s="386">
        <f>F39+F27</f>
        <v>11082</v>
      </c>
      <c r="H45" s="386">
        <f>H39+H27</f>
        <v>11146</v>
      </c>
      <c r="J45" s="386">
        <f>J39+J27</f>
        <v>9610</v>
      </c>
      <c r="L45" s="386">
        <f>L39+L27</f>
        <v>9577</v>
      </c>
      <c r="N45" s="386">
        <f>N39+N27</f>
        <v>10476</v>
      </c>
      <c r="P45" s="386">
        <f>P39+P27</f>
        <v>22205</v>
      </c>
      <c r="R45" s="386">
        <f>R39+R27</f>
        <v>19884</v>
      </c>
      <c r="T45" s="386">
        <f>T39+T27</f>
        <v>20213</v>
      </c>
      <c r="V45" s="386">
        <f>V39+V27</f>
        <v>13272.875000000004</v>
      </c>
      <c r="W45" s="479"/>
      <c r="X45" s="386">
        <f>X39+X27</f>
        <v>12989</v>
      </c>
      <c r="Y45" s="479"/>
      <c r="Z45" s="386">
        <f t="shared" ref="Z45:AB47" si="2">Z39+Z27</f>
        <v>13039</v>
      </c>
      <c r="AA45" s="386"/>
      <c r="AB45" s="386">
        <f t="shared" si="2"/>
        <v>12853</v>
      </c>
      <c r="AC45" s="386"/>
      <c r="AD45" s="386">
        <f>AD39+AD27</f>
        <v>12769</v>
      </c>
      <c r="AE45" s="386"/>
      <c r="AF45" s="386">
        <f>AF39+AF27</f>
        <v>13032</v>
      </c>
      <c r="AG45" s="386"/>
      <c r="AH45" s="386">
        <f>AH39+AH27</f>
        <v>12108</v>
      </c>
      <c r="AI45" s="386"/>
      <c r="AJ45" s="386">
        <f>AJ39+AJ27</f>
        <v>11680</v>
      </c>
      <c r="AL45" s="386">
        <f>AL39+AL27</f>
        <v>10700</v>
      </c>
      <c r="AN45" s="1105"/>
    </row>
    <row r="46" spans="1:40" x14ac:dyDescent="0.2">
      <c r="A46" s="185" t="s">
        <v>97</v>
      </c>
      <c r="B46" s="185" t="s">
        <v>81</v>
      </c>
      <c r="D46" s="386"/>
      <c r="E46" s="386"/>
      <c r="F46" s="386">
        <f>F40+F28</f>
        <v>11416</v>
      </c>
      <c r="H46" s="386">
        <f>H40+H28</f>
        <v>10396</v>
      </c>
      <c r="J46" s="386">
        <f>J40+J28</f>
        <v>9541</v>
      </c>
      <c r="L46" s="386">
        <f>L40+L28</f>
        <v>9431</v>
      </c>
      <c r="N46" s="386">
        <f>N40+N28</f>
        <v>24592</v>
      </c>
      <c r="P46" s="386">
        <f>P40+P28</f>
        <v>21684</v>
      </c>
      <c r="R46" s="386">
        <f>R40+R28</f>
        <v>20171</v>
      </c>
      <c r="T46" s="386">
        <f>T40+T28</f>
        <v>19524</v>
      </c>
      <c r="V46" s="386">
        <f>V40+V28</f>
        <v>13203.875000000004</v>
      </c>
      <c r="W46" s="479"/>
      <c r="X46" s="386">
        <f>X40+X28</f>
        <v>12430</v>
      </c>
      <c r="Y46" s="479"/>
      <c r="Z46" s="386">
        <f t="shared" si="2"/>
        <v>12808</v>
      </c>
      <c r="AA46" s="386"/>
      <c r="AB46" s="386">
        <f t="shared" si="2"/>
        <v>12503</v>
      </c>
      <c r="AC46" s="386"/>
      <c r="AD46" s="386">
        <f>AD40+AD28</f>
        <v>12639</v>
      </c>
      <c r="AE46" s="386"/>
      <c r="AF46" s="386">
        <f>AF40+AF28</f>
        <v>12570</v>
      </c>
      <c r="AG46" s="386"/>
      <c r="AH46" s="386">
        <f>AH40+AH28</f>
        <v>11938</v>
      </c>
      <c r="AI46" s="386"/>
      <c r="AJ46" s="386">
        <f>AJ40+AJ28</f>
        <v>11292</v>
      </c>
      <c r="AL46" s="386">
        <f>AL40+AL28</f>
        <v>10543</v>
      </c>
    </row>
    <row r="47" spans="1:40" x14ac:dyDescent="0.2">
      <c r="A47" s="185" t="s">
        <v>98</v>
      </c>
      <c r="B47" s="185" t="s">
        <v>82</v>
      </c>
      <c r="D47" s="386">
        <f>D41+D29</f>
        <v>10784</v>
      </c>
      <c r="E47" s="386"/>
      <c r="F47" s="386">
        <f>F41+F29</f>
        <v>10435</v>
      </c>
      <c r="H47" s="386">
        <f>H41+H29</f>
        <v>10116</v>
      </c>
      <c r="J47" s="386">
        <f>J41+J29</f>
        <v>9999</v>
      </c>
      <c r="L47" s="386">
        <f>L41+L29</f>
        <v>10046</v>
      </c>
      <c r="N47" s="386">
        <f>N41+N29</f>
        <v>23702</v>
      </c>
      <c r="P47" s="386">
        <f>P41+P29</f>
        <v>20751</v>
      </c>
      <c r="R47" s="386">
        <f>R41+R29</f>
        <v>19660</v>
      </c>
      <c r="T47" s="386">
        <f>T41+T29</f>
        <v>14345</v>
      </c>
      <c r="V47" s="386">
        <f>V41+V29</f>
        <v>13351.375</v>
      </c>
      <c r="W47" s="479"/>
      <c r="X47" s="386">
        <f>X41+X29</f>
        <v>12955</v>
      </c>
      <c r="Y47" s="479"/>
      <c r="Z47" s="386">
        <f t="shared" si="2"/>
        <v>13691</v>
      </c>
      <c r="AA47" s="386"/>
      <c r="AB47" s="386">
        <f t="shared" si="2"/>
        <v>12981.4</v>
      </c>
      <c r="AC47" s="386"/>
      <c r="AD47" s="386">
        <f>AD41+AD29</f>
        <v>13440.029999999999</v>
      </c>
      <c r="AE47" s="386"/>
      <c r="AF47" s="386">
        <f>AF41+AF29</f>
        <v>12719.029999999999</v>
      </c>
      <c r="AG47" s="386"/>
      <c r="AH47" s="386">
        <f>AH41+AH29</f>
        <v>11890</v>
      </c>
      <c r="AI47" s="386"/>
      <c r="AJ47" s="386">
        <f>AJ41+AJ29</f>
        <v>11193</v>
      </c>
      <c r="AL47" s="386">
        <f>AL41+AL29</f>
        <v>11618</v>
      </c>
    </row>
    <row r="48" spans="1:40" x14ac:dyDescent="0.2">
      <c r="D48" s="386"/>
      <c r="F48" s="386"/>
      <c r="H48" s="386"/>
      <c r="J48" s="386"/>
      <c r="L48" s="386"/>
      <c r="N48" s="386"/>
      <c r="P48" s="386"/>
      <c r="R48" s="386"/>
      <c r="T48" s="386"/>
      <c r="V48" s="386"/>
      <c r="X48" s="386"/>
      <c r="Z48" s="386"/>
      <c r="AB48" s="472"/>
      <c r="AD48" s="472"/>
      <c r="AF48" s="472"/>
      <c r="AH48" s="472"/>
      <c r="AJ48" s="472"/>
    </row>
    <row r="49" spans="1:40" x14ac:dyDescent="0.2">
      <c r="A49" s="942" t="s">
        <v>109</v>
      </c>
      <c r="B49" s="957"/>
      <c r="C49" s="957"/>
      <c r="D49" s="957"/>
      <c r="E49" s="957"/>
      <c r="F49" s="957"/>
      <c r="G49" s="957"/>
      <c r="H49" s="957"/>
      <c r="I49" s="957"/>
      <c r="J49" s="957"/>
      <c r="K49" s="957"/>
      <c r="L49" s="957"/>
      <c r="M49" s="957"/>
      <c r="N49" s="957"/>
      <c r="O49" s="957"/>
      <c r="P49" s="957"/>
      <c r="Q49" s="957"/>
      <c r="R49" s="957"/>
      <c r="S49" s="957"/>
      <c r="T49" s="957"/>
      <c r="U49" s="957"/>
      <c r="V49" s="957"/>
      <c r="W49" s="957"/>
      <c r="X49" s="957"/>
      <c r="Y49" s="957"/>
      <c r="Z49" s="957"/>
      <c r="AA49" s="957"/>
      <c r="AB49" s="957"/>
      <c r="AC49" s="957"/>
      <c r="AD49" s="957"/>
      <c r="AE49" s="957"/>
      <c r="AF49" s="957"/>
      <c r="AG49" s="957"/>
      <c r="AH49" s="957"/>
      <c r="AI49" s="957"/>
      <c r="AJ49" s="957"/>
    </row>
    <row r="50" spans="1:40" x14ac:dyDescent="0.2">
      <c r="A50" s="185" t="s">
        <v>95</v>
      </c>
      <c r="B50" s="185" t="s">
        <v>79</v>
      </c>
      <c r="D50" s="282"/>
      <c r="F50" s="282">
        <f>F26/F44</f>
        <v>0.48691705233179067</v>
      </c>
      <c r="H50" s="282">
        <f>H26/H44</f>
        <v>0.46188170511725052</v>
      </c>
      <c r="J50" s="282">
        <f>J26/J44</f>
        <v>0.43393588335164285</v>
      </c>
      <c r="L50" s="282">
        <f>L26/L44</f>
        <v>0.4019976265822785</v>
      </c>
      <c r="N50" s="282">
        <f>N26/N44</f>
        <v>0.37730870712401055</v>
      </c>
      <c r="P50" s="282">
        <f>P26/P44</f>
        <v>0.42975311247098547</v>
      </c>
      <c r="R50" s="282">
        <f>R26/R44</f>
        <v>0.49083909950297244</v>
      </c>
      <c r="T50" s="282">
        <f>T26/T44</f>
        <v>0.49815856777493606</v>
      </c>
      <c r="V50" s="282">
        <f>V26/V44</f>
        <v>0.66030893717780181</v>
      </c>
      <c r="X50" s="282">
        <f>X26/X44</f>
        <v>0.63340295505531063</v>
      </c>
      <c r="Z50" s="282">
        <f>Z26/Z44</f>
        <v>0.55465079862198563</v>
      </c>
      <c r="AA50" s="282"/>
      <c r="AB50" s="282">
        <f>AB26/AB44</f>
        <v>0.53556581986143192</v>
      </c>
      <c r="AC50" s="282"/>
      <c r="AD50" s="282">
        <f>AD26/AD44</f>
        <v>0.53684455476264348</v>
      </c>
      <c r="AE50" s="282"/>
      <c r="AF50" s="282">
        <f>AF26/AF44</f>
        <v>0.54076639313408115</v>
      </c>
      <c r="AG50" s="282"/>
      <c r="AH50" s="282">
        <f>AH26/AH44</f>
        <v>0.58486805389460261</v>
      </c>
      <c r="AI50" s="282"/>
      <c r="AJ50" s="282">
        <f>AJ26/AJ44</f>
        <v>0.64754793823180046</v>
      </c>
      <c r="AL50" s="282">
        <f>AL26/AL44</f>
        <v>0.60997732426303852</v>
      </c>
      <c r="AN50" s="1160"/>
    </row>
    <row r="51" spans="1:40" x14ac:dyDescent="0.2">
      <c r="A51" s="185" t="s">
        <v>96</v>
      </c>
      <c r="B51" s="185" t="s">
        <v>80</v>
      </c>
      <c r="D51" s="282"/>
      <c r="F51" s="282">
        <f>F27/F45</f>
        <v>0.47933585995307704</v>
      </c>
      <c r="H51" s="282">
        <f>H27/H45</f>
        <v>0.47739099228422754</v>
      </c>
      <c r="J51" s="282">
        <f>J27/J45</f>
        <v>0.40613943808532776</v>
      </c>
      <c r="L51" s="282">
        <f>L27/L45</f>
        <v>0.38957920016706693</v>
      </c>
      <c r="N51" s="282">
        <f>N27/N45</f>
        <v>0.36874761359297442</v>
      </c>
      <c r="P51" s="282">
        <f>P27/P45</f>
        <v>0.3887863093897771</v>
      </c>
      <c r="R51" s="282">
        <f>R27/R45</f>
        <v>0.51835646751156705</v>
      </c>
      <c r="T51" s="282">
        <f>T27/T45</f>
        <v>0.51338247662395486</v>
      </c>
      <c r="V51" s="282">
        <f>V27/V45</f>
        <v>0.6572803556124801</v>
      </c>
      <c r="X51" s="282">
        <f>X27/X45</f>
        <v>0.62375856493956428</v>
      </c>
      <c r="Z51" s="282">
        <f>Z27/Z45</f>
        <v>0.54267965334764934</v>
      </c>
      <c r="AA51" s="282"/>
      <c r="AB51" s="282">
        <f>AB27/AB45</f>
        <v>0.54072979071034</v>
      </c>
      <c r="AC51" s="282"/>
      <c r="AD51" s="282">
        <f>AD27/AD45</f>
        <v>0.54146761688464251</v>
      </c>
      <c r="AE51" s="282"/>
      <c r="AF51" s="282">
        <f>AF27/AF45</f>
        <v>0.55440454266421113</v>
      </c>
      <c r="AG51" s="282"/>
      <c r="AH51" s="282">
        <f>AH27/AH45</f>
        <v>0.5999339279814998</v>
      </c>
      <c r="AI51" s="282"/>
      <c r="AJ51" s="282">
        <f>AJ27/AJ45</f>
        <v>0.65325342465753422</v>
      </c>
      <c r="AL51" s="282">
        <f>AL27/AL45</f>
        <v>0.59037383177570091</v>
      </c>
      <c r="AN51" s="1160"/>
    </row>
    <row r="52" spans="1:40" x14ac:dyDescent="0.2">
      <c r="A52" s="185" t="s">
        <v>97</v>
      </c>
      <c r="B52" s="185" t="s">
        <v>81</v>
      </c>
      <c r="D52" s="282"/>
      <c r="F52" s="282">
        <f>F28/F46</f>
        <v>0.49667133847231953</v>
      </c>
      <c r="H52" s="282">
        <f>H28/H46</f>
        <v>0.45363601385148133</v>
      </c>
      <c r="J52" s="282">
        <f>J28/J46</f>
        <v>0.41829996855675505</v>
      </c>
      <c r="L52" s="282">
        <f>L28/L46</f>
        <v>0.41172728236666312</v>
      </c>
      <c r="N52" s="282">
        <f>N28/N46</f>
        <v>0.4719420949902407</v>
      </c>
      <c r="P52" s="282">
        <f>P28/P46</f>
        <v>0.39706696181516327</v>
      </c>
      <c r="R52" s="282">
        <f>R28/R46</f>
        <v>0.53200138813147591</v>
      </c>
      <c r="T52" s="282">
        <f>T28/T46</f>
        <v>0.50368776889981559</v>
      </c>
      <c r="V52" s="282">
        <f>V28/V46</f>
        <v>0.65965483617498633</v>
      </c>
      <c r="X52" s="282">
        <f>X28/X46</f>
        <v>0.61037811745776349</v>
      </c>
      <c r="Z52" s="282">
        <f>Z28/Z46</f>
        <v>0.5430980637101811</v>
      </c>
      <c r="AA52" s="282"/>
      <c r="AB52" s="282">
        <f>AB28/AB46</f>
        <v>0.55506678397184672</v>
      </c>
      <c r="AC52" s="282"/>
      <c r="AD52" s="282">
        <f>AD28/AD46</f>
        <v>0.56942796107286964</v>
      </c>
      <c r="AE52" s="282"/>
      <c r="AF52" s="282">
        <f>AF28/AF46</f>
        <v>0.57430389817024663</v>
      </c>
      <c r="AG52" s="282"/>
      <c r="AH52" s="282">
        <f>AH28/AH46</f>
        <v>0.66702965320824259</v>
      </c>
      <c r="AI52" s="282"/>
      <c r="AJ52" s="282">
        <f>AJ28/AJ46</f>
        <v>0.66427559334041797</v>
      </c>
      <c r="AL52" s="282">
        <f>AL28/AL46</f>
        <v>0.59935502228967086</v>
      </c>
    </row>
    <row r="53" spans="1:40" x14ac:dyDescent="0.2">
      <c r="A53" s="185" t="s">
        <v>98</v>
      </c>
      <c r="B53" s="185" t="s">
        <v>82</v>
      </c>
      <c r="D53" s="282">
        <f>D29/D47</f>
        <v>0.46012611275964393</v>
      </c>
      <c r="F53" s="282">
        <f>F29/F47</f>
        <v>0.46679444178246288</v>
      </c>
      <c r="H53" s="282">
        <f>H29/H47</f>
        <v>0.43040727560300512</v>
      </c>
      <c r="J53" s="282">
        <f>J29/J47</f>
        <v>0.40594059405940597</v>
      </c>
      <c r="L53" s="282">
        <f>L29/L47</f>
        <v>0.38612383038025083</v>
      </c>
      <c r="N53" s="282">
        <f>N29/N47</f>
        <v>0.42962619188254153</v>
      </c>
      <c r="P53" s="282">
        <f>P29/P47</f>
        <v>0.4094742422051949</v>
      </c>
      <c r="R53" s="282">
        <f>R29/R47</f>
        <v>0.49608341810783319</v>
      </c>
      <c r="T53" s="282">
        <f>T29/T47</f>
        <v>0.67612408504705468</v>
      </c>
      <c r="V53" s="282">
        <f>V29/V47</f>
        <v>0.65146848171068528</v>
      </c>
      <c r="X53" s="282">
        <f>X29/X47</f>
        <v>0.57313778463913545</v>
      </c>
      <c r="Z53" s="282">
        <f>Z29/Z47</f>
        <v>0.56664962384047912</v>
      </c>
      <c r="AA53" s="282"/>
      <c r="AB53" s="282">
        <f>AB29/AB47</f>
        <v>0.53384072596176069</v>
      </c>
      <c r="AC53" s="282"/>
      <c r="AD53" s="282">
        <f>AD29/AD47</f>
        <v>0.53504344856373098</v>
      </c>
      <c r="AE53" s="282"/>
      <c r="AF53" s="282">
        <f>AF29/AF47</f>
        <v>0.57716665500435183</v>
      </c>
      <c r="AG53" s="282"/>
      <c r="AH53" s="282">
        <f>AH29/AH47</f>
        <v>0.64230445752733389</v>
      </c>
      <c r="AI53" s="282"/>
      <c r="AJ53" s="282">
        <f>AJ29/AJ47</f>
        <v>0.61386580898776022</v>
      </c>
      <c r="AL53" s="282">
        <f>AL29/AL47</f>
        <v>0.50636942675159236</v>
      </c>
    </row>
    <row r="54" spans="1:40" x14ac:dyDescent="0.2">
      <c r="AB54" s="387"/>
      <c r="AD54" s="387"/>
      <c r="AF54" s="387"/>
      <c r="AH54" s="387"/>
      <c r="AJ54" s="387"/>
    </row>
    <row r="55" spans="1:40" x14ac:dyDescent="0.2">
      <c r="A55" s="942" t="s">
        <v>110</v>
      </c>
      <c r="B55" s="957"/>
      <c r="C55" s="957"/>
      <c r="D55" s="957"/>
      <c r="E55" s="957"/>
      <c r="F55" s="957"/>
      <c r="G55" s="957"/>
      <c r="H55" s="957"/>
      <c r="I55" s="957"/>
      <c r="J55" s="957"/>
      <c r="K55" s="957"/>
      <c r="L55" s="957"/>
      <c r="M55" s="957"/>
      <c r="N55" s="957"/>
      <c r="O55" s="957"/>
      <c r="P55" s="957"/>
      <c r="Q55" s="957"/>
      <c r="R55" s="957"/>
      <c r="S55" s="957"/>
      <c r="T55" s="957"/>
      <c r="U55" s="957"/>
      <c r="V55" s="957"/>
      <c r="W55" s="957"/>
      <c r="X55" s="957"/>
      <c r="Y55" s="957"/>
      <c r="Z55" s="957"/>
      <c r="AA55" s="957"/>
      <c r="AB55" s="957"/>
      <c r="AC55" s="957"/>
      <c r="AD55" s="957"/>
      <c r="AE55" s="957"/>
      <c r="AF55" s="957"/>
      <c r="AG55" s="957"/>
      <c r="AH55" s="957"/>
      <c r="AI55" s="957"/>
      <c r="AJ55" s="957"/>
    </row>
    <row r="56" spans="1:40" x14ac:dyDescent="0.2">
      <c r="A56" s="185" t="s">
        <v>95</v>
      </c>
      <c r="B56" s="185" t="s">
        <v>79</v>
      </c>
      <c r="D56" s="959"/>
      <c r="F56" s="959">
        <f>F32/F44</f>
        <v>0.44704521181915274</v>
      </c>
      <c r="H56" s="959">
        <f>H32/H44</f>
        <v>0.36608753441564607</v>
      </c>
      <c r="J56" s="959">
        <f>J32/J44</f>
        <v>0.35963247777888746</v>
      </c>
      <c r="L56" s="959">
        <f>L32/L44</f>
        <v>0.31170886075949367</v>
      </c>
      <c r="N56" s="959">
        <f>N32/N44</f>
        <v>0.28756435063031366</v>
      </c>
      <c r="P56" s="959">
        <f>P32/P44</f>
        <v>0.41958219033551369</v>
      </c>
      <c r="R56" s="959">
        <f>R32/R44</f>
        <v>0.46648109346067618</v>
      </c>
      <c r="T56" s="959">
        <f>T32/T44</f>
        <v>0.47943734015345268</v>
      </c>
      <c r="V56" s="959">
        <f>V32/V44</f>
        <v>0.63831790511881081</v>
      </c>
      <c r="W56" s="960"/>
      <c r="X56" s="959">
        <f>X32/X44</f>
        <v>0.5575152781001006</v>
      </c>
      <c r="Y56" s="960"/>
      <c r="Z56" s="959">
        <f>Z32/Z44</f>
        <v>0.46445349201378017</v>
      </c>
      <c r="AA56" s="960"/>
      <c r="AB56" s="959">
        <f>AB32/AB44</f>
        <v>0.38999230177059274</v>
      </c>
      <c r="AC56" s="960"/>
      <c r="AD56" s="959">
        <f>AD32/AD44</f>
        <v>0.40094632330127211</v>
      </c>
      <c r="AE56" s="960"/>
      <c r="AF56" s="959">
        <f>AF32/AF44</f>
        <v>0.39938266957765567</v>
      </c>
      <c r="AG56" s="960"/>
      <c r="AH56" s="959">
        <f>AH32/AH44</f>
        <v>0.46456190703978317</v>
      </c>
      <c r="AI56" s="960"/>
      <c r="AJ56" s="959">
        <f>AJ32/AJ44</f>
        <v>0.58527066010520956</v>
      </c>
      <c r="AL56" s="959">
        <f>AL32/AL44</f>
        <v>0.50104308390022678</v>
      </c>
      <c r="AN56" s="1305"/>
    </row>
    <row r="57" spans="1:40" x14ac:dyDescent="0.2">
      <c r="A57" s="185" t="s">
        <v>96</v>
      </c>
      <c r="B57" s="185" t="s">
        <v>80</v>
      </c>
      <c r="D57" s="959"/>
      <c r="F57" s="959">
        <f>F33/F45</f>
        <v>0.45614510016242554</v>
      </c>
      <c r="H57" s="959">
        <f>H33/H45</f>
        <v>0.35196483043244214</v>
      </c>
      <c r="J57" s="959">
        <f>J33/J45</f>
        <v>0.34745057232049947</v>
      </c>
      <c r="L57" s="959">
        <f>L33/L45</f>
        <v>0.32640701681110995</v>
      </c>
      <c r="N57" s="959">
        <f>N33/N45</f>
        <v>0.23517048491790757</v>
      </c>
      <c r="P57" s="959">
        <f>P33/P45</f>
        <v>0.3409648727764017</v>
      </c>
      <c r="R57" s="959">
        <f>R33/R45</f>
        <v>0.50584012271172785</v>
      </c>
      <c r="T57" s="959">
        <f>T33/T45</f>
        <v>0.44941992776925743</v>
      </c>
      <c r="V57" s="959">
        <f>V33/V45</f>
        <v>0.61848883531262022</v>
      </c>
      <c r="W57" s="960"/>
      <c r="X57" s="959">
        <f>X33/X45</f>
        <v>0.53075679421048583</v>
      </c>
      <c r="Y57" s="960"/>
      <c r="Z57" s="959">
        <f>Z33/Z45</f>
        <v>0.4280236214433622</v>
      </c>
      <c r="AA57" s="960"/>
      <c r="AB57" s="959">
        <f>AB33/AB45</f>
        <v>0.41593402318524858</v>
      </c>
      <c r="AC57" s="960"/>
      <c r="AD57" s="959">
        <f>AD33/AD45</f>
        <v>0.42994752917221396</v>
      </c>
      <c r="AE57" s="960"/>
      <c r="AF57" s="959">
        <f>AF33/AF45</f>
        <v>0.42932780847145485</v>
      </c>
      <c r="AG57" s="960"/>
      <c r="AH57" s="959">
        <f>AH33/AH45</f>
        <v>0.53031053848695076</v>
      </c>
      <c r="AI57" s="960"/>
      <c r="AJ57" s="959">
        <f>AJ33/AJ45</f>
        <v>0.56763698630136983</v>
      </c>
      <c r="AL57" s="959">
        <f>AL33/AL45</f>
        <v>0.51719626168224297</v>
      </c>
      <c r="AN57" s="1305"/>
    </row>
    <row r="58" spans="1:40" x14ac:dyDescent="0.2">
      <c r="A58" s="185" t="s">
        <v>97</v>
      </c>
      <c r="B58" s="185" t="s">
        <v>81</v>
      </c>
      <c r="D58" s="959"/>
      <c r="F58" s="959">
        <f>F34/F46</f>
        <v>0.47704975473020322</v>
      </c>
      <c r="H58" s="959">
        <f>H34/H46</f>
        <v>0.43285879184301657</v>
      </c>
      <c r="J58" s="959">
        <f>J34/J46</f>
        <v>0.39450791321664397</v>
      </c>
      <c r="L58" s="959">
        <f>L34/L46</f>
        <v>0.38924822394231789</v>
      </c>
      <c r="N58" s="959">
        <f>N34/N46</f>
        <v>0.46097952951887028</v>
      </c>
      <c r="P58" s="959">
        <f>P34/P46</f>
        <v>0.36151655598598026</v>
      </c>
      <c r="R58" s="959">
        <f>R34/R46</f>
        <v>0.51837415100887396</v>
      </c>
      <c r="T58" s="959">
        <f>T34/T46</f>
        <v>0.48832846752714587</v>
      </c>
      <c r="V58" s="959">
        <f>V34/V46</f>
        <v>0.62262972044191522</v>
      </c>
      <c r="W58" s="960"/>
      <c r="X58" s="959">
        <f>X34/X46</f>
        <v>0.5528559935639582</v>
      </c>
      <c r="Y58" s="960"/>
      <c r="Z58" s="959">
        <f>Z34/Z46</f>
        <v>0.45744846970643349</v>
      </c>
      <c r="AA58" s="960"/>
      <c r="AB58" s="959">
        <f>AB34/AB46</f>
        <v>0.4539710469487323</v>
      </c>
      <c r="AC58" s="960"/>
      <c r="AD58" s="959">
        <f>AD34/AD46</f>
        <v>0.47677822612548459</v>
      </c>
      <c r="AE58" s="960"/>
      <c r="AF58" s="959">
        <f>AF34/AF46</f>
        <v>0.49093078758949882</v>
      </c>
      <c r="AG58" s="960"/>
      <c r="AH58" s="959">
        <f>AH34/AH46</f>
        <v>0.62732450996816891</v>
      </c>
      <c r="AI58" s="960"/>
      <c r="AJ58" s="959">
        <f>AJ34/AJ46</f>
        <v>0.62380446333687567</v>
      </c>
      <c r="AL58" s="959">
        <f>AL34/AL46</f>
        <v>0.54870530209617752</v>
      </c>
    </row>
    <row r="59" spans="1:40" x14ac:dyDescent="0.2">
      <c r="A59" s="185" t="s">
        <v>98</v>
      </c>
      <c r="B59" s="185" t="s">
        <v>82</v>
      </c>
      <c r="D59" s="959">
        <f>D35/D47</f>
        <v>0.43954005934718099</v>
      </c>
      <c r="F59" s="959">
        <f>F35/F47</f>
        <v>0.40584571154767607</v>
      </c>
      <c r="H59" s="959">
        <f>H35/H47</f>
        <v>0.35962831158560699</v>
      </c>
      <c r="J59" s="959">
        <f>J35/J47</f>
        <v>0.31343134313431342</v>
      </c>
      <c r="L59" s="959">
        <f>L35/L47</f>
        <v>0.29972128210232929</v>
      </c>
      <c r="N59" s="959">
        <f>N35/N47</f>
        <v>0.4191629398363006</v>
      </c>
      <c r="P59" s="959">
        <f>P35/P47</f>
        <v>0.35112163269240038</v>
      </c>
      <c r="R59" s="959">
        <f>R35/R47</f>
        <v>0.46643565615462851</v>
      </c>
      <c r="T59" s="959">
        <f>T35/T47</f>
        <v>0.58509062391077027</v>
      </c>
      <c r="V59" s="959">
        <f>V35/V47</f>
        <v>0.52516126616172487</v>
      </c>
      <c r="W59" s="960"/>
      <c r="X59" s="959">
        <f>X35/X47</f>
        <v>0.46013122346584329</v>
      </c>
      <c r="Y59" s="960"/>
      <c r="Z59" s="959">
        <f>Z35/Z47</f>
        <v>0.36016361113140016</v>
      </c>
      <c r="AA59" s="960"/>
      <c r="AB59" s="959">
        <f>AB35/AB47</f>
        <v>0.39237678524658376</v>
      </c>
      <c r="AC59" s="960"/>
      <c r="AD59" s="959">
        <f>AD35/AD47</f>
        <v>0.36591939995703038</v>
      </c>
      <c r="AE59" s="960"/>
      <c r="AF59" s="959">
        <f>AF35/AF47</f>
        <v>0.40058086190534975</v>
      </c>
      <c r="AG59" s="960"/>
      <c r="AH59" s="959">
        <f>AH35/AH47</f>
        <v>0.54903280067283433</v>
      </c>
      <c r="AI59" s="960"/>
      <c r="AJ59" s="959">
        <f>AJ35/AJ47</f>
        <v>0.49798981506298579</v>
      </c>
      <c r="AL59" s="959">
        <f>AL35/AL47</f>
        <v>0.38113272508176965</v>
      </c>
    </row>
    <row r="60" spans="1:40" x14ac:dyDescent="0.2">
      <c r="AB60" s="387"/>
      <c r="AD60" s="387"/>
      <c r="AF60" s="387"/>
      <c r="AH60" s="387"/>
      <c r="AJ60" s="387"/>
    </row>
    <row r="61" spans="1:40" x14ac:dyDescent="0.2">
      <c r="A61" s="185" t="s">
        <v>111</v>
      </c>
      <c r="AB61" s="387"/>
      <c r="AD61" s="387"/>
      <c r="AF61" s="387"/>
      <c r="AH61" s="387"/>
      <c r="AJ61" s="387"/>
    </row>
  </sheetData>
  <phoneticPr fontId="10" type="noConversion"/>
  <pageMargins left="0.75" right="0.75" top="1" bottom="1" header="0.5" footer="0.5"/>
  <pageSetup scale="82" orientation="landscape" horizontalDpi="300" verticalDpi="300" r:id="rId1"/>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F57"/>
  <sheetViews>
    <sheetView showGridLines="0" zoomScale="85" zoomScaleNormal="85" workbookViewId="0"/>
  </sheetViews>
  <sheetFormatPr defaultRowHeight="12.75" outlineLevelCol="1" x14ac:dyDescent="0.2"/>
  <cols>
    <col min="1" max="1" width="3.140625" style="185" customWidth="1"/>
    <col min="2" max="3" width="4.42578125" style="185" customWidth="1"/>
    <col min="4" max="4" width="7.85546875" style="185" hidden="1" customWidth="1" outlineLevel="1"/>
    <col min="5" max="5" width="5.5703125" style="185" hidden="1" customWidth="1" outlineLevel="1"/>
    <col min="6" max="6" width="4.42578125" style="185" hidden="1" customWidth="1" outlineLevel="1"/>
    <col min="7" max="7" width="0.7109375" style="185" hidden="1" customWidth="1" outlineLevel="1"/>
    <col min="8" max="8" width="7.85546875" style="185" hidden="1" customWidth="1" outlineLevel="1"/>
    <col min="9" max="9" width="6.28515625" style="648" hidden="1" customWidth="1" outlineLevel="1"/>
    <col min="10" max="10" width="4.42578125" style="185" hidden="1" customWidth="1" outlineLevel="1"/>
    <col min="11" max="11" width="0.7109375" style="185" hidden="1" customWidth="1" outlineLevel="1"/>
    <col min="12" max="12" width="7.85546875" style="185" hidden="1" customWidth="1" outlineLevel="1"/>
    <col min="13" max="13" width="6.28515625" style="648" hidden="1" customWidth="1" outlineLevel="1"/>
    <col min="14" max="14" width="4.85546875" style="185" hidden="1" customWidth="1" outlineLevel="1"/>
    <col min="15" max="15" width="0.7109375" style="185" hidden="1" customWidth="1" outlineLevel="1"/>
    <col min="16" max="16" width="7.85546875" style="185" hidden="1" customWidth="1" outlineLevel="1"/>
    <col min="17" max="17" width="7.28515625" style="648" hidden="1" customWidth="1" outlineLevel="1"/>
    <col min="18" max="18" width="4.42578125" style="185" hidden="1" customWidth="1" outlineLevel="1"/>
    <col min="19" max="19" width="0.7109375" style="185" hidden="1" customWidth="1" outlineLevel="1"/>
    <col min="20" max="20" width="7.85546875" style="185" hidden="1" customWidth="1" outlineLevel="1"/>
    <col min="21" max="21" width="6.5703125" style="648" hidden="1" customWidth="1" outlineLevel="1"/>
    <col min="22" max="22" width="4.42578125" style="185" hidden="1" customWidth="1" outlineLevel="1"/>
    <col min="23" max="23" width="0.7109375" style="185" hidden="1" customWidth="1" outlineLevel="1"/>
    <col min="24" max="24" width="7.85546875" style="185" hidden="1" customWidth="1" outlineLevel="1"/>
    <col min="25" max="25" width="6.28515625" style="648" hidden="1" customWidth="1" outlineLevel="1"/>
    <col min="26" max="26" width="4.42578125" style="185" hidden="1" customWidth="1" outlineLevel="1"/>
    <col min="27" max="27" width="0.7109375" style="185" hidden="1" customWidth="1" outlineLevel="1"/>
    <col min="28" max="28" width="7.85546875" style="185" hidden="1" customWidth="1" outlineLevel="1"/>
    <col min="29" max="29" width="6.28515625" style="648" hidden="1" customWidth="1" outlineLevel="1"/>
    <col min="30" max="30" width="4.42578125" style="185" hidden="1" customWidth="1" outlineLevel="1"/>
    <col min="31" max="31" width="0.7109375" style="185" hidden="1" customWidth="1" outlineLevel="1"/>
    <col min="32" max="32" width="7.85546875" style="185" hidden="1" customWidth="1" outlineLevel="1"/>
    <col min="33" max="33" width="7.140625" style="185" hidden="1" customWidth="1" outlineLevel="1"/>
    <col min="34" max="34" width="5.42578125" style="185" hidden="1" customWidth="1" outlineLevel="1"/>
    <col min="35" max="35" width="0.7109375" style="185" hidden="1" customWidth="1" outlineLevel="1"/>
    <col min="36" max="36" width="7.85546875" style="185" hidden="1" customWidth="1" outlineLevel="1"/>
    <col min="37" max="37" width="7.140625" style="648" hidden="1" customWidth="1" outlineLevel="1"/>
    <col min="38" max="38" width="5.28515625" style="185" hidden="1" customWidth="1" outlineLevel="1"/>
    <col min="39" max="39" width="1.28515625" style="185" hidden="1" customWidth="1" outlineLevel="1"/>
    <col min="40" max="40" width="7.85546875" style="185" hidden="1" customWidth="1" outlineLevel="1"/>
    <col min="41" max="41" width="7.140625" style="648" hidden="1" customWidth="1" outlineLevel="1"/>
    <col min="42" max="42" width="5.28515625" style="185" hidden="1" customWidth="1" outlineLevel="1"/>
    <col min="43" max="43" width="0.7109375" style="185" hidden="1" customWidth="1" outlineLevel="1"/>
    <col min="44" max="44" width="7.85546875" style="185" customWidth="1" collapsed="1"/>
    <col min="45" max="45" width="7.140625" style="648" customWidth="1"/>
    <col min="46" max="46" width="5.28515625" style="185" customWidth="1"/>
    <col min="47" max="47" width="0.7109375" style="185" customWidth="1"/>
    <col min="48" max="48" width="7.85546875" style="185" customWidth="1"/>
    <col min="49" max="49" width="7.140625" style="648" customWidth="1"/>
    <col min="50" max="50" width="5.28515625" style="185" customWidth="1"/>
    <col min="51" max="51" width="0.7109375" style="185" customWidth="1"/>
    <col min="52" max="52" width="7.85546875" style="185" customWidth="1"/>
    <col min="53" max="53" width="6.42578125" style="648" bestFit="1" customWidth="1"/>
    <col min="54" max="54" width="5.28515625" style="185" customWidth="1"/>
    <col min="55" max="55" width="0.7109375" style="185" customWidth="1"/>
    <col min="56" max="56" width="7.85546875" style="185" customWidth="1"/>
    <col min="57" max="57" width="6.42578125" style="648" bestFit="1" customWidth="1"/>
    <col min="58" max="58" width="5.28515625" style="185" customWidth="1"/>
    <col min="59" max="59" width="0.7109375" style="185" customWidth="1"/>
    <col min="60" max="60" width="7.85546875" style="185" customWidth="1"/>
    <col min="61" max="61" width="6.42578125" style="648" customWidth="1"/>
    <col min="62" max="62" width="5.28515625" style="185" customWidth="1"/>
    <col min="63" max="63" width="0.7109375" style="185" customWidth="1"/>
    <col min="64" max="64" width="7.85546875" style="185" customWidth="1"/>
    <col min="65" max="65" width="6.42578125" style="648" customWidth="1"/>
    <col min="66" max="66" width="5.28515625" style="185" customWidth="1"/>
    <col min="67" max="67" width="0.7109375" style="185" customWidth="1"/>
    <col min="68" max="68" width="7.85546875" style="185" customWidth="1"/>
    <col min="69" max="69" width="6.42578125" style="648" customWidth="1"/>
    <col min="70" max="70" width="5.28515625" style="185" customWidth="1"/>
    <col min="71" max="71" width="0.7109375" style="185" customWidth="1"/>
    <col min="72" max="72" width="7.85546875" style="185" customWidth="1"/>
    <col min="73" max="73" width="6.42578125" style="648" customWidth="1"/>
    <col min="74" max="74" width="5.28515625" style="185" customWidth="1"/>
    <col min="75" max="75" width="0.7109375" style="185" hidden="1" customWidth="1"/>
    <col min="76" max="76" width="7.85546875" style="12" hidden="1" customWidth="1"/>
    <col min="77" max="77" width="6.42578125" style="1109" hidden="1" customWidth="1"/>
    <col min="78" max="78" width="5.28515625" style="12" hidden="1" customWidth="1"/>
    <col min="79" max="16384" width="9.140625" style="185"/>
  </cols>
  <sheetData>
    <row r="1" spans="1:84" x14ac:dyDescent="0.2">
      <c r="A1" s="281" t="s">
        <v>285</v>
      </c>
      <c r="D1" s="488"/>
      <c r="H1" s="488"/>
      <c r="L1" s="488"/>
      <c r="P1" s="488"/>
      <c r="T1" s="488"/>
      <c r="X1" s="488"/>
      <c r="AB1" s="488"/>
      <c r="AF1" s="488"/>
      <c r="AJ1" s="488"/>
      <c r="AN1" s="488"/>
      <c r="AR1" s="488"/>
      <c r="AV1" s="488"/>
    </row>
    <row r="2" spans="1:84" x14ac:dyDescent="0.2">
      <c r="A2" s="283" t="s">
        <v>699</v>
      </c>
      <c r="B2" s="284"/>
      <c r="C2" s="284"/>
      <c r="D2" s="939"/>
      <c r="E2" s="284"/>
      <c r="F2" s="284"/>
      <c r="G2" s="284"/>
      <c r="H2" s="939"/>
      <c r="I2" s="518"/>
      <c r="J2" s="284"/>
      <c r="K2" s="284"/>
      <c r="L2" s="939"/>
      <c r="M2" s="518"/>
      <c r="N2" s="284"/>
      <c r="O2" s="284"/>
      <c r="P2" s="939"/>
      <c r="Q2" s="518"/>
      <c r="R2" s="284"/>
      <c r="S2" s="284"/>
      <c r="T2" s="939"/>
      <c r="U2" s="518"/>
      <c r="V2" s="284"/>
      <c r="W2" s="284"/>
      <c r="X2" s="939"/>
      <c r="Y2" s="518"/>
      <c r="Z2" s="284"/>
      <c r="AA2" s="284"/>
      <c r="AB2" s="939"/>
      <c r="AC2" s="518"/>
      <c r="AD2" s="284"/>
      <c r="AE2" s="284"/>
      <c r="AF2" s="939"/>
      <c r="AG2" s="284"/>
      <c r="AH2" s="284"/>
      <c r="AI2" s="284"/>
      <c r="AJ2" s="939"/>
      <c r="AK2" s="518"/>
      <c r="AL2" s="284"/>
      <c r="AM2" s="284"/>
      <c r="AN2" s="939"/>
      <c r="AO2" s="518"/>
      <c r="AP2" s="284"/>
      <c r="AQ2" s="284"/>
      <c r="AR2" s="939"/>
      <c r="AS2" s="518"/>
      <c r="AT2" s="284"/>
      <c r="AU2" s="284"/>
      <c r="AV2" s="939"/>
      <c r="AW2" s="518"/>
      <c r="AX2" s="284"/>
      <c r="AY2" s="284"/>
      <c r="AZ2" s="284"/>
      <c r="BA2" s="518"/>
      <c r="BB2" s="284"/>
      <c r="BC2" s="284"/>
      <c r="BD2" s="284"/>
      <c r="BE2" s="518"/>
      <c r="BF2" s="284"/>
      <c r="BG2" s="284"/>
      <c r="BH2" s="284"/>
      <c r="BI2" s="518"/>
      <c r="BJ2" s="284"/>
      <c r="BK2" s="284"/>
      <c r="BL2" s="284"/>
      <c r="BM2" s="518"/>
      <c r="BN2" s="284"/>
      <c r="BO2" s="284"/>
      <c r="BP2" s="284"/>
      <c r="BQ2" s="518"/>
      <c r="BR2" s="284"/>
      <c r="BS2" s="284"/>
      <c r="BT2" s="284"/>
      <c r="BU2" s="518"/>
      <c r="BV2" s="284"/>
      <c r="BW2" s="284"/>
      <c r="BX2" s="1122"/>
      <c r="BY2" s="1110"/>
      <c r="BZ2" s="1122"/>
    </row>
    <row r="3" spans="1:84" x14ac:dyDescent="0.2">
      <c r="A3" s="478" t="s">
        <v>102</v>
      </c>
      <c r="D3" s="488"/>
      <c r="H3" s="488"/>
      <c r="L3" s="488"/>
      <c r="P3" s="488"/>
      <c r="T3" s="488"/>
      <c r="X3" s="488"/>
      <c r="AB3" s="488"/>
      <c r="AF3" s="488"/>
      <c r="AJ3" s="488"/>
      <c r="AN3" s="488"/>
      <c r="AR3" s="488"/>
      <c r="AV3" s="488"/>
    </row>
    <row r="4" spans="1:84" x14ac:dyDescent="0.2">
      <c r="A4" s="1335"/>
      <c r="D4" s="488"/>
      <c r="H4" s="488"/>
      <c r="L4" s="488"/>
      <c r="P4" s="488"/>
      <c r="T4" s="488"/>
      <c r="X4" s="488"/>
      <c r="AB4" s="488"/>
      <c r="AF4" s="488"/>
      <c r="AJ4" s="488"/>
      <c r="AN4" s="488"/>
      <c r="AR4" s="488"/>
      <c r="AV4" s="488"/>
    </row>
    <row r="5" spans="1:84" x14ac:dyDescent="0.2">
      <c r="D5" s="488"/>
      <c r="H5" s="488"/>
      <c r="L5" s="488"/>
      <c r="P5" s="488"/>
      <c r="T5" s="488"/>
      <c r="X5" s="488"/>
      <c r="AB5" s="488"/>
      <c r="AF5" s="488"/>
      <c r="AJ5" s="488"/>
      <c r="AN5" s="488"/>
      <c r="AR5" s="488"/>
      <c r="AV5" s="488"/>
    </row>
    <row r="6" spans="1:84" x14ac:dyDescent="0.2">
      <c r="D6" s="488"/>
      <c r="H6" s="488"/>
      <c r="L6" s="488"/>
      <c r="P6" s="488"/>
      <c r="T6" s="488"/>
      <c r="X6" s="488"/>
      <c r="AB6" s="488"/>
      <c r="AF6" s="488"/>
      <c r="AJ6" s="488"/>
      <c r="AN6" s="488"/>
      <c r="AR6" s="488"/>
      <c r="AV6" s="488"/>
      <c r="BN6" s="648"/>
    </row>
    <row r="7" spans="1:84" x14ac:dyDescent="0.2">
      <c r="D7" s="603">
        <f>H7-1</f>
        <v>2000</v>
      </c>
      <c r="E7" s="541"/>
      <c r="F7" s="541"/>
      <c r="H7" s="603">
        <f>L7-1</f>
        <v>2001</v>
      </c>
      <c r="I7" s="940"/>
      <c r="J7" s="541"/>
      <c r="L7" s="603">
        <f>P7-1</f>
        <v>2002</v>
      </c>
      <c r="M7" s="940"/>
      <c r="N7" s="541"/>
      <c r="P7" s="603">
        <f>T7-1</f>
        <v>2003</v>
      </c>
      <c r="Q7" s="940"/>
      <c r="R7" s="541"/>
      <c r="T7" s="603">
        <f>X7-1</f>
        <v>2004</v>
      </c>
      <c r="U7" s="940"/>
      <c r="V7" s="541"/>
      <c r="X7" s="603">
        <v>2005</v>
      </c>
      <c r="Y7" s="940"/>
      <c r="Z7" s="541"/>
      <c r="AB7" s="603">
        <f>X7+1</f>
        <v>2006</v>
      </c>
      <c r="AC7" s="940"/>
      <c r="AD7" s="541"/>
      <c r="AF7" s="603">
        <f>AB7+1</f>
        <v>2007</v>
      </c>
      <c r="AG7" s="541"/>
      <c r="AH7" s="541"/>
      <c r="AJ7" s="603">
        <f>AF7+1</f>
        <v>2008</v>
      </c>
      <c r="AK7" s="940"/>
      <c r="AL7" s="541"/>
      <c r="AN7" s="603">
        <f>AJ7+1</f>
        <v>2009</v>
      </c>
      <c r="AO7" s="940"/>
      <c r="AP7" s="541"/>
      <c r="AR7" s="603">
        <f>AN7+1</f>
        <v>2010</v>
      </c>
      <c r="AS7" s="940"/>
      <c r="AT7" s="541"/>
      <c r="AV7" s="603">
        <f>AR7+1</f>
        <v>2011</v>
      </c>
      <c r="AW7" s="940"/>
      <c r="AX7" s="541"/>
      <c r="AZ7" s="603">
        <f>AV7+1</f>
        <v>2012</v>
      </c>
      <c r="BA7" s="940"/>
      <c r="BB7" s="541"/>
      <c r="BD7" s="603">
        <f>AZ7+1</f>
        <v>2013</v>
      </c>
      <c r="BE7" s="940"/>
      <c r="BF7" s="541"/>
      <c r="BH7" s="603">
        <f>BD7+1</f>
        <v>2014</v>
      </c>
      <c r="BI7" s="940"/>
      <c r="BJ7" s="541"/>
      <c r="BL7" s="603">
        <f>BH7+1</f>
        <v>2015</v>
      </c>
      <c r="BM7" s="940"/>
      <c r="BN7" s="541"/>
      <c r="BP7" s="603">
        <f>BL7+1</f>
        <v>2016</v>
      </c>
      <c r="BQ7" s="940"/>
      <c r="BR7" s="541"/>
      <c r="BT7" s="941">
        <f>BP7+1</f>
        <v>2017</v>
      </c>
      <c r="BU7" s="940"/>
      <c r="BV7" s="541"/>
      <c r="BX7" s="1306">
        <f>BT7+1</f>
        <v>2018</v>
      </c>
      <c r="BY7" s="1307"/>
      <c r="BZ7" s="1308"/>
    </row>
    <row r="8" spans="1:84" x14ac:dyDescent="0.2">
      <c r="D8" s="488"/>
      <c r="H8" s="488"/>
      <c r="L8" s="488"/>
      <c r="P8" s="488"/>
      <c r="T8" s="488"/>
      <c r="X8" s="488"/>
      <c r="AB8" s="488"/>
      <c r="AF8" s="488"/>
      <c r="AJ8" s="488"/>
      <c r="AN8" s="488"/>
      <c r="AR8" s="488"/>
      <c r="AV8" s="488"/>
    </row>
    <row r="9" spans="1:84" x14ac:dyDescent="0.2">
      <c r="A9" s="942" t="s">
        <v>99</v>
      </c>
      <c r="B9" s="627"/>
      <c r="C9" s="627"/>
      <c r="D9" s="720"/>
      <c r="E9" s="627"/>
      <c r="F9" s="627"/>
      <c r="G9" s="627"/>
      <c r="H9" s="720"/>
      <c r="I9" s="943"/>
      <c r="J9" s="627"/>
      <c r="K9" s="627"/>
      <c r="L9" s="720"/>
      <c r="M9" s="943"/>
      <c r="N9" s="627"/>
      <c r="O9" s="627"/>
      <c r="P9" s="720"/>
      <c r="Q9" s="943"/>
      <c r="R9" s="627"/>
      <c r="S9" s="627"/>
      <c r="T9" s="720"/>
      <c r="U9" s="943"/>
      <c r="V9" s="627"/>
      <c r="W9" s="627"/>
      <c r="X9" s="720"/>
      <c r="Y9" s="943"/>
      <c r="Z9" s="627"/>
      <c r="AA9" s="627"/>
      <c r="AB9" s="720"/>
      <c r="AC9" s="943"/>
      <c r="AD9" s="627"/>
      <c r="AE9" s="627"/>
      <c r="AF9" s="720"/>
      <c r="AG9" s="627"/>
      <c r="AH9" s="627"/>
      <c r="AI9" s="627"/>
      <c r="AJ9" s="720"/>
      <c r="AK9" s="943"/>
      <c r="AL9" s="627"/>
      <c r="AM9" s="627"/>
      <c r="AN9" s="720"/>
      <c r="AO9" s="943"/>
      <c r="AP9" s="627"/>
      <c r="AQ9" s="627"/>
      <c r="AR9" s="720"/>
      <c r="AS9" s="943"/>
      <c r="AT9" s="627"/>
      <c r="AU9" s="627"/>
      <c r="AV9" s="720"/>
      <c r="AW9" s="943"/>
      <c r="AX9" s="627"/>
      <c r="AY9" s="627"/>
      <c r="AZ9" s="627"/>
      <c r="BA9" s="943"/>
      <c r="BB9" s="627"/>
      <c r="BC9" s="627"/>
      <c r="BD9" s="627"/>
      <c r="BE9" s="943"/>
      <c r="BF9" s="627"/>
      <c r="BG9" s="627"/>
      <c r="BH9" s="627"/>
      <c r="BI9" s="943"/>
      <c r="BJ9" s="627"/>
      <c r="BK9" s="627"/>
      <c r="BL9" s="627"/>
      <c r="BM9" s="943"/>
      <c r="BN9" s="627"/>
      <c r="BO9" s="627"/>
      <c r="BP9" s="627"/>
      <c r="BQ9" s="943"/>
      <c r="BR9" s="627"/>
      <c r="BS9" s="627"/>
      <c r="BT9" s="627"/>
      <c r="BU9" s="943"/>
      <c r="BV9" s="627"/>
      <c r="BW9" s="627"/>
      <c r="BX9" s="1151"/>
      <c r="BY9" s="1309"/>
      <c r="BZ9" s="1151"/>
      <c r="CC9" s="1515"/>
      <c r="CD9" s="1515"/>
      <c r="CE9" s="1515"/>
    </row>
    <row r="10" spans="1:84" x14ac:dyDescent="0.2">
      <c r="A10" s="185" t="s">
        <v>95</v>
      </c>
      <c r="B10" s="185" t="s">
        <v>79</v>
      </c>
      <c r="D10" s="944"/>
      <c r="E10" s="945"/>
      <c r="F10" s="946">
        <f>'qtrP&amp;L'!AW10</f>
        <v>-0.74999999999999512</v>
      </c>
      <c r="H10" s="944">
        <v>3882</v>
      </c>
      <c r="I10" s="947"/>
      <c r="J10" s="946">
        <f>'qtrP&amp;L'!BA10</f>
        <v>-0.47579065211307281</v>
      </c>
      <c r="L10" s="944">
        <v>3640</v>
      </c>
      <c r="M10" s="947">
        <f>(L10/H10-1)*100</f>
        <v>-6.2339000515198357</v>
      </c>
      <c r="N10" s="946">
        <f>'qtrP&amp;L'!BE10</f>
        <v>-2.8965129358830111</v>
      </c>
      <c r="P10" s="944">
        <v>3502</v>
      </c>
      <c r="Q10" s="947">
        <f>(P10/L10-1)*100</f>
        <v>-3.7912087912087888</v>
      </c>
      <c r="R10" s="946">
        <f>'qtrP&amp;L'!BI10</f>
        <v>-4.6915725456125106</v>
      </c>
      <c r="T10" s="944">
        <v>3498</v>
      </c>
      <c r="U10" s="947">
        <f>(T10/P10-1)*100</f>
        <v>-0.11422044545973398</v>
      </c>
      <c r="V10" s="946">
        <f>'qtrP&amp;L'!BM10</f>
        <v>7.8699483439683915</v>
      </c>
      <c r="X10" s="944">
        <v>3413</v>
      </c>
      <c r="Y10" s="947">
        <f>(X10/T10-1)*100</f>
        <v>-2.4299599771297919</v>
      </c>
      <c r="Z10" s="946">
        <f>'qtrP&amp;L'!BQ10</f>
        <v>2.5633802816901419</v>
      </c>
      <c r="AB10" s="944">
        <v>5432</v>
      </c>
      <c r="AC10" s="947">
        <f>(AB10/X10-1)*100</f>
        <v>59.156167594491649</v>
      </c>
      <c r="AD10" s="946">
        <f>'qtrP&amp;L'!BU10</f>
        <v>62.867344136226322</v>
      </c>
      <c r="AF10" s="944">
        <v>5499</v>
      </c>
      <c r="AG10" s="945">
        <f>(AF10/AB10-1)*100</f>
        <v>1.2334315169366672</v>
      </c>
      <c r="AH10" s="946">
        <f>'qtrP&amp;L'!BY10</f>
        <v>-0.15177065767284503</v>
      </c>
      <c r="AJ10" s="944">
        <v>5284</v>
      </c>
      <c r="AK10" s="947">
        <f>(AJ10/AF10-1)*100</f>
        <v>-3.9098017821422082</v>
      </c>
      <c r="AL10" s="946">
        <f>'qtrP&amp;L'!CC10</f>
        <v>-2.9386927883803371</v>
      </c>
      <c r="AN10" s="944">
        <v>5026</v>
      </c>
      <c r="AO10" s="947">
        <f>(AN10/AJ10-1)*100</f>
        <v>-4.8826646479939395</v>
      </c>
      <c r="AP10" s="946">
        <f>'qtrP&amp;L'!CG10</f>
        <v>-7.9867757090655971</v>
      </c>
      <c r="AR10" s="1081">
        <v>4921</v>
      </c>
      <c r="AS10" s="947">
        <f>(AR10/AN10-1)*100</f>
        <v>-2.0891364902506981</v>
      </c>
      <c r="AT10" s="946">
        <f>'qtrP&amp;L'!CK10</f>
        <v>5.4084720121028829</v>
      </c>
      <c r="AV10" s="1081">
        <v>5159</v>
      </c>
      <c r="AW10" s="947">
        <f>(AV10/AR10-1)*100</f>
        <v>4.8364153627311612</v>
      </c>
      <c r="AX10" s="946">
        <f>'qtrP&amp;L'!CO10</f>
        <v>5.6512378902045191</v>
      </c>
      <c r="AZ10" s="1081">
        <v>5465</v>
      </c>
      <c r="BA10" s="947">
        <f>(AZ10/AV10-1)*100</f>
        <v>5.9313820507850279</v>
      </c>
      <c r="BB10" s="946">
        <f>'qtrP&amp;L'!CS10</f>
        <v>4.313126167430803</v>
      </c>
      <c r="BD10" s="1081">
        <v>5631</v>
      </c>
      <c r="BE10" s="947">
        <f>(BD10/AZ10-1)*100</f>
        <v>3.0375114364135314</v>
      </c>
      <c r="BF10" s="946">
        <f>'qtrP&amp;L'!CW10</f>
        <v>3.9720006511476447</v>
      </c>
      <c r="BH10" s="1081">
        <v>5897</v>
      </c>
      <c r="BI10" s="947">
        <f>(BH10/BD10-1)*100</f>
        <v>4.7238501154324375</v>
      </c>
      <c r="BJ10" s="946">
        <f>'qtrP&amp;L'!DA10</f>
        <v>-1.6909347111319861</v>
      </c>
      <c r="BL10" s="1081">
        <v>5929</v>
      </c>
      <c r="BM10" s="947">
        <f>(BL10/BH10-1)*100</f>
        <v>0.54264880447685293</v>
      </c>
      <c r="BN10" s="946">
        <f>'qtrP&amp;L'!DE10</f>
        <v>-0.74852683548335408</v>
      </c>
      <c r="BP10" s="1081">
        <v>5738</v>
      </c>
      <c r="BQ10" s="947">
        <f>(BP10/BL10-1)*100</f>
        <v>-3.2214538708045248</v>
      </c>
      <c r="BR10" s="946">
        <f>'qtrP&amp;L'!DI10</f>
        <v>-7.3491655969191267</v>
      </c>
      <c r="BT10" s="1081">
        <v>5626</v>
      </c>
      <c r="BU10" s="947">
        <f>(BT10/BP10-1)*100</f>
        <v>-1.9518996165911462</v>
      </c>
      <c r="BV10" s="946">
        <f>'qtrP&amp;L'!DM10</f>
        <v>-7.3086248701073835</v>
      </c>
      <c r="BX10" s="1334">
        <f>BT10*(1+BY10%)</f>
        <v>5400.96</v>
      </c>
      <c r="BY10" s="1337">
        <v>-4</v>
      </c>
      <c r="BZ10" s="1311">
        <f>'qtrP&amp;L'!DQ10</f>
        <v>-0.70000000000000062</v>
      </c>
      <c r="CC10" s="282"/>
      <c r="CD10" s="282"/>
      <c r="CE10" s="492"/>
    </row>
    <row r="11" spans="1:84" x14ac:dyDescent="0.2">
      <c r="A11" s="185" t="s">
        <v>96</v>
      </c>
      <c r="B11" s="185" t="s">
        <v>80</v>
      </c>
      <c r="D11" s="944"/>
      <c r="E11" s="945"/>
      <c r="F11" s="946">
        <f>'qtrP&amp;L'!AW11</f>
        <v>-8.1627558662006994</v>
      </c>
      <c r="H11" s="944">
        <v>3813</v>
      </c>
      <c r="I11" s="947"/>
      <c r="J11" s="946">
        <f>'qtrP&amp;L'!BA11</f>
        <v>-5.1916281598260454</v>
      </c>
      <c r="L11" s="944">
        <v>3657</v>
      </c>
      <c r="M11" s="947">
        <f>(L11/H11-1)*100</f>
        <v>-4.0912667191188028</v>
      </c>
      <c r="N11" s="946">
        <f>'qtrP&amp;L'!BE11</f>
        <v>-5.7339449541282672E-2</v>
      </c>
      <c r="P11" s="944">
        <v>3439</v>
      </c>
      <c r="Q11" s="947">
        <f>(P11/L11-1)*100</f>
        <v>-5.9611703582171156</v>
      </c>
      <c r="R11" s="946">
        <f>'qtrP&amp;L'!BI11</f>
        <v>-1.4916810097532984</v>
      </c>
      <c r="T11" s="944">
        <v>3355</v>
      </c>
      <c r="U11" s="947">
        <f>(T11/P11-1)*100</f>
        <v>-2.4425705146845056</v>
      </c>
      <c r="V11" s="946">
        <f>'qtrP&amp;L'!BM11</f>
        <v>4.2807221898660375</v>
      </c>
      <c r="X11" s="944">
        <v>3259</v>
      </c>
      <c r="Y11" s="947">
        <f>(X11/T11-1)*100</f>
        <v>-2.8614008941877822</v>
      </c>
      <c r="Z11" s="946">
        <f>'qtrP&amp;L'!BQ11</f>
        <v>1.1728567439262871</v>
      </c>
      <c r="AB11" s="944">
        <v>5168</v>
      </c>
      <c r="AC11" s="947">
        <f>(AB11/X11-1)*100</f>
        <v>58.57625038355323</v>
      </c>
      <c r="AD11" s="946">
        <f>'qtrP&amp;L'!BU11</f>
        <v>65.470604471432509</v>
      </c>
      <c r="AF11" s="944">
        <v>5200</v>
      </c>
      <c r="AG11" s="945">
        <f>(AF11/AB11-1)*100</f>
        <v>0.61919504643963563</v>
      </c>
      <c r="AH11" s="946">
        <f>'qtrP&amp;L'!BY11</f>
        <v>-1.7180984153461254</v>
      </c>
      <c r="AJ11" s="944">
        <v>5008</v>
      </c>
      <c r="AK11" s="947">
        <f>(AJ11/AF11-1)*100</f>
        <v>-3.6923076923076947</v>
      </c>
      <c r="AL11" s="946">
        <f>'qtrP&amp;L'!CC11</f>
        <v>-2.9531568228105876</v>
      </c>
      <c r="AN11" s="944">
        <v>4634</v>
      </c>
      <c r="AO11" s="947">
        <f>(AN11/AJ11-1)*100</f>
        <v>-7.4680511182108607</v>
      </c>
      <c r="AP11" s="946">
        <f>'qtrP&amp;L'!CG11</f>
        <v>-7.5725778244141289</v>
      </c>
      <c r="AR11" s="1081">
        <v>4633</v>
      </c>
      <c r="AS11" s="947">
        <f>(AR11/AN11-1)*100</f>
        <v>-2.1579628830381559E-2</v>
      </c>
      <c r="AT11" s="946">
        <f>'qtrP&amp;L'!CK11</f>
        <v>4.7682119205298079</v>
      </c>
      <c r="AV11" s="1081">
        <v>4948</v>
      </c>
      <c r="AW11" s="947">
        <f>(AV11/AR11-1)*100</f>
        <v>6.7990502913878759</v>
      </c>
      <c r="AX11" s="946">
        <f>'qtrP&amp;L'!CO11</f>
        <v>7.2602492324363332</v>
      </c>
      <c r="AZ11" s="1081">
        <v>5036</v>
      </c>
      <c r="BA11" s="947">
        <f>(AZ11/AV11-1)*100</f>
        <v>1.7784963621665373</v>
      </c>
      <c r="BB11" s="946">
        <f>'qtrP&amp;L'!CS11</f>
        <v>3.0139754167368249</v>
      </c>
      <c r="BD11" s="1081">
        <v>5357</v>
      </c>
      <c r="BE11" s="947">
        <f>(BD11/AZ11-1)*100</f>
        <v>6.3741064336775288</v>
      </c>
      <c r="BF11" s="946">
        <f>'qtrP&amp;L'!CW11</f>
        <v>-0.84995096436744078</v>
      </c>
      <c r="BH11" s="1081">
        <v>5416</v>
      </c>
      <c r="BI11" s="947">
        <f>(BH11/BD11-1)*100</f>
        <v>1.1013627030054041</v>
      </c>
      <c r="BJ11" s="946">
        <f>'qtrP&amp;L'!DA11</f>
        <v>3.3135509396637008</v>
      </c>
      <c r="BL11" s="1081">
        <v>5496</v>
      </c>
      <c r="BM11" s="947">
        <f>(BL11/BH11-1)*100</f>
        <v>1.477104874446078</v>
      </c>
      <c r="BN11" s="946">
        <f>'qtrP&amp;L'!DE11</f>
        <v>-2.6009254826870887</v>
      </c>
      <c r="BP11" s="1081">
        <v>5322</v>
      </c>
      <c r="BQ11" s="947">
        <f>(BP11/BL11-1)*100</f>
        <v>-3.1659388646288256</v>
      </c>
      <c r="BR11" s="946">
        <f>'qtrP&amp;L'!DI11</f>
        <v>-2.2280471821756187</v>
      </c>
      <c r="BT11" s="1081">
        <v>4980</v>
      </c>
      <c r="BU11" s="947">
        <f>(BT11/BP11-1)*100</f>
        <v>-6.4261555806087944</v>
      </c>
      <c r="BV11" s="946">
        <f>'qtrP&amp;L'!DM11</f>
        <v>-5.5797587131367283</v>
      </c>
      <c r="BX11" s="1334">
        <f>BT11*(1+BY11%)</f>
        <v>4780.8</v>
      </c>
      <c r="BY11" s="1337">
        <v>-4</v>
      </c>
      <c r="BZ11" s="1311">
        <f>'qtrP&amp;L'!DQ11</f>
        <v>-2.9000000000000026</v>
      </c>
      <c r="CA11" s="386"/>
      <c r="CB11" s="282"/>
      <c r="CC11" s="282"/>
      <c r="CD11" s="282"/>
      <c r="CE11" s="282"/>
      <c r="CF11" s="492"/>
    </row>
    <row r="12" spans="1:84" x14ac:dyDescent="0.2">
      <c r="A12" s="185" t="s">
        <v>97</v>
      </c>
      <c r="B12" s="185" t="s">
        <v>81</v>
      </c>
      <c r="D12" s="944"/>
      <c r="E12" s="945"/>
      <c r="F12" s="946">
        <f>'qtrP&amp;L'!AW12</f>
        <v>-8.5810974135847253</v>
      </c>
      <c r="H12" s="944">
        <v>4698</v>
      </c>
      <c r="I12" s="947"/>
      <c r="J12" s="946">
        <f>'qtrP&amp;L'!BA12</f>
        <v>-8.1173982020095181</v>
      </c>
      <c r="L12" s="944">
        <v>4633</v>
      </c>
      <c r="M12" s="947">
        <f>(L12/H12-1)*100</f>
        <v>-1.3835674755214966</v>
      </c>
      <c r="N12" s="946">
        <f>'qtrP&amp;L'!BE12</f>
        <v>0.11510791366906581</v>
      </c>
      <c r="P12" s="944">
        <v>4403</v>
      </c>
      <c r="Q12" s="947">
        <f>(P12/L12-1)*100</f>
        <v>-4.9643859270451118</v>
      </c>
      <c r="R12" s="946">
        <f>'qtrP&amp;L'!BI12</f>
        <v>0.2012072434607548</v>
      </c>
      <c r="T12" s="944">
        <v>4259</v>
      </c>
      <c r="U12" s="947">
        <f>(T12/P12-1)*100</f>
        <v>-3.2704973881444444</v>
      </c>
      <c r="V12" s="946">
        <f>'qtrP&amp;L'!BM12</f>
        <v>1.1187607573149849</v>
      </c>
      <c r="X12" s="944">
        <v>7407</v>
      </c>
      <c r="Y12" s="947">
        <f>(X12/T12-1)*100</f>
        <v>73.914064334350797</v>
      </c>
      <c r="Z12" s="946">
        <f>'qtrP&amp;L'!BQ12</f>
        <v>57.588652482269495</v>
      </c>
      <c r="AB12" s="944">
        <v>7032</v>
      </c>
      <c r="AC12" s="947">
        <f>(AB12/X12-1)*100</f>
        <v>-5.0627784528149089</v>
      </c>
      <c r="AD12" s="946">
        <f>'qtrP&amp;L'!BU12</f>
        <v>5.9585958595859578</v>
      </c>
      <c r="AF12" s="944">
        <v>7012</v>
      </c>
      <c r="AG12" s="945">
        <f>(AF12/AB12-1)*100</f>
        <v>-0.28441410693970104</v>
      </c>
      <c r="AH12" s="946">
        <f>'qtrP&amp;L'!BY12</f>
        <v>0.3397893306150257</v>
      </c>
      <c r="AJ12" s="944">
        <v>6915</v>
      </c>
      <c r="AK12" s="947">
        <f>(AJ12/AF12-1)*100</f>
        <v>-1.3833428408442705</v>
      </c>
      <c r="AL12" s="946">
        <f>'qtrP&amp;L'!CC12</f>
        <v>-6.9928885878767328</v>
      </c>
      <c r="AN12" s="944">
        <v>6406</v>
      </c>
      <c r="AO12" s="947">
        <f>(AN12/AJ12-1)*100</f>
        <v>-7.3608098336948702</v>
      </c>
      <c r="AP12" s="946">
        <f>'qtrP&amp;L'!CG12</f>
        <v>-1.9661387220098359</v>
      </c>
      <c r="AR12" s="1081">
        <v>6530</v>
      </c>
      <c r="AS12" s="947">
        <f>(AR12/AN12-1)*100</f>
        <v>1.9356852950358938</v>
      </c>
      <c r="AT12" s="946">
        <f>'qtrP&amp;L'!CK12</f>
        <v>4.4196843082636939</v>
      </c>
      <c r="AV12" s="1081">
        <v>7158</v>
      </c>
      <c r="AW12" s="947">
        <f>(AV12/AR12-1)*100</f>
        <v>9.6171516079632369</v>
      </c>
      <c r="AX12" s="946">
        <f>'qtrP&amp;L'!CO12</f>
        <v>4.0903432331495626</v>
      </c>
      <c r="AZ12" s="1081">
        <v>7208</v>
      </c>
      <c r="BA12" s="947">
        <f>(AZ12/AV12-1)*100</f>
        <v>0.69851913942442501</v>
      </c>
      <c r="BB12" s="946">
        <f>'qtrP&amp;L'!CS12</f>
        <v>3.7929267042542181</v>
      </c>
      <c r="BD12" s="1081">
        <v>7716</v>
      </c>
      <c r="BE12" s="947">
        <f>(BD12/AZ12-1)*100</f>
        <v>7.047724750277462</v>
      </c>
      <c r="BF12" s="946">
        <f>'qtrP&amp;L'!CW12</f>
        <v>3.308641975308646</v>
      </c>
      <c r="BH12" s="1081">
        <v>7789</v>
      </c>
      <c r="BI12" s="947">
        <f>(BH12/BD12-1)*100</f>
        <v>0.94608605495074549</v>
      </c>
      <c r="BJ12" s="946">
        <f>'qtrP&amp;L'!DA12</f>
        <v>-1.2906309751434031</v>
      </c>
      <c r="BL12" s="1081">
        <v>7971</v>
      </c>
      <c r="BM12" s="947">
        <f>(BL12/BH12-1)*100</f>
        <v>2.3366285787649321</v>
      </c>
      <c r="BN12" s="946">
        <f>'qtrP&amp;L'!DE12</f>
        <v>-5.1815980629539959</v>
      </c>
      <c r="BP12" s="1081">
        <v>7587</v>
      </c>
      <c r="BQ12" s="947">
        <f>(BP12/BL12-1)*100</f>
        <v>-4.8174633044787303</v>
      </c>
      <c r="BR12" s="946">
        <f>'qtrP&amp;L'!DI12</f>
        <v>-4.0687776642832851</v>
      </c>
      <c r="BT12" s="1081">
        <v>7065</v>
      </c>
      <c r="BU12" s="947">
        <f>(BT12/BP12-1)*100</f>
        <v>-6.8801897983392646</v>
      </c>
      <c r="BV12" s="946">
        <f>'qtrP&amp;L'!DM12</f>
        <v>-6.1756876663708997</v>
      </c>
      <c r="BX12" s="1334">
        <f>BT12*(1+BY12%)</f>
        <v>6711.75</v>
      </c>
      <c r="BY12" s="1338">
        <v>-5</v>
      </c>
      <c r="BZ12" s="1311">
        <f>'qtrP&amp;L'!DQ12</f>
        <v>0.20000000000000018</v>
      </c>
      <c r="CB12" s="648"/>
      <c r="CC12" s="282"/>
      <c r="CD12" s="282"/>
      <c r="CE12" s="282"/>
    </row>
    <row r="13" spans="1:84" x14ac:dyDescent="0.2">
      <c r="A13" s="185" t="s">
        <v>98</v>
      </c>
      <c r="B13" s="185" t="s">
        <v>82</v>
      </c>
      <c r="D13" s="944">
        <v>3626</v>
      </c>
      <c r="E13" s="945"/>
      <c r="F13" s="946">
        <f>'qtrP&amp;L'!AW13</f>
        <v>-6.1778001004520355</v>
      </c>
      <c r="H13" s="944">
        <v>3376</v>
      </c>
      <c r="I13" s="947">
        <f>(H13/D13-1)*100</f>
        <v>-6.8946497517926142</v>
      </c>
      <c r="J13" s="946">
        <f>'qtrP&amp;L'!BA13</f>
        <v>-8.4225553176302643</v>
      </c>
      <c r="L13" s="944">
        <v>3359</v>
      </c>
      <c r="M13" s="947">
        <f>(L13/H13-1)*100</f>
        <v>-0.50355450236966304</v>
      </c>
      <c r="N13" s="946">
        <f>'qtrP&amp;L'!BE13</f>
        <v>-2.2408417770849565</v>
      </c>
      <c r="P13" s="944">
        <v>3215</v>
      </c>
      <c r="Q13" s="947">
        <f>(P13/L13-1)*100</f>
        <v>-4.2869901756475093</v>
      </c>
      <c r="R13" s="946">
        <f>'qtrP&amp;L'!BI13</f>
        <v>0.71756029499701057</v>
      </c>
      <c r="T13" s="944">
        <v>3120</v>
      </c>
      <c r="U13" s="947">
        <f>(T13/P13-1)*100</f>
        <v>-2.9548989113530322</v>
      </c>
      <c r="V13" s="946">
        <f>'qtrP&amp;L'!BM13</f>
        <v>1.3259449831783066</v>
      </c>
      <c r="X13" s="944">
        <v>5459</v>
      </c>
      <c r="Y13" s="947">
        <f>(X13/T13-1)*100</f>
        <v>74.967948717948715</v>
      </c>
      <c r="Z13" s="946">
        <f>'qtrP&amp;L'!BQ13</f>
        <v>86.93359375</v>
      </c>
      <c r="AB13" s="944">
        <v>5317</v>
      </c>
      <c r="AC13" s="947">
        <f>(AB13/X13-1)*100</f>
        <v>-2.6012090126396825</v>
      </c>
      <c r="AD13" s="946">
        <f>'qtrP&amp;L'!BU13</f>
        <v>-4.3046703583742518</v>
      </c>
      <c r="AF13" s="944">
        <v>5060</v>
      </c>
      <c r="AG13" s="945">
        <f>(AF13/AB13-1)*100</f>
        <v>-4.8335527553131419</v>
      </c>
      <c r="AH13" s="946">
        <f>'qtrP&amp;L'!BY13</f>
        <v>-6.1687957200567745</v>
      </c>
      <c r="AJ13" s="944">
        <v>4769</v>
      </c>
      <c r="AK13" s="947">
        <f>(AJ13/AF13-1)*100</f>
        <v>-5.7509881422924902</v>
      </c>
      <c r="AL13" s="946">
        <f>'qtrP&amp;L'!CC13</f>
        <v>-7.6797765883174325</v>
      </c>
      <c r="AN13" s="944">
        <v>4615</v>
      </c>
      <c r="AO13" s="947">
        <f>(AN13/AJ13-1)*100</f>
        <v>-3.2291885091214056</v>
      </c>
      <c r="AP13" s="946">
        <f>'qtrP&amp;L'!CG13</f>
        <v>3.7811948575749987E-2</v>
      </c>
      <c r="AR13" s="1081">
        <v>4758</v>
      </c>
      <c r="AS13" s="947">
        <f>(AR13/AN13-1)*100</f>
        <v>3.0985915492957705</v>
      </c>
      <c r="AT13" s="946">
        <f>'qtrP&amp;L'!CK13</f>
        <v>4.182940657679235</v>
      </c>
      <c r="AV13" s="1081">
        <v>5117</v>
      </c>
      <c r="AW13" s="947">
        <f>(AV13/AR13-1)*100</f>
        <v>7.5451870533837839</v>
      </c>
      <c r="AX13" s="946">
        <f>'qtrP&amp;L'!CO13</f>
        <v>5.5024791389527206</v>
      </c>
      <c r="AZ13" s="1081">
        <v>5308</v>
      </c>
      <c r="BA13" s="947">
        <f>(AZ13/AV13-1)*100</f>
        <v>3.7326558530388798</v>
      </c>
      <c r="BB13" s="946">
        <f>'qtrP&amp;L'!CS13</f>
        <v>7.175607519486471</v>
      </c>
      <c r="BD13" s="1081">
        <v>5557</v>
      </c>
      <c r="BE13" s="947">
        <f>(BD13/AZ13-1)*100</f>
        <v>4.6910324039186158</v>
      </c>
      <c r="BF13" s="946">
        <f>'qtrP&amp;L'!CW13</f>
        <v>-1.582887700534763</v>
      </c>
      <c r="BH13" s="1081">
        <v>5417</v>
      </c>
      <c r="BI13" s="947">
        <f>(BH13/BD13-1)*100</f>
        <v>-2.5193449703077242</v>
      </c>
      <c r="BJ13" s="946">
        <f>'qtrP&amp;L'!DA13</f>
        <v>1.7604868506846394</v>
      </c>
      <c r="BL13" s="1081">
        <v>5506</v>
      </c>
      <c r="BM13" s="947">
        <f>(BL13/BH13-1)*100</f>
        <v>1.6429758168728048</v>
      </c>
      <c r="BN13" s="946">
        <f>'qtrP&amp;L'!DE13</f>
        <v>-5.2862024775736867</v>
      </c>
      <c r="BP13" s="1081">
        <v>5399</v>
      </c>
      <c r="BQ13" s="947">
        <f>(BP13/BL13-1)*100</f>
        <v>-1.943334544133668</v>
      </c>
      <c r="BR13" s="946">
        <f>'qtrP&amp;L'!DI13</f>
        <v>-3.7884767166535105</v>
      </c>
      <c r="BT13" s="1336">
        <f>bal!AE11</f>
        <v>5178</v>
      </c>
      <c r="BU13" s="947">
        <f>(BT13/BP13-1)*100</f>
        <v>-4.0933506204852694</v>
      </c>
      <c r="BV13" s="946">
        <f>'qtrP&amp;L'!DM13</f>
        <v>1.6172506738544534</v>
      </c>
      <c r="BX13" s="1334">
        <f>BT13*(1+BY13%)</f>
        <v>4970.88</v>
      </c>
      <c r="BY13" s="1338">
        <v>-4</v>
      </c>
      <c r="BZ13" s="1311">
        <f>'qtrP&amp;L'!DQ13</f>
        <v>-2.3000000000000131</v>
      </c>
      <c r="CC13" s="282"/>
      <c r="CD13" s="282"/>
      <c r="CE13" s="282"/>
    </row>
    <row r="14" spans="1:84" x14ac:dyDescent="0.2">
      <c r="D14" s="488"/>
      <c r="H14" s="488"/>
      <c r="L14" s="488"/>
      <c r="P14" s="488"/>
      <c r="T14" s="488"/>
      <c r="X14" s="488"/>
      <c r="AB14" s="488"/>
      <c r="AF14" s="488"/>
      <c r="AJ14" s="488"/>
      <c r="AN14" s="488"/>
      <c r="AR14" s="1080"/>
      <c r="AT14" s="638"/>
      <c r="AV14" s="1080"/>
      <c r="AX14" s="638"/>
      <c r="AZ14" s="1080"/>
      <c r="BB14" s="638"/>
      <c r="BD14" s="1080"/>
      <c r="BH14" s="1080"/>
      <c r="BJ14" s="638"/>
      <c r="BL14" s="1080"/>
      <c r="BP14" s="1080"/>
      <c r="BT14" s="1007"/>
      <c r="BX14" s="1312"/>
    </row>
    <row r="15" spans="1:84" x14ac:dyDescent="0.2">
      <c r="A15" s="942" t="s">
        <v>278</v>
      </c>
      <c r="B15" s="627"/>
      <c r="C15" s="627"/>
      <c r="D15" s="720"/>
      <c r="E15" s="627"/>
      <c r="F15" s="627"/>
      <c r="G15" s="627"/>
      <c r="H15" s="720"/>
      <c r="I15" s="943"/>
      <c r="J15" s="627"/>
      <c r="K15" s="627"/>
      <c r="L15" s="720"/>
      <c r="M15" s="943"/>
      <c r="N15" s="627"/>
      <c r="O15" s="627"/>
      <c r="P15" s="720"/>
      <c r="Q15" s="943"/>
      <c r="R15" s="627"/>
      <c r="S15" s="627"/>
      <c r="T15" s="720"/>
      <c r="U15" s="943"/>
      <c r="V15" s="627"/>
      <c r="W15" s="627"/>
      <c r="X15" s="720"/>
      <c r="Y15" s="943"/>
      <c r="Z15" s="627"/>
      <c r="AA15" s="627"/>
      <c r="AB15" s="720"/>
      <c r="AC15" s="943"/>
      <c r="AD15" s="627"/>
      <c r="AE15" s="627"/>
      <c r="AF15" s="720"/>
      <c r="AG15" s="627"/>
      <c r="AH15" s="627"/>
      <c r="AI15" s="627"/>
      <c r="AJ15" s="720"/>
      <c r="AK15" s="943"/>
      <c r="AL15" s="627"/>
      <c r="AM15" s="627"/>
      <c r="AN15" s="720"/>
      <c r="AO15" s="943"/>
      <c r="AP15" s="627"/>
      <c r="AQ15" s="627"/>
      <c r="AR15" s="1082"/>
      <c r="AS15" s="943"/>
      <c r="AT15" s="627"/>
      <c r="AU15" s="627"/>
      <c r="AV15" s="1082"/>
      <c r="AW15" s="943"/>
      <c r="AX15" s="627"/>
      <c r="AY15" s="627"/>
      <c r="AZ15" s="1082"/>
      <c r="BA15" s="943"/>
      <c r="BB15" s="627"/>
      <c r="BC15" s="627"/>
      <c r="BD15" s="1082"/>
      <c r="BE15" s="943"/>
      <c r="BF15" s="627"/>
      <c r="BG15" s="627"/>
      <c r="BH15" s="1082"/>
      <c r="BI15" s="943"/>
      <c r="BJ15" s="627"/>
      <c r="BK15" s="627"/>
      <c r="BL15" s="1082"/>
      <c r="BM15" s="943"/>
      <c r="BN15" s="627"/>
      <c r="BO15" s="627"/>
      <c r="BP15" s="1082"/>
      <c r="BQ15" s="943"/>
      <c r="BR15" s="627"/>
      <c r="BS15" s="627"/>
      <c r="BT15" s="627"/>
      <c r="BU15" s="943"/>
      <c r="BV15" s="627"/>
      <c r="BW15" s="627"/>
      <c r="BX15" s="1151"/>
      <c r="BY15" s="1309"/>
      <c r="BZ15" s="1151"/>
    </row>
    <row r="16" spans="1:84" x14ac:dyDescent="0.2">
      <c r="A16" s="185" t="s">
        <v>95</v>
      </c>
      <c r="B16" s="185" t="s">
        <v>79</v>
      </c>
      <c r="D16" s="944"/>
      <c r="E16" s="945"/>
      <c r="F16" s="948">
        <f>F10</f>
        <v>-0.74999999999999512</v>
      </c>
      <c r="H16" s="944">
        <v>2248</v>
      </c>
      <c r="I16" s="947"/>
      <c r="J16" s="948">
        <f>J10</f>
        <v>-0.47579065211307281</v>
      </c>
      <c r="L16" s="944">
        <v>2156</v>
      </c>
      <c r="M16" s="947">
        <f>(L16/H16-1)*100</f>
        <v>-4.0925266903914626</v>
      </c>
      <c r="N16" s="948">
        <f>N10</f>
        <v>-2.8965129358830111</v>
      </c>
      <c r="P16" s="944">
        <v>2876</v>
      </c>
      <c r="Q16" s="947">
        <f>(P16/L16-1)*100</f>
        <v>33.395176252319118</v>
      </c>
      <c r="R16" s="948">
        <f>R10</f>
        <v>-4.6915725456125106</v>
      </c>
      <c r="T16" s="944">
        <v>3100</v>
      </c>
      <c r="U16" s="947">
        <f>(T16/P16-1)*100</f>
        <v>7.7885952712100082</v>
      </c>
      <c r="V16" s="948">
        <f>V10</f>
        <v>7.8699483439683915</v>
      </c>
      <c r="X16" s="944">
        <v>3313</v>
      </c>
      <c r="Y16" s="947">
        <f>(X16/T16-1)*100</f>
        <v>6.8709677419354742</v>
      </c>
      <c r="Z16" s="948">
        <f>Z10</f>
        <v>2.5633802816901419</v>
      </c>
      <c r="AB16" s="944">
        <v>2300</v>
      </c>
      <c r="AC16" s="947">
        <f>(AB16/X16-1)*100</f>
        <v>-30.576516752188354</v>
      </c>
      <c r="AD16" s="948">
        <f>AD10</f>
        <v>62.867344136226322</v>
      </c>
      <c r="AF16" s="944">
        <v>504</v>
      </c>
      <c r="AG16" s="945">
        <f>(AF16/AB16-1)*100</f>
        <v>-78.08695652173914</v>
      </c>
      <c r="AH16" s="948">
        <f>AH10</f>
        <v>-0.15177065767284503</v>
      </c>
      <c r="AJ16" s="944">
        <v>385</v>
      </c>
      <c r="AK16" s="947">
        <f>(AJ16/AF16-1)*100</f>
        <v>-23.611111111111114</v>
      </c>
      <c r="AL16" s="948">
        <f>AL10</f>
        <v>-2.9386927883803371</v>
      </c>
      <c r="AN16" s="944">
        <v>379</v>
      </c>
      <c r="AO16" s="947">
        <f>(AN16/AJ16-1)*100</f>
        <v>-1.558441558441559</v>
      </c>
      <c r="AP16" s="948">
        <f>AP10</f>
        <v>-7.9867757090655971</v>
      </c>
      <c r="AR16" s="1081">
        <v>273</v>
      </c>
      <c r="AS16" s="947">
        <f>(AR16/AN16-1)*100</f>
        <v>-27.968337730870708</v>
      </c>
      <c r="AT16" s="948">
        <f>AT10</f>
        <v>5.4084720121028829</v>
      </c>
      <c r="AV16" s="1081">
        <v>225</v>
      </c>
      <c r="AW16" s="947">
        <f>(AV16/AR16-1)*100</f>
        <v>-17.582417582417587</v>
      </c>
      <c r="AX16" s="948">
        <f>AX10</f>
        <v>5.6512378902045191</v>
      </c>
      <c r="AZ16" s="1081">
        <v>277</v>
      </c>
      <c r="BA16" s="947">
        <f>(AZ16/AV16-1)*100</f>
        <v>23.111111111111104</v>
      </c>
      <c r="BB16" s="948">
        <f>BB10</f>
        <v>4.313126167430803</v>
      </c>
      <c r="BD16" s="1081">
        <v>295</v>
      </c>
      <c r="BE16" s="947">
        <f>(BD16/AZ16-1)*100</f>
        <v>6.498194945848379</v>
      </c>
      <c r="BF16" s="948">
        <f>BF10</f>
        <v>3.9720006511476447</v>
      </c>
      <c r="BH16" s="1081">
        <v>275</v>
      </c>
      <c r="BI16" s="947">
        <f>(BH16/BD16-1)*100</f>
        <v>-6.7796610169491567</v>
      </c>
      <c r="BJ16" s="948">
        <f>BJ10</f>
        <v>-1.6909347111319861</v>
      </c>
      <c r="BL16" s="1081">
        <v>259</v>
      </c>
      <c r="BM16" s="947">
        <f>(BL16/BH16-1)*100</f>
        <v>-5.8181818181818219</v>
      </c>
      <c r="BN16" s="948">
        <f>BN10</f>
        <v>-0.74852683548335408</v>
      </c>
      <c r="BP16" s="1081">
        <v>436</v>
      </c>
      <c r="BQ16" s="947">
        <f>(BP16/BL16-1)*100</f>
        <v>68.339768339768341</v>
      </c>
      <c r="BR16" s="948">
        <f>BR10</f>
        <v>-7.3491655969191267</v>
      </c>
      <c r="BT16" s="1081">
        <v>345</v>
      </c>
      <c r="BU16" s="947">
        <f>(BT16/BP16-1)*100</f>
        <v>-20.871559633027527</v>
      </c>
      <c r="BV16" s="948">
        <f>BV10</f>
        <v>-7.3086248701073835</v>
      </c>
      <c r="BX16" s="1302"/>
      <c r="BY16" s="1310"/>
      <c r="BZ16" s="1313"/>
    </row>
    <row r="17" spans="1:78" x14ac:dyDescent="0.2">
      <c r="A17" s="185" t="s">
        <v>96</v>
      </c>
      <c r="B17" s="185" t="s">
        <v>80</v>
      </c>
      <c r="D17" s="944"/>
      <c r="E17" s="945"/>
      <c r="F17" s="948">
        <f>F11</f>
        <v>-8.1627558662006994</v>
      </c>
      <c r="H17" s="944">
        <v>2153</v>
      </c>
      <c r="I17" s="947"/>
      <c r="J17" s="948">
        <f>J11</f>
        <v>-5.1916281598260454</v>
      </c>
      <c r="L17" s="944">
        <v>2676</v>
      </c>
      <c r="M17" s="947">
        <f>(L17/H17-1)*100</f>
        <v>24.291686019507665</v>
      </c>
      <c r="N17" s="948">
        <f>N11</f>
        <v>-5.7339449541282672E-2</v>
      </c>
      <c r="P17" s="944">
        <v>2836</v>
      </c>
      <c r="Q17" s="947">
        <f>(P17/L17-1)*100</f>
        <v>5.9790732436472371</v>
      </c>
      <c r="R17" s="948">
        <f>R11</f>
        <v>-1.4916810097532984</v>
      </c>
      <c r="T17" s="944">
        <v>3062</v>
      </c>
      <c r="U17" s="947">
        <f>(T17/P17-1)*100</f>
        <v>7.9689703808180523</v>
      </c>
      <c r="V17" s="948">
        <f>V11</f>
        <v>4.2807221898660375</v>
      </c>
      <c r="X17" s="944">
        <v>3271</v>
      </c>
      <c r="Y17" s="947">
        <f>(X17/T17-1)*100</f>
        <v>6.8256041802743361</v>
      </c>
      <c r="Z17" s="948">
        <f>Z11</f>
        <v>1.1728567439262871</v>
      </c>
      <c r="AB17" s="944">
        <v>460</v>
      </c>
      <c r="AC17" s="947">
        <f>(AB17/X17-1)*100</f>
        <v>-85.937022317334154</v>
      </c>
      <c r="AD17" s="948">
        <f>AD11</f>
        <v>65.470604471432509</v>
      </c>
      <c r="AF17" s="944">
        <v>490</v>
      </c>
      <c r="AG17" s="945">
        <f>(AF17/AB17-1)*100</f>
        <v>6.5217391304347894</v>
      </c>
      <c r="AH17" s="948">
        <f>AH11</f>
        <v>-1.7180984153461254</v>
      </c>
      <c r="AJ17" s="944">
        <v>341</v>
      </c>
      <c r="AK17" s="947">
        <f>(AJ17/AF17-1)*100</f>
        <v>-30.408163265306122</v>
      </c>
      <c r="AL17" s="948">
        <f>AL11</f>
        <v>-2.9531568228105876</v>
      </c>
      <c r="AN17" s="944">
        <v>401</v>
      </c>
      <c r="AO17" s="947">
        <f>(AN17/AJ17-1)*100</f>
        <v>17.595307917888569</v>
      </c>
      <c r="AP17" s="948">
        <f>AP11</f>
        <v>-7.5725778244141289</v>
      </c>
      <c r="AR17" s="1081">
        <v>355</v>
      </c>
      <c r="AS17" s="947">
        <f>(AR17/AN17-1)*100</f>
        <v>-11.471321695760594</v>
      </c>
      <c r="AT17" s="948">
        <f>AT11</f>
        <v>4.7682119205298079</v>
      </c>
      <c r="AV17" s="1081">
        <v>369</v>
      </c>
      <c r="AW17" s="947">
        <f>(AV17/AR17-1)*100</f>
        <v>3.9436619718309807</v>
      </c>
      <c r="AX17" s="948">
        <f>AX11</f>
        <v>7.2602492324363332</v>
      </c>
      <c r="AZ17" s="1081">
        <v>359</v>
      </c>
      <c r="BA17" s="947">
        <f>(AZ17/AV17-1)*100</f>
        <v>-2.7100271002710064</v>
      </c>
      <c r="BB17" s="948">
        <f>BB11</f>
        <v>3.0139754167368249</v>
      </c>
      <c r="BD17" s="1081">
        <v>347</v>
      </c>
      <c r="BE17" s="947">
        <f>(BD17/AZ17-1)*100</f>
        <v>-3.3426183844011192</v>
      </c>
      <c r="BF17" s="948">
        <f>BF11</f>
        <v>-0.84995096436744078</v>
      </c>
      <c r="BH17" s="1081">
        <v>352</v>
      </c>
      <c r="BI17" s="947">
        <f>(BH17/BD17-1)*100</f>
        <v>1.4409221902017322</v>
      </c>
      <c r="BJ17" s="948">
        <f>BJ11</f>
        <v>3.3135509396637008</v>
      </c>
      <c r="BL17" s="1081">
        <v>334</v>
      </c>
      <c r="BM17" s="947">
        <f>(BL17/BH17-1)*100</f>
        <v>-5.1136363636363651</v>
      </c>
      <c r="BN17" s="948">
        <f>BN11</f>
        <v>-2.6009254826870887</v>
      </c>
      <c r="BP17" s="1081">
        <v>423</v>
      </c>
      <c r="BQ17" s="947">
        <f>(BP17/BL17-1)*100</f>
        <v>26.646706586826351</v>
      </c>
      <c r="BR17" s="948">
        <f>BR11</f>
        <v>-2.2280471821756187</v>
      </c>
      <c r="BT17" s="1081">
        <v>382</v>
      </c>
      <c r="BU17" s="947">
        <f>(BT17/BP17-1)*100</f>
        <v>-9.6926713947990564</v>
      </c>
      <c r="BV17" s="948">
        <f>BV11</f>
        <v>-5.5797587131367283</v>
      </c>
      <c r="BX17" s="1302"/>
      <c r="BY17" s="1310"/>
      <c r="BZ17" s="1313"/>
    </row>
    <row r="18" spans="1:78" x14ac:dyDescent="0.2">
      <c r="A18" s="185" t="s">
        <v>97</v>
      </c>
      <c r="B18" s="185" t="s">
        <v>81</v>
      </c>
      <c r="D18" s="944"/>
      <c r="E18" s="945"/>
      <c r="F18" s="948">
        <f>F12</f>
        <v>-8.5810974135847253</v>
      </c>
      <c r="H18" s="944">
        <v>2146</v>
      </c>
      <c r="I18" s="947"/>
      <c r="J18" s="948">
        <f>J12</f>
        <v>-8.1173982020095181</v>
      </c>
      <c r="L18" s="944">
        <v>2702</v>
      </c>
      <c r="M18" s="947">
        <f>(L18/H18-1)*100</f>
        <v>25.908667287977629</v>
      </c>
      <c r="N18" s="948">
        <f>N12</f>
        <v>0.11510791366906581</v>
      </c>
      <c r="P18" s="944">
        <v>2906</v>
      </c>
      <c r="Q18" s="947">
        <f>(P18/L18-1)*100</f>
        <v>7.5499629903774901</v>
      </c>
      <c r="R18" s="948">
        <f>R12</f>
        <v>0.2012072434607548</v>
      </c>
      <c r="T18" s="944">
        <v>3147</v>
      </c>
      <c r="U18" s="947">
        <f>(T18/P18-1)*100</f>
        <v>8.2931865106675939</v>
      </c>
      <c r="V18" s="948">
        <f>V12</f>
        <v>1.1187607573149849</v>
      </c>
      <c r="X18" s="944">
        <v>2242</v>
      </c>
      <c r="Y18" s="947">
        <f>(X18/T18-1)*100</f>
        <v>-28.757546870034957</v>
      </c>
      <c r="Z18" s="948">
        <f>Z12</f>
        <v>57.588652482269495</v>
      </c>
      <c r="AB18" s="944">
        <v>488</v>
      </c>
      <c r="AC18" s="947">
        <f>(AB18/X18-1)*100</f>
        <v>-78.23371989295272</v>
      </c>
      <c r="AD18" s="948">
        <f>AD12</f>
        <v>5.9585958595859578</v>
      </c>
      <c r="AF18" s="944">
        <v>459</v>
      </c>
      <c r="AG18" s="945">
        <f>(AF18/AB18-1)*100</f>
        <v>-5.9426229508196755</v>
      </c>
      <c r="AH18" s="948">
        <f>AH12</f>
        <v>0.3397893306150257</v>
      </c>
      <c r="AJ18" s="944">
        <v>367</v>
      </c>
      <c r="AK18" s="947">
        <f>(AJ18/AF18-1)*100</f>
        <v>-20.04357298474946</v>
      </c>
      <c r="AL18" s="948">
        <f>AL12</f>
        <v>-6.9928885878767328</v>
      </c>
      <c r="AN18" s="944">
        <v>374</v>
      </c>
      <c r="AO18" s="947">
        <f>(AN18/AJ18-1)*100</f>
        <v>1.9073569482288777</v>
      </c>
      <c r="AP18" s="948">
        <f>AP12</f>
        <v>-1.9661387220098359</v>
      </c>
      <c r="AR18" s="1081">
        <v>303</v>
      </c>
      <c r="AS18" s="947">
        <f>(AR18/AN18-1)*100</f>
        <v>-18.983957219251334</v>
      </c>
      <c r="AT18" s="948">
        <f>AT12</f>
        <v>4.4196843082636939</v>
      </c>
      <c r="AV18" s="1081">
        <v>288</v>
      </c>
      <c r="AW18" s="947">
        <f>(AV18/AR18-1)*100</f>
        <v>-4.9504950495049549</v>
      </c>
      <c r="AX18" s="948">
        <f>AX12</f>
        <v>4.0903432331495626</v>
      </c>
      <c r="AZ18" s="1081">
        <v>281</v>
      </c>
      <c r="BA18" s="947">
        <f>(AZ18/AV18-1)*100</f>
        <v>-2.430555555555558</v>
      </c>
      <c r="BB18" s="948">
        <f>BB12</f>
        <v>3.7929267042542181</v>
      </c>
      <c r="BD18" s="1081">
        <v>276</v>
      </c>
      <c r="BE18" s="947">
        <f>(BD18/AZ18-1)*100</f>
        <v>-1.7793594306049876</v>
      </c>
      <c r="BF18" s="948">
        <f>BF12</f>
        <v>3.308641975308646</v>
      </c>
      <c r="BH18" s="1081">
        <v>292</v>
      </c>
      <c r="BI18" s="947">
        <f>(BH18/BD18-1)*100</f>
        <v>5.7971014492753659</v>
      </c>
      <c r="BJ18" s="948">
        <f>BJ12</f>
        <v>-1.2906309751434031</v>
      </c>
      <c r="BL18" s="1081">
        <v>200</v>
      </c>
      <c r="BM18" s="947">
        <f>(BL18/BH18-1)*100</f>
        <v>-31.506849315068497</v>
      </c>
      <c r="BN18" s="948">
        <f>BN12</f>
        <v>-5.1815980629539959</v>
      </c>
      <c r="BP18" s="1081">
        <v>262</v>
      </c>
      <c r="BQ18" s="947">
        <f>(BP18/BL18-1)*100</f>
        <v>31.000000000000007</v>
      </c>
      <c r="BR18" s="948">
        <f>BR12</f>
        <v>-4.0687776642832851</v>
      </c>
      <c r="BT18" s="1081">
        <v>219</v>
      </c>
      <c r="BU18" s="947">
        <f>(BT18/BP18-1)*100</f>
        <v>-16.412213740458014</v>
      </c>
      <c r="BV18" s="948">
        <f>BV12</f>
        <v>-6.1756876663708997</v>
      </c>
      <c r="BX18" s="1302"/>
      <c r="BY18" s="1310"/>
      <c r="BZ18" s="1313"/>
    </row>
    <row r="19" spans="1:78" x14ac:dyDescent="0.2">
      <c r="A19" s="185" t="s">
        <v>98</v>
      </c>
      <c r="B19" s="185" t="s">
        <v>82</v>
      </c>
      <c r="D19" s="944">
        <v>2435</v>
      </c>
      <c r="E19" s="945"/>
      <c r="F19" s="948">
        <f>F13</f>
        <v>-6.1778001004520355</v>
      </c>
      <c r="H19" s="944">
        <v>2379</v>
      </c>
      <c r="I19" s="947">
        <f>(H19/D19-1)*100</f>
        <v>-2.2997946611909681</v>
      </c>
      <c r="J19" s="948">
        <f>J13</f>
        <v>-8.4225553176302643</v>
      </c>
      <c r="L19" s="944">
        <v>2945</v>
      </c>
      <c r="M19" s="947">
        <f>(L19/H19-1)*100</f>
        <v>23.791509037410673</v>
      </c>
      <c r="N19" s="948">
        <f>N13</f>
        <v>-2.2408417770849565</v>
      </c>
      <c r="P19" s="944">
        <v>3213</v>
      </c>
      <c r="Q19" s="947">
        <f>(P19/L19-1)*100</f>
        <v>9.1001697792869365</v>
      </c>
      <c r="R19" s="948">
        <f>R13</f>
        <v>0.71756029499701057</v>
      </c>
      <c r="T19" s="944">
        <v>3418</v>
      </c>
      <c r="U19" s="947">
        <f>(T19/P19-1)*100</f>
        <v>6.3803299097416666</v>
      </c>
      <c r="V19" s="948">
        <f>V13</f>
        <v>1.3259449831783066</v>
      </c>
      <c r="X19" s="944">
        <v>2522</v>
      </c>
      <c r="Y19" s="947">
        <f>(X19/T19-1)*100</f>
        <v>-26.214160327677007</v>
      </c>
      <c r="Z19" s="948">
        <f>Z13</f>
        <v>86.93359375</v>
      </c>
      <c r="AB19" s="944">
        <v>517</v>
      </c>
      <c r="AC19" s="947">
        <f>(AB19/X19-1)*100</f>
        <v>-79.500396510705798</v>
      </c>
      <c r="AD19" s="948">
        <f>AD13</f>
        <v>-4.3046703583742518</v>
      </c>
      <c r="AF19" s="944">
        <v>463</v>
      </c>
      <c r="AG19" s="945">
        <f>(AF19/AB19-1)*100</f>
        <v>-10.444874274661508</v>
      </c>
      <c r="AH19" s="948">
        <f>AH13</f>
        <v>-6.1687957200567745</v>
      </c>
      <c r="AJ19" s="944">
        <v>439</v>
      </c>
      <c r="AK19" s="947">
        <f>(AJ19/AF19-1)*100</f>
        <v>-5.1835853131749428</v>
      </c>
      <c r="AL19" s="948">
        <f>AL13</f>
        <v>-7.6797765883174325</v>
      </c>
      <c r="AN19" s="944">
        <v>358</v>
      </c>
      <c r="AO19" s="947">
        <f>(AN19/AJ19-1)*100</f>
        <v>-18.451025056947611</v>
      </c>
      <c r="AP19" s="948">
        <f>AP13</f>
        <v>3.7811948575749987E-2</v>
      </c>
      <c r="AR19" s="1081">
        <v>392</v>
      </c>
      <c r="AS19" s="947">
        <f>(AR19/AN19-1)*100</f>
        <v>9.4972067039106101</v>
      </c>
      <c r="AT19" s="948">
        <f>AT13</f>
        <v>4.182940657679235</v>
      </c>
      <c r="AV19" s="1081">
        <v>368</v>
      </c>
      <c r="AW19" s="947">
        <f>(AV19/AR19-1)*100</f>
        <v>-6.122448979591832</v>
      </c>
      <c r="AX19" s="948">
        <f>AX13</f>
        <v>5.5024791389527206</v>
      </c>
      <c r="AZ19" s="1081">
        <v>371</v>
      </c>
      <c r="BA19" s="947">
        <f>(AZ19/AV19-1)*100</f>
        <v>0.8152173913043459</v>
      </c>
      <c r="BB19" s="948">
        <f>BB13</f>
        <v>7.175607519486471</v>
      </c>
      <c r="BD19" s="1081">
        <v>438</v>
      </c>
      <c r="BE19" s="947">
        <f>(BD19/AZ19-1)*100</f>
        <v>18.059299191374656</v>
      </c>
      <c r="BF19" s="948">
        <f>BF13</f>
        <v>-1.582887700534763</v>
      </c>
      <c r="BH19" s="1081">
        <v>424</v>
      </c>
      <c r="BI19" s="947">
        <f>(BH19/BD19-1)*100</f>
        <v>-3.1963470319634757</v>
      </c>
      <c r="BJ19" s="948">
        <f>BJ13</f>
        <v>1.7604868506846394</v>
      </c>
      <c r="BL19" s="1081">
        <v>558</v>
      </c>
      <c r="BM19" s="947">
        <f>(BL19/BH19-1)*100</f>
        <v>31.603773584905671</v>
      </c>
      <c r="BN19" s="948">
        <f>BN13</f>
        <v>-5.2862024775736867</v>
      </c>
      <c r="BP19" s="1081">
        <v>522</v>
      </c>
      <c r="BQ19" s="947">
        <f>(BP19/BL19-1)*100</f>
        <v>-6.4516129032258114</v>
      </c>
      <c r="BR19" s="948">
        <f>BR13</f>
        <v>-3.7884767166535105</v>
      </c>
      <c r="BT19" s="1081">
        <v>363</v>
      </c>
      <c r="BU19" s="947">
        <f>(BT19/BP19-1)*100</f>
        <v>-30.459770114942529</v>
      </c>
      <c r="BV19" s="948">
        <f>BV13</f>
        <v>1.6172506738544534</v>
      </c>
      <c r="BX19" s="1302"/>
      <c r="BY19" s="1310"/>
      <c r="BZ19" s="1313"/>
    </row>
    <row r="20" spans="1:78" x14ac:dyDescent="0.2">
      <c r="D20" s="488"/>
      <c r="H20" s="488"/>
      <c r="L20" s="488"/>
      <c r="P20" s="488"/>
      <c r="T20" s="488"/>
      <c r="X20" s="488"/>
      <c r="AB20" s="488"/>
      <c r="AF20" s="488"/>
      <c r="AJ20" s="488"/>
      <c r="AN20" s="488"/>
      <c r="AR20" s="1080"/>
      <c r="AV20" s="1080"/>
      <c r="AZ20" s="1080"/>
      <c r="BD20" s="1080"/>
      <c r="BH20" s="1080"/>
      <c r="BL20" s="1080"/>
      <c r="BP20" s="1080"/>
      <c r="BT20" s="1080"/>
      <c r="BX20" s="1303"/>
    </row>
    <row r="21" spans="1:78" x14ac:dyDescent="0.2">
      <c r="A21" s="942" t="s">
        <v>351</v>
      </c>
      <c r="B21" s="627"/>
      <c r="C21" s="627"/>
      <c r="D21" s="720"/>
      <c r="E21" s="627"/>
      <c r="F21" s="627"/>
      <c r="G21" s="627"/>
      <c r="H21" s="720"/>
      <c r="I21" s="943"/>
      <c r="J21" s="627"/>
      <c r="K21" s="627"/>
      <c r="L21" s="720"/>
      <c r="M21" s="943"/>
      <c r="N21" s="627"/>
      <c r="O21" s="627"/>
      <c r="P21" s="720"/>
      <c r="Q21" s="943"/>
      <c r="R21" s="627"/>
      <c r="S21" s="627"/>
      <c r="T21" s="720"/>
      <c r="U21" s="943"/>
      <c r="V21" s="627"/>
      <c r="W21" s="627"/>
      <c r="X21" s="720"/>
      <c r="Y21" s="943"/>
      <c r="Z21" s="627"/>
      <c r="AA21" s="627"/>
      <c r="AB21" s="720"/>
      <c r="AC21" s="943"/>
      <c r="AD21" s="627"/>
      <c r="AE21" s="627"/>
      <c r="AF21" s="720"/>
      <c r="AG21" s="627"/>
      <c r="AH21" s="627"/>
      <c r="AI21" s="627"/>
      <c r="AJ21" s="720"/>
      <c r="AK21" s="943"/>
      <c r="AL21" s="627"/>
      <c r="AM21" s="627"/>
      <c r="AN21" s="720"/>
      <c r="AO21" s="943"/>
      <c r="AP21" s="627"/>
      <c r="AQ21" s="627"/>
      <c r="AR21" s="1082"/>
      <c r="AS21" s="943"/>
      <c r="AT21" s="627"/>
      <c r="AU21" s="627"/>
      <c r="AV21" s="1082"/>
      <c r="AW21" s="943"/>
      <c r="AX21" s="627"/>
      <c r="AY21" s="627"/>
      <c r="AZ21" s="1082"/>
      <c r="BA21" s="943"/>
      <c r="BB21" s="627"/>
      <c r="BC21" s="627"/>
      <c r="BD21" s="1082"/>
      <c r="BE21" s="943"/>
      <c r="BF21" s="627"/>
      <c r="BG21" s="627"/>
      <c r="BH21" s="1082"/>
      <c r="BI21" s="943"/>
      <c r="BJ21" s="627"/>
      <c r="BK21" s="627"/>
      <c r="BL21" s="1082"/>
      <c r="BM21" s="943"/>
      <c r="BN21" s="627"/>
      <c r="BO21" s="627"/>
      <c r="BP21" s="1082"/>
      <c r="BQ21" s="943"/>
      <c r="BR21" s="627"/>
      <c r="BS21" s="627"/>
      <c r="BT21" s="1082"/>
      <c r="BU21" s="943"/>
      <c r="BV21" s="627"/>
      <c r="BW21" s="627"/>
      <c r="BX21" s="1314"/>
      <c r="BY21" s="1309"/>
      <c r="BZ21" s="1151"/>
    </row>
    <row r="22" spans="1:78" x14ac:dyDescent="0.2">
      <c r="A22" s="185" t="s">
        <v>95</v>
      </c>
      <c r="B22" s="185" t="s">
        <v>79</v>
      </c>
      <c r="D22" s="944"/>
      <c r="E22" s="945"/>
      <c r="F22" s="946"/>
      <c r="H22" s="944">
        <v>126</v>
      </c>
      <c r="I22" s="947"/>
      <c r="J22" s="946">
        <f>J$10</f>
        <v>-0.47579065211307281</v>
      </c>
      <c r="L22" s="944">
        <v>139</v>
      </c>
      <c r="M22" s="947">
        <f>(L22/H22-1)*100</f>
        <v>10.317460317460325</v>
      </c>
      <c r="N22" s="946">
        <f>N$10</f>
        <v>-2.8965129358830111</v>
      </c>
      <c r="P22" s="944">
        <v>128</v>
      </c>
      <c r="Q22" s="947">
        <f>(P22/L22-1)*100</f>
        <v>-7.9136690647481966</v>
      </c>
      <c r="R22" s="946">
        <f>R$10</f>
        <v>-4.6915725456125106</v>
      </c>
      <c r="T22" s="944">
        <v>121</v>
      </c>
      <c r="U22" s="947">
        <f>(T22/P22-1)*100</f>
        <v>-5.46875</v>
      </c>
      <c r="V22" s="946">
        <f>V$10</f>
        <v>7.8699483439683915</v>
      </c>
      <c r="X22" s="944">
        <v>125</v>
      </c>
      <c r="Y22" s="947">
        <f>(X22/T22-1)*100</f>
        <v>3.3057851239669311</v>
      </c>
      <c r="Z22" s="946">
        <f>Z$10</f>
        <v>2.5633802816901419</v>
      </c>
      <c r="AB22" s="944">
        <v>267</v>
      </c>
      <c r="AC22" s="947">
        <f>(AB22/X22-1)*100</f>
        <v>113.60000000000001</v>
      </c>
      <c r="AD22" s="946">
        <f>AD$10</f>
        <v>62.867344136226322</v>
      </c>
      <c r="AF22" s="944">
        <v>281</v>
      </c>
      <c r="AG22" s="945">
        <f>(AF22/AB22-1)*100</f>
        <v>5.2434456928838857</v>
      </c>
      <c r="AH22" s="946">
        <f>AH$10</f>
        <v>-0.15177065767284503</v>
      </c>
      <c r="AJ22" s="944">
        <v>249</v>
      </c>
      <c r="AK22" s="947">
        <f>(AJ22/AF22-1)*100</f>
        <v>-11.387900355871883</v>
      </c>
      <c r="AL22" s="946">
        <f>AL$10</f>
        <v>-2.9386927883803371</v>
      </c>
      <c r="AN22" s="944">
        <v>253</v>
      </c>
      <c r="AO22" s="947">
        <f>(AN22/AJ22-1)*100</f>
        <v>1.6064257028112428</v>
      </c>
      <c r="AP22" s="946">
        <f>AP$10</f>
        <v>-7.9867757090655971</v>
      </c>
      <c r="AR22" s="1081">
        <v>266</v>
      </c>
      <c r="AS22" s="947">
        <f>(AR22/AN22-1)*100</f>
        <v>5.1383399209486091</v>
      </c>
      <c r="AT22" s="946">
        <f>AT$10</f>
        <v>5.4084720121028829</v>
      </c>
      <c r="AV22" s="1081">
        <v>378</v>
      </c>
      <c r="AW22" s="947">
        <f>(AV22/AR22-1)*100</f>
        <v>42.105263157894733</v>
      </c>
      <c r="AX22" s="946">
        <f>AX$10</f>
        <v>5.6512378902045191</v>
      </c>
      <c r="AZ22" s="1081">
        <v>400</v>
      </c>
      <c r="BA22" s="947">
        <f>(AV22/AZ22-1)*100</f>
        <v>-5.5000000000000053</v>
      </c>
      <c r="BB22" s="946">
        <f>BB10</f>
        <v>4.313126167430803</v>
      </c>
      <c r="BD22" s="1081">
        <v>388</v>
      </c>
      <c r="BE22" s="947">
        <f>(BD22/AZ22-1)*100</f>
        <v>-3.0000000000000027</v>
      </c>
      <c r="BF22" s="948">
        <f>BF16</f>
        <v>3.9720006511476447</v>
      </c>
      <c r="BH22" s="1081">
        <v>454</v>
      </c>
      <c r="BI22" s="947">
        <f>(BH22/BD22-1)*100</f>
        <v>17.010309278350523</v>
      </c>
      <c r="BJ22" s="948">
        <f>BJ16</f>
        <v>-1.6909347111319861</v>
      </c>
      <c r="BL22" s="1081">
        <v>471</v>
      </c>
      <c r="BM22" s="947">
        <f>(BL22/BH22-1)*100</f>
        <v>3.7444933920704804</v>
      </c>
      <c r="BN22" s="948">
        <f>BN16</f>
        <v>-0.74852683548335408</v>
      </c>
      <c r="BP22" s="1081">
        <v>490</v>
      </c>
      <c r="BQ22" s="947">
        <f>(BP22/BL22-1)*100</f>
        <v>4.0339702760084917</v>
      </c>
      <c r="BR22" s="948">
        <f>BR16</f>
        <v>-7.3491655969191267</v>
      </c>
      <c r="BT22" s="1081">
        <v>397</v>
      </c>
      <c r="BU22" s="947">
        <f>(BT22/BP22-1)*100</f>
        <v>-18.979591836734699</v>
      </c>
      <c r="BV22" s="948">
        <f>BV16</f>
        <v>-7.3086248701073835</v>
      </c>
      <c r="BX22" s="1302"/>
      <c r="BY22" s="1310"/>
      <c r="BZ22" s="1313"/>
    </row>
    <row r="23" spans="1:78" x14ac:dyDescent="0.2">
      <c r="A23" s="185" t="s">
        <v>96</v>
      </c>
      <c r="B23" s="185" t="s">
        <v>80</v>
      </c>
      <c r="D23" s="944"/>
      <c r="E23" s="945"/>
      <c r="F23" s="946"/>
      <c r="H23" s="944">
        <v>140</v>
      </c>
      <c r="I23" s="947"/>
      <c r="J23" s="946">
        <f>J$11</f>
        <v>-5.1916281598260454</v>
      </c>
      <c r="L23" s="944">
        <v>135</v>
      </c>
      <c r="M23" s="947">
        <f>(L23/H23-1)*100</f>
        <v>-3.5714285714285698</v>
      </c>
      <c r="N23" s="946">
        <f>N$11</f>
        <v>-5.7339449541282672E-2</v>
      </c>
      <c r="P23" s="944">
        <v>115</v>
      </c>
      <c r="Q23" s="947">
        <f>(P23/L23-1)*100</f>
        <v>-14.814814814814813</v>
      </c>
      <c r="R23" s="946">
        <f>R$11</f>
        <v>-1.4916810097532984</v>
      </c>
      <c r="T23" s="944">
        <v>112</v>
      </c>
      <c r="U23" s="947">
        <f>(T23/P23-1)*100</f>
        <v>-2.6086956521739091</v>
      </c>
      <c r="V23" s="946">
        <f>V$11</f>
        <v>4.2807221898660375</v>
      </c>
      <c r="X23" s="944">
        <v>121</v>
      </c>
      <c r="Y23" s="947">
        <f>(X23/T23-1)*100</f>
        <v>8.0357142857142794</v>
      </c>
      <c r="Z23" s="946">
        <f>Z$11</f>
        <v>1.1728567439262871</v>
      </c>
      <c r="AB23" s="944">
        <v>255</v>
      </c>
      <c r="AC23" s="947">
        <f>(AB23/X23-1)*100</f>
        <v>110.74380165289254</v>
      </c>
      <c r="AD23" s="946">
        <f>AD$11</f>
        <v>65.470604471432509</v>
      </c>
      <c r="AF23" s="944">
        <v>267</v>
      </c>
      <c r="AG23" s="945">
        <f>(AF23/AB23-1)*100</f>
        <v>4.705882352941182</v>
      </c>
      <c r="AH23" s="946">
        <f>AH$11</f>
        <v>-1.7180984153461254</v>
      </c>
      <c r="AJ23" s="944">
        <v>243</v>
      </c>
      <c r="AK23" s="947">
        <f>(AJ23/AF23-1)*100</f>
        <v>-8.9887640449438209</v>
      </c>
      <c r="AL23" s="946">
        <f>AL$11</f>
        <v>-2.9531568228105876</v>
      </c>
      <c r="AN23" s="944">
        <v>231</v>
      </c>
      <c r="AO23" s="947">
        <f>(AN23/AJ23-1)*100</f>
        <v>-4.9382716049382713</v>
      </c>
      <c r="AP23" s="946">
        <f>AP$11</f>
        <v>-7.5725778244141289</v>
      </c>
      <c r="AR23" s="1081">
        <v>237</v>
      </c>
      <c r="AS23" s="947">
        <f>(AR23/AN23-1)*100</f>
        <v>2.5974025974025983</v>
      </c>
      <c r="AT23" s="946">
        <f>AT$11</f>
        <v>4.7682119205298079</v>
      </c>
      <c r="AV23" s="1081">
        <v>310</v>
      </c>
      <c r="AW23" s="947">
        <f>(AV23/AR23-1)*100</f>
        <v>30.801687763713083</v>
      </c>
      <c r="AX23" s="946">
        <f>AX$11</f>
        <v>7.2602492324363332</v>
      </c>
      <c r="AZ23" s="1081">
        <v>387</v>
      </c>
      <c r="BA23" s="947">
        <f>(AV23/AZ23-1)*100</f>
        <v>-19.89664082687338</v>
      </c>
      <c r="BB23" s="946">
        <f>BB11</f>
        <v>3.0139754167368249</v>
      </c>
      <c r="BD23" s="1081">
        <v>387</v>
      </c>
      <c r="BE23" s="947">
        <f>(BD23/AZ23-1)*100</f>
        <v>0</v>
      </c>
      <c r="BF23" s="948">
        <f>BF17</f>
        <v>-0.84995096436744078</v>
      </c>
      <c r="BH23" s="1081">
        <v>399</v>
      </c>
      <c r="BI23" s="947">
        <f>(BH23/BD23-1)*100</f>
        <v>3.1007751937984551</v>
      </c>
      <c r="BJ23" s="948">
        <f>BJ17</f>
        <v>3.3135509396637008</v>
      </c>
      <c r="BL23" s="1081">
        <v>437</v>
      </c>
      <c r="BM23" s="947">
        <f>(BL23/BH23-1)*100</f>
        <v>9.5238095238095344</v>
      </c>
      <c r="BN23" s="948">
        <f>BN17</f>
        <v>-2.6009254826870887</v>
      </c>
      <c r="BP23" s="1081">
        <v>471</v>
      </c>
      <c r="BQ23" s="947">
        <f>(BP23/BL23-1)*100</f>
        <v>7.7803203661327203</v>
      </c>
      <c r="BR23" s="948">
        <f>BR17</f>
        <v>-2.2280471821756187</v>
      </c>
      <c r="BT23" s="1081">
        <v>412</v>
      </c>
      <c r="BU23" s="947">
        <f>(BT23/BP23-1)*100</f>
        <v>-12.526539278131633</v>
      </c>
      <c r="BV23" s="948">
        <f>BV17</f>
        <v>-5.5797587131367283</v>
      </c>
      <c r="BX23" s="1302"/>
      <c r="BY23" s="1310"/>
      <c r="BZ23" s="1313"/>
    </row>
    <row r="24" spans="1:78" x14ac:dyDescent="0.2">
      <c r="A24" s="185" t="s">
        <v>97</v>
      </c>
      <c r="B24" s="185" t="s">
        <v>81</v>
      </c>
      <c r="D24" s="944"/>
      <c r="E24" s="945"/>
      <c r="F24" s="946"/>
      <c r="H24" s="944">
        <v>137</v>
      </c>
      <c r="I24" s="947"/>
      <c r="J24" s="946">
        <f>J$12</f>
        <v>-8.1173982020095181</v>
      </c>
      <c r="L24" s="944">
        <v>140</v>
      </c>
      <c r="M24" s="947">
        <f>(L24/H24-1)*100</f>
        <v>2.1897810218978186</v>
      </c>
      <c r="N24" s="946">
        <f>N$12</f>
        <v>0.11510791366906581</v>
      </c>
      <c r="P24" s="944">
        <v>113</v>
      </c>
      <c r="Q24" s="947">
        <f>(P24/L24-1)*100</f>
        <v>-19.285714285714285</v>
      </c>
      <c r="R24" s="946">
        <f>R$12</f>
        <v>0.2012072434607548</v>
      </c>
      <c r="T24" s="944">
        <v>117</v>
      </c>
      <c r="U24" s="947">
        <f>(T24/P24-1)*100</f>
        <v>3.539823008849563</v>
      </c>
      <c r="V24" s="946">
        <f>V$12</f>
        <v>1.1187607573149849</v>
      </c>
      <c r="X24" s="944">
        <v>207</v>
      </c>
      <c r="Y24" s="947">
        <f>(X24/T24-1)*100</f>
        <v>76.92307692307692</v>
      </c>
      <c r="Z24" s="946">
        <f>Z$12</f>
        <v>57.588652482269495</v>
      </c>
      <c r="AB24" s="944">
        <v>268</v>
      </c>
      <c r="AC24" s="947">
        <f>(AB24/X24-1)*100</f>
        <v>29.468599033816425</v>
      </c>
      <c r="AD24" s="946">
        <f>AD$12</f>
        <v>5.9585958595859578</v>
      </c>
      <c r="AF24" s="944">
        <v>261</v>
      </c>
      <c r="AG24" s="945">
        <f>(AF24/AB24-1)*100</f>
        <v>-2.6119402985074647</v>
      </c>
      <c r="AH24" s="946">
        <f>AH$12</f>
        <v>0.3397893306150257</v>
      </c>
      <c r="AJ24" s="944">
        <v>246</v>
      </c>
      <c r="AK24" s="947">
        <f>(AJ24/AF24-1)*100</f>
        <v>-5.7471264367816133</v>
      </c>
      <c r="AL24" s="946">
        <f>AL$12</f>
        <v>-6.9928885878767328</v>
      </c>
      <c r="AN24" s="944">
        <v>216</v>
      </c>
      <c r="AO24" s="947">
        <f>(AN24/AJ24-1)*100</f>
        <v>-12.195121951219512</v>
      </c>
      <c r="AP24" s="946">
        <f>AP$12</f>
        <v>-1.9661387220098359</v>
      </c>
      <c r="AR24" s="1081">
        <v>289</v>
      </c>
      <c r="AS24" s="947">
        <f>(AR24/AN24-1)*100</f>
        <v>33.796296296296305</v>
      </c>
      <c r="AT24" s="946">
        <f>AT$12</f>
        <v>4.4196843082636939</v>
      </c>
      <c r="AV24" s="1081">
        <v>408</v>
      </c>
      <c r="AW24" s="947">
        <f>(AV24/AR24-1)*100</f>
        <v>41.176470588235304</v>
      </c>
      <c r="AX24" s="946">
        <f>AX$12</f>
        <v>4.0903432331495626</v>
      </c>
      <c r="AZ24" s="1081">
        <v>410</v>
      </c>
      <c r="BA24" s="947">
        <f>(AV24/AZ24-1)*100</f>
        <v>-0.48780487804878092</v>
      </c>
      <c r="BB24" s="946">
        <f>BB12</f>
        <v>3.7929267042542181</v>
      </c>
      <c r="BD24" s="1081">
        <v>397</v>
      </c>
      <c r="BE24" s="947">
        <f>(BD24/AZ24-1)*100</f>
        <v>-3.170731707317076</v>
      </c>
      <c r="BF24" s="948">
        <f>BF18</f>
        <v>3.308641975308646</v>
      </c>
      <c r="BH24" s="1081">
        <v>424</v>
      </c>
      <c r="BI24" s="947">
        <f>(BH24/BD24-1)*100</f>
        <v>6.8010075566750539</v>
      </c>
      <c r="BJ24" s="948">
        <f>BJ18</f>
        <v>-1.2906309751434031</v>
      </c>
      <c r="BL24" s="1081">
        <v>426</v>
      </c>
      <c r="BM24" s="947">
        <f>(BL24/BH24-1)*100</f>
        <v>0.47169811320755262</v>
      </c>
      <c r="BN24" s="948">
        <f>BN18</f>
        <v>-5.1815980629539959</v>
      </c>
      <c r="BP24" s="1081">
        <v>454</v>
      </c>
      <c r="BQ24" s="948"/>
      <c r="BR24" s="948">
        <f>BR18</f>
        <v>-4.0687776642832851</v>
      </c>
      <c r="BT24" s="1081">
        <v>432</v>
      </c>
      <c r="BU24" s="947">
        <f>(BT24/BP24-1)*100</f>
        <v>-4.8458149779735731</v>
      </c>
      <c r="BV24" s="948">
        <f>BV18</f>
        <v>-6.1756876663708997</v>
      </c>
      <c r="BX24" s="1302"/>
      <c r="BY24" s="1313"/>
      <c r="BZ24" s="1313"/>
    </row>
    <row r="25" spans="1:78" x14ac:dyDescent="0.2">
      <c r="A25" s="185" t="s">
        <v>98</v>
      </c>
      <c r="B25" s="185" t="s">
        <v>82</v>
      </c>
      <c r="D25" s="944">
        <v>121</v>
      </c>
      <c r="E25" s="945" t="s">
        <v>86</v>
      </c>
      <c r="F25" s="946">
        <f>F37</f>
        <v>-6.1778001004520355</v>
      </c>
      <c r="H25" s="944">
        <v>124</v>
      </c>
      <c r="I25" s="947">
        <f>(H25/D25-1)*100</f>
        <v>2.4793388429751984</v>
      </c>
      <c r="J25" s="946">
        <f>J$13</f>
        <v>-8.4225553176302643</v>
      </c>
      <c r="L25" s="944">
        <v>124</v>
      </c>
      <c r="M25" s="947">
        <f>(L25/H25-1)*100</f>
        <v>0</v>
      </c>
      <c r="N25" s="946">
        <f>N$13</f>
        <v>-2.2408417770849565</v>
      </c>
      <c r="P25" s="944">
        <v>99</v>
      </c>
      <c r="Q25" s="947">
        <f>(P25/L25-1)*100</f>
        <v>-20.161290322580648</v>
      </c>
      <c r="R25" s="946">
        <f>R$13</f>
        <v>0.71756029499701057</v>
      </c>
      <c r="T25" s="944">
        <v>104</v>
      </c>
      <c r="U25" s="947">
        <f>(T25/P25-1)*100</f>
        <v>5.0505050505050608</v>
      </c>
      <c r="V25" s="946">
        <f>V$13</f>
        <v>1.3259449831783066</v>
      </c>
      <c r="X25" s="944">
        <v>203</v>
      </c>
      <c r="Y25" s="947">
        <f>(X25/T25-1)*100</f>
        <v>95.192307692307693</v>
      </c>
      <c r="Z25" s="946">
        <f>Z$13</f>
        <v>86.93359375</v>
      </c>
      <c r="AB25" s="944">
        <v>251</v>
      </c>
      <c r="AC25" s="947">
        <f>(AB25/X25-1)*100</f>
        <v>23.645320197044327</v>
      </c>
      <c r="AD25" s="946">
        <f>AD$13</f>
        <v>-4.3046703583742518</v>
      </c>
      <c r="AF25" s="944">
        <v>218</v>
      </c>
      <c r="AG25" s="945">
        <f>(AF25/AB25-1)*100</f>
        <v>-13.147410358565736</v>
      </c>
      <c r="AH25" s="946">
        <f>AH$13</f>
        <v>-6.1687957200567745</v>
      </c>
      <c r="AJ25" s="944">
        <v>226</v>
      </c>
      <c r="AK25" s="947">
        <f>(AJ25/AF25-1)*100</f>
        <v>3.669724770642202</v>
      </c>
      <c r="AL25" s="946">
        <f>AL$13</f>
        <v>-7.6797765883174325</v>
      </c>
      <c r="AN25" s="944">
        <v>223</v>
      </c>
      <c r="AO25" s="947">
        <f>(AN25/AJ25-1)*100</f>
        <v>-1.3274336283185861</v>
      </c>
      <c r="AP25" s="946">
        <f>AP$13</f>
        <v>3.7811948575749987E-2</v>
      </c>
      <c r="AR25" s="1081">
        <v>285</v>
      </c>
      <c r="AS25" s="947">
        <f>(AR25/AN25-1)*100</f>
        <v>27.802690582959634</v>
      </c>
      <c r="AT25" s="946">
        <f>AT$13</f>
        <v>4.182940657679235</v>
      </c>
      <c r="AV25" s="1081">
        <v>465</v>
      </c>
      <c r="AW25" s="947">
        <f>(AV25/AR25-1)*100</f>
        <v>63.157894736842103</v>
      </c>
      <c r="AX25" s="946">
        <f>AX$13</f>
        <v>5.5024791389527206</v>
      </c>
      <c r="AZ25" s="1081">
        <v>361</v>
      </c>
      <c r="BA25" s="947">
        <f>(AV25/AZ25-1)*100</f>
        <v>28.808864265927969</v>
      </c>
      <c r="BB25" s="946">
        <f>BB13</f>
        <v>7.175607519486471</v>
      </c>
      <c r="BD25" s="1081">
        <v>420</v>
      </c>
      <c r="BE25" s="947">
        <f>(BD25/AZ25-1)*100</f>
        <v>16.343490304709142</v>
      </c>
      <c r="BF25" s="948">
        <f>BF19</f>
        <v>-1.582887700534763</v>
      </c>
      <c r="BH25" s="1081">
        <v>493</v>
      </c>
      <c r="BI25" s="947">
        <f>(BH25/BD25-1)*100</f>
        <v>17.380952380952387</v>
      </c>
      <c r="BJ25" s="948">
        <f>BJ19</f>
        <v>1.7604868506846394</v>
      </c>
      <c r="BL25" s="1081">
        <v>479</v>
      </c>
      <c r="BM25" s="947">
        <f>(BL25/BH25-1)*100</f>
        <v>-2.8397565922920864</v>
      </c>
      <c r="BN25" s="948">
        <f>BN19</f>
        <v>-5.2862024775736867</v>
      </c>
      <c r="BP25" s="1081">
        <v>408</v>
      </c>
      <c r="BQ25" s="948">
        <f>(BP25/BL25-1)*100</f>
        <v>-14.822546972860129</v>
      </c>
      <c r="BR25" s="948">
        <f>BR19</f>
        <v>-3.7884767166535105</v>
      </c>
      <c r="BT25" s="1081">
        <v>448</v>
      </c>
      <c r="BU25" s="947">
        <f>(BT25/BP25-1)*100</f>
        <v>9.8039215686274606</v>
      </c>
      <c r="BV25" s="948">
        <f>BV19</f>
        <v>1.6172506738544534</v>
      </c>
      <c r="BX25" s="1302"/>
      <c r="BY25" s="1313"/>
      <c r="BZ25" s="1313"/>
    </row>
    <row r="26" spans="1:78" x14ac:dyDescent="0.2">
      <c r="D26" s="488"/>
      <c r="H26" s="488"/>
      <c r="L26" s="488"/>
      <c r="P26" s="488"/>
      <c r="T26" s="488"/>
      <c r="X26" s="488"/>
      <c r="AB26" s="488"/>
      <c r="AF26" s="488"/>
      <c r="AJ26" s="488"/>
      <c r="AN26" s="488"/>
      <c r="AR26" s="1080"/>
      <c r="AV26" s="1080"/>
      <c r="AZ26" s="1080"/>
      <c r="BD26" s="1080"/>
      <c r="BH26" s="1080"/>
      <c r="BL26" s="1080"/>
      <c r="BP26" s="1080"/>
      <c r="BT26" s="1080"/>
      <c r="BX26" s="1303"/>
    </row>
    <row r="27" spans="1:78" x14ac:dyDescent="0.2">
      <c r="A27" s="942" t="s">
        <v>354</v>
      </c>
      <c r="B27" s="627"/>
      <c r="C27" s="627"/>
      <c r="D27" s="720"/>
      <c r="E27" s="627"/>
      <c r="F27" s="627"/>
      <c r="G27" s="627"/>
      <c r="H27" s="720"/>
      <c r="I27" s="943"/>
      <c r="J27" s="627"/>
      <c r="K27" s="627"/>
      <c r="L27" s="720"/>
      <c r="M27" s="943"/>
      <c r="N27" s="627"/>
      <c r="O27" s="627"/>
      <c r="P27" s="720"/>
      <c r="Q27" s="943"/>
      <c r="R27" s="627"/>
      <c r="S27" s="627"/>
      <c r="T27" s="720"/>
      <c r="U27" s="943"/>
      <c r="V27" s="627"/>
      <c r="W27" s="627"/>
      <c r="X27" s="720"/>
      <c r="Y27" s="943"/>
      <c r="Z27" s="627"/>
      <c r="AA27" s="627"/>
      <c r="AB27" s="720"/>
      <c r="AC27" s="943"/>
      <c r="AD27" s="627"/>
      <c r="AE27" s="627"/>
      <c r="AF27" s="720"/>
      <c r="AG27" s="627"/>
      <c r="AH27" s="627"/>
      <c r="AI27" s="627"/>
      <c r="AJ27" s="720"/>
      <c r="AK27" s="943"/>
      <c r="AL27" s="627"/>
      <c r="AM27" s="627"/>
      <c r="AN27" s="720"/>
      <c r="AO27" s="943"/>
      <c r="AP27" s="627"/>
      <c r="AQ27" s="627"/>
      <c r="AR27" s="1082"/>
      <c r="AS27" s="943"/>
      <c r="AT27" s="627"/>
      <c r="AU27" s="627"/>
      <c r="AV27" s="1082"/>
      <c r="AW27" s="943"/>
      <c r="AX27" s="627"/>
      <c r="AY27" s="627"/>
      <c r="AZ27" s="1082"/>
      <c r="BA27" s="943"/>
      <c r="BB27" s="627"/>
      <c r="BC27" s="627"/>
      <c r="BD27" s="1082"/>
      <c r="BE27" s="943"/>
      <c r="BF27" s="627"/>
      <c r="BG27" s="627"/>
      <c r="BH27" s="1082"/>
      <c r="BI27" s="943"/>
      <c r="BJ27" s="627"/>
      <c r="BK27" s="627"/>
      <c r="BL27" s="1082"/>
      <c r="BM27" s="943"/>
      <c r="BN27" s="627"/>
      <c r="BO27" s="627"/>
      <c r="BP27" s="1082"/>
      <c r="BQ27" s="943"/>
      <c r="BR27" s="627"/>
      <c r="BS27" s="627"/>
      <c r="BT27" s="1082"/>
      <c r="BU27" s="943"/>
      <c r="BV27" s="627"/>
      <c r="BW27" s="627"/>
      <c r="BX27" s="1314"/>
      <c r="BY27" s="1309"/>
      <c r="BZ27" s="1151"/>
    </row>
    <row r="28" spans="1:78" x14ac:dyDescent="0.2">
      <c r="A28" s="185" t="s">
        <v>95</v>
      </c>
      <c r="B28" s="185" t="s">
        <v>79</v>
      </c>
      <c r="D28" s="944"/>
      <c r="E28" s="945"/>
      <c r="F28" s="946"/>
      <c r="H28" s="944">
        <v>2</v>
      </c>
      <c r="I28" s="947"/>
      <c r="J28" s="946"/>
      <c r="L28" s="944">
        <v>19</v>
      </c>
      <c r="M28" s="947"/>
      <c r="N28" s="946"/>
      <c r="P28" s="944">
        <v>11</v>
      </c>
      <c r="Q28" s="947"/>
      <c r="R28" s="946"/>
      <c r="T28" s="944">
        <v>0</v>
      </c>
      <c r="U28" s="947"/>
      <c r="V28" s="946"/>
      <c r="X28" s="944">
        <v>0</v>
      </c>
      <c r="Y28" s="947"/>
      <c r="Z28" s="946"/>
      <c r="AB28" s="944">
        <f>217+2045</f>
        <v>2262</v>
      </c>
      <c r="AC28" s="947"/>
      <c r="AD28" s="946"/>
      <c r="AF28" s="944">
        <v>0</v>
      </c>
      <c r="AG28" s="945"/>
      <c r="AH28" s="946"/>
      <c r="AJ28" s="944">
        <v>64</v>
      </c>
      <c r="AK28" s="947"/>
      <c r="AL28" s="946"/>
      <c r="AN28" s="944">
        <v>206</v>
      </c>
      <c r="AO28" s="947"/>
      <c r="AP28" s="946"/>
      <c r="AR28" s="1081">
        <v>0</v>
      </c>
      <c r="AS28" s="947"/>
      <c r="AT28" s="946"/>
      <c r="AV28" s="1081">
        <v>0</v>
      </c>
      <c r="AW28" s="947"/>
      <c r="AX28" s="946"/>
      <c r="AZ28" s="1081">
        <v>0</v>
      </c>
      <c r="BA28" s="947"/>
      <c r="BB28" s="946"/>
      <c r="BD28" s="1081">
        <v>0</v>
      </c>
      <c r="BE28" s="947"/>
      <c r="BF28" s="946"/>
      <c r="BH28" s="1081"/>
      <c r="BI28" s="947"/>
      <c r="BJ28" s="946"/>
      <c r="BL28" s="1081"/>
      <c r="BM28" s="947"/>
      <c r="BN28" s="946"/>
      <c r="BP28" s="1081"/>
      <c r="BQ28" s="947"/>
      <c r="BR28" s="946"/>
      <c r="BT28" s="1081"/>
      <c r="BU28" s="947"/>
      <c r="BV28" s="946"/>
      <c r="BX28" s="1302"/>
      <c r="BY28" s="1310"/>
      <c r="BZ28" s="1311"/>
    </row>
    <row r="29" spans="1:78" x14ac:dyDescent="0.2">
      <c r="A29" s="185" t="s">
        <v>96</v>
      </c>
      <c r="B29" s="185" t="s">
        <v>80</v>
      </c>
      <c r="D29" s="944"/>
      <c r="E29" s="945"/>
      <c r="F29" s="946"/>
      <c r="H29" s="944">
        <v>26</v>
      </c>
      <c r="I29" s="947"/>
      <c r="J29" s="946"/>
      <c r="L29" s="944">
        <v>16</v>
      </c>
      <c r="M29" s="947"/>
      <c r="N29" s="946"/>
      <c r="P29" s="944">
        <v>13</v>
      </c>
      <c r="Q29" s="947"/>
      <c r="R29" s="946"/>
      <c r="T29" s="944">
        <v>0</v>
      </c>
      <c r="U29" s="947"/>
      <c r="V29" s="946"/>
      <c r="X29" s="944">
        <v>0</v>
      </c>
      <c r="Y29" s="947"/>
      <c r="Z29" s="946"/>
      <c r="AB29" s="944">
        <v>2303</v>
      </c>
      <c r="AC29" s="947"/>
      <c r="AD29" s="946"/>
      <c r="AF29" s="944">
        <v>0</v>
      </c>
      <c r="AG29" s="945"/>
      <c r="AH29" s="946"/>
      <c r="AJ29" s="944">
        <v>27</v>
      </c>
      <c r="AK29" s="947"/>
      <c r="AL29" s="946"/>
      <c r="AN29" s="944">
        <v>23</v>
      </c>
      <c r="AO29" s="947"/>
      <c r="AP29" s="946"/>
      <c r="AR29" s="1081">
        <v>0</v>
      </c>
      <c r="AS29" s="947"/>
      <c r="AT29" s="946"/>
      <c r="AV29" s="1081">
        <v>0</v>
      </c>
      <c r="AW29" s="947"/>
      <c r="AX29" s="946"/>
      <c r="AZ29" s="1081">
        <v>0</v>
      </c>
      <c r="BA29" s="947"/>
      <c r="BB29" s="946"/>
      <c r="BD29" s="1081">
        <v>0</v>
      </c>
      <c r="BE29" s="947"/>
      <c r="BF29" s="946"/>
      <c r="BH29" s="1081"/>
      <c r="BI29" s="947"/>
      <c r="BJ29" s="946"/>
      <c r="BL29" s="1081"/>
      <c r="BM29" s="947"/>
      <c r="BN29" s="946"/>
      <c r="BP29" s="1081"/>
      <c r="BQ29" s="947"/>
      <c r="BR29" s="946"/>
      <c r="BT29" s="1081"/>
      <c r="BU29" s="947"/>
      <c r="BV29" s="946"/>
      <c r="BX29" s="1302"/>
      <c r="BY29" s="1310"/>
      <c r="BZ29" s="1311"/>
    </row>
    <row r="30" spans="1:78" x14ac:dyDescent="0.2">
      <c r="A30" s="185" t="s">
        <v>97</v>
      </c>
      <c r="B30" s="185" t="s">
        <v>81</v>
      </c>
      <c r="D30" s="944"/>
      <c r="E30" s="945"/>
      <c r="F30" s="946"/>
      <c r="H30" s="944">
        <v>25</v>
      </c>
      <c r="I30" s="947"/>
      <c r="J30" s="946"/>
      <c r="L30" s="944">
        <v>26</v>
      </c>
      <c r="M30" s="947"/>
      <c r="N30" s="946"/>
      <c r="P30" s="944">
        <v>14</v>
      </c>
      <c r="Q30" s="947"/>
      <c r="R30" s="946"/>
      <c r="T30" s="944">
        <v>0</v>
      </c>
      <c r="U30" s="947"/>
      <c r="V30" s="946"/>
      <c r="X30" s="944">
        <v>1823</v>
      </c>
      <c r="Y30" s="947"/>
      <c r="Z30" s="946"/>
      <c r="AB30" s="944">
        <v>962</v>
      </c>
      <c r="AC30" s="947"/>
      <c r="AD30" s="946"/>
      <c r="AF30" s="944">
        <v>0</v>
      </c>
      <c r="AG30" s="945"/>
      <c r="AH30" s="946"/>
      <c r="AJ30" s="944">
        <v>43</v>
      </c>
      <c r="AK30" s="947"/>
      <c r="AL30" s="946"/>
      <c r="AN30" s="944">
        <v>28</v>
      </c>
      <c r="AO30" s="947"/>
      <c r="AP30" s="946"/>
      <c r="AR30" s="1081">
        <v>0</v>
      </c>
      <c r="AS30" s="947"/>
      <c r="AT30" s="946"/>
      <c r="AV30" s="1081">
        <v>0</v>
      </c>
      <c r="AW30" s="947"/>
      <c r="AX30" s="946"/>
      <c r="AZ30" s="1081">
        <v>0</v>
      </c>
      <c r="BA30" s="947"/>
      <c r="BB30" s="946"/>
      <c r="BD30" s="1081">
        <v>0</v>
      </c>
      <c r="BE30" s="947"/>
      <c r="BF30" s="946"/>
      <c r="BH30" s="1081"/>
      <c r="BI30" s="947"/>
      <c r="BJ30" s="946"/>
      <c r="BL30" s="1081"/>
      <c r="BM30" s="947"/>
      <c r="BN30" s="946"/>
      <c r="BP30" s="1081"/>
      <c r="BQ30" s="947"/>
      <c r="BR30" s="946"/>
      <c r="BT30" s="1081"/>
      <c r="BU30" s="947"/>
      <c r="BV30" s="946"/>
      <c r="BX30" s="1302"/>
      <c r="BY30" s="1310"/>
      <c r="BZ30" s="1311"/>
    </row>
    <row r="31" spans="1:78" x14ac:dyDescent="0.2">
      <c r="A31" s="185" t="s">
        <v>98</v>
      </c>
      <c r="B31" s="185" t="s">
        <v>82</v>
      </c>
      <c r="D31" s="944">
        <f>4+1436</f>
        <v>1440</v>
      </c>
      <c r="E31" s="945"/>
      <c r="F31" s="946"/>
      <c r="H31" s="944">
        <f>21+1812</f>
        <v>1833</v>
      </c>
      <c r="I31" s="947"/>
      <c r="J31" s="946"/>
      <c r="L31" s="944">
        <v>10</v>
      </c>
      <c r="M31" s="947"/>
      <c r="N31" s="946"/>
      <c r="P31" s="944">
        <v>0</v>
      </c>
      <c r="Q31" s="947"/>
      <c r="R31" s="946"/>
      <c r="T31" s="944">
        <v>0</v>
      </c>
      <c r="U31" s="947"/>
      <c r="V31" s="946"/>
      <c r="X31" s="944">
        <v>1713</v>
      </c>
      <c r="Y31" s="947"/>
      <c r="Z31" s="946"/>
      <c r="AB31" s="944">
        <v>126</v>
      </c>
      <c r="AC31" s="947"/>
      <c r="AD31" s="946"/>
      <c r="AF31" s="944">
        <v>0</v>
      </c>
      <c r="AG31" s="945"/>
      <c r="AH31" s="946"/>
      <c r="AJ31" s="944">
        <v>0</v>
      </c>
      <c r="AK31" s="947"/>
      <c r="AL31" s="946"/>
      <c r="AN31" s="944">
        <v>0</v>
      </c>
      <c r="AO31" s="947"/>
      <c r="AP31" s="946"/>
      <c r="AR31" s="1081">
        <v>0</v>
      </c>
      <c r="AS31" s="947"/>
      <c r="AT31" s="946"/>
      <c r="AV31" s="1081">
        <v>0</v>
      </c>
      <c r="AW31" s="947"/>
      <c r="AX31" s="946"/>
      <c r="AZ31" s="1081">
        <v>0</v>
      </c>
      <c r="BA31" s="947"/>
      <c r="BB31" s="946"/>
      <c r="BD31" s="1081">
        <v>0</v>
      </c>
      <c r="BE31" s="947"/>
      <c r="BF31" s="946"/>
      <c r="BH31" s="1081"/>
      <c r="BI31" s="947"/>
      <c r="BJ31" s="946"/>
      <c r="BL31" s="1081"/>
      <c r="BM31" s="947"/>
      <c r="BN31" s="946"/>
      <c r="BP31" s="1081"/>
      <c r="BQ31" s="947"/>
      <c r="BR31" s="946"/>
      <c r="BT31" s="1081"/>
      <c r="BU31" s="947"/>
      <c r="BV31" s="946"/>
      <c r="BX31" s="1302"/>
      <c r="BY31" s="1310"/>
      <c r="BZ31" s="1311"/>
    </row>
    <row r="32" spans="1:78" x14ac:dyDescent="0.2">
      <c r="D32" s="488"/>
      <c r="H32" s="488"/>
      <c r="L32" s="488"/>
      <c r="P32" s="488"/>
      <c r="T32" s="488"/>
      <c r="X32" s="488"/>
      <c r="AB32" s="488"/>
      <c r="AF32" s="488"/>
      <c r="AJ32" s="488"/>
      <c r="AN32" s="488"/>
      <c r="AR32" s="1080"/>
      <c r="AV32" s="1080"/>
      <c r="AZ32" s="1080"/>
      <c r="BD32" s="1080"/>
      <c r="BH32" s="1080"/>
      <c r="BL32" s="1080"/>
      <c r="BP32" s="1080"/>
      <c r="BT32" s="1080"/>
      <c r="BX32" s="1303"/>
    </row>
    <row r="33" spans="1:78" x14ac:dyDescent="0.2">
      <c r="A33" s="942" t="s">
        <v>352</v>
      </c>
      <c r="B33" s="627"/>
      <c r="C33" s="627"/>
      <c r="D33" s="720"/>
      <c r="E33" s="627"/>
      <c r="F33" s="627"/>
      <c r="G33" s="627"/>
      <c r="H33" s="720"/>
      <c r="I33" s="943"/>
      <c r="J33" s="627"/>
      <c r="K33" s="627"/>
      <c r="L33" s="720"/>
      <c r="M33" s="943"/>
      <c r="N33" s="627"/>
      <c r="O33" s="627"/>
      <c r="P33" s="720"/>
      <c r="Q33" s="943"/>
      <c r="R33" s="627"/>
      <c r="S33" s="627"/>
      <c r="T33" s="720"/>
      <c r="U33" s="943"/>
      <c r="V33" s="627"/>
      <c r="W33" s="627"/>
      <c r="X33" s="720"/>
      <c r="Y33" s="943"/>
      <c r="Z33" s="627"/>
      <c r="AA33" s="627"/>
      <c r="AB33" s="720"/>
      <c r="AC33" s="943"/>
      <c r="AD33" s="627"/>
      <c r="AE33" s="627"/>
      <c r="AF33" s="720"/>
      <c r="AG33" s="627"/>
      <c r="AH33" s="627"/>
      <c r="AI33" s="627"/>
      <c r="AJ33" s="720"/>
      <c r="AK33" s="943"/>
      <c r="AL33" s="627"/>
      <c r="AM33" s="627"/>
      <c r="AN33" s="720"/>
      <c r="AO33" s="943"/>
      <c r="AP33" s="627"/>
      <c r="AQ33" s="627"/>
      <c r="AR33" s="1082"/>
      <c r="AS33" s="943"/>
      <c r="AT33" s="627"/>
      <c r="AU33" s="627"/>
      <c r="AV33" s="1082"/>
      <c r="AW33" s="943"/>
      <c r="AX33" s="627"/>
      <c r="AY33" s="627"/>
      <c r="AZ33" s="1082"/>
      <c r="BA33" s="943"/>
      <c r="BB33" s="627"/>
      <c r="BC33" s="627"/>
      <c r="BD33" s="1082"/>
      <c r="BE33" s="943"/>
      <c r="BF33" s="627"/>
      <c r="BG33" s="627"/>
      <c r="BH33" s="1082"/>
      <c r="BI33" s="943"/>
      <c r="BJ33" s="627"/>
      <c r="BK33" s="627"/>
      <c r="BL33" s="1082"/>
      <c r="BM33" s="943"/>
      <c r="BN33" s="627"/>
      <c r="BO33" s="627"/>
      <c r="BP33" s="1082"/>
      <c r="BQ33" s="943"/>
      <c r="BR33" s="627"/>
      <c r="BS33" s="627"/>
      <c r="BT33" s="1082"/>
      <c r="BU33" s="943"/>
      <c r="BV33" s="627"/>
      <c r="BW33" s="627"/>
      <c r="BX33" s="1314"/>
      <c r="BY33" s="1309"/>
      <c r="BZ33" s="1151"/>
    </row>
    <row r="34" spans="1:78" x14ac:dyDescent="0.2">
      <c r="A34" s="185" t="s">
        <v>95</v>
      </c>
      <c r="B34" s="185" t="s">
        <v>79</v>
      </c>
      <c r="D34" s="944"/>
      <c r="E34" s="945"/>
      <c r="F34" s="946"/>
      <c r="H34" s="944">
        <v>2742</v>
      </c>
      <c r="I34" s="947"/>
      <c r="J34" s="946">
        <f>J16</f>
        <v>-0.47579065211307281</v>
      </c>
      <c r="L34" s="944">
        <v>2712</v>
      </c>
      <c r="M34" s="947">
        <f>(L34/H34-1)*100</f>
        <v>-1.0940919037199071</v>
      </c>
      <c r="N34" s="946">
        <f>N16</f>
        <v>-2.8965129358830111</v>
      </c>
      <c r="P34" s="944">
        <v>2657</v>
      </c>
      <c r="Q34" s="947">
        <f>(P34/L34-1)*100</f>
        <v>-2.0280235988200612</v>
      </c>
      <c r="R34" s="946">
        <f>R16</f>
        <v>-4.6915725456125106</v>
      </c>
      <c r="T34" s="944">
        <v>2754</v>
      </c>
      <c r="U34" s="947">
        <f>(T34/P34-1)*100</f>
        <v>3.6507339104252967</v>
      </c>
      <c r="V34" s="946">
        <f>V16</f>
        <v>7.8699483439683915</v>
      </c>
      <c r="X34" s="944">
        <v>2789</v>
      </c>
      <c r="Y34" s="947">
        <f>(X34/T34-1)*100</f>
        <v>1.2708787218591144</v>
      </c>
      <c r="Z34" s="946">
        <f>Z16</f>
        <v>2.5633802816901419</v>
      </c>
      <c r="AB34" s="944">
        <v>5154</v>
      </c>
      <c r="AC34" s="947">
        <f>(AB34/X34-1)*100</f>
        <v>84.797418429544649</v>
      </c>
      <c r="AD34" s="946">
        <f>AD16</f>
        <v>62.867344136226322</v>
      </c>
      <c r="AF34" s="944">
        <v>4694</v>
      </c>
      <c r="AG34" s="945">
        <f>(AF34/AB34-1)*100</f>
        <v>-8.9251067132324451</v>
      </c>
      <c r="AH34" s="946">
        <f>AH16</f>
        <v>-0.15177065767284503</v>
      </c>
      <c r="AJ34" s="944">
        <v>4357</v>
      </c>
      <c r="AK34" s="947">
        <f>(AJ34/AF34-1)*100</f>
        <v>-7.1793779292714133</v>
      </c>
      <c r="AL34" s="946">
        <f>AL16</f>
        <v>-2.9386927883803371</v>
      </c>
      <c r="AN34" s="944">
        <v>4032</v>
      </c>
      <c r="AO34" s="947">
        <f>(AN34/AJ34-1)*100</f>
        <v>-7.4592609593757135</v>
      </c>
      <c r="AP34" s="946">
        <f>AP16</f>
        <v>-7.9867757090655971</v>
      </c>
      <c r="AR34" s="1081">
        <v>4137</v>
      </c>
      <c r="AS34" s="947">
        <f>(AR34/AN34-1)*100</f>
        <v>2.6041666666666741</v>
      </c>
      <c r="AT34" s="946">
        <f>AT16</f>
        <v>5.4084720121028829</v>
      </c>
      <c r="AV34" s="1081">
        <v>4202</v>
      </c>
      <c r="AW34" s="947">
        <f>(AV34/AR34-1)*100</f>
        <v>1.5711868503746729</v>
      </c>
      <c r="AX34" s="946">
        <f>AX16</f>
        <v>5.6512378902045191</v>
      </c>
      <c r="AZ34" s="1081">
        <v>4571</v>
      </c>
      <c r="BA34" s="947">
        <f>(AV34/AZ34-1)*100</f>
        <v>-8.0726318092321119</v>
      </c>
      <c r="BB34" s="946">
        <f>BB16</f>
        <v>4.313126167430803</v>
      </c>
      <c r="BD34" s="1081">
        <f>2426+2134</f>
        <v>4560</v>
      </c>
      <c r="BE34" s="947">
        <f>(BD34/AZ34-1)*100</f>
        <v>-0.24064756070881765</v>
      </c>
      <c r="BF34" s="946">
        <f>BF16</f>
        <v>3.9720006511476447</v>
      </c>
      <c r="BH34" s="1081">
        <f>2390+2220</f>
        <v>4610</v>
      </c>
      <c r="BI34" s="947">
        <f>(BH34/BD34-1)*100</f>
        <v>1.0964912280701844</v>
      </c>
      <c r="BJ34" s="946">
        <f>BJ16</f>
        <v>-1.6909347111319861</v>
      </c>
      <c r="BL34" s="1081">
        <f>2386+2411</f>
        <v>4797</v>
      </c>
      <c r="BM34" s="947">
        <f>(BL34/BH34-1)*100</f>
        <v>4.0563991323210313</v>
      </c>
      <c r="BN34" s="946">
        <f>BN16</f>
        <v>-0.74852683548335408</v>
      </c>
      <c r="BP34" s="1081">
        <f>2052+2690</f>
        <v>4742</v>
      </c>
      <c r="BQ34" s="947">
        <f>(BP34/BL34-1)*100</f>
        <v>-1.1465499270377322</v>
      </c>
      <c r="BR34" s="946">
        <f>BR16</f>
        <v>-7.3491655969191267</v>
      </c>
      <c r="BT34" s="1081">
        <f>2028+2905</f>
        <v>4933</v>
      </c>
      <c r="BU34" s="947">
        <f>(BT34/BP34-1)*100</f>
        <v>4.0278363559679509</v>
      </c>
      <c r="BV34" s="946">
        <f>BV16</f>
        <v>-7.3086248701073835</v>
      </c>
      <c r="BX34" s="1302"/>
      <c r="BY34" s="1310"/>
      <c r="BZ34" s="1311"/>
    </row>
    <row r="35" spans="1:78" x14ac:dyDescent="0.2">
      <c r="A35" s="185" t="s">
        <v>96</v>
      </c>
      <c r="B35" s="185" t="s">
        <v>80</v>
      </c>
      <c r="D35" s="944"/>
      <c r="E35" s="945"/>
      <c r="F35" s="946"/>
      <c r="H35" s="944">
        <v>2698</v>
      </c>
      <c r="I35" s="947"/>
      <c r="J35" s="946">
        <f>J17</f>
        <v>-5.1916281598260454</v>
      </c>
      <c r="L35" s="944">
        <v>2731</v>
      </c>
      <c r="M35" s="947">
        <f>(L35/H35-1)*100</f>
        <v>1.223128243143079</v>
      </c>
      <c r="N35" s="946">
        <f>N17</f>
        <v>-5.7339449541282672E-2</v>
      </c>
      <c r="P35" s="944">
        <v>2678</v>
      </c>
      <c r="Q35" s="947">
        <f>(P35/L35-1)*100</f>
        <v>-1.9406810692054188</v>
      </c>
      <c r="R35" s="946">
        <f>R17</f>
        <v>-1.4916810097532984</v>
      </c>
      <c r="T35" s="944">
        <v>2672</v>
      </c>
      <c r="U35" s="947">
        <f>(T35/P35-1)*100</f>
        <v>-0.22404779686333587</v>
      </c>
      <c r="V35" s="946">
        <f>V17</f>
        <v>4.2807221898660375</v>
      </c>
      <c r="X35" s="944">
        <v>2715</v>
      </c>
      <c r="Y35" s="947">
        <f>(X35/T35-1)*100</f>
        <v>1.6092814371257536</v>
      </c>
      <c r="Z35" s="946">
        <f>Z17</f>
        <v>1.1728567439262871</v>
      </c>
      <c r="AB35" s="944">
        <v>4712</v>
      </c>
      <c r="AC35" s="947">
        <f>(AB35/X35-1)*100</f>
        <v>73.55432780847147</v>
      </c>
      <c r="AD35" s="946">
        <f>AD17</f>
        <v>65.470604471432509</v>
      </c>
      <c r="AF35" s="944">
        <v>4606</v>
      </c>
      <c r="AG35" s="945">
        <f>(AF35/AB35-1)*100</f>
        <v>-2.2495755517826788</v>
      </c>
      <c r="AH35" s="946">
        <f>AH17</f>
        <v>-1.7180984153461254</v>
      </c>
      <c r="AJ35" s="944">
        <v>4094</v>
      </c>
      <c r="AK35" s="947">
        <f>(AJ35/AF35-1)*100</f>
        <v>-11.11593573599653</v>
      </c>
      <c r="AL35" s="946">
        <f>AL17</f>
        <v>-2.9531568228105876</v>
      </c>
      <c r="AN35" s="944">
        <v>3754</v>
      </c>
      <c r="AO35" s="947">
        <f>(AN35/AJ35-1)*100</f>
        <v>-8.3048363458720136</v>
      </c>
      <c r="AP35" s="946">
        <f>AP17</f>
        <v>-7.5725778244141289</v>
      </c>
      <c r="AR35" s="1081">
        <v>3808</v>
      </c>
      <c r="AS35" s="947">
        <f>(AR35/AN35-1)*100</f>
        <v>1.4384656366542403</v>
      </c>
      <c r="AT35" s="946">
        <f>AT17</f>
        <v>4.7682119205298079</v>
      </c>
      <c r="AV35" s="1081">
        <v>4069</v>
      </c>
      <c r="AW35" s="947">
        <f>(AV35/AR35-1)*100</f>
        <v>6.8539915966386644</v>
      </c>
      <c r="AX35" s="946">
        <f>AX17</f>
        <v>7.2602492324363332</v>
      </c>
      <c r="AZ35" s="1081">
        <v>3973</v>
      </c>
      <c r="BA35" s="947">
        <f>(AV35/AZ35-1)*100</f>
        <v>2.4163100931286152</v>
      </c>
      <c r="BB35" s="946">
        <f>BB17</f>
        <v>3.0139754167368249</v>
      </c>
      <c r="BD35" s="1081">
        <f>2064+2043</f>
        <v>4107</v>
      </c>
      <c r="BE35" s="947">
        <f>(BD35/AZ35-1)*100</f>
        <v>3.3727661716586921</v>
      </c>
      <c r="BF35" s="946">
        <f>BF17</f>
        <v>-0.84995096436744078</v>
      </c>
      <c r="BH35" s="1081">
        <f>1990+2150</f>
        <v>4140</v>
      </c>
      <c r="BI35" s="947">
        <f>(BH35/BD35-1)*100</f>
        <v>0.80350620891160851</v>
      </c>
      <c r="BJ35" s="946">
        <f>BJ17</f>
        <v>3.3135509396637008</v>
      </c>
      <c r="BL35" s="1081">
        <f>2067+2278</f>
        <v>4345</v>
      </c>
      <c r="BM35" s="947">
        <f>(BL35/BH35-1)*100</f>
        <v>4.9516908212560384</v>
      </c>
      <c r="BN35" s="946">
        <f>BN17</f>
        <v>-2.6009254826870887</v>
      </c>
      <c r="BP35" s="1081">
        <f>2514+1877</f>
        <v>4391</v>
      </c>
      <c r="BQ35" s="947">
        <f>(BP35/BL35-1)*100</f>
        <v>1.0586881472957499</v>
      </c>
      <c r="BR35" s="946">
        <f>BR17</f>
        <v>-2.2280471821756187</v>
      </c>
      <c r="BT35" s="1081">
        <f>1669+2873</f>
        <v>4542</v>
      </c>
      <c r="BU35" s="947">
        <f>(BT35/BP35-1)*100</f>
        <v>3.4388521976770559</v>
      </c>
      <c r="BV35" s="946">
        <f>BV17</f>
        <v>-5.5797587131367283</v>
      </c>
      <c r="BX35" s="1302"/>
      <c r="BY35" s="1310"/>
      <c r="BZ35" s="1311"/>
    </row>
    <row r="36" spans="1:78" x14ac:dyDescent="0.2">
      <c r="A36" s="185" t="s">
        <v>97</v>
      </c>
      <c r="B36" s="185" t="s">
        <v>81</v>
      </c>
      <c r="D36" s="944"/>
      <c r="E36" s="945"/>
      <c r="F36" s="946"/>
      <c r="H36" s="944">
        <v>3300</v>
      </c>
      <c r="I36" s="947"/>
      <c r="J36" s="946">
        <f>J18</f>
        <v>-8.1173982020095181</v>
      </c>
      <c r="L36" s="944">
        <v>3372</v>
      </c>
      <c r="M36" s="947">
        <f>(L36/H36-1)*100</f>
        <v>2.1818181818181737</v>
      </c>
      <c r="N36" s="946">
        <f>N18</f>
        <v>0.11510791366906581</v>
      </c>
      <c r="P36" s="944">
        <v>3414</v>
      </c>
      <c r="Q36" s="947">
        <f>(P36/L36-1)*100</f>
        <v>1.245551601423478</v>
      </c>
      <c r="R36" s="946">
        <f>R18</f>
        <v>0.2012072434607548</v>
      </c>
      <c r="T36" s="944">
        <v>3369</v>
      </c>
      <c r="U36" s="947">
        <f>(T36/P36-1)*100</f>
        <v>-1.3181019332161648</v>
      </c>
      <c r="V36" s="946">
        <f>V18</f>
        <v>1.1187607573149849</v>
      </c>
      <c r="X36" s="944">
        <v>6144</v>
      </c>
      <c r="Y36" s="947">
        <f>(X36/T36-1)*100</f>
        <v>82.36865538735529</v>
      </c>
      <c r="Z36" s="946">
        <f>Z18</f>
        <v>57.588652482269495</v>
      </c>
      <c r="AB36" s="944">
        <v>6381</v>
      </c>
      <c r="AC36" s="947">
        <f>(AB36/X36-1)*100</f>
        <v>3.857421875</v>
      </c>
      <c r="AD36" s="946">
        <f>AD18</f>
        <v>5.9585958595859578</v>
      </c>
      <c r="AF36" s="944">
        <v>6097</v>
      </c>
      <c r="AG36" s="945">
        <f>(AF36/AB36-1)*100</f>
        <v>-4.4507130543801949</v>
      </c>
      <c r="AH36" s="946">
        <f>AH18</f>
        <v>0.3397893306150257</v>
      </c>
      <c r="AJ36" s="944">
        <v>5687</v>
      </c>
      <c r="AK36" s="947">
        <f>(AJ36/AF36-1)*100</f>
        <v>-6.7246186649171698</v>
      </c>
      <c r="AL36" s="946">
        <f>AL18</f>
        <v>-6.9928885878767328</v>
      </c>
      <c r="AN36" s="944">
        <v>5468</v>
      </c>
      <c r="AO36" s="947">
        <f>(AN36/AJ36-1)*100</f>
        <v>-3.8508879901529847</v>
      </c>
      <c r="AP36" s="946">
        <f>AP18</f>
        <v>-1.9661387220098359</v>
      </c>
      <c r="AR36" s="1081">
        <v>5543</v>
      </c>
      <c r="AS36" s="947">
        <f>(AR36/AN36-1)*100</f>
        <v>1.3716166788588113</v>
      </c>
      <c r="AT36" s="946">
        <f>AT18</f>
        <v>4.4196843082636939</v>
      </c>
      <c r="AV36" s="1081">
        <f>3576+2375</f>
        <v>5951</v>
      </c>
      <c r="AW36" s="947">
        <f>(AV36/AR36-1)*100</f>
        <v>7.3606350351794969</v>
      </c>
      <c r="AX36" s="946">
        <f>AX18</f>
        <v>4.0903432331495626</v>
      </c>
      <c r="AZ36" s="1081">
        <f>2419+3627</f>
        <v>6046</v>
      </c>
      <c r="BA36" s="947">
        <f>(AV36/AZ36-1)*100</f>
        <v>-1.5712868011908743</v>
      </c>
      <c r="BB36" s="946">
        <f>BB18</f>
        <v>3.7929267042542181</v>
      </c>
      <c r="BD36" s="1081">
        <f>3897+2323</f>
        <v>6220</v>
      </c>
      <c r="BE36" s="947">
        <f>(BD36/AZ36-1)*100</f>
        <v>2.8779358253390619</v>
      </c>
      <c r="BF36" s="946">
        <f>BF18</f>
        <v>3.308641975308646</v>
      </c>
      <c r="BH36" s="1081">
        <f>3814+2563</f>
        <v>6377</v>
      </c>
      <c r="BI36" s="947">
        <f>(BH36/BD36-1)*100</f>
        <v>2.52411575562701</v>
      </c>
      <c r="BJ36" s="946">
        <f>BJ18</f>
        <v>-1.2906309751434031</v>
      </c>
      <c r="BL36" s="1081">
        <f>3608+2687</f>
        <v>6295</v>
      </c>
      <c r="BM36" s="947">
        <f>(BL36/BH36-1)*100</f>
        <v>-1.2858710992629807</v>
      </c>
      <c r="BN36" s="946">
        <f>BN18</f>
        <v>-5.1815980629539959</v>
      </c>
      <c r="BP36" s="1081">
        <f>3375+2930</f>
        <v>6305</v>
      </c>
      <c r="BQ36" s="947"/>
      <c r="BR36" s="946">
        <f>BR18</f>
        <v>-4.0687776642832851</v>
      </c>
      <c r="BT36" s="1081">
        <f>3173+3162</f>
        <v>6335</v>
      </c>
      <c r="BU36" s="947">
        <f>(BT36/BP36-1)*100</f>
        <v>0.47581284694686587</v>
      </c>
      <c r="BV36" s="946">
        <f>BV18</f>
        <v>-6.1756876663708997</v>
      </c>
      <c r="BX36" s="1302"/>
      <c r="BY36" s="1310"/>
      <c r="BZ36" s="1311"/>
    </row>
    <row r="37" spans="1:78" x14ac:dyDescent="0.2">
      <c r="A37" s="185" t="s">
        <v>98</v>
      </c>
      <c r="B37" s="185" t="s">
        <v>82</v>
      </c>
      <c r="D37" s="944">
        <v>2642</v>
      </c>
      <c r="E37" s="945" t="s">
        <v>86</v>
      </c>
      <c r="F37" s="946">
        <f>F19</f>
        <v>-6.1778001004520355</v>
      </c>
      <c r="H37" s="944">
        <v>2645</v>
      </c>
      <c r="I37" s="947">
        <f>(H37/D37-1)*100</f>
        <v>0.1135503406510141</v>
      </c>
      <c r="J37" s="946">
        <f>J19</f>
        <v>-8.4225553176302643</v>
      </c>
      <c r="L37" s="944">
        <v>2584</v>
      </c>
      <c r="M37" s="947">
        <f>(L37/H37-1)*100</f>
        <v>-2.3062381852551939</v>
      </c>
      <c r="N37" s="946">
        <f>N19</f>
        <v>-2.2408417770849565</v>
      </c>
      <c r="P37" s="944">
        <v>2613</v>
      </c>
      <c r="Q37" s="947">
        <f>(P37/L37-1)*100</f>
        <v>1.1222910216718285</v>
      </c>
      <c r="R37" s="946">
        <f>R19</f>
        <v>0.71756029499701057</v>
      </c>
      <c r="T37" s="944">
        <v>2707</v>
      </c>
      <c r="U37" s="947">
        <f>(T37/P37-1)*100</f>
        <v>3.5973976272483776</v>
      </c>
      <c r="V37" s="946">
        <f>V19</f>
        <v>1.3259449831783066</v>
      </c>
      <c r="X37" s="944">
        <v>5246</v>
      </c>
      <c r="Y37" s="947">
        <f>(X37/T37-1)*100</f>
        <v>93.793867750277045</v>
      </c>
      <c r="Z37" s="946">
        <f>Z19</f>
        <v>86.93359375</v>
      </c>
      <c r="AB37" s="944">
        <v>4604</v>
      </c>
      <c r="AC37" s="947">
        <f>(AB37/X37-1)*100</f>
        <v>-12.237895539458632</v>
      </c>
      <c r="AD37" s="946">
        <f>AD19</f>
        <v>-4.3046703583742518</v>
      </c>
      <c r="AF37" s="944">
        <v>4127</v>
      </c>
      <c r="AG37" s="945">
        <f>(AF37/AB37-1)*100</f>
        <v>-10.360556038227632</v>
      </c>
      <c r="AH37" s="946">
        <f>AH19</f>
        <v>-6.1687957200567745</v>
      </c>
      <c r="AJ37" s="944">
        <v>3910</v>
      </c>
      <c r="AK37" s="947">
        <f>(AJ37/AF37-1)*100</f>
        <v>-5.2580566997819211</v>
      </c>
      <c r="AL37" s="946">
        <f>AL19</f>
        <v>-7.6797765883174325</v>
      </c>
      <c r="AN37" s="944">
        <v>3938</v>
      </c>
      <c r="AO37" s="947">
        <f>(AN37/AJ37-1)*100</f>
        <v>0.71611253196930402</v>
      </c>
      <c r="AP37" s="946">
        <f>AP19</f>
        <v>3.7811948575749987E-2</v>
      </c>
      <c r="AR37" s="1081">
        <v>4065</v>
      </c>
      <c r="AS37" s="947">
        <f>(AR37/AN37-1)*100</f>
        <v>3.2249873031996001</v>
      </c>
      <c r="AT37" s="946">
        <f>AT19</f>
        <v>4.182940657679235</v>
      </c>
      <c r="AV37" s="1081">
        <f>1593+2788</f>
        <v>4381</v>
      </c>
      <c r="AW37" s="947">
        <f>(AV37/AR37-1)*100</f>
        <v>7.7736777367773735</v>
      </c>
      <c r="AX37" s="946">
        <f>AX19</f>
        <v>5.5024791389527206</v>
      </c>
      <c r="AZ37" s="1081">
        <f>1579+2610</f>
        <v>4189</v>
      </c>
      <c r="BA37" s="947">
        <f>(AV37/AZ37-1)*100</f>
        <v>4.5834328001909785</v>
      </c>
      <c r="BB37" s="946">
        <f>BB19</f>
        <v>7.175607519486471</v>
      </c>
      <c r="BD37" s="1081">
        <f>1691+2810</f>
        <v>4501</v>
      </c>
      <c r="BE37" s="947">
        <f>(BD37/AZ37-1)*100</f>
        <v>7.4480783003103346</v>
      </c>
      <c r="BF37" s="946">
        <f>BF19</f>
        <v>-1.582887700534763</v>
      </c>
      <c r="BH37" s="1081">
        <f>1693+3109</f>
        <v>4802</v>
      </c>
      <c r="BI37" s="947">
        <f>(BH37/BD37-1)*100</f>
        <v>6.6874027993779173</v>
      </c>
      <c r="BJ37" s="946">
        <f>BJ19</f>
        <v>1.7604868506846394</v>
      </c>
      <c r="BL37" s="1081">
        <f>1526+3333</f>
        <v>4859</v>
      </c>
      <c r="BM37" s="947">
        <f>(BL37/BH37-1)*100</f>
        <v>1.1870054144106579</v>
      </c>
      <c r="BN37" s="946">
        <f>BN19</f>
        <v>-5.2862024775736867</v>
      </c>
      <c r="BP37" s="1081">
        <f>3563+1423</f>
        <v>4986</v>
      </c>
      <c r="BQ37" s="947">
        <f>(BP37/BL37-1)*100</f>
        <v>2.6137065239761226</v>
      </c>
      <c r="BR37" s="946">
        <f>BR19</f>
        <v>-3.7884767166535105</v>
      </c>
      <c r="BT37" s="1081">
        <f>3167+1590</f>
        <v>4757</v>
      </c>
      <c r="BU37" s="947">
        <f>(BT37/BP37-1)*100</f>
        <v>-4.5928600080224591</v>
      </c>
      <c r="BV37" s="946">
        <f>BV19</f>
        <v>1.6172506738544534</v>
      </c>
      <c r="BX37" s="1302"/>
      <c r="BY37" s="1310"/>
      <c r="BZ37" s="1311"/>
    </row>
    <row r="38" spans="1:78" x14ac:dyDescent="0.2">
      <c r="D38" s="488"/>
      <c r="H38" s="488"/>
      <c r="L38" s="488"/>
      <c r="P38" s="488"/>
      <c r="T38" s="488"/>
      <c r="X38" s="488"/>
      <c r="AB38" s="488"/>
      <c r="AF38" s="488"/>
      <c r="AJ38" s="488"/>
      <c r="AN38" s="488"/>
      <c r="AR38" s="1080"/>
      <c r="AV38" s="1080"/>
      <c r="AZ38" s="1080"/>
      <c r="BD38" s="1080"/>
      <c r="BH38" s="1080"/>
      <c r="BL38" s="1080"/>
      <c r="BP38" s="1080"/>
      <c r="BT38" s="1080"/>
      <c r="BX38" s="1303"/>
    </row>
    <row r="39" spans="1:78" x14ac:dyDescent="0.2">
      <c r="A39" s="942" t="s">
        <v>353</v>
      </c>
      <c r="B39" s="949"/>
      <c r="C39" s="949"/>
      <c r="D39" s="627"/>
      <c r="E39" s="949"/>
      <c r="F39" s="949"/>
      <c r="G39" s="949"/>
      <c r="H39" s="627"/>
      <c r="I39" s="950"/>
      <c r="J39" s="949"/>
      <c r="K39" s="949"/>
      <c r="L39" s="627"/>
      <c r="M39" s="950"/>
      <c r="N39" s="949"/>
      <c r="O39" s="949"/>
      <c r="P39" s="627"/>
      <c r="Q39" s="950"/>
      <c r="R39" s="949"/>
      <c r="S39" s="949"/>
      <c r="T39" s="627"/>
      <c r="U39" s="950"/>
      <c r="V39" s="949"/>
      <c r="W39" s="949"/>
      <c r="X39" s="627"/>
      <c r="Y39" s="950"/>
      <c r="Z39" s="949"/>
      <c r="AA39" s="949"/>
      <c r="AB39" s="627"/>
      <c r="AC39" s="950"/>
      <c r="AD39" s="949"/>
      <c r="AE39" s="949"/>
      <c r="AF39" s="627"/>
      <c r="AG39" s="949"/>
      <c r="AH39" s="949"/>
      <c r="AI39" s="949"/>
      <c r="AJ39" s="627"/>
      <c r="AK39" s="950"/>
      <c r="AL39" s="949"/>
      <c r="AM39" s="949"/>
      <c r="AN39" s="627"/>
      <c r="AO39" s="950"/>
      <c r="AP39" s="949"/>
      <c r="AQ39" s="949"/>
      <c r="AR39" s="1082"/>
      <c r="AS39" s="950"/>
      <c r="AT39" s="949"/>
      <c r="AU39" s="949"/>
      <c r="AV39" s="1082"/>
      <c r="AW39" s="950"/>
      <c r="AX39" s="949"/>
      <c r="AY39" s="949"/>
      <c r="AZ39" s="1083"/>
      <c r="BA39" s="950"/>
      <c r="BB39" s="949"/>
      <c r="BC39" s="949"/>
      <c r="BD39" s="1083"/>
      <c r="BE39" s="950"/>
      <c r="BF39" s="949"/>
      <c r="BG39" s="949"/>
      <c r="BH39" s="1083"/>
      <c r="BI39" s="950"/>
      <c r="BJ39" s="949"/>
      <c r="BK39" s="949"/>
      <c r="BL39" s="1083" t="s">
        <v>639</v>
      </c>
      <c r="BM39" s="950"/>
      <c r="BN39" s="949"/>
      <c r="BO39" s="949"/>
      <c r="BP39" s="1083"/>
      <c r="BQ39" s="950"/>
      <c r="BR39" s="949"/>
      <c r="BS39" s="949"/>
      <c r="BT39" s="1083"/>
      <c r="BU39" s="950"/>
      <c r="BV39" s="949"/>
      <c r="BW39" s="949"/>
      <c r="BX39" s="1315"/>
      <c r="BY39" s="1316"/>
      <c r="BZ39" s="1317"/>
    </row>
    <row r="40" spans="1:78" x14ac:dyDescent="0.2">
      <c r="A40" s="185" t="s">
        <v>95</v>
      </c>
      <c r="B40" s="185" t="s">
        <v>79</v>
      </c>
      <c r="D40" s="944"/>
      <c r="E40" s="945"/>
      <c r="F40" s="946"/>
      <c r="H40" s="944">
        <v>104</v>
      </c>
      <c r="I40" s="947"/>
      <c r="J40" s="946">
        <f>J16</f>
        <v>-0.47579065211307281</v>
      </c>
      <c r="L40" s="944">
        <v>9</v>
      </c>
      <c r="M40" s="947">
        <f>(L40/H40-1)*100</f>
        <v>-91.34615384615384</v>
      </c>
      <c r="N40" s="946">
        <f>N16</f>
        <v>-2.8965129358830111</v>
      </c>
      <c r="P40" s="944">
        <v>92</v>
      </c>
      <c r="Q40" s="947">
        <f>(P40/L40-1)*100</f>
        <v>922.22222222222217</v>
      </c>
      <c r="R40" s="946">
        <f>R16</f>
        <v>-4.6915725456125106</v>
      </c>
      <c r="T40" s="944">
        <v>152</v>
      </c>
      <c r="U40" s="947">
        <f>(T40/P40-1)*100</f>
        <v>65.217391304347828</v>
      </c>
      <c r="V40" s="946">
        <f>V16</f>
        <v>7.8699483439683915</v>
      </c>
      <c r="X40" s="944">
        <v>290</v>
      </c>
      <c r="Y40" s="947">
        <f>(X40/T40-1)*100</f>
        <v>90.789473684210535</v>
      </c>
      <c r="Z40" s="946">
        <f>Z16</f>
        <v>2.5633802816901419</v>
      </c>
      <c r="AB40" s="944">
        <v>425</v>
      </c>
      <c r="AC40" s="947">
        <f>(AB40/X40-1)*100</f>
        <v>46.551724137931025</v>
      </c>
      <c r="AD40" s="946">
        <f>AD16</f>
        <v>62.867344136226322</v>
      </c>
      <c r="AF40" s="944">
        <v>159</v>
      </c>
      <c r="AG40" s="945">
        <f>(AF40/AB40-1)*100</f>
        <v>-62.588235294117645</v>
      </c>
      <c r="AH40" s="946">
        <f>AH16</f>
        <v>-0.15177065767284503</v>
      </c>
      <c r="AJ40" s="944">
        <v>243</v>
      </c>
      <c r="AK40" s="947">
        <f>(AJ40/AF40-1)*100</f>
        <v>52.830188679245296</v>
      </c>
      <c r="AL40" s="946">
        <f>AL16</f>
        <v>-2.9386927883803371</v>
      </c>
      <c r="AN40" s="944">
        <v>230</v>
      </c>
      <c r="AO40" s="947">
        <f>(AN40/AJ40-1)*100</f>
        <v>-5.3497942386831259</v>
      </c>
      <c r="AP40" s="946">
        <f>AP16</f>
        <v>-7.9867757090655971</v>
      </c>
      <c r="AR40" s="1081">
        <v>272</v>
      </c>
      <c r="AS40" s="947">
        <f>(AR40/AN40-1)*100</f>
        <v>18.260869565217398</v>
      </c>
      <c r="AT40" s="946">
        <f>AT16</f>
        <v>5.4084720121028829</v>
      </c>
      <c r="AV40" s="1081">
        <v>465</v>
      </c>
      <c r="AW40" s="947">
        <f>(AV40/AR40-1)*100</f>
        <v>70.955882352941174</v>
      </c>
      <c r="AX40" s="946">
        <f>AX16</f>
        <v>5.6512378902045191</v>
      </c>
      <c r="AZ40" s="1081">
        <v>515</v>
      </c>
      <c r="BA40" s="947">
        <f>(AV40/AZ40-1)*100</f>
        <v>-9.7087378640776656</v>
      </c>
      <c r="BB40" s="946">
        <f>BB16</f>
        <v>4.313126167430803</v>
      </c>
      <c r="BD40" s="1081">
        <f>30+426</f>
        <v>456</v>
      </c>
      <c r="BE40" s="947">
        <f>(BD40/AZ40-1)*100</f>
        <v>-11.456310679611647</v>
      </c>
      <c r="BF40" s="946">
        <f>BF16</f>
        <v>3.9720006511476447</v>
      </c>
      <c r="BH40" s="1081">
        <f>105+381</f>
        <v>486</v>
      </c>
      <c r="BI40" s="947">
        <f>(BH40/BD40-1)*100</f>
        <v>6.578947368421062</v>
      </c>
      <c r="BJ40" s="946">
        <f>BJ16</f>
        <v>-1.6909347111319861</v>
      </c>
      <c r="BL40" s="1081">
        <f>74+370</f>
        <v>444</v>
      </c>
      <c r="BM40" s="947">
        <f>(BL40/BH40-1)*100</f>
        <v>-8.6419753086419799</v>
      </c>
      <c r="BN40" s="946">
        <f>BN16</f>
        <v>-0.74852683548335408</v>
      </c>
      <c r="BP40" s="1081">
        <v>0</v>
      </c>
      <c r="BQ40" s="947"/>
      <c r="BR40" s="946">
        <f>BR16</f>
        <v>-7.3491655969191267</v>
      </c>
      <c r="BT40" s="1081">
        <v>355</v>
      </c>
      <c r="BU40" s="947"/>
      <c r="BV40" s="946">
        <f>BV16</f>
        <v>-7.3086248701073835</v>
      </c>
      <c r="BX40" s="1302"/>
      <c r="BY40" s="1310"/>
      <c r="BZ40" s="1311"/>
    </row>
    <row r="41" spans="1:78" x14ac:dyDescent="0.2">
      <c r="A41" s="185" t="s">
        <v>96</v>
      </c>
      <c r="B41" s="185" t="s">
        <v>80</v>
      </c>
      <c r="D41" s="944"/>
      <c r="E41" s="945"/>
      <c r="F41" s="946"/>
      <c r="H41" s="944">
        <v>116</v>
      </c>
      <c r="I41" s="947"/>
      <c r="J41" s="946">
        <f>J17</f>
        <v>-5.1916281598260454</v>
      </c>
      <c r="L41" s="944">
        <v>42</v>
      </c>
      <c r="M41" s="947">
        <f>(L41/H41-1)*100</f>
        <v>-63.793103448275865</v>
      </c>
      <c r="N41" s="946">
        <f>N17</f>
        <v>-5.7339449541282672E-2</v>
      </c>
      <c r="P41" s="944">
        <v>121</v>
      </c>
      <c r="Q41" s="947">
        <f>(P41/L41-1)*100</f>
        <v>188.0952380952381</v>
      </c>
      <c r="R41" s="946">
        <f>R17</f>
        <v>-1.4916810097532984</v>
      </c>
      <c r="T41" s="944">
        <v>192</v>
      </c>
      <c r="U41" s="947">
        <f>(T41/P41-1)*100</f>
        <v>58.677685950413228</v>
      </c>
      <c r="V41" s="946">
        <f>V17</f>
        <v>4.2807221898660375</v>
      </c>
      <c r="X41" s="944">
        <v>207</v>
      </c>
      <c r="Y41" s="947">
        <f>(X41/T41-1)*100</f>
        <v>7.8125</v>
      </c>
      <c r="Z41" s="946">
        <f>Z17</f>
        <v>1.1728567439262871</v>
      </c>
      <c r="AB41" s="944">
        <v>494</v>
      </c>
      <c r="AC41" s="947">
        <f>(AB41/X41-1)*100</f>
        <v>138.64734299516908</v>
      </c>
      <c r="AD41" s="946">
        <f>AD17</f>
        <v>65.470604471432509</v>
      </c>
      <c r="AF41" s="944">
        <v>192</v>
      </c>
      <c r="AG41" s="945">
        <f>(AF41/AB41-1)*100</f>
        <v>-61.133603238866399</v>
      </c>
      <c r="AH41" s="946">
        <f>AH17</f>
        <v>-1.7180984153461254</v>
      </c>
      <c r="AJ41" s="944">
        <v>234</v>
      </c>
      <c r="AK41" s="947">
        <f>(AJ41/AF41-1)*100</f>
        <v>21.875</v>
      </c>
      <c r="AL41" s="946">
        <f>AL17</f>
        <v>-2.9531568228105876</v>
      </c>
      <c r="AN41" s="944">
        <v>226</v>
      </c>
      <c r="AO41" s="947">
        <f>(AN41/AJ41-1)*100</f>
        <v>-3.4188034188034178</v>
      </c>
      <c r="AP41" s="946">
        <f>AP17</f>
        <v>-7.5725778244141289</v>
      </c>
      <c r="AR41" s="1081">
        <v>343</v>
      </c>
      <c r="AS41" s="947">
        <f>(AR41/AN41-1)*100</f>
        <v>51.769911504424783</v>
      </c>
      <c r="AT41" s="946">
        <f>AT17</f>
        <v>4.7682119205298079</v>
      </c>
      <c r="AV41" s="1081">
        <v>455</v>
      </c>
      <c r="AW41" s="947">
        <f>(AV41/AR41-1)*100</f>
        <v>32.65306122448979</v>
      </c>
      <c r="AX41" s="946">
        <f>AX17</f>
        <v>7.2602492324363332</v>
      </c>
      <c r="AZ41" s="1081">
        <v>568</v>
      </c>
      <c r="BA41" s="947">
        <f>(AV41/AZ41-1)*100</f>
        <v>-19.8943661971831</v>
      </c>
      <c r="BB41" s="946">
        <f>BB17</f>
        <v>3.0139754167368249</v>
      </c>
      <c r="BD41" s="1081">
        <f>67+422</f>
        <v>489</v>
      </c>
      <c r="BE41" s="947">
        <f>(BD41/AZ41-1)*100</f>
        <v>-13.90845070422535</v>
      </c>
      <c r="BF41" s="946">
        <f>BF17</f>
        <v>-0.84995096436744078</v>
      </c>
      <c r="BH41" s="1081">
        <v>393</v>
      </c>
      <c r="BI41" s="947">
        <f>(BH41/BD41-1)*100</f>
        <v>-19.631901840490794</v>
      </c>
      <c r="BJ41" s="946">
        <f>BJ17</f>
        <v>3.3135509396637008</v>
      </c>
      <c r="BL41" s="1081">
        <v>64</v>
      </c>
      <c r="BM41" s="947">
        <f>(BL41/BH41-1)*100</f>
        <v>-83.715012722646307</v>
      </c>
      <c r="BN41" s="946">
        <f>BN17</f>
        <v>-2.6009254826870887</v>
      </c>
      <c r="BP41" s="1081">
        <v>23</v>
      </c>
      <c r="BQ41" s="947"/>
      <c r="BR41" s="946">
        <f>BR17</f>
        <v>-2.2280471821756187</v>
      </c>
      <c r="BT41" s="1081">
        <v>52</v>
      </c>
      <c r="BU41" s="947"/>
      <c r="BV41" s="946">
        <f>BV17</f>
        <v>-5.5797587131367283</v>
      </c>
      <c r="BX41" s="1302"/>
      <c r="BY41" s="1310"/>
      <c r="BZ41" s="1311"/>
    </row>
    <row r="42" spans="1:78" x14ac:dyDescent="0.2">
      <c r="A42" s="185" t="s">
        <v>97</v>
      </c>
      <c r="B42" s="185" t="s">
        <v>81</v>
      </c>
      <c r="D42" s="944"/>
      <c r="E42" s="945"/>
      <c r="F42" s="946"/>
      <c r="H42" s="944">
        <v>111</v>
      </c>
      <c r="I42" s="947"/>
      <c r="J42" s="946">
        <f>J18</f>
        <v>-8.1173982020095181</v>
      </c>
      <c r="L42" s="944">
        <v>33</v>
      </c>
      <c r="M42" s="947">
        <f>(L42/H42-1)*100</f>
        <v>-70.27027027027026</v>
      </c>
      <c r="N42" s="946">
        <f>N18</f>
        <v>0.11510791366906581</v>
      </c>
      <c r="P42" s="944">
        <v>115</v>
      </c>
      <c r="Q42" s="947">
        <f>(P42/L42-1)*100</f>
        <v>248.4848484848485</v>
      </c>
      <c r="R42" s="946">
        <f>R18</f>
        <v>0.2012072434607548</v>
      </c>
      <c r="T42" s="944">
        <v>162</v>
      </c>
      <c r="U42" s="947">
        <f>(T42/P42-1)*100</f>
        <v>40.869565217391312</v>
      </c>
      <c r="V42" s="946">
        <f>V18</f>
        <v>1.1187607573149849</v>
      </c>
      <c r="X42" s="944">
        <v>348</v>
      </c>
      <c r="Y42" s="947">
        <f>(X42/T42-1)*100</f>
        <v>114.81481481481484</v>
      </c>
      <c r="Z42" s="946">
        <f>Z18</f>
        <v>57.588652482269495</v>
      </c>
      <c r="AB42" s="944">
        <v>473</v>
      </c>
      <c r="AC42" s="947">
        <f>(AB42/X42-1)*100</f>
        <v>35.919540229885058</v>
      </c>
      <c r="AD42" s="946">
        <f>AD18</f>
        <v>5.9585958595859578</v>
      </c>
      <c r="AF42" s="944">
        <v>183</v>
      </c>
      <c r="AG42" s="945">
        <f>(AF42/AB42-1)*100</f>
        <v>-61.310782241014806</v>
      </c>
      <c r="AH42" s="946">
        <f>AH18</f>
        <v>0.3397893306150257</v>
      </c>
      <c r="AJ42" s="944">
        <v>246</v>
      </c>
      <c r="AK42" s="947">
        <f>(AJ42/AF42-1)*100</f>
        <v>34.426229508196712</v>
      </c>
      <c r="AL42" s="946">
        <f>AL18</f>
        <v>-6.9928885878767328</v>
      </c>
      <c r="AN42" s="944">
        <v>250</v>
      </c>
      <c r="AO42" s="947">
        <f>(AN42/AJ42-1)*100</f>
        <v>1.6260162601626105</v>
      </c>
      <c r="AP42" s="946">
        <f>AP18</f>
        <v>-1.9661387220098359</v>
      </c>
      <c r="AR42" s="1081">
        <v>342</v>
      </c>
      <c r="AS42" s="947">
        <f>(AR42/AN42-1)*100</f>
        <v>36.800000000000011</v>
      </c>
      <c r="AT42" s="946">
        <f>AT18</f>
        <v>4.4196843082636939</v>
      </c>
      <c r="AV42" s="1081">
        <f>66+388</f>
        <v>454</v>
      </c>
      <c r="AW42" s="947">
        <f>(AV42/AR42-1)*100</f>
        <v>32.748538011695906</v>
      </c>
      <c r="AX42" s="946">
        <f>AX18</f>
        <v>4.0903432331495626</v>
      </c>
      <c r="AZ42" s="1081">
        <f>426+89</f>
        <v>515</v>
      </c>
      <c r="BA42" s="947">
        <f>(AV42/AZ42-1)*100</f>
        <v>-11.844660194174761</v>
      </c>
      <c r="BB42" s="946">
        <f>BB18</f>
        <v>3.7929267042542181</v>
      </c>
      <c r="BD42" s="1081">
        <f>78+423</f>
        <v>501</v>
      </c>
      <c r="BE42" s="947">
        <f>(BD42/AZ42-1)*100</f>
        <v>-2.7184466019417486</v>
      </c>
      <c r="BF42" s="946">
        <f>BF18</f>
        <v>3.308641975308646</v>
      </c>
      <c r="BH42" s="1081">
        <f>114+396</f>
        <v>510</v>
      </c>
      <c r="BI42" s="947">
        <f>(BH42/BD42-1)*100</f>
        <v>1.7964071856287456</v>
      </c>
      <c r="BJ42" s="946">
        <f>BJ18</f>
        <v>-1.2906309751434031</v>
      </c>
      <c r="BL42" s="1081">
        <f>102+375</f>
        <v>477</v>
      </c>
      <c r="BM42" s="947">
        <f>(BL42/BH42-1)*100</f>
        <v>-6.4705882352941169</v>
      </c>
      <c r="BN42" s="946">
        <f>BN18</f>
        <v>-5.1815980629539959</v>
      </c>
      <c r="BP42" s="1081"/>
      <c r="BQ42" s="947"/>
      <c r="BR42" s="946">
        <f>BR18</f>
        <v>-4.0687776642832851</v>
      </c>
      <c r="BT42" s="1081">
        <v>34</v>
      </c>
      <c r="BU42" s="947"/>
      <c r="BV42" s="946">
        <f>BV18</f>
        <v>-6.1756876663708997</v>
      </c>
      <c r="BX42" s="1318"/>
      <c r="BY42" s="1310"/>
      <c r="BZ42" s="1311"/>
    </row>
    <row r="43" spans="1:78" x14ac:dyDescent="0.2">
      <c r="A43" s="185" t="s">
        <v>98</v>
      </c>
      <c r="B43" s="185" t="s">
        <v>82</v>
      </c>
      <c r="D43" s="944">
        <v>245</v>
      </c>
      <c r="E43" s="945" t="s">
        <v>86</v>
      </c>
      <c r="F43" s="946">
        <f>F19</f>
        <v>-6.1778001004520355</v>
      </c>
      <c r="H43" s="944">
        <v>57</v>
      </c>
      <c r="I43" s="947">
        <f>(H43/D43-1)*100</f>
        <v>-76.734693877551024</v>
      </c>
      <c r="J43" s="946">
        <f>J19</f>
        <v>-8.4225553176302643</v>
      </c>
      <c r="L43" s="944">
        <v>71</v>
      </c>
      <c r="M43" s="947">
        <f>(L43/H43-1)*100</f>
        <v>24.561403508771939</v>
      </c>
      <c r="N43" s="946">
        <f>N19</f>
        <v>-2.2408417770849565</v>
      </c>
      <c r="P43" s="944">
        <v>362</v>
      </c>
      <c r="Q43" s="947">
        <f>(P43/L43-1)*100</f>
        <v>409.85915492957747</v>
      </c>
      <c r="R43" s="946">
        <f>R19</f>
        <v>0.71756029499701057</v>
      </c>
      <c r="T43" s="944">
        <v>352</v>
      </c>
      <c r="U43" s="947">
        <f>(T43/P43-1)*100</f>
        <v>-2.7624309392265234</v>
      </c>
      <c r="V43" s="946">
        <f>V19</f>
        <v>1.3259449831783066</v>
      </c>
      <c r="X43" s="944">
        <v>557</v>
      </c>
      <c r="Y43" s="947">
        <f>(X43/T43-1)*100</f>
        <v>58.238636363636353</v>
      </c>
      <c r="Z43" s="946">
        <f>Z19</f>
        <v>86.93359375</v>
      </c>
      <c r="AB43" s="944">
        <v>793</v>
      </c>
      <c r="AC43" s="947">
        <f>(AB43/X43-1)*100</f>
        <v>42.369838420107733</v>
      </c>
      <c r="AD43" s="946">
        <f>AD19</f>
        <v>-4.3046703583742518</v>
      </c>
      <c r="AF43" s="944">
        <v>567</v>
      </c>
      <c r="AG43" s="945">
        <f>(AF43/AB43-1)*100</f>
        <v>-28.499369482976043</v>
      </c>
      <c r="AH43" s="946">
        <f>AH19</f>
        <v>-6.1687957200567745</v>
      </c>
      <c r="AJ43" s="944">
        <v>250</v>
      </c>
      <c r="AK43" s="947">
        <f>(AJ43/AF43-1)*100</f>
        <v>-55.908289241622576</v>
      </c>
      <c r="AL43" s="946">
        <f>AL19</f>
        <v>-7.6797765883174325</v>
      </c>
      <c r="AN43" s="944">
        <v>282</v>
      </c>
      <c r="AO43" s="947">
        <f>(AN43/AJ43-1)*100</f>
        <v>12.79999999999999</v>
      </c>
      <c r="AP43" s="946">
        <f>AP19</f>
        <v>3.7811948575749987E-2</v>
      </c>
      <c r="AR43" s="1081">
        <v>546</v>
      </c>
      <c r="AS43" s="947">
        <f>(AR43/AN43-1)*100</f>
        <v>93.61702127659575</v>
      </c>
      <c r="AT43" s="946">
        <f>AT19</f>
        <v>4.182940657679235</v>
      </c>
      <c r="AV43" s="1081">
        <v>779</v>
      </c>
      <c r="AW43" s="947">
        <f>(AV43/AR43-1)*100</f>
        <v>42.673992673992679</v>
      </c>
      <c r="AX43" s="946">
        <f>AX19</f>
        <v>5.5024791389527206</v>
      </c>
      <c r="AZ43" s="1081">
        <f>355+407</f>
        <v>762</v>
      </c>
      <c r="BA43" s="947">
        <f>(AV43/AZ43-1)*100</f>
        <v>2.2309711286089273</v>
      </c>
      <c r="BB43" s="946">
        <f>BB19</f>
        <v>7.175607519486471</v>
      </c>
      <c r="BD43" s="1081">
        <f>362+400</f>
        <v>762</v>
      </c>
      <c r="BE43" s="947">
        <f>(BD43/AZ43-1)*100</f>
        <v>0</v>
      </c>
      <c r="BF43" s="946">
        <f>BF19</f>
        <v>-1.582887700534763</v>
      </c>
      <c r="BH43" s="1081">
        <f>296+362</f>
        <v>658</v>
      </c>
      <c r="BI43" s="947">
        <f>(BH43/BD43-1)*100</f>
        <v>-13.648293963254599</v>
      </c>
      <c r="BJ43" s="946">
        <f>BJ19</f>
        <v>1.7604868506846394</v>
      </c>
      <c r="BL43" s="1081">
        <f>bal!AC27+bal!AC28</f>
        <v>227</v>
      </c>
      <c r="BM43" s="947"/>
      <c r="BN43" s="946">
        <f>BN19</f>
        <v>-5.2862024775736867</v>
      </c>
      <c r="BP43" s="1081">
        <v>352</v>
      </c>
      <c r="BQ43" s="947"/>
      <c r="BR43" s="946">
        <f>BR19</f>
        <v>-3.7884767166535105</v>
      </c>
      <c r="BT43" s="1081">
        <v>296</v>
      </c>
      <c r="BU43" s="947"/>
      <c r="BV43" s="946">
        <f>BV19</f>
        <v>1.6172506738544534</v>
      </c>
      <c r="BX43" s="1318"/>
      <c r="BY43" s="1310"/>
      <c r="BZ43" s="1311"/>
    </row>
    <row r="44" spans="1:78" x14ac:dyDescent="0.2">
      <c r="D44" s="488"/>
      <c r="H44" s="488"/>
      <c r="L44" s="488"/>
      <c r="P44" s="488"/>
      <c r="T44" s="488"/>
      <c r="X44" s="488"/>
      <c r="AB44" s="488"/>
      <c r="AF44" s="488"/>
      <c r="AJ44" s="488"/>
      <c r="AN44" s="488"/>
      <c r="AR44" s="488"/>
      <c r="AV44" s="488"/>
    </row>
    <row r="45" spans="1:78" x14ac:dyDescent="0.2">
      <c r="A45" s="942" t="s">
        <v>100</v>
      </c>
      <c r="B45" s="627"/>
      <c r="C45" s="627"/>
      <c r="D45" s="720"/>
      <c r="E45" s="627"/>
      <c r="F45" s="627"/>
      <c r="G45" s="627"/>
      <c r="H45" s="720"/>
      <c r="I45" s="943"/>
      <c r="J45" s="627"/>
      <c r="K45" s="627"/>
      <c r="L45" s="720"/>
      <c r="M45" s="943"/>
      <c r="N45" s="627"/>
      <c r="O45" s="627"/>
      <c r="P45" s="720"/>
      <c r="Q45" s="943"/>
      <c r="R45" s="627"/>
      <c r="S45" s="627"/>
      <c r="T45" s="720"/>
      <c r="U45" s="943"/>
      <c r="V45" s="627"/>
      <c r="W45" s="627"/>
      <c r="X45" s="720"/>
      <c r="Y45" s="943"/>
      <c r="Z45" s="627"/>
      <c r="AA45" s="627"/>
      <c r="AB45" s="720"/>
      <c r="AC45" s="943"/>
      <c r="AD45" s="627"/>
      <c r="AE45" s="627"/>
      <c r="AF45" s="720"/>
      <c r="AG45" s="627"/>
      <c r="AH45" s="627"/>
      <c r="AI45" s="627"/>
      <c r="AJ45" s="720"/>
      <c r="AK45" s="943"/>
      <c r="AL45" s="627"/>
      <c r="AM45" s="627"/>
      <c r="AN45" s="720"/>
      <c r="AO45" s="943"/>
      <c r="AP45" s="627"/>
      <c r="AQ45" s="627"/>
      <c r="AR45" s="720"/>
      <c r="AS45" s="943"/>
      <c r="AT45" s="627"/>
      <c r="AU45" s="627"/>
      <c r="AV45" s="720"/>
      <c r="AW45" s="943"/>
      <c r="AX45" s="627"/>
      <c r="AY45" s="627"/>
      <c r="AZ45" s="627"/>
      <c r="BA45" s="943"/>
      <c r="BC45" s="627"/>
      <c r="BD45" s="627"/>
      <c r="BE45" s="943"/>
      <c r="BF45" s="627"/>
      <c r="BG45" s="627"/>
      <c r="BH45" s="627"/>
      <c r="BI45" s="943"/>
      <c r="BJ45" s="627"/>
      <c r="BK45" s="627"/>
      <c r="BL45" s="627"/>
      <c r="BM45" s="943"/>
      <c r="BN45" s="627"/>
      <c r="BO45" s="627"/>
      <c r="BP45" s="627"/>
      <c r="BQ45" s="943"/>
      <c r="BR45" s="627"/>
      <c r="BS45" s="627"/>
      <c r="BT45" s="627"/>
      <c r="BU45" s="943"/>
      <c r="BV45" s="627"/>
      <c r="BW45" s="627"/>
      <c r="BX45" s="1151"/>
      <c r="BY45" s="1309"/>
      <c r="BZ45" s="1151"/>
    </row>
    <row r="46" spans="1:78" x14ac:dyDescent="0.2">
      <c r="A46" s="185" t="s">
        <v>95</v>
      </c>
      <c r="B46" s="185" t="s">
        <v>79</v>
      </c>
      <c r="D46" s="781"/>
      <c r="E46" s="945"/>
      <c r="F46" s="946"/>
      <c r="H46" s="781">
        <f>H10+H16+H22+H28-H34-H40</f>
        <v>3412</v>
      </c>
      <c r="I46" s="947"/>
      <c r="J46" s="946">
        <f>J22</f>
        <v>-0.47579065211307281</v>
      </c>
      <c r="L46" s="781">
        <f>L10+L16+L22+L28-L34-L40</f>
        <v>3233</v>
      </c>
      <c r="M46" s="947">
        <f>(L46/H46-1)*100</f>
        <v>-5.2461899179366949</v>
      </c>
      <c r="N46" s="946">
        <f>N22</f>
        <v>-2.8965129358830111</v>
      </c>
      <c r="P46" s="781">
        <f>P10+P16+P22+P28-P34-P40</f>
        <v>3768</v>
      </c>
      <c r="Q46" s="947">
        <f>(P46/L46-1)*100</f>
        <v>16.54809774203525</v>
      </c>
      <c r="R46" s="946">
        <f>R22</f>
        <v>-4.6915725456125106</v>
      </c>
      <c r="T46" s="781">
        <f>T10+T16+T22+T28-T34-T40</f>
        <v>3813</v>
      </c>
      <c r="U46" s="947">
        <f>(T46/P46-1)*100</f>
        <v>1.1942675159235749</v>
      </c>
      <c r="V46" s="946">
        <f>V22</f>
        <v>7.8699483439683915</v>
      </c>
      <c r="X46" s="781">
        <f>X10+X16+X22+X28-X34-X40</f>
        <v>3772</v>
      </c>
      <c r="Y46" s="947">
        <f>(X46/T46-1)*100</f>
        <v>-1.0752688172043001</v>
      </c>
      <c r="Z46" s="946">
        <f>Z22</f>
        <v>2.5633802816901419</v>
      </c>
      <c r="AB46" s="781">
        <f>AB10+AB16+AB22+AB28-AB34-AB40</f>
        <v>4682</v>
      </c>
      <c r="AC46" s="947">
        <f>(AB46/X46-1)*100</f>
        <v>24.125132555673389</v>
      </c>
      <c r="AD46" s="946">
        <f>AD22</f>
        <v>62.867344136226322</v>
      </c>
      <c r="AF46" s="781">
        <f>AF10+AF16+AF22+AF28-AF34-AF40</f>
        <v>1431</v>
      </c>
      <c r="AG46" s="945">
        <f>(AF46/AB46-1)*100</f>
        <v>-69.436138402392132</v>
      </c>
      <c r="AH46" s="946">
        <f>AH22</f>
        <v>-0.15177065767284503</v>
      </c>
      <c r="AJ46" s="781">
        <f>AJ10+AJ16+AJ22+AJ28-AJ34-AJ40</f>
        <v>1382</v>
      </c>
      <c r="AK46" s="947">
        <f>(AJ46/AF46-1)*100</f>
        <v>-3.4241788958770059</v>
      </c>
      <c r="AL46" s="946">
        <f>AL22</f>
        <v>-2.9386927883803371</v>
      </c>
      <c r="AN46" s="781">
        <f>AN10+AN16+AN22+AN28-AN34-AN40</f>
        <v>1602</v>
      </c>
      <c r="AO46" s="947">
        <f>(AN46/AJ46-1)*100</f>
        <v>15.918958031837915</v>
      </c>
      <c r="AP46" s="946">
        <f>AP22</f>
        <v>-7.9867757090655971</v>
      </c>
      <c r="AR46" s="781">
        <f>AR10+AR16+AR22+AR28-AR34-AR40</f>
        <v>1051</v>
      </c>
      <c r="AS46" s="947">
        <f>(AR46/AN46-1)*100</f>
        <v>-34.394506866416975</v>
      </c>
      <c r="AT46" s="946">
        <f>AT22</f>
        <v>5.4084720121028829</v>
      </c>
      <c r="AV46" s="781">
        <f>AV10+AV16+AV22+AV28-AV34-AV40</f>
        <v>1095</v>
      </c>
      <c r="AW46" s="947">
        <f>(AV46/AR46-1)*100</f>
        <v>4.186489058039955</v>
      </c>
      <c r="AX46" s="946">
        <f>AX22</f>
        <v>5.6512378902045191</v>
      </c>
      <c r="AZ46" s="781">
        <f>AZ10+AZ16+AZ22+AZ28-AZ34-AZ40</f>
        <v>1056</v>
      </c>
      <c r="BA46" s="947">
        <f>(AV46/AZ46-1)*100</f>
        <v>3.6931818181818121</v>
      </c>
      <c r="BB46" s="946">
        <f>BB22</f>
        <v>4.313126167430803</v>
      </c>
      <c r="BD46" s="781">
        <f>BD10+BD16+BD22+BD28-BD34-BD40</f>
        <v>1298</v>
      </c>
      <c r="BE46" s="947">
        <f>(BD46/AZ46-1)*100</f>
        <v>22.916666666666675</v>
      </c>
      <c r="BF46" s="946">
        <f>BF40</f>
        <v>3.9720006511476447</v>
      </c>
      <c r="BH46" s="781">
        <f>BH10+BH16+BH22+BH28-BH34-BH40</f>
        <v>1530</v>
      </c>
      <c r="BI46" s="947">
        <f>(BH46/BD46-1)*100</f>
        <v>17.873651771956855</v>
      </c>
      <c r="BJ46" s="946">
        <f>BJ40</f>
        <v>-1.6909347111319861</v>
      </c>
      <c r="BL46" s="781">
        <f>BL10+BL16+BL22+BL28-BL34-BL40</f>
        <v>1418</v>
      </c>
      <c r="BM46" s="947">
        <f>(BL46/BH46-1)*100</f>
        <v>-7.3202614379084929</v>
      </c>
      <c r="BN46" s="946">
        <f>BN40</f>
        <v>-0.74852683548335408</v>
      </c>
      <c r="BP46" s="781">
        <f>BP10+BP16+BP22+BP28-BP34-BP40</f>
        <v>1922</v>
      </c>
      <c r="BQ46" s="947">
        <f>(BP46/BL46-1)*100</f>
        <v>35.543018335684053</v>
      </c>
      <c r="BR46" s="946">
        <f>BR40</f>
        <v>-7.3491655969191267</v>
      </c>
      <c r="BT46" s="781">
        <f>BT10+BT16+BT22+BT28-BT34-BT40</f>
        <v>1080</v>
      </c>
      <c r="BU46" s="947">
        <f>(BT46/BP46-1)*100</f>
        <v>-43.808532778355882</v>
      </c>
      <c r="BV46" s="946">
        <f>BV40</f>
        <v>-7.3086248701073835</v>
      </c>
      <c r="BX46" s="1096"/>
      <c r="BY46" s="1310"/>
      <c r="BZ46" s="1311"/>
    </row>
    <row r="47" spans="1:78" x14ac:dyDescent="0.2">
      <c r="A47" s="185" t="s">
        <v>96</v>
      </c>
      <c r="B47" s="185" t="s">
        <v>80</v>
      </c>
      <c r="D47" s="781"/>
      <c r="E47" s="945"/>
      <c r="F47" s="946"/>
      <c r="H47" s="781">
        <f>H11+H17+H23+H29-H35-H41</f>
        <v>3318</v>
      </c>
      <c r="I47" s="947"/>
      <c r="J47" s="946">
        <f>J23</f>
        <v>-5.1916281598260454</v>
      </c>
      <c r="L47" s="781">
        <f>L11+L17+L23+L29-L35-L41</f>
        <v>3711</v>
      </c>
      <c r="M47" s="947">
        <f>(L47/H47-1)*100</f>
        <v>11.844484629294749</v>
      </c>
      <c r="N47" s="946">
        <f>N23</f>
        <v>-5.7339449541282672E-2</v>
      </c>
      <c r="P47" s="781">
        <f>P11+P17+P23+P29-P35-P41</f>
        <v>3604</v>
      </c>
      <c r="Q47" s="947">
        <f>(P47/L47-1)*100</f>
        <v>-2.8833198598760434</v>
      </c>
      <c r="R47" s="946">
        <f>R23</f>
        <v>-1.4916810097532984</v>
      </c>
      <c r="T47" s="781">
        <f>T11+T17+T23+T29-T35-T41</f>
        <v>3665</v>
      </c>
      <c r="U47" s="947">
        <f>(T47/P47-1)*100</f>
        <v>1.6925638179800195</v>
      </c>
      <c r="V47" s="946">
        <f>V23</f>
        <v>4.2807221898660375</v>
      </c>
      <c r="X47" s="781">
        <f>X11+X17+X23+X29-X35-X41</f>
        <v>3729</v>
      </c>
      <c r="Y47" s="947">
        <f>(X47/T47-1)*100</f>
        <v>1.7462482946793978</v>
      </c>
      <c r="Z47" s="946">
        <f>Z23</f>
        <v>1.1728567439262871</v>
      </c>
      <c r="AB47" s="781">
        <f>AB11+AB17+AB23+AB29-AB35-AB41</f>
        <v>2980</v>
      </c>
      <c r="AC47" s="947">
        <f>(AB47/X47-1)*100</f>
        <v>-20.085813891123628</v>
      </c>
      <c r="AD47" s="946">
        <f>AD23</f>
        <v>65.470604471432509</v>
      </c>
      <c r="AF47" s="781">
        <f>AF11+AF17+AF23+AF29-AF35-AF41</f>
        <v>1159</v>
      </c>
      <c r="AG47" s="945">
        <f>(AF47/AB47-1)*100</f>
        <v>-61.107382550335565</v>
      </c>
      <c r="AH47" s="946">
        <f>AH23</f>
        <v>-1.7180984153461254</v>
      </c>
      <c r="AJ47" s="781">
        <f>AJ11+AJ17+AJ23+AJ29-AJ35-AJ41</f>
        <v>1291</v>
      </c>
      <c r="AK47" s="947">
        <f>(AJ47/AF47-1)*100</f>
        <v>11.38912855910268</v>
      </c>
      <c r="AL47" s="946">
        <f>AL23</f>
        <v>-2.9531568228105876</v>
      </c>
      <c r="AN47" s="781">
        <f>AN11+AN17+AN23+AN29-AN35-AN41</f>
        <v>1309</v>
      </c>
      <c r="AO47" s="947">
        <f>(AN47/AJ47-1)*100</f>
        <v>1.3942680092951187</v>
      </c>
      <c r="AP47" s="946">
        <f>AP23</f>
        <v>-7.5725778244141289</v>
      </c>
      <c r="AR47" s="781">
        <f>AR11+AR17+AR23+AR29-AR35-AR41</f>
        <v>1074</v>
      </c>
      <c r="AS47" s="947">
        <f>(AR47/AN47-1)*100</f>
        <v>-17.952635599694421</v>
      </c>
      <c r="AT47" s="946">
        <f>AT23</f>
        <v>4.7682119205298079</v>
      </c>
      <c r="AV47" s="781">
        <f>AV11+AV17+AV23+AV29-AV35-AV41</f>
        <v>1103</v>
      </c>
      <c r="AW47" s="947">
        <f>(AV47/AR47-1)*100</f>
        <v>2.7001862197392867</v>
      </c>
      <c r="AX47" s="946">
        <f>AX23</f>
        <v>7.2602492324363332</v>
      </c>
      <c r="AZ47" s="781">
        <f>AZ11+AZ17+AZ23+AZ29-AZ35-AZ41</f>
        <v>1241</v>
      </c>
      <c r="BA47" s="947">
        <f>(AV47/AZ47-1)*100</f>
        <v>-11.120064464141821</v>
      </c>
      <c r="BB47" s="946">
        <f>BB23</f>
        <v>3.0139754167368249</v>
      </c>
      <c r="BD47" s="781">
        <f>BD11+BD17+BD23+BD29-BD35-BD41</f>
        <v>1495</v>
      </c>
      <c r="BE47" s="947">
        <f>(BD47/AZ47-1)*100</f>
        <v>20.467365028203055</v>
      </c>
      <c r="BF47" s="946">
        <f>BF41</f>
        <v>-0.84995096436744078</v>
      </c>
      <c r="BH47" s="781">
        <f>BH11+BH17+BH23+BH29-BH35-BH41</f>
        <v>1634</v>
      </c>
      <c r="BI47" s="947">
        <f>(BH47/BD47-1)*100</f>
        <v>9.2976588628762578</v>
      </c>
      <c r="BJ47" s="946">
        <f>BJ41</f>
        <v>3.3135509396637008</v>
      </c>
      <c r="BL47" s="781">
        <f>BL11+BL17+BL23+BL29-BL35-BL41</f>
        <v>1858</v>
      </c>
      <c r="BM47" s="947">
        <f>(BL47/BH47-1)*100</f>
        <v>13.708690330477346</v>
      </c>
      <c r="BN47" s="946">
        <f>BN41</f>
        <v>-2.6009254826870887</v>
      </c>
      <c r="BP47" s="781">
        <f>BP11+BP17+BP23+BP29-BP35-BP41</f>
        <v>1802</v>
      </c>
      <c r="BQ47" s="947">
        <f>(BP47/BL47-1)*100</f>
        <v>-3.0139935414424057</v>
      </c>
      <c r="BR47" s="946">
        <f>BR41</f>
        <v>-2.2280471821756187</v>
      </c>
      <c r="BT47" s="781">
        <f>BT11+BT17+BT23+BT29-BT35-BT41</f>
        <v>1180</v>
      </c>
      <c r="BU47" s="947">
        <f>(BT47/BP47-1)*100</f>
        <v>-34.517203107658155</v>
      </c>
      <c r="BV47" s="946">
        <f>BV41</f>
        <v>-5.5797587131367283</v>
      </c>
      <c r="BX47" s="1096"/>
      <c r="BY47" s="1310"/>
      <c r="BZ47" s="1311"/>
    </row>
    <row r="48" spans="1:78" x14ac:dyDescent="0.2">
      <c r="A48" s="185" t="s">
        <v>97</v>
      </c>
      <c r="B48" s="185" t="s">
        <v>81</v>
      </c>
      <c r="D48" s="781"/>
      <c r="E48" s="945"/>
      <c r="F48" s="946"/>
      <c r="H48" s="781">
        <f>H12+H18+H24+H30-H36-H42</f>
        <v>3595</v>
      </c>
      <c r="I48" s="947"/>
      <c r="J48" s="946">
        <f>J24</f>
        <v>-8.1173982020095181</v>
      </c>
      <c r="L48" s="781">
        <f>L12+L18+L24+L30-L36-L42</f>
        <v>4096</v>
      </c>
      <c r="M48" s="947">
        <f>(L48/H48-1)*100</f>
        <v>13.936022253129355</v>
      </c>
      <c r="N48" s="946">
        <f>N24</f>
        <v>0.11510791366906581</v>
      </c>
      <c r="P48" s="781">
        <f>P12+P18+P24+P30-P36-P42</f>
        <v>3907</v>
      </c>
      <c r="Q48" s="947">
        <f>(P48/L48-1)*100</f>
        <v>-4.6142578125</v>
      </c>
      <c r="R48" s="946">
        <f>R24</f>
        <v>0.2012072434607548</v>
      </c>
      <c r="T48" s="781">
        <f>T12+T18+T24+T30-T36-T42</f>
        <v>3992</v>
      </c>
      <c r="U48" s="947">
        <f>(T48/P48-1)*100</f>
        <v>2.1755822882006726</v>
      </c>
      <c r="V48" s="946">
        <f>V24</f>
        <v>1.1187607573149849</v>
      </c>
      <c r="X48" s="781">
        <f>X12+X18+X24+X30-X36-X42</f>
        <v>5187</v>
      </c>
      <c r="Y48" s="947">
        <f>(X48/T48-1)*100</f>
        <v>29.934869739478962</v>
      </c>
      <c r="Z48" s="946">
        <f>Z24</f>
        <v>57.588652482269495</v>
      </c>
      <c r="AB48" s="781">
        <f>AB12+AB18+AB24+AB30-AB36-AB42</f>
        <v>1896</v>
      </c>
      <c r="AC48" s="947">
        <f>(AB48/X48-1)*100</f>
        <v>-63.447079236552931</v>
      </c>
      <c r="AD48" s="946">
        <f>AD24</f>
        <v>5.9585958595859578</v>
      </c>
      <c r="AF48" s="781">
        <f>AF12+AF18+AF24+AF30-AF36-AF42</f>
        <v>1452</v>
      </c>
      <c r="AG48" s="945">
        <f>(AF48/AB48-1)*100</f>
        <v>-23.417721518987346</v>
      </c>
      <c r="AH48" s="946">
        <f>AH24</f>
        <v>0.3397893306150257</v>
      </c>
      <c r="AJ48" s="781">
        <f>AJ12+AJ18+AJ24+AJ30-AJ36-AJ42</f>
        <v>1638</v>
      </c>
      <c r="AK48" s="947">
        <f>(AJ48/AF48-1)*100</f>
        <v>12.809917355371891</v>
      </c>
      <c r="AL48" s="946">
        <f>AL24</f>
        <v>-6.9928885878767328</v>
      </c>
      <c r="AN48" s="781">
        <f>AN12+AN18+AN24+AN30-AN36-AN42</f>
        <v>1306</v>
      </c>
      <c r="AO48" s="947">
        <f>(AN48/AJ48-1)*100</f>
        <v>-20.268620268620264</v>
      </c>
      <c r="AP48" s="946">
        <f>AP24</f>
        <v>-1.9661387220098359</v>
      </c>
      <c r="AR48" s="781">
        <f>AR12+AR18+AR24+AR30-AR36-AR42</f>
        <v>1237</v>
      </c>
      <c r="AS48" s="947">
        <f>(AR48/AN48-1)*100</f>
        <v>-5.2833078101071962</v>
      </c>
      <c r="AT48" s="946">
        <f>AT24</f>
        <v>4.4196843082636939</v>
      </c>
      <c r="AV48" s="781">
        <f>AV12+AV18+AV24+AV30-AV36-AV42</f>
        <v>1449</v>
      </c>
      <c r="AW48" s="947">
        <f>(AV48/AR48-1)*100</f>
        <v>17.13823767178657</v>
      </c>
      <c r="AX48" s="946">
        <f>AX24</f>
        <v>4.0903432331495626</v>
      </c>
      <c r="AZ48" s="781">
        <f>AZ12+AZ18+AZ24+AZ30-AZ36-AZ42</f>
        <v>1338</v>
      </c>
      <c r="BA48" s="947">
        <f>(AV48/AZ48-1)*100</f>
        <v>8.2959641255605288</v>
      </c>
      <c r="BB48" s="946">
        <f>BB24</f>
        <v>3.7929267042542181</v>
      </c>
      <c r="BD48" s="781">
        <f>BD12+BD18+BD24+BD30-BD36-BD42</f>
        <v>1668</v>
      </c>
      <c r="BE48" s="947">
        <f>(BD48/AZ48-1)*100</f>
        <v>24.663677130044846</v>
      </c>
      <c r="BF48" s="946">
        <f>BF42</f>
        <v>3.308641975308646</v>
      </c>
      <c r="BH48" s="781">
        <f>BH12+BH18+BH24+BH30-BH36-BH42</f>
        <v>1618</v>
      </c>
      <c r="BI48" s="947">
        <f>(BH48/BD48-1)*100</f>
        <v>-2.9976019184652314</v>
      </c>
      <c r="BJ48" s="946">
        <f>BJ42</f>
        <v>-1.2906309751434031</v>
      </c>
      <c r="BL48" s="781">
        <f>BL12+BL18+BL24+BL30-BL36-BL42</f>
        <v>1825</v>
      </c>
      <c r="BM48" s="947">
        <f>(BL48/BH48-1)*100</f>
        <v>12.793572311495671</v>
      </c>
      <c r="BN48" s="946">
        <f>BN42</f>
        <v>-5.1815980629539959</v>
      </c>
      <c r="BP48" s="781">
        <f>BP12+BP18+BP24+BP30-BP36-BP42</f>
        <v>1998</v>
      </c>
      <c r="BQ48" s="947">
        <f>(BP48/BL48-1)*100</f>
        <v>9.4794520547945247</v>
      </c>
      <c r="BR48" s="946">
        <f>BR42</f>
        <v>-4.0687776642832851</v>
      </c>
      <c r="BT48" s="781">
        <f>BT12+BT18+BT24+BT30-BT36-BT42</f>
        <v>1347</v>
      </c>
      <c r="BU48" s="947">
        <f>(BT48/BP48-1)*100</f>
        <v>-32.582582582582589</v>
      </c>
      <c r="BV48" s="946">
        <f>BV42</f>
        <v>-6.1756876663708997</v>
      </c>
      <c r="BX48" s="1096"/>
      <c r="BY48" s="1310"/>
      <c r="BZ48" s="1311"/>
    </row>
    <row r="49" spans="1:78" x14ac:dyDescent="0.2">
      <c r="A49" s="185" t="s">
        <v>98</v>
      </c>
      <c r="B49" s="185" t="s">
        <v>82</v>
      </c>
      <c r="D49" s="781">
        <f>D13+D19+D25+D31-D37-D43</f>
        <v>4735</v>
      </c>
      <c r="E49" s="945" t="s">
        <v>86</v>
      </c>
      <c r="F49" s="946">
        <f>F25</f>
        <v>-6.1778001004520355</v>
      </c>
      <c r="H49" s="781">
        <f>H13+H19+H25+H31-H37-H43</f>
        <v>5010</v>
      </c>
      <c r="I49" s="947">
        <f>(H49/D49-1)*100</f>
        <v>5.8078141499471991</v>
      </c>
      <c r="J49" s="946">
        <f>J25</f>
        <v>-8.4225553176302643</v>
      </c>
      <c r="L49" s="781">
        <f>L13+L19+L25+L31-L37-L43</f>
        <v>3783</v>
      </c>
      <c r="M49" s="947">
        <f>(L49/H49-1)*100</f>
        <v>-24.491017964071858</v>
      </c>
      <c r="N49" s="946">
        <f>N25</f>
        <v>-2.2408417770849565</v>
      </c>
      <c r="P49" s="781">
        <f>P13+P19+P25+P31-P37-P43</f>
        <v>3552</v>
      </c>
      <c r="Q49" s="947">
        <f>(P49/L49-1)*100</f>
        <v>-6.1062648691514676</v>
      </c>
      <c r="R49" s="946">
        <f>R25</f>
        <v>0.71756029499701057</v>
      </c>
      <c r="T49" s="781">
        <f>T13+T19+T25+T31-T37-T43</f>
        <v>3583</v>
      </c>
      <c r="U49" s="947">
        <f>(T49/P49-1)*100</f>
        <v>0.87274774774774855</v>
      </c>
      <c r="V49" s="946">
        <f>V25</f>
        <v>1.3259449831783066</v>
      </c>
      <c r="X49" s="781">
        <f>X13+X19+X25+X31-X37-X43</f>
        <v>4094</v>
      </c>
      <c r="Y49" s="947">
        <f>(X49/T49-1)*100</f>
        <v>14.261791794585532</v>
      </c>
      <c r="Z49" s="946">
        <f>Z25</f>
        <v>86.93359375</v>
      </c>
      <c r="AB49" s="781">
        <f>AB13+AB19+AB25+AB31-AB37-AB43</f>
        <v>814</v>
      </c>
      <c r="AC49" s="947">
        <f>(AB49/X49-1)*100</f>
        <v>-80.117244748412304</v>
      </c>
      <c r="AD49" s="946">
        <f>AD25</f>
        <v>-4.3046703583742518</v>
      </c>
      <c r="AF49" s="781">
        <f>AF13+AF19+AF25+AF31-AF37-AF43</f>
        <v>1047</v>
      </c>
      <c r="AG49" s="945">
        <f>(AF49/AB49-1)*100</f>
        <v>28.624078624078631</v>
      </c>
      <c r="AH49" s="946">
        <f>AH25</f>
        <v>-6.1687957200567745</v>
      </c>
      <c r="AJ49" s="781">
        <f>AJ13+AJ19+AJ25+AJ31-AJ37-AJ43</f>
        <v>1274</v>
      </c>
      <c r="AK49" s="947">
        <f>(AJ49/AF49-1)*100</f>
        <v>21.680993314231145</v>
      </c>
      <c r="AL49" s="946">
        <f>AL25</f>
        <v>-7.6797765883174325</v>
      </c>
      <c r="AN49" s="781">
        <f>AN13+AN19+AN25+AN31-AN37-AN43</f>
        <v>976</v>
      </c>
      <c r="AO49" s="947">
        <f>(AN49/AJ49-1)*100</f>
        <v>-23.390894819466247</v>
      </c>
      <c r="AP49" s="946">
        <f>AP25</f>
        <v>3.7811948575749987E-2</v>
      </c>
      <c r="AR49" s="781">
        <f>AR13+AR19+AR25+AR31-AR37-AR43</f>
        <v>824</v>
      </c>
      <c r="AS49" s="947">
        <f>(AR49/AN49-1)*100</f>
        <v>-15.573770491803273</v>
      </c>
      <c r="AT49" s="946">
        <f>AT25</f>
        <v>4.182940657679235</v>
      </c>
      <c r="AV49" s="781">
        <f>AV13+AV19+AV25+AV31-AV37-AV43</f>
        <v>790</v>
      </c>
      <c r="AW49" s="947">
        <f>(AV49/AR49-1)*100</f>
        <v>-4.1262135922330074</v>
      </c>
      <c r="AX49" s="946">
        <f>AX25</f>
        <v>5.5024791389527206</v>
      </c>
      <c r="AZ49" s="781">
        <f>AZ13+AZ19+AZ25+AZ31-AZ37-AZ43</f>
        <v>1089</v>
      </c>
      <c r="BA49" s="947">
        <f>(AV49/AZ49-1)*100</f>
        <v>-27.456382001836545</v>
      </c>
      <c r="BB49" s="946">
        <f>BB25</f>
        <v>7.175607519486471</v>
      </c>
      <c r="BD49" s="781">
        <f>BD13+BD19+BD25+BD31-BD37-BD43</f>
        <v>1152</v>
      </c>
      <c r="BE49" s="947">
        <f>(BD49/AZ49-1)*100</f>
        <v>5.7851239669421517</v>
      </c>
      <c r="BF49" s="946">
        <f>BF43</f>
        <v>-1.582887700534763</v>
      </c>
      <c r="BH49" s="781">
        <f>BH13+BH19+BH25+BH31-BH37-BH43</f>
        <v>874</v>
      </c>
      <c r="BI49" s="947">
        <f>(BH49/BD49-1)*100</f>
        <v>-24.131944444444443</v>
      </c>
      <c r="BJ49" s="946">
        <f>BJ43</f>
        <v>1.7604868506846394</v>
      </c>
      <c r="BL49" s="781">
        <f>BL13+BL19+BL25+BL31-BL37-BL43</f>
        <v>1457</v>
      </c>
      <c r="BM49" s="947">
        <f>(BL49/BH49-1)*100</f>
        <v>66.704805491990854</v>
      </c>
      <c r="BN49" s="946">
        <f>BN43</f>
        <v>-5.2862024775736867</v>
      </c>
      <c r="BP49" s="781">
        <f>BP13+BP19+BP25+BP31-BP37-BP43</f>
        <v>991</v>
      </c>
      <c r="BQ49" s="947">
        <f>(BP49/BL49-1)*100</f>
        <v>-31.983527796842825</v>
      </c>
      <c r="BR49" s="946">
        <f>BR43</f>
        <v>-3.7884767166535105</v>
      </c>
      <c r="BT49" s="781">
        <f>BT13+BT19+BT25+BT31-BT37-BT43</f>
        <v>936</v>
      </c>
      <c r="BU49" s="947">
        <f>(BT49/BP49-1)*100</f>
        <v>-5.5499495459132238</v>
      </c>
      <c r="BV49" s="946">
        <f>BV43</f>
        <v>1.6172506738544534</v>
      </c>
      <c r="BX49" s="1096"/>
      <c r="BY49" s="1310"/>
      <c r="BZ49" s="1311"/>
    </row>
    <row r="50" spans="1:78" x14ac:dyDescent="0.2">
      <c r="D50" s="386"/>
      <c r="H50" s="386"/>
      <c r="L50" s="386"/>
      <c r="M50" s="951"/>
      <c r="N50" s="952"/>
      <c r="O50" s="952"/>
      <c r="P50" s="386"/>
      <c r="Q50" s="951"/>
      <c r="R50" s="952"/>
      <c r="S50" s="952"/>
      <c r="T50" s="386"/>
      <c r="U50" s="951"/>
      <c r="V50" s="952"/>
      <c r="W50" s="952"/>
      <c r="X50" s="386"/>
      <c r="Y50" s="951"/>
      <c r="Z50" s="952"/>
      <c r="AA50" s="952"/>
      <c r="AB50" s="386"/>
      <c r="AC50" s="951"/>
      <c r="AD50" s="952"/>
      <c r="AE50" s="952"/>
      <c r="AF50" s="386"/>
      <c r="AG50" s="952"/>
      <c r="AH50" s="952"/>
      <c r="AI50" s="952"/>
      <c r="AJ50" s="386"/>
      <c r="AK50" s="951"/>
      <c r="AL50" s="952"/>
      <c r="AM50" s="952"/>
      <c r="AN50" s="386"/>
      <c r="AO50" s="951"/>
      <c r="AP50" s="952"/>
      <c r="AQ50" s="952"/>
      <c r="AR50" s="386"/>
      <c r="AS50" s="951"/>
      <c r="AT50" s="952"/>
      <c r="AU50" s="952"/>
      <c r="AV50" s="386"/>
      <c r="AW50" s="951"/>
      <c r="AX50" s="952"/>
      <c r="AY50" s="952"/>
      <c r="AZ50" s="952"/>
      <c r="BA50" s="951"/>
      <c r="BB50" s="952"/>
      <c r="BC50" s="952"/>
      <c r="BD50" s="952"/>
      <c r="BE50" s="951"/>
      <c r="BF50" s="952"/>
      <c r="BG50" s="952"/>
      <c r="BH50" s="952"/>
      <c r="BI50" s="947"/>
      <c r="BJ50" s="952"/>
      <c r="BK50" s="952"/>
      <c r="BL50" s="952"/>
      <c r="BM50" s="951"/>
      <c r="BN50" s="952"/>
      <c r="BO50" s="952"/>
      <c r="BP50" s="952"/>
      <c r="BQ50" s="951"/>
      <c r="BR50" s="952"/>
      <c r="BS50" s="952"/>
      <c r="BT50" s="952"/>
      <c r="BU50" s="951"/>
      <c r="BV50" s="952"/>
      <c r="BW50" s="952"/>
      <c r="BX50" s="1319"/>
      <c r="BY50" s="1320"/>
      <c r="BZ50" s="1319"/>
    </row>
    <row r="51" spans="1:78" x14ac:dyDescent="0.2">
      <c r="A51" s="942" t="s">
        <v>101</v>
      </c>
      <c r="B51" s="627"/>
      <c r="C51" s="627"/>
      <c r="D51" s="720"/>
      <c r="E51" s="627"/>
      <c r="F51" s="627"/>
      <c r="G51" s="627"/>
      <c r="H51" s="720"/>
      <c r="I51" s="943"/>
      <c r="J51" s="627"/>
      <c r="K51" s="627"/>
      <c r="L51" s="720"/>
      <c r="M51" s="943"/>
      <c r="N51" s="627"/>
      <c r="O51" s="627"/>
      <c r="P51" s="720"/>
      <c r="Q51" s="943"/>
      <c r="R51" s="627"/>
      <c r="S51" s="627"/>
      <c r="T51" s="720"/>
      <c r="U51" s="943"/>
      <c r="V51" s="627"/>
      <c r="W51" s="627"/>
      <c r="X51" s="720"/>
      <c r="Y51" s="943"/>
      <c r="Z51" s="627"/>
      <c r="AA51" s="627"/>
      <c r="AB51" s="720"/>
      <c r="AC51" s="943"/>
      <c r="AD51" s="627"/>
      <c r="AE51" s="627"/>
      <c r="AF51" s="720"/>
      <c r="AG51" s="627"/>
      <c r="AH51" s="627"/>
      <c r="AI51" s="627"/>
      <c r="AJ51" s="720"/>
      <c r="AK51" s="943"/>
      <c r="AL51" s="627"/>
      <c r="AM51" s="627"/>
      <c r="AN51" s="720"/>
      <c r="AO51" s="943"/>
      <c r="AP51" s="627"/>
      <c r="AQ51" s="627"/>
      <c r="AR51" s="720"/>
      <c r="AS51" s="943"/>
      <c r="AT51" s="627"/>
      <c r="AU51" s="627"/>
      <c r="AV51" s="720"/>
      <c r="AW51" s="943"/>
      <c r="AX51" s="627"/>
      <c r="AY51" s="627"/>
      <c r="AZ51" s="627"/>
      <c r="BA51" s="943"/>
      <c r="BB51" s="627"/>
      <c r="BC51" s="627"/>
      <c r="BD51" s="627"/>
      <c r="BE51" s="943"/>
      <c r="BF51" s="627"/>
      <c r="BG51" s="627"/>
      <c r="BH51" s="627"/>
      <c r="BI51" s="943"/>
      <c r="BJ51" s="627"/>
      <c r="BK51" s="627"/>
      <c r="BL51" s="627"/>
      <c r="BM51" s="943"/>
      <c r="BN51" s="627"/>
      <c r="BO51" s="627"/>
      <c r="BP51" s="627"/>
      <c r="BQ51" s="943"/>
      <c r="BR51" s="627"/>
      <c r="BS51" s="627"/>
      <c r="BT51" s="627"/>
      <c r="BU51" s="943"/>
      <c r="BV51" s="627"/>
      <c r="BW51" s="627"/>
      <c r="BX51" s="1151"/>
      <c r="BY51" s="1309"/>
      <c r="BZ51" s="1151"/>
    </row>
    <row r="52" spans="1:78" x14ac:dyDescent="0.2">
      <c r="A52" s="185" t="s">
        <v>95</v>
      </c>
      <c r="B52" s="185" t="s">
        <v>79</v>
      </c>
      <c r="D52" s="953"/>
      <c r="H52" s="953"/>
      <c r="L52" s="781">
        <f>L46-H46</f>
        <v>-179</v>
      </c>
      <c r="M52" s="781"/>
      <c r="N52" s="781"/>
      <c r="O52" s="781"/>
      <c r="P52" s="781">
        <f>P46-L46</f>
        <v>535</v>
      </c>
      <c r="Q52" s="781"/>
      <c r="R52" s="781"/>
      <c r="S52" s="781"/>
      <c r="T52" s="781">
        <f>T46-P46</f>
        <v>45</v>
      </c>
      <c r="U52" s="781"/>
      <c r="V52" s="781"/>
      <c r="W52" s="781"/>
      <c r="X52" s="781">
        <f>X46-T46</f>
        <v>-41</v>
      </c>
      <c r="Y52" s="781"/>
      <c r="Z52" s="781"/>
      <c r="AA52" s="781"/>
      <c r="AB52" s="781">
        <f>AB46-X46</f>
        <v>910</v>
      </c>
      <c r="AC52" s="781"/>
      <c r="AD52" s="781"/>
      <c r="AE52" s="781"/>
      <c r="AF52" s="781">
        <f>AF46-AB46</f>
        <v>-3251</v>
      </c>
      <c r="AG52" s="781"/>
      <c r="AH52" s="781"/>
      <c r="AI52" s="781"/>
      <c r="AJ52" s="781">
        <f>AJ46-AF46</f>
        <v>-49</v>
      </c>
      <c r="AK52" s="781"/>
      <c r="AL52" s="781"/>
      <c r="AM52" s="781"/>
      <c r="AN52" s="781">
        <f>AN46-AJ46</f>
        <v>220</v>
      </c>
      <c r="AO52" s="781"/>
      <c r="AP52" s="781"/>
      <c r="AQ52" s="781"/>
      <c r="AR52" s="781">
        <f>AR46-AN46</f>
        <v>-551</v>
      </c>
      <c r="AS52" s="781"/>
      <c r="AT52" s="781"/>
      <c r="AU52" s="781"/>
      <c r="AV52" s="781">
        <f>AV46-AR46</f>
        <v>44</v>
      </c>
      <c r="AW52" s="781"/>
      <c r="AX52" s="781"/>
      <c r="AY52" s="781"/>
      <c r="AZ52" s="781">
        <f>AZ46-AV46</f>
        <v>-39</v>
      </c>
      <c r="BC52" s="781"/>
      <c r="BD52" s="781">
        <f>BD46-AZ46</f>
        <v>242</v>
      </c>
      <c r="BG52" s="781"/>
      <c r="BH52" s="781">
        <f>BH46-BD46</f>
        <v>232</v>
      </c>
      <c r="BK52" s="781"/>
      <c r="BL52" s="781">
        <f>BL46-BH46</f>
        <v>-112</v>
      </c>
      <c r="BO52" s="781"/>
      <c r="BP52" s="781">
        <f>BP46-BL46</f>
        <v>504</v>
      </c>
      <c r="BS52" s="781"/>
      <c r="BT52" s="781">
        <f>BT46-BP46</f>
        <v>-842</v>
      </c>
      <c r="BW52" s="781"/>
      <c r="BX52" s="1096"/>
    </row>
    <row r="53" spans="1:78" x14ac:dyDescent="0.2">
      <c r="A53" s="185" t="s">
        <v>96</v>
      </c>
      <c r="B53" s="185" t="s">
        <v>80</v>
      </c>
      <c r="D53" s="953"/>
      <c r="H53" s="953"/>
      <c r="L53" s="781">
        <f>L47-H47</f>
        <v>393</v>
      </c>
      <c r="M53" s="781"/>
      <c r="N53" s="781"/>
      <c r="O53" s="781"/>
      <c r="P53" s="781">
        <f>P47-L47</f>
        <v>-107</v>
      </c>
      <c r="Q53" s="781"/>
      <c r="R53" s="781"/>
      <c r="S53" s="781"/>
      <c r="T53" s="781">
        <f>T47-P47</f>
        <v>61</v>
      </c>
      <c r="U53" s="781"/>
      <c r="V53" s="781"/>
      <c r="W53" s="781"/>
      <c r="X53" s="781">
        <f>X47-T47</f>
        <v>64</v>
      </c>
      <c r="Y53" s="781"/>
      <c r="Z53" s="781"/>
      <c r="AA53" s="781"/>
      <c r="AB53" s="781">
        <f>AB47-X47</f>
        <v>-749</v>
      </c>
      <c r="AC53" s="781"/>
      <c r="AD53" s="781"/>
      <c r="AE53" s="781"/>
      <c r="AF53" s="781">
        <f>AF47-AB47</f>
        <v>-1821</v>
      </c>
      <c r="AG53" s="781"/>
      <c r="AH53" s="781"/>
      <c r="AI53" s="781"/>
      <c r="AJ53" s="781">
        <f>AJ47-AF47</f>
        <v>132</v>
      </c>
      <c r="AK53" s="781"/>
      <c r="AL53" s="781"/>
      <c r="AM53" s="781"/>
      <c r="AN53" s="781">
        <f>AN47-AJ47</f>
        <v>18</v>
      </c>
      <c r="AO53" s="781"/>
      <c r="AP53" s="781"/>
      <c r="AQ53" s="781"/>
      <c r="AR53" s="781">
        <f>AR47-AN47</f>
        <v>-235</v>
      </c>
      <c r="AS53" s="781"/>
      <c r="AT53" s="781"/>
      <c r="AU53" s="781"/>
      <c r="AV53" s="781">
        <f>AV47-AR47</f>
        <v>29</v>
      </c>
      <c r="AW53" s="781"/>
      <c r="AX53" s="781"/>
      <c r="AY53" s="781"/>
      <c r="AZ53" s="781">
        <f>AZ47-AV47</f>
        <v>138</v>
      </c>
      <c r="BC53" s="781"/>
      <c r="BD53" s="781">
        <f>BD47-AZ47</f>
        <v>254</v>
      </c>
      <c r="BG53" s="781"/>
      <c r="BH53" s="781">
        <f>BH47-BD47</f>
        <v>139</v>
      </c>
      <c r="BK53" s="781"/>
      <c r="BL53" s="781">
        <f>BL47-BH47</f>
        <v>224</v>
      </c>
      <c r="BO53" s="781"/>
      <c r="BP53" s="781">
        <f>BP47-BL47</f>
        <v>-56</v>
      </c>
      <c r="BS53" s="781"/>
      <c r="BT53" s="781">
        <f>BT47-BP47</f>
        <v>-622</v>
      </c>
      <c r="BW53" s="781"/>
      <c r="BX53" s="1096"/>
    </row>
    <row r="54" spans="1:78" x14ac:dyDescent="0.2">
      <c r="A54" s="185" t="s">
        <v>97</v>
      </c>
      <c r="B54" s="185" t="s">
        <v>81</v>
      </c>
      <c r="D54" s="953"/>
      <c r="H54" s="953"/>
      <c r="L54" s="781">
        <f>L48-H48</f>
        <v>501</v>
      </c>
      <c r="M54" s="781"/>
      <c r="N54" s="781"/>
      <c r="O54" s="781"/>
      <c r="P54" s="781">
        <f>P48-L48</f>
        <v>-189</v>
      </c>
      <c r="Q54" s="781"/>
      <c r="R54" s="781"/>
      <c r="S54" s="781"/>
      <c r="T54" s="781">
        <f>T48-P48</f>
        <v>85</v>
      </c>
      <c r="U54" s="781"/>
      <c r="V54" s="781"/>
      <c r="W54" s="781"/>
      <c r="X54" s="781">
        <f>X48-T48</f>
        <v>1195</v>
      </c>
      <c r="Y54" s="781"/>
      <c r="Z54" s="781"/>
      <c r="AA54" s="781"/>
      <c r="AB54" s="781">
        <f>AB48-X48</f>
        <v>-3291</v>
      </c>
      <c r="AC54" s="781"/>
      <c r="AD54" s="781"/>
      <c r="AE54" s="781"/>
      <c r="AF54" s="781">
        <f>AF48-AB48</f>
        <v>-444</v>
      </c>
      <c r="AG54" s="781"/>
      <c r="AH54" s="781"/>
      <c r="AI54" s="781"/>
      <c r="AJ54" s="781">
        <f>AJ48-AF48</f>
        <v>186</v>
      </c>
      <c r="AK54" s="781"/>
      <c r="AL54" s="781"/>
      <c r="AM54" s="781"/>
      <c r="AN54" s="781">
        <f>AN48-AJ48</f>
        <v>-332</v>
      </c>
      <c r="AO54" s="781"/>
      <c r="AP54" s="781"/>
      <c r="AQ54" s="781"/>
      <c r="AR54" s="781">
        <f>AR48-AN48</f>
        <v>-69</v>
      </c>
      <c r="AS54" s="781"/>
      <c r="AT54" s="781"/>
      <c r="AU54" s="781"/>
      <c r="AV54" s="781">
        <f>AV48-AR48</f>
        <v>212</v>
      </c>
      <c r="AW54" s="781"/>
      <c r="AX54" s="781"/>
      <c r="AY54" s="781"/>
      <c r="AZ54" s="781">
        <f>AZ48-AV48</f>
        <v>-111</v>
      </c>
      <c r="BC54" s="781"/>
      <c r="BD54" s="781">
        <f>BD48-AZ48</f>
        <v>330</v>
      </c>
      <c r="BG54" s="781"/>
      <c r="BH54" s="781">
        <f>BH48-BD48</f>
        <v>-50</v>
      </c>
      <c r="BK54" s="781"/>
      <c r="BL54" s="781">
        <f>BL48-BH48</f>
        <v>207</v>
      </c>
      <c r="BO54" s="781"/>
      <c r="BP54" s="781">
        <f>BP48-BL48</f>
        <v>173</v>
      </c>
      <c r="BS54" s="781"/>
      <c r="BT54" s="781">
        <f>BT48-BP48</f>
        <v>-651</v>
      </c>
      <c r="BW54" s="781"/>
      <c r="BX54" s="1096"/>
    </row>
    <row r="55" spans="1:78" x14ac:dyDescent="0.2">
      <c r="A55" s="185" t="s">
        <v>98</v>
      </c>
      <c r="B55" s="185" t="s">
        <v>82</v>
      </c>
      <c r="D55" s="953"/>
      <c r="H55" s="944">
        <f>H49-D49</f>
        <v>275</v>
      </c>
      <c r="L55" s="781">
        <f>L49-H49</f>
        <v>-1227</v>
      </c>
      <c r="M55" s="781"/>
      <c r="N55" s="781"/>
      <c r="O55" s="781"/>
      <c r="P55" s="781">
        <f>P49-L49</f>
        <v>-231</v>
      </c>
      <c r="Q55" s="781"/>
      <c r="R55" s="781"/>
      <c r="S55" s="781"/>
      <c r="T55" s="781">
        <f>T49-P49</f>
        <v>31</v>
      </c>
      <c r="U55" s="781"/>
      <c r="V55" s="781"/>
      <c r="W55" s="781"/>
      <c r="X55" s="781">
        <f>X49-T49</f>
        <v>511</v>
      </c>
      <c r="Y55" s="781"/>
      <c r="Z55" s="781"/>
      <c r="AA55" s="781"/>
      <c r="AB55" s="781">
        <f>AB49-X49</f>
        <v>-3280</v>
      </c>
      <c r="AC55" s="781"/>
      <c r="AD55" s="781"/>
      <c r="AE55" s="781"/>
      <c r="AF55" s="781">
        <f>AF49-AB49</f>
        <v>233</v>
      </c>
      <c r="AG55" s="781"/>
      <c r="AH55" s="781"/>
      <c r="AI55" s="781"/>
      <c r="AJ55" s="781">
        <f>AJ49-AF49</f>
        <v>227</v>
      </c>
      <c r="AK55" s="781"/>
      <c r="AL55" s="781"/>
      <c r="AM55" s="781"/>
      <c r="AN55" s="781">
        <f>AN49-AJ49</f>
        <v>-298</v>
      </c>
      <c r="AO55" s="781"/>
      <c r="AP55" s="781"/>
      <c r="AQ55" s="781"/>
      <c r="AR55" s="781">
        <f>AR49-AN49</f>
        <v>-152</v>
      </c>
      <c r="AS55" s="781"/>
      <c r="AT55" s="781"/>
      <c r="AU55" s="781"/>
      <c r="AV55" s="781">
        <f>AV49-AR49</f>
        <v>-34</v>
      </c>
      <c r="AW55" s="781"/>
      <c r="AX55" s="781"/>
      <c r="AY55" s="781"/>
      <c r="AZ55" s="781">
        <f>AZ49-AV49</f>
        <v>299</v>
      </c>
      <c r="BC55" s="781"/>
      <c r="BD55" s="781">
        <f>BD49-AZ49</f>
        <v>63</v>
      </c>
      <c r="BG55" s="781"/>
      <c r="BH55" s="781">
        <f>BH49-BD49</f>
        <v>-278</v>
      </c>
      <c r="BK55" s="781"/>
      <c r="BL55" s="781">
        <f>BL49-BH49</f>
        <v>583</v>
      </c>
      <c r="BO55" s="781"/>
      <c r="BP55" s="781">
        <f>BP49-BL49</f>
        <v>-466</v>
      </c>
      <c r="BS55" s="781"/>
      <c r="BT55" s="781">
        <f>BT49-BP49</f>
        <v>-55</v>
      </c>
      <c r="BW55" s="781"/>
      <c r="BX55" s="1096"/>
    </row>
    <row r="56" spans="1:78" x14ac:dyDescent="0.2">
      <c r="D56" s="488"/>
      <c r="H56" s="488"/>
      <c r="L56" s="488"/>
      <c r="P56" s="488"/>
      <c r="T56" s="488"/>
      <c r="X56" s="488"/>
      <c r="AB56" s="488"/>
      <c r="AF56" s="488"/>
      <c r="AJ56" s="488"/>
      <c r="AN56" s="488"/>
      <c r="AR56" s="488"/>
      <c r="AV56" s="488"/>
    </row>
    <row r="57" spans="1:78" x14ac:dyDescent="0.2">
      <c r="A57" s="384" t="s">
        <v>78</v>
      </c>
      <c r="D57" s="488"/>
      <c r="H57" s="488"/>
      <c r="L57" s="488"/>
      <c r="P57" s="488"/>
      <c r="T57" s="488"/>
      <c r="X57" s="488"/>
      <c r="AB57" s="488"/>
      <c r="AF57" s="488"/>
      <c r="AJ57" s="488"/>
      <c r="AN57" s="488"/>
      <c r="AR57" s="488"/>
      <c r="AV57" s="488"/>
    </row>
  </sheetData>
  <mergeCells count="1">
    <mergeCell ref="CC9:CE9"/>
  </mergeCells>
  <phoneticPr fontId="10" type="noConversion"/>
  <pageMargins left="0.75" right="0.75" top="1" bottom="1" header="0.5" footer="0.5"/>
  <pageSetup scale="62" orientation="landscape" horizontalDpi="300" verticalDpi="300"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AM136"/>
  <sheetViews>
    <sheetView showGridLines="0" zoomScale="85" zoomScaleNormal="85" workbookViewId="0">
      <selection activeCell="A2" sqref="A2"/>
    </sheetView>
  </sheetViews>
  <sheetFormatPr defaultRowHeight="12.75" outlineLevelRow="1" x14ac:dyDescent="0.2"/>
  <cols>
    <col min="1" max="1" width="2.85546875" style="185" customWidth="1"/>
    <col min="2" max="2" width="6.42578125" style="185" customWidth="1"/>
    <col min="3" max="3" width="2.140625" style="185" customWidth="1"/>
    <col min="4" max="4" width="8.140625" style="185" customWidth="1"/>
    <col min="5" max="5" width="2.140625" style="185" customWidth="1"/>
    <col min="6" max="6" width="9" style="185" customWidth="1"/>
    <col min="7" max="7" width="2.140625" style="185" customWidth="1"/>
    <col min="8" max="8" width="8.7109375" style="185" customWidth="1"/>
    <col min="9" max="9" width="2.140625" style="185" customWidth="1"/>
    <col min="10" max="10" width="8.140625" style="185" customWidth="1"/>
    <col min="11" max="11" width="2.140625" style="185" customWidth="1"/>
    <col min="12" max="12" width="8.28515625" style="185" customWidth="1"/>
    <col min="13" max="13" width="2.140625" style="185" customWidth="1"/>
    <col min="14" max="14" width="8.140625" style="185" customWidth="1"/>
    <col min="15" max="15" width="2.140625" style="185" customWidth="1"/>
    <col min="16" max="16" width="8" style="185" customWidth="1"/>
    <col min="17" max="17" width="2.140625" style="185" customWidth="1"/>
    <col min="18" max="18" width="8.5703125" style="185" customWidth="1"/>
    <col min="19" max="19" width="2.140625" style="185" customWidth="1"/>
    <col min="20" max="20" width="8.7109375" style="185" customWidth="1"/>
    <col min="21" max="21" width="2.140625" style="185" customWidth="1"/>
    <col min="22" max="22" width="8.140625" style="185" customWidth="1"/>
    <col min="23" max="23" width="2.140625" style="185" customWidth="1"/>
    <col min="24" max="24" width="8.140625" style="185" customWidth="1"/>
    <col min="25" max="25" width="2" style="185" customWidth="1"/>
    <col min="26" max="26" width="7.7109375" style="185" customWidth="1"/>
    <col min="27" max="27" width="1.85546875" style="185" customWidth="1"/>
    <col min="28" max="28" width="10.85546875" style="185" customWidth="1"/>
    <col min="29" max="29" width="1.5703125" style="185" customWidth="1"/>
    <col min="30" max="30" width="8.42578125" style="185" customWidth="1"/>
    <col min="31" max="31" width="2.140625" style="185" customWidth="1"/>
    <col min="32" max="32" width="7.28515625" style="185" customWidth="1"/>
    <col min="33" max="33" width="2.140625" style="185" customWidth="1"/>
    <col min="34" max="34" width="8.140625" style="185" customWidth="1"/>
    <col min="35" max="35" width="2.140625" style="185" customWidth="1"/>
    <col min="36" max="36" width="8.28515625" style="185" customWidth="1"/>
    <col min="37" max="37" width="6" style="185" customWidth="1"/>
    <col min="38" max="38" width="10" style="185" bestFit="1" customWidth="1"/>
    <col min="39" max="16384" width="9.140625" style="185"/>
  </cols>
  <sheetData>
    <row r="1" spans="1:39" x14ac:dyDescent="0.2">
      <c r="A1" s="281" t="s">
        <v>285</v>
      </c>
      <c r="B1" s="281"/>
      <c r="C1" s="281"/>
    </row>
    <row r="2" spans="1:39" x14ac:dyDescent="0.2">
      <c r="A2" s="283" t="s">
        <v>700</v>
      </c>
      <c r="B2" s="283"/>
      <c r="C2" s="283"/>
      <c r="D2" s="284"/>
      <c r="E2" s="284"/>
      <c r="F2" s="284"/>
      <c r="G2" s="284"/>
      <c r="H2" s="284"/>
      <c r="I2" s="284"/>
      <c r="J2" s="284"/>
      <c r="K2" s="284"/>
      <c r="L2" s="284"/>
      <c r="M2" s="284"/>
      <c r="N2" s="284"/>
      <c r="O2" s="284"/>
      <c r="P2" s="284"/>
      <c r="Q2" s="284"/>
      <c r="R2" s="284"/>
      <c r="S2" s="284"/>
      <c r="T2" s="284"/>
      <c r="U2" s="284"/>
      <c r="V2" s="284"/>
      <c r="W2" s="284"/>
      <c r="X2" s="284"/>
      <c r="Y2" s="284"/>
      <c r="Z2" s="284"/>
      <c r="AA2" s="284"/>
      <c r="AB2" s="284"/>
      <c r="AC2" s="284"/>
      <c r="AD2" s="284"/>
      <c r="AE2" s="284"/>
      <c r="AF2" s="284"/>
      <c r="AG2" s="284"/>
      <c r="AH2" s="284"/>
      <c r="AI2" s="284"/>
      <c r="AJ2" s="284"/>
      <c r="AK2" s="284"/>
      <c r="AL2" s="284"/>
      <c r="AM2" s="284"/>
    </row>
    <row r="3" spans="1:39" x14ac:dyDescent="0.2">
      <c r="A3" s="961" t="s">
        <v>102</v>
      </c>
      <c r="B3" s="961"/>
      <c r="C3" s="961"/>
    </row>
    <row r="4" spans="1:39" x14ac:dyDescent="0.2">
      <c r="B4" s="962"/>
      <c r="C4" s="962"/>
      <c r="D4" s="962"/>
      <c r="E4" s="962"/>
      <c r="F4" s="962"/>
      <c r="G4" s="962"/>
      <c r="H4" s="962"/>
      <c r="I4" s="962"/>
      <c r="J4" s="962"/>
      <c r="K4" s="962"/>
      <c r="L4" s="963"/>
      <c r="M4" s="964"/>
      <c r="N4" s="965" t="s">
        <v>112</v>
      </c>
      <c r="O4" s="965"/>
      <c r="P4" s="965"/>
      <c r="Q4" s="962"/>
      <c r="R4" s="966"/>
      <c r="S4" s="966" t="s">
        <v>134</v>
      </c>
      <c r="T4" s="966"/>
      <c r="U4" s="962"/>
      <c r="V4" s="965"/>
      <c r="W4" s="965"/>
      <c r="X4" s="965" t="s">
        <v>92</v>
      </c>
      <c r="Y4" s="965"/>
      <c r="Z4" s="965"/>
      <c r="AA4" s="966"/>
      <c r="AB4" s="965"/>
      <c r="AC4" s="965"/>
      <c r="AD4" s="965" t="s">
        <v>63</v>
      </c>
      <c r="AE4" s="965"/>
      <c r="AF4" s="965"/>
      <c r="AG4" s="962"/>
      <c r="AH4" s="967"/>
      <c r="AI4" s="966" t="s">
        <v>139</v>
      </c>
      <c r="AJ4" s="967"/>
      <c r="AL4" s="962"/>
    </row>
    <row r="5" spans="1:39" x14ac:dyDescent="0.2">
      <c r="B5" s="968"/>
      <c r="C5" s="968"/>
      <c r="D5" s="968"/>
      <c r="E5" s="968"/>
      <c r="F5" s="968"/>
      <c r="G5" s="968"/>
      <c r="H5" s="969"/>
      <c r="I5" s="970" t="s">
        <v>114</v>
      </c>
      <c r="J5" s="969"/>
      <c r="K5" s="968"/>
      <c r="L5" s="966" t="s">
        <v>89</v>
      </c>
      <c r="M5" s="966"/>
      <c r="N5" s="965"/>
      <c r="O5" s="965" t="s">
        <v>133</v>
      </c>
      <c r="P5" s="965"/>
      <c r="Q5" s="968"/>
      <c r="R5" s="965"/>
      <c r="S5" s="965" t="s">
        <v>135</v>
      </c>
      <c r="T5" s="965"/>
      <c r="U5" s="968"/>
      <c r="V5" s="966" t="s">
        <v>125</v>
      </c>
      <c r="W5" s="966"/>
      <c r="X5" s="966" t="s">
        <v>114</v>
      </c>
      <c r="Y5" s="966"/>
      <c r="Z5" s="966" t="s">
        <v>126</v>
      </c>
      <c r="AA5" s="966"/>
      <c r="AB5" s="966" t="s">
        <v>127</v>
      </c>
      <c r="AC5" s="966"/>
      <c r="AD5" s="966" t="s">
        <v>114</v>
      </c>
      <c r="AE5" s="966"/>
      <c r="AF5" s="966" t="s">
        <v>126</v>
      </c>
      <c r="AG5" s="968"/>
      <c r="AH5" s="971"/>
      <c r="AI5" s="965" t="s">
        <v>138</v>
      </c>
      <c r="AJ5" s="971"/>
      <c r="AL5" s="968"/>
    </row>
    <row r="6" spans="1:39" x14ac:dyDescent="0.2">
      <c r="B6" s="968"/>
      <c r="C6" s="968"/>
      <c r="D6" s="968"/>
      <c r="E6" s="968"/>
      <c r="F6" s="966" t="s">
        <v>115</v>
      </c>
      <c r="G6" s="968"/>
      <c r="H6" s="972" t="s">
        <v>116</v>
      </c>
      <c r="I6" s="968"/>
      <c r="J6" s="972"/>
      <c r="K6" s="968"/>
      <c r="L6" s="966" t="s">
        <v>132</v>
      </c>
      <c r="M6" s="966"/>
      <c r="N6" s="966" t="s">
        <v>117</v>
      </c>
      <c r="O6" s="966"/>
      <c r="P6" s="966" t="s">
        <v>117</v>
      </c>
      <c r="Q6" s="968"/>
      <c r="R6" s="966"/>
      <c r="S6" s="966"/>
      <c r="T6" s="966" t="s">
        <v>118</v>
      </c>
      <c r="U6" s="968"/>
      <c r="V6" s="966" t="s">
        <v>128</v>
      </c>
      <c r="W6" s="966"/>
      <c r="X6" s="966" t="s">
        <v>129</v>
      </c>
      <c r="Y6" s="966"/>
      <c r="Z6" s="966" t="s">
        <v>93</v>
      </c>
      <c r="AA6" s="966"/>
      <c r="AB6" s="966" t="s">
        <v>116</v>
      </c>
      <c r="AC6" s="966"/>
      <c r="AD6" s="966" t="s">
        <v>129</v>
      </c>
      <c r="AE6" s="966"/>
      <c r="AF6" s="966" t="s">
        <v>93</v>
      </c>
      <c r="AG6" s="968"/>
      <c r="AH6" s="973"/>
      <c r="AI6" s="968"/>
      <c r="AJ6" s="966" t="s">
        <v>142</v>
      </c>
      <c r="AL6" s="966"/>
    </row>
    <row r="7" spans="1:39" x14ac:dyDescent="0.2">
      <c r="B7" s="968"/>
      <c r="C7" s="968"/>
      <c r="D7" s="965" t="s">
        <v>89</v>
      </c>
      <c r="E7" s="968"/>
      <c r="F7" s="965" t="s">
        <v>119</v>
      </c>
      <c r="G7" s="968"/>
      <c r="H7" s="970" t="s">
        <v>120</v>
      </c>
      <c r="I7" s="968"/>
      <c r="J7" s="970" t="s">
        <v>46</v>
      </c>
      <c r="K7" s="968"/>
      <c r="L7" s="965" t="s">
        <v>121</v>
      </c>
      <c r="M7" s="966"/>
      <c r="N7" s="965" t="s">
        <v>56</v>
      </c>
      <c r="O7" s="966"/>
      <c r="P7" s="965" t="s">
        <v>120</v>
      </c>
      <c r="Q7" s="968"/>
      <c r="R7" s="965" t="s">
        <v>136</v>
      </c>
      <c r="S7" s="966"/>
      <c r="T7" s="965" t="s">
        <v>137</v>
      </c>
      <c r="U7" s="968"/>
      <c r="V7" s="965" t="s">
        <v>130</v>
      </c>
      <c r="W7" s="966"/>
      <c r="X7" s="965" t="s">
        <v>57</v>
      </c>
      <c r="Y7" s="966"/>
      <c r="Z7" s="965" t="s">
        <v>60</v>
      </c>
      <c r="AA7" s="966"/>
      <c r="AB7" s="965" t="s">
        <v>120</v>
      </c>
      <c r="AC7" s="966"/>
      <c r="AD7" s="965" t="s">
        <v>131</v>
      </c>
      <c r="AE7" s="966"/>
      <c r="AF7" s="965" t="s">
        <v>60</v>
      </c>
      <c r="AG7" s="968"/>
      <c r="AH7" s="965" t="s">
        <v>140</v>
      </c>
      <c r="AI7" s="968"/>
      <c r="AJ7" s="965" t="s">
        <v>141</v>
      </c>
      <c r="AL7" s="965" t="s">
        <v>165</v>
      </c>
    </row>
    <row r="8" spans="1:39" hidden="1" outlineLevel="1" x14ac:dyDescent="0.2">
      <c r="A8" s="261"/>
      <c r="B8" s="261"/>
      <c r="C8" s="261"/>
      <c r="D8" s="261"/>
      <c r="E8" s="261"/>
      <c r="F8" s="261"/>
      <c r="G8" s="261"/>
      <c r="H8" s="261"/>
      <c r="I8" s="261"/>
      <c r="J8" s="261"/>
      <c r="K8" s="261"/>
      <c r="L8" s="269"/>
      <c r="M8" s="261"/>
      <c r="N8" s="261"/>
      <c r="O8" s="261"/>
      <c r="P8" s="261"/>
      <c r="Q8" s="261"/>
      <c r="R8" s="261"/>
      <c r="S8" s="261"/>
      <c r="T8" s="261"/>
      <c r="U8" s="261"/>
      <c r="V8" s="261"/>
      <c r="W8" s="261"/>
      <c r="X8" s="261"/>
      <c r="Y8" s="261"/>
      <c r="Z8" s="261"/>
      <c r="AA8" s="261"/>
      <c r="AB8" s="974"/>
      <c r="AC8" s="261"/>
      <c r="AD8" s="261"/>
      <c r="AE8" s="261"/>
      <c r="AF8" s="261"/>
      <c r="AG8" s="261"/>
      <c r="AH8" s="261"/>
      <c r="AI8" s="261"/>
      <c r="AJ8" s="261"/>
      <c r="AL8" s="261"/>
    </row>
    <row r="9" spans="1:39" hidden="1" outlineLevel="1" x14ac:dyDescent="0.2">
      <c r="AB9" s="975"/>
    </row>
    <row r="10" spans="1:39" hidden="1" outlineLevel="1" x14ac:dyDescent="0.2">
      <c r="B10" s="976">
        <v>2001</v>
      </c>
      <c r="C10" s="908"/>
      <c r="L10" s="453"/>
    </row>
    <row r="11" spans="1:39" hidden="1" outlineLevel="1" x14ac:dyDescent="0.2">
      <c r="A11" s="185" t="s">
        <v>95</v>
      </c>
      <c r="B11" s="185" t="s">
        <v>79</v>
      </c>
      <c r="D11" s="543">
        <f>qtrSales!R11</f>
        <v>3556</v>
      </c>
      <c r="F11" s="543">
        <f>INDEX('qtrP&amp;L'!$29:$29,MATCH(B10,'qtrP&amp;L'!$6:$6,0))</f>
        <v>2158</v>
      </c>
      <c r="H11" s="543">
        <f>INDEX(wc!$10:$10,MATCH(B10,wc!$7:$7,0))</f>
        <v>3882</v>
      </c>
      <c r="J11" s="543"/>
      <c r="L11" s="453"/>
      <c r="N11" s="791"/>
      <c r="P11" s="791"/>
      <c r="Q11" s="185" t="s">
        <v>93</v>
      </c>
      <c r="R11" s="453"/>
      <c r="S11" s="185" t="s">
        <v>123</v>
      </c>
      <c r="T11" s="453">
        <f>F12/H11</f>
        <v>0.5481710458526533</v>
      </c>
      <c r="V11" s="640" t="str">
        <f>IF(qtrSales!I11=0," ",qtrSales!I11)</f>
        <v xml:space="preserve"> </v>
      </c>
      <c r="X11" s="290"/>
      <c r="Z11" s="395"/>
      <c r="AB11" s="385"/>
      <c r="AD11" s="977"/>
      <c r="AF11" s="791"/>
      <c r="AH11" s="781"/>
      <c r="AJ11" s="781">
        <f>H11/(F12/(365/4))</f>
        <v>166.46264097744361</v>
      </c>
      <c r="AL11" s="543">
        <f>INDEX('qtrP&amp;L'!$49:$49,MATCH(B10,'qtrP&amp;L'!$6:$6,0))</f>
        <v>230</v>
      </c>
    </row>
    <row r="12" spans="1:39" hidden="1" outlineLevel="1" x14ac:dyDescent="0.2">
      <c r="A12" s="185" t="s">
        <v>96</v>
      </c>
      <c r="B12" s="185" t="s">
        <v>80</v>
      </c>
      <c r="D12" s="385">
        <f>qtrSales!R12</f>
        <v>3488</v>
      </c>
      <c r="F12" s="385">
        <f>INDEX('qtrP&amp;L'!$30:$30,MATCH(B10,'qtrP&amp;L'!$6:$6,0))</f>
        <v>2128</v>
      </c>
      <c r="H12" s="385">
        <f>INDEX(wc!$11:$11,MATCH(B10,wc!$7:$7,0))</f>
        <v>3813</v>
      </c>
      <c r="J12" s="385">
        <f>AVERAGE(H12,H11)</f>
        <v>3847.5</v>
      </c>
      <c r="L12" s="453"/>
      <c r="N12" s="791"/>
      <c r="P12" s="791">
        <f>(H12/H11-1)*100</f>
        <v>-1.7774343122102021</v>
      </c>
      <c r="R12" s="453">
        <f>F12/J12</f>
        <v>0.55308641975308637</v>
      </c>
      <c r="T12" s="453">
        <f>F13/H12</f>
        <v>0.55966430632048259</v>
      </c>
      <c r="V12" s="640" t="str">
        <f>IF(qtrSales!I12=0," ",qtrSales!I12)</f>
        <v xml:space="preserve"> </v>
      </c>
      <c r="X12" s="290"/>
      <c r="Z12" s="395"/>
      <c r="AB12" s="385"/>
      <c r="AD12" s="977"/>
      <c r="AF12" s="791"/>
      <c r="AH12" s="781">
        <f>J12/(F12/(365/4))</f>
        <v>164.98325892857142</v>
      </c>
      <c r="AJ12" s="781">
        <f>H12/(F13/(365/4))</f>
        <v>163.04416588566073</v>
      </c>
      <c r="AL12" s="385">
        <f>INDEX('qtrP&amp;L'!$50:$50,MATCH(B10,'qtrP&amp;L'!$6:$6,0))</f>
        <v>254</v>
      </c>
    </row>
    <row r="13" spans="1:39" hidden="1" outlineLevel="1" x14ac:dyDescent="0.2">
      <c r="A13" s="185" t="s">
        <v>97</v>
      </c>
      <c r="B13" s="185" t="s">
        <v>81</v>
      </c>
      <c r="D13" s="385">
        <f>qtrSales!R13</f>
        <v>3475</v>
      </c>
      <c r="F13" s="385">
        <f>INDEX('qtrP&amp;L'!$31:$31,MATCH(B10,'qtrP&amp;L'!$6:$6,0))</f>
        <v>2134</v>
      </c>
      <c r="H13" s="385">
        <f>INDEX(wc!$12:$12,MATCH(B10,wc!$7:$7,0))</f>
        <v>4698</v>
      </c>
      <c r="J13" s="385">
        <f>AVERAGE(H13,H12)</f>
        <v>4255.5</v>
      </c>
      <c r="L13" s="453"/>
      <c r="N13" s="791"/>
      <c r="P13" s="791">
        <f>(H13/H12-1)*100</f>
        <v>23.210070810385531</v>
      </c>
      <c r="R13" s="453">
        <f>F13/J13</f>
        <v>0.50146868758077778</v>
      </c>
      <c r="T13" s="453">
        <f>F14/H13</f>
        <v>0.66219667943805871</v>
      </c>
      <c r="V13" s="640" t="str">
        <f>IF(qtrSales!I13=0," ",qtrSales!I13)</f>
        <v xml:space="preserve"> </v>
      </c>
      <c r="X13" s="290"/>
      <c r="Z13" s="395"/>
      <c r="AB13" s="385"/>
      <c r="AD13" s="977"/>
      <c r="AF13" s="791"/>
      <c r="AH13" s="781">
        <f>J13/(F13/(365/4))</f>
        <v>181.96549906279287</v>
      </c>
      <c r="AJ13" s="781">
        <f>H13/(F14/(365/4))</f>
        <v>137.79893924783028</v>
      </c>
      <c r="AL13" s="385">
        <f>INDEX('qtrP&amp;L'!$51:$51,MATCH(B10,'qtrP&amp;L'!$6:$6,0))</f>
        <v>156</v>
      </c>
    </row>
    <row r="14" spans="1:39" hidden="1" outlineLevel="1" x14ac:dyDescent="0.2">
      <c r="A14" s="185" t="s">
        <v>98</v>
      </c>
      <c r="B14" s="185" t="s">
        <v>82</v>
      </c>
      <c r="D14" s="607">
        <f>qtrSales!R14</f>
        <v>5132</v>
      </c>
      <c r="F14" s="607">
        <f>INDEX('qtrP&amp;L'!$32:$32,MATCH(B10,'qtrP&amp;L'!$6:$6,0))</f>
        <v>3111</v>
      </c>
      <c r="H14" s="607">
        <f>INDEX(wc!$13:$13,MATCH(B10,wc!$7:$7,0))</f>
        <v>3376</v>
      </c>
      <c r="J14" s="607">
        <f>AVERAGE(H14,H13)</f>
        <v>4037</v>
      </c>
      <c r="L14" s="978"/>
      <c r="N14" s="791"/>
      <c r="P14" s="791">
        <f>(H14/H13-1)*100</f>
        <v>-28.139633886760329</v>
      </c>
      <c r="R14" s="453">
        <f>F14/J14</f>
        <v>0.77062174882338375</v>
      </c>
      <c r="T14" s="453">
        <f>F18/H14</f>
        <v>0.61552132701421802</v>
      </c>
      <c r="V14" s="564">
        <f>IF(qtrSales!I14=0," ",qtrSales!I14)</f>
        <v>459</v>
      </c>
      <c r="X14" s="290">
        <f>H14/V14</f>
        <v>7.3551198257080612</v>
      </c>
      <c r="Z14" s="395"/>
      <c r="AB14" s="385">
        <f>1000*qtrSales!Z14</f>
        <v>84000</v>
      </c>
      <c r="AD14" s="977">
        <f>H14/AB14*1000</f>
        <v>40.19047619047619</v>
      </c>
      <c r="AF14" s="791"/>
      <c r="AH14" s="781">
        <f>J14/(F14/(365/4))</f>
        <v>118.41088074574091</v>
      </c>
      <c r="AJ14" s="781">
        <f>H14/(F18/(365/4))</f>
        <v>148.24831568816168</v>
      </c>
      <c r="AL14" s="607">
        <f>INDEX('qtrP&amp;L'!$52:$52,MATCH(B10,'qtrP&amp;L'!$6:$6,0))</f>
        <v>736</v>
      </c>
    </row>
    <row r="15" spans="1:39" hidden="1" outlineLevel="1" x14ac:dyDescent="0.2">
      <c r="B15" s="450" t="s">
        <v>56</v>
      </c>
      <c r="C15" s="450"/>
      <c r="D15" s="543">
        <f>qtrSales!R15</f>
        <v>15785</v>
      </c>
      <c r="F15" s="543">
        <f>INDEX('qtrP&amp;L'!$33:$33,MATCH(B10,'qtrP&amp;L'!$6:$6,0))</f>
        <v>9603</v>
      </c>
      <c r="H15" s="543">
        <f>INDEX(wc!$13:$13,MATCH(B10,wc!$7:$7,0))</f>
        <v>3376</v>
      </c>
      <c r="J15" s="543">
        <f>AVERAGE(J11:J14)</f>
        <v>4046.6666666666665</v>
      </c>
      <c r="L15" s="453"/>
      <c r="R15" s="979">
        <f>F15/J15</f>
        <v>2.3730642504118618</v>
      </c>
      <c r="S15" s="440" t="s">
        <v>123</v>
      </c>
      <c r="V15" s="727">
        <f>V14</f>
        <v>459</v>
      </c>
      <c r="AB15" s="980"/>
      <c r="AL15" s="543">
        <f>INDEX('qtrP&amp;L'!$53:$53,MATCH(B10,'qtrP&amp;L'!$6:$6,0))</f>
        <v>1376</v>
      </c>
    </row>
    <row r="16" spans="1:39" hidden="1" outlineLevel="1" x14ac:dyDescent="0.2">
      <c r="L16" s="453"/>
      <c r="AB16" s="980"/>
    </row>
    <row r="17" spans="1:38" hidden="1" outlineLevel="1" x14ac:dyDescent="0.2">
      <c r="B17" s="976">
        <v>2002</v>
      </c>
      <c r="C17" s="908"/>
      <c r="L17" s="453"/>
      <c r="AB17" s="385"/>
    </row>
    <row r="18" spans="1:38" hidden="1" outlineLevel="1" x14ac:dyDescent="0.2">
      <c r="A18" s="185" t="s">
        <v>95</v>
      </c>
      <c r="B18" s="185" t="s">
        <v>79</v>
      </c>
      <c r="D18" s="543">
        <f>qtrSales!R18</f>
        <v>3453</v>
      </c>
      <c r="F18" s="543">
        <f>INDEX('qtrP&amp;L'!$29:$29,MATCH(B17,'qtrP&amp;L'!$6:$6,0))</f>
        <v>2078</v>
      </c>
      <c r="H18" s="543">
        <f>INDEX(wc!$10:$10,MATCH(B17,wc!$7:$7,0))</f>
        <v>3640</v>
      </c>
      <c r="J18" s="543">
        <f>AVERAGE(H18,H14)</f>
        <v>3508</v>
      </c>
      <c r="L18" s="453">
        <f>(D18/D11-1)*100</f>
        <v>-2.8965129358830111</v>
      </c>
      <c r="M18" s="185" t="s">
        <v>93</v>
      </c>
      <c r="N18" s="791">
        <f>(H18/H11-1)*100</f>
        <v>-6.2339000515198357</v>
      </c>
      <c r="O18" s="185" t="s">
        <v>93</v>
      </c>
      <c r="P18" s="791">
        <f>(H18/H14-1)*100</f>
        <v>7.8199052132701397</v>
      </c>
      <c r="Q18" s="185" t="s">
        <v>93</v>
      </c>
      <c r="R18" s="453">
        <f>F18/J18</f>
        <v>0.59236031927023947</v>
      </c>
      <c r="S18" s="185" t="s">
        <v>123</v>
      </c>
      <c r="T18" s="453">
        <f>F19/H18</f>
        <v>0.56346153846153846</v>
      </c>
      <c r="V18" s="640">
        <f>IF(qtrSales!I18=0," ",qtrSales!I18)</f>
        <v>463</v>
      </c>
      <c r="X18" s="290">
        <f>H18/V18</f>
        <v>7.8617710583153348</v>
      </c>
      <c r="Z18" s="395"/>
      <c r="AB18" s="385">
        <f>1000*qtrSales!Z18</f>
        <v>84732.026143790848</v>
      </c>
      <c r="AD18" s="977">
        <f>H18/AB18*1000</f>
        <v>42.958963282937361</v>
      </c>
      <c r="AF18" s="791"/>
      <c r="AH18" s="781">
        <f>J18/(F18/(365/4))</f>
        <v>154.04475457170355</v>
      </c>
      <c r="AJ18" s="781">
        <f>H18/(F19/(365/4))</f>
        <v>161.94539249146757</v>
      </c>
      <c r="AL18" s="543">
        <f>INDEX('qtrP&amp;L'!$49:$49,MATCH(B17,'qtrP&amp;L'!$6:$6,0))</f>
        <v>221</v>
      </c>
    </row>
    <row r="19" spans="1:38" hidden="1" outlineLevel="1" x14ac:dyDescent="0.2">
      <c r="A19" s="185" t="s">
        <v>96</v>
      </c>
      <c r="B19" s="185" t="s">
        <v>80</v>
      </c>
      <c r="D19" s="385">
        <f>qtrSales!R19</f>
        <v>3486</v>
      </c>
      <c r="F19" s="385">
        <f>INDEX('qtrP&amp;L'!$30:$30,MATCH(B17,'qtrP&amp;L'!$6:$6,0))</f>
        <v>2051</v>
      </c>
      <c r="H19" s="385">
        <f>INDEX(wc!$11:$11,MATCH(B17,wc!$7:$7,0))</f>
        <v>3657</v>
      </c>
      <c r="J19" s="385">
        <f>AVERAGE(H19,H18)</f>
        <v>3648.5</v>
      </c>
      <c r="L19" s="453">
        <f>(D19/D12-1)*100</f>
        <v>-5.7339449541282672E-2</v>
      </c>
      <c r="N19" s="791">
        <f>(H19/H12-1)*100</f>
        <v>-4.0912667191188028</v>
      </c>
      <c r="P19" s="791">
        <f>(H19/H18-1)*100</f>
        <v>0.46703296703296537</v>
      </c>
      <c r="R19" s="453">
        <f>F19/J19</f>
        <v>0.56214882828559687</v>
      </c>
      <c r="T19" s="453">
        <f>F20/H19</f>
        <v>0.57752255947497955</v>
      </c>
      <c r="V19" s="640">
        <f>IF(qtrSales!I19=0," ",qtrSales!I19)</f>
        <v>465</v>
      </c>
      <c r="X19" s="290">
        <f>H19/V19</f>
        <v>7.8645161290322578</v>
      </c>
      <c r="Z19" s="395"/>
      <c r="AB19" s="385">
        <f>1000*qtrSales!Z19</f>
        <v>85098.039215686265</v>
      </c>
      <c r="AD19" s="977">
        <f>H19/AB19*1000</f>
        <v>42.973963133640559</v>
      </c>
      <c r="AF19" s="791"/>
      <c r="AH19" s="781">
        <f>J19/(F19/(365/4))</f>
        <v>162.3235616772306</v>
      </c>
      <c r="AJ19" s="781">
        <f>H19/(F20/(365/4))</f>
        <v>158.00248579545453</v>
      </c>
      <c r="AL19" s="385">
        <f>INDEX('qtrP&amp;L'!$50:$50,MATCH(B17,'qtrP&amp;L'!$6:$6,0))</f>
        <v>300</v>
      </c>
    </row>
    <row r="20" spans="1:38" hidden="1" outlineLevel="1" x14ac:dyDescent="0.2">
      <c r="A20" s="185" t="s">
        <v>97</v>
      </c>
      <c r="B20" s="185" t="s">
        <v>81</v>
      </c>
      <c r="D20" s="385">
        <f>qtrSales!R20</f>
        <v>3479</v>
      </c>
      <c r="F20" s="385">
        <f>INDEX('qtrP&amp;L'!$31:$31,MATCH(B17,'qtrP&amp;L'!$6:$6,0))</f>
        <v>2112</v>
      </c>
      <c r="H20" s="385">
        <f>INDEX(wc!$12:$12,MATCH(B17,wc!$7:$7,0))</f>
        <v>4633</v>
      </c>
      <c r="J20" s="385">
        <f>AVERAGE(H20,H19)</f>
        <v>4145</v>
      </c>
      <c r="L20" s="453">
        <f>(D20/D13-1)*100</f>
        <v>0.11510791366906581</v>
      </c>
      <c r="N20" s="791">
        <f>(H20/H13-1)*100</f>
        <v>-1.3835674755214966</v>
      </c>
      <c r="P20" s="791">
        <f>(H20/H19-1)*100</f>
        <v>26.68854252119224</v>
      </c>
      <c r="R20" s="453">
        <f>F20/J20</f>
        <v>0.50952955367913144</v>
      </c>
      <c r="T20" s="453">
        <f>F21/H20</f>
        <v>0.65055039930930281</v>
      </c>
      <c r="V20" s="640">
        <f>IF(qtrSales!I20=0," ",qtrSales!I20)</f>
        <v>473</v>
      </c>
      <c r="X20" s="290">
        <f>H20/V20</f>
        <v>9.7949260042283299</v>
      </c>
      <c r="Z20" s="395"/>
      <c r="AB20" s="385">
        <f>1000*qtrSales!Z20</f>
        <v>86562.091503267962</v>
      </c>
      <c r="AD20" s="977">
        <f>H20/AB20*1000</f>
        <v>53.522274237390526</v>
      </c>
      <c r="AF20" s="791"/>
      <c r="AH20" s="781">
        <f>J20/(F20/(365/4))</f>
        <v>179.08676609848484</v>
      </c>
      <c r="AJ20" s="781">
        <f>H20/(F21/(365/4))</f>
        <v>140.26584273390841</v>
      </c>
      <c r="AL20" s="385">
        <f>INDEX('qtrP&amp;L'!$51:$51,MATCH(B17,'qtrP&amp;L'!$6:$6,0))</f>
        <v>188</v>
      </c>
    </row>
    <row r="21" spans="1:38" hidden="1" outlineLevel="1" x14ac:dyDescent="0.2">
      <c r="A21" s="185" t="s">
        <v>98</v>
      </c>
      <c r="B21" s="185" t="s">
        <v>82</v>
      </c>
      <c r="D21" s="607">
        <f>qtrSales!R21</f>
        <v>5017</v>
      </c>
      <c r="F21" s="607">
        <f>INDEX('qtrP&amp;L'!$32:$32,MATCH(B17,'qtrP&amp;L'!$6:$6,0))</f>
        <v>3014</v>
      </c>
      <c r="H21" s="607">
        <f>INDEX(wc!$13:$13,MATCH(B17,wc!$7:$7,0))</f>
        <v>3359</v>
      </c>
      <c r="J21" s="607">
        <f>AVERAGE(H21,H20)</f>
        <v>3996</v>
      </c>
      <c r="L21" s="978">
        <f>(D21/D14-1)*100</f>
        <v>-2.2408417770849565</v>
      </c>
      <c r="N21" s="791">
        <f>(H21/H14-1)*100</f>
        <v>-0.50355450236966304</v>
      </c>
      <c r="P21" s="791">
        <f>(H21/H20-1)*100</f>
        <v>-27.498381178502051</v>
      </c>
      <c r="R21" s="453">
        <f>F21/J21</f>
        <v>0.7542542542542543</v>
      </c>
      <c r="T21" s="453">
        <f>F25/H21</f>
        <v>0.5960107174754391</v>
      </c>
      <c r="V21" s="564">
        <f>IF(qtrSales!I21=0," ",qtrSales!I21)</f>
        <v>455</v>
      </c>
      <c r="X21" s="290">
        <f>H21/V21</f>
        <v>7.3824175824175828</v>
      </c>
      <c r="Z21" s="395">
        <f>X21/X14-1</f>
        <v>3.7113952398313277E-3</v>
      </c>
      <c r="AB21" s="385">
        <f>1000*qtrSales!Z21</f>
        <v>83267.973856209137</v>
      </c>
      <c r="AD21" s="977">
        <f>H21/AB21*1000</f>
        <v>40.339638932496086</v>
      </c>
      <c r="AF21" s="791">
        <f>(AD21/AD14-1)*100</f>
        <v>0.37113952398315497</v>
      </c>
      <c r="AH21" s="781">
        <f>J21/(F21/(365/4))</f>
        <v>120.98042468480423</v>
      </c>
      <c r="AJ21" s="781">
        <f>H21/(F25/(365/4))</f>
        <v>153.10127372627372</v>
      </c>
      <c r="AL21" s="607">
        <f>INDEX('qtrP&amp;L'!$52:$52,MATCH(B17,'qtrP&amp;L'!$6:$6,0))</f>
        <v>702</v>
      </c>
    </row>
    <row r="22" spans="1:38" hidden="1" outlineLevel="1" x14ac:dyDescent="0.2">
      <c r="B22" s="450" t="s">
        <v>56</v>
      </c>
      <c r="C22" s="450"/>
      <c r="D22" s="543">
        <f>qtrSales!R22</f>
        <v>15571</v>
      </c>
      <c r="F22" s="543">
        <f>INDEX('qtrP&amp;L'!$33:$33,MATCH(B17,'qtrP&amp;L'!$6:$6,0))</f>
        <v>9324</v>
      </c>
      <c r="H22" s="543">
        <f>INDEX(wc!$13:$13,MATCH(B17,wc!$7:$7,0))</f>
        <v>3359</v>
      </c>
      <c r="J22" s="543">
        <f>AVERAGE(J18:J21)</f>
        <v>3824.375</v>
      </c>
      <c r="L22" s="453">
        <f>(D22/D15-1)*100</f>
        <v>-1.3557174532784266</v>
      </c>
      <c r="R22" s="979">
        <f>F22/J22</f>
        <v>2.4380454322601732</v>
      </c>
      <c r="S22" s="440" t="s">
        <v>123</v>
      </c>
      <c r="V22" s="727">
        <f>V21</f>
        <v>455</v>
      </c>
      <c r="AB22" s="980"/>
      <c r="AL22" s="543">
        <f>INDEX('qtrP&amp;L'!$53:$53,MATCH(B17,'qtrP&amp;L'!$6:$6,0))</f>
        <v>1411</v>
      </c>
    </row>
    <row r="23" spans="1:38" hidden="1" outlineLevel="1" x14ac:dyDescent="0.2">
      <c r="AB23" s="980"/>
    </row>
    <row r="24" spans="1:38" hidden="1" outlineLevel="1" x14ac:dyDescent="0.2">
      <c r="B24" s="976">
        <v>2003</v>
      </c>
      <c r="C24" s="908"/>
      <c r="AB24" s="980"/>
    </row>
    <row r="25" spans="1:38" hidden="1" outlineLevel="1" x14ac:dyDescent="0.2">
      <c r="A25" s="185" t="s">
        <v>95</v>
      </c>
      <c r="B25" s="185" t="s">
        <v>79</v>
      </c>
      <c r="D25" s="543">
        <f>qtrSales!R25</f>
        <v>3291</v>
      </c>
      <c r="F25" s="543">
        <f>INDEX('qtrP&amp;L'!$29:$29,MATCH(B24,'qtrP&amp;L'!$6:$6,0))</f>
        <v>2002</v>
      </c>
      <c r="H25" s="543">
        <f>INDEX(wc!$10:$10,MATCH(B24,wc!$7:$7,0))</f>
        <v>3502</v>
      </c>
      <c r="J25" s="543">
        <f>AVERAGE(H25,H21)</f>
        <v>3430.5</v>
      </c>
      <c r="L25" s="453">
        <f>(D25/D18-1)*100</f>
        <v>-4.6915725456125106</v>
      </c>
      <c r="M25" s="185" t="s">
        <v>93</v>
      </c>
      <c r="N25" s="791">
        <f>(H25/H18-1)*100</f>
        <v>-3.7912087912087888</v>
      </c>
      <c r="O25" s="185" t="s">
        <v>93</v>
      </c>
      <c r="P25" s="791">
        <f>(H25/H21-1)*100</f>
        <v>4.2572194105388483</v>
      </c>
      <c r="Q25" s="185" t="s">
        <v>93</v>
      </c>
      <c r="R25" s="453">
        <f>F25/J25</f>
        <v>0.58358839819268327</v>
      </c>
      <c r="S25" s="185" t="s">
        <v>123</v>
      </c>
      <c r="T25" s="453">
        <f>F26/H25</f>
        <v>0.57824100513992005</v>
      </c>
      <c r="V25" s="640">
        <f>IF(qtrSales!I25=0," ",qtrSales!I25)</f>
        <v>456</v>
      </c>
      <c r="X25" s="290">
        <f>H25/V25</f>
        <v>7.6798245614035086</v>
      </c>
      <c r="Z25" s="395">
        <f>X25/X18-1</f>
        <v>-2.3143194524773536E-2</v>
      </c>
      <c r="AB25" s="385">
        <f>1000*qtrSales!Z25</f>
        <v>83450.980392156853</v>
      </c>
      <c r="AD25" s="977">
        <f>H25/AB25*1000</f>
        <v>41.964755639097746</v>
      </c>
      <c r="AF25" s="791">
        <f>(AD25/AD18-1)*100</f>
        <v>-2.3143194524773314</v>
      </c>
      <c r="AG25" s="185" t="s">
        <v>93</v>
      </c>
      <c r="AH25" s="781">
        <f>J25/(F25/(365/4))</f>
        <v>156.3602022977023</v>
      </c>
      <c r="AJ25" s="781">
        <f>H25/(F26/(365/4))</f>
        <v>157.80617283950616</v>
      </c>
      <c r="AL25" s="543">
        <f>INDEX('qtrP&amp;L'!$49:$49,MATCH(B24,'qtrP&amp;L'!$6:$6,0))</f>
        <v>154</v>
      </c>
    </row>
    <row r="26" spans="1:38" hidden="1" outlineLevel="1" x14ac:dyDescent="0.2">
      <c r="A26" s="185" t="s">
        <v>96</v>
      </c>
      <c r="B26" s="185" t="s">
        <v>80</v>
      </c>
      <c r="D26" s="385">
        <f>qtrSales!R26</f>
        <v>3434</v>
      </c>
      <c r="F26" s="385">
        <f>INDEX('qtrP&amp;L'!$30:$30,MATCH(B24,'qtrP&amp;L'!$6:$6,0))</f>
        <v>2025</v>
      </c>
      <c r="H26" s="385">
        <f>INDEX(wc!$11:$11,MATCH(B24,wc!$7:$7,0))</f>
        <v>3439</v>
      </c>
      <c r="J26" s="385">
        <f>AVERAGE(H26,H25)</f>
        <v>3470.5</v>
      </c>
      <c r="L26" s="453">
        <f>(D26/D19-1)*100</f>
        <v>-1.4916810097532984</v>
      </c>
      <c r="N26" s="791">
        <f>(H26/H19-1)*100</f>
        <v>-5.9611703582171156</v>
      </c>
      <c r="P26" s="791">
        <f>(H26/H25-1)*100</f>
        <v>-1.7989720159908629</v>
      </c>
      <c r="R26" s="453">
        <f>F26/J26</f>
        <v>0.58348941074773086</v>
      </c>
      <c r="T26" s="453">
        <f>F27/H26</f>
        <v>0.6080255888339634</v>
      </c>
      <c r="V26" s="640">
        <f>IF(qtrSales!I26=0," ",qtrSales!I26)</f>
        <v>460</v>
      </c>
      <c r="X26" s="290">
        <f>H26/V26</f>
        <v>7.4760869565217387</v>
      </c>
      <c r="Z26" s="395">
        <f>X26/X19-1</f>
        <v>-4.9390091664586078E-2</v>
      </c>
      <c r="AB26" s="385">
        <f>1000*qtrSales!Z26</f>
        <v>83450.980392156853</v>
      </c>
      <c r="AD26" s="977">
        <f>H26/AB26*1000</f>
        <v>41.209821428571438</v>
      </c>
      <c r="AF26" s="791">
        <f>(AD26/AD19-1)*100</f>
        <v>-4.1051408258135025</v>
      </c>
      <c r="AH26" s="781">
        <f>J26/(F26/(365/4))</f>
        <v>156.38672839506171</v>
      </c>
      <c r="AJ26" s="781">
        <f>H26/(F27/(365/4))</f>
        <v>150.07592061214731</v>
      </c>
      <c r="AL26" s="385">
        <f>INDEX('qtrP&amp;L'!$50:$50,MATCH(B24,'qtrP&amp;L'!$6:$6,0))</f>
        <v>274</v>
      </c>
    </row>
    <row r="27" spans="1:38" hidden="1" outlineLevel="1" x14ac:dyDescent="0.2">
      <c r="A27" s="185" t="s">
        <v>97</v>
      </c>
      <c r="B27" s="185" t="s">
        <v>81</v>
      </c>
      <c r="D27" s="385">
        <f>qtrSales!R27</f>
        <v>3486</v>
      </c>
      <c r="F27" s="385">
        <f>INDEX('qtrP&amp;L'!$31:$31,MATCH(B24,'qtrP&amp;L'!$6:$6,0))</f>
        <v>2091</v>
      </c>
      <c r="H27" s="385">
        <f>INDEX(wc!$12:$12,MATCH(B24,wc!$7:$7,0))</f>
        <v>4403</v>
      </c>
      <c r="J27" s="385">
        <f>AVERAGE(H27,H26)</f>
        <v>3921</v>
      </c>
      <c r="L27" s="453">
        <f>(D27/D20-1)*100</f>
        <v>0.2012072434607548</v>
      </c>
      <c r="N27" s="791">
        <f>(H27/H20-1)*100</f>
        <v>-4.9643859270451118</v>
      </c>
      <c r="P27" s="791">
        <f>(H27/H26-1)*100</f>
        <v>28.03140447804595</v>
      </c>
      <c r="R27" s="453">
        <f>F27/J27</f>
        <v>0.53328232593726088</v>
      </c>
      <c r="T27" s="453">
        <f>F28/H27</f>
        <v>0.67703838292073582</v>
      </c>
      <c r="V27" s="640">
        <f>IF(qtrSales!I27=0," ",qtrSales!I27)</f>
        <v>465</v>
      </c>
      <c r="X27" s="290">
        <f>H27/V27</f>
        <v>9.4688172043010752</v>
      </c>
      <c r="Z27" s="395">
        <f>X27/X20-1</f>
        <v>-3.3293646096609453E-2</v>
      </c>
      <c r="AB27" s="385">
        <f>1000*qtrSales!Z27</f>
        <v>84183.006535947716</v>
      </c>
      <c r="AD27" s="977">
        <f>H27/AB27*1000</f>
        <v>52.302717391304348</v>
      </c>
      <c r="AF27" s="791">
        <f>(AD27/AD20-1)*100</f>
        <v>-2.2785968336790141</v>
      </c>
      <c r="AH27" s="781">
        <f>J27/(F27/(365/4))</f>
        <v>171.11011477761838</v>
      </c>
      <c r="AJ27" s="781">
        <f>H27/(F28/(365/4))</f>
        <v>134.77817846360281</v>
      </c>
      <c r="AL27" s="385">
        <f>INDEX('qtrP&amp;L'!$51:$51,MATCH(B24,'qtrP&amp;L'!$6:$6,0))</f>
        <v>202</v>
      </c>
    </row>
    <row r="28" spans="1:38" hidden="1" outlineLevel="1" x14ac:dyDescent="0.2">
      <c r="A28" s="185" t="s">
        <v>98</v>
      </c>
      <c r="B28" s="185" t="s">
        <v>82</v>
      </c>
      <c r="D28" s="607">
        <f>qtrSales!R28</f>
        <v>5053</v>
      </c>
      <c r="F28" s="607">
        <f>INDEX('qtrP&amp;L'!$32:$32,MATCH(B24,'qtrP&amp;L'!$6:$6,0))</f>
        <v>2981</v>
      </c>
      <c r="H28" s="607">
        <f>INDEX(wc!$13:$13,MATCH(B24,wc!$7:$7,0))</f>
        <v>3215</v>
      </c>
      <c r="J28" s="607">
        <f>AVERAGE(H28,H27)</f>
        <v>3809</v>
      </c>
      <c r="L28" s="978">
        <f>(D28/D21-1)*100</f>
        <v>0.71756029499701057</v>
      </c>
      <c r="N28" s="791">
        <f>(H28/H21-1)*100</f>
        <v>-4.2869901756475093</v>
      </c>
      <c r="P28" s="791">
        <f>(H28/H27-1)*100</f>
        <v>-26.981603452191681</v>
      </c>
      <c r="R28" s="453">
        <f>F28/J28</f>
        <v>0.78262011026516143</v>
      </c>
      <c r="T28" s="453">
        <f>F32/H28</f>
        <v>0.65909797822706062</v>
      </c>
      <c r="V28" s="564">
        <f>IF(qtrSales!I28=0," ",qtrSales!I28)</f>
        <v>459</v>
      </c>
      <c r="X28" s="290">
        <f>H28/V28</f>
        <v>7.0043572984749458</v>
      </c>
      <c r="Z28" s="395"/>
      <c r="AB28" s="385">
        <f>1000*qtrSales!Z28</f>
        <v>85098.039215686265</v>
      </c>
      <c r="AD28" s="977">
        <f>H28/AB28*1000</f>
        <v>37.779953917050697</v>
      </c>
      <c r="AF28" s="791">
        <f>(AD28/AD21-1)*100</f>
        <v>-6.3453344729454297</v>
      </c>
      <c r="AH28" s="781">
        <f>J28/(F28/(365/4))</f>
        <v>116.59552163703455</v>
      </c>
      <c r="AJ28" s="781">
        <f>H28/(F32/(365/4))</f>
        <v>138.44679093912222</v>
      </c>
      <c r="AL28" s="607">
        <f>INDEX('qtrP&amp;L'!$52:$52,MATCH(B24,'qtrP&amp;L'!$6:$6,0))</f>
        <v>770</v>
      </c>
    </row>
    <row r="29" spans="1:38" hidden="1" outlineLevel="1" x14ac:dyDescent="0.2">
      <c r="B29" s="450" t="s">
        <v>56</v>
      </c>
      <c r="C29" s="450"/>
      <c r="D29" s="543">
        <f>qtrSales!R29</f>
        <v>15412</v>
      </c>
      <c r="F29" s="543">
        <f>INDEX('qtrP&amp;L'!$33:$33,MATCH(B24,'qtrP&amp;L'!$6:$6,0))</f>
        <v>9175</v>
      </c>
      <c r="H29" s="543">
        <f>INDEX(wc!$13:$13,MATCH(B24,wc!$7:$7,0))</f>
        <v>3215</v>
      </c>
      <c r="J29" s="543">
        <f>AVERAGE(J25:J28)</f>
        <v>3657.75</v>
      </c>
      <c r="L29" s="453">
        <f>(D29/D22-1)*100</f>
        <v>-1.0211290218996805</v>
      </c>
      <c r="N29" s="453"/>
      <c r="R29" s="979">
        <f>F29/J29</f>
        <v>2.5083726334495249</v>
      </c>
      <c r="S29" s="440" t="s">
        <v>123</v>
      </c>
      <c r="V29" s="727">
        <f>V28</f>
        <v>459</v>
      </c>
      <c r="AB29" s="980"/>
      <c r="AL29" s="543">
        <f>INDEX('qtrP&amp;L'!$53:$53,MATCH(B24,'qtrP&amp;L'!$6:$6,0))</f>
        <v>1400</v>
      </c>
    </row>
    <row r="30" spans="1:38" hidden="1" outlineLevel="1" x14ac:dyDescent="0.2">
      <c r="B30" s="976"/>
      <c r="L30" s="453"/>
      <c r="AB30" s="980"/>
    </row>
    <row r="31" spans="1:38" hidden="1" outlineLevel="1" x14ac:dyDescent="0.2">
      <c r="B31" s="976">
        <v>2004</v>
      </c>
      <c r="C31" s="908"/>
      <c r="L31" s="453"/>
      <c r="AB31" s="980"/>
    </row>
    <row r="32" spans="1:38" hidden="1" outlineLevel="1" x14ac:dyDescent="0.2">
      <c r="A32" s="185" t="s">
        <v>95</v>
      </c>
      <c r="B32" s="185" t="s">
        <v>79</v>
      </c>
      <c r="D32" s="543">
        <f>qtrSales!R32</f>
        <v>3550</v>
      </c>
      <c r="F32" s="543">
        <f>INDEX('qtrP&amp;L'!$29:$29,MATCH(B31,'qtrP&amp;L'!$6:$6,0))</f>
        <v>2119</v>
      </c>
      <c r="H32" s="543">
        <f>INDEX(wc!$10:$10,MATCH(B31,wc!$7:$7,0))</f>
        <v>3498</v>
      </c>
      <c r="J32" s="543">
        <f>AVERAGE(H32,H28)</f>
        <v>3356.5</v>
      </c>
      <c r="L32" s="453">
        <f>(D32/D25-1)*100</f>
        <v>7.8699483439683915</v>
      </c>
      <c r="M32" s="185" t="s">
        <v>93</v>
      </c>
      <c r="N32" s="791">
        <f>(H32/H25-1)*100</f>
        <v>-0.11422044545973398</v>
      </c>
      <c r="O32" s="185" t="s">
        <v>93</v>
      </c>
      <c r="P32" s="791">
        <f>(H32/H28-1)*100</f>
        <v>8.8024883359253394</v>
      </c>
      <c r="Q32" s="185" t="s">
        <v>93</v>
      </c>
      <c r="R32" s="453">
        <f>F32/J32</f>
        <v>0.63131237896618497</v>
      </c>
      <c r="S32" s="185" t="s">
        <v>123</v>
      </c>
      <c r="T32" s="453">
        <f>F33/H32</f>
        <v>0.59977129788450545</v>
      </c>
      <c r="V32" s="640">
        <f>IF(qtrSales!I32=0," ",qtrSales!I32)</f>
        <v>459</v>
      </c>
      <c r="X32" s="290">
        <f>H32/V32</f>
        <v>7.6209150326797381</v>
      </c>
      <c r="Z32" s="395">
        <f>X32/X25-1</f>
        <v>-7.67068677842353E-3</v>
      </c>
      <c r="AB32" s="385">
        <f>1000*qtrSales!Z32</f>
        <v>83816.993464052284</v>
      </c>
      <c r="AD32" s="977">
        <f>H32/AB32*1000</f>
        <v>41.733780411728013</v>
      </c>
      <c r="AF32" s="791">
        <f>(AD32/AD25-1)*100</f>
        <v>-0.55040288892934663</v>
      </c>
      <c r="AG32" s="185" t="s">
        <v>93</v>
      </c>
      <c r="AH32" s="781">
        <f>J32/(F32/(365/4))</f>
        <v>144.54017225106182</v>
      </c>
      <c r="AJ32" s="781">
        <f>H32/(F33/(365/4))</f>
        <v>152.14132507149668</v>
      </c>
      <c r="AL32" s="543">
        <f>INDEX('qtrP&amp;L'!$49:$49,MATCH(B31,'qtrP&amp;L'!$6:$6,0))</f>
        <v>236</v>
      </c>
    </row>
    <row r="33" spans="1:38" hidden="1" outlineLevel="1" x14ac:dyDescent="0.2">
      <c r="A33" s="185" t="s">
        <v>96</v>
      </c>
      <c r="B33" s="185" t="s">
        <v>80</v>
      </c>
      <c r="D33" s="385">
        <f>qtrSales!R33</f>
        <v>3581</v>
      </c>
      <c r="F33" s="385">
        <f>INDEX('qtrP&amp;L'!$30:$30,MATCH(B31,'qtrP&amp;L'!$6:$6,0))</f>
        <v>2098</v>
      </c>
      <c r="H33" s="385">
        <f>INDEX(wc!$11:$11,MATCH(B31,wc!$7:$7,0))</f>
        <v>3355</v>
      </c>
      <c r="J33" s="385">
        <f>AVERAGE(H33,H32)</f>
        <v>3426.5</v>
      </c>
      <c r="L33" s="453">
        <f>(D33/D26-1)*100</f>
        <v>4.2807221898660375</v>
      </c>
      <c r="N33" s="791">
        <f>(H33/H26-1)*100</f>
        <v>-2.4425705146845056</v>
      </c>
      <c r="P33" s="791">
        <f>(H33/H32-1)*100</f>
        <v>-4.0880503144654075</v>
      </c>
      <c r="R33" s="453">
        <f>F33/J33</f>
        <v>0.61228658981467965</v>
      </c>
      <c r="T33" s="453">
        <f>F34/H33</f>
        <v>0.62801788375558865</v>
      </c>
      <c r="V33" s="640">
        <f>IF(qtrSales!I33=0," ",qtrSales!I33)</f>
        <v>457</v>
      </c>
      <c r="X33" s="290">
        <f>H33/V33</f>
        <v>7.3413566739606129</v>
      </c>
      <c r="Z33" s="395">
        <f>X33/X26-1</f>
        <v>-1.8021497521988339E-2</v>
      </c>
      <c r="AB33" s="385">
        <f>1000*qtrSales!Z33</f>
        <v>83633.986928104583</v>
      </c>
      <c r="AD33" s="977">
        <f>H33/AB33*1000</f>
        <v>40.115270396999058</v>
      </c>
      <c r="AF33" s="791">
        <f>(AD33/AD26-1)*100</f>
        <v>-2.6560441021797554</v>
      </c>
      <c r="AH33" s="781">
        <f>J33/(F33/(365/4))</f>
        <v>149.0315181124881</v>
      </c>
      <c r="AJ33" s="781">
        <f>H33/(F34/(365/4))</f>
        <v>145.29841006169912</v>
      </c>
      <c r="AL33" s="385">
        <f>INDEX('qtrP&amp;L'!$50:$50,MATCH(B31,'qtrP&amp;L'!$6:$6,0))</f>
        <v>276</v>
      </c>
    </row>
    <row r="34" spans="1:38" hidden="1" outlineLevel="1" x14ac:dyDescent="0.2">
      <c r="A34" s="185" t="s">
        <v>97</v>
      </c>
      <c r="B34" s="185" t="s">
        <v>81</v>
      </c>
      <c r="D34" s="385">
        <f>qtrSales!R34</f>
        <v>3525</v>
      </c>
      <c r="F34" s="385">
        <f>INDEX('qtrP&amp;L'!$31:$31,MATCH(B31,'qtrP&amp;L'!$6:$6,0))</f>
        <v>2107</v>
      </c>
      <c r="H34" s="385">
        <f>INDEX(wc!$12:$12,MATCH(B31,wc!$7:$7,0))</f>
        <v>4259</v>
      </c>
      <c r="J34" s="385">
        <f>AVERAGE(H34,H33)</f>
        <v>3807</v>
      </c>
      <c r="L34" s="453">
        <f>(D34/D27-1)*100</f>
        <v>1.1187607573149849</v>
      </c>
      <c r="N34" s="791">
        <f>(H34/H27-1)*100</f>
        <v>-3.2704973881444444</v>
      </c>
      <c r="P34" s="791">
        <f>(H34/H33-1)*100</f>
        <v>26.944858420268258</v>
      </c>
      <c r="R34" s="453">
        <f>F34/J34</f>
        <v>0.55345416338324138</v>
      </c>
      <c r="T34" s="453">
        <f>F35/H34</f>
        <v>0.70955623385771305</v>
      </c>
      <c r="V34" s="640">
        <f>IF(qtrSales!I34=0," ",qtrSales!I34)</f>
        <v>459</v>
      </c>
      <c r="X34" s="290">
        <f>H34/V34</f>
        <v>9.2788671023965144</v>
      </c>
      <c r="Z34" s="395">
        <f>X34/X27-1</f>
        <v>-2.0060594455058145E-2</v>
      </c>
      <c r="AB34" s="385">
        <f>1000*qtrSales!Z34</f>
        <v>83633.986928104583</v>
      </c>
      <c r="AD34" s="977">
        <f>H34/AB34*1000</f>
        <v>50.924273210378239</v>
      </c>
      <c r="AF34" s="791">
        <f>(AD34/AD27-1)*100</f>
        <v>-2.6355115941935403</v>
      </c>
      <c r="AH34" s="781">
        <f>J34/(F34/(365/4))</f>
        <v>164.87363550071191</v>
      </c>
      <c r="AJ34" s="781">
        <f>H34/(F35/(365/4))</f>
        <v>128.60150562541364</v>
      </c>
      <c r="AL34" s="385">
        <f>INDEX('qtrP&amp;L'!$51:$51,MATCH(B31,'qtrP&amp;L'!$6:$6,0))</f>
        <v>211</v>
      </c>
    </row>
    <row r="35" spans="1:38" hidden="1" outlineLevel="1" x14ac:dyDescent="0.2">
      <c r="A35" s="185" t="s">
        <v>98</v>
      </c>
      <c r="B35" s="185" t="s">
        <v>82</v>
      </c>
      <c r="D35" s="607">
        <f>qtrSales!R35</f>
        <v>5120</v>
      </c>
      <c r="F35" s="607">
        <f>INDEX('qtrP&amp;L'!$32:$32,MATCH(B31,'qtrP&amp;L'!$6:$6,0))</f>
        <v>3022</v>
      </c>
      <c r="H35" s="607">
        <f>INDEX(wc!$13:$13,MATCH(B31,wc!$7:$7,0))</f>
        <v>3120</v>
      </c>
      <c r="J35" s="607">
        <f>AVERAGE(H35,H34)</f>
        <v>3689.5</v>
      </c>
      <c r="L35" s="978">
        <f>(D35/D28-1)*100</f>
        <v>1.3259449831783066</v>
      </c>
      <c r="N35" s="791">
        <f>(H35/H28-1)*100</f>
        <v>-2.9548989113530322</v>
      </c>
      <c r="P35" s="791">
        <f>(H35/H34-1)*100</f>
        <v>-26.74336698755576</v>
      </c>
      <c r="R35" s="453">
        <f>F35/J35</f>
        <v>0.81908117631115329</v>
      </c>
      <c r="T35" s="453">
        <f>F39/H35</f>
        <v>0.6974358974358974</v>
      </c>
      <c r="V35" s="564">
        <f>IF(qtrSales!I35=0," ",qtrSales!I35)</f>
        <v>459</v>
      </c>
      <c r="X35" s="290">
        <f>H35/V35</f>
        <v>6.7973856209150325</v>
      </c>
      <c r="Z35" s="395">
        <f>X35/X28-1</f>
        <v>-2.9548989113530433E-2</v>
      </c>
      <c r="AB35" s="385">
        <f>1000*qtrSales!Z35</f>
        <v>84000</v>
      </c>
      <c r="AD35" s="977">
        <f>H35/AB35*1000</f>
        <v>37.142857142857146</v>
      </c>
      <c r="AF35" s="791">
        <f>(AD35/AD28-1)*100</f>
        <v>-1.6863354984295476</v>
      </c>
      <c r="AH35" s="781">
        <f>J35/(F35/(365/4))</f>
        <v>111.40531932495037</v>
      </c>
      <c r="AJ35" s="781">
        <f>H35/(F39/(365/4))</f>
        <v>130.83639705882351</v>
      </c>
      <c r="AL35" s="607">
        <f>INDEX('qtrP&amp;L'!$52:$52,MATCH(B31,'qtrP&amp;L'!$6:$6,0))</f>
        <v>776</v>
      </c>
    </row>
    <row r="36" spans="1:38" hidden="1" outlineLevel="1" x14ac:dyDescent="0.2">
      <c r="B36" s="450" t="s">
        <v>56</v>
      </c>
      <c r="C36" s="450"/>
      <c r="D36" s="543">
        <f>qtrSales!R36</f>
        <v>15776</v>
      </c>
      <c r="F36" s="543">
        <f>INDEX('qtrP&amp;L'!$33:$33,MATCH(B31,'qtrP&amp;L'!$6:$6,0))</f>
        <v>9346</v>
      </c>
      <c r="H36" s="543">
        <f>INDEX(wc!$13:$13,MATCH(B31,wc!$7:$7,0))</f>
        <v>3120</v>
      </c>
      <c r="J36" s="543">
        <f>AVERAGE(J32:J35)</f>
        <v>3569.875</v>
      </c>
      <c r="L36" s="453">
        <f>(D36/D29-1)*100</f>
        <v>2.361796003114458</v>
      </c>
      <c r="R36" s="979">
        <f>F36/J36</f>
        <v>2.6180188381946148</v>
      </c>
      <c r="S36" s="440" t="s">
        <v>123</v>
      </c>
      <c r="V36" s="727">
        <f>V35</f>
        <v>459</v>
      </c>
      <c r="AB36" s="980"/>
      <c r="AL36" s="543">
        <f>INDEX('qtrP&amp;L'!$53:$53,MATCH(B31,'qtrP&amp;L'!$6:$6,0))</f>
        <v>1499</v>
      </c>
    </row>
    <row r="37" spans="1:38" hidden="1" outlineLevel="1" x14ac:dyDescent="0.2">
      <c r="L37" s="453"/>
      <c r="AB37" s="980"/>
    </row>
    <row r="38" spans="1:38" hidden="1" outlineLevel="1" x14ac:dyDescent="0.2">
      <c r="B38" s="976">
        <v>2005</v>
      </c>
      <c r="C38" s="908"/>
      <c r="L38" s="453"/>
      <c r="AB38" s="980"/>
    </row>
    <row r="39" spans="1:38" hidden="1" outlineLevel="1" x14ac:dyDescent="0.2">
      <c r="A39" s="185" t="s">
        <v>95</v>
      </c>
      <c r="B39" s="185" t="s">
        <v>79</v>
      </c>
      <c r="D39" s="543">
        <f>qtrSales!R39</f>
        <v>3641</v>
      </c>
      <c r="F39" s="543">
        <f>INDEX('qtrP&amp;L'!$29:$29,MATCH(B38,'qtrP&amp;L'!$6:$6,0))</f>
        <v>2176</v>
      </c>
      <c r="H39" s="543">
        <f>INDEX(wc!$10:$10,MATCH(B38,wc!$7:$7,0))</f>
        <v>3413</v>
      </c>
      <c r="J39" s="543">
        <f>AVERAGE(H39,H35)</f>
        <v>3266.5</v>
      </c>
      <c r="L39" s="453">
        <f>(D39/D32-1)*100</f>
        <v>2.5633802816901419</v>
      </c>
      <c r="M39" s="185" t="s">
        <v>93</v>
      </c>
      <c r="N39" s="791">
        <f>(H39/H32-1)*100</f>
        <v>-2.4299599771297919</v>
      </c>
      <c r="O39" s="185" t="s">
        <v>93</v>
      </c>
      <c r="P39" s="791">
        <f>(H39/H35-1)*100</f>
        <v>9.391025641025653</v>
      </c>
      <c r="Q39" s="185" t="s">
        <v>93</v>
      </c>
      <c r="R39" s="453">
        <f>F39/J39</f>
        <v>0.66615643655288537</v>
      </c>
      <c r="S39" s="185" t="s">
        <v>123</v>
      </c>
      <c r="T39" s="453">
        <f>F40/H39</f>
        <v>0.62291239378845586</v>
      </c>
      <c r="V39" s="640">
        <f>IF(qtrSales!I39=0," ",qtrSales!I39)</f>
        <v>459</v>
      </c>
      <c r="X39" s="290">
        <f>H39/V39</f>
        <v>7.435729847494553</v>
      </c>
      <c r="Z39" s="395">
        <f>X39/X32-1</f>
        <v>-2.4299599771297919E-2</v>
      </c>
      <c r="AB39" s="385">
        <f>1000*qtrSales!Z39</f>
        <v>84000</v>
      </c>
      <c r="AD39" s="977">
        <f>H39/AB39*1000</f>
        <v>40.63095238095238</v>
      </c>
      <c r="AF39" s="791">
        <f>(AD39/AD32-1)*100</f>
        <v>-2.6425308704258077</v>
      </c>
      <c r="AG39" s="185" t="s">
        <v>93</v>
      </c>
      <c r="AH39" s="781">
        <f>J39/(F39/(365/4))</f>
        <v>136.97983685661765</v>
      </c>
      <c r="AJ39" s="781">
        <f>H39/(F40/(365/4))</f>
        <v>146.4892991533396</v>
      </c>
      <c r="AL39" s="543">
        <f>INDEX('qtrP&amp;L'!$49:$49,MATCH(B38,'qtrP&amp;L'!$6:$6,0))</f>
        <v>252</v>
      </c>
    </row>
    <row r="40" spans="1:38" hidden="1" outlineLevel="1" x14ac:dyDescent="0.2">
      <c r="A40" s="185" t="s">
        <v>96</v>
      </c>
      <c r="B40" s="185" t="s">
        <v>80</v>
      </c>
      <c r="D40" s="385">
        <f>qtrSales!R40</f>
        <v>3623</v>
      </c>
      <c r="F40" s="385">
        <f>INDEX('qtrP&amp;L'!$30:$30,MATCH(B38,'qtrP&amp;L'!$6:$6,0))</f>
        <v>2126</v>
      </c>
      <c r="H40" s="385">
        <f>INDEX(wc!$11:$11,MATCH(B38,wc!$7:$7,0))</f>
        <v>3259</v>
      </c>
      <c r="J40" s="385">
        <f>AVERAGE(H40,H39)</f>
        <v>3336</v>
      </c>
      <c r="L40" s="453">
        <f>(D40/D33-1)*100</f>
        <v>1.1728567439262871</v>
      </c>
      <c r="N40" s="791">
        <f>(H40/H33-1)*100</f>
        <v>-2.8614008941877822</v>
      </c>
      <c r="P40" s="791">
        <f>(H40/H39-1)*100</f>
        <v>-4.5121593905654844</v>
      </c>
      <c r="R40" s="453">
        <f>F40/J40</f>
        <v>0.63729016786570747</v>
      </c>
      <c r="T40" s="453">
        <f>F41/H40</f>
        <v>1.0162626572568272</v>
      </c>
      <c r="V40" s="640">
        <f>IF(qtrSales!I40=0," ",qtrSales!I40)</f>
        <v>460</v>
      </c>
      <c r="X40" s="290">
        <f>H40/V40</f>
        <v>7.0847826086956518</v>
      </c>
      <c r="Z40" s="395">
        <f>X40/X33-1</f>
        <v>-3.494913497051777E-2</v>
      </c>
      <c r="AB40" s="385">
        <f>1000*qtrSales!Z40</f>
        <v>84183.006535947716</v>
      </c>
      <c r="AD40" s="977">
        <f>H40/AB40*1000</f>
        <v>38.713276397515529</v>
      </c>
      <c r="AF40" s="791">
        <f>(AD40/AD33-1)*100</f>
        <v>-3.4949134970517659</v>
      </c>
      <c r="AH40" s="781">
        <f>J40/(F40/(365/4))</f>
        <v>143.18438381937912</v>
      </c>
      <c r="AJ40" s="781">
        <f>H40/(F41/(365/4))</f>
        <v>89.789779589371975</v>
      </c>
      <c r="AL40" s="385">
        <f>INDEX('qtrP&amp;L'!$50:$50,MATCH(B38,'qtrP&amp;L'!$6:$6,0))</f>
        <v>291</v>
      </c>
    </row>
    <row r="41" spans="1:38" hidden="1" outlineLevel="1" x14ac:dyDescent="0.2">
      <c r="A41" s="185" t="s">
        <v>97</v>
      </c>
      <c r="B41" s="185" t="s">
        <v>81</v>
      </c>
      <c r="D41" s="385">
        <f>qtrSales!R41</f>
        <v>5555</v>
      </c>
      <c r="F41" s="385">
        <f>INDEX('qtrP&amp;L'!$31:$31,MATCH(B38,'qtrP&amp;L'!$6:$6,0))</f>
        <v>3312</v>
      </c>
      <c r="H41" s="385">
        <f>INDEX(wc!$12:$12,MATCH(B38,wc!$7:$7,0))</f>
        <v>7407</v>
      </c>
      <c r="J41" s="385">
        <f>AVERAGE(H41,H40)</f>
        <v>5333</v>
      </c>
      <c r="L41" s="453">
        <f>(D41/D34-1)*100</f>
        <v>57.588652482269495</v>
      </c>
      <c r="N41" s="791">
        <f>(H41/H34-1)*100</f>
        <v>73.914064334350797</v>
      </c>
      <c r="P41" s="791">
        <f>(H41/H40-1)*100</f>
        <v>127.2783062289046</v>
      </c>
      <c r="R41" s="453">
        <f>F41/J41</f>
        <v>0.62103881492593282</v>
      </c>
      <c r="T41" s="453">
        <f>F42/H41</f>
        <v>0.76387201296071283</v>
      </c>
      <c r="V41" s="640">
        <f>IF(qtrSales!I41=0," ",qtrSales!I41)</f>
        <v>935</v>
      </c>
      <c r="X41" s="290">
        <f>H41/V41</f>
        <v>7.9219251336898395</v>
      </c>
      <c r="Z41" s="395">
        <f>X41/X34-1</f>
        <v>-0.14624004781318711</v>
      </c>
      <c r="AB41" s="385">
        <f>1000*qtrSales!Z41</f>
        <v>84000</v>
      </c>
      <c r="AD41" s="977">
        <f>H41/AB41*1000</f>
        <v>88.178571428571431</v>
      </c>
      <c r="AF41" s="791">
        <f>(AD41/AD34-1)*100</f>
        <v>73.156268847055145</v>
      </c>
      <c r="AH41" s="781">
        <f>J41/(F41/(365/4))</f>
        <v>146.93123490338164</v>
      </c>
      <c r="AJ41" s="781">
        <f>H41/(F42/(365/4))</f>
        <v>119.45718451749735</v>
      </c>
      <c r="AL41" s="385">
        <f>INDEX('qtrP&amp;L'!$51:$51,MATCH(B38,'qtrP&amp;L'!$6:$6,0))</f>
        <v>270</v>
      </c>
    </row>
    <row r="42" spans="1:38" hidden="1" outlineLevel="1" x14ac:dyDescent="0.2">
      <c r="A42" s="185" t="s">
        <v>98</v>
      </c>
      <c r="B42" s="185" t="s">
        <v>82</v>
      </c>
      <c r="D42" s="607">
        <f>qtrSales!R42</f>
        <v>9571</v>
      </c>
      <c r="F42" s="607">
        <f>INDEX('qtrP&amp;L'!$32:$32,MATCH(B38,'qtrP&amp;L'!$6:$6,0))</f>
        <v>5658</v>
      </c>
      <c r="H42" s="607">
        <f>INDEX(wc!$13:$13,MATCH(B38,wc!$7:$7,0))</f>
        <v>5459</v>
      </c>
      <c r="J42" s="607">
        <f>AVERAGE(H42,H41)</f>
        <v>6433</v>
      </c>
      <c r="L42" s="978">
        <f>(D42/D35-1)*100</f>
        <v>86.93359375</v>
      </c>
      <c r="N42" s="791">
        <f>(H42/H35-1)*100</f>
        <v>74.967948717948715</v>
      </c>
      <c r="P42" s="791">
        <f>(H42/H41-1)*100</f>
        <v>-26.299446469555821</v>
      </c>
      <c r="R42" s="453">
        <f>F42/J42</f>
        <v>0.87952743665474897</v>
      </c>
      <c r="T42" s="453">
        <f>F46/H42</f>
        <v>0.66440740062282466</v>
      </c>
      <c r="V42" s="564">
        <f>IF(qtrSales!I42=0," ",qtrSales!I42)</f>
        <v>868</v>
      </c>
      <c r="X42" s="290">
        <f>H42/V42</f>
        <v>6.2891705069124422</v>
      </c>
      <c r="Z42" s="395">
        <f>X42/X35-1</f>
        <v>-7.4766261963842617E-2</v>
      </c>
      <c r="AB42" s="385">
        <f>1000*qtrSales!Z42</f>
        <v>171111.11111111109</v>
      </c>
      <c r="AD42" s="977">
        <f>H42/AB42*1000</f>
        <v>31.903246753246751</v>
      </c>
      <c r="AF42" s="791">
        <f>(AD42/AD35-1)*100</f>
        <v>-14.106643356643367</v>
      </c>
      <c r="AH42" s="781">
        <f>J42/(F42/(365/4))</f>
        <v>103.74889536938848</v>
      </c>
      <c r="AJ42" s="781">
        <f>H42/(F46/(365/4))</f>
        <v>137.34043286462642</v>
      </c>
      <c r="AL42" s="607">
        <f>INDEX('qtrP&amp;L'!$52:$52,MATCH(B38,'qtrP&amp;L'!$6:$6,0))</f>
        <v>1325</v>
      </c>
    </row>
    <row r="43" spans="1:38" hidden="1" outlineLevel="1" x14ac:dyDescent="0.2">
      <c r="B43" s="450" t="s">
        <v>56</v>
      </c>
      <c r="C43" s="450"/>
      <c r="D43" s="543">
        <f>qtrSales!R43</f>
        <v>22390</v>
      </c>
      <c r="F43" s="543">
        <f>INDEX('qtrP&amp;L'!$33:$33,MATCH(B38,'qtrP&amp;L'!$6:$6,0))</f>
        <v>13272</v>
      </c>
      <c r="H43" s="543">
        <f>INDEX(wc!$13:$13,MATCH(B38,wc!$7:$7,0))</f>
        <v>5459</v>
      </c>
      <c r="J43" s="543">
        <f>AVERAGE(J39:J42)</f>
        <v>4592.125</v>
      </c>
      <c r="L43" s="453">
        <f>(D43/D36-1)*100</f>
        <v>41.924442190669374</v>
      </c>
      <c r="N43" s="453"/>
      <c r="R43" s="979">
        <f>F43/J43</f>
        <v>2.8901652285162096</v>
      </c>
      <c r="S43" s="440" t="s">
        <v>123</v>
      </c>
      <c r="V43" s="727">
        <f>V42</f>
        <v>868</v>
      </c>
      <c r="AB43" s="980"/>
      <c r="AL43" s="543">
        <f>INDEX('qtrP&amp;L'!$53:$53,MATCH(B38,'qtrP&amp;L'!$6:$6,0))</f>
        <v>2138</v>
      </c>
    </row>
    <row r="44" spans="1:38" hidden="1" outlineLevel="1" x14ac:dyDescent="0.2">
      <c r="L44" s="453"/>
      <c r="AB44" s="980"/>
    </row>
    <row r="45" spans="1:38" hidden="1" outlineLevel="1" x14ac:dyDescent="0.2">
      <c r="B45" s="976">
        <v>2006</v>
      </c>
      <c r="C45" s="908"/>
      <c r="L45" s="453"/>
      <c r="AB45" s="980"/>
    </row>
    <row r="46" spans="1:38" hidden="1" outlineLevel="1" x14ac:dyDescent="0.2">
      <c r="A46" s="185" t="s">
        <v>95</v>
      </c>
      <c r="B46" s="185" t="s">
        <v>79</v>
      </c>
      <c r="D46" s="543">
        <f>qtrSales!R46</f>
        <v>5930</v>
      </c>
      <c r="F46" s="543">
        <f>INDEX('qtrP&amp;L'!$29:$29,MATCH(B45,'qtrP&amp;L'!$6:$6,0))</f>
        <v>3627</v>
      </c>
      <c r="H46" s="543">
        <f>INDEX(wc!$10:$10,MATCH(B45,wc!$7:$7,0))</f>
        <v>5432</v>
      </c>
      <c r="J46" s="543">
        <f>AVERAGE(H46,H42)</f>
        <v>5445.5</v>
      </c>
      <c r="L46" s="453">
        <f>(D46/D39-1)*100</f>
        <v>62.867344136226322</v>
      </c>
      <c r="M46" s="185" t="s">
        <v>93</v>
      </c>
      <c r="N46" s="791">
        <f>(H46/H39-1)*100</f>
        <v>59.156167594491649</v>
      </c>
      <c r="O46" s="185" t="s">
        <v>93</v>
      </c>
      <c r="P46" s="791">
        <f>(H46/H42-1)*100</f>
        <v>-0.49459607986810372</v>
      </c>
      <c r="Q46" s="185" t="s">
        <v>93</v>
      </c>
      <c r="R46" s="453">
        <f>F46/J46</f>
        <v>0.66605454044624002</v>
      </c>
      <c r="S46" s="185" t="s">
        <v>123</v>
      </c>
      <c r="T46" s="453">
        <f>F47/H46</f>
        <v>0.6388070692194403</v>
      </c>
      <c r="V46" s="640">
        <f>IF(qtrSales!I46=0," ",qtrSales!I46)</f>
        <v>861</v>
      </c>
      <c r="X46" s="290">
        <f>H46/V46</f>
        <v>6.308943089430894</v>
      </c>
      <c r="Z46" s="395">
        <f>X46/X39-1</f>
        <v>-0.15153680690044524</v>
      </c>
      <c r="AB46" s="385">
        <f>1000*qtrSales!Z46</f>
        <v>158849.67320261436</v>
      </c>
      <c r="AD46" s="977">
        <f>H46/AB46*1000</f>
        <v>34.195852534562221</v>
      </c>
      <c r="AF46" s="791">
        <f>(AD46/AD39-1)*100</f>
        <v>-15.837925200608648</v>
      </c>
      <c r="AG46" s="185" t="s">
        <v>93</v>
      </c>
      <c r="AH46" s="781">
        <f>J46/(F46/(365/4))</f>
        <v>137.00079266611525</v>
      </c>
      <c r="AJ46" s="781">
        <f>H46/(F47/(365/4))</f>
        <v>142.84438040345822</v>
      </c>
      <c r="AL46" s="543">
        <f>INDEX('qtrP&amp;L'!$49:$49,MATCH(B45,'qtrP&amp;L'!$6:$6,0))</f>
        <v>149</v>
      </c>
    </row>
    <row r="47" spans="1:38" hidden="1" outlineLevel="1" x14ac:dyDescent="0.2">
      <c r="A47" s="185" t="s">
        <v>96</v>
      </c>
      <c r="B47" s="185" t="s">
        <v>80</v>
      </c>
      <c r="D47" s="385">
        <f>qtrSales!R47</f>
        <v>5995</v>
      </c>
      <c r="F47" s="385">
        <f>INDEX('qtrP&amp;L'!$30:$30,MATCH(B45,'qtrP&amp;L'!$6:$6,0))</f>
        <v>3470</v>
      </c>
      <c r="H47" s="385">
        <f>INDEX(wc!$11:$11,MATCH(B45,wc!$7:$7,0))</f>
        <v>5168</v>
      </c>
      <c r="J47" s="385">
        <f>AVERAGE(H47,H46)</f>
        <v>5300</v>
      </c>
      <c r="L47" s="453">
        <f>(D47/D40-1)*100</f>
        <v>65.470604471432509</v>
      </c>
      <c r="N47" s="791">
        <f>(H47/H40-1)*100</f>
        <v>58.57625038355323</v>
      </c>
      <c r="P47" s="791">
        <f>(H47/H46-1)*100</f>
        <v>-4.8600883652430094</v>
      </c>
      <c r="R47" s="453">
        <f>F47/J47</f>
        <v>0.65471698113207544</v>
      </c>
      <c r="T47" s="453">
        <f>F48/H47</f>
        <v>0.67976006191950467</v>
      </c>
      <c r="V47" s="640">
        <f>IF(qtrSales!I47=0," ",qtrSales!I47)</f>
        <v>856</v>
      </c>
      <c r="X47" s="290">
        <f>H47/V47</f>
        <v>6.037383177570093</v>
      </c>
      <c r="Z47" s="395">
        <f>X47/X40-1</f>
        <v>-0.14783790681735409</v>
      </c>
      <c r="AB47" s="385">
        <f>1000*qtrSales!Z47</f>
        <v>157568.62745098036</v>
      </c>
      <c r="AD47" s="977">
        <f>H47/AB47*1000</f>
        <v>32.798407167745154</v>
      </c>
      <c r="AF47" s="791">
        <f>(AD47/AD40-1)*100</f>
        <v>-15.278658331667238</v>
      </c>
      <c r="AH47" s="781">
        <f>J47/(F47/(365/4))</f>
        <v>139.37319884726224</v>
      </c>
      <c r="AJ47" s="781">
        <f>H47/(F48/(365/4))</f>
        <v>134.23854255621976</v>
      </c>
      <c r="AL47" s="385">
        <f>INDEX('qtrP&amp;L'!$50:$50,MATCH(B45,'qtrP&amp;L'!$6:$6,0))</f>
        <v>408</v>
      </c>
    </row>
    <row r="48" spans="1:38" hidden="1" outlineLevel="1" x14ac:dyDescent="0.2">
      <c r="A48" s="185" t="s">
        <v>97</v>
      </c>
      <c r="B48" s="185" t="s">
        <v>81</v>
      </c>
      <c r="D48" s="385">
        <f>qtrSales!R48</f>
        <v>5886</v>
      </c>
      <c r="F48" s="385">
        <f>INDEX('qtrP&amp;L'!$31:$31,MATCH(B45,'qtrP&amp;L'!$6:$6,0))</f>
        <v>3513</v>
      </c>
      <c r="H48" s="385">
        <f>INDEX(wc!$12:$12,MATCH(B45,wc!$7:$7,0))</f>
        <v>7032</v>
      </c>
      <c r="J48" s="385">
        <f>AVERAGE(H48,H47)</f>
        <v>6100</v>
      </c>
      <c r="L48" s="453">
        <f>(D48/D41-1)*100</f>
        <v>5.9585958595859578</v>
      </c>
      <c r="N48" s="791">
        <f>(H48/H41-1)*100</f>
        <v>-5.0627784528149089</v>
      </c>
      <c r="P48" s="791">
        <f>(H48/H47-1)*100</f>
        <v>36.068111455108351</v>
      </c>
      <c r="R48" s="453">
        <f>F48/J48</f>
        <v>0.57590163934426231</v>
      </c>
      <c r="T48" s="453">
        <f>F49/H48</f>
        <v>0.76919795221843001</v>
      </c>
      <c r="V48" s="640">
        <f>IF(qtrSales!I48=0," ",qtrSales!I48)</f>
        <v>857</v>
      </c>
      <c r="X48" s="290">
        <f>H48/V48</f>
        <v>8.2053675612602106</v>
      </c>
      <c r="Z48" s="395">
        <f>X48/X41-1</f>
        <v>3.5779488291926231E-2</v>
      </c>
      <c r="AB48" s="385">
        <f>1000*qtrSales!Z48</f>
        <v>156287.58169934637</v>
      </c>
      <c r="AD48" s="977">
        <f>H48/AB48*1000</f>
        <v>44.993977919036475</v>
      </c>
      <c r="AF48" s="791">
        <f>(AD48/AD41-1)*100</f>
        <v>-48.974022611056242</v>
      </c>
      <c r="AH48" s="781">
        <f>J48/(F48/(365/4))</f>
        <v>158.44719612866496</v>
      </c>
      <c r="AJ48" s="781">
        <f>H48/(F49/(365/4))</f>
        <v>118.63006100942873</v>
      </c>
      <c r="AL48" s="385">
        <f>INDEX('qtrP&amp;L'!$51:$51,MATCH(B45,'qtrP&amp;L'!$6:$6,0))</f>
        <v>279</v>
      </c>
    </row>
    <row r="49" spans="1:38" hidden="1" outlineLevel="1" x14ac:dyDescent="0.2">
      <c r="A49" s="185" t="s">
        <v>98</v>
      </c>
      <c r="B49" s="185" t="s">
        <v>82</v>
      </c>
      <c r="D49" s="607">
        <f>qtrSales!R49</f>
        <v>9159</v>
      </c>
      <c r="F49" s="607">
        <f>INDEX('qtrP&amp;L'!$32:$32,MATCH(B45,'qtrP&amp;L'!$6:$6,0))</f>
        <v>5409</v>
      </c>
      <c r="H49" s="607">
        <f>INDEX(wc!$13:$13,MATCH(B45,wc!$7:$7,0))</f>
        <v>5317</v>
      </c>
      <c r="J49" s="607">
        <f>AVERAGE(H49,H48)</f>
        <v>6174.5</v>
      </c>
      <c r="L49" s="978">
        <f>(D49/D42-1)*100</f>
        <v>-4.3046703583742518</v>
      </c>
      <c r="N49" s="791">
        <f>(H49/H42-1)*100</f>
        <v>-2.6012090126396825</v>
      </c>
      <c r="P49" s="791">
        <f>(H49/H48-1)*100</f>
        <v>-24.388509670079639</v>
      </c>
      <c r="R49" s="453">
        <f>F49/J49</f>
        <v>0.87602234998785322</v>
      </c>
      <c r="T49" s="453">
        <f>F53/H49</f>
        <v>0.67030280233214223</v>
      </c>
      <c r="V49" s="564">
        <f>IF(qtrSales!I49=0," ",qtrSales!I49)</f>
        <v>858</v>
      </c>
      <c r="X49" s="290">
        <f>H49/V49</f>
        <v>6.1969696969696972</v>
      </c>
      <c r="Z49" s="395">
        <f>X49/X42-1</f>
        <v>-1.4660249684979365E-2</v>
      </c>
      <c r="AB49" s="385">
        <f>1000*qtrSales!Z49</f>
        <v>157385.62091503263</v>
      </c>
      <c r="AD49" s="977">
        <f>H49/AB49*1000</f>
        <v>33.783264119601334</v>
      </c>
      <c r="AF49" s="791">
        <f>(AD49/AD42-1)*100</f>
        <v>5.8928715967231593</v>
      </c>
      <c r="AH49" s="781">
        <f>J49/(F49/(365/4))</f>
        <v>104.16400905897578</v>
      </c>
      <c r="AJ49" s="781">
        <f>H49/(F53/(365/4))</f>
        <v>136.13250561167229</v>
      </c>
      <c r="AL49" s="607">
        <f>INDEX('qtrP&amp;L'!$52:$52,MATCH(B45,'qtrP&amp;L'!$6:$6,0))</f>
        <v>1437</v>
      </c>
    </row>
    <row r="50" spans="1:38" hidden="1" outlineLevel="1" x14ac:dyDescent="0.2">
      <c r="B50" s="450" t="s">
        <v>56</v>
      </c>
      <c r="C50" s="450"/>
      <c r="D50" s="543">
        <f>qtrSales!R50</f>
        <v>26970</v>
      </c>
      <c r="F50" s="543">
        <f>INDEX('qtrP&amp;L'!$33:$33,MATCH(B45,'qtrP&amp;L'!$6:$6,0))</f>
        <v>16019</v>
      </c>
      <c r="H50" s="543">
        <f>INDEX(wc!$13:$13,MATCH(B45,wc!$7:$7,0))</f>
        <v>5317</v>
      </c>
      <c r="J50" s="543">
        <f>AVERAGE(J46:J49)</f>
        <v>5755</v>
      </c>
      <c r="L50" s="453">
        <f>(D50/D43-1)*100</f>
        <v>20.455560518088433</v>
      </c>
      <c r="R50" s="979">
        <f>F50/J50</f>
        <v>2.7834926151172894</v>
      </c>
      <c r="S50" s="440" t="s">
        <v>123</v>
      </c>
      <c r="V50" s="727">
        <f>V49</f>
        <v>858</v>
      </c>
      <c r="AB50" s="980"/>
      <c r="AL50" s="543">
        <f>INDEX('qtrP&amp;L'!$53:$53,MATCH(B45,'qtrP&amp;L'!$6:$6,0))</f>
        <v>2273</v>
      </c>
    </row>
    <row r="51" spans="1:38" hidden="1" outlineLevel="1" x14ac:dyDescent="0.2">
      <c r="L51" s="453"/>
      <c r="AB51" s="980"/>
    </row>
    <row r="52" spans="1:38" hidden="1" outlineLevel="1" x14ac:dyDescent="0.2">
      <c r="B52" s="976">
        <v>2007</v>
      </c>
      <c r="C52" s="908"/>
      <c r="L52" s="453"/>
      <c r="AB52" s="980"/>
    </row>
    <row r="53" spans="1:38" hidden="1" outlineLevel="1" x14ac:dyDescent="0.2">
      <c r="A53" s="185" t="s">
        <v>95</v>
      </c>
      <c r="B53" s="185" t="s">
        <v>79</v>
      </c>
      <c r="D53" s="543">
        <f>qtrSales!R53</f>
        <v>5921</v>
      </c>
      <c r="F53" s="543">
        <f>INDEX('qtrP&amp;L'!$29:$29,MATCH(B52,'qtrP&amp;L'!$6:$6,0))</f>
        <v>3564</v>
      </c>
      <c r="H53" s="543">
        <f>INDEX(wc!$10:$10,MATCH(B52,wc!$7:$7,0))</f>
        <v>5499</v>
      </c>
      <c r="J53" s="543">
        <f>AVERAGE(H53,H49)</f>
        <v>5408</v>
      </c>
      <c r="L53" s="453">
        <f>(D53/D46-1)*100</f>
        <v>-0.15177065767284503</v>
      </c>
      <c r="M53" s="185" t="s">
        <v>93</v>
      </c>
      <c r="N53" s="791">
        <f>(H53/H46-1)*100</f>
        <v>1.2334315169366672</v>
      </c>
      <c r="O53" s="185" t="s">
        <v>93</v>
      </c>
      <c r="P53" s="791">
        <f>(H53/H49-1)*100</f>
        <v>3.4229828850855792</v>
      </c>
      <c r="Q53" s="185" t="s">
        <v>93</v>
      </c>
      <c r="R53" s="453">
        <f>F53/J53</f>
        <v>0.65902366863905326</v>
      </c>
      <c r="S53" s="185" t="s">
        <v>123</v>
      </c>
      <c r="T53" s="453">
        <f>F54/H53</f>
        <v>0.63775231860338244</v>
      </c>
      <c r="V53" s="640">
        <f>IF(qtrSales!I53=0," ",qtrSales!I53)</f>
        <v>863</v>
      </c>
      <c r="X53" s="290">
        <f>H53/V53</f>
        <v>6.3719582850521439</v>
      </c>
      <c r="Z53" s="395">
        <f>X53/X46-1</f>
        <v>9.9882333265641776E-3</v>
      </c>
      <c r="AB53" s="385">
        <f>1000*qtrSales!Z53</f>
        <v>156400</v>
      </c>
      <c r="AD53" s="977">
        <f>H53/AB53*1000</f>
        <v>35.159846547314579</v>
      </c>
      <c r="AF53" s="791">
        <f>(AD53/AD46-1)*100</f>
        <v>2.8190378110270364</v>
      </c>
      <c r="AG53" s="185" t="s">
        <v>93</v>
      </c>
      <c r="AH53" s="781">
        <f>J53/(F53/(365/4))</f>
        <v>138.46240179573513</v>
      </c>
      <c r="AJ53" s="781">
        <f>H53/(F54/(365/4))</f>
        <v>143.08062446535499</v>
      </c>
      <c r="AL53" s="543">
        <f>INDEX('qtrP&amp;L'!$49:$49,MATCH(B52,'qtrP&amp;L'!$6:$6,0))</f>
        <v>244</v>
      </c>
    </row>
    <row r="54" spans="1:38" hidden="1" outlineLevel="1" x14ac:dyDescent="0.2">
      <c r="A54" s="185" t="s">
        <v>96</v>
      </c>
      <c r="B54" s="185" t="s">
        <v>80</v>
      </c>
      <c r="D54" s="385">
        <f>qtrSales!R54</f>
        <v>5892</v>
      </c>
      <c r="F54" s="385">
        <f>INDEX('qtrP&amp;L'!$30:$30,MATCH(B52,'qtrP&amp;L'!$6:$6,0))</f>
        <v>3507</v>
      </c>
      <c r="H54" s="385">
        <f>INDEX(wc!$11:$11,MATCH(B52,wc!$7:$7,0))</f>
        <v>5200</v>
      </c>
      <c r="J54" s="385">
        <f>AVERAGE(H54,H53)</f>
        <v>5349.5</v>
      </c>
      <c r="L54" s="453">
        <f>(D54/D47-1)*100</f>
        <v>-1.7180984153461254</v>
      </c>
      <c r="N54" s="791">
        <f>(H54/H47-1)*100</f>
        <v>0.61919504643963563</v>
      </c>
      <c r="P54" s="791">
        <f>(H54/H53-1)*100</f>
        <v>-5.4373522458628809</v>
      </c>
      <c r="R54" s="453">
        <f>F54/J54</f>
        <v>0.65557528741003834</v>
      </c>
      <c r="T54" s="453">
        <f>F55/H54</f>
        <v>0.68942307692307692</v>
      </c>
      <c r="V54" s="640">
        <f>IF(qtrSales!I54=0," ",qtrSales!I54)</f>
        <v>863</v>
      </c>
      <c r="X54" s="290">
        <f>H54/V54</f>
        <v>6.0254924681344146</v>
      </c>
      <c r="Z54" s="395">
        <f>X54/X47-1</f>
        <v>-1.9695137919777395E-3</v>
      </c>
      <c r="AB54" s="385">
        <f>1000*qtrSales!Z54</f>
        <v>157047</v>
      </c>
      <c r="AD54" s="977">
        <f>H54/AB54*1000</f>
        <v>33.111106866097408</v>
      </c>
      <c r="AF54" s="791">
        <f>(AD54/AD47-1)*100</f>
        <v>0.95339903780380375</v>
      </c>
      <c r="AH54" s="781">
        <f>J54/(F54/(365/4))</f>
        <v>139.19072569147417</v>
      </c>
      <c r="AJ54" s="781">
        <f>H54/(F55/(365/4))</f>
        <v>132.35704323570434</v>
      </c>
      <c r="AL54" s="385">
        <f>INDEX('qtrP&amp;L'!$50:$50,MATCH(B52,'qtrP&amp;L'!$6:$6,0))</f>
        <v>347</v>
      </c>
    </row>
    <row r="55" spans="1:38" hidden="1" outlineLevel="1" x14ac:dyDescent="0.2">
      <c r="A55" s="185" t="s">
        <v>97</v>
      </c>
      <c r="B55" s="185" t="s">
        <v>81</v>
      </c>
      <c r="D55" s="385">
        <f>qtrSales!R55</f>
        <v>5906</v>
      </c>
      <c r="F55" s="385">
        <f>INDEX('qtrP&amp;L'!$31:$31,MATCH(B52,'qtrP&amp;L'!$6:$6,0))</f>
        <v>3585</v>
      </c>
      <c r="H55" s="385">
        <f>INDEX(wc!$12:$12,MATCH(B52,wc!$7:$7,0))</f>
        <v>7012</v>
      </c>
      <c r="J55" s="385">
        <f>AVERAGE(H55,H54)</f>
        <v>6106</v>
      </c>
      <c r="L55" s="453">
        <f>(D55/D48-1)*100</f>
        <v>0.3397893306150257</v>
      </c>
      <c r="N55" s="791">
        <f>(H55/H48-1)*100</f>
        <v>-0.28441410693970104</v>
      </c>
      <c r="P55" s="791">
        <f>(H55/H54-1)*100</f>
        <v>34.84615384615384</v>
      </c>
      <c r="R55" s="453">
        <f>F55/J55</f>
        <v>0.5871274156567311</v>
      </c>
      <c r="T55" s="453">
        <f>F56/H55</f>
        <v>0.71605818596691384</v>
      </c>
      <c r="V55" s="640">
        <f>IF(qtrSales!I55=0," ",qtrSales!I55)</f>
        <v>866</v>
      </c>
      <c r="X55" s="290">
        <f>H55/V55</f>
        <v>8.0969976905311771</v>
      </c>
      <c r="Z55" s="395">
        <f>X55/X48-1</f>
        <v>-1.3207192721100935E-2</v>
      </c>
      <c r="AB55" s="385">
        <f>1000*qtrSales!Z55</f>
        <v>157064.78794901507</v>
      </c>
      <c r="AD55" s="977">
        <f>H55/AB55*1000</f>
        <v>44.643997496601031</v>
      </c>
      <c r="AF55" s="791">
        <f>(AD55/AD48-1)*100</f>
        <v>-0.7778383655368426</v>
      </c>
      <c r="AH55" s="781">
        <f>J55/(F55/(365/4))</f>
        <v>155.41771269177127</v>
      </c>
      <c r="AJ55" s="781">
        <f>H55/(F56/(365/4))</f>
        <v>127.43377813184625</v>
      </c>
      <c r="AL55" s="385">
        <f>INDEX('qtrP&amp;L'!$51:$51,MATCH(B52,'qtrP&amp;L'!$6:$6,0))</f>
        <v>200</v>
      </c>
    </row>
    <row r="56" spans="1:38" hidden="1" outlineLevel="1" x14ac:dyDescent="0.2">
      <c r="A56" s="185" t="s">
        <v>98</v>
      </c>
      <c r="B56" s="185" t="s">
        <v>82</v>
      </c>
      <c r="D56" s="607">
        <f>qtrSales!R56</f>
        <v>8594</v>
      </c>
      <c r="F56" s="607">
        <f>INDEX('qtrP&amp;L'!$32:$32,MATCH(B52,'qtrP&amp;L'!$6:$6,0))</f>
        <v>5021</v>
      </c>
      <c r="H56" s="607">
        <f>INDEX(wc!$13:$13,MATCH(B52,wc!$7:$7,0))</f>
        <v>5060</v>
      </c>
      <c r="J56" s="607">
        <f>AVERAGE(H56,H55)</f>
        <v>6036</v>
      </c>
      <c r="L56" s="978">
        <f>(D56/D49-1)*100</f>
        <v>-6.1687957200567745</v>
      </c>
      <c r="N56" s="791">
        <f>(H56/H49-1)*100</f>
        <v>-4.8335527553131419</v>
      </c>
      <c r="P56" s="791">
        <f>(H56/H55-1)*100</f>
        <v>-27.837992013690815</v>
      </c>
      <c r="R56" s="453">
        <f>F56/J56</f>
        <v>0.83184227965540092</v>
      </c>
      <c r="T56" s="453">
        <f>F60/H56</f>
        <v>0.69703557312252962</v>
      </c>
      <c r="V56" s="564">
        <f>IF(qtrSales!I56=0," ",qtrSales!I56)</f>
        <v>852</v>
      </c>
      <c r="X56" s="290">
        <f>H56/V56</f>
        <v>5.938967136150235</v>
      </c>
      <c r="Z56" s="395">
        <f>X56/X49-1</f>
        <v>-4.1633665071111214E-2</v>
      </c>
      <c r="AB56" s="385">
        <f>1000*qtrSales!Z56</f>
        <v>157521</v>
      </c>
      <c r="AD56" s="977">
        <f>H56/AB56*1000</f>
        <v>32.122701100170772</v>
      </c>
      <c r="AF56" s="791">
        <f>(AD56/AD49-1)*100</f>
        <v>-4.9153421456012865</v>
      </c>
      <c r="AH56" s="781">
        <f>J56/(F56/(365/4))</f>
        <v>109.69627564230234</v>
      </c>
      <c r="AJ56" s="781">
        <f>H56/(F60/(365/4))</f>
        <v>130.91153955202722</v>
      </c>
      <c r="AL56" s="607">
        <f>INDEX('qtrP&amp;L'!$52:$52,MATCH(B52,'qtrP&amp;L'!$6:$6,0))</f>
        <v>1291</v>
      </c>
    </row>
    <row r="57" spans="1:38" hidden="1" outlineLevel="1" x14ac:dyDescent="0.2">
      <c r="B57" s="450" t="s">
        <v>56</v>
      </c>
      <c r="C57" s="450"/>
      <c r="D57" s="543">
        <f>qtrSales!R57</f>
        <v>26313</v>
      </c>
      <c r="F57" s="543">
        <f>INDEX('qtrP&amp;L'!$33:$33,MATCH(B52,'qtrP&amp;L'!$6:$6,0))</f>
        <v>15677</v>
      </c>
      <c r="H57" s="543">
        <f>INDEX(wc!$13:$13,MATCH(B52,wc!$7:$7,0))</f>
        <v>5060</v>
      </c>
      <c r="J57" s="543">
        <f>AVERAGE(J53:J56)</f>
        <v>5724.875</v>
      </c>
      <c r="L57" s="453">
        <f>(D57/D50-1)*100</f>
        <v>-2.4360400444938812</v>
      </c>
      <c r="R57" s="979">
        <f>F57/J57</f>
        <v>2.7384004017554968</v>
      </c>
      <c r="S57" s="440" t="s">
        <v>123</v>
      </c>
      <c r="V57" s="727">
        <f>V56</f>
        <v>852</v>
      </c>
      <c r="AB57" s="980"/>
      <c r="AL57" s="543">
        <f>INDEX('qtrP&amp;L'!$53:$53,MATCH(B52,'qtrP&amp;L'!$6:$6,0))</f>
        <v>2082</v>
      </c>
    </row>
    <row r="58" spans="1:38" hidden="1" outlineLevel="1" x14ac:dyDescent="0.2">
      <c r="L58" s="453"/>
      <c r="AB58" s="980"/>
    </row>
    <row r="59" spans="1:38" hidden="1" outlineLevel="1" x14ac:dyDescent="0.2">
      <c r="B59" s="976">
        <v>2008</v>
      </c>
      <c r="C59" s="981"/>
      <c r="L59" s="453"/>
      <c r="AB59" s="980"/>
      <c r="AH59" s="781"/>
    </row>
    <row r="60" spans="1:38" hidden="1" outlineLevel="1" x14ac:dyDescent="0.2">
      <c r="A60" s="185" t="s">
        <v>95</v>
      </c>
      <c r="B60" s="185" t="s">
        <v>79</v>
      </c>
      <c r="D60" s="543">
        <f>qtrSales!R60</f>
        <v>5747</v>
      </c>
      <c r="F60" s="543">
        <f>INDEX('qtrP&amp;L'!$29:$29,MATCH(B59,'qtrP&amp;L'!$6:$6,0))</f>
        <v>3527</v>
      </c>
      <c r="H60" s="543">
        <f>INDEX(wc!$10:$10,MATCH(B59,wc!$7:$7,0))</f>
        <v>5284</v>
      </c>
      <c r="J60" s="543">
        <f>AVERAGE(H60,H56)</f>
        <v>5172</v>
      </c>
      <c r="L60" s="453">
        <f>(D60/D53-1)*100</f>
        <v>-2.9386927883803371</v>
      </c>
      <c r="M60" s="185" t="s">
        <v>93</v>
      </c>
      <c r="N60" s="791">
        <f>(H60/H53-1)*100</f>
        <v>-3.9098017821422082</v>
      </c>
      <c r="O60" s="185" t="s">
        <v>93</v>
      </c>
      <c r="P60" s="791">
        <f>(H60/H56-1)*100</f>
        <v>4.4268774703557279</v>
      </c>
      <c r="Q60" s="185" t="s">
        <v>93</v>
      </c>
      <c r="R60" s="453">
        <f>F60/J60</f>
        <v>0.68194122196442386</v>
      </c>
      <c r="S60" s="185" t="s">
        <v>123</v>
      </c>
      <c r="T60" s="453">
        <f>F61/H60</f>
        <v>0.63323239969719913</v>
      </c>
      <c r="V60" s="640">
        <f>IF(qtrSales!I60=0," ",qtrSales!I60)</f>
        <v>851</v>
      </c>
      <c r="X60" s="290">
        <f>H60/V60</f>
        <v>6.2091656874265571</v>
      </c>
      <c r="Z60" s="395">
        <f>X60/X53-1</f>
        <v>-2.5548283642640723E-2</v>
      </c>
      <c r="AB60" s="385">
        <f>1000*qtrSales!Z60</f>
        <v>154961</v>
      </c>
      <c r="AD60" s="977">
        <f>H60/AB60*1000</f>
        <v>34.098902304450796</v>
      </c>
      <c r="AF60" s="791">
        <f>(AD60/AD53-1)*100</f>
        <v>-3.0174882630277455</v>
      </c>
      <c r="AG60" s="185" t="s">
        <v>93</v>
      </c>
      <c r="AH60" s="781">
        <f>J60/(F60/(365/4))</f>
        <v>133.80918627728948</v>
      </c>
      <c r="AJ60" s="781">
        <f>H60/(F61/(365/4))</f>
        <v>144.10191273161985</v>
      </c>
      <c r="AL60" s="543">
        <f>INDEX('qtrP&amp;L'!$49:$49,MATCH(B59,'qtrP&amp;L'!$6:$6,0))</f>
        <v>140</v>
      </c>
    </row>
    <row r="61" spans="1:38" hidden="1" outlineLevel="1" x14ac:dyDescent="0.2">
      <c r="A61" s="185" t="s">
        <v>96</v>
      </c>
      <c r="B61" s="185" t="s">
        <v>80</v>
      </c>
      <c r="D61" s="385">
        <f>qtrSales!R61</f>
        <v>5718</v>
      </c>
      <c r="F61" s="385">
        <f>INDEX('qtrP&amp;L'!$30:$30,MATCH(B59,'qtrP&amp;L'!$6:$6,0))</f>
        <v>3346</v>
      </c>
      <c r="H61" s="385">
        <f>INDEX(wc!$11:$11,MATCH(B59,wc!$7:$7,0))</f>
        <v>5008</v>
      </c>
      <c r="J61" s="385">
        <f>AVERAGE(H61,H60)</f>
        <v>5146</v>
      </c>
      <c r="L61" s="453">
        <f>(D61/D54-1)*100</f>
        <v>-2.9531568228105876</v>
      </c>
      <c r="N61" s="791">
        <f>(H61/H54-1)*100</f>
        <v>-3.6923076923076947</v>
      </c>
      <c r="P61" s="791">
        <f>(H61/H60-1)*100</f>
        <v>-5.2233156699470147</v>
      </c>
      <c r="R61" s="453">
        <f>F61/J61</f>
        <v>0.65021375825884187</v>
      </c>
      <c r="T61" s="453">
        <f>F62/H61</f>
        <v>0.66373801916932906</v>
      </c>
      <c r="V61" s="640">
        <f>IF(qtrSales!I61=0," ",qtrSales!I61)</f>
        <v>855</v>
      </c>
      <c r="X61" s="290">
        <f>H61/V61</f>
        <v>5.8573099415204677</v>
      </c>
      <c r="Z61" s="395">
        <f>X61/X54-1</f>
        <v>-2.7911830859199238E-2</v>
      </c>
      <c r="AB61" s="385">
        <f>1000*qtrSales!Z61</f>
        <v>155230.19506462986</v>
      </c>
      <c r="AD61" s="977">
        <f>H61/AB61*1000</f>
        <v>32.261764522778101</v>
      </c>
      <c r="AF61" s="791">
        <f>(AD61/AD54-1)*100</f>
        <v>-2.5651282113705265</v>
      </c>
      <c r="AH61" s="781">
        <f>J61/(F61/(365/4))</f>
        <v>140.33846383741781</v>
      </c>
      <c r="AJ61" s="781">
        <f>H61/(F62/(365/4))</f>
        <v>137.47894103489773</v>
      </c>
      <c r="AL61" s="385">
        <f>INDEX('qtrP&amp;L'!$50:$50,MATCH(B59,'qtrP&amp;L'!$6:$6,0))</f>
        <v>335</v>
      </c>
    </row>
    <row r="62" spans="1:38" hidden="1" outlineLevel="1" x14ac:dyDescent="0.2">
      <c r="A62" s="185" t="s">
        <v>97</v>
      </c>
      <c r="B62" s="185" t="s">
        <v>81</v>
      </c>
      <c r="D62" s="385">
        <f>qtrSales!R62</f>
        <v>5493</v>
      </c>
      <c r="F62" s="385">
        <f>INDEX('qtrP&amp;L'!$31:$31,MATCH(B59,'qtrP&amp;L'!$6:$6,0))</f>
        <v>3324</v>
      </c>
      <c r="H62" s="385">
        <f>INDEX(wc!$12:$12,MATCH(B59,wc!$7:$7,0))</f>
        <v>6915</v>
      </c>
      <c r="J62" s="385">
        <f>AVERAGE(H62,H61)</f>
        <v>5961.5</v>
      </c>
      <c r="L62" s="453">
        <f>(D62/D55-1)*100</f>
        <v>-6.9928885878767328</v>
      </c>
      <c r="N62" s="791">
        <f>(H62/H55-1)*100</f>
        <v>-1.3833428408442705</v>
      </c>
      <c r="P62" s="791">
        <f>(H62/H61-1)*100</f>
        <v>38.079073482428115</v>
      </c>
      <c r="R62" s="453">
        <f>F62/J62</f>
        <v>0.55757779082445691</v>
      </c>
      <c r="T62" s="453">
        <f>F63/H62</f>
        <v>0.69587852494577007</v>
      </c>
      <c r="V62" s="640">
        <f>IF(qtrSales!I62=0," ",qtrSales!I62)</f>
        <v>856</v>
      </c>
      <c r="X62" s="290">
        <f>H62/V62</f>
        <v>8.0782710280373831</v>
      </c>
      <c r="Z62" s="395">
        <f>X62/X55-1</f>
        <v>-2.3127908898495919E-3</v>
      </c>
      <c r="AB62" s="385">
        <f>1000*qtrSales!Z62</f>
        <v>155787.99532163743</v>
      </c>
      <c r="AD62" s="977">
        <f>H62/AB62*1000</f>
        <v>44.387245536624313</v>
      </c>
      <c r="AF62" s="791">
        <f>(AD62/AD55-1)*100</f>
        <v>-0.57510969978946669</v>
      </c>
      <c r="AH62" s="781">
        <f>J62/(F62/(365/4))</f>
        <v>163.65429452466907</v>
      </c>
      <c r="AJ62" s="781">
        <f>H62/(F63/(365/4))</f>
        <v>131.12920822942644</v>
      </c>
      <c r="AL62" s="385">
        <f>INDEX('qtrP&amp;L'!$51:$51,MATCH(B59,'qtrP&amp;L'!$6:$6,0))</f>
        <v>84</v>
      </c>
    </row>
    <row r="63" spans="1:38" hidden="1" outlineLevel="1" x14ac:dyDescent="0.2">
      <c r="A63" s="185" t="s">
        <v>98</v>
      </c>
      <c r="B63" s="185" t="s">
        <v>82</v>
      </c>
      <c r="D63" s="607">
        <f>qtrSales!R63</f>
        <v>7934</v>
      </c>
      <c r="F63" s="607">
        <f>INDEX('qtrP&amp;L'!$32:$32,MATCH(B59,'qtrP&amp;L'!$6:$6,0))</f>
        <v>4812</v>
      </c>
      <c r="H63" s="607">
        <f>INDEX(wc!$13:$13,MATCH(B59,wc!$7:$7,0))</f>
        <v>4769</v>
      </c>
      <c r="J63" s="607">
        <f>AVERAGE(H63,H62)</f>
        <v>5842</v>
      </c>
      <c r="L63" s="978">
        <f>(D63/D56-1)*100</f>
        <v>-7.6797765883174325</v>
      </c>
      <c r="N63" s="791">
        <f>(H63/H56-1)*100</f>
        <v>-5.7509881422924902</v>
      </c>
      <c r="P63" s="791">
        <f>(H63/H62-1)*100</f>
        <v>-31.033984092552423</v>
      </c>
      <c r="R63" s="453">
        <f>F63/J63</f>
        <v>0.82369051694625128</v>
      </c>
      <c r="T63" s="453">
        <f>F67/H63</f>
        <v>0.68756552736422727</v>
      </c>
      <c r="V63" s="564">
        <f>IF(qtrSales!I63=0," ",qtrSales!I63)</f>
        <v>847</v>
      </c>
      <c r="X63" s="290">
        <f>H63/V63</f>
        <v>5.6304604486422667</v>
      </c>
      <c r="Z63" s="395">
        <f>X63/X56-1</f>
        <v>-5.1946185327428673E-2</v>
      </c>
      <c r="AB63" s="385">
        <f>1000*qtrSales!Z63</f>
        <v>155964.69626168223</v>
      </c>
      <c r="AD63" s="977">
        <f>H63/AB63*1000</f>
        <v>30.577432677446627</v>
      </c>
      <c r="AF63" s="791">
        <f>(AD63/AD56-1)*100</f>
        <v>-4.8105183244254945</v>
      </c>
      <c r="AH63" s="781">
        <f>J63/(F63/(365/4))</f>
        <v>110.78189941812136</v>
      </c>
      <c r="AJ63" s="781">
        <f>H63/(F67/(365/4))</f>
        <v>132.71462336078073</v>
      </c>
      <c r="AL63" s="607">
        <f>INDEX('qtrP&amp;L'!$52:$52,MATCH(B59,'qtrP&amp;L'!$6:$6,0))</f>
        <v>866</v>
      </c>
    </row>
    <row r="64" spans="1:38" hidden="1" outlineLevel="1" x14ac:dyDescent="0.2">
      <c r="B64" s="450" t="s">
        <v>56</v>
      </c>
      <c r="C64" s="450"/>
      <c r="D64" s="543">
        <f>qtrSales!R64</f>
        <v>24892</v>
      </c>
      <c r="F64" s="543">
        <f>INDEX('qtrP&amp;L'!$33:$33,MATCH(B59,'qtrP&amp;L'!$6:$6,0))</f>
        <v>15009</v>
      </c>
      <c r="H64" s="543">
        <f>INDEX(wc!$13:$13,MATCH(B59,wc!$7:$7,0))</f>
        <v>4769</v>
      </c>
      <c r="J64" s="543">
        <f>AVERAGE(J60:J63)</f>
        <v>5530.375</v>
      </c>
      <c r="L64" s="453">
        <f>(D64/D57-1)*100</f>
        <v>-5.4003724394785841</v>
      </c>
      <c r="R64" s="979">
        <f>F64/J64</f>
        <v>2.7139208462355628</v>
      </c>
      <c r="S64" s="440" t="s">
        <v>123</v>
      </c>
      <c r="V64" s="727">
        <f>V63</f>
        <v>847</v>
      </c>
      <c r="AB64" s="385"/>
      <c r="AL64" s="543">
        <f>INDEX('qtrP&amp;L'!$53:$53,MATCH(B59,'qtrP&amp;L'!$6:$6,0))</f>
        <v>1425</v>
      </c>
    </row>
    <row r="65" spans="1:38" hidden="1" outlineLevel="1" x14ac:dyDescent="0.2">
      <c r="L65" s="453"/>
      <c r="AB65" s="980"/>
    </row>
    <row r="66" spans="1:38" hidden="1" outlineLevel="1" x14ac:dyDescent="0.2">
      <c r="B66" s="976">
        <v>2009</v>
      </c>
      <c r="C66" s="981"/>
      <c r="L66" s="453"/>
      <c r="AB66" s="980"/>
      <c r="AH66" s="781"/>
    </row>
    <row r="67" spans="1:38" hidden="1" outlineLevel="1" x14ac:dyDescent="0.2">
      <c r="A67" s="185" t="s">
        <v>95</v>
      </c>
      <c r="B67" s="185" t="s">
        <v>79</v>
      </c>
      <c r="D67" s="543">
        <f>qtrSales!R67</f>
        <v>5288</v>
      </c>
      <c r="F67" s="543">
        <f>INDEX('qtrP&amp;L'!$29:$29,MATCH(B66,'qtrP&amp;L'!$6:$6,0))</f>
        <v>3279</v>
      </c>
      <c r="H67" s="543">
        <f>INDEX(wc!$10:$10,MATCH(B66,wc!$7:$7,0))</f>
        <v>5026</v>
      </c>
      <c r="J67" s="543">
        <f>AVERAGE(H67,H63)</f>
        <v>4897.5</v>
      </c>
      <c r="L67" s="453">
        <f>(D67/D60-1)*100</f>
        <v>-7.9867757090655971</v>
      </c>
      <c r="M67" s="185" t="s">
        <v>93</v>
      </c>
      <c r="N67" s="791">
        <f>(H67/H60-1)*100</f>
        <v>-4.8826646479939395</v>
      </c>
      <c r="O67" s="185" t="s">
        <v>93</v>
      </c>
      <c r="P67" s="791">
        <f>(H67/H63-1)*100</f>
        <v>5.388970434053264</v>
      </c>
      <c r="Q67" s="185" t="s">
        <v>93</v>
      </c>
      <c r="R67" s="453">
        <f>F67/J67</f>
        <v>0.66952526799387446</v>
      </c>
      <c r="S67" s="185" t="s">
        <v>123</v>
      </c>
      <c r="T67" s="453">
        <f>F68/H67</f>
        <v>0.62017508953442102</v>
      </c>
      <c r="V67" s="640">
        <f>IF(qtrSales!I67=0," ",qtrSales!I67)</f>
        <v>848</v>
      </c>
      <c r="X67" s="290">
        <f>H67/V67</f>
        <v>5.9268867924528301</v>
      </c>
      <c r="Z67" s="395">
        <f>X67/X60-1</f>
        <v>-4.5461646408524126E-2</v>
      </c>
      <c r="AB67" s="385">
        <f>1000*qtrSales!Z67</f>
        <v>154091</v>
      </c>
      <c r="AD67" s="977">
        <f>H67/AB67*1000</f>
        <v>32.617089901421892</v>
      </c>
      <c r="AF67" s="791">
        <f>(AD67/AD60-1)*100</f>
        <v>-4.3456308059379616</v>
      </c>
      <c r="AG67" s="185" t="s">
        <v>93</v>
      </c>
      <c r="AH67" s="781">
        <f>J67/(F67/(365/4))</f>
        <v>136.29059926806954</v>
      </c>
      <c r="AJ67" s="781">
        <f>H67/(F68/(365/4))</f>
        <v>147.13586782162338</v>
      </c>
      <c r="AL67" s="543">
        <f>INDEX('qtrP&amp;L'!$49:$49,MATCH(B66,'qtrP&amp;L'!$6:$6,0))</f>
        <v>24</v>
      </c>
    </row>
    <row r="68" spans="1:38" hidden="1" outlineLevel="1" x14ac:dyDescent="0.2">
      <c r="A68" s="185" t="s">
        <v>96</v>
      </c>
      <c r="B68" s="185" t="s">
        <v>80</v>
      </c>
      <c r="D68" s="385">
        <f>qtrSales!R68</f>
        <v>5285</v>
      </c>
      <c r="F68" s="385">
        <f>INDEX('qtrP&amp;L'!$30:$30,MATCH(B66,'qtrP&amp;L'!$6:$6,0))</f>
        <v>3117</v>
      </c>
      <c r="H68" s="385">
        <f>INDEX(wc!$11:$11,MATCH(B66,wc!$7:$7,0))</f>
        <v>4634</v>
      </c>
      <c r="J68" s="385">
        <f>AVERAGE(H68,H67)</f>
        <v>4830</v>
      </c>
      <c r="L68" s="453">
        <f>(D68/D61-1)*100</f>
        <v>-7.5725778244141289</v>
      </c>
      <c r="N68" s="791">
        <f>(H68/H61-1)*100</f>
        <v>-7.4680511182108607</v>
      </c>
      <c r="P68" s="791">
        <f>(H68/H67-1)*100</f>
        <v>-7.799442896935938</v>
      </c>
      <c r="R68" s="453">
        <f>F68/J68</f>
        <v>0.64534161490683228</v>
      </c>
      <c r="T68" s="453">
        <f>F69/H68</f>
        <v>0.69939577039274925</v>
      </c>
      <c r="V68" s="640">
        <f>IF(qtrSales!I68=0," ",qtrSales!I68)</f>
        <v>848</v>
      </c>
      <c r="X68" s="290">
        <f>H68/V68</f>
        <v>5.4646226415094343</v>
      </c>
      <c r="Z68" s="395">
        <f>X68/X61-1</f>
        <v>-6.7042260684791022E-2</v>
      </c>
      <c r="AB68" s="385">
        <f>1000*qtrSales!Z68</f>
        <v>154443</v>
      </c>
      <c r="AD68" s="977">
        <f>H68/AB68*1000</f>
        <v>30.004597165297227</v>
      </c>
      <c r="AF68" s="791">
        <f>(AD68/AD61-1)*100</f>
        <v>-6.9964163177969496</v>
      </c>
      <c r="AH68" s="781">
        <f>J68/(F68/(365/4))</f>
        <v>141.39797882579404</v>
      </c>
      <c r="AJ68" s="781">
        <f>H68/(F69/(365/4))</f>
        <v>130.46976241900649</v>
      </c>
      <c r="AL68" s="385">
        <f>INDEX('qtrP&amp;L'!$50:$50,MATCH(B66,'qtrP&amp;L'!$6:$6,0))</f>
        <v>282</v>
      </c>
    </row>
    <row r="69" spans="1:38" hidden="1" outlineLevel="1" x14ac:dyDescent="0.2">
      <c r="A69" s="185" t="s">
        <v>97</v>
      </c>
      <c r="B69" s="185" t="s">
        <v>81</v>
      </c>
      <c r="D69" s="385">
        <f>qtrSales!R69</f>
        <v>5385</v>
      </c>
      <c r="F69" s="385">
        <f>INDEX('qtrP&amp;L'!$31:$31,MATCH(B66,'qtrP&amp;L'!$6:$6,0))</f>
        <v>3241</v>
      </c>
      <c r="H69" s="385">
        <f>INDEX(wc!$12:$12,MATCH(B66,wc!$7:$7,0))</f>
        <v>6406</v>
      </c>
      <c r="J69" s="385">
        <f>AVERAGE(H69,H68)</f>
        <v>5520</v>
      </c>
      <c r="L69" s="453">
        <f>(D69/D62-1)*100</f>
        <v>-1.9661387220098359</v>
      </c>
      <c r="N69" s="791">
        <f>(H69/H62-1)*100</f>
        <v>-7.3608098336948702</v>
      </c>
      <c r="P69" s="791">
        <f>(H69/H68-1)*100</f>
        <v>38.239102287440652</v>
      </c>
      <c r="R69" s="453">
        <f>F69/J69</f>
        <v>0.58713768115942033</v>
      </c>
      <c r="T69" s="453">
        <f>F70/H69</f>
        <v>0.72447705276303465</v>
      </c>
      <c r="V69" s="640">
        <f>IF(qtrSales!I69=0," ",qtrSales!I69)</f>
        <v>854</v>
      </c>
      <c r="X69" s="290">
        <f>H69/V69</f>
        <v>7.5011709601873537</v>
      </c>
      <c r="Z69" s="395">
        <f>X69/X62-1</f>
        <v>-7.1438562267480132E-2</v>
      </c>
      <c r="AB69" s="385">
        <f>1000*qtrSales!Z69</f>
        <v>154625.1261792453</v>
      </c>
      <c r="AD69" s="977">
        <f>H69/AB69*1000</f>
        <v>41.429230541574498</v>
      </c>
      <c r="AF69" s="791">
        <f>(AD69/AD62-1)*100</f>
        <v>-6.6641102850347629</v>
      </c>
      <c r="AH69" s="781">
        <f>J69/(F69/(365/4))</f>
        <v>155.41499537179885</v>
      </c>
      <c r="AJ69" s="781">
        <f>H69/(F70/(365/4))</f>
        <v>125.95291962939021</v>
      </c>
      <c r="AL69" s="385">
        <f>INDEX('qtrP&amp;L'!$51:$51,MATCH(B66,'qtrP&amp;L'!$6:$6,0))</f>
        <v>88</v>
      </c>
    </row>
    <row r="70" spans="1:38" hidden="1" outlineLevel="1" x14ac:dyDescent="0.2">
      <c r="A70" s="185" t="s">
        <v>98</v>
      </c>
      <c r="B70" s="185" t="s">
        <v>82</v>
      </c>
      <c r="D70" s="607">
        <f>qtrSales!R70</f>
        <v>7937</v>
      </c>
      <c r="F70" s="607">
        <f>INDEX('qtrP&amp;L'!$32:$32,MATCH(B66,'qtrP&amp;L'!$6:$6,0))</f>
        <v>4641</v>
      </c>
      <c r="H70" s="607">
        <f>INDEX(wc!$13:$13,MATCH(B66,wc!$7:$7,0))</f>
        <v>4615</v>
      </c>
      <c r="J70" s="607">
        <f>AVERAGE(H70,H69)</f>
        <v>5510.5</v>
      </c>
      <c r="L70" s="978">
        <f>(D70/D63-1)*100</f>
        <v>3.7811948575749987E-2</v>
      </c>
      <c r="N70" s="791">
        <f>(H70/H63-1)*100</f>
        <v>-3.2291885091214056</v>
      </c>
      <c r="P70" s="791">
        <f>(H70/H69-1)*100</f>
        <v>-27.958164221042768</v>
      </c>
      <c r="R70" s="453">
        <f>F70/J70</f>
        <v>0.84221032574176569</v>
      </c>
      <c r="T70" s="453">
        <f>F74/H70</f>
        <v>0.73196099674972914</v>
      </c>
      <c r="V70" s="564">
        <f>IF(qtrSales!I70=0," ",qtrSales!I70)</f>
        <v>850</v>
      </c>
      <c r="X70" s="290">
        <f>H70/V70</f>
        <v>5.4294117647058826</v>
      </c>
      <c r="Z70" s="395">
        <f>X70/X63-1</f>
        <v>-3.5707325496774467E-2</v>
      </c>
      <c r="AB70" s="385">
        <f>1000*qtrSales!Z70</f>
        <v>155341</v>
      </c>
      <c r="AD70" s="977">
        <f>H70/AB70*1000</f>
        <v>29.708834113337751</v>
      </c>
      <c r="AF70" s="791">
        <f>(AD70/AD63-1)*100</f>
        <v>-2.8406523636941516</v>
      </c>
      <c r="AH70" s="781">
        <f>J70/(F70/(365/4))</f>
        <v>108.34585757379875</v>
      </c>
      <c r="AJ70" s="781">
        <f>H70/(F74/(365/4))</f>
        <v>124.66511249259918</v>
      </c>
      <c r="AL70" s="607">
        <f>INDEX('qtrP&amp;L'!$52:$52,MATCH(B66,'qtrP&amp;L'!$6:$6,0))</f>
        <v>1060</v>
      </c>
    </row>
    <row r="71" spans="1:38" hidden="1" outlineLevel="1" x14ac:dyDescent="0.2">
      <c r="B71" s="450" t="s">
        <v>56</v>
      </c>
      <c r="C71" s="450"/>
      <c r="D71" s="543">
        <f>qtrSales!R71</f>
        <v>23895</v>
      </c>
      <c r="F71" s="543">
        <f>INDEX('qtrP&amp;L'!$33:$33,MATCH(B66,'qtrP&amp;L'!$6:$6,0))</f>
        <v>14278</v>
      </c>
      <c r="H71" s="543">
        <f>INDEX(wc!$13:$13,MATCH(B66,wc!$7:$7,0))</f>
        <v>4615</v>
      </c>
      <c r="J71" s="543">
        <f>AVERAGE(J67:J70)</f>
        <v>5189.5</v>
      </c>
      <c r="L71" s="453">
        <f>(D71/D64-1)*100</f>
        <v>-4.0053029085650005</v>
      </c>
      <c r="R71" s="979">
        <f>F71/J71</f>
        <v>2.7513247904422391</v>
      </c>
      <c r="S71" s="440" t="s">
        <v>123</v>
      </c>
      <c r="V71" s="727">
        <f>V70</f>
        <v>850</v>
      </c>
      <c r="AB71" s="385"/>
      <c r="AL71" s="543">
        <f>INDEX('qtrP&amp;L'!$53:$53,MATCH(B66,'qtrP&amp;L'!$6:$6,0))</f>
        <v>1454</v>
      </c>
    </row>
    <row r="72" spans="1:38" hidden="1" outlineLevel="1" x14ac:dyDescent="0.2">
      <c r="L72" s="453"/>
      <c r="AB72" s="980"/>
    </row>
    <row r="73" spans="1:38" hidden="1" outlineLevel="1" x14ac:dyDescent="0.2">
      <c r="B73" s="976">
        <v>2010</v>
      </c>
      <c r="C73" s="981"/>
      <c r="L73" s="453"/>
      <c r="AB73" s="980"/>
      <c r="AH73" s="781"/>
    </row>
    <row r="74" spans="1:38" hidden="1" outlineLevel="1" x14ac:dyDescent="0.2">
      <c r="A74" s="185" t="s">
        <v>95</v>
      </c>
      <c r="B74" s="185" t="s">
        <v>79</v>
      </c>
      <c r="D74" s="543">
        <f>qtrSales!R74</f>
        <v>5574</v>
      </c>
      <c r="F74" s="543">
        <f>INDEX('qtrP&amp;L'!$29:$29,MATCH(B73,'qtrP&amp;L'!$6:$6,0))</f>
        <v>3378</v>
      </c>
      <c r="H74" s="543">
        <f>INDEX(wc!$10:$10,MATCH(B73,wc!$7:$7,0))</f>
        <v>4921</v>
      </c>
      <c r="J74" s="543">
        <f>AVERAGE(H74,H56)</f>
        <v>4990.5</v>
      </c>
      <c r="L74" s="453">
        <f>(D74/D67-1)*100</f>
        <v>5.4084720121028829</v>
      </c>
      <c r="M74" s="185" t="s">
        <v>93</v>
      </c>
      <c r="N74" s="791">
        <f>(H74/H67-1)*100</f>
        <v>-2.0891364902506981</v>
      </c>
      <c r="O74" s="185" t="s">
        <v>93</v>
      </c>
      <c r="P74" s="791">
        <f>(H74/H70-1)*100</f>
        <v>6.6305525460454984</v>
      </c>
      <c r="Q74" s="185" t="s">
        <v>93</v>
      </c>
      <c r="R74" s="453">
        <f>F74/J74</f>
        <v>0.67688608355876168</v>
      </c>
      <c r="S74" s="185" t="s">
        <v>123</v>
      </c>
      <c r="T74" s="453">
        <f>F75/H74</f>
        <v>0.65311928469823211</v>
      </c>
      <c r="V74" s="640">
        <f>IF(qtrSales!I74=0," ",qtrSales!I74)</f>
        <v>849</v>
      </c>
      <c r="X74" s="290">
        <f>H74/V74</f>
        <v>5.7962308598351004</v>
      </c>
      <c r="Z74" s="395">
        <f>X74/X67-1</f>
        <v>-2.2044614178240107E-2</v>
      </c>
      <c r="AB74" s="385">
        <f>1000*qtrSales!Z74</f>
        <v>154400</v>
      </c>
      <c r="AD74" s="977">
        <f>H74/AB74*1000</f>
        <v>31.871761658031087</v>
      </c>
      <c r="AF74" s="791">
        <f>(AD74/AD67-1)*100</f>
        <v>-2.2850850448136173</v>
      </c>
      <c r="AG74" s="185" t="s">
        <v>93</v>
      </c>
      <c r="AH74" s="781">
        <f>J74/(F74/(365/4))</f>
        <v>134.80850355239787</v>
      </c>
      <c r="AJ74" s="781">
        <f>H74/(F75/(365/4))</f>
        <v>139.71414125700065</v>
      </c>
      <c r="AL74" s="543">
        <f>INDEX('qtrP&amp;L'!$49:$49,MATCH(B73,'qtrP&amp;L'!$6:$6,0))</f>
        <v>203</v>
      </c>
    </row>
    <row r="75" spans="1:38" hidden="1" outlineLevel="1" x14ac:dyDescent="0.2">
      <c r="A75" s="185" t="s">
        <v>96</v>
      </c>
      <c r="B75" s="185" t="s">
        <v>80</v>
      </c>
      <c r="D75" s="385">
        <f>qtrSales!R75</f>
        <v>5537</v>
      </c>
      <c r="F75" s="385">
        <f>INDEX('qtrP&amp;L'!$30:$30,MATCH(B73,'qtrP&amp;L'!$6:$6,0))</f>
        <v>3214</v>
      </c>
      <c r="H75" s="385">
        <f>INDEX(wc!$11:$11,MATCH(B73,wc!$7:$7,0))</f>
        <v>4633</v>
      </c>
      <c r="J75" s="385">
        <f>AVERAGE(H75,H74)</f>
        <v>4777</v>
      </c>
      <c r="L75" s="453">
        <f>(D75/D68-1)*100</f>
        <v>4.7682119205298079</v>
      </c>
      <c r="N75" s="791">
        <f>(H75/H68-1)*100</f>
        <v>-2.1579628830381559E-2</v>
      </c>
      <c r="P75" s="791">
        <f>(H75/H74-1)*100</f>
        <v>-5.8524690103637482</v>
      </c>
      <c r="R75" s="453">
        <f>F75/J75</f>
        <v>0.67280720117228388</v>
      </c>
      <c r="T75" s="453">
        <f>F76/H75</f>
        <v>0.72890135981005832</v>
      </c>
      <c r="V75" s="640">
        <f>IF(qtrSales!I75=0," ",qtrSales!I75)</f>
        <v>849</v>
      </c>
      <c r="X75" s="290">
        <f>H75/V75</f>
        <v>5.4570082449941104</v>
      </c>
      <c r="Z75" s="395">
        <f>X75/X68-1</f>
        <v>-1.3933984128171595E-3</v>
      </c>
      <c r="AB75" s="385">
        <f>1000*qtrSales!Z75</f>
        <v>154486.74911660777</v>
      </c>
      <c r="AD75" s="977">
        <f>H75/AB75*1000</f>
        <v>29.989627113604268</v>
      </c>
      <c r="AF75" s="791">
        <f>(AD75/AD68-1)*100</f>
        <v>-4.9892526836770035E-2</v>
      </c>
      <c r="AH75" s="781">
        <f>J75/(F75/(365/4))</f>
        <v>135.62577784691973</v>
      </c>
      <c r="AJ75" s="781">
        <f>H75/(F76/(365/4))</f>
        <v>125.18840687000295</v>
      </c>
      <c r="AL75" s="385">
        <f>INDEX('qtrP&amp;L'!$50:$50,MATCH(B73,'qtrP&amp;L'!$6:$6,0))</f>
        <v>370</v>
      </c>
    </row>
    <row r="76" spans="1:38" hidden="1" outlineLevel="1" x14ac:dyDescent="0.2">
      <c r="A76" s="185" t="s">
        <v>97</v>
      </c>
      <c r="B76" s="185" t="s">
        <v>81</v>
      </c>
      <c r="D76" s="385">
        <f>qtrSales!R76</f>
        <v>5623</v>
      </c>
      <c r="F76" s="385">
        <f>INDEX('qtrP&amp;L'!$31:$31,MATCH(B73,'qtrP&amp;L'!$6:$6,0))</f>
        <v>3377</v>
      </c>
      <c r="H76" s="385">
        <f>INDEX(wc!$12:$12,MATCH(B73,wc!$7:$7,0))</f>
        <v>6530</v>
      </c>
      <c r="J76" s="385">
        <f>AVERAGE(H76,H75)</f>
        <v>5581.5</v>
      </c>
      <c r="L76" s="453">
        <f>(D76/D69-1)*100</f>
        <v>4.4196843082636939</v>
      </c>
      <c r="N76" s="791">
        <f>(H76/H69-1)*100</f>
        <v>1.9356852950358938</v>
      </c>
      <c r="P76" s="791">
        <f>(H76/H75-1)*100</f>
        <v>40.945391754802493</v>
      </c>
      <c r="R76" s="453">
        <f>F76/J76</f>
        <v>0.60503448893666578</v>
      </c>
      <c r="T76" s="453">
        <f>F77/H76</f>
        <v>0.74349157733537519</v>
      </c>
      <c r="V76" s="640">
        <f>IF(qtrSales!I76=0," ",qtrSales!I76)</f>
        <v>854</v>
      </c>
      <c r="X76" s="290">
        <f>H76/V76</f>
        <v>7.6463700234192036</v>
      </c>
      <c r="Z76" s="395">
        <f>X76/X69-1</f>
        <v>1.9356852950358938E-2</v>
      </c>
      <c r="AB76" s="385">
        <f>1000*qtrSales!Z76</f>
        <v>154305</v>
      </c>
      <c r="AD76" s="977">
        <f>H76/AB76*1000</f>
        <v>42.318784226045821</v>
      </c>
      <c r="AF76" s="791">
        <f>(AD76/AD69-1)*100</f>
        <v>2.1471643881453506</v>
      </c>
      <c r="AH76" s="781">
        <f>J76/(F76/(365/4))</f>
        <v>150.81784868226237</v>
      </c>
      <c r="AJ76" s="781">
        <f>H76/(F77/(365/4))</f>
        <v>122.73171987641607</v>
      </c>
      <c r="AL76" s="385">
        <f>INDEX('qtrP&amp;L'!$51:$51,MATCH(B73,'qtrP&amp;L'!$6:$6,0))</f>
        <v>177</v>
      </c>
    </row>
    <row r="77" spans="1:38" hidden="1" outlineLevel="1" x14ac:dyDescent="0.2">
      <c r="A77" s="185" t="s">
        <v>98</v>
      </c>
      <c r="B77" s="185" t="s">
        <v>82</v>
      </c>
      <c r="D77" s="607">
        <f>qtrSales!R77</f>
        <v>8269</v>
      </c>
      <c r="F77" s="607">
        <f>INDEX('qtrP&amp;L'!$32:$32,MATCH(B73,'qtrP&amp;L'!$6:$6,0))</f>
        <v>4855</v>
      </c>
      <c r="H77" s="607">
        <f>INDEX(wc!$13:$13,MATCH(B73,wc!$7:$7,0))</f>
        <v>4758</v>
      </c>
      <c r="J77" s="607">
        <f>AVERAGE(H77,H76)</f>
        <v>5644</v>
      </c>
      <c r="L77" s="978">
        <f>(D77/D70-1)*100</f>
        <v>4.182940657679235</v>
      </c>
      <c r="N77" s="791">
        <f>(H77/H70-1)*100</f>
        <v>3.0985915492957705</v>
      </c>
      <c r="P77" s="791">
        <f>(H77/H76-1)*100</f>
        <v>-27.136294027565089</v>
      </c>
      <c r="R77" s="453">
        <f>F77/J77</f>
        <v>0.86020552799433025</v>
      </c>
      <c r="T77" s="453">
        <f>F81/H77</f>
        <v>0.75367801597309791</v>
      </c>
      <c r="V77" s="564">
        <f>IF(qtrSales!I77=0," ",qtrSales!I77)</f>
        <v>850</v>
      </c>
      <c r="X77" s="290">
        <f>H77/V77</f>
        <v>5.5976470588235294</v>
      </c>
      <c r="Z77" s="395">
        <f>X77/X70-1</f>
        <v>3.0985915492957705E-2</v>
      </c>
      <c r="AB77" s="385">
        <f>1000*qtrSales!Z77</f>
        <v>154666</v>
      </c>
      <c r="AD77" s="977">
        <f>H77/AB77*1000</f>
        <v>30.763063633894976</v>
      </c>
      <c r="AF77" s="791">
        <f>(AD77/AD70-1)*100</f>
        <v>3.5485388505499538</v>
      </c>
      <c r="AH77" s="781">
        <f>J77/(F77/(365/4))</f>
        <v>106.07929969104016</v>
      </c>
      <c r="AJ77" s="781">
        <f>H77/(F81/(365/4))</f>
        <v>121.0729224762967</v>
      </c>
      <c r="AL77" s="607">
        <f>INDEX('qtrP&amp;L'!$52:$52,MATCH(B73,'qtrP&amp;L'!$6:$6,0))</f>
        <v>1169</v>
      </c>
    </row>
    <row r="78" spans="1:38" hidden="1" outlineLevel="1" x14ac:dyDescent="0.2">
      <c r="B78" s="450" t="s">
        <v>56</v>
      </c>
      <c r="C78" s="450"/>
      <c r="D78" s="543">
        <f>qtrSales!R78</f>
        <v>25003</v>
      </c>
      <c r="F78" s="543">
        <f>INDEX('qtrP&amp;L'!$33:$33,MATCH(B73,'qtrP&amp;L'!$6:$6,0))</f>
        <v>14824</v>
      </c>
      <c r="H78" s="543">
        <f>INDEX(wc!$13:$13,MATCH(B73,wc!$7:$7,0))</f>
        <v>4758</v>
      </c>
      <c r="J78" s="543">
        <f>AVERAGE(J74:J77)</f>
        <v>5248.25</v>
      </c>
      <c r="L78" s="453">
        <f>(D78/D71-1)*100</f>
        <v>4.6369533375183014</v>
      </c>
      <c r="R78" s="979">
        <f>F78/J78</f>
        <v>2.8245605678083172</v>
      </c>
      <c r="S78" s="440" t="s">
        <v>123</v>
      </c>
      <c r="V78" s="727">
        <f>V77</f>
        <v>850</v>
      </c>
      <c r="AB78" s="385"/>
      <c r="AL78" s="543">
        <f>INDEX('qtrP&amp;L'!$53:$53,MATCH(B73,'qtrP&amp;L'!$6:$6,0))</f>
        <v>1919</v>
      </c>
    </row>
    <row r="79" spans="1:38" hidden="1" outlineLevel="1" x14ac:dyDescent="0.2">
      <c r="L79" s="453"/>
      <c r="AB79" s="980"/>
    </row>
    <row r="80" spans="1:38" collapsed="1" x14ac:dyDescent="0.2">
      <c r="B80" s="976">
        <v>2011</v>
      </c>
      <c r="C80" s="981"/>
      <c r="L80" s="453"/>
      <c r="AB80" s="980"/>
      <c r="AH80" s="781"/>
    </row>
    <row r="81" spans="1:38" x14ac:dyDescent="0.2">
      <c r="A81" s="185" t="s">
        <v>95</v>
      </c>
      <c r="B81" s="185" t="s">
        <v>79</v>
      </c>
      <c r="D81" s="543">
        <f>qtrSales!R81</f>
        <v>5889</v>
      </c>
      <c r="F81" s="543">
        <f>INDEX('qtrP&amp;L'!$29:$29,MATCH(B80,'qtrP&amp;L'!$6:$6,0))</f>
        <v>3586</v>
      </c>
      <c r="H81" s="543">
        <f>INDEX(wc!$10:$10,MATCH(B80,wc!$7:$7,0))</f>
        <v>5159</v>
      </c>
      <c r="J81" s="543">
        <f>AVERAGE(H81,H63)</f>
        <v>4964</v>
      </c>
      <c r="L81" s="453">
        <f>(D81/D74-1)*100</f>
        <v>5.6512378902045191</v>
      </c>
      <c r="M81" s="185" t="s">
        <v>93</v>
      </c>
      <c r="N81" s="791">
        <f>(H81/H74-1)*100</f>
        <v>4.8364153627311612</v>
      </c>
      <c r="O81" s="185" t="s">
        <v>93</v>
      </c>
      <c r="P81" s="791">
        <f>(H81/H77-1)*100</f>
        <v>8.4279108869272701</v>
      </c>
      <c r="Q81" s="185" t="s">
        <v>93</v>
      </c>
      <c r="R81" s="453">
        <f>F81/J81</f>
        <v>0.72240128928283642</v>
      </c>
      <c r="S81" s="185" t="s">
        <v>123</v>
      </c>
      <c r="T81" s="453">
        <f>F82/H81</f>
        <v>0.67009110292692387</v>
      </c>
      <c r="V81" s="640">
        <f>IF(qtrSales!I81=0," ",qtrSales!I81)</f>
        <v>850</v>
      </c>
      <c r="X81" s="290">
        <f>H81/V81</f>
        <v>6.0694117647058823</v>
      </c>
      <c r="Z81" s="395">
        <f>X81/X74-1</f>
        <v>4.7130784034808748E-2</v>
      </c>
      <c r="AB81" s="385">
        <f>1000*qtrSales!Z81</f>
        <v>154221</v>
      </c>
      <c r="AD81" s="977">
        <f>H81/AB81*1000</f>
        <v>33.451994216092487</v>
      </c>
      <c r="AF81" s="791">
        <f>(AD81/AD74-1)*100</f>
        <v>4.9580960569941102</v>
      </c>
      <c r="AG81" s="185" t="s">
        <v>93</v>
      </c>
      <c r="AH81" s="781">
        <f>J81/(F81/(365/4))</f>
        <v>126.31483547127718</v>
      </c>
      <c r="AJ81" s="781">
        <f>H81/(F82/(365/4))</f>
        <v>136.17551345096905</v>
      </c>
      <c r="AL81" s="543">
        <f>INDEX('qtrP&amp;L'!$49:$49,MATCH(B80,'qtrP&amp;L'!$6:$6,0))</f>
        <v>330</v>
      </c>
    </row>
    <row r="82" spans="1:38" x14ac:dyDescent="0.2">
      <c r="A82" s="185" t="s">
        <v>96</v>
      </c>
      <c r="B82" s="185" t="s">
        <v>80</v>
      </c>
      <c r="D82" s="385">
        <f>qtrSales!R82</f>
        <v>5939</v>
      </c>
      <c r="F82" s="385">
        <f>INDEX('qtrP&amp;L'!$30:$30,MATCH(B80,'qtrP&amp;L'!$6:$6,0))</f>
        <v>3457</v>
      </c>
      <c r="H82" s="385">
        <f>INDEX(wc!$11:$11,MATCH(B80,wc!$7:$7,0))</f>
        <v>4948</v>
      </c>
      <c r="J82" s="385">
        <f>AVERAGE(H82,H81)</f>
        <v>5053.5</v>
      </c>
      <c r="L82" s="453">
        <f>(D82/D75-1)*100</f>
        <v>7.2602492324363332</v>
      </c>
      <c r="N82" s="791">
        <f>(H82/H75-1)*100</f>
        <v>6.7990502913878759</v>
      </c>
      <c r="P82" s="791">
        <f>(H82/H81-1)*100</f>
        <v>-4.0899399108354384</v>
      </c>
      <c r="R82" s="453">
        <f>F82/J82</f>
        <v>0.68408034035816756</v>
      </c>
      <c r="T82" s="453">
        <f>F83/H82</f>
        <v>0.71624898949070337</v>
      </c>
      <c r="V82" s="640">
        <f>IF(qtrSales!I82=0," ",qtrSales!I82)</f>
        <v>849</v>
      </c>
      <c r="X82" s="290">
        <f>H82/V82</f>
        <v>5.8280329799764425</v>
      </c>
      <c r="Z82" s="395">
        <f>X82/X75-1</f>
        <v>6.7990502913878759E-2</v>
      </c>
      <c r="AB82" s="385">
        <f>1000*qtrSales!Z82</f>
        <v>154348</v>
      </c>
      <c r="AD82" s="977">
        <f>H82/AB82*1000</f>
        <v>32.057428667686011</v>
      </c>
      <c r="AF82" s="791">
        <f>(AD82/AD75-1)*100</f>
        <v>6.8950559013243762</v>
      </c>
      <c r="AH82" s="781">
        <f>J82/(F82/(365/4))</f>
        <v>133.39076511426092</v>
      </c>
      <c r="AJ82" s="781">
        <f>H82/(F83/(365/4))</f>
        <v>127.39983069977427</v>
      </c>
      <c r="AL82" s="385">
        <f>INDEX('qtrP&amp;L'!$50:$50,MATCH(B80,'qtrP&amp;L'!$6:$6,0))</f>
        <v>506</v>
      </c>
    </row>
    <row r="83" spans="1:38" x14ac:dyDescent="0.2">
      <c r="A83" s="185" t="s">
        <v>97</v>
      </c>
      <c r="B83" s="185" t="s">
        <v>81</v>
      </c>
      <c r="D83" s="385">
        <f>qtrSales!R83</f>
        <v>5853</v>
      </c>
      <c r="F83" s="385">
        <f>INDEX('qtrP&amp;L'!$31:$31,MATCH(B80,'qtrP&amp;L'!$6:$6,0))</f>
        <v>3544</v>
      </c>
      <c r="H83" s="385">
        <f>INDEX(wc!$12:$12,MATCH(B80,wc!$7:$7,0))</f>
        <v>7158</v>
      </c>
      <c r="J83" s="385">
        <f>AVERAGE(H83,H82)</f>
        <v>6053</v>
      </c>
      <c r="L83" s="453">
        <f>(D83/D76-1)*100</f>
        <v>4.0903432331495626</v>
      </c>
      <c r="N83" s="791">
        <f>(H83/H76-1)*100</f>
        <v>9.6171516079632369</v>
      </c>
      <c r="P83" s="791">
        <f>(H83/H82-1)*100</f>
        <v>44.664510913500408</v>
      </c>
      <c r="R83" s="453">
        <f>F83/J83</f>
        <v>0.58549479596894105</v>
      </c>
      <c r="T83" s="453">
        <f>F84/H83</f>
        <v>0.71961441743503773</v>
      </c>
      <c r="V83" s="640">
        <f>IF(qtrSales!I83=0," ",qtrSales!I83)</f>
        <v>850</v>
      </c>
      <c r="X83" s="290">
        <f>H83/V83</f>
        <v>8.4211764705882359</v>
      </c>
      <c r="Z83" s="395">
        <f>X83/X76-1</f>
        <v>0.10132997027294843</v>
      </c>
      <c r="AB83" s="385">
        <f>1000*qtrSales!Z83</f>
        <v>154298</v>
      </c>
      <c r="AD83" s="977">
        <f>H83/AB83*1000</f>
        <v>46.390750366174544</v>
      </c>
      <c r="AF83" s="791">
        <f>(AD83/AD76-1)*100</f>
        <v>9.6221245827345037</v>
      </c>
      <c r="AH83" s="781">
        <f>J83/(F83/(365/4))</f>
        <v>155.85108634311513</v>
      </c>
      <c r="AJ83" s="781">
        <f>H83/(F84/(365/4))</f>
        <v>126.80401863715784</v>
      </c>
      <c r="AL83" s="385">
        <f>INDEX('qtrP&amp;L'!$51:$51,MATCH(B80,'qtrP&amp;L'!$6:$6,0))</f>
        <v>291</v>
      </c>
    </row>
    <row r="84" spans="1:38" x14ac:dyDescent="0.2">
      <c r="A84" s="185" t="s">
        <v>98</v>
      </c>
      <c r="B84" s="185" t="s">
        <v>82</v>
      </c>
      <c r="D84" s="607">
        <f>qtrSales!R84</f>
        <v>8724</v>
      </c>
      <c r="F84" s="607">
        <f>INDEX('qtrP&amp;L'!$32:$32,MATCH(B80,'qtrP&amp;L'!$6:$6,0))</f>
        <v>5151</v>
      </c>
      <c r="H84" s="607">
        <f>INDEX(wc!$13:$13,MATCH(B80,wc!$7:$7,0))</f>
        <v>5117</v>
      </c>
      <c r="J84" s="607">
        <f>AVERAGE(H84,H83)</f>
        <v>6137.5</v>
      </c>
      <c r="L84" s="978">
        <f>(D84/D77-1)*100</f>
        <v>5.5024791389527206</v>
      </c>
      <c r="N84" s="791">
        <f>(H84/H77-1)*100</f>
        <v>7.5451870533837839</v>
      </c>
      <c r="P84" s="791">
        <f>(H84/H83-1)*100</f>
        <v>-28.513551271304838</v>
      </c>
      <c r="R84" s="453">
        <f>F84/J84</f>
        <v>0.83926680244399188</v>
      </c>
      <c r="T84" s="453">
        <f>F88/H84</f>
        <v>0.73421926910299007</v>
      </c>
      <c r="V84" s="564">
        <f>IF(qtrSales!I84=0," ",qtrSales!I84)</f>
        <v>842</v>
      </c>
      <c r="X84" s="290">
        <f>H84/V84</f>
        <v>6.0771971496437054</v>
      </c>
      <c r="Z84" s="395">
        <f>X84/X77-1</f>
        <v>8.5669940562662861E-2</v>
      </c>
      <c r="AB84" s="385">
        <f>1000*qtrSales!Z84</f>
        <v>154465.51058823531</v>
      </c>
      <c r="AD84" s="977">
        <f>H84/AB84*1000</f>
        <v>33.127136151710822</v>
      </c>
      <c r="AF84" s="791">
        <f>(AD84/AD77-1)*100</f>
        <v>7.684775957135459</v>
      </c>
      <c r="AH84" s="781">
        <f>J84/(F84/(365/4))</f>
        <v>108.72585420306737</v>
      </c>
      <c r="AJ84" s="781">
        <f>H84/(F88/(365/4))</f>
        <v>124.28167420814481</v>
      </c>
      <c r="AL84" s="607">
        <f>INDEX('qtrP&amp;L'!$52:$52,MATCH(B80,'qtrP&amp;L'!$6:$6,0))</f>
        <v>1259</v>
      </c>
    </row>
    <row r="85" spans="1:38" x14ac:dyDescent="0.2">
      <c r="B85" s="450" t="s">
        <v>56</v>
      </c>
      <c r="C85" s="450"/>
      <c r="D85" s="543">
        <f>qtrSales!R85</f>
        <v>26405</v>
      </c>
      <c r="F85" s="543">
        <f>INDEX('qtrP&amp;L'!$33:$33,MATCH(B80,'qtrP&amp;L'!$6:$6,0))</f>
        <v>15738</v>
      </c>
      <c r="H85" s="543">
        <f>INDEX(wc!$13:$13,MATCH(B80,wc!$7:$7,0))</f>
        <v>5117</v>
      </c>
      <c r="J85" s="543">
        <f>AVERAGE(J81:J84)</f>
        <v>5552</v>
      </c>
      <c r="L85" s="453">
        <f>(D85/D78-1)*100</f>
        <v>5.60732712074552</v>
      </c>
      <c r="R85" s="979">
        <f>F85/J85</f>
        <v>2.8346541786743518</v>
      </c>
      <c r="S85" s="440" t="s">
        <v>123</v>
      </c>
      <c r="V85" s="727">
        <f>V84</f>
        <v>842</v>
      </c>
      <c r="AB85" s="385"/>
      <c r="AL85" s="543">
        <f>INDEX('qtrP&amp;L'!$53:$53,MATCH(B80,'qtrP&amp;L'!$6:$6,0))</f>
        <v>2386</v>
      </c>
    </row>
    <row r="86" spans="1:38" x14ac:dyDescent="0.2">
      <c r="L86" s="453"/>
      <c r="AB86" s="980"/>
    </row>
    <row r="87" spans="1:38" x14ac:dyDescent="0.2">
      <c r="B87" s="976">
        <v>2012</v>
      </c>
      <c r="C87" s="981"/>
      <c r="L87" s="453"/>
      <c r="AB87" s="980"/>
      <c r="AH87" s="781"/>
    </row>
    <row r="88" spans="1:38" x14ac:dyDescent="0.2">
      <c r="A88" s="185" t="s">
        <v>95</v>
      </c>
      <c r="B88" s="185" t="s">
        <v>79</v>
      </c>
      <c r="D88" s="543">
        <f>qtrSales!R88</f>
        <v>6143</v>
      </c>
      <c r="F88" s="543">
        <f>INDEX('qtrP&amp;L'!$29:$29,MATCH(B87,'qtrP&amp;L'!$6:$6,0))</f>
        <v>3757</v>
      </c>
      <c r="H88" s="543">
        <f>INDEX(wc!$10:$10,MATCH(B87,wc!$7:$7,0))</f>
        <v>5465</v>
      </c>
      <c r="J88" s="385">
        <f>AVERAGE(H88,H84)</f>
        <v>5291</v>
      </c>
      <c r="L88" s="453">
        <f>(D88/D81-1)*100</f>
        <v>4.313126167430803</v>
      </c>
      <c r="M88" s="185" t="s">
        <v>93</v>
      </c>
      <c r="N88" s="791">
        <f>(H88/H81-1)*100</f>
        <v>5.9313820507850279</v>
      </c>
      <c r="O88" s="185" t="s">
        <v>93</v>
      </c>
      <c r="P88" s="791">
        <f>(H88/H84-1)*100</f>
        <v>6.8008598788352526</v>
      </c>
      <c r="Q88" s="185" t="s">
        <v>93</v>
      </c>
      <c r="R88" s="453">
        <f>F88/J88</f>
        <v>0.71007371007371012</v>
      </c>
      <c r="S88" s="185" t="s">
        <v>123</v>
      </c>
      <c r="T88" s="453">
        <f>F89/H88</f>
        <v>0.65050320219579139</v>
      </c>
      <c r="V88" s="640">
        <f>IF(qtrSales!I88=0," ",qtrSales!I88)</f>
        <v>844</v>
      </c>
      <c r="X88" s="290">
        <f>H88/V88</f>
        <v>6.4751184834123219</v>
      </c>
      <c r="Z88" s="395">
        <f>X88/X81-1</f>
        <v>6.6844487478285197E-2</v>
      </c>
      <c r="AB88" s="385">
        <f>1000*qtrSales!Z88</f>
        <v>152298</v>
      </c>
      <c r="AD88" s="977">
        <f>H88/AB88*1000</f>
        <v>35.88359663291704</v>
      </c>
      <c r="AF88" s="791">
        <f>(AD88/AD81-1)*100</f>
        <v>7.2689311169819693</v>
      </c>
      <c r="AG88" s="185" t="s">
        <v>93</v>
      </c>
      <c r="AH88" s="781">
        <f>J88/(F88/(365/4))</f>
        <v>128.50778546712803</v>
      </c>
      <c r="AJ88" s="781">
        <f>H88/(F89/(365/4))</f>
        <v>140.27601969057665</v>
      </c>
      <c r="AL88" s="543">
        <f>INDEX('qtrP&amp;L'!$49:$49,MATCH(B87,'qtrP&amp;L'!$6:$6,0))</f>
        <v>391</v>
      </c>
    </row>
    <row r="89" spans="1:38" x14ac:dyDescent="0.2">
      <c r="A89" s="185" t="s">
        <v>96</v>
      </c>
      <c r="B89" s="185" t="s">
        <v>80</v>
      </c>
      <c r="D89" s="385">
        <f>qtrSales!R89</f>
        <v>6118</v>
      </c>
      <c r="F89" s="385">
        <f>INDEX('qtrP&amp;L'!$30:$30,MATCH(B87,'qtrP&amp;L'!$6:$6,0))</f>
        <v>3555</v>
      </c>
      <c r="H89" s="385">
        <f>INDEX(wc!$11:$11,MATCH(B87,wc!$7:$7,0))</f>
        <v>5036</v>
      </c>
      <c r="I89" s="261"/>
      <c r="J89" s="385">
        <f>AVERAGE(H89,H88)</f>
        <v>5250.5</v>
      </c>
      <c r="K89" s="261"/>
      <c r="L89" s="453">
        <f>(D89/D82-1)*100</f>
        <v>3.0139754167368249</v>
      </c>
      <c r="M89" s="261"/>
      <c r="N89" s="791">
        <f>(H89/H82-1)*100</f>
        <v>1.7784963621665373</v>
      </c>
      <c r="O89" s="261"/>
      <c r="P89" s="791">
        <f>(H89/H88-1)*100</f>
        <v>-7.8499542543458372</v>
      </c>
      <c r="Q89" s="261"/>
      <c r="R89" s="269">
        <f>F89/J89</f>
        <v>0.67707837348823918</v>
      </c>
      <c r="S89" s="261"/>
      <c r="T89" s="453">
        <f>F90/H89</f>
        <v>0.72915011914217631</v>
      </c>
      <c r="U89" s="261"/>
      <c r="V89" s="640">
        <f>IF(qtrSales!I89=0," ",qtrSales!I89)</f>
        <v>845</v>
      </c>
      <c r="W89" s="261"/>
      <c r="X89" s="290">
        <f>H89/V89</f>
        <v>5.9597633136094679</v>
      </c>
      <c r="Y89" s="261"/>
      <c r="Z89" s="395">
        <f>X89/X82-1</f>
        <v>2.2602880609223552E-2</v>
      </c>
      <c r="AA89" s="261"/>
      <c r="AB89" s="385">
        <f>1000*qtrSales!Z89</f>
        <v>152228</v>
      </c>
      <c r="AC89" s="261"/>
      <c r="AD89" s="977">
        <f>H89/AB89*1000</f>
        <v>33.081956013348403</v>
      </c>
      <c r="AF89" s="791">
        <f>(AD89/AD82-1)*100</f>
        <v>3.1959124241774273</v>
      </c>
      <c r="AH89" s="781">
        <f>J89/(F89/(365/4))</f>
        <v>134.77021800281292</v>
      </c>
      <c r="AJ89" s="781">
        <f>H89/(F90/(365/4))</f>
        <v>125.14569716775598</v>
      </c>
      <c r="AL89" s="385">
        <f>INDEX('qtrP&amp;L'!$50:$50,MATCH(B87,'qtrP&amp;L'!$6:$6,0))</f>
        <v>554</v>
      </c>
    </row>
    <row r="90" spans="1:38" x14ac:dyDescent="0.2">
      <c r="A90" s="185" t="s">
        <v>97</v>
      </c>
      <c r="B90" s="185" t="s">
        <v>81</v>
      </c>
      <c r="D90" s="385">
        <f>qtrSales!R90</f>
        <v>6075</v>
      </c>
      <c r="F90" s="385">
        <f>INDEX('qtrP&amp;L'!$31:$31,MATCH(B87,'qtrP&amp;L'!$6:$6,0))</f>
        <v>3672</v>
      </c>
      <c r="H90" s="385">
        <f>INDEX(wc!$12:$12,MATCH(B87,wc!$7:$7,0))</f>
        <v>7208</v>
      </c>
      <c r="I90" s="261"/>
      <c r="J90" s="385">
        <f>AVERAGE(H90,H89)</f>
        <v>6122</v>
      </c>
      <c r="K90" s="261"/>
      <c r="L90" s="453">
        <f>(D90/D83-1)*100</f>
        <v>3.7929267042542181</v>
      </c>
      <c r="M90" s="261"/>
      <c r="N90" s="791">
        <f>(H90/H83-1)*100</f>
        <v>0.69851913942442501</v>
      </c>
      <c r="O90" s="261"/>
      <c r="P90" s="791">
        <f>(H90/H89-1)*100</f>
        <v>43.129467831612402</v>
      </c>
      <c r="Q90" s="261"/>
      <c r="R90" s="269">
        <f>F90/J90</f>
        <v>0.59980398562561255</v>
      </c>
      <c r="S90" s="261"/>
      <c r="T90" s="453">
        <f>F91/H90</f>
        <v>0.77053274139844619</v>
      </c>
      <c r="U90" s="261"/>
      <c r="V90" s="640">
        <f>IF(qtrSales!I90=0," ",qtrSales!I90)</f>
        <v>846</v>
      </c>
      <c r="W90" s="261"/>
      <c r="X90" s="290">
        <f>H90/V90</f>
        <v>8.5200945626477544</v>
      </c>
      <c r="Y90" s="261"/>
      <c r="Z90" s="395">
        <f>X90/X83-1</f>
        <v>1.1746350691616447E-2</v>
      </c>
      <c r="AA90" s="261"/>
      <c r="AB90" s="385">
        <f>1000*qtrSales!Z90</f>
        <v>152228</v>
      </c>
      <c r="AC90" s="261"/>
      <c r="AD90" s="977">
        <f>H90/AB90*1000</f>
        <v>47.350027590193655</v>
      </c>
      <c r="AF90" s="791">
        <f>(AD90/AD83-1)*100</f>
        <v>2.0678200211190489</v>
      </c>
      <c r="AH90" s="781">
        <f>J90/(F90/(365/4))</f>
        <v>152.13303376906316</v>
      </c>
      <c r="AJ90" s="781">
        <f>H90/(F91/(365/4))</f>
        <v>118.42455887648542</v>
      </c>
      <c r="AL90" s="385">
        <f>INDEX('qtrP&amp;L'!$51:$51,MATCH(B87,'qtrP&amp;L'!$6:$6,0))</f>
        <v>325</v>
      </c>
    </row>
    <row r="91" spans="1:38" x14ac:dyDescent="0.2">
      <c r="A91" s="185" t="s">
        <v>98</v>
      </c>
      <c r="B91" s="185" t="s">
        <v>82</v>
      </c>
      <c r="D91" s="607">
        <f>qtrSales!R91</f>
        <v>9350</v>
      </c>
      <c r="F91" s="607">
        <f>INDEX('qtrP&amp;L'!$32:$32,MATCH(B87,'qtrP&amp;L'!$6:$6,0))</f>
        <v>5554</v>
      </c>
      <c r="H91" s="607">
        <f>INDEX(wc!$13:$13,MATCH(B87,wc!$7:$7,0))</f>
        <v>5308</v>
      </c>
      <c r="I91" s="261"/>
      <c r="J91" s="607">
        <f>AVERAGE(H91,H90)</f>
        <v>6258</v>
      </c>
      <c r="K91" s="261"/>
      <c r="L91" s="978">
        <f>(D91/D84-1)*100</f>
        <v>7.175607519486471</v>
      </c>
      <c r="M91" s="261"/>
      <c r="N91" s="791">
        <f>(H91/H84-1)*100</f>
        <v>3.7326558530388798</v>
      </c>
      <c r="O91" s="261"/>
      <c r="P91" s="791">
        <f>(H91/H90-1)*100</f>
        <v>-26.35960044395117</v>
      </c>
      <c r="Q91" s="261"/>
      <c r="R91" s="269">
        <f>F91/J91</f>
        <v>0.88750399488654519</v>
      </c>
      <c r="S91" s="261"/>
      <c r="T91" s="453">
        <f>F95/H91</f>
        <v>0.73681235870384321</v>
      </c>
      <c r="U91" s="261"/>
      <c r="V91" s="564">
        <f>IF(qtrSales!I91=0," ",qtrSales!I91)</f>
        <v>841</v>
      </c>
      <c r="W91" s="261"/>
      <c r="X91" s="290">
        <f>H91/V91</f>
        <v>6.3115338882282996</v>
      </c>
      <c r="Y91" s="261"/>
      <c r="Z91" s="395">
        <f>X91/X84-1</f>
        <v>3.8560002714134844E-2</v>
      </c>
      <c r="AA91" s="261"/>
      <c r="AB91" s="385">
        <f>1000*qtrSales!Z91</f>
        <v>152124</v>
      </c>
      <c r="AC91" s="261"/>
      <c r="AD91" s="977">
        <f>H91/AB91*1000</f>
        <v>34.892587625884147</v>
      </c>
      <c r="AF91" s="791">
        <f>(AD91/AD84-1)*100</f>
        <v>5.3293211525686113</v>
      </c>
      <c r="AH91" s="781">
        <f>J91/(F91/(365/4))</f>
        <v>102.81643860280879</v>
      </c>
      <c r="AJ91" s="781"/>
      <c r="AL91" s="607">
        <f>INDEX('qtrP&amp;L'!$52:$52,MATCH(B87,'qtrP&amp;L'!$6:$6,0))</f>
        <v>1396</v>
      </c>
    </row>
    <row r="92" spans="1:38" x14ac:dyDescent="0.2">
      <c r="B92" s="450" t="s">
        <v>56</v>
      </c>
      <c r="C92" s="450"/>
      <c r="D92" s="543">
        <f>qtrSales!R92</f>
        <v>27686</v>
      </c>
      <c r="F92" s="543">
        <f>INDEX('qtrP&amp;L'!$33:$33,MATCH(B87,'qtrP&amp;L'!$6:$6,0))</f>
        <v>16538</v>
      </c>
      <c r="H92" s="543">
        <f>INDEX(wc!$13:$13,MATCH(B87,wc!$7:$7,0))</f>
        <v>5308</v>
      </c>
      <c r="I92" s="261"/>
      <c r="J92" s="543">
        <f>AVERAGE(J88:J91)</f>
        <v>5730.375</v>
      </c>
      <c r="K92" s="261"/>
      <c r="L92" s="453">
        <f>(D92/D85-1)*100</f>
        <v>4.8513539102442715</v>
      </c>
      <c r="M92" s="261"/>
      <c r="N92" s="261"/>
      <c r="O92" s="261"/>
      <c r="P92" s="261"/>
      <c r="Q92" s="261"/>
      <c r="R92" s="979">
        <f>F92/J92</f>
        <v>2.8860240385664113</v>
      </c>
      <c r="S92" s="440" t="s">
        <v>123</v>
      </c>
      <c r="T92" s="261"/>
      <c r="U92" s="261"/>
      <c r="V92" s="727">
        <f>V91</f>
        <v>841</v>
      </c>
      <c r="W92" s="261"/>
      <c r="X92" s="261"/>
      <c r="Y92" s="261"/>
      <c r="Z92" s="261"/>
      <c r="AA92" s="261"/>
      <c r="AB92" s="261"/>
      <c r="AC92" s="261"/>
      <c r="AD92" s="261"/>
      <c r="AE92" s="261"/>
      <c r="AF92" s="261"/>
      <c r="AG92" s="261"/>
      <c r="AH92" s="261"/>
      <c r="AI92" s="261"/>
      <c r="AJ92" s="261"/>
      <c r="AL92" s="543">
        <f>INDEX('qtrP&amp;L'!$53:$53,MATCH(B87,'qtrP&amp;L'!$6:$6,0))</f>
        <v>2666</v>
      </c>
    </row>
    <row r="93" spans="1:38" x14ac:dyDescent="0.2">
      <c r="L93" s="453"/>
      <c r="R93" s="492"/>
      <c r="AB93" s="980"/>
    </row>
    <row r="94" spans="1:38" x14ac:dyDescent="0.2">
      <c r="B94" s="976">
        <v>2013</v>
      </c>
      <c r="C94" s="981"/>
      <c r="L94" s="453"/>
      <c r="R94" s="395"/>
      <c r="AB94" s="980"/>
      <c r="AH94" s="781"/>
    </row>
    <row r="95" spans="1:38" x14ac:dyDescent="0.2">
      <c r="A95" s="185" t="s">
        <v>95</v>
      </c>
      <c r="B95" s="185" t="s">
        <v>79</v>
      </c>
      <c r="D95" s="543">
        <f>qtrSales!R95</f>
        <v>6387</v>
      </c>
      <c r="F95" s="543">
        <f>INDEX('qtrP&amp;L'!$29:$29,MATCH(B94,'qtrP&amp;L'!$6:$6,0))</f>
        <v>3911</v>
      </c>
      <c r="H95" s="543">
        <f>INDEX(wc!$10:$10,MATCH(B94,wc!$7:$7,0))</f>
        <v>5631</v>
      </c>
      <c r="J95" s="353">
        <f>AVERAGE(H95,H91)</f>
        <v>5469.5</v>
      </c>
      <c r="L95" s="453">
        <f>(D95/D88-1)*100</f>
        <v>3.9720006511476447</v>
      </c>
      <c r="M95" s="185" t="s">
        <v>93</v>
      </c>
      <c r="N95" s="791">
        <f>(H95/H88-1)*100</f>
        <v>3.0375114364135314</v>
      </c>
      <c r="O95" s="185" t="s">
        <v>93</v>
      </c>
      <c r="P95" s="791">
        <f>(H95/H91-1)*100</f>
        <v>6.0851544837980498</v>
      </c>
      <c r="Q95" s="185" t="s">
        <v>93</v>
      </c>
      <c r="R95" s="453">
        <f>F95/J95</f>
        <v>0.71505622086113907</v>
      </c>
      <c r="S95" s="185" t="s">
        <v>123</v>
      </c>
      <c r="T95" s="453">
        <f>F96/H95</f>
        <v>0.6274196412715326</v>
      </c>
      <c r="V95" s="640">
        <f>IF(qtrSales!I95=0," ",qtrSales!I95)</f>
        <v>843</v>
      </c>
      <c r="X95" s="290">
        <f>H95/V95</f>
        <v>6.6797153024911031</v>
      </c>
      <c r="Z95" s="395">
        <f>X95/X88-1</f>
        <v>3.1597386148671802E-2</v>
      </c>
      <c r="AB95" s="385">
        <f>1000*qtrSales!Z95</f>
        <v>150770</v>
      </c>
      <c r="AD95" s="977">
        <f>H95/AB95*1000</f>
        <v>37.348278835312065</v>
      </c>
      <c r="AF95" s="791">
        <f>(AD95/AD88-1)*100</f>
        <v>4.0817597449287701</v>
      </c>
      <c r="AG95" s="185" t="s">
        <v>93</v>
      </c>
      <c r="AH95" s="781">
        <f>J95/(F95/(365/4))</f>
        <v>127.61234339043723</v>
      </c>
      <c r="AJ95" s="781">
        <f>H95/(F96/(365/4))</f>
        <v>145.43695159920748</v>
      </c>
      <c r="AL95" s="543">
        <f>INDEX('qtrP&amp;L'!$49:$49,MATCH(B94,'qtrP&amp;L'!$6:$6,0))</f>
        <v>435</v>
      </c>
    </row>
    <row r="96" spans="1:38" x14ac:dyDescent="0.2">
      <c r="A96" s="185" t="s">
        <v>96</v>
      </c>
      <c r="B96" s="185" t="s">
        <v>80</v>
      </c>
      <c r="D96" s="385">
        <f>qtrSales!R96</f>
        <v>6066</v>
      </c>
      <c r="F96" s="385">
        <f>INDEX('qtrP&amp;L'!$30:$30,MATCH(B94,'qtrP&amp;L'!$6:$6,0))</f>
        <v>3533</v>
      </c>
      <c r="H96" s="385">
        <f>INDEX(wc!$11:$11,MATCH(B94,wc!$7:$7,0))</f>
        <v>5357</v>
      </c>
      <c r="I96" s="261"/>
      <c r="J96" s="353">
        <f>AVERAGE(H96,H95)</f>
        <v>5494</v>
      </c>
      <c r="K96" s="261"/>
      <c r="L96" s="453">
        <f>(D96/D89-1)*100</f>
        <v>-0.84995096436744078</v>
      </c>
      <c r="M96" s="261"/>
      <c r="N96" s="791">
        <f>(H96/H89-1)*100</f>
        <v>6.3741064336775288</v>
      </c>
      <c r="O96" s="261"/>
      <c r="P96" s="791">
        <f>(H96/H95-1)*100</f>
        <v>-4.8659207955958124</v>
      </c>
      <c r="Q96" s="261"/>
      <c r="R96" s="269">
        <f>F96/J96</f>
        <v>0.64306516199490349</v>
      </c>
      <c r="S96" s="261"/>
      <c r="T96" s="453">
        <f>F97/H96</f>
        <v>0.71252566735112932</v>
      </c>
      <c r="U96" s="261"/>
      <c r="V96" s="640">
        <f>IF(qtrSales!I96=0," ",qtrSales!I96)</f>
        <v>844</v>
      </c>
      <c r="W96" s="261"/>
      <c r="X96" s="290">
        <f>H96/V96</f>
        <v>6.3471563981042651</v>
      </c>
      <c r="Y96" s="261"/>
      <c r="Z96" s="395">
        <f>X96/X89-1</f>
        <v>6.5001421048074493E-2</v>
      </c>
      <c r="AA96" s="261"/>
      <c r="AB96" s="385">
        <f>1000*qtrSales!Z96</f>
        <v>150748</v>
      </c>
      <c r="AC96" s="261"/>
      <c r="AD96" s="977">
        <f>H96/AB96*1000</f>
        <v>35.536126515774669</v>
      </c>
      <c r="AF96" s="791">
        <f>(AD96/AD89-1)*100</f>
        <v>7.4184564583666734</v>
      </c>
      <c r="AH96" s="781">
        <f>J96/(F96/(365/4))</f>
        <v>141.89852816303426</v>
      </c>
      <c r="AJ96" s="781">
        <f>H96/(F97/(365/4))</f>
        <v>128.06556195965419</v>
      </c>
      <c r="AL96" s="385">
        <f>INDEX('qtrP&amp;L'!$50:$50,MATCH(B94,'qtrP&amp;L'!$6:$6,0))</f>
        <v>534</v>
      </c>
    </row>
    <row r="97" spans="1:38" x14ac:dyDescent="0.2">
      <c r="A97" s="185" t="s">
        <v>97</v>
      </c>
      <c r="B97" s="185" t="s">
        <v>81</v>
      </c>
      <c r="D97" s="385">
        <f>qtrSales!R97</f>
        <v>6276</v>
      </c>
      <c r="F97" s="385">
        <f>INDEX('qtrP&amp;L'!$31:$31,MATCH(B94,'qtrP&amp;L'!$6:$6,0))</f>
        <v>3817</v>
      </c>
      <c r="H97" s="385">
        <f>INDEX(wc!$12:$12,MATCH(B94,wc!$7:$7,0))</f>
        <v>7716</v>
      </c>
      <c r="I97" s="261"/>
      <c r="J97" s="353">
        <f>AVERAGE(H97,H96)</f>
        <v>6536.5</v>
      </c>
      <c r="K97" s="261"/>
      <c r="L97" s="453">
        <f>(D97/D90-1)*100</f>
        <v>3.308641975308646</v>
      </c>
      <c r="M97" s="261"/>
      <c r="N97" s="791">
        <f>(H97/H90-1)*100</f>
        <v>7.047724750277462</v>
      </c>
      <c r="O97" s="261"/>
      <c r="P97" s="791">
        <f>(H97/H96-1)*100</f>
        <v>44.035840955758808</v>
      </c>
      <c r="Q97" s="261"/>
      <c r="R97" s="269">
        <f>F97/J97</f>
        <v>0.58395165608506083</v>
      </c>
      <c r="S97" s="261"/>
      <c r="T97" s="453">
        <f>F98/H97</f>
        <v>0.70813893208916534</v>
      </c>
      <c r="U97" s="261"/>
      <c r="V97" s="640">
        <f>IF(qtrSales!I97=0," ",qtrSales!I97)</f>
        <v>847</v>
      </c>
      <c r="W97" s="261"/>
      <c r="X97" s="290">
        <f>H97/V97</f>
        <v>9.1097992916174739</v>
      </c>
      <c r="Y97" s="261"/>
      <c r="Z97" s="395">
        <f>X97/X90-1</f>
        <v>6.9213401874081981E-2</v>
      </c>
      <c r="AA97" s="261"/>
      <c r="AB97" s="385">
        <f>1000*qtrSales!Z97</f>
        <v>150750</v>
      </c>
      <c r="AC97" s="261"/>
      <c r="AD97" s="977">
        <f>H97/AB97*1000</f>
        <v>51.184079601990049</v>
      </c>
      <c r="AF97" s="791">
        <f>(AD97/AD90-1)*100</f>
        <v>8.0972540184758746</v>
      </c>
      <c r="AH97" s="781">
        <f>J97/(F97/(365/4))</f>
        <v>156.26293555148021</v>
      </c>
      <c r="AJ97" s="781">
        <f>H97/(F98/(365/4))</f>
        <v>128.85889458272328</v>
      </c>
      <c r="AL97" s="385">
        <f>INDEX('qtrP&amp;L'!$51:$51,MATCH(B94,'qtrP&amp;L'!$6:$6,0))</f>
        <v>360</v>
      </c>
    </row>
    <row r="98" spans="1:38" x14ac:dyDescent="0.2">
      <c r="A98" s="185" t="s">
        <v>98</v>
      </c>
      <c r="B98" s="185" t="s">
        <v>82</v>
      </c>
      <c r="D98" s="607">
        <f>qtrSales!R98</f>
        <v>9202</v>
      </c>
      <c r="F98" s="607">
        <f>INDEX('qtrP&amp;L'!$32:$32,MATCH(B94,'qtrP&amp;L'!$6:$6,0))</f>
        <v>5464</v>
      </c>
      <c r="H98" s="607">
        <f>INDEX(wc!$13:$13,MATCH(B94,wc!$7:$7,0))</f>
        <v>5557</v>
      </c>
      <c r="I98" s="261"/>
      <c r="J98" s="607">
        <f>AVERAGE(H98,H97)</f>
        <v>6636.5</v>
      </c>
      <c r="K98" s="261"/>
      <c r="L98" s="978">
        <f>(D98/D91-1)*100</f>
        <v>-1.582887700534763</v>
      </c>
      <c r="M98" s="261"/>
      <c r="N98" s="791">
        <f>(H98/H91-1)*100</f>
        <v>4.6910324039186158</v>
      </c>
      <c r="O98" s="261"/>
      <c r="P98" s="791">
        <f>(H98/H97-1)*100</f>
        <v>-27.980819077242092</v>
      </c>
      <c r="Q98" s="261"/>
      <c r="R98" s="269">
        <f>F98/J98</f>
        <v>0.82332554810517589</v>
      </c>
      <c r="S98" s="261"/>
      <c r="T98" s="453">
        <f>F102/H98</f>
        <v>0.69030052186431523</v>
      </c>
      <c r="U98" s="261"/>
      <c r="V98" s="564">
        <f>IF(qtrSales!I98=0," ",qtrSales!I98)</f>
        <v>840</v>
      </c>
      <c r="W98" s="261"/>
      <c r="X98" s="290">
        <f>H98/V98</f>
        <v>6.6154761904761905</v>
      </c>
      <c r="Y98" s="261"/>
      <c r="Z98" s="395">
        <f>X98/X91-1</f>
        <v>4.8156645853518532E-2</v>
      </c>
      <c r="AA98" s="261"/>
      <c r="AB98" s="385">
        <f>1000*qtrSales!Z98</f>
        <v>150083</v>
      </c>
      <c r="AC98" s="261"/>
      <c r="AD98" s="977">
        <f>H98/AB98*1000</f>
        <v>37.026178847704266</v>
      </c>
      <c r="AF98" s="791">
        <f>(AD98/AD91-1)*100</f>
        <v>6.1147405996262894</v>
      </c>
      <c r="AH98" s="781">
        <f>J98/(F98/(365/4))</f>
        <v>110.83100750366032</v>
      </c>
      <c r="AJ98" s="781"/>
      <c r="AL98" s="607">
        <f>INDEX('qtrP&amp;L'!$52:$52,MATCH(B94,'qtrP&amp;L'!$6:$6,0))</f>
        <v>1437</v>
      </c>
    </row>
    <row r="99" spans="1:38" x14ac:dyDescent="0.2">
      <c r="B99" s="450" t="s">
        <v>56</v>
      </c>
      <c r="C99" s="450"/>
      <c r="D99" s="543">
        <f>qtrSales!R99</f>
        <v>27931</v>
      </c>
      <c r="F99" s="543">
        <f>INDEX('qtrP&amp;L'!$33:$33,MATCH(B94,'qtrP&amp;L'!$6:$6,0))</f>
        <v>16725</v>
      </c>
      <c r="H99" s="543">
        <f>INDEX(wc!$13:$13,MATCH(B94,wc!$7:$7,0))</f>
        <v>5557</v>
      </c>
      <c r="I99" s="261"/>
      <c r="J99" s="543">
        <f>AVERAGE(J95:J98)</f>
        <v>6034.125</v>
      </c>
      <c r="K99" s="261"/>
      <c r="L99" s="453">
        <f>(D99/D92-1)*100</f>
        <v>0.88492378819620132</v>
      </c>
      <c r="M99" s="261"/>
      <c r="N99" s="261"/>
      <c r="O99" s="261"/>
      <c r="P99" s="261"/>
      <c r="Q99" s="261"/>
      <c r="R99" s="979">
        <f>F99/J99</f>
        <v>2.771735752905351</v>
      </c>
      <c r="S99" s="440" t="s">
        <v>123</v>
      </c>
      <c r="T99" s="261"/>
      <c r="U99" s="261"/>
      <c r="V99" s="727">
        <f>V98</f>
        <v>840</v>
      </c>
      <c r="W99" s="261"/>
      <c r="X99" s="261"/>
      <c r="Y99" s="261"/>
      <c r="Z99" s="261"/>
      <c r="AA99" s="261"/>
      <c r="AB99" s="261"/>
      <c r="AC99" s="261"/>
      <c r="AD99" s="261"/>
      <c r="AE99" s="261"/>
      <c r="AF99" s="261"/>
      <c r="AG99" s="261"/>
      <c r="AH99" s="261"/>
      <c r="AI99" s="261"/>
      <c r="AJ99" s="261"/>
      <c r="AL99" s="543">
        <f>INDEX('qtrP&amp;L'!$53:$53,MATCH(B94,'qtrP&amp;L'!$6:$6,0))</f>
        <v>2766</v>
      </c>
    </row>
    <row r="100" spans="1:38" x14ac:dyDescent="0.2">
      <c r="L100" s="453"/>
      <c r="R100" s="492"/>
      <c r="AB100" s="980"/>
    </row>
    <row r="101" spans="1:38" x14ac:dyDescent="0.2">
      <c r="B101" s="976">
        <v>2014</v>
      </c>
      <c r="C101" s="981"/>
      <c r="L101" s="453"/>
      <c r="R101" s="395"/>
      <c r="AB101" s="980"/>
      <c r="AH101" s="781"/>
    </row>
    <row r="102" spans="1:38" x14ac:dyDescent="0.2">
      <c r="A102" s="185" t="s">
        <v>95</v>
      </c>
      <c r="B102" s="185" t="s">
        <v>79</v>
      </c>
      <c r="D102" s="543">
        <f>qtrSales!R102</f>
        <v>6279</v>
      </c>
      <c r="F102" s="543">
        <f>INDEX('qtrP&amp;L'!$29:$29,MATCH(B101,'qtrP&amp;L'!$6:$6,0))</f>
        <v>3836</v>
      </c>
      <c r="H102" s="543">
        <f>INDEX(wc!$10:$10,MATCH(B101,wc!$7:$7,0))</f>
        <v>5897</v>
      </c>
      <c r="J102" s="353">
        <f>AVERAGE(H102,H98)</f>
        <v>5727</v>
      </c>
      <c r="L102" s="453">
        <f>(D102/D95-1)*100</f>
        <v>-1.6909347111319861</v>
      </c>
      <c r="M102" s="185" t="s">
        <v>93</v>
      </c>
      <c r="N102" s="791">
        <f>(H102/H95-1)*100</f>
        <v>4.7238501154324375</v>
      </c>
      <c r="O102" s="185" t="s">
        <v>93</v>
      </c>
      <c r="P102" s="791">
        <f>(H102/H98-1)*100</f>
        <v>6.1184092136044699</v>
      </c>
      <c r="Q102" s="185" t="s">
        <v>93</v>
      </c>
      <c r="R102" s="453">
        <f>F102/J102</f>
        <v>0.66980967347651477</v>
      </c>
      <c r="S102" s="185" t="s">
        <v>123</v>
      </c>
      <c r="T102" s="453">
        <f>F103/H102</f>
        <v>0.6226895031371884</v>
      </c>
      <c r="V102" s="640">
        <f>IF(qtrSales!I102=0," ",qtrSales!I102)</f>
        <v>838</v>
      </c>
      <c r="X102" s="290">
        <f>H102/V102</f>
        <v>7.0369928400954658</v>
      </c>
      <c r="Z102" s="395">
        <f>X102/X95-1</f>
        <v>5.3486940898681778E-2</v>
      </c>
      <c r="AB102" s="385">
        <f>1000*qtrSales!Z102</f>
        <v>149684</v>
      </c>
      <c r="AD102" s="977">
        <f>H102/AB102*1000</f>
        <v>39.396328264878008</v>
      </c>
      <c r="AF102" s="791">
        <f>(AD102/AD95-1)*100</f>
        <v>5.4836514383885149</v>
      </c>
      <c r="AG102" s="185" t="s">
        <v>93</v>
      </c>
      <c r="AH102" s="781">
        <f>J102/(F102/(365/4))</f>
        <v>136.23272940563086</v>
      </c>
      <c r="AJ102" s="781">
        <f>H102/(F103/(365/4))</f>
        <v>146.54173474945534</v>
      </c>
      <c r="AL102" s="543">
        <f>INDEX('qtrP&amp;L'!$49:$49,MATCH(B101,'qtrP&amp;L'!$6:$6,0))</f>
        <v>443</v>
      </c>
    </row>
    <row r="103" spans="1:38" x14ac:dyDescent="0.2">
      <c r="A103" s="185" t="s">
        <v>96</v>
      </c>
      <c r="B103" s="185" t="s">
        <v>80</v>
      </c>
      <c r="D103" s="385">
        <f>qtrSales!R103</f>
        <v>6267</v>
      </c>
      <c r="F103" s="385">
        <f>INDEX('qtrP&amp;L'!$30:$30,MATCH(B101,'qtrP&amp;L'!$6:$6,0))</f>
        <v>3672</v>
      </c>
      <c r="H103" s="385">
        <f>INDEX(wc!$11:$11,MATCH(B101,wc!$7:$7,0))</f>
        <v>5416</v>
      </c>
      <c r="I103" s="261"/>
      <c r="J103" s="353">
        <f>AVERAGE(H103,H102)</f>
        <v>5656.5</v>
      </c>
      <c r="K103" s="261"/>
      <c r="L103" s="453">
        <f>(D103/D96-1)*100</f>
        <v>3.3135509396637008</v>
      </c>
      <c r="M103" s="261"/>
      <c r="N103" s="791">
        <f>(H103/H96-1)*100</f>
        <v>1.1013627030054041</v>
      </c>
      <c r="O103" s="261"/>
      <c r="P103" s="791">
        <f>(H103/H102-1)*100</f>
        <v>-8.1566898422926855</v>
      </c>
      <c r="Q103" s="261"/>
      <c r="R103" s="269">
        <f>F103/J103</f>
        <v>0.64916467780429599</v>
      </c>
      <c r="S103" s="261"/>
      <c r="T103" s="453">
        <f>F104/H103</f>
        <v>0.69534711964549478</v>
      </c>
      <c r="U103" s="261"/>
      <c r="V103" s="640">
        <f>IF(qtrSales!I103=0," ",qtrSales!I103)</f>
        <v>836</v>
      </c>
      <c r="W103" s="261"/>
      <c r="X103" s="290">
        <f>H103/V103</f>
        <v>6.4784688995215314</v>
      </c>
      <c r="Y103" s="261"/>
      <c r="Z103" s="395">
        <f>X103/X96-1</f>
        <v>2.0688398580581024E-2</v>
      </c>
      <c r="AA103" s="261"/>
      <c r="AB103" s="385">
        <f>1000*qtrSales!Z103</f>
        <v>149432</v>
      </c>
      <c r="AC103" s="261"/>
      <c r="AD103" s="977">
        <f>H103/AB103*1000</f>
        <v>36.243910273569249</v>
      </c>
      <c r="AF103" s="791">
        <f>(AD103/AD96-1)*100</f>
        <v>1.9917301833118684</v>
      </c>
      <c r="AH103" s="781">
        <f>J103/(F103/(365/4))</f>
        <v>140.56525735294116</v>
      </c>
      <c r="AJ103" s="781">
        <f>H103/(F104/(365/4))</f>
        <v>131.22942113648435</v>
      </c>
      <c r="AL103" s="385">
        <f>INDEX('qtrP&amp;L'!$50:$50,MATCH(B101,'qtrP&amp;L'!$6:$6,0))</f>
        <v>571</v>
      </c>
    </row>
    <row r="104" spans="1:38" x14ac:dyDescent="0.2">
      <c r="A104" s="185" t="s">
        <v>97</v>
      </c>
      <c r="B104" s="185" t="s">
        <v>81</v>
      </c>
      <c r="D104" s="385">
        <f>qtrSales!R104</f>
        <v>6195</v>
      </c>
      <c r="F104" s="385">
        <f>INDEX('qtrP&amp;L'!$31:$31,MATCH(B101,'qtrP&amp;L'!$6:$6,0))</f>
        <v>3766</v>
      </c>
      <c r="H104" s="385">
        <f>INDEX(wc!$12:$12,MATCH(B101,wc!$7:$7,0))</f>
        <v>7789</v>
      </c>
      <c r="I104" s="261"/>
      <c r="J104" s="353">
        <f>AVERAGE(H104,H103)</f>
        <v>6602.5</v>
      </c>
      <c r="K104" s="261"/>
      <c r="L104" s="453">
        <f>(D104/D97-1)*100</f>
        <v>-1.2906309751434031</v>
      </c>
      <c r="M104" s="261"/>
      <c r="N104" s="791">
        <f>(H104/H97-1)*100</f>
        <v>0.94608605495074549</v>
      </c>
      <c r="O104" s="261"/>
      <c r="P104" s="791">
        <f>(H104/H103-1)*100</f>
        <v>43.814623338257007</v>
      </c>
      <c r="Q104" s="261"/>
      <c r="R104" s="269">
        <f>F104/J104</f>
        <v>0.57039000378644455</v>
      </c>
      <c r="S104" s="261"/>
      <c r="T104" s="453">
        <f>F105/H104</f>
        <v>0.71755039157786626</v>
      </c>
      <c r="U104" s="261"/>
      <c r="V104" s="640">
        <f>IF(qtrSales!I104=0," ",qtrSales!I104)</f>
        <v>838</v>
      </c>
      <c r="W104" s="261"/>
      <c r="X104" s="290">
        <f>H104/V104</f>
        <v>9.2947494033412887</v>
      </c>
      <c r="Y104" s="261"/>
      <c r="Z104" s="395">
        <f>X104/X97-1</f>
        <v>2.030232563894141E-2</v>
      </c>
      <c r="AA104" s="261"/>
      <c r="AB104" s="385">
        <f>1000*qtrSales!Z104</f>
        <v>149658</v>
      </c>
      <c r="AC104" s="261"/>
      <c r="AD104" s="977">
        <f>H104/AB104*1000</f>
        <v>52.045330019110231</v>
      </c>
      <c r="AF104" s="791">
        <f>(AD104/AD97-1)*100</f>
        <v>1.68265293391483</v>
      </c>
      <c r="AH104" s="781">
        <f>J104/(F104/(365/4))</f>
        <v>159.97825942644718</v>
      </c>
      <c r="AJ104" s="781">
        <f>H104/(F105/(365/4))</f>
        <v>127.16876901055645</v>
      </c>
      <c r="AL104" s="385">
        <f>INDEX('qtrP&amp;L'!$51:$51,MATCH(B101,'qtrP&amp;L'!$6:$6,0))</f>
        <v>422</v>
      </c>
    </row>
    <row r="105" spans="1:38" x14ac:dyDescent="0.2">
      <c r="A105" s="185" t="s">
        <v>98</v>
      </c>
      <c r="B105" s="185" t="s">
        <v>82</v>
      </c>
      <c r="D105" s="607">
        <f>qtrSales!R105</f>
        <v>9364</v>
      </c>
      <c r="F105" s="607">
        <f>INDEX('qtrP&amp;L'!$32:$32,MATCH(B101,'qtrP&amp;L'!$6:$6,0))</f>
        <v>5589</v>
      </c>
      <c r="H105" s="607">
        <f>INDEX(wc!$13:$13,MATCH(B101,wc!$7:$7,0))</f>
        <v>5417</v>
      </c>
      <c r="I105" s="261"/>
      <c r="J105" s="607">
        <f>AVERAGE(H105,H104)</f>
        <v>6603</v>
      </c>
      <c r="K105" s="261"/>
      <c r="L105" s="978">
        <f>(D105/D98-1)*100</f>
        <v>1.7604868506846394</v>
      </c>
      <c r="M105" s="261"/>
      <c r="N105" s="791">
        <f>(H105/H98-1)*100</f>
        <v>-2.5193449703077242</v>
      </c>
      <c r="O105" s="261"/>
      <c r="P105" s="791">
        <f>(H105/H104-1)*100</f>
        <v>-30.453203235331884</v>
      </c>
      <c r="Q105" s="261"/>
      <c r="R105" s="269">
        <f>F105/J105</f>
        <v>0.84643343934575188</v>
      </c>
      <c r="S105" s="261"/>
      <c r="T105" s="453">
        <f>F109/H105</f>
        <v>0.70149529259737864</v>
      </c>
      <c r="U105" s="261"/>
      <c r="V105" s="564">
        <f>IF(qtrSales!I105=0," ",qtrSales!I105)</f>
        <v>823</v>
      </c>
      <c r="W105" s="261"/>
      <c r="X105" s="290">
        <f>H105/V105</f>
        <v>6.5820170109356013</v>
      </c>
      <c r="Y105" s="261"/>
      <c r="Z105" s="395">
        <f>X105/X98-1</f>
        <v>-5.0577129411724098E-3</v>
      </c>
      <c r="AA105" s="261"/>
      <c r="AB105" s="385">
        <f>1000*qtrSales!Z105</f>
        <v>147377</v>
      </c>
      <c r="AC105" s="261"/>
      <c r="AD105" s="977">
        <f>H105/AB105*1000</f>
        <v>36.756074557088283</v>
      </c>
      <c r="AF105" s="791">
        <f>(AD105/AD98-1)*100</f>
        <v>-0.72949545165590379</v>
      </c>
      <c r="AH105" s="781">
        <f>J105/(F105/(365/4))</f>
        <v>107.8052871712292</v>
      </c>
      <c r="AJ105" s="781"/>
      <c r="AL105" s="607">
        <f>INDEX('qtrP&amp;L'!$52:$52,MATCH(B101,'qtrP&amp;L'!$6:$6,0))</f>
        <v>1451</v>
      </c>
    </row>
    <row r="106" spans="1:38" x14ac:dyDescent="0.2">
      <c r="B106" s="450" t="s">
        <v>56</v>
      </c>
      <c r="C106" s="450"/>
      <c r="D106" s="543">
        <f>qtrSales!R106</f>
        <v>28105</v>
      </c>
      <c r="F106" s="543">
        <f>INDEX('qtrP&amp;L'!$33:$33,MATCH(B101,'qtrP&amp;L'!$6:$6,0))</f>
        <v>16863</v>
      </c>
      <c r="H106" s="543">
        <f>INDEX(wc!$13:$13,MATCH(B101,wc!$7:$7,0))</f>
        <v>5417</v>
      </c>
      <c r="I106" s="261"/>
      <c r="J106" s="543">
        <f>AVERAGE(J102:J105)</f>
        <v>6147.25</v>
      </c>
      <c r="K106" s="261"/>
      <c r="L106" s="453">
        <f>(D106/D99-1)*100</f>
        <v>0.6229637320539938</v>
      </c>
      <c r="M106" s="261"/>
      <c r="N106" s="261"/>
      <c r="O106" s="261"/>
      <c r="P106" s="261"/>
      <c r="Q106" s="261"/>
      <c r="R106" s="979">
        <f>F106/J106</f>
        <v>2.7431778437512708</v>
      </c>
      <c r="S106" s="440" t="s">
        <v>123</v>
      </c>
      <c r="T106" s="261"/>
      <c r="U106" s="261"/>
      <c r="V106" s="727">
        <f>V105</f>
        <v>823</v>
      </c>
      <c r="W106" s="261"/>
      <c r="X106" s="261"/>
      <c r="Y106" s="261"/>
      <c r="Z106" s="261"/>
      <c r="AA106" s="261"/>
      <c r="AB106" s="261"/>
      <c r="AC106" s="261"/>
      <c r="AD106" s="261"/>
      <c r="AE106" s="261"/>
      <c r="AF106" s="261"/>
      <c r="AG106" s="261"/>
      <c r="AH106" s="261"/>
      <c r="AI106" s="261"/>
      <c r="AJ106" s="261"/>
      <c r="AL106" s="543">
        <f>INDEX('qtrP&amp;L'!$53:$53,MATCH(B101,'qtrP&amp;L'!$6:$6,0))</f>
        <v>2887</v>
      </c>
    </row>
    <row r="107" spans="1:38" x14ac:dyDescent="0.2">
      <c r="L107" s="453"/>
      <c r="R107" s="492"/>
      <c r="AB107" s="980"/>
    </row>
    <row r="108" spans="1:38" x14ac:dyDescent="0.2">
      <c r="B108" s="976">
        <v>2015</v>
      </c>
      <c r="C108" s="981"/>
      <c r="L108" s="453"/>
      <c r="R108" s="395"/>
      <c r="AB108" s="980"/>
      <c r="AH108" s="781"/>
    </row>
    <row r="109" spans="1:38" x14ac:dyDescent="0.2">
      <c r="A109" s="185" t="s">
        <v>95</v>
      </c>
      <c r="B109" s="185" t="s">
        <v>79</v>
      </c>
      <c r="D109" s="543">
        <f>qtrSales!R109</f>
        <v>6232</v>
      </c>
      <c r="F109" s="543">
        <f>INDEX('qtrP&amp;L'!$29:$29,MATCH(B108,'qtrP&amp;L'!$6:$6,0))</f>
        <v>3800</v>
      </c>
      <c r="H109" s="543">
        <f>INDEX(wc!$10:$10,MATCH(B108,wc!$7:$7,0))</f>
        <v>5929</v>
      </c>
      <c r="J109" s="353">
        <f>AVERAGE(H109,H105)</f>
        <v>5673</v>
      </c>
      <c r="L109" s="453">
        <f>(D109/D102-1)*100</f>
        <v>-0.74852683548335408</v>
      </c>
      <c r="M109" s="185" t="s">
        <v>93</v>
      </c>
      <c r="N109" s="791">
        <f>(H109/H102-1)*100</f>
        <v>0.54264880447685293</v>
      </c>
      <c r="O109" s="185" t="s">
        <v>93</v>
      </c>
      <c r="P109" s="791">
        <f>(H109/H105-1)*100</f>
        <v>9.4517260476278295</v>
      </c>
      <c r="Q109" s="185" t="s">
        <v>93</v>
      </c>
      <c r="R109" s="453">
        <f>F109/J109</f>
        <v>0.66983959104530233</v>
      </c>
      <c r="S109" s="185" t="s">
        <v>123</v>
      </c>
      <c r="T109" s="453">
        <f>F110/H109</f>
        <v>0.60887164783268677</v>
      </c>
      <c r="V109" s="640">
        <f>IF(qtrSales!I109=0," ",qtrSales!I109)</f>
        <v>809</v>
      </c>
      <c r="X109" s="290">
        <f>H109/V109</f>
        <v>7.3288009888751544</v>
      </c>
      <c r="Z109" s="395">
        <f>X109/X102-1</f>
        <v>4.1467734216954266E-2</v>
      </c>
      <c r="AB109" s="385">
        <f>1000*qtrSales!Z109</f>
        <v>147564</v>
      </c>
      <c r="AD109" s="977">
        <f>H109/AB109*1000</f>
        <v>40.179176492911552</v>
      </c>
      <c r="AF109" s="791">
        <f>(AD109/AD102-1)*100</f>
        <v>1.9871096178560865</v>
      </c>
      <c r="AG109" s="185" t="s">
        <v>93</v>
      </c>
      <c r="AH109" s="781">
        <f>J109/(F109/(365/4))</f>
        <v>136.2266447368421</v>
      </c>
      <c r="AJ109" s="781">
        <f>H109/(F110/(365/4))</f>
        <v>149.86738227146816</v>
      </c>
      <c r="AL109" s="543">
        <f>INDEX('qtrP&amp;L'!$49:$49,MATCH(B108,'qtrP&amp;L'!$6:$6,0))</f>
        <v>409</v>
      </c>
    </row>
    <row r="110" spans="1:38" x14ac:dyDescent="0.2">
      <c r="A110" s="185" t="s">
        <v>96</v>
      </c>
      <c r="B110" s="185" t="s">
        <v>80</v>
      </c>
      <c r="D110" s="385">
        <f>qtrSales!R110</f>
        <v>6104</v>
      </c>
      <c r="F110" s="385">
        <f>INDEX('qtrP&amp;L'!$30:$30,MATCH(B108,'qtrP&amp;L'!$6:$6,0))</f>
        <v>3610</v>
      </c>
      <c r="H110" s="385">
        <f>INDEX(wc!$11:$11,MATCH(B108,wc!$7:$7,0))</f>
        <v>5496</v>
      </c>
      <c r="I110" s="261"/>
      <c r="J110" s="353">
        <f>AVERAGE(H110,H109)</f>
        <v>5712.5</v>
      </c>
      <c r="K110" s="261"/>
      <c r="L110" s="453">
        <f>(D110/D103-1)*100</f>
        <v>-2.6009254826870887</v>
      </c>
      <c r="M110" s="261"/>
      <c r="N110" s="791">
        <f>(H110/H103-1)*100</f>
        <v>1.477104874446078</v>
      </c>
      <c r="O110" s="261"/>
      <c r="P110" s="791">
        <f>(H110/H109-1)*100</f>
        <v>-7.3030865238657423</v>
      </c>
      <c r="Q110" s="261"/>
      <c r="R110" s="269">
        <f>F110/J110</f>
        <v>0.63194748358862141</v>
      </c>
      <c r="S110" s="261"/>
      <c r="T110" s="453">
        <f>F111/H110</f>
        <v>0.64355895196506552</v>
      </c>
      <c r="U110" s="261"/>
      <c r="V110" s="640">
        <f>IF(qtrSales!I110=0," ",qtrSales!I110)</f>
        <v>820</v>
      </c>
      <c r="W110" s="261"/>
      <c r="X110" s="290">
        <f>H110/V110</f>
        <v>6.7024390243902436</v>
      </c>
      <c r="Y110" s="261"/>
      <c r="Z110" s="395">
        <f>X110/X103-1</f>
        <v>3.4571459451669728E-2</v>
      </c>
      <c r="AA110" s="261"/>
      <c r="AB110" s="385">
        <f>1000*qtrSales!Z110</f>
        <v>146315</v>
      </c>
      <c r="AC110" s="261"/>
      <c r="AD110" s="977">
        <f>H110/AB110*1000</f>
        <v>37.562792604996069</v>
      </c>
      <c r="AF110" s="791">
        <f>(AD110/AD103-1)*100</f>
        <v>3.6389073956752727</v>
      </c>
      <c r="AH110" s="781">
        <f>J110/(F110/(365/4))</f>
        <v>144.39490997229919</v>
      </c>
      <c r="AJ110" s="781">
        <f>H110/(F111/(365/4))</f>
        <v>141.7896522476675</v>
      </c>
      <c r="AL110" s="385">
        <f>INDEX('qtrP&amp;L'!$50:$50,MATCH(B108,'qtrP&amp;L'!$6:$6,0))</f>
        <v>436</v>
      </c>
    </row>
    <row r="111" spans="1:38" x14ac:dyDescent="0.2">
      <c r="A111" s="185" t="s">
        <v>97</v>
      </c>
      <c r="B111" s="185" t="s">
        <v>81</v>
      </c>
      <c r="D111" s="385">
        <f>qtrSales!R111</f>
        <v>5874</v>
      </c>
      <c r="F111" s="385">
        <f>INDEX('qtrP&amp;L'!$31:$31,MATCH(B108,'qtrP&amp;L'!$6:$6,0))</f>
        <v>3537</v>
      </c>
      <c r="H111" s="385">
        <f>INDEX(wc!$12:$12,MATCH(B108,wc!$7:$7,0))</f>
        <v>7971</v>
      </c>
      <c r="I111" s="261"/>
      <c r="J111" s="353">
        <f>AVERAGE(H111,H110)</f>
        <v>6733.5</v>
      </c>
      <c r="K111" s="261"/>
      <c r="L111" s="453">
        <f>(D111/D104-1)*100</f>
        <v>-5.1815980629539959</v>
      </c>
      <c r="M111" s="261"/>
      <c r="N111" s="791">
        <f>(H111/H104-1)*100</f>
        <v>2.3366285787649321</v>
      </c>
      <c r="O111" s="261"/>
      <c r="P111" s="791">
        <f>(H111/H110-1)*100</f>
        <v>45.032751091703062</v>
      </c>
      <c r="Q111" s="261"/>
      <c r="R111" s="269">
        <f>F111/J111</f>
        <v>0.52528402762307869</v>
      </c>
      <c r="S111" s="261"/>
      <c r="T111" s="453">
        <f>F112/H111</f>
        <v>0.69614853845188807</v>
      </c>
      <c r="U111" s="261"/>
      <c r="V111" s="640">
        <f>IF(qtrSales!I111=0," ",qtrSales!I111)</f>
        <v>825</v>
      </c>
      <c r="W111" s="261"/>
      <c r="X111" s="290">
        <f>H111/V111</f>
        <v>9.6618181818181821</v>
      </c>
      <c r="Y111" s="261"/>
      <c r="Z111" s="395">
        <f>X111/X104-1</f>
        <v>3.9492057563697003E-2</v>
      </c>
      <c r="AA111" s="261"/>
      <c r="AB111" s="385">
        <f>1000*qtrSales!Z111</f>
        <v>146293</v>
      </c>
      <c r="AC111" s="261"/>
      <c r="AD111" s="977">
        <f>H111/AB111*1000</f>
        <v>54.486544127196794</v>
      </c>
      <c r="AF111" s="791">
        <f>(AD111/AD104-1)*100</f>
        <v>4.6905536139173032</v>
      </c>
      <c r="AH111" s="781">
        <f>J111/(F111/(365/4))</f>
        <v>173.71554283290925</v>
      </c>
      <c r="AJ111" s="781">
        <f>H111/(F112/(365/4))</f>
        <v>131.07834744999099</v>
      </c>
      <c r="AL111" s="385">
        <f>INDEX('qtrP&amp;L'!$51:$51,MATCH(B108,'qtrP&amp;L'!$6:$6,0))</f>
        <v>369</v>
      </c>
    </row>
    <row r="112" spans="1:38" x14ac:dyDescent="0.2">
      <c r="A112" s="185" t="s">
        <v>98</v>
      </c>
      <c r="B112" s="185" t="s">
        <v>82</v>
      </c>
      <c r="D112" s="607">
        <f>qtrSales!R112</f>
        <v>8869</v>
      </c>
      <c r="F112" s="607">
        <f>INDEX('qtrP&amp;L'!$32:$32,MATCH(B108,'qtrP&amp;L'!$6:$6,0))</f>
        <v>5549</v>
      </c>
      <c r="H112" s="607">
        <f>INDEX(wc!$13:$13,MATCH(B108,wc!$7:$7,0))</f>
        <v>5506</v>
      </c>
      <c r="I112" s="261"/>
      <c r="J112" s="607">
        <f>AVERAGE(H112,H111)</f>
        <v>6738.5</v>
      </c>
      <c r="K112" s="261"/>
      <c r="L112" s="978">
        <f>(D112/D105-1)*100</f>
        <v>-5.2862024775736867</v>
      </c>
      <c r="M112" s="261"/>
      <c r="N112" s="791">
        <f>(H112/H105-1)*100</f>
        <v>1.6429758168728048</v>
      </c>
      <c r="O112" s="261"/>
      <c r="P112" s="791">
        <f>(H112/H111-1)*100</f>
        <v>-30.924601681093968</v>
      </c>
      <c r="Q112" s="261"/>
      <c r="R112" s="269">
        <f>F112/J112</f>
        <v>0.82347703494843061</v>
      </c>
      <c r="S112" s="261"/>
      <c r="T112" s="453">
        <f>F116/H112</f>
        <v>0.63639665819106428</v>
      </c>
      <c r="U112" s="261"/>
      <c r="V112" s="564">
        <f>IF(qtrSales!I112=0," ",qtrSales!I112)</f>
        <v>794</v>
      </c>
      <c r="W112" s="261"/>
      <c r="X112" s="290">
        <f>H112/V112</f>
        <v>6.934508816120907</v>
      </c>
      <c r="Y112" s="261"/>
      <c r="Z112" s="395">
        <f>X112/X105-1</f>
        <v>5.3553766968341687E-2</v>
      </c>
      <c r="AA112" s="261"/>
      <c r="AB112" s="385">
        <f>1000*qtrSales!Z112</f>
        <v>141915</v>
      </c>
      <c r="AC112" s="261"/>
      <c r="AD112" s="977">
        <f>H112/AB112*1000</f>
        <v>38.797871965613218</v>
      </c>
      <c r="AF112" s="791">
        <f>(AD112/AD105-1)*100</f>
        <v>5.554993108292039</v>
      </c>
      <c r="AH112" s="781">
        <f>J112/(F112/(365/4))</f>
        <v>110.81061903045594</v>
      </c>
      <c r="AJ112" s="781"/>
      <c r="AL112" s="607">
        <f>INDEX('qtrP&amp;L'!$52:$52,MATCH(B108,'qtrP&amp;L'!$6:$6,0))</f>
        <v>1113</v>
      </c>
    </row>
    <row r="113" spans="1:38" x14ac:dyDescent="0.2">
      <c r="B113" s="450" t="s">
        <v>56</v>
      </c>
      <c r="C113" s="450"/>
      <c r="D113" s="543">
        <f>qtrSales!R113</f>
        <v>27079</v>
      </c>
      <c r="F113" s="543">
        <f>INDEX('qtrP&amp;L'!$33:$33,MATCH(B108,'qtrP&amp;L'!$6:$6,0))</f>
        <v>16496</v>
      </c>
      <c r="H113" s="543">
        <f>INDEX(wc!$13:$13,MATCH(B108,wc!$7:$7,0))</f>
        <v>5506</v>
      </c>
      <c r="I113" s="261"/>
      <c r="J113" s="543">
        <f>AVERAGE(J109:J112)</f>
        <v>6214.375</v>
      </c>
      <c r="K113" s="261"/>
      <c r="L113" s="453">
        <f>(D113/D106-1)*100</f>
        <v>-3.6505959793631026</v>
      </c>
      <c r="M113" s="261"/>
      <c r="N113" s="261"/>
      <c r="O113" s="261"/>
      <c r="P113" s="261"/>
      <c r="Q113" s="261"/>
      <c r="R113" s="979">
        <f>F113/J113</f>
        <v>2.6544905963994769</v>
      </c>
      <c r="S113" s="440" t="s">
        <v>123</v>
      </c>
      <c r="T113" s="261"/>
      <c r="U113" s="261"/>
      <c r="V113" s="727">
        <f>V112</f>
        <v>794</v>
      </c>
      <c r="W113" s="261"/>
      <c r="X113" s="261"/>
      <c r="Y113" s="261"/>
      <c r="Z113" s="261"/>
      <c r="AA113" s="261"/>
      <c r="AB113" s="261"/>
      <c r="AC113" s="261"/>
      <c r="AD113" s="261"/>
      <c r="AE113" s="261"/>
      <c r="AF113" s="261"/>
      <c r="AG113" s="261"/>
      <c r="AH113" s="261"/>
      <c r="AI113" s="261"/>
      <c r="AJ113" s="261"/>
      <c r="AL113" s="543">
        <f>INDEX('qtrP&amp;L'!$53:$53,MATCH(B108,'qtrP&amp;L'!$6:$6,0))</f>
        <v>2327</v>
      </c>
    </row>
    <row r="114" spans="1:38" x14ac:dyDescent="0.2">
      <c r="B114" s="450"/>
      <c r="C114" s="450"/>
      <c r="D114" s="790"/>
      <c r="F114" s="790"/>
      <c r="L114" s="453"/>
      <c r="N114" s="791"/>
      <c r="R114" s="269"/>
      <c r="S114" s="261"/>
      <c r="AL114" s="790"/>
    </row>
    <row r="115" spans="1:38" x14ac:dyDescent="0.2">
      <c r="B115" s="976">
        <v>2016</v>
      </c>
      <c r="C115" s="981"/>
      <c r="L115" s="453"/>
      <c r="R115" s="395"/>
      <c r="AB115" s="980"/>
      <c r="AH115" s="781"/>
    </row>
    <row r="116" spans="1:38" x14ac:dyDescent="0.2">
      <c r="A116" s="185" t="s">
        <v>95</v>
      </c>
      <c r="B116" s="185" t="s">
        <v>79</v>
      </c>
      <c r="D116" s="543">
        <f>qtrSales!R116</f>
        <v>5774</v>
      </c>
      <c r="F116" s="543">
        <f>INDEX('qtrP&amp;L'!$29:$29,MATCH(B115,'qtrP&amp;L'!$6:$6,0))</f>
        <v>3504</v>
      </c>
      <c r="H116" s="543">
        <f>INDEX(wc!$10:$10,MATCH(B115,wc!$7:$7,0))</f>
        <v>5738</v>
      </c>
      <c r="J116" s="353">
        <f>AVERAGE(H116,H112)</f>
        <v>5622</v>
      </c>
      <c r="L116" s="453">
        <f>(D116/D109-1)*100</f>
        <v>-7.3491655969191267</v>
      </c>
      <c r="M116" s="185" t="s">
        <v>93</v>
      </c>
      <c r="N116" s="791">
        <f>(H116/H109-1)*100</f>
        <v>-3.2214538708045248</v>
      </c>
      <c r="O116" s="185" t="s">
        <v>93</v>
      </c>
      <c r="P116" s="791">
        <f>(H116/H112-1)*100</f>
        <v>4.2135851798038582</v>
      </c>
      <c r="Q116" s="185" t="s">
        <v>93</v>
      </c>
      <c r="R116" s="453">
        <f>F116/J116</f>
        <v>0.62326574172892213</v>
      </c>
      <c r="S116" s="185" t="s">
        <v>123</v>
      </c>
      <c r="T116" s="453">
        <f>F117/H116</f>
        <v>0.6233879400487975</v>
      </c>
      <c r="V116" s="640">
        <f>IF(qtrSales!I116=0," ",qtrSales!I116)</f>
        <v>784</v>
      </c>
      <c r="X116" s="290">
        <f>H116/V116</f>
        <v>7.3188775510204085</v>
      </c>
      <c r="Z116" s="395">
        <f>X116/X109-1</f>
        <v>-1.3540329270517182E-3</v>
      </c>
      <c r="AB116" s="385">
        <f>1000*qtrSales!Z116</f>
        <v>141902</v>
      </c>
      <c r="AD116" s="977">
        <f>H116/AB116*1000</f>
        <v>40.436357486152417</v>
      </c>
      <c r="AF116" s="791">
        <f>(AD116/AD109-1)*100</f>
        <v>0.6400852772237231</v>
      </c>
      <c r="AG116" s="185" t="s">
        <v>93</v>
      </c>
      <c r="AH116" s="781">
        <f>J116/(F116/(365/4))</f>
        <v>146.40625</v>
      </c>
      <c r="AJ116" s="781">
        <f>H116/(F117/(365/4))</f>
        <v>146.37755102040816</v>
      </c>
      <c r="AL116" s="543">
        <f>INDEX('qtrP&amp;L'!$49:$49,MATCH(B115,'qtrP&amp;L'!$6:$6,0))</f>
        <v>290</v>
      </c>
    </row>
    <row r="117" spans="1:38" x14ac:dyDescent="0.2">
      <c r="A117" s="185" t="s">
        <v>96</v>
      </c>
      <c r="B117" s="185" t="s">
        <v>80</v>
      </c>
      <c r="D117" s="385">
        <f>qtrSales!R117</f>
        <v>5968</v>
      </c>
      <c r="F117" s="385">
        <f>INDEX('qtrP&amp;L'!$30:$30,MATCH(B115,'qtrP&amp;L'!$6:$6,0))</f>
        <v>3577</v>
      </c>
      <c r="H117" s="385">
        <f>INDEX(wc!$11:$11,MATCH(B115,wc!$7:$7,0))</f>
        <v>5322</v>
      </c>
      <c r="I117" s="261"/>
      <c r="J117" s="353">
        <f>AVERAGE(H117,H116)</f>
        <v>5530</v>
      </c>
      <c r="K117" s="261"/>
      <c r="L117" s="453">
        <f>(D117/D110-1)*100</f>
        <v>-2.2280471821756187</v>
      </c>
      <c r="M117" s="261"/>
      <c r="N117" s="791">
        <f>(H117/H110-1)*100</f>
        <v>-3.1659388646288256</v>
      </c>
      <c r="O117" s="261"/>
      <c r="P117" s="791">
        <f>(H117/H116-1)*100</f>
        <v>-7.2499128616242636</v>
      </c>
      <c r="Q117" s="261"/>
      <c r="R117" s="269">
        <f>F117/J117</f>
        <v>0.64683544303797469</v>
      </c>
      <c r="S117" s="261"/>
      <c r="T117" s="453">
        <f>F118/H117</f>
        <v>0.63152950018789933</v>
      </c>
      <c r="U117" s="261"/>
      <c r="V117" s="640">
        <f>IF(qtrSales!I117=0," ",qtrSales!I117)</f>
        <v>782</v>
      </c>
      <c r="W117" s="261"/>
      <c r="X117" s="290">
        <f>H117/V117</f>
        <v>6.8056265984654729</v>
      </c>
      <c r="Y117" s="261"/>
      <c r="Z117" s="395">
        <f>X117/X110-1</f>
        <v>1.5395525971922952E-2</v>
      </c>
      <c r="AA117" s="261"/>
      <c r="AB117" s="385">
        <f>1000*qtrSales!Z117</f>
        <v>141335</v>
      </c>
      <c r="AC117" s="261"/>
      <c r="AD117" s="977">
        <f>H117/AB117*1000</f>
        <v>37.655216329996108</v>
      </c>
      <c r="AF117" s="791">
        <f>(AD117/AD110-1)*100</f>
        <v>0.24605126134245037</v>
      </c>
      <c r="AH117" s="781">
        <f>J117/(F117/(365/4))</f>
        <v>141.07142857142856</v>
      </c>
      <c r="AJ117" s="781">
        <f>H117/(F118/(365/4))</f>
        <v>144.49047902409995</v>
      </c>
      <c r="AL117" s="385">
        <f>INDEX('qtrP&amp;L'!$50:$50,MATCH(B115,'qtrP&amp;L'!$6:$6,0))</f>
        <v>346.75</v>
      </c>
    </row>
    <row r="118" spans="1:38" x14ac:dyDescent="0.2">
      <c r="A118" s="185" t="s">
        <v>97</v>
      </c>
      <c r="B118" s="185" t="s">
        <v>81</v>
      </c>
      <c r="D118" s="385">
        <f>qtrSales!R118</f>
        <v>5635</v>
      </c>
      <c r="F118" s="385">
        <f>INDEX('qtrP&amp;L'!$31:$31,MATCH(B115,'qtrP&amp;L'!$6:$6,0))</f>
        <v>3361</v>
      </c>
      <c r="H118" s="385">
        <f>INDEX(wc!$12:$12,MATCH(B115,wc!$7:$7,0))</f>
        <v>7587</v>
      </c>
      <c r="I118" s="261"/>
      <c r="J118" s="353">
        <f>AVERAGE(H118,H117)</f>
        <v>6454.5</v>
      </c>
      <c r="K118" s="261"/>
      <c r="L118" s="453">
        <f>(D118/D111-1)*100</f>
        <v>-4.0687776642832851</v>
      </c>
      <c r="M118" s="261"/>
      <c r="N118" s="791">
        <f>(H118/H111-1)*100</f>
        <v>-4.8174633044787303</v>
      </c>
      <c r="O118" s="261"/>
      <c r="P118" s="791">
        <f>(H118/H117-1)*100</f>
        <v>42.559188275084558</v>
      </c>
      <c r="Q118" s="261"/>
      <c r="R118" s="269">
        <f>F118/J118</f>
        <v>0.5207219769153304</v>
      </c>
      <c r="S118" s="261"/>
      <c r="T118" s="453">
        <f>F119/H118</f>
        <v>0.68867800184526162</v>
      </c>
      <c r="U118" s="261"/>
      <c r="V118" s="640">
        <f>IF(qtrSales!I118=0," ",qtrSales!I118)</f>
        <v>774</v>
      </c>
      <c r="W118" s="261"/>
      <c r="X118" s="290">
        <f>H118/V118</f>
        <v>9.8023255813953494</v>
      </c>
      <c r="Y118" s="261"/>
      <c r="Z118" s="395">
        <f>X118/X111-1</f>
        <v>1.4542542297222738E-2</v>
      </c>
      <c r="AA118" s="261"/>
      <c r="AB118" s="385">
        <f>1000*qtrSales!Z118</f>
        <v>141480</v>
      </c>
      <c r="AC118" s="261"/>
      <c r="AD118" s="977">
        <f>H118/AB118*1000</f>
        <v>53.625954198473281</v>
      </c>
      <c r="AF118" s="791">
        <f>(AD118/AD111-1)*100</f>
        <v>-1.579454051470941</v>
      </c>
      <c r="AH118" s="781">
        <f>J118/(F118/(365/4))</f>
        <v>175.23746652781909</v>
      </c>
      <c r="AJ118" s="781">
        <f>H118/(F119/(365/4))</f>
        <v>132.50023923444977</v>
      </c>
      <c r="AL118" s="385">
        <f>INDEX('qtrP&amp;L'!$51:$51,MATCH(B115,'qtrP&amp;L'!$6:$6,0))</f>
        <v>150.75</v>
      </c>
    </row>
    <row r="119" spans="1:38" x14ac:dyDescent="0.2">
      <c r="A119" s="185" t="s">
        <v>98</v>
      </c>
      <c r="B119" s="185" t="s">
        <v>82</v>
      </c>
      <c r="D119" s="607">
        <f>qtrSales!R119</f>
        <v>8533</v>
      </c>
      <c r="F119" s="607">
        <f>INDEX('qtrP&amp;L'!$32:$32,MATCH(B115,'qtrP&amp;L'!$6:$6,0))</f>
        <v>5225</v>
      </c>
      <c r="H119" s="607">
        <f>INDEX(wc!$13:$13,MATCH(B115,wc!$7:$7,0))</f>
        <v>5399</v>
      </c>
      <c r="I119" s="261"/>
      <c r="J119" s="607">
        <f>AVERAGE(H119,H118)</f>
        <v>6493</v>
      </c>
      <c r="K119" s="261"/>
      <c r="L119" s="978">
        <f>(D119/D112-1)*100</f>
        <v>-3.7884767166535105</v>
      </c>
      <c r="M119" s="261"/>
      <c r="N119" s="791">
        <f>(H119/H112-1)*100</f>
        <v>-1.943334544133668</v>
      </c>
      <c r="O119" s="261"/>
      <c r="P119" s="791">
        <f>(H119/H118-1)*100</f>
        <v>-28.838803216027419</v>
      </c>
      <c r="Q119" s="261"/>
      <c r="R119" s="269">
        <f>F119/J119</f>
        <v>0.80471276759587251</v>
      </c>
      <c r="S119" s="261"/>
      <c r="T119" s="453">
        <f>F123/H119</f>
        <v>0.61196517873680312</v>
      </c>
      <c r="U119" s="261"/>
      <c r="V119" s="564">
        <f>IF(qtrSales!I119=0," ",qtrSales!I119)</f>
        <v>731</v>
      </c>
      <c r="W119" s="261"/>
      <c r="X119" s="290">
        <f>H119/V119</f>
        <v>7.3857729138166892</v>
      </c>
      <c r="Y119" s="261"/>
      <c r="Z119" s="395">
        <f>X119/X112-1</f>
        <v>6.5075135047303112E-2</v>
      </c>
      <c r="AA119" s="261"/>
      <c r="AB119" s="385">
        <f>1000*qtrSales!Z119</f>
        <v>130014.99999999999</v>
      </c>
      <c r="AC119" s="261"/>
      <c r="AD119" s="977">
        <f>H119/AB119*1000</f>
        <v>41.525977771795567</v>
      </c>
      <c r="AF119" s="791">
        <f>(AD119/AD112-1)*100</f>
        <v>7.0315861875112295</v>
      </c>
      <c r="AH119" s="781">
        <f>J119/(F119/(365/4))</f>
        <v>113.39449760765551</v>
      </c>
      <c r="AJ119" s="781"/>
      <c r="AL119" s="607">
        <f>INDEX('qtrP&amp;L'!$52:$52,MATCH(B115,'qtrP&amp;L'!$6:$6,0))</f>
        <v>1063.25</v>
      </c>
    </row>
    <row r="120" spans="1:38" x14ac:dyDescent="0.2">
      <c r="B120" s="450" t="s">
        <v>56</v>
      </c>
      <c r="C120" s="450"/>
      <c r="D120" s="543">
        <f>qtrSales!R120</f>
        <v>25910</v>
      </c>
      <c r="F120" s="543">
        <f>INDEX('qtrP&amp;L'!$33:$33,MATCH(B115,'qtrP&amp;L'!$6:$6,0))</f>
        <v>15667</v>
      </c>
      <c r="H120" s="543">
        <f>INDEX(wc!$13:$13,MATCH(B115,wc!$7:$7,0))</f>
        <v>5399</v>
      </c>
      <c r="I120" s="261"/>
      <c r="J120" s="543">
        <f>AVERAGE(J116:J119)</f>
        <v>6024.875</v>
      </c>
      <c r="K120" s="261"/>
      <c r="L120" s="453">
        <f>(D120/D113-1)*100</f>
        <v>-4.3169984120536187</v>
      </c>
      <c r="M120" s="261"/>
      <c r="N120" s="261"/>
      <c r="O120" s="261"/>
      <c r="P120" s="261"/>
      <c r="Q120" s="261"/>
      <c r="R120" s="979">
        <f>F120/J120</f>
        <v>2.6003859001224092</v>
      </c>
      <c r="S120" s="440" t="s">
        <v>123</v>
      </c>
      <c r="T120" s="261"/>
      <c r="U120" s="261"/>
      <c r="V120" s="727">
        <f>V119</f>
        <v>731</v>
      </c>
      <c r="W120" s="261"/>
      <c r="X120" s="261"/>
      <c r="Y120" s="261"/>
      <c r="Z120" s="261"/>
      <c r="AA120" s="261"/>
      <c r="AB120" s="261"/>
      <c r="AC120" s="261"/>
      <c r="AD120" s="261"/>
      <c r="AE120" s="261"/>
      <c r="AF120" s="261"/>
      <c r="AG120" s="261"/>
      <c r="AH120" s="261"/>
      <c r="AI120" s="261"/>
      <c r="AJ120" s="261"/>
      <c r="AL120" s="543">
        <f>INDEX('qtrP&amp;L'!$53:$53,MATCH(B115,'qtrP&amp;L'!$6:$6,0))</f>
        <v>1850.75</v>
      </c>
    </row>
    <row r="121" spans="1:38" x14ac:dyDescent="0.2">
      <c r="B121" s="450"/>
      <c r="C121" s="450"/>
      <c r="D121" s="790"/>
      <c r="F121" s="790"/>
      <c r="L121" s="453"/>
      <c r="N121" s="791"/>
      <c r="R121" s="269"/>
      <c r="S121" s="261"/>
      <c r="AL121" s="790"/>
    </row>
    <row r="122" spans="1:38" x14ac:dyDescent="0.2">
      <c r="B122" s="982">
        <v>2017</v>
      </c>
      <c r="C122" s="981"/>
      <c r="L122" s="453"/>
      <c r="R122" s="395"/>
      <c r="AB122" s="980"/>
      <c r="AH122" s="781"/>
    </row>
    <row r="123" spans="1:38" x14ac:dyDescent="0.2">
      <c r="A123" s="185" t="s">
        <v>95</v>
      </c>
      <c r="B123" s="185" t="s">
        <v>79</v>
      </c>
      <c r="D123" s="543">
        <f>qtrSales!R123</f>
        <v>5352</v>
      </c>
      <c r="F123" s="543">
        <f>INDEX('qtrP&amp;L'!$29:$29,MATCH(B122,'qtrP&amp;L'!$6:$6,0))</f>
        <v>3304</v>
      </c>
      <c r="H123" s="543">
        <f>INDEX(wc!$10:$10,MATCH(B122,wc!$7:$7,0))</f>
        <v>5626</v>
      </c>
      <c r="J123" s="353">
        <f>AVERAGE(H123,H119)</f>
        <v>5512.5</v>
      </c>
      <c r="L123" s="453">
        <f>(D123/D116-1)*100</f>
        <v>-7.3086248701073835</v>
      </c>
      <c r="M123" s="185" t="s">
        <v>93</v>
      </c>
      <c r="N123" s="791">
        <f>(H123/H116-1)*100</f>
        <v>-1.9518996165911462</v>
      </c>
      <c r="O123" s="185" t="s">
        <v>93</v>
      </c>
      <c r="P123" s="791">
        <f>(H123/H119-1)*100</f>
        <v>4.2044823115391816</v>
      </c>
      <c r="Q123" s="185" t="s">
        <v>93</v>
      </c>
      <c r="R123" s="453">
        <f>F123/J123</f>
        <v>0.59936507936507932</v>
      </c>
      <c r="S123" s="185" t="s">
        <v>123</v>
      </c>
      <c r="T123" s="453">
        <f>F124/H123</f>
        <v>0.60487024528972622</v>
      </c>
      <c r="V123" s="640">
        <f>IF(qtrSales!I123=0," ",qtrSales!I123)</f>
        <v>733</v>
      </c>
      <c r="X123" s="290">
        <f>H123/V123</f>
        <v>7.6753069577080488</v>
      </c>
      <c r="Z123" s="395">
        <f>X123/X116-1</f>
        <v>4.870000955787912E-2</v>
      </c>
      <c r="AB123" s="385">
        <f>1000*qtrSales!Z123</f>
        <v>130140.99999999999</v>
      </c>
      <c r="AD123" s="977">
        <f>H123/AB123*1000</f>
        <v>43.230035115759065</v>
      </c>
      <c r="AF123" s="791">
        <f>(AD123/AD116-1)*100</f>
        <v>6.9088261240230597</v>
      </c>
      <c r="AG123" s="185" t="s">
        <v>93</v>
      </c>
      <c r="AH123" s="781">
        <f>J123/(F123/(365/4))</f>
        <v>152.24443855932205</v>
      </c>
      <c r="AJ123" s="781">
        <f>H123/(F124/(365/4))</f>
        <v>150.8588010578901</v>
      </c>
      <c r="AL123" s="543">
        <f>INDEX('qtrP&amp;L'!$49:$49,MATCH(B122,'qtrP&amp;L'!$6:$6,0))</f>
        <v>219</v>
      </c>
    </row>
    <row r="124" spans="1:38" x14ac:dyDescent="0.2">
      <c r="A124" s="185" t="s">
        <v>96</v>
      </c>
      <c r="B124" s="185" t="s">
        <v>80</v>
      </c>
      <c r="D124" s="385">
        <f>qtrSales!R124</f>
        <v>5635</v>
      </c>
      <c r="F124" s="385">
        <f>INDEX('qtrP&amp;L'!$30:$30,MATCH(B122,'qtrP&amp;L'!$6:$6,0))</f>
        <v>3403</v>
      </c>
      <c r="H124" s="385">
        <f>INDEX(wc!$11:$11,MATCH(B122,wc!$7:$7,0))</f>
        <v>4980</v>
      </c>
      <c r="I124" s="261"/>
      <c r="J124" s="353">
        <f>AVERAGE(H124,H123)</f>
        <v>5303</v>
      </c>
      <c r="K124" s="261"/>
      <c r="L124" s="453">
        <f>(D124/D117-1)*100</f>
        <v>-5.5797587131367283</v>
      </c>
      <c r="M124" s="261"/>
      <c r="N124" s="791">
        <f>(H124/H117-1)*100</f>
        <v>-6.4261555806087944</v>
      </c>
      <c r="O124" s="261"/>
      <c r="P124" s="791">
        <f>(H124/H123-1)*100</f>
        <v>-11.482403128332741</v>
      </c>
      <c r="Q124" s="261"/>
      <c r="R124" s="269">
        <f>F124/J124</f>
        <v>0.64171223835564772</v>
      </c>
      <c r="S124" s="261"/>
      <c r="T124" s="453">
        <f>F125/H124</f>
        <v>0.63313253012048187</v>
      </c>
      <c r="U124" s="261"/>
      <c r="V124" s="640">
        <f>IF(qtrSales!I124=0," ",qtrSales!I124)</f>
        <v>731</v>
      </c>
      <c r="W124" s="261"/>
      <c r="X124" s="290">
        <f>H124/V124</f>
        <v>6.8125854993160058</v>
      </c>
      <c r="Y124" s="261"/>
      <c r="Z124" s="395">
        <f>X124/X117-1</f>
        <v>1.0225216958130723E-3</v>
      </c>
      <c r="AA124" s="261"/>
      <c r="AB124" s="385">
        <f>1000*qtrSales!Z124</f>
        <v>129785.90859481582</v>
      </c>
      <c r="AC124" s="261"/>
      <c r="AD124" s="977">
        <f>H124/AB124*1000</f>
        <v>38.370883664630149</v>
      </c>
      <c r="AF124" s="791">
        <f>(AD124/AD117-1)*100</f>
        <v>1.9005795328918218</v>
      </c>
      <c r="AH124" s="781">
        <f>J124/(F124/(365/4))</f>
        <v>142.19769321187189</v>
      </c>
      <c r="AJ124" s="781">
        <f>H124/(F125/(365/4))</f>
        <v>144.1246431969553</v>
      </c>
      <c r="AL124" s="385">
        <f>INDEX('qtrP&amp;L'!$50:$50,MATCH(B122,'qtrP&amp;L'!$6:$6,0))</f>
        <v>283</v>
      </c>
    </row>
    <row r="125" spans="1:38" x14ac:dyDescent="0.2">
      <c r="A125" s="185" t="s">
        <v>97</v>
      </c>
      <c r="B125" s="185" t="s">
        <v>81</v>
      </c>
      <c r="D125" s="385">
        <f>qtrSales!R125</f>
        <v>5287</v>
      </c>
      <c r="F125" s="385">
        <f>INDEX('qtrP&amp;L'!$31:$31,MATCH(B122,'qtrP&amp;L'!$6:$6,0))</f>
        <v>3153</v>
      </c>
      <c r="H125" s="385">
        <f>INDEX(wc!$12:$12,MATCH(B122,wc!$7:$7,0))</f>
        <v>7065</v>
      </c>
      <c r="I125" s="261"/>
      <c r="J125" s="353">
        <f>AVERAGE(H125,H124)</f>
        <v>6022.5</v>
      </c>
      <c r="K125" s="261"/>
      <c r="L125" s="453">
        <f>(D125/D118-1)*100</f>
        <v>-6.1756876663708997</v>
      </c>
      <c r="M125" s="261"/>
      <c r="N125" s="791">
        <f>(H125/H118-1)*100</f>
        <v>-6.8801897983392646</v>
      </c>
      <c r="O125" s="261"/>
      <c r="P125" s="791">
        <f>(H125/H124-1)*100</f>
        <v>41.867469879518083</v>
      </c>
      <c r="Q125" s="261"/>
      <c r="R125" s="269">
        <f>F125/J125</f>
        <v>0.52353673723536742</v>
      </c>
      <c r="S125" s="261"/>
      <c r="T125" s="453">
        <f>F126/H125</f>
        <v>0.75329087048832277</v>
      </c>
      <c r="U125" s="261"/>
      <c r="V125" s="640">
        <f>IF(qtrSales!I125=0," ",qtrSales!I125)</f>
        <v>731</v>
      </c>
      <c r="W125" s="261"/>
      <c r="X125" s="290">
        <f>H125/V125</f>
        <v>9.6648426812585502</v>
      </c>
      <c r="Y125" s="261"/>
      <c r="Z125" s="395">
        <f>X125/X118-1</f>
        <v>-1.4025539041239266E-2</v>
      </c>
      <c r="AA125" s="261"/>
      <c r="AB125" s="385">
        <f>1000*qtrSales!Z125</f>
        <v>129785.90859481582</v>
      </c>
      <c r="AC125" s="261"/>
      <c r="AD125" s="977">
        <f>H125/AB125*1000</f>
        <v>54.435801825424093</v>
      </c>
      <c r="AF125" s="791">
        <f>(AD125/AD118-1)*100</f>
        <v>1.5101784929616668</v>
      </c>
      <c r="AH125" s="781">
        <f>J125/(F125/(365/4))</f>
        <v>174.29531398667936</v>
      </c>
      <c r="AJ125" s="781">
        <f>H125/(F126/(365/4))</f>
        <v>121.13514656144307</v>
      </c>
      <c r="AL125" s="385">
        <f>INDEX('qtrP&amp;L'!$51:$51,MATCH(B122,'qtrP&amp;L'!$6:$6,0))</f>
        <v>156</v>
      </c>
    </row>
    <row r="126" spans="1:38" x14ac:dyDescent="0.2">
      <c r="A126" s="185" t="s">
        <v>98</v>
      </c>
      <c r="B126" s="185" t="s">
        <v>82</v>
      </c>
      <c r="D126" s="607">
        <f>qtrSales!R126</f>
        <v>8671</v>
      </c>
      <c r="F126" s="607">
        <f>INDEX('qtrP&amp;L'!$32:$32,MATCH(B122,'qtrP&amp;L'!$6:$6,0))</f>
        <v>5322</v>
      </c>
      <c r="H126" s="607">
        <f>INDEX(wc!$13:$13,MATCH(B122,wc!$7:$7,0))</f>
        <v>5178</v>
      </c>
      <c r="I126" s="261"/>
      <c r="J126" s="607">
        <f>AVERAGE(H126,H125)</f>
        <v>6121.5</v>
      </c>
      <c r="K126" s="261"/>
      <c r="L126" s="978">
        <f>(D126/D119-1)*100</f>
        <v>1.6172506738544534</v>
      </c>
      <c r="M126" s="261"/>
      <c r="N126" s="791">
        <f>(H126/H119-1)*100</f>
        <v>-4.0933506204852694</v>
      </c>
      <c r="O126" s="261"/>
      <c r="P126" s="791">
        <f>(H126/H125-1)*100</f>
        <v>-26.709129511677286</v>
      </c>
      <c r="Q126" s="261"/>
      <c r="R126" s="269">
        <f>F126/J126</f>
        <v>0.86939475618720907</v>
      </c>
      <c r="S126" s="261"/>
      <c r="T126" s="453">
        <f>F127/H126</f>
        <v>2.9320200849748939</v>
      </c>
      <c r="U126" s="261"/>
      <c r="V126" s="564">
        <f>IF(qtrSales!I126=0," ",qtrSales!I126)</f>
        <v>717</v>
      </c>
      <c r="W126" s="261"/>
      <c r="X126" s="290">
        <f>H126/V126</f>
        <v>7.2217573221757325</v>
      </c>
      <c r="Y126" s="261"/>
      <c r="Z126" s="395">
        <f>X126/X119-1</f>
        <v>-2.2206963787653189E-2</v>
      </c>
      <c r="AA126" s="261"/>
      <c r="AB126" s="385">
        <f>1000*qtrSales!Z126</f>
        <v>127300.2687585266</v>
      </c>
      <c r="AC126" s="261"/>
      <c r="AD126" s="977">
        <f>H126/AB126*1000</f>
        <v>40.675483645851898</v>
      </c>
      <c r="AF126" s="791">
        <f>(AD126/AD119-1)*100</f>
        <v>-2.0481013851558871</v>
      </c>
      <c r="AH126" s="781">
        <f>J126/(F126/(365/4))</f>
        <v>104.95807497181511</v>
      </c>
      <c r="AJ126" s="781"/>
      <c r="AL126" s="607">
        <f>INDEX('qtrP&amp;L'!$52:$52,MATCH(B122,'qtrP&amp;L'!$6:$6,0))</f>
        <v>1398</v>
      </c>
    </row>
    <row r="127" spans="1:38" x14ac:dyDescent="0.2">
      <c r="B127" s="450" t="s">
        <v>56</v>
      </c>
      <c r="C127" s="450"/>
      <c r="D127" s="543">
        <f>qtrSales!R127</f>
        <v>24945</v>
      </c>
      <c r="F127" s="543">
        <f>INDEX('qtrP&amp;L'!$33:$33,MATCH(B122,'qtrP&amp;L'!$6:$6,0))</f>
        <v>15182</v>
      </c>
      <c r="H127" s="543">
        <f>INDEX(wc!$13:$13,MATCH(B122,wc!$7:$7,0))</f>
        <v>5178</v>
      </c>
      <c r="I127" s="261"/>
      <c r="J127" s="543">
        <f>AVERAGE(J123:J126)</f>
        <v>5739.875</v>
      </c>
      <c r="K127" s="261"/>
      <c r="L127" s="453">
        <f>(D127/D120-1)*100</f>
        <v>-3.7244307217290662</v>
      </c>
      <c r="M127" s="261"/>
      <c r="N127" s="261"/>
      <c r="O127" s="261"/>
      <c r="P127" s="261"/>
      <c r="Q127" s="261"/>
      <c r="R127" s="979">
        <f>F127/J127</f>
        <v>2.6450053354820446</v>
      </c>
      <c r="S127" s="440" t="s">
        <v>123</v>
      </c>
      <c r="T127" s="261"/>
      <c r="U127" s="261"/>
      <c r="V127" s="727">
        <f>V126</f>
        <v>717</v>
      </c>
      <c r="W127" s="261"/>
      <c r="X127" s="261"/>
      <c r="Y127" s="261"/>
      <c r="Z127" s="261"/>
      <c r="AA127" s="261"/>
      <c r="AB127" s="261"/>
      <c r="AC127" s="261"/>
      <c r="AD127" s="261"/>
      <c r="AE127" s="261"/>
      <c r="AF127" s="261"/>
      <c r="AG127" s="261"/>
      <c r="AH127" s="261"/>
      <c r="AI127" s="261"/>
      <c r="AJ127" s="261"/>
      <c r="AL127" s="543">
        <f>INDEX('qtrP&amp;L'!$53:$53,MATCH(B122,'qtrP&amp;L'!$6:$6,0))</f>
        <v>2056</v>
      </c>
    </row>
    <row r="128" spans="1:38" x14ac:dyDescent="0.2">
      <c r="B128" s="450"/>
      <c r="C128" s="450"/>
      <c r="D128" s="543"/>
      <c r="F128" s="543"/>
      <c r="H128" s="543"/>
      <c r="I128" s="261"/>
      <c r="J128" s="543"/>
      <c r="K128" s="261"/>
      <c r="L128" s="453"/>
      <c r="M128" s="261"/>
      <c r="N128" s="261"/>
      <c r="O128" s="261"/>
      <c r="P128" s="261"/>
      <c r="Q128" s="261"/>
      <c r="R128" s="269"/>
      <c r="S128" s="261"/>
      <c r="T128" s="261"/>
      <c r="U128" s="261"/>
      <c r="V128" s="727"/>
      <c r="W128" s="261"/>
      <c r="X128" s="261"/>
      <c r="Y128" s="261"/>
      <c r="Z128" s="261"/>
      <c r="AA128" s="261"/>
      <c r="AB128" s="261"/>
      <c r="AC128" s="261"/>
      <c r="AD128" s="261"/>
      <c r="AE128" s="261"/>
      <c r="AF128" s="261"/>
      <c r="AG128" s="261"/>
      <c r="AH128" s="261"/>
      <c r="AI128" s="261"/>
      <c r="AJ128" s="261"/>
      <c r="AL128" s="543"/>
    </row>
    <row r="129" spans="1:38" s="12" customFormat="1" x14ac:dyDescent="0.2">
      <c r="B129" s="1321">
        <v>2018</v>
      </c>
      <c r="C129" s="1322"/>
      <c r="L129" s="1216"/>
      <c r="R129" s="1094"/>
      <c r="AB129" s="1323"/>
      <c r="AH129" s="1096"/>
    </row>
    <row r="130" spans="1:38" s="12" customFormat="1" x14ac:dyDescent="0.2">
      <c r="A130" s="12" t="s">
        <v>95</v>
      </c>
      <c r="B130" s="12" t="s">
        <v>79</v>
      </c>
      <c r="D130" s="1117">
        <f>qtrSales!R130</f>
        <v>5314.5360000000001</v>
      </c>
      <c r="F130" s="1117">
        <f>INDEX('qtrP&amp;L'!$29:$29,MATCH(B129,'qtrP&amp;L'!$6:$6,0))</f>
        <v>3276.9428976000004</v>
      </c>
      <c r="H130" s="1117">
        <f>INDEX(wc!$10:$10,MATCH(B129,wc!$7:$7,0))</f>
        <v>5400.96</v>
      </c>
      <c r="J130" s="1106">
        <f>AVERAGE(H130,H126)</f>
        <v>5289.48</v>
      </c>
      <c r="L130" s="1216">
        <f>(D130/D123-1)*100</f>
        <v>-0.70000000000000062</v>
      </c>
      <c r="M130" s="12" t="s">
        <v>93</v>
      </c>
      <c r="N130" s="1095">
        <f>(H130/H123-1)*100</f>
        <v>-4.0000000000000036</v>
      </c>
      <c r="O130" s="12" t="s">
        <v>93</v>
      </c>
      <c r="P130" s="1095">
        <f>(H130/H126-1)*100</f>
        <v>4.3059096176129685</v>
      </c>
      <c r="Q130" s="12" t="s">
        <v>93</v>
      </c>
      <c r="R130" s="1216">
        <f>F130/J130</f>
        <v>0.61952080310351876</v>
      </c>
      <c r="S130" s="12" t="s">
        <v>123</v>
      </c>
      <c r="T130" s="1216">
        <f>F131/H130</f>
        <v>0.61159421001081282</v>
      </c>
      <c r="V130" s="1133">
        <f>IF(qtrSales!I130=0," ",qtrSales!I130)</f>
        <v>706</v>
      </c>
      <c r="X130" s="1107">
        <f>H130/V130</f>
        <v>7.6500849858356945</v>
      </c>
      <c r="Z130" s="1094">
        <f>X130/X123-1</f>
        <v>-3.2861189801698387E-3</v>
      </c>
      <c r="AB130" s="1092">
        <f>1000*qtrSales!Z130</f>
        <v>125347.26603001365</v>
      </c>
      <c r="AD130" s="1324">
        <f>H130/AB130*1000</f>
        <v>43.087976076851746</v>
      </c>
      <c r="AF130" s="1095">
        <f>(AD130/AD123-1)*100</f>
        <v>-0.32861189801701718</v>
      </c>
      <c r="AG130" s="12" t="s">
        <v>93</v>
      </c>
      <c r="AH130" s="1096">
        <f>J130/(F130/(365/4))</f>
        <v>147.29126050792613</v>
      </c>
      <c r="AJ130" s="1096">
        <f>H130/(F131/(365/4))</f>
        <v>149.20023523176704</v>
      </c>
      <c r="AL130" s="1117">
        <f>INDEX('qtrP&amp;L'!$49:$49,MATCH(B129,'qtrP&amp;L'!$6:$6,0))</f>
        <v>208.59310239999968</v>
      </c>
    </row>
    <row r="131" spans="1:38" s="12" customFormat="1" x14ac:dyDescent="0.2">
      <c r="A131" s="12" t="s">
        <v>96</v>
      </c>
      <c r="B131" s="12" t="s">
        <v>80</v>
      </c>
      <c r="D131" s="1092">
        <f>qtrSales!R131</f>
        <v>5471.585</v>
      </c>
      <c r="F131" s="1092">
        <f>INDEX('qtrP&amp;L'!$30:$30,MATCH(B129,'qtrP&amp;L'!$6:$6,0))</f>
        <v>3303.1958644999995</v>
      </c>
      <c r="H131" s="1092">
        <f>INDEX(wc!$11:$11,MATCH(B129,wc!$7:$7,0))</f>
        <v>4780.8</v>
      </c>
      <c r="I131" s="1325"/>
      <c r="J131" s="1106">
        <f>AVERAGE(H131,H130)</f>
        <v>5090.88</v>
      </c>
      <c r="K131" s="1325"/>
      <c r="L131" s="1216">
        <f>(D131/D124-1)*100</f>
        <v>-2.9000000000000026</v>
      </c>
      <c r="M131" s="1325"/>
      <c r="N131" s="1095">
        <f>(H131/H124-1)*100</f>
        <v>-3.9999999999999925</v>
      </c>
      <c r="O131" s="1325"/>
      <c r="P131" s="1095">
        <f>(H131/H130-1)*100</f>
        <v>-11.482403128332741</v>
      </c>
      <c r="Q131" s="1325"/>
      <c r="R131" s="1326">
        <f>F131/J131</f>
        <v>0.64884575250251419</v>
      </c>
      <c r="S131" s="1325"/>
      <c r="T131" s="1216">
        <f>F132/H131</f>
        <v>0.66097784701305218</v>
      </c>
      <c r="U131" s="1325"/>
      <c r="V131" s="1133">
        <f>IF(qtrSales!I131=0," ",qtrSales!I131)</f>
        <v>697</v>
      </c>
      <c r="W131" s="1325"/>
      <c r="X131" s="1107">
        <f>H131/V131</f>
        <v>6.859110473457676</v>
      </c>
      <c r="Y131" s="1325"/>
      <c r="Z131" s="1094">
        <f>X131/X124-1</f>
        <v>6.8292682926829329E-3</v>
      </c>
      <c r="AA131" s="1325"/>
      <c r="AB131" s="1092">
        <f>1000*qtrSales!Z131</f>
        <v>123749.35470668487</v>
      </c>
      <c r="AC131" s="1325"/>
      <c r="AD131" s="1324">
        <f>H131/AB131*1000</f>
        <v>38.632928723803232</v>
      </c>
      <c r="AF131" s="1095">
        <f>(AD131/AD124-1)*100</f>
        <v>0.68292682926829329</v>
      </c>
      <c r="AH131" s="1096">
        <f>J131/(F131/(365/4))</f>
        <v>140.63434899290093</v>
      </c>
      <c r="AJ131" s="1096">
        <f>H131/(F132/(365/4))</f>
        <v>138.0530382559071</v>
      </c>
      <c r="AL131" s="1092">
        <f>INDEX('qtrP&amp;L'!$50:$50,MATCH(B129,'qtrP&amp;L'!$6:$6,0))</f>
        <v>244.38913550000052</v>
      </c>
    </row>
    <row r="132" spans="1:38" s="12" customFormat="1" x14ac:dyDescent="0.2">
      <c r="A132" s="12" t="s">
        <v>97</v>
      </c>
      <c r="B132" s="12" t="s">
        <v>81</v>
      </c>
      <c r="D132" s="1092">
        <f>qtrSales!R132</f>
        <v>5297.5739999999996</v>
      </c>
      <c r="F132" s="1092">
        <f>INDEX('qtrP&amp;L'!$31:$31,MATCH(B129,'qtrP&amp;L'!$6:$6,0))</f>
        <v>3160.0028910000001</v>
      </c>
      <c r="H132" s="1092">
        <f>INDEX(wc!$12:$12,MATCH(B129,wc!$7:$7,0))</f>
        <v>6711.75</v>
      </c>
      <c r="I132" s="1325"/>
      <c r="J132" s="1106">
        <f>AVERAGE(H132,H131)</f>
        <v>5746.2749999999996</v>
      </c>
      <c r="K132" s="1325"/>
      <c r="L132" s="1216">
        <f>(D132/D125-1)*100</f>
        <v>0.20000000000000018</v>
      </c>
      <c r="M132" s="1325"/>
      <c r="N132" s="1095">
        <f>(H132/H125-1)*100</f>
        <v>-5.0000000000000044</v>
      </c>
      <c r="O132" s="1325"/>
      <c r="P132" s="1095">
        <f>(H132/H131-1)*100</f>
        <v>40.389683734939766</v>
      </c>
      <c r="Q132" s="1325"/>
      <c r="R132" s="1326">
        <f>F132/J132</f>
        <v>0.54992197397444431</v>
      </c>
      <c r="S132" s="1325"/>
      <c r="T132" s="1216">
        <f>F133/H132</f>
        <v>0.77511666773941212</v>
      </c>
      <c r="U132" s="1325"/>
      <c r="V132" s="1133">
        <f>IF(qtrSales!I132=0," ",qtrSales!I132)</f>
        <v>692</v>
      </c>
      <c r="W132" s="1325"/>
      <c r="X132" s="1107">
        <f>H132/V132</f>
        <v>9.6990606936416182</v>
      </c>
      <c r="Y132" s="1325"/>
      <c r="Z132" s="1094">
        <f>X132/X125-1</f>
        <v>3.5404624277455277E-3</v>
      </c>
      <c r="AA132" s="1325"/>
      <c r="AB132" s="1092">
        <f>1000*qtrSales!Z132</f>
        <v>122861.62619372443</v>
      </c>
      <c r="AC132" s="1325"/>
      <c r="AD132" s="1324">
        <f>H132/AB132*1000</f>
        <v>54.628529736511219</v>
      </c>
      <c r="AF132" s="1095">
        <f>(AD132/AD125-1)*100</f>
        <v>0.35404624277457497</v>
      </c>
      <c r="AH132" s="1096">
        <f>J132/(F132/(365/4))</f>
        <v>165.93263102492523</v>
      </c>
      <c r="AJ132" s="1096">
        <f>H132/(F133/(365/4))</f>
        <v>117.72421339632126</v>
      </c>
      <c r="AL132" s="1092">
        <f>INDEX('qtrP&amp;L'!$51:$51,MATCH(B129,'qtrP&amp;L'!$6:$6,0))</f>
        <v>164.57110899999952</v>
      </c>
    </row>
    <row r="133" spans="1:38" s="12" customFormat="1" x14ac:dyDescent="0.2">
      <c r="A133" s="12" t="s">
        <v>98</v>
      </c>
      <c r="B133" s="12" t="s">
        <v>82</v>
      </c>
      <c r="D133" s="1102">
        <f>qtrSales!R133</f>
        <v>8471.5669999999991</v>
      </c>
      <c r="F133" s="1102">
        <f>INDEX('qtrP&amp;L'!$32:$32,MATCH(B129,'qtrP&amp;L'!$6:$6,0))</f>
        <v>5202.3892946999995</v>
      </c>
      <c r="H133" s="1102">
        <f>INDEX(wc!$13:$13,MATCH(B129,wc!$7:$7,0))</f>
        <v>4970.88</v>
      </c>
      <c r="I133" s="1325"/>
      <c r="J133" s="1102">
        <f>AVERAGE(H133,H132)</f>
        <v>5841.3150000000005</v>
      </c>
      <c r="K133" s="1325"/>
      <c r="L133" s="1327">
        <f>(D133/D126-1)*100</f>
        <v>-2.3000000000000131</v>
      </c>
      <c r="M133" s="1325"/>
      <c r="N133" s="1095">
        <f>(H133/H126-1)*100</f>
        <v>-3.9999999999999925</v>
      </c>
      <c r="O133" s="1325"/>
      <c r="P133" s="1095">
        <f>(H133/H132-1)*100</f>
        <v>-25.937646664431778</v>
      </c>
      <c r="Q133" s="1325"/>
      <c r="R133" s="1326">
        <f>F133/J133</f>
        <v>0.8906195428084257</v>
      </c>
      <c r="S133" s="1325"/>
      <c r="T133" s="998">
        <f>(T126/(AVERAGE(T123:T125))+(T119/(AVERAGE(T116:T118))+(T112/AVERAGE(T109:T111))))/3*AVERAGE(T130:T132)</f>
        <v>1.4428543106014904</v>
      </c>
      <c r="U133" s="1325"/>
      <c r="V133" s="1134">
        <f>IF(qtrSales!I133=0," ",qtrSales!I133)</f>
        <v>687</v>
      </c>
      <c r="W133" s="1325"/>
      <c r="X133" s="1107">
        <f>H133/V133</f>
        <v>7.2356331877729261</v>
      </c>
      <c r="Y133" s="1325"/>
      <c r="Z133" s="1094">
        <f>X133/X126-1</f>
        <v>1.9213973799125927E-3</v>
      </c>
      <c r="AA133" s="1325"/>
      <c r="AB133" s="1092">
        <f>1000*qtrSales!Z133</f>
        <v>121973.897680764</v>
      </c>
      <c r="AC133" s="1325"/>
      <c r="AD133" s="1324">
        <f>H133/AB133*1000</f>
        <v>40.753637413555715</v>
      </c>
      <c r="AF133" s="1095">
        <f>(AD133/AD126-1)*100</f>
        <v>0.19213973799125927</v>
      </c>
      <c r="AH133" s="1096">
        <f>J133/(F133/(365/4))</f>
        <v>102.45676814171154</v>
      </c>
      <c r="AJ133" s="1096"/>
      <c r="AL133" s="1102">
        <f>INDEX('qtrP&amp;L'!$52:$52,MATCH(B129,'qtrP&amp;L'!$6:$6,0))</f>
        <v>1016.1777052999996</v>
      </c>
    </row>
    <row r="134" spans="1:38" s="12" customFormat="1" x14ac:dyDescent="0.2">
      <c r="B134" s="1099" t="s">
        <v>56</v>
      </c>
      <c r="C134" s="1099"/>
      <c r="D134" s="1117">
        <f>qtrSales!R134</f>
        <v>24555.261999999999</v>
      </c>
      <c r="F134" s="1117">
        <f>INDEX('qtrP&amp;L'!$33:$33,MATCH(B129,'qtrP&amp;L'!$6:$6,0))</f>
        <v>14942.530947799998</v>
      </c>
      <c r="H134" s="1117">
        <f>INDEX(wc!$13:$13,MATCH(B129,wc!$7:$7,0))</f>
        <v>4970.88</v>
      </c>
      <c r="I134" s="1325"/>
      <c r="J134" s="1117">
        <f>AVERAGE(J130:J133)</f>
        <v>5491.9875000000002</v>
      </c>
      <c r="K134" s="1325"/>
      <c r="L134" s="1216">
        <f>(D134/D127-1)*100</f>
        <v>-1.5623892563640052</v>
      </c>
      <c r="M134" s="1325"/>
      <c r="N134" s="1325"/>
      <c r="O134" s="1325"/>
      <c r="P134" s="1325"/>
      <c r="Q134" s="1325"/>
      <c r="R134" s="1328">
        <f>F134/J134</f>
        <v>2.7207875013917997</v>
      </c>
      <c r="S134" s="1329" t="s">
        <v>123</v>
      </c>
      <c r="T134" s="1325"/>
      <c r="U134" s="1325"/>
      <c r="V134" s="1330">
        <f>V133</f>
        <v>687</v>
      </c>
      <c r="W134" s="1325"/>
      <c r="X134" s="1325"/>
      <c r="Y134" s="1325"/>
      <c r="Z134" s="1325"/>
      <c r="AA134" s="1325"/>
      <c r="AB134" s="1325"/>
      <c r="AC134" s="1325"/>
      <c r="AD134" s="1325"/>
      <c r="AE134" s="1325"/>
      <c r="AF134" s="1325"/>
      <c r="AG134" s="1325"/>
      <c r="AH134" s="1325"/>
      <c r="AI134" s="1325"/>
      <c r="AJ134" s="1325"/>
      <c r="AL134" s="1117">
        <f>INDEX('qtrP&amp;L'!$53:$53,MATCH(B129,'qtrP&amp;L'!$6:$6,0))</f>
        <v>1633.7310522000007</v>
      </c>
    </row>
    <row r="135" spans="1:38" x14ac:dyDescent="0.2">
      <c r="B135" s="450"/>
      <c r="C135" s="450"/>
      <c r="D135" s="543"/>
      <c r="F135" s="543"/>
      <c r="H135" s="543"/>
      <c r="I135" s="261"/>
      <c r="J135" s="543"/>
      <c r="K135" s="261"/>
      <c r="L135" s="453"/>
      <c r="M135" s="261"/>
      <c r="N135" s="261"/>
      <c r="O135" s="261"/>
      <c r="P135" s="261"/>
      <c r="Q135" s="261"/>
      <c r="R135" s="269"/>
      <c r="S135" s="261"/>
      <c r="T135" s="261"/>
      <c r="U135" s="261"/>
      <c r="V135" s="727"/>
      <c r="W135" s="261"/>
      <c r="X135" s="261"/>
      <c r="Y135" s="261"/>
      <c r="Z135" s="261"/>
      <c r="AA135" s="261"/>
      <c r="AB135" s="261"/>
      <c r="AC135" s="261"/>
      <c r="AD135" s="261"/>
      <c r="AE135" s="261"/>
      <c r="AF135" s="261"/>
      <c r="AG135" s="261"/>
      <c r="AH135" s="261"/>
      <c r="AI135" s="261"/>
      <c r="AJ135" s="261"/>
      <c r="AL135" s="543"/>
    </row>
    <row r="136" spans="1:38" x14ac:dyDescent="0.2">
      <c r="A136" s="384" t="s">
        <v>78</v>
      </c>
    </row>
  </sheetData>
  <phoneticPr fontId="10" type="noConversion"/>
  <pageMargins left="0.75" right="0.75" top="1" bottom="1" header="0.5" footer="0.5"/>
  <pageSetup scale="66" orientation="landscape" horizontalDpi="300" verticalDpi="300"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V2"/>
  <sheetViews>
    <sheetView workbookViewId="0"/>
  </sheetViews>
  <sheetFormatPr defaultRowHeight="12.75" x14ac:dyDescent="0.2"/>
  <sheetData>
    <row r="1" spans="1:48" x14ac:dyDescent="0.2">
      <c r="A1" t="s">
        <v>577</v>
      </c>
    </row>
    <row r="2" spans="1:48" x14ac:dyDescent="0.2">
      <c r="A2" s="10" t="s">
        <v>6</v>
      </c>
      <c r="B2" s="10" t="s">
        <v>7</v>
      </c>
      <c r="C2" s="10" t="s">
        <v>242</v>
      </c>
      <c r="D2" s="10" t="s">
        <v>243</v>
      </c>
      <c r="E2" s="10" t="s">
        <v>192</v>
      </c>
      <c r="F2" s="10" t="s">
        <v>86</v>
      </c>
      <c r="G2" s="10" t="s">
        <v>245</v>
      </c>
      <c r="H2" s="10" t="s">
        <v>243</v>
      </c>
      <c r="I2" s="10" t="s">
        <v>193</v>
      </c>
      <c r="J2" s="10" t="s">
        <v>86</v>
      </c>
      <c r="K2" s="10" t="s">
        <v>255</v>
      </c>
      <c r="L2" s="10" t="s">
        <v>191</v>
      </c>
      <c r="M2" s="10" t="s">
        <v>241</v>
      </c>
      <c r="N2" s="10" t="s">
        <v>191</v>
      </c>
      <c r="O2" s="10" t="s">
        <v>282</v>
      </c>
      <c r="P2" s="10" t="s">
        <v>191</v>
      </c>
      <c r="Q2" s="10" t="s">
        <v>283</v>
      </c>
      <c r="R2" s="10" t="s">
        <v>284</v>
      </c>
      <c r="S2" s="10" t="s">
        <v>576</v>
      </c>
      <c r="T2" s="10" t="s">
        <v>86</v>
      </c>
      <c r="U2" s="10" t="s">
        <v>3</v>
      </c>
      <c r="V2" s="10" t="s">
        <v>86</v>
      </c>
      <c r="W2" s="10" t="s">
        <v>200</v>
      </c>
      <c r="X2" s="10" t="s">
        <v>191</v>
      </c>
      <c r="Y2" s="10" t="s">
        <v>195</v>
      </c>
      <c r="Z2" s="10" t="s">
        <v>86</v>
      </c>
      <c r="AA2" s="10" t="s">
        <v>257</v>
      </c>
      <c r="AB2" s="10" t="s">
        <v>86</v>
      </c>
      <c r="AC2" s="10" t="s">
        <v>517</v>
      </c>
      <c r="AD2" s="10" t="s">
        <v>191</v>
      </c>
      <c r="AE2" s="10" t="s">
        <v>256</v>
      </c>
      <c r="AF2" s="10" t="s">
        <v>258</v>
      </c>
      <c r="AG2" s="10" t="s">
        <v>572</v>
      </c>
      <c r="AH2" s="10" t="s">
        <v>573</v>
      </c>
      <c r="AI2" s="10" t="s">
        <v>516</v>
      </c>
      <c r="AJ2" s="10" t="s">
        <v>684</v>
      </c>
      <c r="AK2" s="10" t="s">
        <v>1</v>
      </c>
      <c r="AL2" s="10" t="s">
        <v>191</v>
      </c>
      <c r="AM2" s="10" t="s">
        <v>194</v>
      </c>
      <c r="AN2" s="10" t="s">
        <v>86</v>
      </c>
      <c r="AO2" s="10" t="s">
        <v>2</v>
      </c>
      <c r="AP2" s="10" t="s">
        <v>4</v>
      </c>
      <c r="AQ2" s="10" t="s">
        <v>244</v>
      </c>
      <c r="AR2" s="10" t="s">
        <v>246</v>
      </c>
      <c r="AS2" s="10" t="s">
        <v>281</v>
      </c>
      <c r="AT2" s="10" t="s">
        <v>86</v>
      </c>
      <c r="AU2" s="10" t="s">
        <v>515</v>
      </c>
      <c r="AV2" s="10" t="s">
        <v>518</v>
      </c>
    </row>
  </sheetData>
  <phoneticPr fontId="10" type="noConversion"/>
  <pageMargins left="0.75" right="0.75" top="1" bottom="1" header="0.5" footer="0.5"/>
  <pageSetup orientation="portrait" r:id="rId1"/>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B1"/>
  <sheetViews>
    <sheetView workbookViewId="0"/>
  </sheetViews>
  <sheetFormatPr defaultRowHeight="12.75" x14ac:dyDescent="0.2"/>
  <sheetData>
    <row r="1" spans="1:2" x14ac:dyDescent="0.2">
      <c r="B1" t="s">
        <v>0</v>
      </c>
    </row>
  </sheetData>
  <phoneticPr fontId="1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P61"/>
  <sheetViews>
    <sheetView showGridLines="0" zoomScale="85" zoomScaleNormal="85" workbookViewId="0"/>
  </sheetViews>
  <sheetFormatPr defaultRowHeight="12.75" outlineLevelRow="1" x14ac:dyDescent="0.2"/>
  <cols>
    <col min="1" max="1" width="2" style="191" customWidth="1"/>
    <col min="2" max="2" width="32.140625" style="190" customWidth="1"/>
    <col min="3" max="3" width="10.5703125" style="191" customWidth="1"/>
    <col min="4" max="6" width="10.28515625" style="191" bestFit="1" customWidth="1"/>
    <col min="7" max="7" width="10.28515625" style="191" customWidth="1"/>
    <col min="8" max="10" width="10.28515625" style="191" bestFit="1" customWidth="1"/>
    <col min="11" max="11" width="10.28515625" style="191" hidden="1" customWidth="1"/>
    <col min="12" max="12" width="11.28515625" style="191" bestFit="1" customWidth="1"/>
    <col min="13" max="16384" width="9.140625" style="191"/>
  </cols>
  <sheetData>
    <row r="1" spans="2:16" x14ac:dyDescent="0.2">
      <c r="C1" s="1517" t="s">
        <v>578</v>
      </c>
      <c r="D1" s="1517"/>
      <c r="E1" s="1517"/>
      <c r="F1" s="1517"/>
      <c r="G1" s="1084"/>
      <c r="H1" s="1085" t="s">
        <v>579</v>
      </c>
      <c r="I1" s="1085"/>
      <c r="J1" s="1085"/>
      <c r="K1" s="1085"/>
    </row>
    <row r="2" spans="2:16" s="195" customFormat="1" x14ac:dyDescent="0.2">
      <c r="B2" s="192" t="s">
        <v>575</v>
      </c>
      <c r="C2" s="193" t="s">
        <v>660</v>
      </c>
      <c r="D2" s="193" t="s">
        <v>661</v>
      </c>
      <c r="E2" s="193" t="s">
        <v>662</v>
      </c>
      <c r="F2" s="193" t="s">
        <v>663</v>
      </c>
      <c r="G2" s="193" t="s">
        <v>664</v>
      </c>
      <c r="H2" s="194" t="s">
        <v>665</v>
      </c>
      <c r="I2" s="194" t="s">
        <v>666</v>
      </c>
      <c r="J2" s="194" t="s">
        <v>667</v>
      </c>
      <c r="K2" s="194" t="s">
        <v>667</v>
      </c>
      <c r="M2" s="196"/>
      <c r="N2" s="196"/>
      <c r="O2" s="196"/>
      <c r="P2" s="196"/>
    </row>
    <row r="3" spans="2:16" s="195" customFormat="1" x14ac:dyDescent="0.2">
      <c r="B3" s="197"/>
      <c r="C3" s="196"/>
      <c r="D3" s="196"/>
      <c r="E3" s="196"/>
      <c r="F3" s="196"/>
      <c r="G3" s="196"/>
      <c r="H3" s="198"/>
      <c r="I3" s="198"/>
      <c r="J3" s="198"/>
      <c r="K3" s="198"/>
      <c r="M3" s="196"/>
      <c r="N3" s="196"/>
      <c r="O3" s="196"/>
      <c r="P3" s="196"/>
    </row>
    <row r="4" spans="2:16" x14ac:dyDescent="0.2">
      <c r="B4" s="190" t="s">
        <v>580</v>
      </c>
      <c r="C4" s="199">
        <f>'yrP&amp;L'!AI7+'yrP&amp;L'!AI11</f>
        <v>25211.261999999999</v>
      </c>
      <c r="D4" s="199">
        <f>'yrP&amp;L'!AJ7+'yrP&amp;L'!AJ11</f>
        <v>24492.44730298777</v>
      </c>
      <c r="E4" s="199">
        <f>'yrP&amp;L'!AK7+'yrP&amp;L'!AK11</f>
        <v>23789.892412542602</v>
      </c>
      <c r="F4" s="199">
        <f>'yrP&amp;L'!AL7+'yrP&amp;L'!AL11</f>
        <v>23125.593200827767</v>
      </c>
      <c r="G4" s="199">
        <f>'yrP&amp;L'!AM7+'yrP&amp;L'!AM11</f>
        <v>22475.585572460201</v>
      </c>
      <c r="H4" s="200">
        <f>G4*(1+H5)</f>
        <v>21819.965589932675</v>
      </c>
      <c r="I4" s="200">
        <f>H4*(1+I5)</f>
        <v>21227.110182083339</v>
      </c>
      <c r="J4" s="200">
        <f>I4*(1+J5)</f>
        <v>20692.817064666728</v>
      </c>
      <c r="K4" s="200">
        <f>J4*(1+K5)</f>
        <v>20175.496638050059</v>
      </c>
    </row>
    <row r="5" spans="2:16" x14ac:dyDescent="0.2">
      <c r="B5" s="190" t="s">
        <v>581</v>
      </c>
      <c r="C5" s="203">
        <f>'yrP&amp;L'!AI8</f>
        <v>-1.5623892563640052E-2</v>
      </c>
      <c r="D5" s="203">
        <f>'yrP&amp;L'!AJ8</f>
        <v>-2.9476969010236109E-2</v>
      </c>
      <c r="E5" s="203">
        <f>'yrP&amp;L'!AK8</f>
        <v>-2.9689967270953854E-2</v>
      </c>
      <c r="F5" s="203">
        <f>'yrP&amp;L'!AL8</f>
        <v>-2.8944054909708972E-2</v>
      </c>
      <c r="G5" s="203">
        <f>'yrP&amp;L'!AM8</f>
        <v>-2.9170318184317812E-2</v>
      </c>
      <c r="H5" s="202">
        <f>'yrP&amp;L'!AM8</f>
        <v>-2.9170318184317812E-2</v>
      </c>
      <c r="I5" s="202">
        <f>H5+0.002</f>
        <v>-2.717031818431781E-2</v>
      </c>
      <c r="J5" s="202">
        <f>I5+0.002</f>
        <v>-2.5170318184317808E-2</v>
      </c>
      <c r="K5" s="202">
        <v>-2.5000000000000001E-2</v>
      </c>
    </row>
    <row r="6" spans="2:16" x14ac:dyDescent="0.2">
      <c r="B6" s="190" t="s">
        <v>582</v>
      </c>
      <c r="C6" s="199">
        <f>'yrP&amp;L'!AI22</f>
        <v>1633.7310522000007</v>
      </c>
      <c r="D6" s="199">
        <f>'yrP&amp;L'!AJ22</f>
        <v>1284.3126534677194</v>
      </c>
      <c r="E6" s="199">
        <f>'yrP&amp;L'!AK22</f>
        <v>954.85481748229722</v>
      </c>
      <c r="F6" s="199">
        <f>'yrP&amp;L'!AL22</f>
        <v>681.99365821153151</v>
      </c>
      <c r="G6" s="199">
        <f>'yrP&amp;L'!AM22</f>
        <v>426.95472477024123</v>
      </c>
      <c r="H6" s="200">
        <f>H4*H7</f>
        <v>458.14025077826085</v>
      </c>
      <c r="I6" s="200">
        <f>I4*I7</f>
        <v>488.14665475573906</v>
      </c>
      <c r="J6" s="200">
        <f>J4*J7</f>
        <v>517.2454822642602</v>
      </c>
      <c r="K6" s="200">
        <f>K4*K7</f>
        <v>605.2648991415017</v>
      </c>
    </row>
    <row r="7" spans="2:16" x14ac:dyDescent="0.2">
      <c r="B7" s="190" t="s">
        <v>583</v>
      </c>
      <c r="C7" s="203">
        <f>C6/C4</f>
        <v>6.4801637149302593E-2</v>
      </c>
      <c r="D7" s="203">
        <f>D6/D4</f>
        <v>5.2437089588472832E-2</v>
      </c>
      <c r="E7" s="203">
        <f>E6/E4</f>
        <v>4.0136996036975556E-2</v>
      </c>
      <c r="F7" s="203">
        <f>F6/F4</f>
        <v>2.949086115495277E-2</v>
      </c>
      <c r="G7" s="203">
        <f>G6/G4</f>
        <v>1.8996378243127852E-2</v>
      </c>
      <c r="H7" s="202">
        <f>G7+0.002</f>
        <v>2.0996378243127854E-2</v>
      </c>
      <c r="I7" s="202">
        <f t="shared" ref="I7:J7" si="0">H7+0.002</f>
        <v>2.2996378243127856E-2</v>
      </c>
      <c r="J7" s="202">
        <f t="shared" si="0"/>
        <v>2.4996378243127858E-2</v>
      </c>
      <c r="K7" s="202">
        <v>0.03</v>
      </c>
    </row>
    <row r="8" spans="2:16" s="207" customFormat="1" x14ac:dyDescent="0.2">
      <c r="B8" s="204" t="s">
        <v>180</v>
      </c>
      <c r="C8" s="205">
        <f>'yrP&amp;L'!AI40</f>
        <v>0.23249999999999979</v>
      </c>
      <c r="D8" s="205">
        <f>'yrP&amp;L'!AJ40</f>
        <v>0.23249999999999979</v>
      </c>
      <c r="E8" s="205">
        <f>'yrP&amp;L'!AK40</f>
        <v>0.23249999999999979</v>
      </c>
      <c r="F8" s="205">
        <f>'yrP&amp;L'!AL40</f>
        <v>0.23249999999999979</v>
      </c>
      <c r="G8" s="205">
        <f>'yrP&amp;L'!AM40</f>
        <v>0.23249999999999979</v>
      </c>
      <c r="H8" s="206">
        <f>F8</f>
        <v>0.23249999999999979</v>
      </c>
      <c r="I8" s="206">
        <f>H8</f>
        <v>0.23249999999999979</v>
      </c>
      <c r="J8" s="206">
        <f>I8</f>
        <v>0.23249999999999979</v>
      </c>
      <c r="K8" s="206">
        <f>J8</f>
        <v>0.23249999999999979</v>
      </c>
    </row>
    <row r="9" spans="2:16" x14ac:dyDescent="0.2">
      <c r="B9" s="190" t="s">
        <v>584</v>
      </c>
      <c r="C9" s="208">
        <f t="shared" ref="C9:J9" si="1">-C6*C8</f>
        <v>-379.8424696364998</v>
      </c>
      <c r="D9" s="208">
        <f>-D6*D8</f>
        <v>-298.60269193124452</v>
      </c>
      <c r="E9" s="208">
        <f>-E6*E8</f>
        <v>-222.0037450646339</v>
      </c>
      <c r="F9" s="208">
        <f>-F6*F8</f>
        <v>-158.56352553418094</v>
      </c>
      <c r="G9" s="208">
        <f>-G6*G8</f>
        <v>-99.266973509080998</v>
      </c>
      <c r="H9" s="209">
        <f t="shared" si="1"/>
        <v>-106.51760830594556</v>
      </c>
      <c r="I9" s="209">
        <f t="shared" si="1"/>
        <v>-113.49409723070923</v>
      </c>
      <c r="J9" s="209">
        <f t="shared" si="1"/>
        <v>-120.25957462644038</v>
      </c>
      <c r="K9" s="209">
        <f t="shared" ref="K9" si="2">-K6*K8</f>
        <v>-140.72408905039902</v>
      </c>
    </row>
    <row r="10" spans="2:16" x14ac:dyDescent="0.2">
      <c r="B10" s="190" t="s">
        <v>571</v>
      </c>
      <c r="C10" s="210">
        <f t="shared" ref="C10:J10" si="3">C6+C9</f>
        <v>1253.8885825635009</v>
      </c>
      <c r="D10" s="210">
        <f t="shared" si="3"/>
        <v>985.70996153647491</v>
      </c>
      <c r="E10" s="210">
        <f t="shared" si="3"/>
        <v>732.85107241766332</v>
      </c>
      <c r="F10" s="210">
        <f t="shared" si="3"/>
        <v>523.43013267735057</v>
      </c>
      <c r="G10" s="210">
        <f>G6+G9</f>
        <v>327.6877512611602</v>
      </c>
      <c r="H10" s="211">
        <f t="shared" si="3"/>
        <v>351.62264247231531</v>
      </c>
      <c r="I10" s="211">
        <f t="shared" si="3"/>
        <v>374.65255752502981</v>
      </c>
      <c r="J10" s="211">
        <f t="shared" si="3"/>
        <v>396.98590763781982</v>
      </c>
      <c r="K10" s="211">
        <f t="shared" ref="K10" si="4">K6+K9</f>
        <v>464.54081009110268</v>
      </c>
    </row>
    <row r="11" spans="2:16" s="215" customFormat="1" hidden="1" x14ac:dyDescent="0.2">
      <c r="B11" s="212" t="s">
        <v>585</v>
      </c>
      <c r="C11" s="213">
        <f t="shared" ref="C11:J11" si="5">C10/C4</f>
        <v>4.9735256512089751E-2</v>
      </c>
      <c r="D11" s="213">
        <f t="shared" si="5"/>
        <v>4.0245466259152908E-2</v>
      </c>
      <c r="E11" s="213">
        <f t="shared" si="5"/>
        <v>3.0805144458378748E-2</v>
      </c>
      <c r="F11" s="213">
        <f t="shared" si="5"/>
        <v>2.2634235936426259E-2</v>
      </c>
      <c r="G11" s="213">
        <f>G10/G4</f>
        <v>1.4579720301600629E-2</v>
      </c>
      <c r="H11" s="214">
        <f t="shared" si="5"/>
        <v>1.6114720301600632E-2</v>
      </c>
      <c r="I11" s="214">
        <f t="shared" si="5"/>
        <v>1.7649720301600634E-2</v>
      </c>
      <c r="J11" s="214">
        <f t="shared" si="5"/>
        <v>1.9184720301600636E-2</v>
      </c>
      <c r="K11" s="214">
        <f t="shared" ref="K11" si="6">K10/K4</f>
        <v>2.3025000000000004E-2</v>
      </c>
    </row>
    <row r="12" spans="2:16" ht="6.75" customHeight="1" x14ac:dyDescent="0.2">
      <c r="H12" s="216"/>
      <c r="I12" s="216"/>
      <c r="J12" s="216"/>
      <c r="K12" s="216"/>
    </row>
    <row r="13" spans="2:16" x14ac:dyDescent="0.2">
      <c r="B13" s="217" t="s">
        <v>586</v>
      </c>
      <c r="C13" s="208">
        <f>sumry!FT41</f>
        <v>991</v>
      </c>
      <c r="D13" s="208">
        <f>sumry!FU41</f>
        <v>991</v>
      </c>
      <c r="E13" s="208">
        <f>sumry!FV41</f>
        <v>981</v>
      </c>
      <c r="F13" s="208">
        <f>sumry!FW41</f>
        <v>971</v>
      </c>
      <c r="G13" s="208">
        <f>sumry!FX41</f>
        <v>961</v>
      </c>
      <c r="H13" s="209">
        <f>H4*H14</f>
        <v>932.96732422487059</v>
      </c>
      <c r="I13" s="209">
        <f>I4*I14</f>
        <v>907.61830517010924</v>
      </c>
      <c r="J13" s="209">
        <f>J4*J14</f>
        <v>884.77326363906627</v>
      </c>
      <c r="K13" s="209">
        <f>K4*K14</f>
        <v>862.65393204808959</v>
      </c>
    </row>
    <row r="14" spans="2:16" x14ac:dyDescent="0.2">
      <c r="C14" s="203">
        <f>C13/C4</f>
        <v>3.930782996900354E-2</v>
      </c>
      <c r="D14" s="203">
        <f>D13/D4</f>
        <v>4.0461452779327223E-2</v>
      </c>
      <c r="E14" s="203">
        <f>E13/E4</f>
        <v>4.1235999851886397E-2</v>
      </c>
      <c r="F14" s="203">
        <f>F13/F4</f>
        <v>4.1988112113173541E-2</v>
      </c>
      <c r="G14" s="203">
        <f>G13/G4</f>
        <v>4.2757506668815476E-2</v>
      </c>
      <c r="H14" s="218">
        <f>G14</f>
        <v>4.2757506668815476E-2</v>
      </c>
      <c r="I14" s="218">
        <f>H14</f>
        <v>4.2757506668815476E-2</v>
      </c>
      <c r="J14" s="218">
        <f>I14</f>
        <v>4.2757506668815476E-2</v>
      </c>
      <c r="K14" s="218">
        <f>J14</f>
        <v>4.2757506668815476E-2</v>
      </c>
    </row>
    <row r="15" spans="2:16" x14ac:dyDescent="0.2">
      <c r="B15" s="217" t="s">
        <v>147</v>
      </c>
      <c r="C15" s="199">
        <f>flow!AG19</f>
        <v>-1050</v>
      </c>
      <c r="D15" s="199">
        <f>flow!AH19</f>
        <v>-1000</v>
      </c>
      <c r="E15" s="199">
        <f>flow!AI19</f>
        <v>-1000</v>
      </c>
      <c r="F15" s="199">
        <f>flow!AJ19</f>
        <v>-1000</v>
      </c>
      <c r="G15" s="199">
        <f>flow!AK19</f>
        <v>-1000</v>
      </c>
      <c r="H15" s="200">
        <f>flow!AK19</f>
        <v>-1000</v>
      </c>
      <c r="I15" s="200">
        <v>-950</v>
      </c>
      <c r="J15" s="200">
        <f>-J13</f>
        <v>-884.77326363906627</v>
      </c>
      <c r="K15" s="200">
        <v>-850</v>
      </c>
    </row>
    <row r="16" spans="2:16" x14ac:dyDescent="0.2">
      <c r="B16" s="217"/>
      <c r="C16" s="201"/>
      <c r="D16" s="201"/>
      <c r="E16" s="201"/>
      <c r="F16" s="201"/>
      <c r="G16" s="201"/>
      <c r="H16" s="218"/>
      <c r="I16" s="218"/>
      <c r="J16" s="218"/>
      <c r="K16" s="218"/>
    </row>
    <row r="17" spans="2:11" x14ac:dyDescent="0.2">
      <c r="B17" s="217" t="s">
        <v>587</v>
      </c>
      <c r="C17" s="208">
        <f>flow!AG31</f>
        <v>-12.743487192075747</v>
      </c>
      <c r="D17" s="208">
        <f>flow!AG31</f>
        <v>-12.743487192075747</v>
      </c>
      <c r="E17" s="208">
        <f>flow!AH31</f>
        <v>-58.578065484922433</v>
      </c>
      <c r="F17" s="208">
        <f>flow!AI31</f>
        <v>-58.014204526597666</v>
      </c>
      <c r="G17" s="208">
        <f>flow!AJ31</f>
        <v>-57.79343841420615</v>
      </c>
      <c r="H17" s="209">
        <v>-25</v>
      </c>
      <c r="I17" s="209">
        <v>-25</v>
      </c>
      <c r="J17" s="209">
        <v>-25</v>
      </c>
      <c r="K17" s="209">
        <v>-25</v>
      </c>
    </row>
    <row r="18" spans="2:11" x14ac:dyDescent="0.2">
      <c r="B18" s="190" t="s">
        <v>588</v>
      </c>
      <c r="C18" s="210">
        <f t="shared" ref="C18:J18" si="7">SUM(C15:C17)</f>
        <v>-1062.7434871920757</v>
      </c>
      <c r="D18" s="210">
        <f t="shared" si="7"/>
        <v>-1012.7434871920757</v>
      </c>
      <c r="E18" s="210">
        <f t="shared" si="7"/>
        <v>-1058.5780654849225</v>
      </c>
      <c r="F18" s="210">
        <f t="shared" si="7"/>
        <v>-1058.0142045265977</v>
      </c>
      <c r="G18" s="210">
        <f>SUM(G15:G17)</f>
        <v>-1057.7934384142061</v>
      </c>
      <c r="H18" s="211">
        <f t="shared" si="7"/>
        <v>-1025</v>
      </c>
      <c r="I18" s="211">
        <f t="shared" si="7"/>
        <v>-975</v>
      </c>
      <c r="J18" s="211">
        <f t="shared" si="7"/>
        <v>-909.77326363906627</v>
      </c>
      <c r="K18" s="211">
        <f t="shared" ref="K18" si="8">SUM(K15:K17)</f>
        <v>-875</v>
      </c>
    </row>
    <row r="19" spans="2:11" s="215" customFormat="1" x14ac:dyDescent="0.2">
      <c r="B19" s="215" t="s">
        <v>589</v>
      </c>
      <c r="C19" s="219"/>
      <c r="D19" s="219"/>
      <c r="E19" s="219"/>
      <c r="F19" s="219"/>
      <c r="G19" s="219"/>
      <c r="H19" s="220"/>
      <c r="I19" s="220"/>
      <c r="J19" s="220"/>
      <c r="K19" s="220"/>
    </row>
    <row r="20" spans="2:11" ht="9" customHeight="1" x14ac:dyDescent="0.2">
      <c r="C20" s="221"/>
      <c r="D20" s="221"/>
      <c r="E20" s="221"/>
      <c r="F20" s="221"/>
      <c r="G20" s="221"/>
      <c r="H20" s="222"/>
      <c r="I20" s="222"/>
      <c r="J20" s="222"/>
      <c r="K20" s="222"/>
    </row>
    <row r="21" spans="2:11" x14ac:dyDescent="0.2">
      <c r="B21" s="197" t="s">
        <v>590</v>
      </c>
      <c r="C21" s="223">
        <f t="shared" ref="C21:J21" si="9">C10+C13+C18</f>
        <v>1182.145095371425</v>
      </c>
      <c r="D21" s="223">
        <f t="shared" si="9"/>
        <v>963.96647434439933</v>
      </c>
      <c r="E21" s="223">
        <f t="shared" si="9"/>
        <v>655.27300693274083</v>
      </c>
      <c r="F21" s="223">
        <f t="shared" si="9"/>
        <v>436.41592815075296</v>
      </c>
      <c r="G21" s="223">
        <f>G10+G13+G18</f>
        <v>230.89431284695411</v>
      </c>
      <c r="H21" s="224">
        <f t="shared" si="9"/>
        <v>259.5899666971859</v>
      </c>
      <c r="I21" s="224">
        <f t="shared" si="9"/>
        <v>307.27086269513893</v>
      </c>
      <c r="J21" s="224">
        <f t="shared" si="9"/>
        <v>371.98590763781976</v>
      </c>
      <c r="K21" s="224">
        <f t="shared" ref="K21" si="10">K10+K13+K18</f>
        <v>452.19474213919239</v>
      </c>
    </row>
    <row r="22" spans="2:11" s="226" customFormat="1" x14ac:dyDescent="0.2">
      <c r="B22" s="219"/>
      <c r="C22" s="219"/>
      <c r="D22" s="219"/>
      <c r="E22" s="219"/>
      <c r="F22" s="219"/>
      <c r="G22" s="219"/>
      <c r="H22" s="225"/>
      <c r="I22" s="225"/>
      <c r="J22" s="225"/>
      <c r="K22" s="225"/>
    </row>
    <row r="23" spans="2:11" s="229" customFormat="1" ht="11.25" x14ac:dyDescent="0.2">
      <c r="B23" s="227"/>
      <c r="C23" s="228">
        <v>0</v>
      </c>
      <c r="D23" s="228">
        <f t="shared" ref="D23:K23" si="11">C23+1</f>
        <v>1</v>
      </c>
      <c r="E23" s="228">
        <f t="shared" si="11"/>
        <v>2</v>
      </c>
      <c r="F23" s="228">
        <f t="shared" si="11"/>
        <v>3</v>
      </c>
      <c r="G23" s="228">
        <f t="shared" si="11"/>
        <v>4</v>
      </c>
      <c r="H23" s="228">
        <f>F23+1</f>
        <v>4</v>
      </c>
      <c r="I23" s="228">
        <f t="shared" si="11"/>
        <v>5</v>
      </c>
      <c r="J23" s="228">
        <f t="shared" si="11"/>
        <v>6</v>
      </c>
      <c r="K23" s="228">
        <f t="shared" si="11"/>
        <v>7</v>
      </c>
    </row>
    <row r="24" spans="2:11" x14ac:dyDescent="0.2">
      <c r="B24" s="230" t="s">
        <v>591</v>
      </c>
      <c r="C24" s="231">
        <f t="shared" ref="C24:J24" si="12">1/(1+$I$35)^C23</f>
        <v>1</v>
      </c>
      <c r="D24" s="231">
        <f t="shared" si="12"/>
        <v>0.92401956900699012</v>
      </c>
      <c r="E24" s="231">
        <f t="shared" si="12"/>
        <v>0.85381216390786385</v>
      </c>
      <c r="F24" s="231">
        <f t="shared" si="12"/>
        <v>0.78893914770707008</v>
      </c>
      <c r="G24" s="231">
        <f>1/(1+$I$35)^G23</f>
        <v>0.72899521123702904</v>
      </c>
      <c r="H24" s="231">
        <f t="shared" si="12"/>
        <v>0.72899521123702904</v>
      </c>
      <c r="I24" s="231">
        <f t="shared" si="12"/>
        <v>0.67360584089539921</v>
      </c>
      <c r="J24" s="231">
        <f t="shared" si="12"/>
        <v>0.622424978784758</v>
      </c>
      <c r="K24" s="231">
        <f t="shared" ref="K24" si="13">1/(1+$I$35)^K23</f>
        <v>0.5751328606358771</v>
      </c>
    </row>
    <row r="25" spans="2:11" x14ac:dyDescent="0.2">
      <c r="B25" s="232" t="s">
        <v>592</v>
      </c>
      <c r="C25" s="233">
        <f t="shared" ref="C25:J25" si="14">C21*C24</f>
        <v>1182.145095371425</v>
      </c>
      <c r="D25" s="233">
        <f t="shared" si="14"/>
        <v>890.72388616089961</v>
      </c>
      <c r="E25" s="233">
        <f t="shared" si="14"/>
        <v>559.48006399965607</v>
      </c>
      <c r="F25" s="233">
        <f t="shared" si="14"/>
        <v>344.30561040104499</v>
      </c>
      <c r="G25" s="233">
        <f>G21*G24</f>
        <v>168.32084836729399</v>
      </c>
      <c r="H25" s="233">
        <f t="shared" si="14"/>
        <v>189.23984260742836</v>
      </c>
      <c r="I25" s="233">
        <f t="shared" si="14"/>
        <v>206.9794478484138</v>
      </c>
      <c r="J25" s="234">
        <f t="shared" si="14"/>
        <v>231.53332066969892</v>
      </c>
      <c r="K25" s="234">
        <f t="shared" ref="K25" si="15">K21*K24</f>
        <v>260.07205561101654</v>
      </c>
    </row>
    <row r="26" spans="2:11" x14ac:dyDescent="0.2">
      <c r="B26" s="230" t="s">
        <v>593</v>
      </c>
      <c r="J26" s="230">
        <f>(J21*(1+C28))/(I35-C28)</f>
        <v>4523.8261162771523</v>
      </c>
      <c r="K26" s="230">
        <f>(K21*(1+C28))/(I35-C28)</f>
        <v>5499.2684995051413</v>
      </c>
    </row>
    <row r="27" spans="2:11" x14ac:dyDescent="0.2">
      <c r="B27" s="235" t="s">
        <v>594</v>
      </c>
      <c r="C27" s="236"/>
      <c r="D27" s="236"/>
      <c r="E27" s="236"/>
      <c r="F27" s="236"/>
      <c r="G27" s="236"/>
      <c r="H27" s="236"/>
      <c r="I27" s="236"/>
      <c r="J27" s="234">
        <f>J26*J24</f>
        <v>2815.7423744497405</v>
      </c>
      <c r="K27" s="234">
        <f>K26*K24</f>
        <v>3162.8100235251595</v>
      </c>
    </row>
    <row r="28" spans="2:11" x14ac:dyDescent="0.2">
      <c r="B28" s="230" t="s">
        <v>595</v>
      </c>
      <c r="C28" s="237">
        <v>0</v>
      </c>
    </row>
    <row r="29" spans="2:11" x14ac:dyDescent="0.2">
      <c r="B29" s="230"/>
      <c r="I29" s="203"/>
    </row>
    <row r="30" spans="2:11" x14ac:dyDescent="0.2">
      <c r="B30" s="230" t="s">
        <v>596</v>
      </c>
      <c r="C30" s="230">
        <f>bal!AF32+bal!AF25</f>
        <v>5783</v>
      </c>
      <c r="D30" s="230"/>
      <c r="E30" s="230" t="s">
        <v>597</v>
      </c>
      <c r="F30" s="230"/>
      <c r="G30" s="230"/>
      <c r="I30" s="252">
        <v>2.9499999999999998E-2</v>
      </c>
    </row>
    <row r="31" spans="2:11" x14ac:dyDescent="0.2">
      <c r="B31" s="230" t="s">
        <v>598</v>
      </c>
      <c r="C31" s="238">
        <f>bal!AF9</f>
        <v>2078.1301828229416</v>
      </c>
      <c r="D31" s="230"/>
      <c r="E31" s="230" t="s">
        <v>599</v>
      </c>
      <c r="F31" s="230"/>
      <c r="G31" s="230"/>
      <c r="I31" s="253">
        <v>5.0799999999999998E-2</v>
      </c>
    </row>
    <row r="32" spans="2:11" x14ac:dyDescent="0.2">
      <c r="B32" s="239" t="s">
        <v>600</v>
      </c>
      <c r="C32" s="239">
        <f>C30-C31</f>
        <v>3704.8698171770584</v>
      </c>
      <c r="D32" s="239"/>
      <c r="E32" s="230" t="s">
        <v>601</v>
      </c>
      <c r="F32" s="239"/>
      <c r="G32" s="239"/>
      <c r="I32" s="255">
        <v>1.44</v>
      </c>
    </row>
    <row r="33" spans="2:12" x14ac:dyDescent="0.2">
      <c r="B33" s="240" t="s">
        <v>602</v>
      </c>
      <c r="C33" s="241">
        <v>6.5000000000000002E-2</v>
      </c>
      <c r="D33" s="230"/>
      <c r="E33" s="230" t="s">
        <v>603</v>
      </c>
      <c r="F33" s="230"/>
      <c r="G33" s="230"/>
      <c r="I33" s="252">
        <f>I30+I32*(I31)</f>
        <v>0.10265199999999999</v>
      </c>
    </row>
    <row r="34" spans="2:12" x14ac:dyDescent="0.2">
      <c r="B34" s="240" t="s">
        <v>695</v>
      </c>
      <c r="C34" s="241">
        <f>C33*(1-0.21)</f>
        <v>5.1350000000000007E-2</v>
      </c>
      <c r="D34" s="230"/>
      <c r="E34" s="230"/>
      <c r="F34" s="230"/>
      <c r="G34" s="230"/>
      <c r="H34" s="230"/>
      <c r="I34" s="230"/>
    </row>
    <row r="35" spans="2:12" x14ac:dyDescent="0.2">
      <c r="B35" s="230"/>
      <c r="C35" s="230"/>
      <c r="D35" s="230"/>
      <c r="E35" s="232" t="s">
        <v>570</v>
      </c>
      <c r="F35" s="247"/>
      <c r="G35" s="247"/>
      <c r="H35" s="247"/>
      <c r="I35" s="248">
        <f>(C30/(C30+C38))*C34 + (C38/(C30+C38))*I33</f>
        <v>8.2228162196460078E-2</v>
      </c>
    </row>
    <row r="36" spans="2:12" x14ac:dyDescent="0.2">
      <c r="B36" s="230" t="s">
        <v>604</v>
      </c>
      <c r="C36" s="230">
        <f>'yrP&amp;L'!AH56</f>
        <v>307.10000000000002</v>
      </c>
      <c r="D36" s="230"/>
      <c r="E36" s="230"/>
      <c r="F36" s="242"/>
      <c r="G36" s="242"/>
      <c r="H36" s="243"/>
      <c r="I36" s="243"/>
    </row>
    <row r="37" spans="2:12" x14ac:dyDescent="0.2">
      <c r="B37" s="230" t="s">
        <v>605</v>
      </c>
      <c r="C37" s="244">
        <v>28.47</v>
      </c>
      <c r="D37" s="230"/>
      <c r="E37" s="245"/>
      <c r="F37" s="246"/>
      <c r="G37" s="246"/>
      <c r="H37" s="243"/>
      <c r="I37" s="243"/>
    </row>
    <row r="38" spans="2:12" x14ac:dyDescent="0.2">
      <c r="B38" s="239" t="s">
        <v>606</v>
      </c>
      <c r="C38" s="239">
        <f>C36*C37</f>
        <v>8743.1370000000006</v>
      </c>
      <c r="D38" s="230"/>
      <c r="E38" s="243"/>
      <c r="F38" s="246"/>
      <c r="G38" s="246"/>
      <c r="H38" s="243"/>
      <c r="I38" s="243"/>
    </row>
    <row r="39" spans="2:12" x14ac:dyDescent="0.2">
      <c r="B39" s="239" t="s">
        <v>607</v>
      </c>
      <c r="C39" s="239">
        <f>C32+C38</f>
        <v>12448.006817177058</v>
      </c>
      <c r="D39" s="230"/>
    </row>
    <row r="40" spans="2:12" x14ac:dyDescent="0.2">
      <c r="B40" s="230"/>
      <c r="C40" s="230"/>
      <c r="D40" s="230"/>
      <c r="E40" s="230"/>
      <c r="F40" s="230"/>
      <c r="G40" s="230"/>
      <c r="H40" s="230"/>
      <c r="I40" s="230"/>
    </row>
    <row r="41" spans="2:12" x14ac:dyDescent="0.2">
      <c r="B41" s="230" t="s">
        <v>608</v>
      </c>
      <c r="C41" s="230">
        <f>SUM(C25:J25)</f>
        <v>3772.7281154258599</v>
      </c>
      <c r="D41" s="230"/>
      <c r="E41" s="230"/>
      <c r="F41" s="230"/>
      <c r="G41" s="230"/>
      <c r="H41" s="230"/>
      <c r="I41" s="230"/>
    </row>
    <row r="42" spans="2:12" x14ac:dyDescent="0.2">
      <c r="B42" s="230" t="s">
        <v>594</v>
      </c>
      <c r="C42" s="238">
        <f>J27</f>
        <v>2815.7423744497405</v>
      </c>
      <c r="D42" s="230"/>
      <c r="E42" s="230"/>
      <c r="F42" s="230"/>
      <c r="G42" s="230"/>
      <c r="H42" s="230"/>
      <c r="I42" s="230"/>
    </row>
    <row r="43" spans="2:12" x14ac:dyDescent="0.2">
      <c r="B43" s="239" t="s">
        <v>609</v>
      </c>
      <c r="C43" s="239">
        <f>SUM(C41:C42)</f>
        <v>6588.4704898756008</v>
      </c>
      <c r="D43" s="230"/>
      <c r="E43" s="230"/>
      <c r="F43" s="230"/>
      <c r="G43" s="230"/>
      <c r="H43" s="230"/>
      <c r="I43" s="230"/>
    </row>
    <row r="44" spans="2:12" x14ac:dyDescent="0.2">
      <c r="B44" s="230" t="s">
        <v>610</v>
      </c>
      <c r="C44" s="230">
        <f>-C30</f>
        <v>-5783</v>
      </c>
      <c r="D44" s="245"/>
      <c r="E44" s="245"/>
      <c r="F44" s="245"/>
      <c r="G44" s="245"/>
      <c r="H44" s="245"/>
      <c r="I44" s="245"/>
      <c r="J44" s="245"/>
      <c r="K44" s="245"/>
      <c r="L44" s="245"/>
    </row>
    <row r="45" spans="2:12" x14ac:dyDescent="0.2">
      <c r="B45" s="230" t="s">
        <v>611</v>
      </c>
      <c r="C45" s="249">
        <f>+C31</f>
        <v>2078.1301828229416</v>
      </c>
      <c r="D45" s="230"/>
      <c r="E45" s="230"/>
      <c r="F45" s="230"/>
      <c r="G45" s="230"/>
      <c r="H45" s="230"/>
      <c r="I45" s="230"/>
    </row>
    <row r="46" spans="2:12" hidden="1" outlineLevel="1" x14ac:dyDescent="0.2">
      <c r="B46" s="230" t="s">
        <v>612</v>
      </c>
      <c r="C46" s="249">
        <v>0</v>
      </c>
      <c r="D46" s="230"/>
      <c r="E46" s="230"/>
      <c r="F46" s="230"/>
      <c r="G46" s="230"/>
      <c r="H46" s="230"/>
      <c r="I46" s="230"/>
    </row>
    <row r="47" spans="2:12" hidden="1" outlineLevel="1" x14ac:dyDescent="0.2">
      <c r="B47" s="230" t="s">
        <v>613</v>
      </c>
      <c r="C47" s="250" t="s">
        <v>86</v>
      </c>
      <c r="D47" s="230"/>
      <c r="E47" s="230"/>
      <c r="F47" s="230"/>
      <c r="G47" s="230"/>
      <c r="H47" s="230"/>
      <c r="I47" s="230"/>
    </row>
    <row r="48" spans="2:12" collapsed="1" x14ac:dyDescent="0.2">
      <c r="B48" s="239" t="s">
        <v>614</v>
      </c>
      <c r="C48" s="239">
        <f>SUM(C43:C47)</f>
        <v>2883.6006726985424</v>
      </c>
      <c r="D48" s="230"/>
      <c r="E48" s="230"/>
      <c r="F48" s="230"/>
      <c r="G48" s="230"/>
      <c r="H48" s="230"/>
      <c r="I48" s="230"/>
    </row>
    <row r="49" spans="2:12" x14ac:dyDescent="0.2">
      <c r="B49" s="232" t="s">
        <v>615</v>
      </c>
      <c r="C49" s="251">
        <f>C48/C36</f>
        <v>9.3897775079731112</v>
      </c>
      <c r="D49" s="230"/>
      <c r="E49" s="230"/>
      <c r="F49" s="230"/>
      <c r="G49" s="230"/>
      <c r="H49" s="230"/>
      <c r="I49" s="230"/>
    </row>
    <row r="50" spans="2:12" x14ac:dyDescent="0.2">
      <c r="B50" s="230"/>
      <c r="C50" s="201"/>
    </row>
    <row r="51" spans="2:12" x14ac:dyDescent="0.2">
      <c r="B51" s="232" t="s">
        <v>615</v>
      </c>
      <c r="C51" s="251">
        <f>C49*(1+I35)</f>
        <v>10.161881655887397</v>
      </c>
    </row>
    <row r="52" spans="2:12" x14ac:dyDescent="0.2">
      <c r="B52" s="230"/>
    </row>
    <row r="53" spans="2:12" x14ac:dyDescent="0.2">
      <c r="B53" s="230"/>
      <c r="C53" s="203"/>
      <c r="D53" s="203"/>
      <c r="E53" s="203"/>
      <c r="F53" s="203"/>
      <c r="G53" s="203"/>
      <c r="H53" s="203"/>
      <c r="I53" s="203"/>
      <c r="J53" s="203"/>
      <c r="K53" s="203"/>
      <c r="L53" s="203"/>
    </row>
    <row r="54" spans="2:12" x14ac:dyDescent="0.2">
      <c r="B54" s="230"/>
      <c r="C54" s="550"/>
    </row>
    <row r="55" spans="2:12" x14ac:dyDescent="0.2">
      <c r="B55" s="230"/>
    </row>
    <row r="56" spans="2:12" x14ac:dyDescent="0.2">
      <c r="B56" s="230"/>
    </row>
    <row r="57" spans="2:12" x14ac:dyDescent="0.2">
      <c r="B57" s="230"/>
    </row>
    <row r="58" spans="2:12" x14ac:dyDescent="0.2">
      <c r="B58" s="230"/>
    </row>
    <row r="59" spans="2:12" x14ac:dyDescent="0.2">
      <c r="B59" s="230"/>
    </row>
    <row r="60" spans="2:12" x14ac:dyDescent="0.2">
      <c r="B60" s="230"/>
    </row>
    <row r="61" spans="2:12" x14ac:dyDescent="0.2">
      <c r="B61" s="230"/>
    </row>
  </sheetData>
  <mergeCells count="1">
    <mergeCell ref="C1:F1"/>
  </mergeCells>
  <pageMargins left="0" right="0" top="0" bottom="0" header="0" footer="0"/>
  <pageSetup paperSize="5" orientation="landscape"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enableFormatConditionsCalculation="0">
    <tabColor indexed="56"/>
  </sheetPr>
  <dimension ref="A1:AJ191"/>
  <sheetViews>
    <sheetView topLeftCell="N166" workbookViewId="0">
      <selection activeCell="AE191" sqref="AE191"/>
    </sheetView>
  </sheetViews>
  <sheetFormatPr defaultRowHeight="12.75" outlineLevelRow="1" x14ac:dyDescent="0.2"/>
  <cols>
    <col min="1" max="1" width="3.140625" style="16" customWidth="1"/>
    <col min="2" max="2" width="48.28515625" style="16" customWidth="1"/>
    <col min="3" max="30" width="7.5703125" style="16" customWidth="1"/>
    <col min="31" max="31" width="38.7109375" customWidth="1"/>
    <col min="32" max="36" width="6.7109375" customWidth="1"/>
    <col min="37" max="16384" width="9.140625" style="16"/>
  </cols>
  <sheetData>
    <row r="1" spans="1:30" ht="15.95" customHeight="1" x14ac:dyDescent="0.2">
      <c r="A1" s="17"/>
      <c r="B1" s="18" t="s">
        <v>285</v>
      </c>
      <c r="C1" s="19"/>
      <c r="D1" s="19"/>
      <c r="E1" s="19"/>
      <c r="F1" s="19"/>
      <c r="G1" s="19"/>
      <c r="H1" s="20"/>
      <c r="I1" s="20"/>
      <c r="J1" s="20"/>
      <c r="K1" s="20"/>
      <c r="L1" s="20"/>
      <c r="M1" s="20"/>
      <c r="N1" s="21" t="s">
        <v>427</v>
      </c>
      <c r="O1" s="22"/>
      <c r="P1" s="23"/>
      <c r="Q1" s="23"/>
      <c r="R1" s="23"/>
      <c r="S1" s="23"/>
      <c r="T1" s="23"/>
      <c r="U1" s="23"/>
      <c r="V1" s="23"/>
      <c r="W1" s="23"/>
      <c r="X1" s="23"/>
      <c r="Y1" s="23"/>
      <c r="Z1" s="23"/>
      <c r="AA1" s="23"/>
      <c r="AB1" s="23"/>
      <c r="AC1" s="23"/>
      <c r="AD1" s="1496"/>
    </row>
    <row r="2" spans="1:30" x14ac:dyDescent="0.2">
      <c r="A2" s="17"/>
      <c r="B2" s="18" t="s">
        <v>428</v>
      </c>
      <c r="C2" s="19"/>
      <c r="D2" s="19"/>
      <c r="E2" s="19"/>
      <c r="F2" s="19"/>
      <c r="G2" s="19"/>
      <c r="H2" s="20"/>
      <c r="I2" s="20"/>
      <c r="J2" s="20"/>
      <c r="K2" s="24"/>
      <c r="L2" s="20"/>
      <c r="M2" s="20"/>
      <c r="N2" s="20"/>
      <c r="O2" s="20"/>
      <c r="P2" s="20"/>
      <c r="Q2" s="20"/>
      <c r="R2" s="20"/>
      <c r="S2" s="20"/>
      <c r="T2" s="20"/>
      <c r="U2" s="20"/>
      <c r="V2" s="20"/>
      <c r="W2" s="20"/>
      <c r="X2" s="20"/>
      <c r="Y2" s="20"/>
      <c r="Z2" s="20"/>
      <c r="AA2" s="20"/>
      <c r="AB2" s="20"/>
      <c r="AC2" s="20"/>
      <c r="AD2" s="20"/>
    </row>
    <row r="3" spans="1:30" x14ac:dyDescent="0.2">
      <c r="A3" s="17"/>
      <c r="B3" s="25"/>
      <c r="C3" s="26">
        <v>1995</v>
      </c>
      <c r="D3" s="26">
        <f t="shared" ref="D3:W3" si="0">C3+1</f>
        <v>1996</v>
      </c>
      <c r="E3" s="26">
        <f t="shared" si="0"/>
        <v>1997</v>
      </c>
      <c r="F3" s="26">
        <f t="shared" si="0"/>
        <v>1998</v>
      </c>
      <c r="G3" s="26">
        <f t="shared" si="0"/>
        <v>1999</v>
      </c>
      <c r="H3" s="26">
        <f t="shared" si="0"/>
        <v>2000</v>
      </c>
      <c r="I3" s="26">
        <f t="shared" si="0"/>
        <v>2001</v>
      </c>
      <c r="J3" s="26">
        <f t="shared" si="0"/>
        <v>2002</v>
      </c>
      <c r="K3" s="26">
        <f t="shared" si="0"/>
        <v>2003</v>
      </c>
      <c r="L3" s="26">
        <f t="shared" si="0"/>
        <v>2004</v>
      </c>
      <c r="M3" s="26">
        <f t="shared" si="0"/>
        <v>2005</v>
      </c>
      <c r="N3" s="26">
        <f t="shared" si="0"/>
        <v>2006</v>
      </c>
      <c r="O3" s="26">
        <f t="shared" si="0"/>
        <v>2007</v>
      </c>
      <c r="P3" s="26">
        <f t="shared" si="0"/>
        <v>2008</v>
      </c>
      <c r="Q3" s="26">
        <f t="shared" si="0"/>
        <v>2009</v>
      </c>
      <c r="R3" s="26">
        <f t="shared" si="0"/>
        <v>2010</v>
      </c>
      <c r="S3" s="26">
        <f t="shared" si="0"/>
        <v>2011</v>
      </c>
      <c r="T3" s="26">
        <f t="shared" si="0"/>
        <v>2012</v>
      </c>
      <c r="U3" s="27">
        <f t="shared" si="0"/>
        <v>2013</v>
      </c>
      <c r="V3" s="27">
        <f t="shared" si="0"/>
        <v>2014</v>
      </c>
      <c r="W3" s="27">
        <f t="shared" si="0"/>
        <v>2015</v>
      </c>
      <c r="X3" s="27">
        <f t="shared" ref="X3:AC3" si="1">W3+1</f>
        <v>2016</v>
      </c>
      <c r="Y3" s="27">
        <f t="shared" si="1"/>
        <v>2017</v>
      </c>
      <c r="Z3" s="27">
        <f t="shared" si="1"/>
        <v>2018</v>
      </c>
      <c r="AA3" s="27">
        <f t="shared" si="1"/>
        <v>2019</v>
      </c>
      <c r="AB3" s="27">
        <f t="shared" si="1"/>
        <v>2020</v>
      </c>
      <c r="AC3" s="27">
        <f t="shared" si="1"/>
        <v>2021</v>
      </c>
      <c r="AD3" s="31"/>
    </row>
    <row r="4" spans="1:30" x14ac:dyDescent="0.2">
      <c r="A4" s="17"/>
      <c r="B4" s="28"/>
      <c r="C4" s="29"/>
      <c r="D4" s="29"/>
      <c r="E4" s="29"/>
      <c r="F4" s="29"/>
      <c r="G4" s="29"/>
      <c r="H4" s="29"/>
      <c r="I4" s="29"/>
      <c r="J4" s="29"/>
      <c r="K4" s="30"/>
      <c r="L4" s="31"/>
      <c r="M4" s="31"/>
      <c r="N4" s="31"/>
      <c r="O4" s="31"/>
      <c r="P4" s="20"/>
      <c r="Q4" s="20"/>
      <c r="R4" s="20"/>
      <c r="S4" s="20"/>
      <c r="T4" s="20"/>
      <c r="U4" s="20"/>
      <c r="V4" s="20"/>
      <c r="W4" s="20"/>
      <c r="X4" s="20"/>
      <c r="Y4" s="20"/>
      <c r="Z4" s="20"/>
      <c r="AA4" s="20"/>
      <c r="AB4" s="20"/>
      <c r="AC4" s="20"/>
      <c r="AD4" s="20"/>
    </row>
    <row r="5" spans="1:30" x14ac:dyDescent="0.2">
      <c r="A5" s="17"/>
      <c r="B5" s="33" t="s">
        <v>429</v>
      </c>
      <c r="C5" s="34"/>
      <c r="D5" s="20"/>
      <c r="E5" s="20"/>
      <c r="F5" s="20"/>
      <c r="G5" s="20"/>
      <c r="H5" s="20"/>
      <c r="I5" s="20"/>
      <c r="J5" s="20"/>
      <c r="K5" s="35"/>
      <c r="L5" s="20"/>
      <c r="M5" s="20"/>
      <c r="N5" s="20"/>
      <c r="O5" s="20"/>
      <c r="P5" s="20"/>
      <c r="Q5" s="20"/>
      <c r="R5" s="20"/>
      <c r="S5" s="20"/>
      <c r="T5" s="20"/>
      <c r="U5" s="20"/>
      <c r="V5" s="20"/>
      <c r="W5" s="20"/>
      <c r="X5" s="20"/>
      <c r="Y5" s="20"/>
      <c r="Z5" s="20"/>
      <c r="AA5" s="20"/>
      <c r="AB5" s="20"/>
      <c r="AC5" s="20"/>
      <c r="AD5" s="20"/>
    </row>
    <row r="6" spans="1:30" x14ac:dyDescent="0.2">
      <c r="A6" s="17"/>
      <c r="B6" s="36" t="s">
        <v>430</v>
      </c>
      <c r="C6" s="37">
        <f t="shared" ref="C6:W6" si="2">C66</f>
        <v>137</v>
      </c>
      <c r="D6" s="37">
        <f t="shared" si="2"/>
        <v>151</v>
      </c>
      <c r="E6" s="37">
        <f t="shared" si="2"/>
        <v>149</v>
      </c>
      <c r="F6" s="37">
        <f t="shared" si="2"/>
        <v>144</v>
      </c>
      <c r="G6" s="37">
        <f t="shared" si="2"/>
        <v>142</v>
      </c>
      <c r="H6" s="37">
        <f t="shared" si="2"/>
        <v>159</v>
      </c>
      <c r="I6" s="37">
        <f t="shared" si="2"/>
        <v>160</v>
      </c>
      <c r="J6" s="37">
        <f t="shared" si="2"/>
        <v>168</v>
      </c>
      <c r="K6" s="37">
        <f t="shared" si="2"/>
        <v>173</v>
      </c>
      <c r="L6" s="37">
        <f t="shared" si="2"/>
        <v>133</v>
      </c>
      <c r="M6" s="37">
        <f t="shared" si="2"/>
        <v>189</v>
      </c>
      <c r="N6" s="37">
        <f t="shared" si="2"/>
        <v>221</v>
      </c>
      <c r="O6" s="37">
        <f t="shared" si="2"/>
        <v>221</v>
      </c>
      <c r="P6" s="37">
        <f t="shared" si="2"/>
        <v>230</v>
      </c>
      <c r="Q6" s="37">
        <f t="shared" si="2"/>
        <v>230</v>
      </c>
      <c r="R6" s="37">
        <f t="shared" si="2"/>
        <v>234</v>
      </c>
      <c r="S6" s="37">
        <f t="shared" si="2"/>
        <v>242</v>
      </c>
      <c r="T6" s="37">
        <f>T66</f>
        <v>257</v>
      </c>
      <c r="U6" s="37">
        <f t="shared" si="2"/>
        <v>261.32748131961557</v>
      </c>
      <c r="V6" s="37">
        <f t="shared" si="2"/>
        <v>261.84229034613395</v>
      </c>
      <c r="W6" s="37">
        <f t="shared" si="2"/>
        <v>257.37489064751242</v>
      </c>
      <c r="X6" s="37">
        <f t="shared" ref="X6:AC6" si="3">X66</f>
        <v>240.94072902555163</v>
      </c>
      <c r="Y6" s="37">
        <f t="shared" si="3"/>
        <v>240.72866774997658</v>
      </c>
      <c r="Z6" s="37">
        <f t="shared" si="3"/>
        <v>235.47091191041645</v>
      </c>
      <c r="AA6" s="37">
        <f t="shared" si="3"/>
        <v>236.75280595778898</v>
      </c>
      <c r="AB6" s="37">
        <f t="shared" si="3"/>
        <v>237.99077483975441</v>
      </c>
      <c r="AC6" s="37">
        <f t="shared" si="3"/>
        <v>239.18251275274508</v>
      </c>
      <c r="AD6" s="37"/>
    </row>
    <row r="7" spans="1:30" x14ac:dyDescent="0.2">
      <c r="A7" s="17"/>
      <c r="B7" s="38" t="s">
        <v>431</v>
      </c>
      <c r="C7" s="39">
        <f t="shared" ref="C7:W7" si="4">C18</f>
        <v>-140.0605025817037</v>
      </c>
      <c r="D7" s="39">
        <f t="shared" si="4"/>
        <v>-124.87861648985678</v>
      </c>
      <c r="E7" s="39">
        <f t="shared" si="4"/>
        <v>-114.76658694134991</v>
      </c>
      <c r="F7" s="39">
        <f t="shared" si="4"/>
        <v>-101.73880189245419</v>
      </c>
      <c r="G7" s="39">
        <f t="shared" si="4"/>
        <v>-111.94037390268106</v>
      </c>
      <c r="H7" s="39">
        <f t="shared" si="4"/>
        <v>-102.89135502298527</v>
      </c>
      <c r="I7" s="39">
        <f t="shared" si="4"/>
        <v>-103.0666402788145</v>
      </c>
      <c r="J7" s="39">
        <f t="shared" si="4"/>
        <v>-99.966072107605612</v>
      </c>
      <c r="K7" s="39">
        <f t="shared" si="4"/>
        <v>-97.021329347639465</v>
      </c>
      <c r="L7" s="39">
        <f t="shared" si="4"/>
        <v>-97.968075925033091</v>
      </c>
      <c r="M7" s="39">
        <f t="shared" si="4"/>
        <v>-111.66722836694024</v>
      </c>
      <c r="N7" s="39">
        <f t="shared" si="4"/>
        <v>-98.36328696852523</v>
      </c>
      <c r="O7" s="39">
        <f t="shared" si="4"/>
        <v>-100.27635820167464</v>
      </c>
      <c r="P7" s="39">
        <f t="shared" si="4"/>
        <v>-101.17691422534723</v>
      </c>
      <c r="Q7" s="39">
        <f t="shared" si="4"/>
        <v>-96.987924219948084</v>
      </c>
      <c r="R7" s="39">
        <f t="shared" si="4"/>
        <v>-104.28738856342076</v>
      </c>
      <c r="S7" s="39">
        <f t="shared" si="4"/>
        <v>-112.74058811356737</v>
      </c>
      <c r="T7" s="39">
        <f>T18</f>
        <v>-105.84166813663097</v>
      </c>
      <c r="U7" s="39">
        <f t="shared" si="4"/>
        <v>-98.211780303056187</v>
      </c>
      <c r="V7" s="39">
        <f t="shared" si="4"/>
        <v>-106.54222729157654</v>
      </c>
      <c r="W7" s="39">
        <f t="shared" si="4"/>
        <v>-112.80852771673662</v>
      </c>
      <c r="X7" s="39">
        <f t="shared" ref="X7:AC7" si="5">X18</f>
        <v>-107.96353842251784</v>
      </c>
      <c r="Y7" s="39">
        <f t="shared" si="5"/>
        <v>-113.84219915934845</v>
      </c>
      <c r="Z7" s="39">
        <f t="shared" si="5"/>
        <v>-111.85057023266077</v>
      </c>
      <c r="AA7" s="39">
        <f t="shared" si="5"/>
        <v>-114.26234943036374</v>
      </c>
      <c r="AB7" s="39">
        <f t="shared" si="5"/>
        <v>-114.28435037129142</v>
      </c>
      <c r="AC7" s="39">
        <f t="shared" si="5"/>
        <v>-86.561939829461835</v>
      </c>
      <c r="AD7" s="40"/>
    </row>
    <row r="8" spans="1:30" x14ac:dyDescent="0.2">
      <c r="A8" s="17"/>
      <c r="B8" s="36" t="s">
        <v>432</v>
      </c>
      <c r="C8" s="37">
        <f t="shared" ref="C8:X8" si="6">SUM(C6:C7)</f>
        <v>-3.0605025817037017</v>
      </c>
      <c r="D8" s="37">
        <f t="shared" si="6"/>
        <v>26.121383510143218</v>
      </c>
      <c r="E8" s="37">
        <f t="shared" si="6"/>
        <v>34.233413058650086</v>
      </c>
      <c r="F8" s="37">
        <f t="shared" si="6"/>
        <v>42.261198107545809</v>
      </c>
      <c r="G8" s="37">
        <f t="shared" si="6"/>
        <v>30.05962609731894</v>
      </c>
      <c r="H8" s="37">
        <f t="shared" si="6"/>
        <v>56.108644977014734</v>
      </c>
      <c r="I8" s="37">
        <f t="shared" si="6"/>
        <v>56.933359721185496</v>
      </c>
      <c r="J8" s="37">
        <f t="shared" si="6"/>
        <v>68.033927892394388</v>
      </c>
      <c r="K8" s="37">
        <f t="shared" si="6"/>
        <v>75.978670652360535</v>
      </c>
      <c r="L8" s="37">
        <f t="shared" si="6"/>
        <v>35.031924074966909</v>
      </c>
      <c r="M8" s="37">
        <f t="shared" si="6"/>
        <v>77.332771633059764</v>
      </c>
      <c r="N8" s="37">
        <f t="shared" si="6"/>
        <v>122.63671303147477</v>
      </c>
      <c r="O8" s="37">
        <f t="shared" si="6"/>
        <v>120.72364179832536</v>
      </c>
      <c r="P8" s="37">
        <f t="shared" si="6"/>
        <v>128.82308577465278</v>
      </c>
      <c r="Q8" s="37">
        <f t="shared" si="6"/>
        <v>133.01207578005193</v>
      </c>
      <c r="R8" s="37">
        <f t="shared" si="6"/>
        <v>129.71261143657924</v>
      </c>
      <c r="S8" s="37">
        <f t="shared" si="6"/>
        <v>129.25941188643264</v>
      </c>
      <c r="T8" s="37">
        <f t="shared" si="6"/>
        <v>151.15833186336903</v>
      </c>
      <c r="U8" s="37">
        <f t="shared" si="6"/>
        <v>163.1157010165594</v>
      </c>
      <c r="V8" s="37">
        <f t="shared" si="6"/>
        <v>155.30006305455743</v>
      </c>
      <c r="W8" s="37">
        <f t="shared" si="6"/>
        <v>144.5663629307758</v>
      </c>
      <c r="X8" s="37">
        <f t="shared" si="6"/>
        <v>132.97719060303379</v>
      </c>
      <c r="Y8" s="37">
        <f>SUM(Y6:Y7)</f>
        <v>126.88646859062813</v>
      </c>
      <c r="Z8" s="37">
        <f>SUM(Z6:Z7)</f>
        <v>123.62034167775568</v>
      </c>
      <c r="AA8" s="37">
        <f>SUM(AA6:AA7)</f>
        <v>122.49045652742524</v>
      </c>
      <c r="AB8" s="37">
        <f>SUM(AB6:AB7)</f>
        <v>123.70642446846298</v>
      </c>
      <c r="AC8" s="37">
        <f>SUM(AC6:AC7)</f>
        <v>152.62057292328325</v>
      </c>
      <c r="AD8" s="37"/>
    </row>
    <row r="9" spans="1:30" x14ac:dyDescent="0.2">
      <c r="A9" s="17"/>
      <c r="B9" s="36"/>
      <c r="C9" s="40"/>
      <c r="D9" s="40"/>
      <c r="E9" s="40"/>
      <c r="F9" s="40"/>
      <c r="G9" s="40"/>
      <c r="H9" s="40"/>
      <c r="I9" s="40"/>
      <c r="J9" s="40"/>
      <c r="K9" s="40"/>
      <c r="L9" s="40"/>
      <c r="M9" s="40"/>
      <c r="N9" s="40"/>
      <c r="O9" s="40"/>
      <c r="P9" s="40"/>
      <c r="Q9" s="40"/>
      <c r="R9" s="40"/>
      <c r="S9" s="40"/>
      <c r="T9" s="40"/>
      <c r="U9" s="40"/>
      <c r="V9" s="40"/>
      <c r="W9" s="40"/>
      <c r="X9" s="40"/>
      <c r="Y9" s="40"/>
      <c r="Z9" s="40"/>
      <c r="AA9" s="40"/>
      <c r="AB9" s="40"/>
      <c r="AC9" s="40"/>
      <c r="AD9" s="40"/>
    </row>
    <row r="10" spans="1:30" x14ac:dyDescent="0.2">
      <c r="A10" s="17"/>
      <c r="B10" s="36" t="s">
        <v>433</v>
      </c>
      <c r="C10" s="39">
        <f t="shared" ref="C10:W10" si="7">-C24</f>
        <v>-90.216104722514444</v>
      </c>
      <c r="D10" s="39">
        <f t="shared" si="7"/>
        <v>-93.82520088452948</v>
      </c>
      <c r="E10" s="39">
        <f t="shared" si="7"/>
        <v>-91.028296885323925</v>
      </c>
      <c r="F10" s="39">
        <f t="shared" si="7"/>
        <v>-83.329361613599488</v>
      </c>
      <c r="G10" s="39">
        <f t="shared" si="7"/>
        <v>-108.80651746953571</v>
      </c>
      <c r="H10" s="39">
        <f t="shared" si="7"/>
        <v>-105.5713276623261</v>
      </c>
      <c r="I10" s="39">
        <f t="shared" si="7"/>
        <v>-112.92994635284576</v>
      </c>
      <c r="J10" s="39">
        <f t="shared" si="7"/>
        <v>-115.11241107731772</v>
      </c>
      <c r="K10" s="39">
        <f t="shared" si="7"/>
        <v>-115.52857639832193</v>
      </c>
      <c r="L10" s="39">
        <f t="shared" si="7"/>
        <v>-120.15928440682094</v>
      </c>
      <c r="M10" s="39">
        <f t="shared" si="7"/>
        <v>-143.25103485053899</v>
      </c>
      <c r="N10" s="39">
        <f t="shared" si="7"/>
        <v>-131.17452307144083</v>
      </c>
      <c r="O10" s="39">
        <f t="shared" si="7"/>
        <v>-132.10762125522325</v>
      </c>
      <c r="P10" s="39">
        <f t="shared" si="7"/>
        <v>-131.07925274376265</v>
      </c>
      <c r="Q10" s="39">
        <f t="shared" si="7"/>
        <v>-123.91742394301963</v>
      </c>
      <c r="R10" s="39">
        <f t="shared" si="7"/>
        <v>-115.6792276273209</v>
      </c>
      <c r="S10" s="39">
        <f t="shared" si="7"/>
        <v>-120.21522962573333</v>
      </c>
      <c r="T10" s="39">
        <f>-T24</f>
        <v>-127.20668903054177</v>
      </c>
      <c r="U10" s="39">
        <f t="shared" si="7"/>
        <v>-106.91011561178993</v>
      </c>
      <c r="V10" s="39">
        <f t="shared" si="7"/>
        <v>-107.753801349483</v>
      </c>
      <c r="W10" s="39">
        <f t="shared" si="7"/>
        <v>-106.95113044057183</v>
      </c>
      <c r="X10" s="39">
        <f t="shared" ref="X10:AC10" si="8">-X24</f>
        <v>-104.12578551305887</v>
      </c>
      <c r="Y10" s="39">
        <f t="shared" si="8"/>
        <v>-96.875059460895272</v>
      </c>
      <c r="Z10" s="39">
        <f t="shared" si="8"/>
        <v>-95.603616095468993</v>
      </c>
      <c r="AA10" s="39">
        <f t="shared" si="8"/>
        <v>-92.409544370079459</v>
      </c>
      <c r="AB10" s="39">
        <f t="shared" si="8"/>
        <v>-91.566305427766807</v>
      </c>
      <c r="AC10" s="39">
        <f t="shared" si="8"/>
        <v>-90.613185539058364</v>
      </c>
      <c r="AD10" s="40"/>
    </row>
    <row r="11" spans="1:30" x14ac:dyDescent="0.2">
      <c r="A11" s="17"/>
      <c r="B11" s="41" t="s">
        <v>434</v>
      </c>
      <c r="C11" s="37">
        <f t="shared" ref="C11:X11" si="9">C8+C10</f>
        <v>-93.276607304218146</v>
      </c>
      <c r="D11" s="37">
        <f t="shared" si="9"/>
        <v>-67.703817374386261</v>
      </c>
      <c r="E11" s="37">
        <f t="shared" si="9"/>
        <v>-56.794883826673839</v>
      </c>
      <c r="F11" s="37">
        <f t="shared" si="9"/>
        <v>-41.068163506053679</v>
      </c>
      <c r="G11" s="37">
        <f t="shared" si="9"/>
        <v>-78.746891372216766</v>
      </c>
      <c r="H11" s="37">
        <f t="shared" si="9"/>
        <v>-49.462682685311364</v>
      </c>
      <c r="I11" s="37">
        <f t="shared" si="9"/>
        <v>-55.996586631660264</v>
      </c>
      <c r="J11" s="37">
        <f t="shared" si="9"/>
        <v>-47.078483184923329</v>
      </c>
      <c r="K11" s="37">
        <f t="shared" si="9"/>
        <v>-39.549905745961397</v>
      </c>
      <c r="L11" s="37">
        <f t="shared" si="9"/>
        <v>-85.127360331854035</v>
      </c>
      <c r="M11" s="37">
        <f t="shared" si="9"/>
        <v>-65.918263217479222</v>
      </c>
      <c r="N11" s="37">
        <f t="shared" si="9"/>
        <v>-8.537810039966061</v>
      </c>
      <c r="O11" s="37">
        <f t="shared" si="9"/>
        <v>-11.38397945689789</v>
      </c>
      <c r="P11" s="37">
        <f t="shared" si="9"/>
        <v>-2.25616696910987</v>
      </c>
      <c r="Q11" s="37">
        <f t="shared" si="9"/>
        <v>9.094651837032302</v>
      </c>
      <c r="R11" s="37">
        <f t="shared" si="9"/>
        <v>14.033383809258339</v>
      </c>
      <c r="S11" s="37">
        <f t="shared" si="9"/>
        <v>9.0441822606993156</v>
      </c>
      <c r="T11" s="37">
        <f t="shared" si="9"/>
        <v>23.951642832827261</v>
      </c>
      <c r="U11" s="37">
        <f t="shared" si="9"/>
        <v>56.205585404769465</v>
      </c>
      <c r="V11" s="37">
        <f t="shared" si="9"/>
        <v>47.546261705074429</v>
      </c>
      <c r="W11" s="37">
        <f t="shared" si="9"/>
        <v>37.615232490203965</v>
      </c>
      <c r="X11" s="37">
        <f t="shared" si="9"/>
        <v>28.851405089974918</v>
      </c>
      <c r="Y11" s="37">
        <f>Y8+Y10</f>
        <v>30.011409129732854</v>
      </c>
      <c r="Z11" s="37">
        <f>Z8+Z10</f>
        <v>28.016725582286682</v>
      </c>
      <c r="AA11" s="37">
        <f>AA8+AA10</f>
        <v>30.080912157345779</v>
      </c>
      <c r="AB11" s="37">
        <f>AB8+AB10</f>
        <v>32.140119040696177</v>
      </c>
      <c r="AC11" s="37">
        <f>AC8+AC10</f>
        <v>62.007387384224884</v>
      </c>
      <c r="AD11" s="37"/>
    </row>
    <row r="12" spans="1:30" x14ac:dyDescent="0.2">
      <c r="A12" s="17"/>
      <c r="B12" s="36"/>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row>
    <row r="13" spans="1:30" x14ac:dyDescent="0.2">
      <c r="A13" s="17"/>
      <c r="B13" s="36" t="s">
        <v>435</v>
      </c>
      <c r="C13" s="37">
        <f t="shared" ref="C13:W13" si="10">C6+C10</f>
        <v>46.783895277485556</v>
      </c>
      <c r="D13" s="37">
        <f t="shared" si="10"/>
        <v>57.17479911547052</v>
      </c>
      <c r="E13" s="37">
        <f t="shared" si="10"/>
        <v>57.971703114676075</v>
      </c>
      <c r="F13" s="37">
        <f t="shared" si="10"/>
        <v>60.670638386400512</v>
      </c>
      <c r="G13" s="37">
        <f t="shared" si="10"/>
        <v>33.193482530464294</v>
      </c>
      <c r="H13" s="37">
        <f t="shared" si="10"/>
        <v>53.428672337673902</v>
      </c>
      <c r="I13" s="37">
        <f t="shared" si="10"/>
        <v>47.070053647154239</v>
      </c>
      <c r="J13" s="37">
        <f t="shared" si="10"/>
        <v>52.887588922682284</v>
      </c>
      <c r="K13" s="37">
        <f t="shared" si="10"/>
        <v>57.471423601678069</v>
      </c>
      <c r="L13" s="37">
        <f t="shared" si="10"/>
        <v>12.840715593179056</v>
      </c>
      <c r="M13" s="37">
        <f t="shared" si="10"/>
        <v>45.748965149461014</v>
      </c>
      <c r="N13" s="37">
        <f t="shared" si="10"/>
        <v>89.825476928559169</v>
      </c>
      <c r="O13" s="37">
        <f t="shared" si="10"/>
        <v>88.892378744776749</v>
      </c>
      <c r="P13" s="37">
        <f t="shared" si="10"/>
        <v>98.920747256237348</v>
      </c>
      <c r="Q13" s="37">
        <f t="shared" si="10"/>
        <v>106.08257605698037</v>
      </c>
      <c r="R13" s="37">
        <f t="shared" si="10"/>
        <v>118.3207723726791</v>
      </c>
      <c r="S13" s="37">
        <f t="shared" si="10"/>
        <v>121.78477037426667</v>
      </c>
      <c r="T13" s="37">
        <f>T6+T10</f>
        <v>129.79331096945822</v>
      </c>
      <c r="U13" s="37">
        <f t="shared" si="10"/>
        <v>154.41736570782564</v>
      </c>
      <c r="V13" s="37">
        <f t="shared" si="10"/>
        <v>154.08848899665094</v>
      </c>
      <c r="W13" s="37">
        <f t="shared" si="10"/>
        <v>150.42376020694059</v>
      </c>
      <c r="X13" s="37">
        <f t="shared" ref="X13:AC13" si="11">X6+X10</f>
        <v>136.81494351249276</v>
      </c>
      <c r="Y13" s="37">
        <f t="shared" si="11"/>
        <v>143.85360828908131</v>
      </c>
      <c r="Z13" s="37">
        <f t="shared" si="11"/>
        <v>139.86729581494745</v>
      </c>
      <c r="AA13" s="37">
        <f t="shared" si="11"/>
        <v>144.34326158770952</v>
      </c>
      <c r="AB13" s="37">
        <f t="shared" si="11"/>
        <v>146.42446941198762</v>
      </c>
      <c r="AC13" s="37">
        <f t="shared" si="11"/>
        <v>148.56932721368673</v>
      </c>
      <c r="AD13" s="37"/>
    </row>
    <row r="14" spans="1:30" x14ac:dyDescent="0.2">
      <c r="A14" s="17"/>
      <c r="B14" s="36"/>
      <c r="C14" s="35"/>
      <c r="D14" s="35"/>
      <c r="E14" s="35"/>
      <c r="F14" s="35"/>
      <c r="G14" s="35"/>
      <c r="H14" s="35"/>
      <c r="I14" s="35"/>
      <c r="J14" s="35"/>
      <c r="K14" s="35"/>
      <c r="L14" s="35"/>
      <c r="M14" s="42"/>
      <c r="N14" s="35"/>
      <c r="O14" s="35"/>
      <c r="P14" s="35"/>
      <c r="Q14" s="35"/>
      <c r="R14" s="35"/>
      <c r="S14" s="35"/>
      <c r="T14" s="35"/>
      <c r="U14" s="35"/>
      <c r="V14" s="35"/>
      <c r="W14" s="35"/>
      <c r="X14" s="35"/>
      <c r="Y14" s="35"/>
      <c r="Z14" s="35"/>
      <c r="AA14" s="35"/>
      <c r="AB14" s="35"/>
      <c r="AC14" s="35"/>
      <c r="AD14" s="35"/>
    </row>
    <row r="15" spans="1:30" x14ac:dyDescent="0.2">
      <c r="A15" s="17"/>
      <c r="B15" s="43" t="s">
        <v>436</v>
      </c>
      <c r="C15" s="26">
        <v>1995</v>
      </c>
      <c r="D15" s="26">
        <f t="shared" ref="D15:N15" si="12">C15+1</f>
        <v>1996</v>
      </c>
      <c r="E15" s="26">
        <f t="shared" si="12"/>
        <v>1997</v>
      </c>
      <c r="F15" s="26">
        <f t="shared" si="12"/>
        <v>1998</v>
      </c>
      <c r="G15" s="26">
        <f t="shared" si="12"/>
        <v>1999</v>
      </c>
      <c r="H15" s="26">
        <f t="shared" si="12"/>
        <v>2000</v>
      </c>
      <c r="I15" s="26">
        <f t="shared" si="12"/>
        <v>2001</v>
      </c>
      <c r="J15" s="26">
        <f t="shared" si="12"/>
        <v>2002</v>
      </c>
      <c r="K15" s="26">
        <f t="shared" si="12"/>
        <v>2003</v>
      </c>
      <c r="L15" s="26">
        <f t="shared" si="12"/>
        <v>2004</v>
      </c>
      <c r="M15" s="26">
        <f t="shared" si="12"/>
        <v>2005</v>
      </c>
      <c r="N15" s="26">
        <f t="shared" si="12"/>
        <v>2006</v>
      </c>
      <c r="O15" s="26">
        <f t="shared" ref="O15:T15" si="13">O$3</f>
        <v>2007</v>
      </c>
      <c r="P15" s="26">
        <f t="shared" si="13"/>
        <v>2008</v>
      </c>
      <c r="Q15" s="26">
        <f t="shared" si="13"/>
        <v>2009</v>
      </c>
      <c r="R15" s="26">
        <f t="shared" si="13"/>
        <v>2010</v>
      </c>
      <c r="S15" s="26">
        <f t="shared" si="13"/>
        <v>2011</v>
      </c>
      <c r="T15" s="26">
        <f t="shared" si="13"/>
        <v>2012</v>
      </c>
      <c r="U15" s="27">
        <f t="shared" ref="U15:AC15" si="14">T15+1</f>
        <v>2013</v>
      </c>
      <c r="V15" s="27">
        <f t="shared" si="14"/>
        <v>2014</v>
      </c>
      <c r="W15" s="27">
        <f t="shared" si="14"/>
        <v>2015</v>
      </c>
      <c r="X15" s="27">
        <f t="shared" si="14"/>
        <v>2016</v>
      </c>
      <c r="Y15" s="27">
        <f t="shared" si="14"/>
        <v>2017</v>
      </c>
      <c r="Z15" s="27">
        <f t="shared" si="14"/>
        <v>2018</v>
      </c>
      <c r="AA15" s="27">
        <f t="shared" si="14"/>
        <v>2019</v>
      </c>
      <c r="AB15" s="27">
        <f t="shared" si="14"/>
        <v>2020</v>
      </c>
      <c r="AC15" s="27">
        <f t="shared" si="14"/>
        <v>2021</v>
      </c>
      <c r="AD15" s="31"/>
    </row>
    <row r="16" spans="1:30" x14ac:dyDescent="0.2">
      <c r="A16" s="17"/>
      <c r="B16" s="44" t="s">
        <v>437</v>
      </c>
      <c r="C16" s="45"/>
      <c r="D16" s="45">
        <f t="shared" ref="D16:Y16" si="15">C19</f>
        <v>1120.4840206536296</v>
      </c>
      <c r="E16" s="45">
        <f t="shared" si="15"/>
        <v>954.38235041187545</v>
      </c>
      <c r="F16" s="45">
        <f t="shared" si="15"/>
        <v>858.64072205161062</v>
      </c>
      <c r="G16" s="45">
        <f t="shared" si="15"/>
        <v>720.65289823138141</v>
      </c>
      <c r="H16" s="45">
        <f t="shared" si="15"/>
        <v>1042.1272638758655</v>
      </c>
      <c r="I16" s="45">
        <f t="shared" si="15"/>
        <v>930.32943484275131</v>
      </c>
      <c r="J16" s="45">
        <f t="shared" si="15"/>
        <v>988.0925602462421</v>
      </c>
      <c r="K16" s="45">
        <f t="shared" si="15"/>
        <v>969.28001982926412</v>
      </c>
      <c r="L16" s="45">
        <f t="shared" si="15"/>
        <v>940.07462986901692</v>
      </c>
      <c r="M16" s="45">
        <f t="shared" si="15"/>
        <v>993.34531325567116</v>
      </c>
      <c r="N16" s="45">
        <f t="shared" si="15"/>
        <v>1263.5460469034333</v>
      </c>
      <c r="O16" s="45">
        <f t="shared" si="15"/>
        <v>1022.4647365039214</v>
      </c>
      <c r="P16" s="45">
        <f t="shared" si="15"/>
        <v>1030.6491613770693</v>
      </c>
      <c r="Q16" s="45">
        <f t="shared" si="15"/>
        <v>1013.8858001754229</v>
      </c>
      <c r="R16" s="45">
        <f t="shared" si="15"/>
        <v>908.56977742904201</v>
      </c>
      <c r="S16" s="45">
        <f t="shared" si="15"/>
        <v>985.59838842912745</v>
      </c>
      <c r="T16" s="45">
        <f t="shared" si="15"/>
        <v>1091.7387742972103</v>
      </c>
      <c r="U16" s="45">
        <f t="shared" si="15"/>
        <v>1010.1002727223572</v>
      </c>
      <c r="V16" s="45">
        <f t="shared" si="15"/>
        <v>1079.4139850996551</v>
      </c>
      <c r="W16" s="45">
        <f t="shared" si="15"/>
        <v>1114.4893566129242</v>
      </c>
      <c r="X16" s="45">
        <f t="shared" si="15"/>
        <v>1108.2079361239091</v>
      </c>
      <c r="Y16" s="45">
        <f t="shared" si="15"/>
        <v>1024.4066869273936</v>
      </c>
      <c r="Z16" s="45">
        <f>Y19</f>
        <v>1034.6640095201678</v>
      </c>
      <c r="AA16" s="45">
        <f>Z19</f>
        <v>1013.0552692859391</v>
      </c>
      <c r="AB16" s="45">
        <f>AA19</f>
        <v>1030.0349962149578</v>
      </c>
      <c r="AC16" s="45">
        <f>AB19</f>
        <v>1047.3667381988196</v>
      </c>
      <c r="AD16" s="45"/>
    </row>
    <row r="17" spans="1:30" x14ac:dyDescent="0.2">
      <c r="A17" s="46"/>
      <c r="B17" s="47" t="s">
        <v>438</v>
      </c>
      <c r="C17" s="45"/>
      <c r="D17" s="45">
        <f t="shared" ref="D17:W17" si="16">D132</f>
        <v>-41.223053751897353</v>
      </c>
      <c r="E17" s="45">
        <f t="shared" si="16"/>
        <v>19.024958581085116</v>
      </c>
      <c r="F17" s="45">
        <f t="shared" si="16"/>
        <v>-36.24902192777504</v>
      </c>
      <c r="G17" s="45">
        <f t="shared" si="16"/>
        <v>433.41473954716514</v>
      </c>
      <c r="H17" s="45">
        <f t="shared" si="16"/>
        <v>-8.9064740101290347</v>
      </c>
      <c r="I17" s="45">
        <f t="shared" si="16"/>
        <v>160.82976568230535</v>
      </c>
      <c r="J17" s="45">
        <f t="shared" si="16"/>
        <v>81.153531690627688</v>
      </c>
      <c r="K17" s="45">
        <f t="shared" si="16"/>
        <v>67.815939387392348</v>
      </c>
      <c r="L17" s="45">
        <f t="shared" si="16"/>
        <v>151.23875931168732</v>
      </c>
      <c r="M17" s="45">
        <f t="shared" si="16"/>
        <v>381.86796201470236</v>
      </c>
      <c r="N17" s="45">
        <f t="shared" si="16"/>
        <v>-142.71802343098665</v>
      </c>
      <c r="O17" s="45">
        <f t="shared" si="16"/>
        <v>108.4607830748225</v>
      </c>
      <c r="P17" s="45">
        <f t="shared" si="16"/>
        <v>84.413553023700885</v>
      </c>
      <c r="Q17" s="45">
        <f t="shared" si="16"/>
        <v>-8.328098526432747</v>
      </c>
      <c r="R17" s="45">
        <f t="shared" si="16"/>
        <v>181.31599956350632</v>
      </c>
      <c r="S17" s="45">
        <f t="shared" si="16"/>
        <v>218.8809739816501</v>
      </c>
      <c r="T17" s="45">
        <f>T132</f>
        <v>24.203166561777898</v>
      </c>
      <c r="U17" s="45">
        <f t="shared" si="16"/>
        <v>167.52549268035406</v>
      </c>
      <c r="V17" s="45">
        <f t="shared" si="16"/>
        <v>141.61759880484587</v>
      </c>
      <c r="W17" s="45">
        <f t="shared" si="16"/>
        <v>106.52710722772144</v>
      </c>
      <c r="X17" s="45">
        <f t="shared" ref="X17:AC17" si="17">X132</f>
        <v>24.16228922600223</v>
      </c>
      <c r="Y17" s="45">
        <f t="shared" si="17"/>
        <v>124.09952175212257</v>
      </c>
      <c r="Z17" s="45">
        <f t="shared" si="17"/>
        <v>90.241829998431911</v>
      </c>
      <c r="AA17" s="45">
        <f t="shared" si="17"/>
        <v>131.24207635938237</v>
      </c>
      <c r="AB17" s="45">
        <f t="shared" si="17"/>
        <v>131.61609235515311</v>
      </c>
      <c r="AC17" s="45">
        <f t="shared" si="17"/>
        <v>131.95180362409181</v>
      </c>
      <c r="AD17" s="45"/>
    </row>
    <row r="18" spans="1:30" x14ac:dyDescent="0.2">
      <c r="A18" s="17"/>
      <c r="B18" s="48" t="s">
        <v>439</v>
      </c>
      <c r="C18" s="49">
        <f t="shared" ref="C18:W18" si="18">-C171</f>
        <v>-140.0605025817037</v>
      </c>
      <c r="D18" s="49">
        <f t="shared" si="18"/>
        <v>-124.87861648985678</v>
      </c>
      <c r="E18" s="49">
        <f t="shared" si="18"/>
        <v>-114.76658694134991</v>
      </c>
      <c r="F18" s="49">
        <f t="shared" si="18"/>
        <v>-101.73880189245419</v>
      </c>
      <c r="G18" s="49">
        <f t="shared" si="18"/>
        <v>-111.94037390268106</v>
      </c>
      <c r="H18" s="49">
        <f t="shared" si="18"/>
        <v>-102.89135502298527</v>
      </c>
      <c r="I18" s="49">
        <f t="shared" si="18"/>
        <v>-103.0666402788145</v>
      </c>
      <c r="J18" s="49">
        <f t="shared" si="18"/>
        <v>-99.966072107605612</v>
      </c>
      <c r="K18" s="49">
        <f t="shared" si="18"/>
        <v>-97.021329347639465</v>
      </c>
      <c r="L18" s="49">
        <f t="shared" si="18"/>
        <v>-97.968075925033091</v>
      </c>
      <c r="M18" s="49">
        <f t="shared" si="18"/>
        <v>-111.66722836694024</v>
      </c>
      <c r="N18" s="49">
        <f t="shared" si="18"/>
        <v>-98.36328696852523</v>
      </c>
      <c r="O18" s="49">
        <f t="shared" si="18"/>
        <v>-100.27635820167464</v>
      </c>
      <c r="P18" s="49">
        <f t="shared" si="18"/>
        <v>-101.17691422534723</v>
      </c>
      <c r="Q18" s="49">
        <f t="shared" si="18"/>
        <v>-96.987924219948084</v>
      </c>
      <c r="R18" s="49">
        <f t="shared" si="18"/>
        <v>-104.28738856342076</v>
      </c>
      <c r="S18" s="49">
        <f t="shared" si="18"/>
        <v>-112.74058811356737</v>
      </c>
      <c r="T18" s="49">
        <f>-T171</f>
        <v>-105.84166813663097</v>
      </c>
      <c r="U18" s="49">
        <f t="shared" si="18"/>
        <v>-98.211780303056187</v>
      </c>
      <c r="V18" s="49">
        <f t="shared" si="18"/>
        <v>-106.54222729157654</v>
      </c>
      <c r="W18" s="49">
        <f t="shared" si="18"/>
        <v>-112.80852771673662</v>
      </c>
      <c r="X18" s="49">
        <f t="shared" ref="X18:AC18" si="19">-X171</f>
        <v>-107.96353842251784</v>
      </c>
      <c r="Y18" s="49">
        <f t="shared" si="19"/>
        <v>-113.84219915934845</v>
      </c>
      <c r="Z18" s="49">
        <f t="shared" si="19"/>
        <v>-111.85057023266077</v>
      </c>
      <c r="AA18" s="49">
        <f t="shared" si="19"/>
        <v>-114.26234943036374</v>
      </c>
      <c r="AB18" s="49">
        <f t="shared" si="19"/>
        <v>-114.28435037129142</v>
      </c>
      <c r="AC18" s="49">
        <f t="shared" si="19"/>
        <v>-86.561939829461835</v>
      </c>
      <c r="AD18" s="1497"/>
    </row>
    <row r="19" spans="1:30" x14ac:dyDescent="0.2">
      <c r="A19" s="17"/>
      <c r="B19" s="50" t="s">
        <v>440</v>
      </c>
      <c r="C19" s="51">
        <f>C27*C20</f>
        <v>1120.4840206536296</v>
      </c>
      <c r="D19" s="51">
        <f t="shared" ref="D19:X19" si="20">SUM(D16:D18)</f>
        <v>954.38235041187545</v>
      </c>
      <c r="E19" s="51">
        <f t="shared" si="20"/>
        <v>858.64072205161062</v>
      </c>
      <c r="F19" s="51">
        <f t="shared" si="20"/>
        <v>720.65289823138141</v>
      </c>
      <c r="G19" s="51">
        <f t="shared" si="20"/>
        <v>1042.1272638758655</v>
      </c>
      <c r="H19" s="51">
        <f t="shared" si="20"/>
        <v>930.32943484275131</v>
      </c>
      <c r="I19" s="51">
        <f t="shared" si="20"/>
        <v>988.0925602462421</v>
      </c>
      <c r="J19" s="51">
        <f t="shared" si="20"/>
        <v>969.28001982926412</v>
      </c>
      <c r="K19" s="51">
        <f t="shared" si="20"/>
        <v>940.07462986901692</v>
      </c>
      <c r="L19" s="51">
        <f t="shared" si="20"/>
        <v>993.34531325567116</v>
      </c>
      <c r="M19" s="51">
        <f t="shared" si="20"/>
        <v>1263.5460469034333</v>
      </c>
      <c r="N19" s="51">
        <f t="shared" si="20"/>
        <v>1022.4647365039214</v>
      </c>
      <c r="O19" s="51">
        <f t="shared" si="20"/>
        <v>1030.6491613770693</v>
      </c>
      <c r="P19" s="51">
        <f t="shared" si="20"/>
        <v>1013.8858001754229</v>
      </c>
      <c r="Q19" s="51">
        <f t="shared" si="20"/>
        <v>908.56977742904201</v>
      </c>
      <c r="R19" s="51">
        <f t="shared" si="20"/>
        <v>985.59838842912745</v>
      </c>
      <c r="S19" s="51">
        <f t="shared" si="20"/>
        <v>1091.7387742972103</v>
      </c>
      <c r="T19" s="51">
        <f t="shared" si="20"/>
        <v>1010.1002727223572</v>
      </c>
      <c r="U19" s="51">
        <f t="shared" si="20"/>
        <v>1079.4139850996551</v>
      </c>
      <c r="V19" s="51">
        <f t="shared" si="20"/>
        <v>1114.4893566129242</v>
      </c>
      <c r="W19" s="51">
        <f t="shared" si="20"/>
        <v>1108.2079361239091</v>
      </c>
      <c r="X19" s="51">
        <f t="shared" si="20"/>
        <v>1024.4066869273936</v>
      </c>
      <c r="Y19" s="51">
        <f>SUM(Y16:Y18)</f>
        <v>1034.6640095201678</v>
      </c>
      <c r="Z19" s="51">
        <f>SUM(Z16:Z18)</f>
        <v>1013.0552692859391</v>
      </c>
      <c r="AA19" s="51">
        <f>SUM(AA16:AA18)</f>
        <v>1030.0349962149578</v>
      </c>
      <c r="AB19" s="51">
        <f>SUM(AB16:AB18)</f>
        <v>1047.3667381988196</v>
      </c>
      <c r="AC19" s="51">
        <f>SUM(AC16:AC18)</f>
        <v>1092.7566019934495</v>
      </c>
      <c r="AD19" s="51"/>
    </row>
    <row r="20" spans="1:30" x14ac:dyDescent="0.2">
      <c r="A20" s="17"/>
      <c r="B20" s="52" t="s">
        <v>441</v>
      </c>
      <c r="C20" s="53">
        <v>0.92</v>
      </c>
      <c r="D20" s="54"/>
      <c r="E20" s="54"/>
      <c r="F20" s="54"/>
      <c r="G20" s="54"/>
      <c r="H20" s="54"/>
      <c r="I20" s="54"/>
      <c r="J20" s="54"/>
      <c r="K20" s="54"/>
      <c r="L20" s="54"/>
      <c r="M20" s="55"/>
      <c r="N20" s="55"/>
      <c r="O20" s="55"/>
      <c r="P20" s="55"/>
      <c r="Q20" s="55"/>
      <c r="R20" s="55"/>
      <c r="S20" s="55"/>
      <c r="T20" s="55"/>
      <c r="U20" s="55"/>
      <c r="V20" s="55"/>
      <c r="W20" s="55"/>
      <c r="X20" s="55"/>
      <c r="Y20" s="55"/>
      <c r="Z20" s="55"/>
      <c r="AA20" s="55"/>
      <c r="AB20" s="55"/>
      <c r="AC20" s="55"/>
      <c r="AD20" s="55"/>
    </row>
    <row r="21" spans="1:30" x14ac:dyDescent="0.2">
      <c r="A21" s="17"/>
      <c r="B21" s="52"/>
      <c r="C21" s="56"/>
      <c r="D21" s="55"/>
      <c r="E21" s="55"/>
      <c r="F21" s="55"/>
      <c r="G21" s="55"/>
      <c r="H21" s="55"/>
      <c r="I21" s="55"/>
      <c r="J21" s="55"/>
      <c r="K21" s="55"/>
      <c r="L21" s="55"/>
      <c r="M21" s="55"/>
      <c r="N21" s="55"/>
      <c r="O21" s="55"/>
      <c r="P21" s="55"/>
      <c r="Q21" s="55"/>
      <c r="R21" s="55"/>
      <c r="S21" s="55"/>
      <c r="T21" s="55"/>
      <c r="U21" s="55"/>
      <c r="V21" s="55"/>
      <c r="W21" s="55"/>
      <c r="X21" s="55"/>
      <c r="Y21" s="55"/>
      <c r="Z21" s="55"/>
      <c r="AA21" s="55"/>
      <c r="AB21" s="55"/>
      <c r="AC21" s="55"/>
      <c r="AD21" s="55"/>
    </row>
    <row r="22" spans="1:30" x14ac:dyDescent="0.2">
      <c r="A22" s="17"/>
      <c r="B22" s="43" t="s">
        <v>442</v>
      </c>
      <c r="C22" s="26">
        <v>1995</v>
      </c>
      <c r="D22" s="26">
        <f t="shared" ref="D22:N22" si="21">C22+1</f>
        <v>1996</v>
      </c>
      <c r="E22" s="26">
        <f t="shared" si="21"/>
        <v>1997</v>
      </c>
      <c r="F22" s="26">
        <f t="shared" si="21"/>
        <v>1998</v>
      </c>
      <c r="G22" s="26">
        <f t="shared" si="21"/>
        <v>1999</v>
      </c>
      <c r="H22" s="26">
        <f t="shared" si="21"/>
        <v>2000</v>
      </c>
      <c r="I22" s="26">
        <f t="shared" si="21"/>
        <v>2001</v>
      </c>
      <c r="J22" s="26">
        <f t="shared" si="21"/>
        <v>2002</v>
      </c>
      <c r="K22" s="26">
        <f t="shared" si="21"/>
        <v>2003</v>
      </c>
      <c r="L22" s="26">
        <f t="shared" si="21"/>
        <v>2004</v>
      </c>
      <c r="M22" s="26">
        <f t="shared" si="21"/>
        <v>2005</v>
      </c>
      <c r="N22" s="26">
        <f t="shared" si="21"/>
        <v>2006</v>
      </c>
      <c r="O22" s="26">
        <f t="shared" ref="O22:T22" si="22">O$3</f>
        <v>2007</v>
      </c>
      <c r="P22" s="26">
        <f t="shared" si="22"/>
        <v>2008</v>
      </c>
      <c r="Q22" s="26">
        <f t="shared" si="22"/>
        <v>2009</v>
      </c>
      <c r="R22" s="26">
        <f t="shared" si="22"/>
        <v>2010</v>
      </c>
      <c r="S22" s="26">
        <f t="shared" si="22"/>
        <v>2011</v>
      </c>
      <c r="T22" s="26">
        <f t="shared" si="22"/>
        <v>2012</v>
      </c>
      <c r="U22" s="27">
        <f t="shared" ref="U22:AC22" si="23">T22+1</f>
        <v>2013</v>
      </c>
      <c r="V22" s="27">
        <f t="shared" si="23"/>
        <v>2014</v>
      </c>
      <c r="W22" s="27">
        <f t="shared" si="23"/>
        <v>2015</v>
      </c>
      <c r="X22" s="27">
        <f t="shared" si="23"/>
        <v>2016</v>
      </c>
      <c r="Y22" s="27">
        <f t="shared" si="23"/>
        <v>2017</v>
      </c>
      <c r="Z22" s="27">
        <f t="shared" si="23"/>
        <v>2018</v>
      </c>
      <c r="AA22" s="27">
        <f t="shared" si="23"/>
        <v>2019</v>
      </c>
      <c r="AB22" s="27">
        <f t="shared" si="23"/>
        <v>2020</v>
      </c>
      <c r="AC22" s="27">
        <f t="shared" si="23"/>
        <v>2021</v>
      </c>
      <c r="AD22" s="31"/>
    </row>
    <row r="23" spans="1:30" x14ac:dyDescent="0.2">
      <c r="A23" s="17"/>
      <c r="B23" s="57" t="s">
        <v>443</v>
      </c>
      <c r="C23" s="58">
        <f>C29-C25-C24</f>
        <v>47.703895277485543</v>
      </c>
      <c r="D23" s="58">
        <f t="shared" ref="D23:Y23" si="24">C27</f>
        <v>1217.9174137539451</v>
      </c>
      <c r="E23" s="58">
        <f t="shared" si="24"/>
        <v>1119.5195608865772</v>
      </c>
      <c r="F23" s="58">
        <f t="shared" si="24"/>
        <v>1080.5728163529861</v>
      </c>
      <c r="G23" s="58">
        <f t="shared" si="24"/>
        <v>983.65315603881061</v>
      </c>
      <c r="H23" s="58">
        <f t="shared" si="24"/>
        <v>1383.8744130555115</v>
      </c>
      <c r="I23" s="58">
        <f t="shared" si="24"/>
        <v>1321.5392667077085</v>
      </c>
      <c r="J23" s="58">
        <f t="shared" si="24"/>
        <v>1435.2989787428596</v>
      </c>
      <c r="K23" s="58">
        <f t="shared" si="24"/>
        <v>1463.5649215108051</v>
      </c>
      <c r="L23" s="58">
        <f t="shared" si="24"/>
        <v>1473.9094372965194</v>
      </c>
      <c r="M23" s="58">
        <f t="shared" si="24"/>
        <v>1612.3074810150276</v>
      </c>
      <c r="N23" s="58">
        <f t="shared" si="24"/>
        <v>1948.426477880269</v>
      </c>
      <c r="O23" s="58">
        <f t="shared" si="24"/>
        <v>1715.8829775207232</v>
      </c>
      <c r="P23" s="58">
        <f t="shared" si="24"/>
        <v>1735.4513818507689</v>
      </c>
      <c r="Q23" s="58">
        <f t="shared" si="24"/>
        <v>1720.9441876182325</v>
      </c>
      <c r="R23" s="58">
        <f t="shared" si="24"/>
        <v>1606.5335130348194</v>
      </c>
      <c r="S23" s="58">
        <f t="shared" si="24"/>
        <v>1669.5287402256465</v>
      </c>
      <c r="T23" s="58">
        <f t="shared" si="24"/>
        <v>1766.6249438330301</v>
      </c>
      <c r="U23" s="58">
        <f t="shared" si="24"/>
        <v>1661.0347994253498</v>
      </c>
      <c r="V23" s="58">
        <f t="shared" si="24"/>
        <v>1674.1429263978782</v>
      </c>
      <c r="W23" s="58">
        <f t="shared" si="24"/>
        <v>1661.672036206073</v>
      </c>
      <c r="X23" s="58">
        <f t="shared" si="24"/>
        <v>1617.775383226854</v>
      </c>
      <c r="Y23" s="58">
        <f t="shared" si="24"/>
        <v>1505.1227289403635</v>
      </c>
      <c r="Z23" s="58">
        <f>Y27</f>
        <v>1485.3686424034049</v>
      </c>
      <c r="AA23" s="58">
        <f>Z27</f>
        <v>1435.7431765868896</v>
      </c>
      <c r="AB23" s="58">
        <f>AA27</f>
        <v>1422.6419913585623</v>
      </c>
      <c r="AC23" s="58">
        <f>AB27</f>
        <v>1407.8336143017279</v>
      </c>
      <c r="AD23" s="58"/>
    </row>
    <row r="24" spans="1:30" x14ac:dyDescent="0.2">
      <c r="A24" s="17"/>
      <c r="B24" s="59" t="s">
        <v>444</v>
      </c>
      <c r="C24" s="58">
        <f>C27/(1+C37)*C37</f>
        <v>90.216104722514444</v>
      </c>
      <c r="D24" s="58">
        <f t="shared" ref="D24:P24" si="25">D23*C37+D38*D26</f>
        <v>93.82520088452948</v>
      </c>
      <c r="E24" s="58">
        <f t="shared" si="25"/>
        <v>91.028296885323925</v>
      </c>
      <c r="F24" s="58">
        <f t="shared" si="25"/>
        <v>83.329361613599488</v>
      </c>
      <c r="G24" s="58">
        <f t="shared" si="25"/>
        <v>108.80651746953571</v>
      </c>
      <c r="H24" s="58">
        <f t="shared" si="25"/>
        <v>105.5713276623261</v>
      </c>
      <c r="I24" s="58">
        <f t="shared" si="25"/>
        <v>112.92994635284576</v>
      </c>
      <c r="J24" s="58">
        <f t="shared" si="25"/>
        <v>115.11241107731772</v>
      </c>
      <c r="K24" s="58">
        <f t="shared" si="25"/>
        <v>115.52857639832193</v>
      </c>
      <c r="L24" s="58">
        <f t="shared" si="25"/>
        <v>120.15928440682094</v>
      </c>
      <c r="M24" s="58">
        <f t="shared" si="25"/>
        <v>143.25103485053899</v>
      </c>
      <c r="N24" s="58">
        <f t="shared" si="25"/>
        <v>131.17452307144083</v>
      </c>
      <c r="O24" s="58">
        <f t="shared" si="25"/>
        <v>132.10762125522325</v>
      </c>
      <c r="P24" s="58">
        <f t="shared" si="25"/>
        <v>131.07925274376265</v>
      </c>
      <c r="Q24" s="58">
        <f>Q23*$P$37</f>
        <v>123.91742394301963</v>
      </c>
      <c r="R24" s="58">
        <f>R23*$P$37</f>
        <v>115.6792276273209</v>
      </c>
      <c r="S24" s="58">
        <f>S23*$P$37</f>
        <v>120.21522962573333</v>
      </c>
      <c r="T24" s="58">
        <f>T23*$P$37</f>
        <v>127.20668903054177</v>
      </c>
      <c r="U24" s="58">
        <f t="shared" ref="U24:Z24" si="26">U23*$P$38</f>
        <v>106.91011561178993</v>
      </c>
      <c r="V24" s="58">
        <f t="shared" si="26"/>
        <v>107.753801349483</v>
      </c>
      <c r="W24" s="58">
        <f t="shared" si="26"/>
        <v>106.95113044057183</v>
      </c>
      <c r="X24" s="58">
        <f t="shared" si="26"/>
        <v>104.12578551305887</v>
      </c>
      <c r="Y24" s="58">
        <f t="shared" si="26"/>
        <v>96.875059460895272</v>
      </c>
      <c r="Z24" s="58">
        <f t="shared" si="26"/>
        <v>95.603616095468993</v>
      </c>
      <c r="AA24" s="58">
        <f>AA23*$P$38</f>
        <v>92.409544370079459</v>
      </c>
      <c r="AB24" s="58">
        <f>AB23*$P$38</f>
        <v>91.566305427766807</v>
      </c>
      <c r="AC24" s="58">
        <f>AC23*$P$38</f>
        <v>90.613185539058364</v>
      </c>
      <c r="AD24" s="58"/>
    </row>
    <row r="25" spans="1:30" x14ac:dyDescent="0.2">
      <c r="A25" s="17"/>
      <c r="B25" s="59" t="s">
        <v>445</v>
      </c>
      <c r="C25" s="58">
        <f t="shared" ref="C25:W25" si="27">-C6</f>
        <v>-137</v>
      </c>
      <c r="D25" s="58">
        <f t="shared" si="27"/>
        <v>-151</v>
      </c>
      <c r="E25" s="58">
        <f t="shared" si="27"/>
        <v>-149</v>
      </c>
      <c r="F25" s="58">
        <f t="shared" si="27"/>
        <v>-144</v>
      </c>
      <c r="G25" s="58">
        <f t="shared" si="27"/>
        <v>-142</v>
      </c>
      <c r="H25" s="58">
        <f t="shared" si="27"/>
        <v>-159</v>
      </c>
      <c r="I25" s="58">
        <f t="shared" si="27"/>
        <v>-160</v>
      </c>
      <c r="J25" s="58">
        <f t="shared" si="27"/>
        <v>-168</v>
      </c>
      <c r="K25" s="58">
        <f t="shared" si="27"/>
        <v>-173</v>
      </c>
      <c r="L25" s="58">
        <f t="shared" si="27"/>
        <v>-133</v>
      </c>
      <c r="M25" s="58">
        <f t="shared" si="27"/>
        <v>-189</v>
      </c>
      <c r="N25" s="58">
        <f t="shared" si="27"/>
        <v>-221</v>
      </c>
      <c r="O25" s="58">
        <f t="shared" si="27"/>
        <v>-221</v>
      </c>
      <c r="P25" s="58">
        <f t="shared" si="27"/>
        <v>-230</v>
      </c>
      <c r="Q25" s="58">
        <f t="shared" si="27"/>
        <v>-230</v>
      </c>
      <c r="R25" s="58">
        <f t="shared" si="27"/>
        <v>-234</v>
      </c>
      <c r="S25" s="58">
        <f t="shared" si="27"/>
        <v>-242</v>
      </c>
      <c r="T25" s="58">
        <f>-T6</f>
        <v>-257</v>
      </c>
      <c r="U25" s="58">
        <f t="shared" si="27"/>
        <v>-261.32748131961557</v>
      </c>
      <c r="V25" s="58">
        <f t="shared" si="27"/>
        <v>-261.84229034613395</v>
      </c>
      <c r="W25" s="58">
        <f t="shared" si="27"/>
        <v>-257.37489064751242</v>
      </c>
      <c r="X25" s="58">
        <f t="shared" ref="X25:AC25" si="28">-X6</f>
        <v>-240.94072902555163</v>
      </c>
      <c r="Y25" s="58">
        <f t="shared" si="28"/>
        <v>-240.72866774997658</v>
      </c>
      <c r="Z25" s="58">
        <f t="shared" si="28"/>
        <v>-235.47091191041645</v>
      </c>
      <c r="AA25" s="58">
        <f t="shared" si="28"/>
        <v>-236.75280595778898</v>
      </c>
      <c r="AB25" s="58">
        <f t="shared" si="28"/>
        <v>-237.99077483975441</v>
      </c>
      <c r="AC25" s="58">
        <f t="shared" si="28"/>
        <v>-239.18251275274508</v>
      </c>
      <c r="AD25" s="58"/>
    </row>
    <row r="26" spans="1:30" x14ac:dyDescent="0.2">
      <c r="A26" s="17"/>
      <c r="B26" s="59" t="s">
        <v>446</v>
      </c>
      <c r="C26" s="60">
        <v>0</v>
      </c>
      <c r="D26" s="60">
        <f t="shared" ref="D26:W26" si="29">D17</f>
        <v>-41.223053751897353</v>
      </c>
      <c r="E26" s="60">
        <f t="shared" si="29"/>
        <v>19.024958581085116</v>
      </c>
      <c r="F26" s="60">
        <f t="shared" si="29"/>
        <v>-36.24902192777504</v>
      </c>
      <c r="G26" s="60">
        <f t="shared" si="29"/>
        <v>433.41473954716514</v>
      </c>
      <c r="H26" s="60">
        <f t="shared" si="29"/>
        <v>-8.9064740101290347</v>
      </c>
      <c r="I26" s="60">
        <f t="shared" si="29"/>
        <v>160.82976568230535</v>
      </c>
      <c r="J26" s="60">
        <f t="shared" si="29"/>
        <v>81.153531690627688</v>
      </c>
      <c r="K26" s="60">
        <f t="shared" si="29"/>
        <v>67.815939387392348</v>
      </c>
      <c r="L26" s="60">
        <f t="shared" si="29"/>
        <v>151.23875931168732</v>
      </c>
      <c r="M26" s="60">
        <f t="shared" si="29"/>
        <v>381.86796201470236</v>
      </c>
      <c r="N26" s="60">
        <f t="shared" si="29"/>
        <v>-142.71802343098665</v>
      </c>
      <c r="O26" s="60">
        <f t="shared" si="29"/>
        <v>108.4607830748225</v>
      </c>
      <c r="P26" s="60">
        <f t="shared" si="29"/>
        <v>84.413553023700885</v>
      </c>
      <c r="Q26" s="60">
        <f t="shared" si="29"/>
        <v>-8.328098526432747</v>
      </c>
      <c r="R26" s="60">
        <f t="shared" si="29"/>
        <v>181.31599956350632</v>
      </c>
      <c r="S26" s="60">
        <f t="shared" si="29"/>
        <v>218.8809739816501</v>
      </c>
      <c r="T26" s="60">
        <f>T17</f>
        <v>24.203166561777898</v>
      </c>
      <c r="U26" s="60">
        <f t="shared" si="29"/>
        <v>167.52549268035406</v>
      </c>
      <c r="V26" s="60">
        <f t="shared" si="29"/>
        <v>141.61759880484587</v>
      </c>
      <c r="W26" s="60">
        <f t="shared" si="29"/>
        <v>106.52710722772144</v>
      </c>
      <c r="X26" s="60">
        <f t="shared" ref="X26:AC26" si="30">X17</f>
        <v>24.16228922600223</v>
      </c>
      <c r="Y26" s="60">
        <f t="shared" si="30"/>
        <v>124.09952175212257</v>
      </c>
      <c r="Z26" s="60">
        <f t="shared" si="30"/>
        <v>90.241829998431911</v>
      </c>
      <c r="AA26" s="60">
        <f t="shared" si="30"/>
        <v>131.24207635938237</v>
      </c>
      <c r="AB26" s="60">
        <f t="shared" si="30"/>
        <v>131.61609235515311</v>
      </c>
      <c r="AC26" s="60">
        <f t="shared" si="30"/>
        <v>131.95180362409181</v>
      </c>
      <c r="AD26" s="1498"/>
    </row>
    <row r="27" spans="1:30" x14ac:dyDescent="0.2">
      <c r="A27" s="17"/>
      <c r="B27" s="57" t="s">
        <v>447</v>
      </c>
      <c r="C27" s="61">
        <f>NPV($C$37,C67:C96)</f>
        <v>1217.9174137539451</v>
      </c>
      <c r="D27" s="61">
        <f t="shared" ref="D27:X27" si="31">SUM(D23:D26)</f>
        <v>1119.5195608865772</v>
      </c>
      <c r="E27" s="61">
        <f t="shared" si="31"/>
        <v>1080.5728163529861</v>
      </c>
      <c r="F27" s="61">
        <f t="shared" si="31"/>
        <v>983.65315603881061</v>
      </c>
      <c r="G27" s="61">
        <f t="shared" si="31"/>
        <v>1383.8744130555115</v>
      </c>
      <c r="H27" s="61">
        <f t="shared" si="31"/>
        <v>1321.5392667077085</v>
      </c>
      <c r="I27" s="61">
        <f t="shared" si="31"/>
        <v>1435.2989787428596</v>
      </c>
      <c r="J27" s="61">
        <f t="shared" si="31"/>
        <v>1463.5649215108051</v>
      </c>
      <c r="K27" s="61">
        <f t="shared" si="31"/>
        <v>1473.9094372965194</v>
      </c>
      <c r="L27" s="61">
        <f t="shared" si="31"/>
        <v>1612.3074810150276</v>
      </c>
      <c r="M27" s="61">
        <f t="shared" si="31"/>
        <v>1948.426477880269</v>
      </c>
      <c r="N27" s="61">
        <f t="shared" si="31"/>
        <v>1715.8829775207232</v>
      </c>
      <c r="O27" s="61">
        <f t="shared" si="31"/>
        <v>1735.4513818507689</v>
      </c>
      <c r="P27" s="61">
        <f t="shared" si="31"/>
        <v>1720.9441876182325</v>
      </c>
      <c r="Q27" s="61">
        <f t="shared" si="31"/>
        <v>1606.5335130348194</v>
      </c>
      <c r="R27" s="61">
        <f t="shared" si="31"/>
        <v>1669.5287402256465</v>
      </c>
      <c r="S27" s="61">
        <f t="shared" si="31"/>
        <v>1766.6249438330301</v>
      </c>
      <c r="T27" s="61">
        <f t="shared" si="31"/>
        <v>1661.0347994253498</v>
      </c>
      <c r="U27" s="61">
        <f t="shared" si="31"/>
        <v>1674.1429263978782</v>
      </c>
      <c r="V27" s="61">
        <f t="shared" si="31"/>
        <v>1661.672036206073</v>
      </c>
      <c r="W27" s="61">
        <f t="shared" si="31"/>
        <v>1617.775383226854</v>
      </c>
      <c r="X27" s="61">
        <f t="shared" si="31"/>
        <v>1505.1227289403635</v>
      </c>
      <c r="Y27" s="61">
        <f>SUM(Y23:Y26)</f>
        <v>1485.3686424034049</v>
      </c>
      <c r="Z27" s="61">
        <f>SUM(Z23:Z26)</f>
        <v>1435.7431765868896</v>
      </c>
      <c r="AA27" s="61">
        <f>SUM(AA23:AA26)</f>
        <v>1422.6419913585623</v>
      </c>
      <c r="AB27" s="61">
        <f>SUM(AB23:AB26)</f>
        <v>1407.8336143017279</v>
      </c>
      <c r="AC27" s="61">
        <f>SUM(AC23:AC26)</f>
        <v>1391.2160907121331</v>
      </c>
      <c r="AD27" s="61"/>
    </row>
    <row r="28" spans="1:30" x14ac:dyDescent="0.2">
      <c r="A28" s="17"/>
      <c r="B28" s="57"/>
      <c r="C28" s="62"/>
      <c r="D28" s="62"/>
      <c r="E28" s="62"/>
      <c r="F28" s="62"/>
      <c r="G28" s="62"/>
      <c r="H28" s="62"/>
      <c r="I28" s="62"/>
      <c r="J28" s="62"/>
      <c r="K28" s="62"/>
      <c r="L28" s="62"/>
      <c r="M28" s="62"/>
      <c r="N28" s="62"/>
      <c r="O28" s="62"/>
      <c r="P28" s="62"/>
      <c r="Q28" s="62"/>
      <c r="R28" s="62"/>
      <c r="S28" s="62"/>
      <c r="T28" s="62"/>
      <c r="U28" s="62"/>
      <c r="V28" s="62"/>
      <c r="W28" s="62"/>
      <c r="X28" s="62"/>
      <c r="Y28" s="62"/>
      <c r="Z28" s="62"/>
      <c r="AA28" s="62"/>
      <c r="AB28" s="62"/>
      <c r="AC28" s="62"/>
      <c r="AD28" s="62"/>
    </row>
    <row r="29" spans="1:30" x14ac:dyDescent="0.2">
      <c r="A29" s="17"/>
      <c r="B29" s="63" t="s">
        <v>448</v>
      </c>
      <c r="C29" s="64">
        <f t="shared" ref="C29:W29" si="32">C19/C27</f>
        <v>0.92000000000000015</v>
      </c>
      <c r="D29" s="64">
        <f t="shared" si="32"/>
        <v>0.85249278686660446</v>
      </c>
      <c r="E29" s="64">
        <f t="shared" si="32"/>
        <v>0.79461625265531588</v>
      </c>
      <c r="F29" s="64">
        <f t="shared" si="32"/>
        <v>0.73262907134204081</v>
      </c>
      <c r="G29" s="64">
        <f t="shared" si="32"/>
        <v>0.75305046039178603</v>
      </c>
      <c r="H29" s="64">
        <f t="shared" si="32"/>
        <v>0.70397411433747203</v>
      </c>
      <c r="I29" s="64">
        <f t="shared" si="32"/>
        <v>0.68842281286348173</v>
      </c>
      <c r="J29" s="64">
        <f t="shared" si="32"/>
        <v>0.66227333381883613</v>
      </c>
      <c r="K29" s="64">
        <f t="shared" si="32"/>
        <v>0.63781030644143555</v>
      </c>
      <c r="L29" s="64">
        <f t="shared" si="32"/>
        <v>0.61610165861806399</v>
      </c>
      <c r="M29" s="64">
        <f t="shared" si="32"/>
        <v>0.64849562518677617</v>
      </c>
      <c r="N29" s="64">
        <f t="shared" si="32"/>
        <v>0.59588255720170336</v>
      </c>
      <c r="O29" s="64">
        <f t="shared" si="32"/>
        <v>0.5938795936063247</v>
      </c>
      <c r="P29" s="64">
        <f t="shared" si="32"/>
        <v>0.58914507946863137</v>
      </c>
      <c r="Q29" s="64">
        <f t="shared" si="32"/>
        <v>0.56554673155414592</v>
      </c>
      <c r="R29" s="64">
        <f t="shared" si="32"/>
        <v>0.59034526611139271</v>
      </c>
      <c r="S29" s="64">
        <f t="shared" si="32"/>
        <v>0.61797993858757283</v>
      </c>
      <c r="T29" s="64">
        <f>T19/T27</f>
        <v>0.60811505759651197</v>
      </c>
      <c r="U29" s="64">
        <f t="shared" si="32"/>
        <v>0.64475617229536386</v>
      </c>
      <c r="V29" s="64">
        <f t="shared" si="32"/>
        <v>0.6707035638377381</v>
      </c>
      <c r="W29" s="64">
        <f t="shared" si="32"/>
        <v>0.68501965576546897</v>
      </c>
      <c r="X29" s="64">
        <f t="shared" ref="X29:AC29" si="33">X19/X27</f>
        <v>0.68061339266904597</v>
      </c>
      <c r="Y29" s="64">
        <f t="shared" si="33"/>
        <v>0.69657052127209773</v>
      </c>
      <c r="Z29" s="64">
        <f t="shared" si="33"/>
        <v>0.70559643660937854</v>
      </c>
      <c r="AA29" s="64">
        <f t="shared" si="33"/>
        <v>0.72402965923374607</v>
      </c>
      <c r="AB29" s="64">
        <f t="shared" si="33"/>
        <v>0.74395633657199145</v>
      </c>
      <c r="AC29" s="64">
        <f t="shared" si="33"/>
        <v>0.78546863372899267</v>
      </c>
      <c r="AD29" s="64"/>
    </row>
    <row r="30" spans="1:30" x14ac:dyDescent="0.2">
      <c r="A30" s="17"/>
      <c r="B30" s="65"/>
      <c r="C30" s="55"/>
      <c r="D30" s="55"/>
      <c r="E30" s="55"/>
      <c r="F30" s="55"/>
      <c r="G30" s="55"/>
      <c r="H30" s="55"/>
      <c r="I30" s="55"/>
      <c r="J30" s="55"/>
      <c r="K30" s="55"/>
      <c r="L30" s="55"/>
      <c r="M30" s="55"/>
      <c r="N30" s="55"/>
      <c r="O30" s="55"/>
      <c r="P30" s="55"/>
      <c r="Q30" s="55"/>
      <c r="R30" s="55"/>
      <c r="S30" s="55"/>
      <c r="T30" s="55"/>
      <c r="U30" s="55"/>
      <c r="V30" s="55"/>
      <c r="W30" s="55"/>
      <c r="X30" s="55"/>
      <c r="Y30" s="55"/>
      <c r="Z30" s="55"/>
      <c r="AA30" s="55"/>
      <c r="AB30" s="55"/>
      <c r="AC30" s="55"/>
      <c r="AD30" s="55"/>
    </row>
    <row r="31" spans="1:30" x14ac:dyDescent="0.2">
      <c r="A31" s="17"/>
      <c r="B31" s="66" t="s">
        <v>449</v>
      </c>
      <c r="C31" s="67">
        <f t="shared" ref="C31:W31" si="34">(C19-C27)*(1-$C$51)</f>
        <v>-63.331705515205059</v>
      </c>
      <c r="D31" s="67">
        <f t="shared" si="34"/>
        <v>-107.33918680855615</v>
      </c>
      <c r="E31" s="67">
        <f t="shared" si="34"/>
        <v>-144.25586129589408</v>
      </c>
      <c r="F31" s="67">
        <f t="shared" si="34"/>
        <v>-170.95016757482898</v>
      </c>
      <c r="G31" s="67">
        <f t="shared" si="34"/>
        <v>-222.13564696676985</v>
      </c>
      <c r="H31" s="67">
        <f t="shared" si="34"/>
        <v>-254.28639071222219</v>
      </c>
      <c r="I31" s="67">
        <f t="shared" si="34"/>
        <v>-290.68417202280142</v>
      </c>
      <c r="J31" s="67">
        <f t="shared" si="34"/>
        <v>-321.28518609300164</v>
      </c>
      <c r="K31" s="67">
        <f t="shared" si="34"/>
        <v>-346.99262482787663</v>
      </c>
      <c r="L31" s="67">
        <f t="shared" si="34"/>
        <v>-402.32540904358171</v>
      </c>
      <c r="M31" s="67">
        <f t="shared" si="34"/>
        <v>-445.17228013494321</v>
      </c>
      <c r="N31" s="67">
        <f t="shared" si="34"/>
        <v>-450.72185666092122</v>
      </c>
      <c r="O31" s="67">
        <f t="shared" si="34"/>
        <v>-458.12144330790477</v>
      </c>
      <c r="P31" s="67">
        <f t="shared" si="34"/>
        <v>-459.58795183782627</v>
      </c>
      <c r="Q31" s="67">
        <f t="shared" si="34"/>
        <v>-453.67642814375534</v>
      </c>
      <c r="R31" s="67">
        <f t="shared" si="34"/>
        <v>-444.55472866773738</v>
      </c>
      <c r="S31" s="67">
        <f t="shared" si="34"/>
        <v>-438.67601019828288</v>
      </c>
      <c r="T31" s="67">
        <f>(T19-T27)*(1-$C$51)</f>
        <v>-423.10744235694517</v>
      </c>
      <c r="U31" s="67">
        <f t="shared" si="34"/>
        <v>-386.57381184384508</v>
      </c>
      <c r="V31" s="67">
        <f t="shared" si="34"/>
        <v>-355.66874173554675</v>
      </c>
      <c r="W31" s="67">
        <f t="shared" si="34"/>
        <v>-331.21884061691424</v>
      </c>
      <c r="X31" s="67">
        <f t="shared" ref="X31:AC31" si="35">(X19-X27)*(1-$C$51)</f>
        <v>-312.46542730843044</v>
      </c>
      <c r="Y31" s="67">
        <f t="shared" si="35"/>
        <v>-292.9580113741041</v>
      </c>
      <c r="Z31" s="67">
        <f t="shared" si="35"/>
        <v>-274.74713974561786</v>
      </c>
      <c r="AA31" s="67">
        <f t="shared" si="35"/>
        <v>-255.19454684334295</v>
      </c>
      <c r="AB31" s="67">
        <f t="shared" si="35"/>
        <v>-234.30346946689045</v>
      </c>
      <c r="AC31" s="67">
        <f t="shared" si="35"/>
        <v>-193.99866766714433</v>
      </c>
      <c r="AD31" s="67"/>
    </row>
    <row r="32" spans="1:30" x14ac:dyDescent="0.2">
      <c r="A32" s="17"/>
      <c r="B32" s="68" t="s">
        <v>450</v>
      </c>
      <c r="C32" s="69"/>
      <c r="D32" s="67">
        <f t="shared" ref="D32:Y32" si="36">D31-C31</f>
        <v>-44.007481293351091</v>
      </c>
      <c r="E32" s="67">
        <f t="shared" si="36"/>
        <v>-36.916674487337929</v>
      </c>
      <c r="F32" s="67">
        <f t="shared" si="36"/>
        <v>-26.694306278934903</v>
      </c>
      <c r="G32" s="67">
        <f t="shared" si="36"/>
        <v>-51.185479391940873</v>
      </c>
      <c r="H32" s="67">
        <f t="shared" si="36"/>
        <v>-32.150743745452331</v>
      </c>
      <c r="I32" s="67">
        <f t="shared" si="36"/>
        <v>-36.397781310579234</v>
      </c>
      <c r="J32" s="67">
        <f t="shared" si="36"/>
        <v>-30.601014070200222</v>
      </c>
      <c r="K32" s="67">
        <f t="shared" si="36"/>
        <v>-25.707438734874984</v>
      </c>
      <c r="L32" s="67">
        <f t="shared" si="36"/>
        <v>-55.33278421570509</v>
      </c>
      <c r="M32" s="67">
        <f t="shared" si="36"/>
        <v>-42.846871091361493</v>
      </c>
      <c r="N32" s="67">
        <f t="shared" si="36"/>
        <v>-5.5495765259780114</v>
      </c>
      <c r="O32" s="67">
        <f t="shared" si="36"/>
        <v>-7.3995866469835505</v>
      </c>
      <c r="P32" s="67">
        <f t="shared" si="36"/>
        <v>-1.4665085299214979</v>
      </c>
      <c r="Q32" s="67">
        <f t="shared" si="36"/>
        <v>5.9115236940709224</v>
      </c>
      <c r="R32" s="67">
        <f t="shared" si="36"/>
        <v>9.1216994760179659</v>
      </c>
      <c r="S32" s="67">
        <f t="shared" si="36"/>
        <v>5.8787184694544976</v>
      </c>
      <c r="T32" s="67">
        <f t="shared" si="36"/>
        <v>15.56856784133771</v>
      </c>
      <c r="U32" s="67">
        <f t="shared" si="36"/>
        <v>36.533630513100093</v>
      </c>
      <c r="V32" s="67">
        <f t="shared" si="36"/>
        <v>30.905070108298332</v>
      </c>
      <c r="W32" s="67">
        <f t="shared" si="36"/>
        <v>24.449901118632511</v>
      </c>
      <c r="X32" s="67">
        <f t="shared" si="36"/>
        <v>18.7534133084838</v>
      </c>
      <c r="Y32" s="67">
        <f t="shared" si="36"/>
        <v>19.507415934326332</v>
      </c>
      <c r="Z32" s="67">
        <f>Z31-Y31</f>
        <v>18.210871628486245</v>
      </c>
      <c r="AA32" s="67">
        <f>AA31-Z31</f>
        <v>19.55259290227491</v>
      </c>
      <c r="AB32" s="67">
        <f>AB31-AA31</f>
        <v>20.8910773764525</v>
      </c>
      <c r="AC32" s="67">
        <f>AC31-AB31</f>
        <v>40.304801799746116</v>
      </c>
      <c r="AD32" s="67"/>
    </row>
    <row r="33" spans="1:30" x14ac:dyDescent="0.2">
      <c r="A33" s="17"/>
      <c r="B33" s="65"/>
      <c r="C33" s="55"/>
      <c r="D33" s="55"/>
      <c r="E33" s="55"/>
      <c r="F33" s="55"/>
      <c r="G33" s="55"/>
      <c r="H33" s="55"/>
      <c r="I33" s="55"/>
      <c r="J33" s="55"/>
      <c r="K33" s="55"/>
      <c r="L33" s="55"/>
      <c r="M33" s="55"/>
      <c r="N33" s="55"/>
      <c r="O33" s="55"/>
      <c r="P33" s="55"/>
      <c r="Q33" s="55"/>
      <c r="R33" s="55"/>
      <c r="S33" s="55"/>
      <c r="T33" s="55"/>
      <c r="U33" s="55"/>
      <c r="V33" s="55"/>
      <c r="W33" s="55"/>
      <c r="X33" s="55"/>
      <c r="Y33" s="55"/>
      <c r="Z33" s="55"/>
      <c r="AA33" s="55"/>
      <c r="AB33" s="55"/>
      <c r="AC33" s="55"/>
      <c r="AD33" s="55"/>
    </row>
    <row r="34" spans="1:30" x14ac:dyDescent="0.2">
      <c r="A34" s="17"/>
      <c r="B34" s="65"/>
      <c r="C34" s="55"/>
      <c r="D34" s="55"/>
      <c r="E34" s="55"/>
      <c r="F34" s="55"/>
      <c r="G34" s="55"/>
      <c r="H34" s="55"/>
      <c r="I34" s="55"/>
      <c r="J34" s="55"/>
      <c r="K34" s="55"/>
      <c r="L34" s="55"/>
      <c r="M34" s="55"/>
      <c r="N34" s="55"/>
      <c r="O34" s="55"/>
      <c r="P34" s="55"/>
      <c r="Q34" s="55"/>
      <c r="R34" s="55"/>
      <c r="S34" s="55"/>
      <c r="T34" s="55"/>
      <c r="U34" s="55"/>
      <c r="V34" s="55"/>
      <c r="W34" s="55"/>
      <c r="X34" s="55"/>
      <c r="Y34" s="55"/>
      <c r="Z34" s="55"/>
      <c r="AA34" s="55"/>
      <c r="AB34" s="55"/>
      <c r="AC34" s="55"/>
      <c r="AD34" s="55"/>
    </row>
    <row r="35" spans="1:30" x14ac:dyDescent="0.2">
      <c r="A35" s="17"/>
      <c r="B35" s="70" t="s">
        <v>451</v>
      </c>
      <c r="C35" s="26">
        <v>1995</v>
      </c>
      <c r="D35" s="26">
        <f t="shared" ref="D35:N35" si="37">C35+1</f>
        <v>1996</v>
      </c>
      <c r="E35" s="26">
        <f t="shared" si="37"/>
        <v>1997</v>
      </c>
      <c r="F35" s="26">
        <f t="shared" si="37"/>
        <v>1998</v>
      </c>
      <c r="G35" s="26">
        <f t="shared" si="37"/>
        <v>1999</v>
      </c>
      <c r="H35" s="26">
        <f t="shared" si="37"/>
        <v>2000</v>
      </c>
      <c r="I35" s="26">
        <f t="shared" si="37"/>
        <v>2001</v>
      </c>
      <c r="J35" s="26">
        <f t="shared" si="37"/>
        <v>2002</v>
      </c>
      <c r="K35" s="26">
        <f t="shared" si="37"/>
        <v>2003</v>
      </c>
      <c r="L35" s="26">
        <f t="shared" si="37"/>
        <v>2004</v>
      </c>
      <c r="M35" s="26">
        <f t="shared" si="37"/>
        <v>2005</v>
      </c>
      <c r="N35" s="26">
        <f t="shared" si="37"/>
        <v>2006</v>
      </c>
      <c r="O35" s="26">
        <f>O$3</f>
        <v>2007</v>
      </c>
      <c r="P35" s="26">
        <f>P$3</f>
        <v>2008</v>
      </c>
      <c r="Q35" s="26">
        <f>Q$3</f>
        <v>2009</v>
      </c>
      <c r="R35" s="26">
        <f>R$3</f>
        <v>2010</v>
      </c>
      <c r="S35" s="26">
        <f>S$3</f>
        <v>2011</v>
      </c>
      <c r="T35" s="27">
        <f t="shared" ref="T35:Y35" si="38">S35+1</f>
        <v>2012</v>
      </c>
      <c r="U35" s="27">
        <f t="shared" si="38"/>
        <v>2013</v>
      </c>
      <c r="V35" s="27">
        <f t="shared" si="38"/>
        <v>2014</v>
      </c>
      <c r="W35" s="27">
        <f t="shared" si="38"/>
        <v>2015</v>
      </c>
      <c r="X35" s="27">
        <f t="shared" si="38"/>
        <v>2016</v>
      </c>
      <c r="Y35" s="27">
        <f t="shared" si="38"/>
        <v>2017</v>
      </c>
      <c r="Z35" s="27">
        <f>Y35+1</f>
        <v>2018</v>
      </c>
      <c r="AA35" s="27">
        <f>Z35+1</f>
        <v>2019</v>
      </c>
      <c r="AB35" s="27">
        <f>AA35+1</f>
        <v>2020</v>
      </c>
      <c r="AC35" s="27">
        <f>AB35+1</f>
        <v>2021</v>
      </c>
      <c r="AD35" s="31"/>
    </row>
    <row r="36" spans="1:30" x14ac:dyDescent="0.2">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row>
    <row r="37" spans="1:30" x14ac:dyDescent="0.2">
      <c r="A37" s="17"/>
      <c r="B37" s="63" t="s">
        <v>452</v>
      </c>
      <c r="C37" s="72">
        <v>0.08</v>
      </c>
      <c r="D37" s="73">
        <f t="shared" ref="D37:W37" si="39">(C37*(D23+D24+D25)+D38*D26)/D27</f>
        <v>7.9722784731524859E-2</v>
      </c>
      <c r="E37" s="74">
        <f t="shared" si="39"/>
        <v>7.996372846859276E-2</v>
      </c>
      <c r="F37" s="74">
        <f t="shared" si="39"/>
        <v>7.9782096644395645E-2</v>
      </c>
      <c r="G37" s="74">
        <f t="shared" si="39"/>
        <v>7.6710914543130448E-2</v>
      </c>
      <c r="H37" s="74">
        <f t="shared" si="39"/>
        <v>7.678376867096233E-2</v>
      </c>
      <c r="I37" s="74">
        <f t="shared" si="39"/>
        <v>7.616234099046014E-2</v>
      </c>
      <c r="J37" s="74">
        <f t="shared" si="39"/>
        <v>7.589985716585447E-2</v>
      </c>
      <c r="K37" s="74">
        <f t="shared" si="39"/>
        <v>7.5422886062620348E-2</v>
      </c>
      <c r="L37" s="74">
        <f t="shared" si="39"/>
        <v>7.39256016492819E-2</v>
      </c>
      <c r="M37" s="74">
        <f t="shared" si="39"/>
        <v>7.178562633227982E-2</v>
      </c>
      <c r="N37" s="74">
        <f t="shared" si="39"/>
        <v>7.2689307245034501E-2</v>
      </c>
      <c r="O37" s="74">
        <f t="shared" si="39"/>
        <v>7.2399663360725869E-2</v>
      </c>
      <c r="P37" s="74">
        <f t="shared" si="39"/>
        <v>7.2005486775558916E-2</v>
      </c>
      <c r="Q37" s="74">
        <f t="shared" si="39"/>
        <v>7.2046255993978056E-2</v>
      </c>
      <c r="R37" s="74">
        <f t="shared" si="39"/>
        <v>7.1469649940241603E-2</v>
      </c>
      <c r="S37" s="74">
        <f t="shared" si="39"/>
        <v>7.0285397222770385E-2</v>
      </c>
      <c r="T37" s="74">
        <f>(S37*(T23+T24+T25)+T38*T26)/T27</f>
        <v>7.0136629376951393E-2</v>
      </c>
      <c r="U37" s="74">
        <f t="shared" si="39"/>
        <v>6.9885299611631077E-2</v>
      </c>
      <c r="V37" s="74">
        <f t="shared" si="39"/>
        <v>6.9863115326666406E-2</v>
      </c>
      <c r="W37" s="74">
        <f t="shared" si="39"/>
        <v>6.9979131727623572E-2</v>
      </c>
      <c r="X37" s="74">
        <f t="shared" ref="X37:AC37" si="40">(W37*(X23+X24+X25)+X38*X26)/X27</f>
        <v>7.0005553456868902E-2</v>
      </c>
      <c r="Y37" s="74">
        <f t="shared" si="40"/>
        <v>7.0140854913873216E-2</v>
      </c>
      <c r="Z37" s="74">
        <f t="shared" si="40"/>
        <v>7.023413898496568E-2</v>
      </c>
      <c r="AA37" s="74">
        <f t="shared" si="40"/>
        <v>7.0362449191362808E-2</v>
      </c>
      <c r="AB37" s="74">
        <f t="shared" si="40"/>
        <v>7.0480483028703092E-2</v>
      </c>
      <c r="AC37" s="74">
        <f t="shared" si="40"/>
        <v>7.0589036315032411E-2</v>
      </c>
      <c r="AD37" s="1499"/>
    </row>
    <row r="38" spans="1:30" x14ac:dyDescent="0.2">
      <c r="A38" s="17"/>
      <c r="B38" s="63" t="s">
        <v>453</v>
      </c>
      <c r="C38" s="75">
        <f>508.132/(733.115+5632.232)</f>
        <v>7.982785541778005E-2</v>
      </c>
      <c r="D38" s="76">
        <f>499/(1095+4606)</f>
        <v>8.7528503771268196E-2</v>
      </c>
      <c r="E38" s="76">
        <f>418/(556+3919)</f>
        <v>9.3407821229050281E-2</v>
      </c>
      <c r="F38" s="76">
        <f>304/(524+3057)</f>
        <v>8.4892488131806762E-2</v>
      </c>
      <c r="G38" s="76">
        <v>6.9975945768642023E-2</v>
      </c>
      <c r="H38" s="76">
        <v>6.5900846432889959E-2</v>
      </c>
      <c r="I38" s="76">
        <v>7.1237938821597208E-2</v>
      </c>
      <c r="J38" s="76">
        <v>7.1428571428571425E-2</v>
      </c>
      <c r="K38" s="76">
        <v>6.5533382606553336E-2</v>
      </c>
      <c r="L38" s="76">
        <v>5.9460821365583269E-2</v>
      </c>
      <c r="M38" s="76">
        <v>6.3006684682122033E-2</v>
      </c>
      <c r="N38" s="76">
        <v>6.0920770877944327E-2</v>
      </c>
      <c r="O38" s="76">
        <v>6.805479452054794E-2</v>
      </c>
      <c r="P38" s="76">
        <v>6.4363561587497425E-2</v>
      </c>
      <c r="Q38" s="76">
        <v>6.4140892536826657E-2</v>
      </c>
      <c r="R38" s="76">
        <v>6.6736959622898967E-2</v>
      </c>
      <c r="S38" s="76">
        <v>6.1911348218402162E-2</v>
      </c>
      <c r="T38" s="76">
        <v>6.0075635276532147E-2</v>
      </c>
      <c r="U38" s="77">
        <v>6.7625000000000005E-2</v>
      </c>
      <c r="V38" s="77">
        <v>6.9625000000000006E-2</v>
      </c>
      <c r="W38" s="77">
        <v>7.1625000000000008E-2</v>
      </c>
      <c r="X38" s="77">
        <v>7.1625000000000008E-2</v>
      </c>
      <c r="Y38" s="77">
        <v>7.1625000000000008E-2</v>
      </c>
      <c r="Z38" s="77">
        <v>7.1625000000000008E-2</v>
      </c>
      <c r="AA38" s="77">
        <v>7.1625000000000008E-2</v>
      </c>
      <c r="AB38" s="77">
        <v>7.1625000000000008E-2</v>
      </c>
      <c r="AC38" s="77">
        <v>7.1625000000000008E-2</v>
      </c>
      <c r="AD38" s="1500"/>
    </row>
    <row r="39" spans="1:30" x14ac:dyDescent="0.2">
      <c r="A39" s="17"/>
      <c r="B39" s="17"/>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row>
    <row r="40" spans="1:30" x14ac:dyDescent="0.2">
      <c r="A40" s="17"/>
      <c r="B40" s="78" t="s">
        <v>454</v>
      </c>
      <c r="C40" s="79">
        <v>207</v>
      </c>
      <c r="D40" s="79">
        <v>208</v>
      </c>
      <c r="E40" s="79">
        <v>204</v>
      </c>
      <c r="F40" s="79">
        <v>208</v>
      </c>
      <c r="G40" s="79">
        <v>206</v>
      </c>
      <c r="H40" s="79">
        <v>225</v>
      </c>
      <c r="I40" s="79">
        <v>242</v>
      </c>
      <c r="J40" s="79">
        <f>171+86</f>
        <v>257</v>
      </c>
      <c r="K40" s="79">
        <f>171+88</f>
        <v>259</v>
      </c>
      <c r="L40" s="79">
        <f>169+88</f>
        <v>257</v>
      </c>
      <c r="M40" s="79">
        <f>281+119</f>
        <v>400</v>
      </c>
      <c r="N40" s="79">
        <f>273+122</f>
        <v>395</v>
      </c>
      <c r="O40" s="79">
        <f>270+112</f>
        <v>382</v>
      </c>
      <c r="P40" s="79">
        <f>263+118</f>
        <v>381</v>
      </c>
      <c r="Q40" s="79">
        <f>264+117</f>
        <v>381</v>
      </c>
      <c r="R40" s="79">
        <f>268+115</f>
        <v>383</v>
      </c>
      <c r="S40" s="79">
        <f>266+112</f>
        <v>378</v>
      </c>
      <c r="T40" s="79">
        <f>260+110</f>
        <v>370</v>
      </c>
      <c r="U40" s="80">
        <f>sumry!FP63*U42</f>
        <v>369.56004756242567</v>
      </c>
      <c r="V40" s="80">
        <f>sumry!FQ63*V42</f>
        <v>362.08085612366233</v>
      </c>
      <c r="W40" s="80">
        <f>sumry!FR63*W42</f>
        <v>348.00237812128421</v>
      </c>
      <c r="X40" s="80">
        <f>sumry!FS63*X42</f>
        <v>321.60523186682519</v>
      </c>
      <c r="Y40" s="80">
        <f>sumry!FT63*Y42</f>
        <v>315.4458977407848</v>
      </c>
      <c r="Z40" s="80">
        <f>sumry!FU63*Z42</f>
        <v>302.24732461355529</v>
      </c>
      <c r="AA40" s="80">
        <f>sumry!FV63*AA42</f>
        <v>297.84780023781212</v>
      </c>
      <c r="AB40" s="80">
        <f>sumry!FW63*AB42</f>
        <v>293.44827586206895</v>
      </c>
      <c r="AC40" s="80">
        <f>sumry!FX63*AC42</f>
        <v>289.04875148632578</v>
      </c>
      <c r="AD40" s="80"/>
    </row>
    <row r="41" spans="1:30" x14ac:dyDescent="0.2">
      <c r="A41" s="81"/>
      <c r="B41" s="81" t="s">
        <v>455</v>
      </c>
      <c r="C41" s="82"/>
      <c r="D41" s="82">
        <f t="shared" ref="D41:Y41" si="41">D40/C40-1</f>
        <v>4.8309178743961567E-3</v>
      </c>
      <c r="E41" s="82">
        <f t="shared" si="41"/>
        <v>-1.9230769230769273E-2</v>
      </c>
      <c r="F41" s="82">
        <f t="shared" si="41"/>
        <v>1.9607843137254832E-2</v>
      </c>
      <c r="G41" s="82">
        <f t="shared" si="41"/>
        <v>-9.6153846153845812E-3</v>
      </c>
      <c r="H41" s="82">
        <f t="shared" si="41"/>
        <v>9.2233009708737823E-2</v>
      </c>
      <c r="I41" s="82">
        <f t="shared" si="41"/>
        <v>7.5555555555555598E-2</v>
      </c>
      <c r="J41" s="82">
        <f t="shared" si="41"/>
        <v>6.198347107438007E-2</v>
      </c>
      <c r="K41" s="82">
        <f t="shared" si="41"/>
        <v>7.7821011673151474E-3</v>
      </c>
      <c r="L41" s="82">
        <f t="shared" si="41"/>
        <v>-7.7220077220077066E-3</v>
      </c>
      <c r="M41" s="82">
        <f t="shared" si="41"/>
        <v>0.55642023346303504</v>
      </c>
      <c r="N41" s="82">
        <f t="shared" si="41"/>
        <v>-1.2499999999999956E-2</v>
      </c>
      <c r="O41" s="82">
        <f t="shared" si="41"/>
        <v>-3.2911392405063244E-2</v>
      </c>
      <c r="P41" s="82">
        <f t="shared" si="41"/>
        <v>-2.6178010471203939E-3</v>
      </c>
      <c r="Q41" s="82">
        <f t="shared" si="41"/>
        <v>0</v>
      </c>
      <c r="R41" s="82">
        <f t="shared" si="41"/>
        <v>5.249343832020914E-3</v>
      </c>
      <c r="S41" s="82">
        <f t="shared" si="41"/>
        <v>-1.3054830287206221E-2</v>
      </c>
      <c r="T41" s="82">
        <f t="shared" si="41"/>
        <v>-2.1164021164021163E-2</v>
      </c>
      <c r="U41" s="82">
        <f t="shared" si="41"/>
        <v>-1.1890606420927874E-3</v>
      </c>
      <c r="V41" s="82">
        <f t="shared" si="41"/>
        <v>-2.0238095238095166E-2</v>
      </c>
      <c r="W41" s="82">
        <f t="shared" si="41"/>
        <v>-3.8882138517618459E-2</v>
      </c>
      <c r="X41" s="82">
        <f t="shared" si="41"/>
        <v>-7.5853350189633462E-2</v>
      </c>
      <c r="Y41" s="82">
        <f t="shared" si="41"/>
        <v>-1.9151846785225635E-2</v>
      </c>
      <c r="Z41" s="82">
        <f>Z40/Y40-1</f>
        <v>-4.1841004184100528E-2</v>
      </c>
      <c r="AA41" s="82">
        <f>AA40/Z40-1</f>
        <v>-1.455604075691419E-2</v>
      </c>
      <c r="AB41" s="82">
        <f>AB40/AA40-1</f>
        <v>-1.4771048744460891E-2</v>
      </c>
      <c r="AC41" s="82">
        <f>AC40/AB40-1</f>
        <v>-1.4992503748125996E-2</v>
      </c>
      <c r="AD41" s="82"/>
    </row>
    <row r="42" spans="1:30" x14ac:dyDescent="0.2">
      <c r="A42" s="81"/>
      <c r="B42" s="81" t="s">
        <v>456</v>
      </c>
      <c r="C42" s="82">
        <f>C40/sumry!EX63</f>
        <v>0.50242718446601942</v>
      </c>
      <c r="D42" s="82">
        <f>D40/sumry!EY63</f>
        <v>0.5060827250608273</v>
      </c>
      <c r="E42" s="82">
        <f>E40/sumry!EZ63</f>
        <v>0.51</v>
      </c>
      <c r="F42" s="82">
        <f>F40/sumry!FA63</f>
        <v>0.51870324189526185</v>
      </c>
      <c r="G42" s="82">
        <f>G40/sumry!FB63</f>
        <v>0.51116625310173702</v>
      </c>
      <c r="H42" s="82">
        <f>H40/sumry!FC63</f>
        <v>0.51136363636363635</v>
      </c>
      <c r="I42" s="82">
        <f>I40/sumry!FD63</f>
        <v>0.52723311546840956</v>
      </c>
      <c r="J42" s="82">
        <f>J40/sumry!FE63</f>
        <v>0.56483516483516483</v>
      </c>
      <c r="K42" s="82">
        <f>K40/sumry!FF63</f>
        <v>0.56427015250544665</v>
      </c>
      <c r="L42" s="82">
        <f>L40/sumry!FG63</f>
        <v>0.55991285403050106</v>
      </c>
      <c r="M42" s="82">
        <f>M40/sumry!FH63</f>
        <v>0.46082949308755761</v>
      </c>
      <c r="N42" s="82">
        <f>N40/sumry!FI63</f>
        <v>0.46037296037296038</v>
      </c>
      <c r="O42" s="82">
        <f>O40/sumry!FJ63</f>
        <v>0.44783118405627198</v>
      </c>
      <c r="P42" s="82">
        <f>P40/sumry!FK63</f>
        <v>0.44982290436835892</v>
      </c>
      <c r="Q42" s="82">
        <f>Q40/sumry!FL63</f>
        <v>0.44823529411764707</v>
      </c>
      <c r="R42" s="82">
        <f>R40/sumry!FM63</f>
        <v>0.45058823529411762</v>
      </c>
      <c r="S42" s="82">
        <f>S40/sumry!FN63</f>
        <v>0.44893111638954869</v>
      </c>
      <c r="T42" s="82">
        <f>T40/sumry!FO63</f>
        <v>0.43995243757431629</v>
      </c>
      <c r="U42" s="83">
        <f t="shared" ref="U42:AC42" si="42">T42</f>
        <v>0.43995243757431629</v>
      </c>
      <c r="V42" s="83">
        <f t="shared" si="42"/>
        <v>0.43995243757431629</v>
      </c>
      <c r="W42" s="83">
        <f t="shared" si="42"/>
        <v>0.43995243757431629</v>
      </c>
      <c r="X42" s="83">
        <f t="shared" si="42"/>
        <v>0.43995243757431629</v>
      </c>
      <c r="Y42" s="83">
        <f t="shared" si="42"/>
        <v>0.43995243757431629</v>
      </c>
      <c r="Z42" s="83">
        <f t="shared" si="42"/>
        <v>0.43995243757431629</v>
      </c>
      <c r="AA42" s="83">
        <f t="shared" si="42"/>
        <v>0.43995243757431629</v>
      </c>
      <c r="AB42" s="83">
        <f t="shared" si="42"/>
        <v>0.43995243757431629</v>
      </c>
      <c r="AC42" s="83">
        <f t="shared" si="42"/>
        <v>0.43995243757431629</v>
      </c>
      <c r="AD42" s="83"/>
    </row>
    <row r="43" spans="1:30" x14ac:dyDescent="0.2">
      <c r="A43" s="81"/>
      <c r="B43" s="78" t="s">
        <v>457</v>
      </c>
      <c r="C43" s="84"/>
      <c r="D43" s="84">
        <f>sumry!EY64*D42*1000</f>
        <v>42014.481751824824</v>
      </c>
      <c r="E43" s="84">
        <f>sumry!EZ64*E42*1000</f>
        <v>41318.160000000003</v>
      </c>
      <c r="F43" s="84">
        <f>sumry!FA64*F42*1000</f>
        <v>42699.132169576063</v>
      </c>
      <c r="G43" s="84">
        <f>sumry!FB64*G42*1000</f>
        <v>41871.672456575689</v>
      </c>
      <c r="H43" s="84">
        <f>sumry!FC64*H42*1000</f>
        <v>42647.727272727272</v>
      </c>
      <c r="I43" s="84">
        <f>sumry!FD64*I42*1000</f>
        <v>44287.581699346403</v>
      </c>
      <c r="J43" s="84">
        <f>sumry!FE64*J42*1000</f>
        <v>47163.73626373626</v>
      </c>
      <c r="K43" s="84">
        <f>sumry!FF64*K42*1000</f>
        <v>47398.69281045752</v>
      </c>
      <c r="L43" s="84">
        <f>sumry!FG64*L42*1000</f>
        <v>46640.740740740737</v>
      </c>
      <c r="M43" s="84">
        <f>sumry!FH64*M42*1000</f>
        <v>73041.474654377875</v>
      </c>
      <c r="N43" s="84">
        <f>sumry!FI64*N42*1000</f>
        <v>72002.331002331004</v>
      </c>
      <c r="O43" s="84">
        <f>sumry!FJ64*O42*1000</f>
        <v>69396.368112543962</v>
      </c>
      <c r="P43" s="84">
        <f>sumry!FK64*P42*1000</f>
        <v>69313.661157024791</v>
      </c>
      <c r="Q43" s="84">
        <f>sumry!FL64*Q42*1000</f>
        <v>69207.529411764714</v>
      </c>
      <c r="R43" s="84">
        <f>sumry!FM64*R42*1000</f>
        <v>69470.342352941167</v>
      </c>
      <c r="S43" s="84">
        <f>sumry!FN64*S42*1000</f>
        <v>68371.311163895487</v>
      </c>
      <c r="T43" s="84">
        <f>sumry!FO64*T42*1000</f>
        <v>66238.799048751491</v>
      </c>
      <c r="U43" s="85">
        <f>sumry!FP64*U42*1000</f>
        <v>66029.381688466121</v>
      </c>
      <c r="V43" s="85">
        <f>sumry!FQ64*V42*1000</f>
        <v>64838.870392390018</v>
      </c>
      <c r="W43" s="85">
        <f>sumry!FR64*W42*1000</f>
        <v>62435.850178359091</v>
      </c>
      <c r="X43" s="85">
        <f>sumry!FS64*X42*1000</f>
        <v>57200.416171224722</v>
      </c>
      <c r="Y43" s="85">
        <f>sumry!FT64*Y42*1000</f>
        <v>56006.063544179364</v>
      </c>
      <c r="Z43" s="85">
        <f>sumry!FU64*Z42*1000</f>
        <v>53662.713605092365</v>
      </c>
      <c r="AA43" s="85">
        <f>sumry!FV64*AA42*1000</f>
        <v>52881.596958730028</v>
      </c>
      <c r="AB43" s="85">
        <f>sumry!FW64*AB42*1000</f>
        <v>52100.480312367697</v>
      </c>
      <c r="AC43" s="85">
        <f>sumry!FX64*AC42*1000</f>
        <v>51319.363666005367</v>
      </c>
      <c r="AD43" s="85"/>
    </row>
    <row r="44" spans="1:30" x14ac:dyDescent="0.2">
      <c r="A44" s="81"/>
      <c r="B44" s="81" t="s">
        <v>458</v>
      </c>
      <c r="C44" s="86"/>
      <c r="D44" s="86"/>
      <c r="E44" s="86">
        <f t="shared" ref="E44:Y44" si="43">E43/D43-1</f>
        <v>-1.6573374769631055E-2</v>
      </c>
      <c r="F44" s="86">
        <f t="shared" si="43"/>
        <v>3.342288643966862E-2</v>
      </c>
      <c r="G44" s="86">
        <f t="shared" si="43"/>
        <v>-1.9378841464837926E-2</v>
      </c>
      <c r="H44" s="86">
        <f t="shared" si="43"/>
        <v>1.8534125116602684E-2</v>
      </c>
      <c r="I44" s="86">
        <f t="shared" si="43"/>
        <v>3.8451156286299915E-2</v>
      </c>
      <c r="J44" s="86">
        <f t="shared" si="43"/>
        <v>6.4942687182946823E-2</v>
      </c>
      <c r="K44" s="86">
        <f t="shared" si="43"/>
        <v>4.981720392281952E-3</v>
      </c>
      <c r="L44" s="86">
        <f t="shared" si="43"/>
        <v>-1.5990990990991105E-2</v>
      </c>
      <c r="M44" s="86">
        <f t="shared" si="43"/>
        <v>0.56604448159152132</v>
      </c>
      <c r="N44" s="86">
        <f t="shared" si="43"/>
        <v>-1.4226761671556565E-2</v>
      </c>
      <c r="O44" s="86">
        <f t="shared" si="43"/>
        <v>-3.6192757283131205E-2</v>
      </c>
      <c r="P44" s="86">
        <f t="shared" si="43"/>
        <v>-1.1918052452692951E-3</v>
      </c>
      <c r="Q44" s="86">
        <f t="shared" si="43"/>
        <v>-1.5311807728586313E-3</v>
      </c>
      <c r="R44" s="86">
        <f t="shared" si="43"/>
        <v>3.7974616838696296E-3</v>
      </c>
      <c r="S44" s="86">
        <f t="shared" si="43"/>
        <v>-1.5820149315834642E-2</v>
      </c>
      <c r="T44" s="86">
        <f t="shared" si="43"/>
        <v>-3.1190159715265175E-2</v>
      </c>
      <c r="U44" s="86">
        <f t="shared" si="43"/>
        <v>-3.1615512855425187E-3</v>
      </c>
      <c r="V44" s="86">
        <f t="shared" si="43"/>
        <v>-1.8030023387059169E-2</v>
      </c>
      <c r="W44" s="86">
        <f t="shared" si="43"/>
        <v>-3.706141392483242E-2</v>
      </c>
      <c r="X44" s="86">
        <f t="shared" si="43"/>
        <v>-8.385301060493966E-2</v>
      </c>
      <c r="Y44" s="86">
        <f t="shared" si="43"/>
        <v>-2.088013876455308E-2</v>
      </c>
      <c r="Z44" s="86">
        <f>Z43/Y43-1</f>
        <v>-4.1841004184100306E-2</v>
      </c>
      <c r="AA44" s="86">
        <f>AA43/Z43-1</f>
        <v>-1.455604075691419E-2</v>
      </c>
      <c r="AB44" s="86">
        <f>AB43/AA43-1</f>
        <v>-1.477104874446078E-2</v>
      </c>
      <c r="AC44" s="86">
        <f>AC43/AB43-1</f>
        <v>-1.4992503748125885E-2</v>
      </c>
      <c r="AD44" s="86"/>
    </row>
    <row r="45" spans="1:30" x14ac:dyDescent="0.2">
      <c r="A45" s="81"/>
      <c r="B45" s="81" t="s">
        <v>459</v>
      </c>
      <c r="C45" s="86"/>
      <c r="D45" s="86">
        <f>D43/sumry!EY64/1000</f>
        <v>0.5060827250608273</v>
      </c>
      <c r="E45" s="86">
        <f>E43/sumry!EZ64/1000</f>
        <v>0.51</v>
      </c>
      <c r="F45" s="86">
        <f>F43/sumry!FA64/1000</f>
        <v>0.51870324189526185</v>
      </c>
      <c r="G45" s="86">
        <f>G43/sumry!FB64/1000</f>
        <v>0.51116625310173702</v>
      </c>
      <c r="H45" s="86">
        <f>H43/sumry!FC64/1000</f>
        <v>0.51136363636363635</v>
      </c>
      <c r="I45" s="86">
        <f>I43/sumry!FD64/1000</f>
        <v>0.52723311546840956</v>
      </c>
      <c r="J45" s="86">
        <f>J43/sumry!FE64/1000</f>
        <v>0.56483516483516483</v>
      </c>
      <c r="K45" s="86">
        <f>K43/sumry!FF64/1000</f>
        <v>0.56427015250544665</v>
      </c>
      <c r="L45" s="86">
        <f>L43/sumry!FG64/1000</f>
        <v>0.55991285403050106</v>
      </c>
      <c r="M45" s="86">
        <f>M43/sumry!FH64/1000</f>
        <v>0.46082949308755761</v>
      </c>
      <c r="N45" s="86">
        <f>N43/sumry!FI64/1000</f>
        <v>0.46037296037296038</v>
      </c>
      <c r="O45" s="86">
        <f>O43/sumry!FJ64/1000</f>
        <v>0.44783118405627192</v>
      </c>
      <c r="P45" s="86">
        <f>P43/sumry!FK64/1000</f>
        <v>0.44982290436835887</v>
      </c>
      <c r="Q45" s="86">
        <f>Q43/sumry!FL64/1000</f>
        <v>0.44823529411764707</v>
      </c>
      <c r="R45" s="86">
        <f>R43/sumry!FM64/1000</f>
        <v>0.45058823529411762</v>
      </c>
      <c r="S45" s="86">
        <f>S43/sumry!FN64/1000</f>
        <v>0.44893111638954869</v>
      </c>
      <c r="T45" s="86">
        <f>T43/sumry!FO64/1000</f>
        <v>0.43995243757431635</v>
      </c>
      <c r="U45" s="87">
        <f>U43/sumry!FP64/1000</f>
        <v>0.4399524375743164</v>
      </c>
      <c r="V45" s="87">
        <f>V43/sumry!FQ64/1000</f>
        <v>0.43995243757431635</v>
      </c>
      <c r="W45" s="87">
        <f>W43/sumry!FR64/1000</f>
        <v>0.43995243757431629</v>
      </c>
      <c r="X45" s="87">
        <f>X43/sumry!FS64/1000</f>
        <v>0.43995243757431629</v>
      </c>
      <c r="Y45" s="87">
        <f>Y43/sumry!FT64/1000</f>
        <v>0.43995243757431635</v>
      </c>
      <c r="Z45" s="87">
        <f>Z43/sumry!FU64/1000</f>
        <v>0.43995243757431635</v>
      </c>
      <c r="AA45" s="87">
        <f>AA43/sumry!FV64/1000</f>
        <v>0.43995243757431629</v>
      </c>
      <c r="AB45" s="87">
        <f>AB43/sumry!FW64/1000</f>
        <v>0.43995243757431629</v>
      </c>
      <c r="AC45" s="87">
        <f>AC43/sumry!FX64/1000</f>
        <v>0.43995243757431635</v>
      </c>
      <c r="AD45" s="87"/>
    </row>
    <row r="46" spans="1:30" x14ac:dyDescent="0.2">
      <c r="A46" s="81"/>
      <c r="B46" s="81"/>
      <c r="C46" s="88"/>
      <c r="D46" s="88"/>
      <c r="E46" s="88"/>
      <c r="F46" s="88"/>
      <c r="G46" s="88"/>
      <c r="H46" s="88"/>
      <c r="I46" s="88"/>
      <c r="J46" s="88"/>
      <c r="K46" s="89"/>
      <c r="L46" s="89"/>
      <c r="M46" s="89"/>
      <c r="N46" s="89"/>
      <c r="O46" s="89"/>
      <c r="P46" s="89"/>
      <c r="Q46" s="89"/>
      <c r="R46" s="89"/>
      <c r="S46" s="89"/>
      <c r="T46" s="89"/>
      <c r="U46" s="89"/>
      <c r="V46" s="89"/>
      <c r="W46" s="89"/>
      <c r="X46" s="89"/>
      <c r="Y46" s="89"/>
      <c r="Z46" s="89"/>
      <c r="AA46" s="89"/>
      <c r="AB46" s="89"/>
      <c r="AC46" s="89"/>
      <c r="AD46" s="89"/>
    </row>
    <row r="47" spans="1:30" x14ac:dyDescent="0.2">
      <c r="A47" s="81"/>
      <c r="B47" s="81" t="s">
        <v>460</v>
      </c>
      <c r="C47" s="90">
        <f t="shared" ref="C47:W47" si="44">C50/C40</f>
        <v>0</v>
      </c>
      <c r="D47" s="90">
        <f t="shared" si="44"/>
        <v>-0.19818775842258343</v>
      </c>
      <c r="E47" s="90">
        <f t="shared" si="44"/>
        <v>9.3259600887672142E-2</v>
      </c>
      <c r="F47" s="90">
        <f t="shared" si="44"/>
        <v>-0.17427414388353385</v>
      </c>
      <c r="G47" s="90">
        <f t="shared" si="44"/>
        <v>2.1039550463454617</v>
      </c>
      <c r="H47" s="90">
        <f t="shared" si="44"/>
        <v>-3.9584328933906822E-2</v>
      </c>
      <c r="I47" s="90">
        <f t="shared" si="44"/>
        <v>0.66458580860456751</v>
      </c>
      <c r="J47" s="90">
        <f t="shared" si="44"/>
        <v>0.31577249685069136</v>
      </c>
      <c r="K47" s="90">
        <f t="shared" si="44"/>
        <v>0.26183760381232568</v>
      </c>
      <c r="L47" s="90">
        <f t="shared" si="44"/>
        <v>0.58847766269139035</v>
      </c>
      <c r="M47" s="90">
        <f t="shared" si="44"/>
        <v>0.95466990503675586</v>
      </c>
      <c r="N47" s="90">
        <f t="shared" si="44"/>
        <v>-0.36131145172401685</v>
      </c>
      <c r="O47" s="90">
        <f t="shared" si="44"/>
        <v>0.28392875150477093</v>
      </c>
      <c r="P47" s="90">
        <f t="shared" si="44"/>
        <v>0.22155788195197082</v>
      </c>
      <c r="Q47" s="90">
        <f t="shared" si="44"/>
        <v>-2.1858526316096447E-2</v>
      </c>
      <c r="R47" s="90">
        <f t="shared" si="44"/>
        <v>0.47340992053134812</v>
      </c>
      <c r="S47" s="90">
        <f t="shared" si="44"/>
        <v>0.57905019571865102</v>
      </c>
      <c r="T47" s="90">
        <f>T50/T40</f>
        <v>6.5413963680480802E-2</v>
      </c>
      <c r="U47" s="90">
        <f t="shared" si="44"/>
        <v>0.45331061565050762</v>
      </c>
      <c r="V47" s="90">
        <f t="shared" si="44"/>
        <v>0.39112147579677309</v>
      </c>
      <c r="W47" s="90">
        <f t="shared" si="44"/>
        <v>0.30611028523085293</v>
      </c>
      <c r="X47" s="90">
        <f t="shared" ref="X47:AC47" si="45">X50/X40</f>
        <v>7.5130274111982392E-2</v>
      </c>
      <c r="Y47" s="90">
        <f t="shared" si="45"/>
        <v>0.39340984505083143</v>
      </c>
      <c r="Z47" s="90">
        <f t="shared" si="45"/>
        <v>0.29856949143822037</v>
      </c>
      <c r="AA47" s="90">
        <f t="shared" si="45"/>
        <v>0.44063470085927808</v>
      </c>
      <c r="AB47" s="90">
        <f t="shared" si="45"/>
        <v>0.44851547336068631</v>
      </c>
      <c r="AC47" s="90">
        <f t="shared" si="45"/>
        <v>0.45650362765996633</v>
      </c>
      <c r="AD47" s="90"/>
    </row>
    <row r="48" spans="1:30" x14ac:dyDescent="0.2">
      <c r="A48" s="81"/>
      <c r="B48" s="81" t="s">
        <v>461</v>
      </c>
      <c r="C48" s="88"/>
      <c r="D48" s="82"/>
      <c r="E48" s="82">
        <f t="shared" ref="E48:Y48" si="46">E47/D47-1</f>
        <v>-1.4705618633055049</v>
      </c>
      <c r="F48" s="82">
        <f t="shared" si="46"/>
        <v>-2.8686992247955345</v>
      </c>
      <c r="G48" s="82">
        <f t="shared" si="46"/>
        <v>-13.072674692073194</v>
      </c>
      <c r="H48" s="82">
        <f t="shared" si="46"/>
        <v>-1.0188142465318659</v>
      </c>
      <c r="I48" s="82">
        <f t="shared" si="46"/>
        <v>-17.789113937341554</v>
      </c>
      <c r="J48" s="82">
        <f t="shared" si="46"/>
        <v>-0.52485820075857514</v>
      </c>
      <c r="K48" s="82">
        <f t="shared" si="46"/>
        <v>-0.17080301032001544</v>
      </c>
      <c r="L48" s="82">
        <f t="shared" si="46"/>
        <v>1.2474910178034881</v>
      </c>
      <c r="M48" s="82">
        <f t="shared" si="46"/>
        <v>0.6222704200370035</v>
      </c>
      <c r="N48" s="82">
        <f t="shared" si="46"/>
        <v>-1.3784674156143071</v>
      </c>
      <c r="O48" s="82">
        <f t="shared" si="46"/>
        <v>-1.7858282657524132</v>
      </c>
      <c r="P48" s="82">
        <f t="shared" si="46"/>
        <v>-0.21967084778221935</v>
      </c>
      <c r="Q48" s="82">
        <f t="shared" si="46"/>
        <v>-1.0986583105214687</v>
      </c>
      <c r="R48" s="82">
        <f t="shared" si="46"/>
        <v>-22.657906561739836</v>
      </c>
      <c r="S48" s="82">
        <f t="shared" si="46"/>
        <v>0.22314757381664885</v>
      </c>
      <c r="T48" s="82">
        <f t="shared" si="46"/>
        <v>-0.88703230883240358</v>
      </c>
      <c r="U48" s="82">
        <f t="shared" si="46"/>
        <v>5.9298753682735974</v>
      </c>
      <c r="V48" s="82">
        <f t="shared" si="46"/>
        <v>-0.13718880102662534</v>
      </c>
      <c r="W48" s="82">
        <f t="shared" si="46"/>
        <v>-0.21735239772436332</v>
      </c>
      <c r="X48" s="82">
        <f t="shared" si="46"/>
        <v>-0.75456468555010192</v>
      </c>
      <c r="Y48" s="82">
        <f t="shared" si="46"/>
        <v>4.2363690895690107</v>
      </c>
      <c r="Z48" s="82">
        <f>Z47/Y47-1</f>
        <v>-0.24107264931399208</v>
      </c>
      <c r="AA48" s="82">
        <f>AA47/Z47-1</f>
        <v>0.47581957800418362</v>
      </c>
      <c r="AB48" s="82">
        <f>AB47/AA47-1</f>
        <v>1.7885047378338514E-2</v>
      </c>
      <c r="AC48" s="82">
        <f>AC47/AB47-1</f>
        <v>1.7810208953161544E-2</v>
      </c>
      <c r="AD48" s="82"/>
    </row>
    <row r="49" spans="1:30" x14ac:dyDescent="0.2">
      <c r="A49" s="81"/>
      <c r="B49" s="81"/>
      <c r="C49" s="88"/>
      <c r="D49" s="82"/>
      <c r="E49" s="82"/>
      <c r="F49" s="82"/>
      <c r="G49" s="82"/>
      <c r="H49" s="82"/>
      <c r="I49" s="82"/>
      <c r="J49" s="82"/>
      <c r="K49" s="82"/>
      <c r="L49" s="82"/>
      <c r="M49" s="82"/>
      <c r="N49" s="82"/>
      <c r="O49" s="82"/>
      <c r="P49" s="82"/>
      <c r="Q49" s="82"/>
      <c r="R49" s="82"/>
      <c r="S49" s="82"/>
      <c r="T49" s="82"/>
      <c r="U49" s="82"/>
      <c r="V49" s="82"/>
      <c r="W49" s="82"/>
      <c r="X49" s="82"/>
      <c r="Y49" s="82"/>
      <c r="Z49" s="82"/>
      <c r="AA49" s="82"/>
      <c r="AB49" s="82"/>
      <c r="AC49" s="82"/>
      <c r="AD49" s="82"/>
    </row>
    <row r="50" spans="1:30" x14ac:dyDescent="0.2">
      <c r="A50" s="81"/>
      <c r="B50" s="81" t="s">
        <v>462</v>
      </c>
      <c r="C50" s="91"/>
      <c r="D50" s="92">
        <f t="shared" ref="D50:W50" si="47">D132</f>
        <v>-41.223053751897353</v>
      </c>
      <c r="E50" s="92">
        <f t="shared" si="47"/>
        <v>19.024958581085116</v>
      </c>
      <c r="F50" s="92">
        <f t="shared" si="47"/>
        <v>-36.24902192777504</v>
      </c>
      <c r="G50" s="92">
        <f t="shared" si="47"/>
        <v>433.41473954716514</v>
      </c>
      <c r="H50" s="92">
        <f t="shared" si="47"/>
        <v>-8.9064740101290347</v>
      </c>
      <c r="I50" s="92">
        <f t="shared" si="47"/>
        <v>160.82976568230535</v>
      </c>
      <c r="J50" s="92">
        <f t="shared" si="47"/>
        <v>81.153531690627688</v>
      </c>
      <c r="K50" s="92">
        <f t="shared" si="47"/>
        <v>67.815939387392348</v>
      </c>
      <c r="L50" s="92">
        <f t="shared" si="47"/>
        <v>151.23875931168732</v>
      </c>
      <c r="M50" s="92">
        <f t="shared" si="47"/>
        <v>381.86796201470236</v>
      </c>
      <c r="N50" s="92">
        <f t="shared" si="47"/>
        <v>-142.71802343098665</v>
      </c>
      <c r="O50" s="92">
        <f t="shared" si="47"/>
        <v>108.4607830748225</v>
      </c>
      <c r="P50" s="92">
        <f t="shared" si="47"/>
        <v>84.413553023700885</v>
      </c>
      <c r="Q50" s="92">
        <f t="shared" si="47"/>
        <v>-8.328098526432747</v>
      </c>
      <c r="R50" s="92">
        <f t="shared" si="47"/>
        <v>181.31599956350632</v>
      </c>
      <c r="S50" s="92">
        <f t="shared" si="47"/>
        <v>218.8809739816501</v>
      </c>
      <c r="T50" s="92">
        <f>T132</f>
        <v>24.203166561777898</v>
      </c>
      <c r="U50" s="92">
        <f t="shared" si="47"/>
        <v>167.52549268035406</v>
      </c>
      <c r="V50" s="92">
        <f t="shared" si="47"/>
        <v>141.61759880484587</v>
      </c>
      <c r="W50" s="92">
        <f t="shared" si="47"/>
        <v>106.52710722772144</v>
      </c>
      <c r="X50" s="92">
        <f t="shared" ref="X50:AC50" si="48">X132</f>
        <v>24.16228922600223</v>
      </c>
      <c r="Y50" s="92">
        <f t="shared" si="48"/>
        <v>124.09952175212257</v>
      </c>
      <c r="Z50" s="92">
        <f t="shared" si="48"/>
        <v>90.241829998431911</v>
      </c>
      <c r="AA50" s="92">
        <f t="shared" si="48"/>
        <v>131.24207635938237</v>
      </c>
      <c r="AB50" s="92">
        <f t="shared" si="48"/>
        <v>131.61609235515311</v>
      </c>
      <c r="AC50" s="92">
        <f t="shared" si="48"/>
        <v>131.95180362409181</v>
      </c>
      <c r="AD50" s="92"/>
    </row>
    <row r="51" spans="1:30" x14ac:dyDescent="0.2">
      <c r="A51" s="81"/>
      <c r="B51" s="78" t="s">
        <v>463</v>
      </c>
      <c r="C51" s="93">
        <v>0.35</v>
      </c>
      <c r="D51" s="86"/>
      <c r="E51" s="86">
        <f t="shared" ref="E51:Y51" si="49">E50/D50-1</f>
        <v>-1.4615125967034759</v>
      </c>
      <c r="F51" s="86">
        <f t="shared" si="49"/>
        <v>-2.905340386066035</v>
      </c>
      <c r="G51" s="86">
        <f t="shared" si="49"/>
        <v>-12.956591281572493</v>
      </c>
      <c r="H51" s="86">
        <f t="shared" si="49"/>
        <v>-1.0205495411149021</v>
      </c>
      <c r="I51" s="86">
        <f t="shared" si="49"/>
        <v>-19.057624768162917</v>
      </c>
      <c r="J51" s="86">
        <f t="shared" si="49"/>
        <v>-0.49540726278906544</v>
      </c>
      <c r="K51" s="86">
        <f t="shared" si="49"/>
        <v>-0.16435011545869271</v>
      </c>
      <c r="L51" s="86">
        <f t="shared" si="49"/>
        <v>1.2301358748088669</v>
      </c>
      <c r="M51" s="86">
        <f t="shared" si="49"/>
        <v>1.5249345058941688</v>
      </c>
      <c r="N51" s="86">
        <f t="shared" si="49"/>
        <v>-1.3737365729191282</v>
      </c>
      <c r="O51" s="86">
        <f t="shared" si="49"/>
        <v>-1.7599655633352453</v>
      </c>
      <c r="P51" s="86">
        <f t="shared" si="49"/>
        <v>-0.22171359425399362</v>
      </c>
      <c r="Q51" s="86">
        <f t="shared" si="49"/>
        <v>-1.0986583105214687</v>
      </c>
      <c r="R51" s="86">
        <f t="shared" si="49"/>
        <v>-22.771596359964189</v>
      </c>
      <c r="S51" s="86">
        <f t="shared" si="49"/>
        <v>0.20717958982426454</v>
      </c>
      <c r="T51" s="86">
        <f t="shared" si="49"/>
        <v>-0.8894231594391252</v>
      </c>
      <c r="U51" s="86">
        <f t="shared" si="49"/>
        <v>5.921635326218575</v>
      </c>
      <c r="V51" s="86">
        <f t="shared" si="49"/>
        <v>-0.15465045624394358</v>
      </c>
      <c r="W51" s="86">
        <f t="shared" si="49"/>
        <v>-0.2477834102065265</v>
      </c>
      <c r="X51" s="86">
        <f t="shared" si="49"/>
        <v>-0.77318177640597285</v>
      </c>
      <c r="Y51" s="86">
        <f t="shared" si="49"/>
        <v>4.1360829510546937</v>
      </c>
      <c r="Z51" s="86">
        <f>Z50/Y50-1</f>
        <v>-0.2728269317694737</v>
      </c>
      <c r="AA51" s="86">
        <f>AA50/Z50-1</f>
        <v>0.45433748807690288</v>
      </c>
      <c r="AB51" s="86">
        <f>AB50/AA50-1</f>
        <v>2.8498177272551217E-3</v>
      </c>
      <c r="AC51" s="86">
        <f>AC50/AB50-1</f>
        <v>2.5506855805506046E-3</v>
      </c>
      <c r="AD51" s="86"/>
    </row>
    <row r="52" spans="1:30" x14ac:dyDescent="0.2">
      <c r="A52" s="81"/>
      <c r="B52" s="81"/>
      <c r="C52" s="91"/>
      <c r="D52" s="91"/>
      <c r="E52" s="91"/>
      <c r="F52" s="91"/>
      <c r="G52" s="91"/>
      <c r="H52" s="91"/>
      <c r="I52" s="91"/>
      <c r="J52" s="91"/>
      <c r="K52" s="94"/>
      <c r="L52" s="94"/>
      <c r="M52" s="94"/>
      <c r="N52" s="94"/>
      <c r="O52" s="94"/>
      <c r="P52" s="94"/>
      <c r="Q52" s="94"/>
      <c r="R52" s="94"/>
      <c r="S52" s="94"/>
      <c r="T52" s="94"/>
      <c r="U52" s="94"/>
      <c r="V52" s="94"/>
      <c r="W52" s="94"/>
      <c r="X52" s="94"/>
      <c r="Y52" s="94"/>
      <c r="Z52" s="94"/>
      <c r="AA52" s="94"/>
      <c r="AB52" s="94"/>
      <c r="AC52" s="94"/>
      <c r="AD52" s="94"/>
    </row>
    <row r="53" spans="1:30" x14ac:dyDescent="0.2">
      <c r="A53" s="81"/>
      <c r="B53" s="81" t="s">
        <v>464</v>
      </c>
      <c r="C53" s="92">
        <f t="shared" ref="C53:W53" si="50">C66</f>
        <v>137</v>
      </c>
      <c r="D53" s="92">
        <f t="shared" si="50"/>
        <v>151</v>
      </c>
      <c r="E53" s="92">
        <f t="shared" si="50"/>
        <v>149</v>
      </c>
      <c r="F53" s="92">
        <f t="shared" si="50"/>
        <v>144</v>
      </c>
      <c r="G53" s="92">
        <f t="shared" si="50"/>
        <v>142</v>
      </c>
      <c r="H53" s="92">
        <f t="shared" si="50"/>
        <v>159</v>
      </c>
      <c r="I53" s="92">
        <f t="shared" si="50"/>
        <v>160</v>
      </c>
      <c r="J53" s="92">
        <f t="shared" si="50"/>
        <v>168</v>
      </c>
      <c r="K53" s="92">
        <f t="shared" si="50"/>
        <v>173</v>
      </c>
      <c r="L53" s="92">
        <f t="shared" si="50"/>
        <v>133</v>
      </c>
      <c r="M53" s="92">
        <f t="shared" si="50"/>
        <v>189</v>
      </c>
      <c r="N53" s="92">
        <f t="shared" si="50"/>
        <v>221</v>
      </c>
      <c r="O53" s="92">
        <f t="shared" si="50"/>
        <v>221</v>
      </c>
      <c r="P53" s="92">
        <f t="shared" si="50"/>
        <v>230</v>
      </c>
      <c r="Q53" s="92">
        <f t="shared" si="50"/>
        <v>230</v>
      </c>
      <c r="R53" s="92">
        <f t="shared" si="50"/>
        <v>234</v>
      </c>
      <c r="S53" s="92">
        <f t="shared" si="50"/>
        <v>242</v>
      </c>
      <c r="T53" s="92">
        <f>T66</f>
        <v>257</v>
      </c>
      <c r="U53" s="92">
        <f t="shared" si="50"/>
        <v>261.32748131961557</v>
      </c>
      <c r="V53" s="92">
        <f t="shared" si="50"/>
        <v>261.84229034613395</v>
      </c>
      <c r="W53" s="92">
        <f t="shared" si="50"/>
        <v>257.37489064751242</v>
      </c>
      <c r="X53" s="92">
        <f t="shared" ref="X53:AC53" si="51">X66</f>
        <v>240.94072902555163</v>
      </c>
      <c r="Y53" s="92">
        <f t="shared" si="51"/>
        <v>240.72866774997658</v>
      </c>
      <c r="Z53" s="92">
        <f t="shared" si="51"/>
        <v>235.47091191041645</v>
      </c>
      <c r="AA53" s="92">
        <f t="shared" si="51"/>
        <v>236.75280595778898</v>
      </c>
      <c r="AB53" s="92">
        <f t="shared" si="51"/>
        <v>237.99077483975441</v>
      </c>
      <c r="AC53" s="92">
        <f t="shared" si="51"/>
        <v>239.18251275274508</v>
      </c>
      <c r="AD53" s="92"/>
    </row>
    <row r="54" spans="1:30" x14ac:dyDescent="0.2">
      <c r="A54" s="81"/>
      <c r="B54" s="95" t="s">
        <v>465</v>
      </c>
      <c r="C54" s="29"/>
      <c r="D54" s="29"/>
      <c r="E54" s="86">
        <f t="shared" ref="E54:T54" si="52">E53/D53-1</f>
        <v>-1.3245033112582738E-2</v>
      </c>
      <c r="F54" s="86">
        <f t="shared" si="52"/>
        <v>-3.3557046979865723E-2</v>
      </c>
      <c r="G54" s="86">
        <f t="shared" si="52"/>
        <v>-1.388888888888884E-2</v>
      </c>
      <c r="H54" s="86">
        <f t="shared" si="52"/>
        <v>0.11971830985915499</v>
      </c>
      <c r="I54" s="86">
        <f t="shared" si="52"/>
        <v>6.2893081761006275E-3</v>
      </c>
      <c r="J54" s="86">
        <f t="shared" si="52"/>
        <v>5.0000000000000044E-2</v>
      </c>
      <c r="K54" s="86">
        <f t="shared" si="52"/>
        <v>2.9761904761904656E-2</v>
      </c>
      <c r="L54" s="86">
        <f t="shared" si="52"/>
        <v>-0.23121387283236994</v>
      </c>
      <c r="M54" s="86">
        <f t="shared" si="52"/>
        <v>0.42105263157894735</v>
      </c>
      <c r="N54" s="86">
        <f t="shared" si="52"/>
        <v>0.1693121693121693</v>
      </c>
      <c r="O54" s="86">
        <f t="shared" si="52"/>
        <v>0</v>
      </c>
      <c r="P54" s="86">
        <f t="shared" si="52"/>
        <v>4.0723981900452566E-2</v>
      </c>
      <c r="Q54" s="86">
        <f t="shared" si="52"/>
        <v>0</v>
      </c>
      <c r="R54" s="86">
        <f t="shared" si="52"/>
        <v>1.7391304347825987E-2</v>
      </c>
      <c r="S54" s="86">
        <f t="shared" si="52"/>
        <v>3.4188034188034289E-2</v>
      </c>
      <c r="T54" s="86">
        <f t="shared" si="52"/>
        <v>6.198347107438007E-2</v>
      </c>
      <c r="U54" s="83">
        <f t="shared" ref="U54:Z54" si="53">U44+2%</f>
        <v>1.6838448714457482E-2</v>
      </c>
      <c r="V54" s="83">
        <f t="shared" si="53"/>
        <v>1.9699766129408318E-3</v>
      </c>
      <c r="W54" s="83">
        <f t="shared" si="53"/>
        <v>-1.706141392483242E-2</v>
      </c>
      <c r="X54" s="83">
        <f t="shared" si="53"/>
        <v>-6.3853010604939656E-2</v>
      </c>
      <c r="Y54" s="83">
        <f t="shared" si="53"/>
        <v>-8.8013876455307963E-4</v>
      </c>
      <c r="Z54" s="83">
        <f t="shared" si="53"/>
        <v>-2.1841004184100305E-2</v>
      </c>
      <c r="AA54" s="83">
        <f>AA44+2%</f>
        <v>5.4439592430858101E-3</v>
      </c>
      <c r="AB54" s="83">
        <f>AB44+2%</f>
        <v>5.2289512555392208E-3</v>
      </c>
      <c r="AC54" s="83">
        <f>AC44+2%</f>
        <v>5.0074962518741155E-3</v>
      </c>
      <c r="AD54" s="83"/>
    </row>
    <row r="55" spans="1:30" x14ac:dyDescent="0.2">
      <c r="A55" s="81"/>
      <c r="B55" s="81"/>
      <c r="C55" s="96"/>
      <c r="D55" s="96"/>
      <c r="E55" s="96"/>
      <c r="F55" s="96"/>
      <c r="G55" s="96"/>
      <c r="H55" s="96"/>
      <c r="I55" s="96"/>
      <c r="J55" s="96"/>
      <c r="K55" s="96"/>
      <c r="L55" s="96"/>
      <c r="M55" s="96"/>
      <c r="N55" s="96"/>
      <c r="O55" s="96"/>
      <c r="P55" s="96"/>
      <c r="Q55" s="96"/>
      <c r="R55" s="96"/>
      <c r="S55" s="96"/>
      <c r="T55" s="96"/>
      <c r="U55" s="96"/>
      <c r="V55" s="96"/>
      <c r="W55" s="96"/>
      <c r="X55" s="96"/>
      <c r="Y55" s="96"/>
      <c r="Z55" s="96"/>
      <c r="AA55" s="96"/>
      <c r="AB55" s="96"/>
      <c r="AC55" s="96"/>
      <c r="AD55" s="96"/>
    </row>
    <row r="56" spans="1:30" x14ac:dyDescent="0.2">
      <c r="A56" s="81"/>
      <c r="B56" s="81" t="s">
        <v>466</v>
      </c>
      <c r="C56" s="97">
        <f t="shared" ref="C56:W56" si="54">C$58+SUM(C67:C71)</f>
        <v>2062.6</v>
      </c>
      <c r="D56" s="97">
        <f t="shared" si="54"/>
        <v>1893.9</v>
      </c>
      <c r="E56" s="97">
        <f t="shared" si="54"/>
        <v>1739</v>
      </c>
      <c r="F56" s="97">
        <f t="shared" si="54"/>
        <v>1584</v>
      </c>
      <c r="G56" s="97">
        <f t="shared" si="54"/>
        <v>2677</v>
      </c>
      <c r="H56" s="97">
        <f t="shared" si="54"/>
        <v>2551</v>
      </c>
      <c r="I56" s="97">
        <f t="shared" si="54"/>
        <v>2671</v>
      </c>
      <c r="J56" s="97">
        <f t="shared" si="54"/>
        <v>2709</v>
      </c>
      <c r="K56" s="97">
        <f t="shared" si="54"/>
        <v>2648</v>
      </c>
      <c r="L56" s="97">
        <f t="shared" si="54"/>
        <v>3031</v>
      </c>
      <c r="M56" s="97">
        <f t="shared" si="54"/>
        <v>3415</v>
      </c>
      <c r="N56" s="97">
        <f t="shared" si="54"/>
        <v>2802</v>
      </c>
      <c r="O56" s="97">
        <f t="shared" si="54"/>
        <v>2798</v>
      </c>
      <c r="P56" s="97">
        <f t="shared" si="54"/>
        <v>2738</v>
      </c>
      <c r="Q56" s="97">
        <f t="shared" si="54"/>
        <v>2530</v>
      </c>
      <c r="R56" s="97">
        <f t="shared" si="54"/>
        <v>2612</v>
      </c>
      <c r="S56" s="97">
        <f t="shared" si="54"/>
        <v>2767</v>
      </c>
      <c r="T56" s="97">
        <f>T$58+SUM(T67:T71)</f>
        <v>2606.909090909091</v>
      </c>
      <c r="U56" s="97">
        <f t="shared" si="54"/>
        <v>2650.805395939617</v>
      </c>
      <c r="V56" s="97">
        <f t="shared" si="54"/>
        <v>2656.0274205750748</v>
      </c>
      <c r="W56" s="97">
        <f t="shared" si="54"/>
        <v>2610.7118373569383</v>
      </c>
      <c r="X56" s="97">
        <f t="shared" ref="X56:AC56" si="55">X$58+SUM(X67:X71)</f>
        <v>2444.0100267197449</v>
      </c>
      <c r="Y56" s="97">
        <f t="shared" si="55"/>
        <v>2441.8589587542729</v>
      </c>
      <c r="Z56" s="97">
        <f t="shared" si="55"/>
        <v>2388.5263070191368</v>
      </c>
      <c r="AA56" s="97">
        <f t="shared" si="55"/>
        <v>2401.529346885588</v>
      </c>
      <c r="AB56" s="97">
        <f t="shared" si="55"/>
        <v>2414.0868267791993</v>
      </c>
      <c r="AC56" s="97">
        <f t="shared" si="55"/>
        <v>2426.1753575159946</v>
      </c>
      <c r="AD56" s="97"/>
    </row>
    <row r="57" spans="1:30" x14ac:dyDescent="0.2">
      <c r="A57" s="17"/>
      <c r="B57" s="98" t="s">
        <v>467</v>
      </c>
      <c r="C57" s="99"/>
      <c r="D57" s="99">
        <f t="shared" ref="D57:Y57" si="56">D56/C56-1</f>
        <v>-8.1789973819451078E-2</v>
      </c>
      <c r="E57" s="99">
        <f t="shared" si="56"/>
        <v>-8.1788901209145171E-2</v>
      </c>
      <c r="F57" s="99">
        <f t="shared" si="56"/>
        <v>-8.9131684876365691E-2</v>
      </c>
      <c r="G57" s="99">
        <f t="shared" si="56"/>
        <v>0.6900252525252526</v>
      </c>
      <c r="H57" s="99">
        <f t="shared" si="56"/>
        <v>-4.7067612999626474E-2</v>
      </c>
      <c r="I57" s="99">
        <f t="shared" si="56"/>
        <v>4.7040376323010502E-2</v>
      </c>
      <c r="J57" s="99">
        <f t="shared" si="56"/>
        <v>1.4226881317858542E-2</v>
      </c>
      <c r="K57" s="100">
        <f t="shared" si="56"/>
        <v>-2.2517534145441109E-2</v>
      </c>
      <c r="L57" s="100">
        <f t="shared" si="56"/>
        <v>0.14463746223564944</v>
      </c>
      <c r="M57" s="100">
        <f t="shared" si="56"/>
        <v>0.12669086110194661</v>
      </c>
      <c r="N57" s="100">
        <f t="shared" si="56"/>
        <v>-0.17950219619326502</v>
      </c>
      <c r="O57" s="100">
        <f t="shared" si="56"/>
        <v>-1.427551748750866E-3</v>
      </c>
      <c r="P57" s="100">
        <f t="shared" si="56"/>
        <v>-2.1443888491779806E-2</v>
      </c>
      <c r="Q57" s="100">
        <f t="shared" si="56"/>
        <v>-7.5967859751643552E-2</v>
      </c>
      <c r="R57" s="100">
        <f t="shared" si="56"/>
        <v>3.2411067193675924E-2</v>
      </c>
      <c r="S57" s="100">
        <f t="shared" si="56"/>
        <v>5.9341500765696775E-2</v>
      </c>
      <c r="T57" s="100">
        <f t="shared" si="56"/>
        <v>-5.7857213260176676E-2</v>
      </c>
      <c r="U57" s="100">
        <f t="shared" si="56"/>
        <v>1.6838448714457499E-2</v>
      </c>
      <c r="V57" s="100">
        <f t="shared" si="56"/>
        <v>1.9699766129406271E-3</v>
      </c>
      <c r="W57" s="100">
        <f t="shared" si="56"/>
        <v>-1.7061413924832514E-2</v>
      </c>
      <c r="X57" s="100">
        <f t="shared" si="56"/>
        <v>-6.385301060493942E-2</v>
      </c>
      <c r="Y57" s="100">
        <f t="shared" si="56"/>
        <v>-8.8013876455295126E-4</v>
      </c>
      <c r="Z57" s="100">
        <f>Z56/Y56-1</f>
        <v>-2.1841004184100843E-2</v>
      </c>
      <c r="AA57" s="100">
        <f>AA56/Z56-1</f>
        <v>5.4439592430861605E-3</v>
      </c>
      <c r="AB57" s="100">
        <f>AB56/AA56-1</f>
        <v>5.2289512555390161E-3</v>
      </c>
      <c r="AC57" s="100">
        <f>AC56/AB56-1</f>
        <v>5.0074962518740218E-3</v>
      </c>
      <c r="AD57" s="100"/>
    </row>
    <row r="58" spans="1:30" x14ac:dyDescent="0.2">
      <c r="A58" s="17"/>
      <c r="B58" s="48" t="s">
        <v>468</v>
      </c>
      <c r="C58" s="101">
        <v>1281.8</v>
      </c>
      <c r="D58" s="101">
        <v>1167.4000000000001</v>
      </c>
      <c r="E58" s="101">
        <v>1010</v>
      </c>
      <c r="F58" s="101">
        <v>921</v>
      </c>
      <c r="G58" s="101">
        <v>1931</v>
      </c>
      <c r="H58" s="101">
        <v>1845</v>
      </c>
      <c r="I58" s="101">
        <v>1924</v>
      </c>
      <c r="J58" s="101">
        <v>1943</v>
      </c>
      <c r="K58" s="102">
        <v>1868</v>
      </c>
      <c r="L58" s="102">
        <v>2224</v>
      </c>
      <c r="M58" s="102">
        <v>2380</v>
      </c>
      <c r="N58" s="102">
        <v>1826</v>
      </c>
      <c r="O58" s="102">
        <v>1781</v>
      </c>
      <c r="P58" s="102">
        <v>1709</v>
      </c>
      <c r="Q58" s="102">
        <v>1567</v>
      </c>
      <c r="R58" s="102">
        <v>1581</v>
      </c>
      <c r="S58" s="102">
        <v>1689</v>
      </c>
      <c r="T58" s="102">
        <v>1649</v>
      </c>
      <c r="U58" s="80">
        <f t="shared" ref="U58:Z58" si="57">SUM(U72:U85)</f>
        <v>1676.7666019301407</v>
      </c>
      <c r="V58" s="80">
        <f t="shared" si="57"/>
        <v>1680.0697929213027</v>
      </c>
      <c r="W58" s="80">
        <f t="shared" si="57"/>
        <v>1651.4054267616648</v>
      </c>
      <c r="X58" s="80">
        <f t="shared" si="57"/>
        <v>1545.9582185335978</v>
      </c>
      <c r="Y58" s="80">
        <f t="shared" si="57"/>
        <v>1544.5975607770872</v>
      </c>
      <c r="Z58" s="80">
        <f t="shared" si="57"/>
        <v>1510.861998989403</v>
      </c>
      <c r="AA58" s="80">
        <f>SUM(AA72:AA85)</f>
        <v>1519.087070133829</v>
      </c>
      <c r="AB58" s="80">
        <f>SUM(AB72:AB85)</f>
        <v>1527.0303023764786</v>
      </c>
      <c r="AC58" s="80">
        <f>SUM(AC72:AC85)</f>
        <v>1534.6769008921267</v>
      </c>
      <c r="AD58" s="80"/>
    </row>
    <row r="59" spans="1:30" x14ac:dyDescent="0.2">
      <c r="A59" s="17"/>
      <c r="B59" s="17"/>
      <c r="C59" s="103">
        <f t="shared" ref="C59:X59" si="58">C58/C56</f>
        <v>0.62144865703481045</v>
      </c>
      <c r="D59" s="103">
        <f t="shared" si="58"/>
        <v>0.61640002112043935</v>
      </c>
      <c r="E59" s="103">
        <f t="shared" si="58"/>
        <v>0.58079355951696376</v>
      </c>
      <c r="F59" s="103">
        <f t="shared" si="58"/>
        <v>0.58143939393939392</v>
      </c>
      <c r="G59" s="103">
        <f t="shared" si="58"/>
        <v>0.72132984684348156</v>
      </c>
      <c r="H59" s="103">
        <f t="shared" si="58"/>
        <v>0.72324578596628775</v>
      </c>
      <c r="I59" s="103">
        <f t="shared" si="58"/>
        <v>0.72032946461999248</v>
      </c>
      <c r="J59" s="103">
        <f t="shared" si="58"/>
        <v>0.7172388335179033</v>
      </c>
      <c r="K59" s="100">
        <f t="shared" si="58"/>
        <v>0.70543806646525675</v>
      </c>
      <c r="L59" s="100">
        <f t="shared" si="58"/>
        <v>0.73375123721544044</v>
      </c>
      <c r="M59" s="100">
        <f t="shared" si="58"/>
        <v>0.69692532942898977</v>
      </c>
      <c r="N59" s="100">
        <f t="shared" si="58"/>
        <v>0.65167737330478226</v>
      </c>
      <c r="O59" s="100">
        <f t="shared" si="58"/>
        <v>0.6365260900643317</v>
      </c>
      <c r="P59" s="100">
        <f t="shared" si="58"/>
        <v>0.6241782322863404</v>
      </c>
      <c r="Q59" s="100">
        <f t="shared" si="58"/>
        <v>0.6193675889328063</v>
      </c>
      <c r="R59" s="100">
        <f t="shared" si="58"/>
        <v>0.6052833078101072</v>
      </c>
      <c r="S59" s="100">
        <f t="shared" si="58"/>
        <v>0.61040838453198409</v>
      </c>
      <c r="T59" s="100">
        <f t="shared" si="58"/>
        <v>0.63254986748500486</v>
      </c>
      <c r="U59" s="100">
        <f t="shared" si="58"/>
        <v>0.63254986748500486</v>
      </c>
      <c r="V59" s="100">
        <f t="shared" si="58"/>
        <v>0.63254986748500486</v>
      </c>
      <c r="W59" s="100">
        <f t="shared" si="58"/>
        <v>0.63254986748500486</v>
      </c>
      <c r="X59" s="100">
        <f t="shared" si="58"/>
        <v>0.63254986748500486</v>
      </c>
      <c r="Y59" s="100">
        <f>Y58/Y56</f>
        <v>0.63254986748500486</v>
      </c>
      <c r="Z59" s="100">
        <f>Z58/Z56</f>
        <v>0.63254986748500486</v>
      </c>
      <c r="AA59" s="100">
        <f>AA58/AA56</f>
        <v>0.63254986748500486</v>
      </c>
      <c r="AB59" s="100">
        <f>AB58/AB56</f>
        <v>0.63254986748500497</v>
      </c>
      <c r="AC59" s="100">
        <f>AC58/AC56</f>
        <v>0.63254986748500486</v>
      </c>
      <c r="AD59" s="100"/>
    </row>
    <row r="60" spans="1:30" x14ac:dyDescent="0.2">
      <c r="A60" s="17"/>
      <c r="B60" s="17"/>
      <c r="C60" s="103"/>
      <c r="D60" s="103"/>
      <c r="E60" s="103"/>
      <c r="F60" s="103"/>
      <c r="G60" s="103"/>
      <c r="H60" s="103"/>
      <c r="I60" s="103"/>
      <c r="J60" s="103"/>
      <c r="K60" s="100"/>
      <c r="L60" s="100"/>
      <c r="M60" s="100"/>
      <c r="N60" s="100"/>
      <c r="O60" s="100"/>
      <c r="P60" s="100"/>
      <c r="Q60" s="100"/>
      <c r="R60" s="100"/>
      <c r="S60" s="100"/>
      <c r="T60" s="100"/>
      <c r="U60" s="100"/>
      <c r="V60" s="100"/>
      <c r="W60" s="100"/>
      <c r="X60" s="100"/>
      <c r="Y60" s="100"/>
      <c r="Z60" s="100"/>
      <c r="AA60" s="100"/>
      <c r="AB60" s="100"/>
      <c r="AC60" s="100"/>
      <c r="AD60" s="100"/>
    </row>
    <row r="61" spans="1:30" x14ac:dyDescent="0.2">
      <c r="A61" s="17"/>
      <c r="B61" s="17" t="s">
        <v>469</v>
      </c>
      <c r="C61" s="104">
        <f t="shared" ref="C61:T61" si="59">C62+6</f>
        <v>16</v>
      </c>
      <c r="D61" s="105">
        <f t="shared" si="59"/>
        <v>16</v>
      </c>
      <c r="E61" s="105">
        <f t="shared" si="59"/>
        <v>14</v>
      </c>
      <c r="F61" s="105">
        <f t="shared" si="59"/>
        <v>14</v>
      </c>
      <c r="G61" s="105">
        <f t="shared" si="59"/>
        <v>22</v>
      </c>
      <c r="H61" s="105">
        <f t="shared" si="59"/>
        <v>22</v>
      </c>
      <c r="I61" s="105">
        <f t="shared" si="59"/>
        <v>20</v>
      </c>
      <c r="J61" s="105">
        <f t="shared" si="59"/>
        <v>20</v>
      </c>
      <c r="K61" s="105">
        <f t="shared" si="59"/>
        <v>19</v>
      </c>
      <c r="L61" s="105">
        <f t="shared" si="59"/>
        <v>22</v>
      </c>
      <c r="M61" s="105">
        <f t="shared" si="59"/>
        <v>20</v>
      </c>
      <c r="N61" s="105">
        <f t="shared" si="59"/>
        <v>17</v>
      </c>
      <c r="O61" s="105">
        <f t="shared" si="59"/>
        <v>17</v>
      </c>
      <c r="P61" s="105">
        <f t="shared" si="59"/>
        <v>17</v>
      </c>
      <c r="Q61" s="105">
        <f t="shared" si="59"/>
        <v>17</v>
      </c>
      <c r="R61" s="105">
        <f t="shared" si="59"/>
        <v>17</v>
      </c>
      <c r="S61" s="105">
        <f t="shared" si="59"/>
        <v>17</v>
      </c>
      <c r="T61" s="105">
        <f t="shared" si="59"/>
        <v>17</v>
      </c>
      <c r="U61" s="32"/>
      <c r="V61" s="32"/>
      <c r="W61" s="32"/>
      <c r="X61" s="32"/>
      <c r="Y61" s="32"/>
      <c r="Z61" s="32"/>
      <c r="AA61" s="32"/>
      <c r="AB61" s="32"/>
      <c r="AC61" s="32"/>
      <c r="AD61" s="32"/>
    </row>
    <row r="62" spans="1:30" x14ac:dyDescent="0.2">
      <c r="A62" s="17"/>
      <c r="B62" s="17" t="s">
        <v>470</v>
      </c>
      <c r="C62" s="106">
        <v>10</v>
      </c>
      <c r="D62" s="107">
        <v>10</v>
      </c>
      <c r="E62" s="107">
        <v>8</v>
      </c>
      <c r="F62" s="107">
        <v>8</v>
      </c>
      <c r="G62" s="107">
        <v>16</v>
      </c>
      <c r="H62" s="107">
        <v>16</v>
      </c>
      <c r="I62" s="107">
        <v>14</v>
      </c>
      <c r="J62" s="107">
        <v>14</v>
      </c>
      <c r="K62" s="107">
        <v>13</v>
      </c>
      <c r="L62" s="107">
        <v>16</v>
      </c>
      <c r="M62" s="107">
        <v>14</v>
      </c>
      <c r="N62" s="107">
        <v>11</v>
      </c>
      <c r="O62" s="107">
        <v>11</v>
      </c>
      <c r="P62" s="107">
        <v>11</v>
      </c>
      <c r="Q62" s="107">
        <v>11</v>
      </c>
      <c r="R62" s="107">
        <v>11</v>
      </c>
      <c r="S62" s="107">
        <v>11</v>
      </c>
      <c r="T62" s="107">
        <v>11</v>
      </c>
      <c r="U62" s="32"/>
      <c r="V62" s="32"/>
      <c r="W62" s="32"/>
      <c r="X62" s="32"/>
      <c r="Y62" s="32"/>
      <c r="Z62" s="32"/>
      <c r="AA62" s="32"/>
      <c r="AB62" s="32"/>
      <c r="AC62" s="32"/>
      <c r="AD62" s="32"/>
    </row>
    <row r="63" spans="1:30" x14ac:dyDescent="0.2">
      <c r="A63" s="17"/>
      <c r="B63" s="17"/>
      <c r="C63" s="108"/>
      <c r="D63" s="108"/>
      <c r="E63" s="109"/>
      <c r="F63" s="109"/>
      <c r="G63" s="109"/>
      <c r="H63" s="109"/>
      <c r="I63" s="109"/>
      <c r="J63" s="109"/>
      <c r="K63" s="109"/>
      <c r="L63" s="110"/>
      <c r="M63" s="110"/>
      <c r="N63" s="110"/>
      <c r="O63" s="110"/>
      <c r="P63" s="110"/>
      <c r="Q63" s="110"/>
      <c r="R63" s="110"/>
      <c r="S63" s="110"/>
      <c r="T63" s="110"/>
      <c r="U63" s="110"/>
      <c r="V63" s="110"/>
      <c r="W63" s="110"/>
      <c r="X63" s="110"/>
      <c r="Y63" s="110"/>
      <c r="Z63" s="110"/>
      <c r="AA63" s="110"/>
      <c r="AB63" s="110"/>
      <c r="AC63" s="110"/>
      <c r="AD63" s="110"/>
    </row>
    <row r="64" spans="1:30" outlineLevel="1" x14ac:dyDescent="0.2">
      <c r="A64" s="111"/>
      <c r="B64" s="70" t="s">
        <v>471</v>
      </c>
      <c r="C64" s="26">
        <v>1995</v>
      </c>
      <c r="D64" s="26">
        <f t="shared" ref="D64:N64" si="60">C64+1</f>
        <v>1996</v>
      </c>
      <c r="E64" s="26">
        <f t="shared" si="60"/>
        <v>1997</v>
      </c>
      <c r="F64" s="26">
        <f t="shared" si="60"/>
        <v>1998</v>
      </c>
      <c r="G64" s="26">
        <f t="shared" si="60"/>
        <v>1999</v>
      </c>
      <c r="H64" s="26">
        <f t="shared" si="60"/>
        <v>2000</v>
      </c>
      <c r="I64" s="26">
        <f t="shared" si="60"/>
        <v>2001</v>
      </c>
      <c r="J64" s="26">
        <f t="shared" si="60"/>
        <v>2002</v>
      </c>
      <c r="K64" s="26">
        <f t="shared" si="60"/>
        <v>2003</v>
      </c>
      <c r="L64" s="26">
        <f t="shared" si="60"/>
        <v>2004</v>
      </c>
      <c r="M64" s="26">
        <f t="shared" si="60"/>
        <v>2005</v>
      </c>
      <c r="N64" s="26">
        <f t="shared" si="60"/>
        <v>2006</v>
      </c>
      <c r="O64" s="26">
        <f t="shared" ref="O64:T64" si="61">O$3</f>
        <v>2007</v>
      </c>
      <c r="P64" s="26">
        <f t="shared" si="61"/>
        <v>2008</v>
      </c>
      <c r="Q64" s="26">
        <f t="shared" si="61"/>
        <v>2009</v>
      </c>
      <c r="R64" s="26">
        <f t="shared" si="61"/>
        <v>2010</v>
      </c>
      <c r="S64" s="26">
        <f t="shared" si="61"/>
        <v>2011</v>
      </c>
      <c r="T64" s="26">
        <f t="shared" si="61"/>
        <v>2012</v>
      </c>
      <c r="U64" s="27">
        <f t="shared" ref="U64:AC64" si="62">T64+1</f>
        <v>2013</v>
      </c>
      <c r="V64" s="27">
        <f t="shared" si="62"/>
        <v>2014</v>
      </c>
      <c r="W64" s="27">
        <f t="shared" si="62"/>
        <v>2015</v>
      </c>
      <c r="X64" s="27">
        <f t="shared" si="62"/>
        <v>2016</v>
      </c>
      <c r="Y64" s="27">
        <f t="shared" si="62"/>
        <v>2017</v>
      </c>
      <c r="Z64" s="27">
        <f t="shared" si="62"/>
        <v>2018</v>
      </c>
      <c r="AA64" s="27">
        <f t="shared" si="62"/>
        <v>2019</v>
      </c>
      <c r="AB64" s="27">
        <f t="shared" si="62"/>
        <v>2020</v>
      </c>
      <c r="AC64" s="27">
        <f t="shared" si="62"/>
        <v>2021</v>
      </c>
      <c r="AD64" s="31"/>
    </row>
    <row r="65" spans="1:30" outlineLevel="1" x14ac:dyDescent="0.2">
      <c r="A65" s="81"/>
      <c r="B65" s="112"/>
      <c r="C65" s="112"/>
      <c r="D65" s="112"/>
      <c r="E65" s="112"/>
      <c r="F65" s="112"/>
      <c r="G65" s="112"/>
      <c r="H65" s="112"/>
      <c r="I65" s="112"/>
      <c r="J65" s="112"/>
      <c r="K65" s="112"/>
      <c r="L65" s="112"/>
      <c r="M65" s="112"/>
      <c r="N65" s="112"/>
      <c r="O65" s="113"/>
      <c r="P65" s="113"/>
      <c r="Q65" s="113"/>
      <c r="R65" s="113"/>
      <c r="S65" s="113"/>
      <c r="T65" s="113"/>
      <c r="U65" s="113"/>
      <c r="V65" s="113"/>
      <c r="W65" s="113"/>
      <c r="X65" s="113"/>
      <c r="Y65" s="113"/>
      <c r="Z65" s="113"/>
      <c r="AA65" s="113"/>
      <c r="AB65" s="113"/>
      <c r="AC65" s="113"/>
      <c r="AD65" s="113"/>
    </row>
    <row r="66" spans="1:30" outlineLevel="1" x14ac:dyDescent="0.2">
      <c r="A66" s="17"/>
      <c r="B66" s="114" t="s">
        <v>472</v>
      </c>
      <c r="C66" s="115">
        <v>137</v>
      </c>
      <c r="D66" s="116">
        <v>151</v>
      </c>
      <c r="E66" s="116">
        <v>149</v>
      </c>
      <c r="F66" s="116">
        <v>144</v>
      </c>
      <c r="G66" s="116">
        <v>142</v>
      </c>
      <c r="H66" s="116">
        <v>159</v>
      </c>
      <c r="I66" s="116">
        <v>160</v>
      </c>
      <c r="J66" s="116">
        <v>168</v>
      </c>
      <c r="K66" s="116">
        <v>173</v>
      </c>
      <c r="L66" s="116">
        <v>133</v>
      </c>
      <c r="M66" s="116">
        <v>189</v>
      </c>
      <c r="N66" s="117">
        <v>221</v>
      </c>
      <c r="O66" s="117">
        <v>221</v>
      </c>
      <c r="P66" s="117">
        <v>230</v>
      </c>
      <c r="Q66" s="117">
        <v>230</v>
      </c>
      <c r="R66" s="117">
        <v>234</v>
      </c>
      <c r="S66" s="117">
        <v>242</v>
      </c>
      <c r="T66" s="117">
        <v>257</v>
      </c>
      <c r="U66" s="118">
        <f t="shared" ref="U66:W75" si="63">T66*(1+U$54)</f>
        <v>261.32748131961557</v>
      </c>
      <c r="V66" s="118">
        <f t="shared" si="63"/>
        <v>261.84229034613395</v>
      </c>
      <c r="W66" s="118">
        <f t="shared" si="63"/>
        <v>257.37489064751242</v>
      </c>
      <c r="X66" s="118">
        <f t="shared" ref="X66:Y96" si="64">W66*(1+X$54)</f>
        <v>240.94072902555163</v>
      </c>
      <c r="Y66" s="118">
        <f t="shared" si="64"/>
        <v>240.72866774997658</v>
      </c>
      <c r="Z66" s="118">
        <f t="shared" ref="Z66:AC96" si="65">Y66*(1+Z$54)</f>
        <v>235.47091191041645</v>
      </c>
      <c r="AA66" s="118">
        <f t="shared" si="65"/>
        <v>236.75280595778898</v>
      </c>
      <c r="AB66" s="118">
        <f t="shared" si="65"/>
        <v>237.99077483975441</v>
      </c>
      <c r="AC66" s="118">
        <f t="shared" si="65"/>
        <v>239.18251275274508</v>
      </c>
      <c r="AD66" s="118"/>
    </row>
    <row r="67" spans="1:30" outlineLevel="1" x14ac:dyDescent="0.2">
      <c r="A67" s="17"/>
      <c r="B67" s="114" t="s">
        <v>473</v>
      </c>
      <c r="C67" s="120">
        <v>189.1</v>
      </c>
      <c r="D67" s="120">
        <v>174.6</v>
      </c>
      <c r="E67" s="120">
        <v>164</v>
      </c>
      <c r="F67" s="120">
        <v>145</v>
      </c>
      <c r="G67" s="120">
        <v>177</v>
      </c>
      <c r="H67" s="120">
        <v>173</v>
      </c>
      <c r="I67" s="120">
        <v>162</v>
      </c>
      <c r="J67" s="120">
        <v>162</v>
      </c>
      <c r="K67" s="121">
        <v>164</v>
      </c>
      <c r="L67" s="121">
        <v>165</v>
      </c>
      <c r="M67" s="121">
        <v>229</v>
      </c>
      <c r="N67" s="121">
        <v>225</v>
      </c>
      <c r="O67" s="121">
        <v>231</v>
      </c>
      <c r="P67" s="121">
        <v>235</v>
      </c>
      <c r="Q67" s="121">
        <v>228</v>
      </c>
      <c r="R67" s="121">
        <v>245</v>
      </c>
      <c r="S67" s="121">
        <v>255</v>
      </c>
      <c r="T67" s="121">
        <v>249</v>
      </c>
      <c r="U67" s="118">
        <f t="shared" si="63"/>
        <v>253.19277372989993</v>
      </c>
      <c r="V67" s="118">
        <f t="shared" si="63"/>
        <v>253.69155757271346</v>
      </c>
      <c r="W67" s="118">
        <f t="shared" si="63"/>
        <v>249.36322089972995</v>
      </c>
      <c r="X67" s="118">
        <f t="shared" si="64"/>
        <v>233.44062851113759</v>
      </c>
      <c r="Y67" s="118">
        <f t="shared" si="64"/>
        <v>233.2351683647633</v>
      </c>
      <c r="Z67" s="118">
        <f t="shared" si="65"/>
        <v>228.14107807662916</v>
      </c>
      <c r="AA67" s="118">
        <f t="shared" si="65"/>
        <v>229.38306880735198</v>
      </c>
      <c r="AB67" s="118">
        <f t="shared" si="65"/>
        <v>230.58250169299163</v>
      </c>
      <c r="AC67" s="118">
        <f t="shared" si="65"/>
        <v>231.73714270596702</v>
      </c>
      <c r="AD67" s="118"/>
    </row>
    <row r="68" spans="1:30" outlineLevel="1" x14ac:dyDescent="0.2">
      <c r="A68" s="17"/>
      <c r="B68" s="114" t="s">
        <v>474</v>
      </c>
      <c r="C68" s="120">
        <v>172.1</v>
      </c>
      <c r="D68" s="120">
        <v>151.4</v>
      </c>
      <c r="E68" s="120">
        <v>151</v>
      </c>
      <c r="F68" s="120">
        <v>143</v>
      </c>
      <c r="G68" s="120">
        <v>166</v>
      </c>
      <c r="H68" s="120">
        <v>153</v>
      </c>
      <c r="I68" s="120">
        <v>155</v>
      </c>
      <c r="J68" s="120">
        <v>159</v>
      </c>
      <c r="K68" s="121">
        <v>157</v>
      </c>
      <c r="L68" s="121">
        <v>170</v>
      </c>
      <c r="M68" s="121">
        <v>222</v>
      </c>
      <c r="N68" s="121">
        <v>211</v>
      </c>
      <c r="O68" s="121">
        <v>220</v>
      </c>
      <c r="P68" s="121">
        <v>226</v>
      </c>
      <c r="Q68" s="121">
        <v>212</v>
      </c>
      <c r="R68" s="121">
        <v>233</v>
      </c>
      <c r="S68" s="121">
        <v>244</v>
      </c>
      <c r="T68" s="121">
        <v>211</v>
      </c>
      <c r="U68" s="118">
        <f t="shared" si="63"/>
        <v>214.55291267875054</v>
      </c>
      <c r="V68" s="118">
        <f t="shared" si="63"/>
        <v>214.97557689896601</v>
      </c>
      <c r="W68" s="118">
        <f t="shared" si="63"/>
        <v>211.3077895977631</v>
      </c>
      <c r="X68" s="118">
        <f t="shared" si="64"/>
        <v>197.81515106767077</v>
      </c>
      <c r="Y68" s="118">
        <f t="shared" si="64"/>
        <v>197.64104628500019</v>
      </c>
      <c r="Z68" s="118">
        <f t="shared" si="65"/>
        <v>193.32436736613954</v>
      </c>
      <c r="AA68" s="118">
        <f t="shared" si="65"/>
        <v>194.37681734277612</v>
      </c>
      <c r="AB68" s="118">
        <f t="shared" si="65"/>
        <v>195.39320424586836</v>
      </c>
      <c r="AC68" s="118">
        <f t="shared" si="65"/>
        <v>196.3716349837712</v>
      </c>
      <c r="AD68" s="118"/>
    </row>
    <row r="69" spans="1:30" outlineLevel="1" x14ac:dyDescent="0.2">
      <c r="A69" s="17"/>
      <c r="B69" s="114" t="s">
        <v>475</v>
      </c>
      <c r="C69" s="120">
        <v>148.30000000000001</v>
      </c>
      <c r="D69" s="120">
        <v>139</v>
      </c>
      <c r="E69" s="120">
        <v>145</v>
      </c>
      <c r="F69" s="120">
        <v>136</v>
      </c>
      <c r="G69" s="120">
        <v>148</v>
      </c>
      <c r="H69" s="120">
        <v>138</v>
      </c>
      <c r="I69" s="120">
        <v>149</v>
      </c>
      <c r="J69" s="120">
        <v>149</v>
      </c>
      <c r="K69" s="121">
        <v>159</v>
      </c>
      <c r="L69" s="121">
        <v>166</v>
      </c>
      <c r="M69" s="121">
        <v>209</v>
      </c>
      <c r="N69" s="121">
        <v>193</v>
      </c>
      <c r="O69" s="121">
        <v>207</v>
      </c>
      <c r="P69" s="121">
        <v>207</v>
      </c>
      <c r="Q69" s="121">
        <v>195</v>
      </c>
      <c r="R69" s="121">
        <v>213</v>
      </c>
      <c r="S69" s="121">
        <v>224</v>
      </c>
      <c r="T69" s="121">
        <v>183</v>
      </c>
      <c r="U69" s="118">
        <f t="shared" si="63"/>
        <v>186.08143611474571</v>
      </c>
      <c r="V69" s="118">
        <f t="shared" si="63"/>
        <v>186.4480121919942</v>
      </c>
      <c r="W69" s="118">
        <f t="shared" si="63"/>
        <v>183.26694548052438</v>
      </c>
      <c r="X69" s="118">
        <f t="shared" si="64"/>
        <v>171.56479926722156</v>
      </c>
      <c r="Y69" s="118">
        <f t="shared" si="64"/>
        <v>171.41379843675372</v>
      </c>
      <c r="Z69" s="118">
        <f t="shared" si="65"/>
        <v>167.66994894788405</v>
      </c>
      <c r="AA69" s="118">
        <f t="shared" si="65"/>
        <v>168.58273731624661</v>
      </c>
      <c r="AB69" s="118">
        <f t="shared" si="65"/>
        <v>169.46424823219863</v>
      </c>
      <c r="AC69" s="118">
        <f t="shared" si="65"/>
        <v>170.312839820048</v>
      </c>
      <c r="AD69" s="118"/>
    </row>
    <row r="70" spans="1:30" outlineLevel="1" x14ac:dyDescent="0.2">
      <c r="A70" s="17"/>
      <c r="B70" s="114" t="s">
        <v>476</v>
      </c>
      <c r="C70" s="120">
        <v>138.5</v>
      </c>
      <c r="D70" s="120">
        <v>132.80000000000001</v>
      </c>
      <c r="E70" s="120">
        <v>139</v>
      </c>
      <c r="F70" s="120">
        <v>125</v>
      </c>
      <c r="G70" s="120">
        <v>132</v>
      </c>
      <c r="H70" s="120">
        <v>126</v>
      </c>
      <c r="I70" s="120">
        <v>139</v>
      </c>
      <c r="J70" s="120">
        <v>151</v>
      </c>
      <c r="K70" s="121">
        <v>155</v>
      </c>
      <c r="L70" s="121">
        <v>158</v>
      </c>
      <c r="M70" s="121">
        <v>194</v>
      </c>
      <c r="N70" s="121">
        <v>181</v>
      </c>
      <c r="O70" s="121">
        <v>188</v>
      </c>
      <c r="P70" s="121">
        <v>191</v>
      </c>
      <c r="Q70" s="121">
        <v>174</v>
      </c>
      <c r="R70" s="121">
        <v>190</v>
      </c>
      <c r="S70" s="121">
        <v>187</v>
      </c>
      <c r="T70" s="121">
        <v>165</v>
      </c>
      <c r="U70" s="118">
        <f t="shared" si="63"/>
        <v>167.77834403788549</v>
      </c>
      <c r="V70" s="118">
        <f t="shared" si="63"/>
        <v>168.10886345179807</v>
      </c>
      <c r="W70" s="118">
        <f t="shared" si="63"/>
        <v>165.24068854801382</v>
      </c>
      <c r="X70" s="118">
        <f t="shared" si="64"/>
        <v>154.68957310978996</v>
      </c>
      <c r="Y70" s="118">
        <f t="shared" si="64"/>
        <v>154.55342482002388</v>
      </c>
      <c r="Z70" s="118">
        <f t="shared" si="65"/>
        <v>151.17782282186272</v>
      </c>
      <c r="AA70" s="118">
        <f t="shared" si="65"/>
        <v>152.00082872776338</v>
      </c>
      <c r="AB70" s="118">
        <f t="shared" si="65"/>
        <v>152.79563365198243</v>
      </c>
      <c r="AC70" s="118">
        <f t="shared" si="65"/>
        <v>153.56075721479743</v>
      </c>
      <c r="AD70" s="118"/>
    </row>
    <row r="71" spans="1:30" outlineLevel="1" x14ac:dyDescent="0.2">
      <c r="A71" s="17"/>
      <c r="B71" s="114" t="s">
        <v>477</v>
      </c>
      <c r="C71" s="120">
        <v>132.80000000000001</v>
      </c>
      <c r="D71" s="120">
        <v>128.69999999999999</v>
      </c>
      <c r="E71" s="120">
        <v>130</v>
      </c>
      <c r="F71" s="120">
        <v>114</v>
      </c>
      <c r="G71" s="120">
        <v>123</v>
      </c>
      <c r="H71" s="120">
        <v>116</v>
      </c>
      <c r="I71" s="120">
        <v>142</v>
      </c>
      <c r="J71" s="120">
        <v>145</v>
      </c>
      <c r="K71" s="121">
        <v>145</v>
      </c>
      <c r="L71" s="121">
        <v>148</v>
      </c>
      <c r="M71" s="121">
        <v>181</v>
      </c>
      <c r="N71" s="121">
        <v>166</v>
      </c>
      <c r="O71" s="121">
        <v>171</v>
      </c>
      <c r="P71" s="121">
        <v>170</v>
      </c>
      <c r="Q71" s="121">
        <v>154</v>
      </c>
      <c r="R71" s="121">
        <v>150</v>
      </c>
      <c r="S71" s="121">
        <v>168</v>
      </c>
      <c r="T71" s="118">
        <f>T58/T62</f>
        <v>149.90909090909091</v>
      </c>
      <c r="U71" s="118">
        <f t="shared" si="63"/>
        <v>152.43332744819458</v>
      </c>
      <c r="V71" s="118">
        <f t="shared" si="63"/>
        <v>152.73361753830028</v>
      </c>
      <c r="W71" s="118">
        <f t="shared" si="63"/>
        <v>150.12776606924228</v>
      </c>
      <c r="X71" s="118">
        <f t="shared" si="64"/>
        <v>140.54165623032705</v>
      </c>
      <c r="Y71" s="118">
        <f t="shared" si="64"/>
        <v>140.41796007064426</v>
      </c>
      <c r="Z71" s="118">
        <f t="shared" si="65"/>
        <v>137.35109081721848</v>
      </c>
      <c r="AA71" s="118">
        <f t="shared" si="65"/>
        <v>138.09882455762079</v>
      </c>
      <c r="AB71" s="118">
        <f t="shared" si="65"/>
        <v>138.82093657967985</v>
      </c>
      <c r="AC71" s="118">
        <f t="shared" si="65"/>
        <v>139.51608189928425</v>
      </c>
      <c r="AD71" s="118"/>
    </row>
    <row r="72" spans="1:30" outlineLevel="1" x14ac:dyDescent="0.2">
      <c r="A72" s="17"/>
      <c r="B72" s="114" t="s">
        <v>478</v>
      </c>
      <c r="C72" s="85">
        <f t="shared" ref="C72:P72" si="66">C58/C62</f>
        <v>128.18</v>
      </c>
      <c r="D72" s="85">
        <f t="shared" si="66"/>
        <v>116.74000000000001</v>
      </c>
      <c r="E72" s="85">
        <f t="shared" si="66"/>
        <v>126.25</v>
      </c>
      <c r="F72" s="85">
        <f t="shared" si="66"/>
        <v>115.125</v>
      </c>
      <c r="G72" s="85">
        <f t="shared" si="66"/>
        <v>120.6875</v>
      </c>
      <c r="H72" s="85">
        <f t="shared" si="66"/>
        <v>115.3125</v>
      </c>
      <c r="I72" s="85">
        <f t="shared" si="66"/>
        <v>137.42857142857142</v>
      </c>
      <c r="J72" s="85">
        <f t="shared" si="66"/>
        <v>138.78571428571428</v>
      </c>
      <c r="K72" s="85">
        <f t="shared" si="66"/>
        <v>143.69230769230768</v>
      </c>
      <c r="L72" s="85">
        <f t="shared" si="66"/>
        <v>139</v>
      </c>
      <c r="M72" s="85">
        <f t="shared" si="66"/>
        <v>170</v>
      </c>
      <c r="N72" s="85">
        <f t="shared" si="66"/>
        <v>166</v>
      </c>
      <c r="O72" s="118">
        <f t="shared" si="66"/>
        <v>161.90909090909091</v>
      </c>
      <c r="P72" s="118">
        <f t="shared" si="66"/>
        <v>155.36363636363637</v>
      </c>
      <c r="Q72" s="118">
        <f>Q58/Q62</f>
        <v>142.45454545454547</v>
      </c>
      <c r="R72" s="118">
        <f>R58/R62</f>
        <v>143.72727272727272</v>
      </c>
      <c r="S72" s="118">
        <f>S58/S62</f>
        <v>153.54545454545453</v>
      </c>
      <c r="T72" s="118">
        <f>T58/T62</f>
        <v>149.90909090909091</v>
      </c>
      <c r="U72" s="118">
        <f t="shared" si="63"/>
        <v>152.43332744819458</v>
      </c>
      <c r="V72" s="118">
        <f t="shared" si="63"/>
        <v>152.73361753830028</v>
      </c>
      <c r="W72" s="118">
        <f t="shared" si="63"/>
        <v>150.12776606924228</v>
      </c>
      <c r="X72" s="118">
        <f t="shared" si="64"/>
        <v>140.54165623032705</v>
      </c>
      <c r="Y72" s="118">
        <f t="shared" si="64"/>
        <v>140.41796007064426</v>
      </c>
      <c r="Z72" s="118">
        <f t="shared" si="65"/>
        <v>137.35109081721848</v>
      </c>
      <c r="AA72" s="118">
        <f t="shared" si="65"/>
        <v>138.09882455762079</v>
      </c>
      <c r="AB72" s="118">
        <f t="shared" si="65"/>
        <v>138.82093657967985</v>
      </c>
      <c r="AC72" s="118">
        <f t="shared" si="65"/>
        <v>139.51608189928425</v>
      </c>
      <c r="AD72" s="118"/>
    </row>
    <row r="73" spans="1:30" outlineLevel="1" x14ac:dyDescent="0.2">
      <c r="A73" s="17"/>
      <c r="B73" s="114" t="s">
        <v>479</v>
      </c>
      <c r="C73" s="85">
        <f>IF(SUM(C$72:C72)&gt;=C$58,0,C$58/$C$62)</f>
        <v>128.18</v>
      </c>
      <c r="D73" s="85">
        <f>IF(SUM(D$72:D72)&gt;=D$58,0,D$58/D$62)</f>
        <v>116.74000000000001</v>
      </c>
      <c r="E73" s="85">
        <f>IF(SUM(E$72:E72)&gt;=E$58,0,E$58/E$62)</f>
        <v>126.25</v>
      </c>
      <c r="F73" s="85">
        <f>IF(SUM(F$72:F72)&gt;=F$58,0,F$58/F$62)</f>
        <v>115.125</v>
      </c>
      <c r="G73" s="85">
        <f>IF(SUM(G$72:G72)&gt;=G$58,0,G$58/G$62)</f>
        <v>120.6875</v>
      </c>
      <c r="H73" s="85">
        <f>IF(SUM(H$72:H72)&gt;=H$58,0,H$58/H$62)</f>
        <v>115.3125</v>
      </c>
      <c r="I73" s="85">
        <f>IF(SUM(I$72:I72)&gt;=I$58,0,I$58/I$62)</f>
        <v>137.42857142857142</v>
      </c>
      <c r="J73" s="85">
        <f>IF(SUM(J$72:J72)&gt;=J$58,0,J$58/J$62)</f>
        <v>138.78571428571428</v>
      </c>
      <c r="K73" s="85">
        <f>IF(SUM(K$72:K72)&gt;=K$58,0,K$58/K$62)</f>
        <v>143.69230769230768</v>
      </c>
      <c r="L73" s="85">
        <f>IF(SUM(L$72:L72)&gt;=L$58,0,L$58/L$62)</f>
        <v>139</v>
      </c>
      <c r="M73" s="85">
        <f>IF(SUM(M$72:M72)&gt;=M$58,0,M$58/M$62)</f>
        <v>170</v>
      </c>
      <c r="N73" s="85">
        <f>IF(SUM(N$72:N72)&gt;=N$58,0,N$58/N$62)</f>
        <v>166</v>
      </c>
      <c r="O73" s="118">
        <f>IF(SUM(O$72:O72)&gt;=O$58,0,O$58/O$62)</f>
        <v>161.90909090909091</v>
      </c>
      <c r="P73" s="118">
        <f>IF(SUM(P$72:P72)&gt;=P$58,0,P$58/P$62)</f>
        <v>155.36363636363637</v>
      </c>
      <c r="Q73" s="118">
        <f>IF(SUM(Q$72:Q72)&gt;=Q$58,0,Q$58/Q$62)</f>
        <v>142.45454545454547</v>
      </c>
      <c r="R73" s="118">
        <f>IF(SUM(R$72:R72)&gt;=R$58,0,R$58/R$62)</f>
        <v>143.72727272727272</v>
      </c>
      <c r="S73" s="118">
        <f>IF(SUM(S$72:S72)&gt;=S$58,0,S$58/S$62)</f>
        <v>153.54545454545453</v>
      </c>
      <c r="T73" s="118">
        <f>IF(SUM(T$72:T72)&gt;=T$58,0,T$58/T$62)</f>
        <v>149.90909090909091</v>
      </c>
      <c r="U73" s="118">
        <f t="shared" si="63"/>
        <v>152.43332744819458</v>
      </c>
      <c r="V73" s="118">
        <f t="shared" si="63"/>
        <v>152.73361753830028</v>
      </c>
      <c r="W73" s="118">
        <f t="shared" si="63"/>
        <v>150.12776606924228</v>
      </c>
      <c r="X73" s="118">
        <f t="shared" si="64"/>
        <v>140.54165623032705</v>
      </c>
      <c r="Y73" s="118">
        <f t="shared" si="64"/>
        <v>140.41796007064426</v>
      </c>
      <c r="Z73" s="118">
        <f t="shared" si="65"/>
        <v>137.35109081721848</v>
      </c>
      <c r="AA73" s="118">
        <f t="shared" si="65"/>
        <v>138.09882455762079</v>
      </c>
      <c r="AB73" s="118">
        <f t="shared" si="65"/>
        <v>138.82093657967985</v>
      </c>
      <c r="AC73" s="118">
        <f t="shared" si="65"/>
        <v>139.51608189928425</v>
      </c>
      <c r="AD73" s="118"/>
    </row>
    <row r="74" spans="1:30" outlineLevel="1" x14ac:dyDescent="0.2">
      <c r="A74" s="17"/>
      <c r="B74" s="114" t="s">
        <v>480</v>
      </c>
      <c r="C74" s="85">
        <f>IF(SUM(C$72:C73)&gt;=C$58,0,C$58/$C$62)</f>
        <v>128.18</v>
      </c>
      <c r="D74" s="85">
        <f>IF(SUM(D$72:D73)&gt;=D$58,0,D$58/D$62)</f>
        <v>116.74000000000001</v>
      </c>
      <c r="E74" s="85">
        <f>IF(SUM(E$72:E73)&gt;=E$58,0,E$58/E$62)</f>
        <v>126.25</v>
      </c>
      <c r="F74" s="85">
        <f>IF(SUM(F$72:F73)&gt;=F$58,0,F$58/F$62)</f>
        <v>115.125</v>
      </c>
      <c r="G74" s="85">
        <f>IF(SUM(G$72:G73)&gt;=G$58,0,G$58/G$62)</f>
        <v>120.6875</v>
      </c>
      <c r="H74" s="85">
        <f>IF(SUM(H$72:H73)&gt;=H$58,0,H$58/H$62)</f>
        <v>115.3125</v>
      </c>
      <c r="I74" s="85">
        <f>IF(SUM(I$72:I73)&gt;=I$58,0,I$58/I$62)</f>
        <v>137.42857142857142</v>
      </c>
      <c r="J74" s="85">
        <f>IF(SUM(J$72:J73)&gt;=J$58,0,J$58/J$62)</f>
        <v>138.78571428571428</v>
      </c>
      <c r="K74" s="85">
        <f>IF(SUM(K$72:K73)&gt;=K$58,0,K$58/K$62)</f>
        <v>143.69230769230768</v>
      </c>
      <c r="L74" s="85">
        <f>IF(SUM(L$72:L73)&gt;=L$58,0,L$58/L$62)</f>
        <v>139</v>
      </c>
      <c r="M74" s="85">
        <f>IF(SUM(M$72:M73)&gt;=M$58,0,M$58/M$62)</f>
        <v>170</v>
      </c>
      <c r="N74" s="85">
        <f>IF(SUM(N$72:N73)&gt;=N$58,0,N$58/N$62)</f>
        <v>166</v>
      </c>
      <c r="O74" s="118">
        <f>IF(SUM(O$72:O73)&gt;=O$58,0,O$58/O$62)</f>
        <v>161.90909090909091</v>
      </c>
      <c r="P74" s="118">
        <f>IF(SUM(P$72:P73)&gt;=P$58,0,P$58/P$62)</f>
        <v>155.36363636363637</v>
      </c>
      <c r="Q74" s="118">
        <f>IF(SUM(Q$72:Q73)&gt;=Q$58,0,Q$58/Q$62)</f>
        <v>142.45454545454547</v>
      </c>
      <c r="R74" s="118">
        <f>IF(SUM(R$72:R73)&gt;=R$58,0,R$58/R$62)</f>
        <v>143.72727272727272</v>
      </c>
      <c r="S74" s="118">
        <f>IF(SUM(S$72:S73)&gt;=S$58,0,S$58/S$62)</f>
        <v>153.54545454545453</v>
      </c>
      <c r="T74" s="118">
        <f>IF(SUM(T$72:T73)&gt;=T$58,0,T$58/T$62)</f>
        <v>149.90909090909091</v>
      </c>
      <c r="U74" s="118">
        <f t="shared" si="63"/>
        <v>152.43332744819458</v>
      </c>
      <c r="V74" s="118">
        <f t="shared" si="63"/>
        <v>152.73361753830028</v>
      </c>
      <c r="W74" s="118">
        <f t="shared" si="63"/>
        <v>150.12776606924228</v>
      </c>
      <c r="X74" s="118">
        <f t="shared" si="64"/>
        <v>140.54165623032705</v>
      </c>
      <c r="Y74" s="118">
        <f t="shared" si="64"/>
        <v>140.41796007064426</v>
      </c>
      <c r="Z74" s="118">
        <f t="shared" si="65"/>
        <v>137.35109081721848</v>
      </c>
      <c r="AA74" s="118">
        <f t="shared" si="65"/>
        <v>138.09882455762079</v>
      </c>
      <c r="AB74" s="118">
        <f t="shared" si="65"/>
        <v>138.82093657967985</v>
      </c>
      <c r="AC74" s="118">
        <f t="shared" si="65"/>
        <v>139.51608189928425</v>
      </c>
      <c r="AD74" s="118"/>
    </row>
    <row r="75" spans="1:30" outlineLevel="1" x14ac:dyDescent="0.2">
      <c r="A75" s="17"/>
      <c r="B75" s="114" t="s">
        <v>481</v>
      </c>
      <c r="C75" s="85">
        <f>IF(SUM(C$72:C74)&gt;=C$58,0,C$58/$C$62)</f>
        <v>128.18</v>
      </c>
      <c r="D75" s="85">
        <f>IF(SUM(D$72:D74)&gt;=D$58,0,D$58/D$62)</f>
        <v>116.74000000000001</v>
      </c>
      <c r="E75" s="85">
        <f>IF(SUM(E$72:E74)&gt;=E$58,0,E$58/E$62)</f>
        <v>126.25</v>
      </c>
      <c r="F75" s="85">
        <f>IF(SUM(F$72:F74)&gt;=F$58,0,F$58/F$62)</f>
        <v>115.125</v>
      </c>
      <c r="G75" s="85">
        <f>IF(SUM(G$72:G74)&gt;=G$58,0,G$58/G$62)</f>
        <v>120.6875</v>
      </c>
      <c r="H75" s="85">
        <f>IF(SUM(H$72:H74)&gt;=H$58,0,H$58/H$62)</f>
        <v>115.3125</v>
      </c>
      <c r="I75" s="85">
        <f>IF(SUM(I$72:I74)&gt;=I$58,0,I$58/I$62)</f>
        <v>137.42857142857142</v>
      </c>
      <c r="J75" s="85">
        <f>IF(SUM(J$72:J74)&gt;=J$58,0,J$58/J$62)</f>
        <v>138.78571428571428</v>
      </c>
      <c r="K75" s="85">
        <f>IF(SUM(K$72:K74)&gt;=K$58,0,K$58/K$62)</f>
        <v>143.69230769230768</v>
      </c>
      <c r="L75" s="85">
        <f>IF(SUM(L$72:L74)&gt;=L$58,0,L$58/L$62)</f>
        <v>139</v>
      </c>
      <c r="M75" s="85">
        <f>IF(SUM(M$72:M74)&gt;=M$58,0,M$58/M$62)</f>
        <v>170</v>
      </c>
      <c r="N75" s="85">
        <f>IF(SUM(N$72:N74)&gt;=N$58,0,N$58/N$62)</f>
        <v>166</v>
      </c>
      <c r="O75" s="118">
        <f>IF(SUM(O$72:O74)&gt;=O$58,0,O$58/O$62)</f>
        <v>161.90909090909091</v>
      </c>
      <c r="P75" s="118">
        <f>IF(SUM(P$72:P74)&gt;=P$58,0,P$58/P$62)</f>
        <v>155.36363636363637</v>
      </c>
      <c r="Q75" s="118">
        <f>IF(SUM(Q$72:Q74)&gt;=Q$58,0,Q$58/Q$62)</f>
        <v>142.45454545454547</v>
      </c>
      <c r="R75" s="118">
        <f>IF(SUM(R$72:R74)&gt;=R$58,0,R$58/R$62)</f>
        <v>143.72727272727272</v>
      </c>
      <c r="S75" s="118">
        <f>IF(SUM(S$72:S74)&gt;=S$58,0,S$58/S$62)</f>
        <v>153.54545454545453</v>
      </c>
      <c r="T75" s="118">
        <f>IF(SUM(T$72:T74)&gt;=T$58,0,T$58/T$62)</f>
        <v>149.90909090909091</v>
      </c>
      <c r="U75" s="118">
        <f t="shared" si="63"/>
        <v>152.43332744819458</v>
      </c>
      <c r="V75" s="118">
        <f t="shared" si="63"/>
        <v>152.73361753830028</v>
      </c>
      <c r="W75" s="118">
        <f t="shared" si="63"/>
        <v>150.12776606924228</v>
      </c>
      <c r="X75" s="118">
        <f t="shared" si="64"/>
        <v>140.54165623032705</v>
      </c>
      <c r="Y75" s="118">
        <f t="shared" si="64"/>
        <v>140.41796007064426</v>
      </c>
      <c r="Z75" s="118">
        <f t="shared" si="65"/>
        <v>137.35109081721848</v>
      </c>
      <c r="AA75" s="118">
        <f t="shared" si="65"/>
        <v>138.09882455762079</v>
      </c>
      <c r="AB75" s="118">
        <f t="shared" si="65"/>
        <v>138.82093657967985</v>
      </c>
      <c r="AC75" s="118">
        <f t="shared" si="65"/>
        <v>139.51608189928425</v>
      </c>
      <c r="AD75" s="118"/>
    </row>
    <row r="76" spans="1:30" outlineLevel="1" x14ac:dyDescent="0.2">
      <c r="A76" s="17"/>
      <c r="B76" s="114" t="s">
        <v>482</v>
      </c>
      <c r="C76" s="85">
        <f>IF(SUM(C$72:C75)&gt;=C$58,0,C$58/$C$62)</f>
        <v>128.18</v>
      </c>
      <c r="D76" s="85">
        <f>IF(SUM(D$72:D75)&gt;=D$58,0,D$58/D$62)</f>
        <v>116.74000000000001</v>
      </c>
      <c r="E76" s="85">
        <f>IF(SUM(E$72:E75)&gt;=E$58,0,E$58/E$62)</f>
        <v>126.25</v>
      </c>
      <c r="F76" s="85">
        <f>IF(SUM(F$72:F75)&gt;=F$58,0,F$58/F$62)</f>
        <v>115.125</v>
      </c>
      <c r="G76" s="85">
        <f>IF(SUM(G$72:G75)&gt;=G$58,0,G$58/G$62)</f>
        <v>120.6875</v>
      </c>
      <c r="H76" s="85">
        <f>IF(SUM(H$72:H75)&gt;=H$58,0,H$58/H$62)</f>
        <v>115.3125</v>
      </c>
      <c r="I76" s="85">
        <f>IF(SUM(I$72:I75)&gt;=I$58,0,I$58/I$62)</f>
        <v>137.42857142857142</v>
      </c>
      <c r="J76" s="85">
        <f>IF(SUM(J$72:J75)&gt;=J$58,0,J$58/J$62)</f>
        <v>138.78571428571428</v>
      </c>
      <c r="K76" s="85">
        <f>IF(SUM(K$72:K75)&gt;=K$58,0,K$58/K$62)</f>
        <v>143.69230769230768</v>
      </c>
      <c r="L76" s="85">
        <f>IF(SUM(L$72:L75)&gt;=L$58,0,L$58/L$62)</f>
        <v>139</v>
      </c>
      <c r="M76" s="85">
        <f>IF(SUM(M$72:M75)&gt;=M$58,0,M$58/M$62)</f>
        <v>170</v>
      </c>
      <c r="N76" s="85">
        <f>IF(SUM(N$72:N75)&gt;=N$58,0,N$58/N$62)</f>
        <v>166</v>
      </c>
      <c r="O76" s="118">
        <f>IF(SUM(O$72:O75)&gt;=O$58,0,O$58/O$62)</f>
        <v>161.90909090909091</v>
      </c>
      <c r="P76" s="118">
        <f>IF(SUM(P$72:P75)&gt;=P$58,0,P$58/P$62)</f>
        <v>155.36363636363637</v>
      </c>
      <c r="Q76" s="118">
        <f>IF(SUM(Q$72:Q75)&gt;=Q$58,0,Q$58/Q$62)</f>
        <v>142.45454545454547</v>
      </c>
      <c r="R76" s="118">
        <f>IF(SUM(R$72:R75)&gt;=R$58,0,R$58/R$62)</f>
        <v>143.72727272727272</v>
      </c>
      <c r="S76" s="118">
        <f>IF(SUM(S$72:S75)&gt;=S$58,0,S$58/S$62)</f>
        <v>153.54545454545453</v>
      </c>
      <c r="T76" s="118">
        <f>IF(SUM(T$72:T75)&gt;=T$58,0,T$58/T$62)</f>
        <v>149.90909090909091</v>
      </c>
      <c r="U76" s="118">
        <f t="shared" ref="U76:W85" si="67">T76*(1+U$54)</f>
        <v>152.43332744819458</v>
      </c>
      <c r="V76" s="118">
        <f t="shared" si="67"/>
        <v>152.73361753830028</v>
      </c>
      <c r="W76" s="118">
        <f t="shared" si="67"/>
        <v>150.12776606924228</v>
      </c>
      <c r="X76" s="118">
        <f t="shared" si="64"/>
        <v>140.54165623032705</v>
      </c>
      <c r="Y76" s="118">
        <f t="shared" si="64"/>
        <v>140.41796007064426</v>
      </c>
      <c r="Z76" s="118">
        <f t="shared" si="65"/>
        <v>137.35109081721848</v>
      </c>
      <c r="AA76" s="118">
        <f t="shared" si="65"/>
        <v>138.09882455762079</v>
      </c>
      <c r="AB76" s="118">
        <f t="shared" si="65"/>
        <v>138.82093657967985</v>
      </c>
      <c r="AC76" s="118">
        <f t="shared" si="65"/>
        <v>139.51608189928425</v>
      </c>
      <c r="AD76" s="118"/>
    </row>
    <row r="77" spans="1:30" outlineLevel="1" x14ac:dyDescent="0.2">
      <c r="A77" s="17"/>
      <c r="B77" s="114" t="s">
        <v>483</v>
      </c>
      <c r="C77" s="85">
        <f>IF(SUM(C$72:C76)&gt;=C$58,0,C$58/$C$62)</f>
        <v>128.18</v>
      </c>
      <c r="D77" s="85">
        <f>IF(SUM(D$72:D76)&gt;=D$58,0,D$58/D$62)</f>
        <v>116.74000000000001</v>
      </c>
      <c r="E77" s="85">
        <f>IF(SUM(E$72:E76)&gt;=E$58,0,E$58/E$62)</f>
        <v>126.25</v>
      </c>
      <c r="F77" s="85">
        <f>IF(SUM(F$72:F76)&gt;=F$58,0,F$58/F$62)</f>
        <v>115.125</v>
      </c>
      <c r="G77" s="85">
        <f>IF(SUM(G$72:G76)&gt;=G$58,0,G$58/G$62)</f>
        <v>120.6875</v>
      </c>
      <c r="H77" s="85">
        <f>IF(SUM(H$72:H76)&gt;=H$58,0,H$58/H$62)</f>
        <v>115.3125</v>
      </c>
      <c r="I77" s="85">
        <f>IF(SUM(I$72:I76)&gt;=I$58,0,I$58/I$62)</f>
        <v>137.42857142857142</v>
      </c>
      <c r="J77" s="85">
        <f>IF(SUM(J$72:J76)&gt;=J$58,0,J$58/J$62)</f>
        <v>138.78571428571428</v>
      </c>
      <c r="K77" s="85">
        <f>IF(SUM(K$72:K76)&gt;=K$58,0,K$58/K$62)</f>
        <v>143.69230769230768</v>
      </c>
      <c r="L77" s="85">
        <f>IF(SUM(L$72:L76)&gt;=L$58,0,L$58/L$62)</f>
        <v>139</v>
      </c>
      <c r="M77" s="85">
        <f>IF(SUM(M$72:M76)&gt;=M$58,0,M$58/M$62)</f>
        <v>170</v>
      </c>
      <c r="N77" s="85">
        <f>IF(SUM(N$72:N76)&gt;=N$58,0,N$58/N$62)</f>
        <v>166</v>
      </c>
      <c r="O77" s="118">
        <f>IF(SUM(O$72:O76)&gt;=O$58,0,O$58/O$62)</f>
        <v>161.90909090909091</v>
      </c>
      <c r="P77" s="118">
        <f>IF(SUM(P$72:P76)&gt;=P$58,0,P$58/P$62)</f>
        <v>155.36363636363637</v>
      </c>
      <c r="Q77" s="118">
        <f>IF(SUM(Q$72:Q76)&gt;=Q$58,0,Q$58/Q$62)</f>
        <v>142.45454545454547</v>
      </c>
      <c r="R77" s="118">
        <f>IF(SUM(R$72:R76)&gt;=R$58,0,R$58/R$62)</f>
        <v>143.72727272727272</v>
      </c>
      <c r="S77" s="118">
        <f>IF(SUM(S$72:S76)&gt;=S$58,0,S$58/S$62)</f>
        <v>153.54545454545453</v>
      </c>
      <c r="T77" s="118">
        <f>IF(SUM(T$72:T76)&gt;=T$58,0,T$58/T$62)</f>
        <v>149.90909090909091</v>
      </c>
      <c r="U77" s="118">
        <f t="shared" si="67"/>
        <v>152.43332744819458</v>
      </c>
      <c r="V77" s="118">
        <f t="shared" si="67"/>
        <v>152.73361753830028</v>
      </c>
      <c r="W77" s="118">
        <f t="shared" si="67"/>
        <v>150.12776606924228</v>
      </c>
      <c r="X77" s="118">
        <f t="shared" si="64"/>
        <v>140.54165623032705</v>
      </c>
      <c r="Y77" s="118">
        <f t="shared" si="64"/>
        <v>140.41796007064426</v>
      </c>
      <c r="Z77" s="118">
        <f t="shared" si="65"/>
        <v>137.35109081721848</v>
      </c>
      <c r="AA77" s="118">
        <f t="shared" si="65"/>
        <v>138.09882455762079</v>
      </c>
      <c r="AB77" s="118">
        <f t="shared" si="65"/>
        <v>138.82093657967985</v>
      </c>
      <c r="AC77" s="118">
        <f t="shared" si="65"/>
        <v>139.51608189928425</v>
      </c>
      <c r="AD77" s="118"/>
    </row>
    <row r="78" spans="1:30" outlineLevel="1" x14ac:dyDescent="0.2">
      <c r="A78" s="17"/>
      <c r="B78" s="114" t="s">
        <v>484</v>
      </c>
      <c r="C78" s="85">
        <f>IF(SUM(C$72:C77)&gt;=C$58,0,C$58/$C$62)</f>
        <v>128.18</v>
      </c>
      <c r="D78" s="85">
        <f>IF(SUM(D$72:D77)&gt;=D$58,0,D$58/D$62)</f>
        <v>116.74000000000001</v>
      </c>
      <c r="E78" s="85">
        <f>IF(SUM(E$72:E77)&gt;=E$58,0,E$58/E$62)</f>
        <v>126.25</v>
      </c>
      <c r="F78" s="85">
        <f>IF(SUM(F$72:F77)&gt;=F$58,0,F$58/F$62)</f>
        <v>115.125</v>
      </c>
      <c r="G78" s="85">
        <f>IF(SUM(G$72:G77)&gt;=G$58,0,G$58/G$62)</f>
        <v>120.6875</v>
      </c>
      <c r="H78" s="85">
        <f>IF(SUM(H$72:H77)&gt;=H$58,0,H$58/H$62)</f>
        <v>115.3125</v>
      </c>
      <c r="I78" s="85">
        <f>IF(SUM(I$72:I77)&gt;=I$58,0,I$58/I$62)</f>
        <v>137.42857142857142</v>
      </c>
      <c r="J78" s="85">
        <f>IF(SUM(J$72:J77)&gt;=J$58,0,J$58/J$62)</f>
        <v>138.78571428571428</v>
      </c>
      <c r="K78" s="85">
        <f>IF(SUM(K$72:K77)&gt;=K$58,0,K$58/K$62)</f>
        <v>143.69230769230768</v>
      </c>
      <c r="L78" s="85">
        <f>IF(SUM(L$72:L77)&gt;=L$58,0,L$58/L$62)</f>
        <v>139</v>
      </c>
      <c r="M78" s="85">
        <f>IF(SUM(M$72:M77)&gt;=M$58,0,M$58/M$62)</f>
        <v>170</v>
      </c>
      <c r="N78" s="85">
        <f>IF(SUM(N$72:N77)&gt;=N$58,0,N$58/N$62)</f>
        <v>166</v>
      </c>
      <c r="O78" s="118">
        <f>IF(SUM(O$72:O77)&gt;=O$58,0,O$58/O$62)</f>
        <v>161.90909090909091</v>
      </c>
      <c r="P78" s="118">
        <f>IF(SUM(P$72:P77)&gt;=P$58,0,P$58/P$62)</f>
        <v>155.36363636363637</v>
      </c>
      <c r="Q78" s="118">
        <f>IF(SUM(Q$72:Q77)&gt;=Q$58,0,Q$58/Q$62)</f>
        <v>142.45454545454547</v>
      </c>
      <c r="R78" s="118">
        <f>IF(SUM(R$72:R77)&gt;=R$58,0,R$58/R$62)</f>
        <v>143.72727272727272</v>
      </c>
      <c r="S78" s="118">
        <f>IF(SUM(S$72:S77)&gt;=S$58,0,S$58/S$62)</f>
        <v>153.54545454545453</v>
      </c>
      <c r="T78" s="118">
        <f>IF(SUM(T$72:T77)&gt;=T$58,0,T$58/T$62)</f>
        <v>149.90909090909091</v>
      </c>
      <c r="U78" s="118">
        <f t="shared" si="67"/>
        <v>152.43332744819458</v>
      </c>
      <c r="V78" s="118">
        <f t="shared" si="67"/>
        <v>152.73361753830028</v>
      </c>
      <c r="W78" s="118">
        <f t="shared" si="67"/>
        <v>150.12776606924228</v>
      </c>
      <c r="X78" s="118">
        <f t="shared" si="64"/>
        <v>140.54165623032705</v>
      </c>
      <c r="Y78" s="118">
        <f t="shared" si="64"/>
        <v>140.41796007064426</v>
      </c>
      <c r="Z78" s="118">
        <f t="shared" si="65"/>
        <v>137.35109081721848</v>
      </c>
      <c r="AA78" s="118">
        <f t="shared" si="65"/>
        <v>138.09882455762079</v>
      </c>
      <c r="AB78" s="118">
        <f t="shared" si="65"/>
        <v>138.82093657967985</v>
      </c>
      <c r="AC78" s="118">
        <f t="shared" si="65"/>
        <v>139.51608189928425</v>
      </c>
      <c r="AD78" s="118"/>
    </row>
    <row r="79" spans="1:30" outlineLevel="1" x14ac:dyDescent="0.2">
      <c r="A79" s="17"/>
      <c r="B79" s="114" t="s">
        <v>485</v>
      </c>
      <c r="C79" s="85">
        <f>IF(SUM(C$72:C78)&gt;=C$58,0,C$58/$C$62)</f>
        <v>128.18</v>
      </c>
      <c r="D79" s="85">
        <f>IF(SUM(D$72:D78)&gt;=D$58,0,D$58/D$62)</f>
        <v>116.74000000000001</v>
      </c>
      <c r="E79" s="85">
        <f>IF(SUM(E$72:E78)&gt;=E$58,0,E$58/E$62)</f>
        <v>126.25</v>
      </c>
      <c r="F79" s="85">
        <f>IF(SUM(F$72:F78)&gt;=F$58,0,F$58/F$62)</f>
        <v>115.125</v>
      </c>
      <c r="G79" s="85">
        <f>IF(SUM(G$72:G78)&gt;=G$58,0,G$58/G$62)</f>
        <v>120.6875</v>
      </c>
      <c r="H79" s="85">
        <f>IF(SUM(H$72:H78)&gt;=H$58,0,H$58/H$62)</f>
        <v>115.3125</v>
      </c>
      <c r="I79" s="85">
        <f>IF(SUM(I$72:I78)&gt;=I$58,0,I$58/I$62)</f>
        <v>137.42857142857142</v>
      </c>
      <c r="J79" s="85">
        <f>IF(SUM(J$72:J78)&gt;=J$58,0,J$58/J$62)</f>
        <v>138.78571428571428</v>
      </c>
      <c r="K79" s="85">
        <f>IF(SUM(K$72:K78)&gt;=K$58,0,K$58/K$62)</f>
        <v>143.69230769230768</v>
      </c>
      <c r="L79" s="85">
        <f>IF(SUM(L$72:L78)&gt;=L$58,0,L$58/L$62)</f>
        <v>139</v>
      </c>
      <c r="M79" s="85">
        <f>IF(SUM(M$72:M78)&gt;=M$58,0,M$58/M$62)</f>
        <v>170</v>
      </c>
      <c r="N79" s="85">
        <f>IF(SUM(N$72:N78)&gt;=N$58,0,N$58/N$62)</f>
        <v>166</v>
      </c>
      <c r="O79" s="118">
        <f>IF(SUM(O$72:O78)&gt;=O$58,0,O$58/O$62)</f>
        <v>161.90909090909091</v>
      </c>
      <c r="P79" s="118">
        <f>IF(SUM(P$72:P78)&gt;=P$58,0,P$58/P$62)</f>
        <v>155.36363636363637</v>
      </c>
      <c r="Q79" s="118">
        <f>IF(SUM(Q$72:Q78)&gt;=Q$58,0,Q$58/Q$62)</f>
        <v>142.45454545454547</v>
      </c>
      <c r="R79" s="118">
        <f>IF(SUM(R$72:R78)&gt;=R$58,0,R$58/R$62)</f>
        <v>143.72727272727272</v>
      </c>
      <c r="S79" s="118">
        <f>IF(SUM(S$72:S78)&gt;=S$58,0,S$58/S$62)</f>
        <v>153.54545454545453</v>
      </c>
      <c r="T79" s="118">
        <f>IF(SUM(T$72:T78)&gt;=T$58,0,T$58/T$62)</f>
        <v>149.90909090909091</v>
      </c>
      <c r="U79" s="118">
        <f t="shared" si="67"/>
        <v>152.43332744819458</v>
      </c>
      <c r="V79" s="118">
        <f t="shared" si="67"/>
        <v>152.73361753830028</v>
      </c>
      <c r="W79" s="118">
        <f t="shared" si="67"/>
        <v>150.12776606924228</v>
      </c>
      <c r="X79" s="118">
        <f t="shared" si="64"/>
        <v>140.54165623032705</v>
      </c>
      <c r="Y79" s="118">
        <f t="shared" si="64"/>
        <v>140.41796007064426</v>
      </c>
      <c r="Z79" s="118">
        <f t="shared" si="65"/>
        <v>137.35109081721848</v>
      </c>
      <c r="AA79" s="118">
        <f t="shared" si="65"/>
        <v>138.09882455762079</v>
      </c>
      <c r="AB79" s="118">
        <f t="shared" si="65"/>
        <v>138.82093657967985</v>
      </c>
      <c r="AC79" s="118">
        <f t="shared" si="65"/>
        <v>139.51608189928425</v>
      </c>
      <c r="AD79" s="118"/>
    </row>
    <row r="80" spans="1:30" outlineLevel="1" x14ac:dyDescent="0.2">
      <c r="A80" s="17"/>
      <c r="B80" s="114" t="s">
        <v>486</v>
      </c>
      <c r="C80" s="85">
        <f>IF(SUM(C$72:C79)&gt;=C$58,0,C$58/$C$62)</f>
        <v>128.18</v>
      </c>
      <c r="D80" s="85">
        <f>IF(SUM(D$72:D79)&gt;=D$58,0,D$58/D$62)</f>
        <v>116.74000000000001</v>
      </c>
      <c r="E80" s="85">
        <f>IF(SUM(E$72:E79)&gt;=E$58,0,E$58/E$62)</f>
        <v>0</v>
      </c>
      <c r="F80" s="85">
        <f>IF(SUM(F$72:F79)&gt;=F$58,0,F$58/F$62)</f>
        <v>0</v>
      </c>
      <c r="G80" s="85">
        <f>IF(SUM(G$72:G79)&gt;=G$58,0,G$58/G$62)</f>
        <v>120.6875</v>
      </c>
      <c r="H80" s="85">
        <f>IF(SUM(H$72:H79)&gt;=H$58,0,H$58/H$62)</f>
        <v>115.3125</v>
      </c>
      <c r="I80" s="85">
        <f>IF(SUM(I$72:I79)&gt;=I$58,0,I$58/I$62)</f>
        <v>137.42857142857142</v>
      </c>
      <c r="J80" s="85">
        <f>IF(SUM(J$72:J79)&gt;=J$58,0,J$58/J$62)</f>
        <v>138.78571428571428</v>
      </c>
      <c r="K80" s="85">
        <f>IF(SUM(K$72:K79)&gt;=K$58,0,K$58/K$62)</f>
        <v>143.69230769230768</v>
      </c>
      <c r="L80" s="85">
        <f>IF(SUM(L$72:L79)&gt;=L$58,0,L$58/L$62)</f>
        <v>139</v>
      </c>
      <c r="M80" s="85">
        <f>IF(SUM(M$72:M79)&gt;=M$58,0,M$58/M$62)</f>
        <v>170</v>
      </c>
      <c r="N80" s="85">
        <f>IF(SUM(N$72:N79)&gt;=N$58,0,N$58/N$62)</f>
        <v>166</v>
      </c>
      <c r="O80" s="118">
        <f>IF(SUM(O$72:O79)&gt;=O$58,0,O$58/O$62)</f>
        <v>161.90909090909091</v>
      </c>
      <c r="P80" s="118">
        <f>IF(SUM(P$72:P79)&gt;=P$58,0,P$58/P$62)</f>
        <v>155.36363636363637</v>
      </c>
      <c r="Q80" s="118">
        <f>IF(SUM(Q$72:Q79)&gt;=Q$58,0,Q$58/Q$62)</f>
        <v>142.45454545454547</v>
      </c>
      <c r="R80" s="118">
        <f>IF(SUM(R$72:R79)&gt;=R$58,0,R$58/R$62)</f>
        <v>143.72727272727272</v>
      </c>
      <c r="S80" s="118">
        <f>IF(SUM(S$72:S79)&gt;=S$58,0,S$58/S$62)</f>
        <v>153.54545454545453</v>
      </c>
      <c r="T80" s="118">
        <f>IF(SUM(T$72:T79)&gt;=T$58,0,T$58/T$62)</f>
        <v>149.90909090909091</v>
      </c>
      <c r="U80" s="118">
        <f t="shared" si="67"/>
        <v>152.43332744819458</v>
      </c>
      <c r="V80" s="118">
        <f t="shared" si="67"/>
        <v>152.73361753830028</v>
      </c>
      <c r="W80" s="118">
        <f t="shared" si="67"/>
        <v>150.12776606924228</v>
      </c>
      <c r="X80" s="118">
        <f t="shared" si="64"/>
        <v>140.54165623032705</v>
      </c>
      <c r="Y80" s="118">
        <f t="shared" si="64"/>
        <v>140.41796007064426</v>
      </c>
      <c r="Z80" s="118">
        <f t="shared" si="65"/>
        <v>137.35109081721848</v>
      </c>
      <c r="AA80" s="118">
        <f t="shared" si="65"/>
        <v>138.09882455762079</v>
      </c>
      <c r="AB80" s="118">
        <f t="shared" si="65"/>
        <v>138.82093657967985</v>
      </c>
      <c r="AC80" s="118">
        <f t="shared" si="65"/>
        <v>139.51608189928425</v>
      </c>
      <c r="AD80" s="118"/>
    </row>
    <row r="81" spans="1:30" outlineLevel="1" x14ac:dyDescent="0.2">
      <c r="A81" s="17"/>
      <c r="B81" s="114" t="s">
        <v>487</v>
      </c>
      <c r="C81" s="85">
        <f>IF(SUM(C$72:C80)&gt;=C$58,0,C$58/$C$62)</f>
        <v>128.18</v>
      </c>
      <c r="D81" s="85">
        <f>IF(SUM(D$72:D80)&gt;=D$58,0,D$58/D$62)</f>
        <v>116.74000000000001</v>
      </c>
      <c r="E81" s="85">
        <f>IF(SUM(E$72:E80)&gt;=E$58,0,E$58/E$62)</f>
        <v>0</v>
      </c>
      <c r="F81" s="85">
        <f>IF(SUM(F$72:F80)&gt;=F$58,0,F$58/F$62)</f>
        <v>0</v>
      </c>
      <c r="G81" s="85">
        <f>IF(SUM(G$72:G80)&gt;=G$58,0,G$58/G$62)</f>
        <v>120.6875</v>
      </c>
      <c r="H81" s="85">
        <f>IF(SUM(H$72:H80)&gt;=H$58,0,H$58/H$62)</f>
        <v>115.3125</v>
      </c>
      <c r="I81" s="85">
        <f>IF(SUM(I$72:I80)&gt;=I$58,0,I$58/I$62)</f>
        <v>137.42857142857142</v>
      </c>
      <c r="J81" s="85">
        <f>IF(SUM(J$72:J80)&gt;=J$58,0,J$58/J$62)</f>
        <v>138.78571428571428</v>
      </c>
      <c r="K81" s="85">
        <f>IF(SUM(K$72:K80)&gt;=K$58,0,K$58/K$62)</f>
        <v>143.69230769230768</v>
      </c>
      <c r="L81" s="85">
        <f>IF(SUM(L$72:L80)&gt;=L$58,0,L$58/L$62)</f>
        <v>139</v>
      </c>
      <c r="M81" s="85">
        <f>IF(SUM(M$72:M80)&gt;=M$58,0,M$58/M$62)</f>
        <v>170</v>
      </c>
      <c r="N81" s="85">
        <f>IF(SUM(N$72:N80)&gt;=N$58,0,N$58/N$62)</f>
        <v>166</v>
      </c>
      <c r="O81" s="118">
        <f>IF(SUM(O$72:O80)&gt;=O$58,0,O$58/O$62)</f>
        <v>161.90909090909091</v>
      </c>
      <c r="P81" s="118">
        <f>IF(SUM(P$72:P80)&gt;=P$58,0,P$58/P$62)</f>
        <v>155.36363636363637</v>
      </c>
      <c r="Q81" s="118">
        <f>IF(SUM(Q$72:Q80)&gt;=Q$58,0,Q$58/Q$62)</f>
        <v>142.45454545454547</v>
      </c>
      <c r="R81" s="118">
        <f>IF(SUM(R$72:R80)&gt;=R$58,0,R$58/R$62)</f>
        <v>143.72727272727272</v>
      </c>
      <c r="S81" s="118">
        <f>IF(SUM(S$72:S80)&gt;=S$58,0,S$58/S$62)</f>
        <v>153.54545454545453</v>
      </c>
      <c r="T81" s="118">
        <f>IF(SUM(T$72:T80)&gt;=T$58,0,T$58/T$62)</f>
        <v>149.90909090909091</v>
      </c>
      <c r="U81" s="118">
        <f t="shared" si="67"/>
        <v>152.43332744819458</v>
      </c>
      <c r="V81" s="118">
        <f t="shared" si="67"/>
        <v>152.73361753830028</v>
      </c>
      <c r="W81" s="118">
        <f t="shared" si="67"/>
        <v>150.12776606924228</v>
      </c>
      <c r="X81" s="118">
        <f t="shared" si="64"/>
        <v>140.54165623032705</v>
      </c>
      <c r="Y81" s="118">
        <f t="shared" si="64"/>
        <v>140.41796007064426</v>
      </c>
      <c r="Z81" s="118">
        <f t="shared" si="65"/>
        <v>137.35109081721848</v>
      </c>
      <c r="AA81" s="118">
        <f t="shared" si="65"/>
        <v>138.09882455762079</v>
      </c>
      <c r="AB81" s="118">
        <f t="shared" si="65"/>
        <v>138.82093657967985</v>
      </c>
      <c r="AC81" s="118">
        <f t="shared" si="65"/>
        <v>139.51608189928425</v>
      </c>
      <c r="AD81" s="118"/>
    </row>
    <row r="82" spans="1:30" outlineLevel="1" x14ac:dyDescent="0.2">
      <c r="A82" s="17"/>
      <c r="B82" s="114" t="s">
        <v>488</v>
      </c>
      <c r="C82" s="85">
        <f>IF(SUM(C$72:C81)&gt;=C$58,0,C$58/$C$62)</f>
        <v>0</v>
      </c>
      <c r="D82" s="85">
        <f>IF(SUM(D$72:D81)&gt;=D$58,0,D$58/D$62)</f>
        <v>0</v>
      </c>
      <c r="E82" s="85">
        <f>IF(SUM(E$72:E81)&gt;=E$58,0,E$58/E$62)</f>
        <v>0</v>
      </c>
      <c r="F82" s="85">
        <f>IF(SUM(F$72:F81)&gt;=F$58,0,F$58/F$62)</f>
        <v>0</v>
      </c>
      <c r="G82" s="85">
        <f>IF(SUM(G$72:G81)&gt;=G$58,0,G$58/G$62)</f>
        <v>120.6875</v>
      </c>
      <c r="H82" s="85">
        <f>IF(SUM(H$72:H81)&gt;=H$58,0,H$58/H$62)</f>
        <v>115.3125</v>
      </c>
      <c r="I82" s="85">
        <f>IF(SUM(I$72:I81)&gt;=I$58,0,I$58/I$62)</f>
        <v>137.42857142857142</v>
      </c>
      <c r="J82" s="85">
        <f>IF(SUM(J$72:J81)&gt;=J$58,0,J$58/J$62)</f>
        <v>138.78571428571428</v>
      </c>
      <c r="K82" s="85">
        <f>IF(SUM(K$72:K81)&gt;=K$58,0,K$58/K$62)</f>
        <v>143.69230769230768</v>
      </c>
      <c r="L82" s="85">
        <f>IF(SUM(L$72:L81)&gt;=L$58,0,L$58/L$62)</f>
        <v>139</v>
      </c>
      <c r="M82" s="85">
        <f>IF(SUM(M$72:M81)&gt;=M$58,0,M$58/M$62)</f>
        <v>170</v>
      </c>
      <c r="N82" s="85">
        <f>IF(SUM(N$72:N81)&gt;=N$58,0,N$58/N$62)</f>
        <v>166</v>
      </c>
      <c r="O82" s="118">
        <f>IF(SUM(O$72:O81)&gt;=O$58,0,O$58/O$62)</f>
        <v>161.90909090909091</v>
      </c>
      <c r="P82" s="118">
        <f>IF(SUM(P$72:P81)&gt;=P$58,0,P$58/P$62)</f>
        <v>155.36363636363637</v>
      </c>
      <c r="Q82" s="118">
        <f>IF(SUM(Q$72:Q81)&gt;=Q$58,0,Q$58/Q$62)</f>
        <v>142.45454545454547</v>
      </c>
      <c r="R82" s="118">
        <f>IF(SUM(R$72:R81)&gt;=R$58,0,R$58/R$62)</f>
        <v>143.72727272727272</v>
      </c>
      <c r="S82" s="118">
        <f>IF(SUM(S$72:S81)&gt;=S$58,0,S$58/S$62)</f>
        <v>153.54545454545453</v>
      </c>
      <c r="T82" s="118">
        <f>IF(SUM(T$72:T81)&gt;=T$58,0,T$58/T$62)</f>
        <v>149.90909090909091</v>
      </c>
      <c r="U82" s="118">
        <f t="shared" si="67"/>
        <v>152.43332744819458</v>
      </c>
      <c r="V82" s="118">
        <f t="shared" si="67"/>
        <v>152.73361753830028</v>
      </c>
      <c r="W82" s="118">
        <f t="shared" si="67"/>
        <v>150.12776606924228</v>
      </c>
      <c r="X82" s="118">
        <f t="shared" si="64"/>
        <v>140.54165623032705</v>
      </c>
      <c r="Y82" s="118">
        <f t="shared" si="64"/>
        <v>140.41796007064426</v>
      </c>
      <c r="Z82" s="118">
        <f t="shared" si="65"/>
        <v>137.35109081721848</v>
      </c>
      <c r="AA82" s="118">
        <f t="shared" si="65"/>
        <v>138.09882455762079</v>
      </c>
      <c r="AB82" s="118">
        <f t="shared" si="65"/>
        <v>138.82093657967985</v>
      </c>
      <c r="AC82" s="118">
        <f t="shared" si="65"/>
        <v>139.51608189928425</v>
      </c>
      <c r="AD82" s="118"/>
    </row>
    <row r="83" spans="1:30" outlineLevel="1" x14ac:dyDescent="0.2">
      <c r="A83" s="17"/>
      <c r="B83" s="114" t="s">
        <v>489</v>
      </c>
      <c r="C83" s="85">
        <f>IF(SUM(C$72:C82)&gt;=C$58,0,C$58/$C$62)</f>
        <v>0</v>
      </c>
      <c r="D83" s="85">
        <f>IF(SUM(D$72:D82)&gt;=D$58,0,D$58/D$62)</f>
        <v>0</v>
      </c>
      <c r="E83" s="85">
        <f>IF(SUM(E$72:E82)&gt;=E$58,0,E$58/E$62)</f>
        <v>0</v>
      </c>
      <c r="F83" s="85">
        <f>IF(SUM(F$72:F82)&gt;=F$58,0,F$58/F$62)</f>
        <v>0</v>
      </c>
      <c r="G83" s="85">
        <f>IF(SUM(G$72:G82)&gt;=G$58,0,G$58/G$62)</f>
        <v>120.6875</v>
      </c>
      <c r="H83" s="85">
        <f>IF(SUM(H$72:H82)&gt;=H$58,0,H$58/H$62)</f>
        <v>115.3125</v>
      </c>
      <c r="I83" s="85">
        <f>IF(SUM(I$72:I82)&gt;=I$58,0,I$58/I$62)</f>
        <v>137.42857142857142</v>
      </c>
      <c r="J83" s="85">
        <f>IF(SUM(J$72:J82)&gt;=J$58,0,J$58/J$62)</f>
        <v>138.78571428571428</v>
      </c>
      <c r="K83" s="85">
        <f>IF(SUM(K$72:K82)&gt;=K$58,0,K$58/K$62)</f>
        <v>143.69230769230768</v>
      </c>
      <c r="L83" s="85">
        <f>IF(SUM(L$72:L82)&gt;=L$58,0,L$58/L$62)</f>
        <v>139</v>
      </c>
      <c r="M83" s="85">
        <f>IF(SUM(M$72:M82)&gt;=M$58,0,M$58/M$62)</f>
        <v>170</v>
      </c>
      <c r="N83" s="85">
        <f>IF(SUM(N$72:N82)&gt;=N$58,0,N$58/N$62)</f>
        <v>0</v>
      </c>
      <c r="O83" s="118">
        <f>IF(SUM(O$72:O82)&gt;=O$58,0,O$58/O$62)</f>
        <v>0</v>
      </c>
      <c r="P83" s="118">
        <f>IF(SUM(P$72:P82)&gt;=P$58,0,P$58/P$62)</f>
        <v>0</v>
      </c>
      <c r="Q83" s="118">
        <f>IF(SUM(Q$72:Q82)&gt;=Q$58,0,Q$58/Q$62)</f>
        <v>0</v>
      </c>
      <c r="R83" s="118">
        <f>IF(SUM(R$72:R82)&gt;=R$58,0,R$58/R$62)</f>
        <v>0</v>
      </c>
      <c r="S83" s="118">
        <f>IF(SUM(S$72:S82)&gt;=S$58,0,S$58/S$62)</f>
        <v>0</v>
      </c>
      <c r="T83" s="118">
        <f>IF(SUM(T$72:T82)&gt;=T$58,0,T$58/T$62)</f>
        <v>0</v>
      </c>
      <c r="U83" s="118">
        <f t="shared" si="67"/>
        <v>0</v>
      </c>
      <c r="V83" s="118">
        <f t="shared" si="67"/>
        <v>0</v>
      </c>
      <c r="W83" s="118">
        <f t="shared" si="67"/>
        <v>0</v>
      </c>
      <c r="X83" s="118">
        <f t="shared" si="64"/>
        <v>0</v>
      </c>
      <c r="Y83" s="118">
        <f t="shared" si="64"/>
        <v>0</v>
      </c>
      <c r="Z83" s="118">
        <f t="shared" si="65"/>
        <v>0</v>
      </c>
      <c r="AA83" s="118">
        <f t="shared" si="65"/>
        <v>0</v>
      </c>
      <c r="AB83" s="118">
        <f t="shared" si="65"/>
        <v>0</v>
      </c>
      <c r="AC83" s="118">
        <f t="shared" si="65"/>
        <v>0</v>
      </c>
      <c r="AD83" s="118"/>
    </row>
    <row r="84" spans="1:30" outlineLevel="1" x14ac:dyDescent="0.2">
      <c r="A84" s="17"/>
      <c r="B84" s="114" t="s">
        <v>490</v>
      </c>
      <c r="C84" s="85">
        <f>IF(SUM(C$72:C83)&gt;=C$58,0,C$58/$C$62)</f>
        <v>0</v>
      </c>
      <c r="D84" s="85">
        <f>IF(SUM(D$72:D83)&gt;=D$58,0,D$58/D$62)</f>
        <v>0</v>
      </c>
      <c r="E84" s="85">
        <f>IF(SUM(E$72:E83)&gt;=E$58,0,E$58/E$62)</f>
        <v>0</v>
      </c>
      <c r="F84" s="85">
        <f>IF(SUM(F$72:F83)&gt;=F$58,0,F$58/F$62)</f>
        <v>0</v>
      </c>
      <c r="G84" s="85">
        <f>IF(SUM(G$72:G83)&gt;=G$58,0,G$58/G$62)</f>
        <v>120.6875</v>
      </c>
      <c r="H84" s="85">
        <f>IF(SUM(H$72:H83)&gt;=H$58,0,H$58/H$62)</f>
        <v>115.3125</v>
      </c>
      <c r="I84" s="85">
        <f>IF(SUM(I$72:I83)&gt;=I$58,0,I$58/I$62)</f>
        <v>137.42857142857142</v>
      </c>
      <c r="J84" s="85">
        <f>IF(SUM(J$72:J83)&gt;=J$58,0,J$58/J$62)</f>
        <v>138.78571428571428</v>
      </c>
      <c r="K84" s="85">
        <f>IF(SUM(K$72:K83)&gt;=K$58,0,K$58/K$62)</f>
        <v>143.69230769230768</v>
      </c>
      <c r="L84" s="85">
        <f>IF(SUM(L$72:L83)&gt;=L$58,0,L$58/L$62)</f>
        <v>139</v>
      </c>
      <c r="M84" s="85">
        <f>IF(SUM(M$72:M83)&gt;=M$58,0,M$58/M$62)</f>
        <v>170</v>
      </c>
      <c r="N84" s="85">
        <f>IF(SUM(N$72:N83)&gt;=N$58,0,N$58/N$62)</f>
        <v>0</v>
      </c>
      <c r="O84" s="118">
        <f>IF(SUM(O$72:O83)&gt;=O$58,0,O$58/O$62)</f>
        <v>0</v>
      </c>
      <c r="P84" s="118">
        <f>IF(SUM(P$72:P83)&gt;=P$58,0,P$58/P$62)</f>
        <v>0</v>
      </c>
      <c r="Q84" s="118">
        <f>IF(SUM(Q$72:Q83)&gt;=Q$58,0,Q$58/Q$62)</f>
        <v>0</v>
      </c>
      <c r="R84" s="118">
        <f>IF(SUM(R$72:R83)&gt;=R$58,0,R$58/R$62)</f>
        <v>0</v>
      </c>
      <c r="S84" s="118">
        <f>IF(SUM(S$72:S83)&gt;=S$58,0,S$58/S$62)</f>
        <v>0</v>
      </c>
      <c r="T84" s="118">
        <f>IF(SUM(T$72:T83)&gt;=T$58,0,T$58/T$62)</f>
        <v>0</v>
      </c>
      <c r="U84" s="118">
        <f t="shared" si="67"/>
        <v>0</v>
      </c>
      <c r="V84" s="118">
        <f t="shared" si="67"/>
        <v>0</v>
      </c>
      <c r="W84" s="118">
        <f t="shared" si="67"/>
        <v>0</v>
      </c>
      <c r="X84" s="118">
        <f t="shared" si="64"/>
        <v>0</v>
      </c>
      <c r="Y84" s="118">
        <f t="shared" si="64"/>
        <v>0</v>
      </c>
      <c r="Z84" s="118">
        <f t="shared" si="65"/>
        <v>0</v>
      </c>
      <c r="AA84" s="118">
        <f t="shared" si="65"/>
        <v>0</v>
      </c>
      <c r="AB84" s="118">
        <f t="shared" si="65"/>
        <v>0</v>
      </c>
      <c r="AC84" s="118">
        <f t="shared" si="65"/>
        <v>0</v>
      </c>
      <c r="AD84" s="118"/>
    </row>
    <row r="85" spans="1:30" outlineLevel="1" x14ac:dyDescent="0.2">
      <c r="A85" s="17"/>
      <c r="B85" s="114" t="s">
        <v>491</v>
      </c>
      <c r="C85" s="85">
        <f>IF(SUM(C$72:C84)&gt;=C$58,0,C$58/$C$62)</f>
        <v>0</v>
      </c>
      <c r="D85" s="85">
        <f>IF(SUM(D$72:D84)&gt;=D$58,0,D$58/D$62)</f>
        <v>0</v>
      </c>
      <c r="E85" s="85">
        <f>IF(SUM(E$72:E84)&gt;=E$58,0,E$58/E$62)</f>
        <v>0</v>
      </c>
      <c r="F85" s="85">
        <f>IF(SUM(F$72:F84)&gt;=F$58,0,F$58/F$62)</f>
        <v>0</v>
      </c>
      <c r="G85" s="85">
        <f>IF(SUM(G$72:G84)&gt;=G$58,0,G$58/G$62)</f>
        <v>120.6875</v>
      </c>
      <c r="H85" s="85">
        <f>IF(SUM(H$72:H84)&gt;=H$58,0,H$58/H$62)</f>
        <v>115.3125</v>
      </c>
      <c r="I85" s="85">
        <f>IF(SUM(I$72:I84)&gt;=I$58,0,I$58/I$62)</f>
        <v>137.42857142857142</v>
      </c>
      <c r="J85" s="85">
        <f>IF(SUM(J$72:J84)&gt;=J$58,0,J$58/J$62)</f>
        <v>138.78571428571428</v>
      </c>
      <c r="K85" s="85">
        <f>IF(SUM(K$72:K84)&gt;=K$58,0,K$58/K$62)</f>
        <v>0</v>
      </c>
      <c r="L85" s="85">
        <f>IF(SUM(L$72:L84)&gt;=L$58,0,L$58/L$62)</f>
        <v>139</v>
      </c>
      <c r="M85" s="85">
        <f>IF(SUM(M$72:M84)&gt;=M$58,0,M$58/M$62)</f>
        <v>170</v>
      </c>
      <c r="N85" s="85">
        <f>IF(SUM(N$72:N84)&gt;=N$58,0,N$58/N$62)</f>
        <v>0</v>
      </c>
      <c r="O85" s="118">
        <f>IF(SUM(O$72:O84)&gt;=O$58,0,O$58/O$62)</f>
        <v>0</v>
      </c>
      <c r="P85" s="118">
        <f>IF(SUM(P$72:P84)&gt;=P$58,0,P$58/P$62)</f>
        <v>0</v>
      </c>
      <c r="Q85" s="118">
        <f>IF(SUM(Q$72:Q84)&gt;=Q$58,0,Q$58/Q$62)</f>
        <v>0</v>
      </c>
      <c r="R85" s="118">
        <f>IF(SUM(R$72:R84)&gt;=R$58,0,R$58/R$62)</f>
        <v>0</v>
      </c>
      <c r="S85" s="118">
        <f>IF(SUM(S$72:S84)&gt;=S$58,0,S$58/S$62)</f>
        <v>0</v>
      </c>
      <c r="T85" s="118">
        <f>IF(SUM(T$72:T84)&gt;=T$58,0,T$58/T$62)</f>
        <v>0</v>
      </c>
      <c r="U85" s="118">
        <f t="shared" si="67"/>
        <v>0</v>
      </c>
      <c r="V85" s="118">
        <f t="shared" si="67"/>
        <v>0</v>
      </c>
      <c r="W85" s="118">
        <f t="shared" si="67"/>
        <v>0</v>
      </c>
      <c r="X85" s="118">
        <f t="shared" si="64"/>
        <v>0</v>
      </c>
      <c r="Y85" s="118">
        <f t="shared" si="64"/>
        <v>0</v>
      </c>
      <c r="Z85" s="118">
        <f t="shared" si="65"/>
        <v>0</v>
      </c>
      <c r="AA85" s="118">
        <f t="shared" si="65"/>
        <v>0</v>
      </c>
      <c r="AB85" s="118">
        <f t="shared" si="65"/>
        <v>0</v>
      </c>
      <c r="AC85" s="118">
        <f t="shared" si="65"/>
        <v>0</v>
      </c>
      <c r="AD85" s="118"/>
    </row>
    <row r="86" spans="1:30" outlineLevel="1" x14ac:dyDescent="0.2">
      <c r="A86" s="17"/>
      <c r="B86" s="114" t="s">
        <v>492</v>
      </c>
      <c r="C86" s="85">
        <f>IF(SUM(C$72:C85)&gt;=C$58,0,C$58/$C$62)</f>
        <v>0</v>
      </c>
      <c r="D86" s="85">
        <f>IF(SUM(D$72:D85)&gt;=D$58,0,D$58/D$62)</f>
        <v>0</v>
      </c>
      <c r="E86" s="85">
        <f>IF(SUM(E$72:E85)&gt;=E$58,0,E$58/E$62)</f>
        <v>0</v>
      </c>
      <c r="F86" s="85">
        <f>IF(SUM(F$72:F85)&gt;=F$58,0,F$58/F$62)</f>
        <v>0</v>
      </c>
      <c r="G86" s="85">
        <f>IF(SUM(G$72:G85)&gt;=G$58,0,G$58/G$62)</f>
        <v>120.6875</v>
      </c>
      <c r="H86" s="85">
        <f>IF(SUM(H$72:H85)&gt;=H$58,0,H$58/H$62)</f>
        <v>115.3125</v>
      </c>
      <c r="I86" s="85">
        <f>IF(SUM(I$72:I85)&gt;=I$58,0,I$58/I$62)</f>
        <v>0</v>
      </c>
      <c r="J86" s="85">
        <f>IF(SUM(J$72:J85)&gt;=J$58,0,J$58/J$62)</f>
        <v>0</v>
      </c>
      <c r="K86" s="85">
        <f>IF(SUM(K$72:K85)&gt;=K$58,0,K$58/K$62)</f>
        <v>0</v>
      </c>
      <c r="L86" s="85">
        <f>IF(SUM(L$72:L85)&gt;=L$58,0,L$58/L$62)</f>
        <v>139</v>
      </c>
      <c r="M86" s="85">
        <f>IF(SUM(M$72:M85)&gt;=M$58,0,M$58/M$62)</f>
        <v>0</v>
      </c>
      <c r="N86" s="85">
        <f>IF(SUM(N$72:N85)&gt;=N$58,0,N$58/N$62)</f>
        <v>0</v>
      </c>
      <c r="O86" s="118">
        <f>IF(SUM(O$72:O85)&gt;=O$58,0,O$58/O$62)</f>
        <v>0</v>
      </c>
      <c r="P86" s="118">
        <f>IF(SUM(P$72:P85)&gt;=P$58,0,P$58/P$62)</f>
        <v>0</v>
      </c>
      <c r="Q86" s="118">
        <f>IF(SUM(Q$72:Q85)&gt;=Q$58,0,Q$58/Q$62)</f>
        <v>0</v>
      </c>
      <c r="R86" s="118">
        <f>IF(SUM(R$72:R85)&gt;=R$58,0,R$58/R$62)</f>
        <v>0</v>
      </c>
      <c r="S86" s="118">
        <f>IF(SUM(S$72:S85)&gt;=S$58,0,S$58/S$62)</f>
        <v>0</v>
      </c>
      <c r="T86" s="118">
        <f>IF(SUM(T$72:T85)&gt;=T$58,0,T$58/T$62)</f>
        <v>0</v>
      </c>
      <c r="U86" s="118">
        <f t="shared" ref="U86:W95" si="68">T86*(1+U$54)</f>
        <v>0</v>
      </c>
      <c r="V86" s="118">
        <f t="shared" si="68"/>
        <v>0</v>
      </c>
      <c r="W86" s="118">
        <f t="shared" si="68"/>
        <v>0</v>
      </c>
      <c r="X86" s="118">
        <f t="shared" si="64"/>
        <v>0</v>
      </c>
      <c r="Y86" s="118">
        <f t="shared" si="64"/>
        <v>0</v>
      </c>
      <c r="Z86" s="118">
        <f t="shared" si="65"/>
        <v>0</v>
      </c>
      <c r="AA86" s="118">
        <f t="shared" si="65"/>
        <v>0</v>
      </c>
      <c r="AB86" s="118">
        <f t="shared" si="65"/>
        <v>0</v>
      </c>
      <c r="AC86" s="118">
        <f t="shared" si="65"/>
        <v>0</v>
      </c>
      <c r="AD86" s="118"/>
    </row>
    <row r="87" spans="1:30" outlineLevel="1" x14ac:dyDescent="0.2">
      <c r="A87" s="17"/>
      <c r="B87" s="114" t="s">
        <v>493</v>
      </c>
      <c r="C87" s="85">
        <f>IF(SUM(C$72:C86)&gt;=C$58,0,C$58/$C$62)</f>
        <v>0</v>
      </c>
      <c r="D87" s="85">
        <f>IF(SUM(D$72:D86)&gt;=D$58,0,D$58/D$62)</f>
        <v>0</v>
      </c>
      <c r="E87" s="85">
        <f>IF(SUM(E$72:E86)&gt;=E$58,0,E$58/E$62)</f>
        <v>0</v>
      </c>
      <c r="F87" s="85">
        <f>IF(SUM(F$72:F86)&gt;=F$58,0,F$58/F$62)</f>
        <v>0</v>
      </c>
      <c r="G87" s="85">
        <f>IF(SUM(G$72:G86)&gt;=G$58,0,G$58/G$62)</f>
        <v>120.6875</v>
      </c>
      <c r="H87" s="85">
        <f>IF(SUM(H$72:H86)&gt;=H$58,0,H$58/H$62)</f>
        <v>115.3125</v>
      </c>
      <c r="I87" s="85">
        <f>IF(SUM(I$72:I86)&gt;=I$58,0,I$58/I$62)</f>
        <v>0</v>
      </c>
      <c r="J87" s="85">
        <f>IF(SUM(J$72:J86)&gt;=J$58,0,J$58/J$62)</f>
        <v>0</v>
      </c>
      <c r="K87" s="85">
        <f>IF(SUM(K$72:K86)&gt;=K$58,0,K$58/K$62)</f>
        <v>0</v>
      </c>
      <c r="L87" s="85">
        <f>IF(SUM(L$72:L86)&gt;=L$58,0,L$58/L$62)</f>
        <v>139</v>
      </c>
      <c r="M87" s="85">
        <f>IF(SUM(M$72:M86)&gt;=M$58,0,M$58/M$62)</f>
        <v>0</v>
      </c>
      <c r="N87" s="85">
        <f>IF(SUM(N$72:N86)&gt;=N$58,0,N$58/N$62)</f>
        <v>0</v>
      </c>
      <c r="O87" s="118">
        <f>IF(SUM(O$72:O86)&gt;=O$58,0,O$58/O$62)</f>
        <v>0</v>
      </c>
      <c r="P87" s="118">
        <f>IF(SUM(P$72:P86)&gt;=P$58,0,P$58/P$62)</f>
        <v>0</v>
      </c>
      <c r="Q87" s="118">
        <f>IF(SUM(Q$72:Q86)&gt;=Q$58,0,Q$58/Q$62)</f>
        <v>0</v>
      </c>
      <c r="R87" s="118">
        <f>IF(SUM(R$72:R86)&gt;=R$58,0,R$58/R$62)</f>
        <v>0</v>
      </c>
      <c r="S87" s="118">
        <f>IF(SUM(S$72:S86)&gt;=S$58,0,S$58/S$62)</f>
        <v>0</v>
      </c>
      <c r="T87" s="118">
        <f>IF(SUM(T$72:T86)&gt;=T$58,0,T$58/T$62)</f>
        <v>0</v>
      </c>
      <c r="U87" s="118">
        <f t="shared" si="68"/>
        <v>0</v>
      </c>
      <c r="V87" s="118">
        <f t="shared" si="68"/>
        <v>0</v>
      </c>
      <c r="W87" s="118">
        <f t="shared" si="68"/>
        <v>0</v>
      </c>
      <c r="X87" s="118">
        <f t="shared" si="64"/>
        <v>0</v>
      </c>
      <c r="Y87" s="118">
        <f t="shared" si="64"/>
        <v>0</v>
      </c>
      <c r="Z87" s="118">
        <f t="shared" si="65"/>
        <v>0</v>
      </c>
      <c r="AA87" s="118">
        <f t="shared" si="65"/>
        <v>0</v>
      </c>
      <c r="AB87" s="118">
        <f t="shared" si="65"/>
        <v>0</v>
      </c>
      <c r="AC87" s="118">
        <f t="shared" si="65"/>
        <v>0</v>
      </c>
      <c r="AD87" s="118"/>
    </row>
    <row r="88" spans="1:30" outlineLevel="1" x14ac:dyDescent="0.2">
      <c r="A88" s="17"/>
      <c r="B88" s="114" t="s">
        <v>494</v>
      </c>
      <c r="C88" s="85">
        <f>IF(SUM(C$72:C87)&gt;=C$58,0,C$58/$C$62)</f>
        <v>0</v>
      </c>
      <c r="D88" s="85">
        <f>IF(SUM(D$72:D87)&gt;=D$58,0,D$58/D$62)</f>
        <v>0</v>
      </c>
      <c r="E88" s="85">
        <f>IF(SUM(E$72:E87)&gt;=E$58,0,E$58/E$62)</f>
        <v>0</v>
      </c>
      <c r="F88" s="85">
        <f>IF(SUM(F$72:F87)&gt;=F$58,0,F$58/F$62)</f>
        <v>0</v>
      </c>
      <c r="G88" s="85">
        <f>IF(SUM(G$72:G87)&gt;=G$58,0,G$58/G$62)</f>
        <v>0</v>
      </c>
      <c r="H88" s="85">
        <f>IF(SUM(H$72:H87)&gt;=H$58,0,H$58/H$62)</f>
        <v>0</v>
      </c>
      <c r="I88" s="85">
        <f>IF(SUM(I$72:I87)&gt;=I$58,0,I$58/I$62)</f>
        <v>0</v>
      </c>
      <c r="J88" s="85">
        <f>IF(SUM(J$72:J87)&gt;=J$58,0,J$58/J$62)</f>
        <v>0</v>
      </c>
      <c r="K88" s="85">
        <f>IF(SUM(K$72:K87)&gt;=K$58,0,K$58/K$62)</f>
        <v>0</v>
      </c>
      <c r="L88" s="85">
        <f>IF(SUM(L$72:L87)&gt;=L$58,0,L$58/L$62)</f>
        <v>0</v>
      </c>
      <c r="M88" s="85">
        <f>IF(SUM(M$72:M87)&gt;=M$58,0,M$58/M$62)</f>
        <v>0</v>
      </c>
      <c r="N88" s="85">
        <f>IF(SUM(N$72:N87)&gt;=N$58,0,N$58/N$62)</f>
        <v>0</v>
      </c>
      <c r="O88" s="118">
        <f>IF(SUM(O$72:O87)&gt;=O$58,0,O$58/O$62)</f>
        <v>0</v>
      </c>
      <c r="P88" s="118">
        <f>IF(SUM(P$72:P87)&gt;=P$58,0,P$58/P$62)</f>
        <v>0</v>
      </c>
      <c r="Q88" s="118">
        <f>IF(SUM(Q$72:Q87)&gt;=Q$58,0,Q$58/Q$62)</f>
        <v>0</v>
      </c>
      <c r="R88" s="118">
        <f>IF(SUM(R$72:R87)&gt;=R$58,0,R$58/R$62)</f>
        <v>0</v>
      </c>
      <c r="S88" s="118">
        <f>IF(SUM(S$72:S87)&gt;=S$58,0,S$58/S$62)</f>
        <v>0</v>
      </c>
      <c r="T88" s="118">
        <f>IF(SUM(T$72:T87)&gt;=T$58,0,T$58/T$62)</f>
        <v>0</v>
      </c>
      <c r="U88" s="118">
        <f t="shared" si="68"/>
        <v>0</v>
      </c>
      <c r="V88" s="118">
        <f t="shared" si="68"/>
        <v>0</v>
      </c>
      <c r="W88" s="118">
        <f t="shared" si="68"/>
        <v>0</v>
      </c>
      <c r="X88" s="118">
        <f t="shared" si="64"/>
        <v>0</v>
      </c>
      <c r="Y88" s="118">
        <f t="shared" si="64"/>
        <v>0</v>
      </c>
      <c r="Z88" s="118">
        <f t="shared" si="65"/>
        <v>0</v>
      </c>
      <c r="AA88" s="118">
        <f t="shared" si="65"/>
        <v>0</v>
      </c>
      <c r="AB88" s="118">
        <f t="shared" si="65"/>
        <v>0</v>
      </c>
      <c r="AC88" s="118">
        <f t="shared" si="65"/>
        <v>0</v>
      </c>
      <c r="AD88" s="118"/>
    </row>
    <row r="89" spans="1:30" outlineLevel="1" x14ac:dyDescent="0.2">
      <c r="A89" s="17"/>
      <c r="B89" s="114" t="s">
        <v>495</v>
      </c>
      <c r="C89" s="85">
        <f>IF(SUM(C$72:C88)&gt;=C$58,0,C$58/$C$62)</f>
        <v>0</v>
      </c>
      <c r="D89" s="85">
        <f>IF(SUM(D$72:D88)&gt;=D$58,0,D$58/D$62)</f>
        <v>0</v>
      </c>
      <c r="E89" s="85">
        <f>IF(SUM(E$72:E88)&gt;=E$58,0,E$58/E$62)</f>
        <v>0</v>
      </c>
      <c r="F89" s="85">
        <f>IF(SUM(F$72:F88)&gt;=F$58,0,F$58/F$62)</f>
        <v>0</v>
      </c>
      <c r="G89" s="85">
        <f>IF(SUM(G$72:G88)&gt;=G$58,0,G$58/G$62)</f>
        <v>0</v>
      </c>
      <c r="H89" s="85">
        <f>IF(SUM(H$72:H88)&gt;=H$58,0,H$58/H$62)</f>
        <v>0</v>
      </c>
      <c r="I89" s="85">
        <f>IF(SUM(I$72:I88)&gt;=I$58,0,I$58/I$62)</f>
        <v>0</v>
      </c>
      <c r="J89" s="85">
        <f>IF(SUM(J$72:J88)&gt;=J$58,0,J$58/J$62)</f>
        <v>0</v>
      </c>
      <c r="K89" s="85">
        <f>IF(SUM(K$72:K88)&gt;=K$58,0,K$58/K$62)</f>
        <v>0</v>
      </c>
      <c r="L89" s="85">
        <f>IF(SUM(L$72:L88)&gt;=L$58,0,L$58/L$62)</f>
        <v>0</v>
      </c>
      <c r="M89" s="85">
        <f>IF(SUM(M$72:M88)&gt;=M$58,0,M$58/M$62)</f>
        <v>0</v>
      </c>
      <c r="N89" s="85">
        <f>IF(SUM(N$72:N88)&gt;=N$58,0,N$58/N$62)</f>
        <v>0</v>
      </c>
      <c r="O89" s="118">
        <f>IF(SUM(O$72:O88)&gt;=O$58,0,O$58/O$62)</f>
        <v>0</v>
      </c>
      <c r="P89" s="118">
        <f>IF(SUM(P$72:P88)&gt;=P$58,0,P$58/P$62)</f>
        <v>0</v>
      </c>
      <c r="Q89" s="118">
        <f>IF(SUM(Q$72:Q88)&gt;=Q$58,0,Q$58/Q$62)</f>
        <v>0</v>
      </c>
      <c r="R89" s="118">
        <f>IF(SUM(R$72:R88)&gt;=R$58,0,R$58/R$62)</f>
        <v>0</v>
      </c>
      <c r="S89" s="118">
        <f>IF(SUM(S$72:S88)&gt;=S$58,0,S$58/S$62)</f>
        <v>0</v>
      </c>
      <c r="T89" s="118">
        <f>IF(SUM(T$72:T88)&gt;=T$58,0,T$58/T$62)</f>
        <v>0</v>
      </c>
      <c r="U89" s="118">
        <f t="shared" si="68"/>
        <v>0</v>
      </c>
      <c r="V89" s="118">
        <f t="shared" si="68"/>
        <v>0</v>
      </c>
      <c r="W89" s="118">
        <f t="shared" si="68"/>
        <v>0</v>
      </c>
      <c r="X89" s="118">
        <f t="shared" si="64"/>
        <v>0</v>
      </c>
      <c r="Y89" s="118">
        <f t="shared" si="64"/>
        <v>0</v>
      </c>
      <c r="Z89" s="118">
        <f t="shared" si="65"/>
        <v>0</v>
      </c>
      <c r="AA89" s="118">
        <f t="shared" si="65"/>
        <v>0</v>
      </c>
      <c r="AB89" s="118">
        <f t="shared" si="65"/>
        <v>0</v>
      </c>
      <c r="AC89" s="118">
        <f t="shared" si="65"/>
        <v>0</v>
      </c>
      <c r="AD89" s="118"/>
    </row>
    <row r="90" spans="1:30" outlineLevel="1" x14ac:dyDescent="0.2">
      <c r="A90" s="17"/>
      <c r="B90" s="114" t="s">
        <v>496</v>
      </c>
      <c r="C90" s="85">
        <f>IF(SUM(C$72:C89)&gt;=C$58,0,C$58/$C$62)</f>
        <v>0</v>
      </c>
      <c r="D90" s="85">
        <f>IF(SUM(D$72:D89)&gt;=D$58,0,D$58/D$62)</f>
        <v>0</v>
      </c>
      <c r="E90" s="85">
        <f>IF(SUM(E$72:E89)&gt;=E$58,0,E$58/E$62)</f>
        <v>0</v>
      </c>
      <c r="F90" s="85">
        <f>IF(SUM(F$72:F89)&gt;=F$58,0,F$58/F$62)</f>
        <v>0</v>
      </c>
      <c r="G90" s="85">
        <f>IF(SUM(G$72:G89)&gt;=G$58,0,G$58/G$62)</f>
        <v>0</v>
      </c>
      <c r="H90" s="85">
        <f>IF(SUM(H$72:H89)&gt;=H$58,0,H$58/H$62)</f>
        <v>0</v>
      </c>
      <c r="I90" s="85">
        <f>IF(SUM(I$72:I89)&gt;=I$58,0,I$58/I$62)</f>
        <v>0</v>
      </c>
      <c r="J90" s="85">
        <f>IF(SUM(J$72:J89)&gt;=J$58,0,J$58/J$62)</f>
        <v>0</v>
      </c>
      <c r="K90" s="85">
        <f>IF(SUM(K$72:K89)&gt;=K$58,0,K$58/K$62)</f>
        <v>0</v>
      </c>
      <c r="L90" s="85">
        <f>IF(SUM(L$72:L89)&gt;=L$58,0,L$58/L$62)</f>
        <v>0</v>
      </c>
      <c r="M90" s="85">
        <f>IF(SUM(M$72:M89)&gt;=M$58,0,M$58/M$62)</f>
        <v>0</v>
      </c>
      <c r="N90" s="85">
        <f>IF(SUM(N$72:N89)&gt;=N$58,0,N$58/N$62)</f>
        <v>0</v>
      </c>
      <c r="O90" s="118">
        <f>IF(SUM(O$72:O89)&gt;=O$58,0,O$58/O$62)</f>
        <v>0</v>
      </c>
      <c r="P90" s="118">
        <f>IF(SUM(P$72:P89)&gt;=P$58,0,P$58/P$62)</f>
        <v>0</v>
      </c>
      <c r="Q90" s="118">
        <f>IF(SUM(Q$72:Q89)&gt;=Q$58,0,Q$58/Q$62)</f>
        <v>0</v>
      </c>
      <c r="R90" s="118">
        <f>IF(SUM(R$72:R89)&gt;=R$58,0,R$58/R$62)</f>
        <v>0</v>
      </c>
      <c r="S90" s="118">
        <f>IF(SUM(S$72:S89)&gt;=S$58,0,S$58/S$62)</f>
        <v>0</v>
      </c>
      <c r="T90" s="118">
        <f>IF(SUM(T$72:T89)&gt;=T$58,0,T$58/T$62)</f>
        <v>0</v>
      </c>
      <c r="U90" s="118">
        <f t="shared" si="68"/>
        <v>0</v>
      </c>
      <c r="V90" s="118">
        <f t="shared" si="68"/>
        <v>0</v>
      </c>
      <c r="W90" s="118">
        <f t="shared" si="68"/>
        <v>0</v>
      </c>
      <c r="X90" s="118">
        <f t="shared" si="64"/>
        <v>0</v>
      </c>
      <c r="Y90" s="118">
        <f t="shared" si="64"/>
        <v>0</v>
      </c>
      <c r="Z90" s="118">
        <f t="shared" si="65"/>
        <v>0</v>
      </c>
      <c r="AA90" s="118">
        <f t="shared" si="65"/>
        <v>0</v>
      </c>
      <c r="AB90" s="118">
        <f t="shared" si="65"/>
        <v>0</v>
      </c>
      <c r="AC90" s="118">
        <f t="shared" si="65"/>
        <v>0</v>
      </c>
      <c r="AD90" s="118"/>
    </row>
    <row r="91" spans="1:30" outlineLevel="1" x14ac:dyDescent="0.2">
      <c r="A91" s="17"/>
      <c r="B91" s="114" t="s">
        <v>497</v>
      </c>
      <c r="C91" s="85">
        <f>IF(SUM(C$72:C90)&gt;=C$58,0,C$58/$C$62)</f>
        <v>0</v>
      </c>
      <c r="D91" s="85">
        <f>IF(SUM(D$72:D90)&gt;=D$58,0,D$58/D$62)</f>
        <v>0</v>
      </c>
      <c r="E91" s="85">
        <f>IF(SUM(E$72:E90)&gt;=E$58,0,E$58/E$62)</f>
        <v>0</v>
      </c>
      <c r="F91" s="85">
        <f>IF(SUM(F$72:F90)&gt;=F$58,0,F$58/F$62)</f>
        <v>0</v>
      </c>
      <c r="G91" s="85">
        <f>IF(SUM(G$72:G90)&gt;=G$58,0,G$58/G$62)</f>
        <v>0</v>
      </c>
      <c r="H91" s="85">
        <f>IF(SUM(H$72:H90)&gt;=H$58,0,H$58/H$62)</f>
        <v>0</v>
      </c>
      <c r="I91" s="85">
        <f>IF(SUM(I$72:I90)&gt;=I$58,0,I$58/I$62)</f>
        <v>0</v>
      </c>
      <c r="J91" s="85">
        <f>IF(SUM(J$72:J90)&gt;=J$58,0,J$58/J$62)</f>
        <v>0</v>
      </c>
      <c r="K91" s="85">
        <f>IF(SUM(K$72:K90)&gt;=K$58,0,K$58/K$62)</f>
        <v>0</v>
      </c>
      <c r="L91" s="85">
        <f>IF(SUM(L$72:L90)&gt;=L$58,0,L$58/L$62)</f>
        <v>0</v>
      </c>
      <c r="M91" s="85">
        <f>IF(SUM(M$72:M90)&gt;=M$58,0,M$58/M$62)</f>
        <v>0</v>
      </c>
      <c r="N91" s="85">
        <f>IF(SUM(N$72:N90)&gt;=N$58,0,N$58/N$62)</f>
        <v>0</v>
      </c>
      <c r="O91" s="118">
        <f>IF(SUM(O$72:O90)&gt;=O$58,0,O$58/O$62)</f>
        <v>0</v>
      </c>
      <c r="P91" s="118">
        <f>IF(SUM(P$72:P90)&gt;=P$58,0,P$58/P$62)</f>
        <v>0</v>
      </c>
      <c r="Q91" s="118">
        <f>IF(SUM(Q$72:Q90)&gt;=Q$58,0,Q$58/Q$62)</f>
        <v>0</v>
      </c>
      <c r="R91" s="118">
        <f>IF(SUM(R$72:R90)&gt;=R$58,0,R$58/R$62)</f>
        <v>0</v>
      </c>
      <c r="S91" s="118">
        <f>IF(SUM(S$72:S90)&gt;=S$58,0,S$58/S$62)</f>
        <v>0</v>
      </c>
      <c r="T91" s="118">
        <f>IF(SUM(T$72:T90)&gt;=T$58,0,T$58/T$62)</f>
        <v>0</v>
      </c>
      <c r="U91" s="118">
        <f t="shared" si="68"/>
        <v>0</v>
      </c>
      <c r="V91" s="118">
        <f t="shared" si="68"/>
        <v>0</v>
      </c>
      <c r="W91" s="118">
        <f t="shared" si="68"/>
        <v>0</v>
      </c>
      <c r="X91" s="118">
        <f t="shared" si="64"/>
        <v>0</v>
      </c>
      <c r="Y91" s="118">
        <f t="shared" si="64"/>
        <v>0</v>
      </c>
      <c r="Z91" s="118">
        <f t="shared" si="65"/>
        <v>0</v>
      </c>
      <c r="AA91" s="118">
        <f t="shared" si="65"/>
        <v>0</v>
      </c>
      <c r="AB91" s="118">
        <f t="shared" si="65"/>
        <v>0</v>
      </c>
      <c r="AC91" s="118">
        <f t="shared" si="65"/>
        <v>0</v>
      </c>
      <c r="AD91" s="118"/>
    </row>
    <row r="92" spans="1:30" outlineLevel="1" x14ac:dyDescent="0.2">
      <c r="A92" s="17"/>
      <c r="B92" s="114" t="s">
        <v>498</v>
      </c>
      <c r="C92" s="85">
        <f>IF(SUM(C$72:C91)&gt;=C$58,0,C$58/$C$62)</f>
        <v>0</v>
      </c>
      <c r="D92" s="85">
        <f>IF(SUM(D$72:D91)&gt;=D$58,0,D$58/D$62)</f>
        <v>0</v>
      </c>
      <c r="E92" s="85">
        <f>IF(SUM(E$72:E91)&gt;=E$58,0,E$58/E$62)</f>
        <v>0</v>
      </c>
      <c r="F92" s="85">
        <f>IF(SUM(F$72:F91)&gt;=F$58,0,F$58/F$62)</f>
        <v>0</v>
      </c>
      <c r="G92" s="85">
        <f>IF(SUM(G$72:G91)&gt;=G$58,0,G$58/G$62)</f>
        <v>0</v>
      </c>
      <c r="H92" s="85">
        <f>IF(SUM(H$72:H91)&gt;=H$58,0,H$58/H$62)</f>
        <v>0</v>
      </c>
      <c r="I92" s="85">
        <f>IF(SUM(I$72:I91)&gt;=I$58,0,I$58/I$62)</f>
        <v>0</v>
      </c>
      <c r="J92" s="85">
        <f>IF(SUM(J$72:J91)&gt;=J$58,0,J$58/J$62)</f>
        <v>0</v>
      </c>
      <c r="K92" s="85">
        <f>IF(SUM(K$72:K91)&gt;=K$58,0,K$58/K$62)</f>
        <v>0</v>
      </c>
      <c r="L92" s="85">
        <f>IF(SUM(L$72:L91)&gt;=L$58,0,L$58/L$62)</f>
        <v>0</v>
      </c>
      <c r="M92" s="85">
        <f>IF(SUM(M$72:M91)&gt;=M$58,0,M$58/M$62)</f>
        <v>0</v>
      </c>
      <c r="N92" s="85">
        <f>IF(SUM(N$72:N91)&gt;=N$58,0,N$58/N$62)</f>
        <v>0</v>
      </c>
      <c r="O92" s="118">
        <f>IF(SUM(O$72:O91)&gt;=O$58,0,O$58/O$62)</f>
        <v>0</v>
      </c>
      <c r="P92" s="118">
        <f>IF(SUM(P$72:P91)&gt;=P$58,0,P$58/P$62)</f>
        <v>0</v>
      </c>
      <c r="Q92" s="118">
        <f>IF(SUM(Q$72:Q91)&gt;=Q$58,0,Q$58/Q$62)</f>
        <v>0</v>
      </c>
      <c r="R92" s="118">
        <f>IF(SUM(R$72:R91)&gt;=R$58,0,R$58/R$62)</f>
        <v>0</v>
      </c>
      <c r="S92" s="118">
        <f>IF(SUM(S$72:S91)&gt;=S$58,0,S$58/S$62)</f>
        <v>0</v>
      </c>
      <c r="T92" s="118">
        <f>IF(SUM(T$72:T91)&gt;=T$58,0,T$58/T$62)</f>
        <v>0</v>
      </c>
      <c r="U92" s="118">
        <f t="shared" si="68"/>
        <v>0</v>
      </c>
      <c r="V92" s="118">
        <f t="shared" si="68"/>
        <v>0</v>
      </c>
      <c r="W92" s="118">
        <f t="shared" si="68"/>
        <v>0</v>
      </c>
      <c r="X92" s="118">
        <f t="shared" si="64"/>
        <v>0</v>
      </c>
      <c r="Y92" s="118">
        <f t="shared" si="64"/>
        <v>0</v>
      </c>
      <c r="Z92" s="118">
        <f t="shared" si="65"/>
        <v>0</v>
      </c>
      <c r="AA92" s="118">
        <f t="shared" si="65"/>
        <v>0</v>
      </c>
      <c r="AB92" s="118">
        <f t="shared" si="65"/>
        <v>0</v>
      </c>
      <c r="AC92" s="118">
        <f t="shared" si="65"/>
        <v>0</v>
      </c>
      <c r="AD92" s="118"/>
    </row>
    <row r="93" spans="1:30" outlineLevel="1" x14ac:dyDescent="0.2">
      <c r="A93" s="17"/>
      <c r="B93" s="114" t="s">
        <v>499</v>
      </c>
      <c r="C93" s="85">
        <f>IF(SUM(C$72:C92)&gt;=C$58,0,C$58/$C$62)</f>
        <v>0</v>
      </c>
      <c r="D93" s="85">
        <f>IF(SUM(D$72:D92)&gt;=D$58,0,D$58/D$62)</f>
        <v>0</v>
      </c>
      <c r="E93" s="85">
        <f>IF(SUM(E$72:E92)&gt;=E$58,0,E$58/E$62)</f>
        <v>0</v>
      </c>
      <c r="F93" s="85">
        <f>IF(SUM(F$72:F92)&gt;=F$58,0,F$58/F$62)</f>
        <v>0</v>
      </c>
      <c r="G93" s="85">
        <f>IF(SUM(G$72:G92)&gt;=G$58,0,G$58/G$62)</f>
        <v>0</v>
      </c>
      <c r="H93" s="85">
        <f>IF(SUM(H$72:H92)&gt;=H$58,0,H$58/H$62)</f>
        <v>0</v>
      </c>
      <c r="I93" s="85">
        <f>IF(SUM(I$72:I92)&gt;=I$58,0,I$58/I$62)</f>
        <v>0</v>
      </c>
      <c r="J93" s="85">
        <f>IF(SUM(J$72:J92)&gt;=J$58,0,J$58/J$62)</f>
        <v>0</v>
      </c>
      <c r="K93" s="85">
        <f>IF(SUM(K$72:K92)&gt;=K$58,0,K$58/K$62)</f>
        <v>0</v>
      </c>
      <c r="L93" s="85">
        <f>IF(SUM(L$72:L92)&gt;=L$58,0,L$58/L$62)</f>
        <v>0</v>
      </c>
      <c r="M93" s="85">
        <f>IF(SUM(M$72:M92)&gt;=M$58,0,M$58/M$62)</f>
        <v>0</v>
      </c>
      <c r="N93" s="85">
        <f>IF(SUM(N$72:N92)&gt;=N$58,0,N$58/N$62)</f>
        <v>0</v>
      </c>
      <c r="O93" s="118">
        <f>IF(SUM(O$72:O92)&gt;=O$58,0,O$58/O$62)</f>
        <v>0</v>
      </c>
      <c r="P93" s="118">
        <f>IF(SUM(P$72:P92)&gt;=P$58,0,P$58/P$62)</f>
        <v>0</v>
      </c>
      <c r="Q93" s="118">
        <f>IF(SUM(Q$72:Q92)&gt;=Q$58,0,Q$58/Q$62)</f>
        <v>0</v>
      </c>
      <c r="R93" s="118">
        <f>IF(SUM(R$72:R92)&gt;=R$58,0,R$58/R$62)</f>
        <v>0</v>
      </c>
      <c r="S93" s="118">
        <f>IF(SUM(S$72:S92)&gt;=S$58,0,S$58/S$62)</f>
        <v>0</v>
      </c>
      <c r="T93" s="118">
        <f>IF(SUM(T$72:T92)&gt;=T$58,0,T$58/T$62)</f>
        <v>0</v>
      </c>
      <c r="U93" s="118">
        <f t="shared" si="68"/>
        <v>0</v>
      </c>
      <c r="V93" s="118">
        <f t="shared" si="68"/>
        <v>0</v>
      </c>
      <c r="W93" s="118">
        <f t="shared" si="68"/>
        <v>0</v>
      </c>
      <c r="X93" s="118">
        <f t="shared" si="64"/>
        <v>0</v>
      </c>
      <c r="Y93" s="118">
        <f t="shared" si="64"/>
        <v>0</v>
      </c>
      <c r="Z93" s="118">
        <f t="shared" si="65"/>
        <v>0</v>
      </c>
      <c r="AA93" s="118">
        <f t="shared" si="65"/>
        <v>0</v>
      </c>
      <c r="AB93" s="118">
        <f t="shared" si="65"/>
        <v>0</v>
      </c>
      <c r="AC93" s="118">
        <f t="shared" si="65"/>
        <v>0</v>
      </c>
      <c r="AD93" s="118"/>
    </row>
    <row r="94" spans="1:30" outlineLevel="1" x14ac:dyDescent="0.2">
      <c r="A94" s="17"/>
      <c r="B94" s="114" t="s">
        <v>500</v>
      </c>
      <c r="C94" s="85">
        <f>IF(SUM(C$72:C93)&gt;=C$58,0,C$58/$C$62)</f>
        <v>0</v>
      </c>
      <c r="D94" s="85">
        <f>IF(SUM(D$72:D93)&gt;=D$58,0,D$58/D$62)</f>
        <v>0</v>
      </c>
      <c r="E94" s="85">
        <f>IF(SUM(E$72:E93)&gt;=E$58,0,E$58/E$62)</f>
        <v>0</v>
      </c>
      <c r="F94" s="85">
        <f>IF(SUM(F$72:F93)&gt;=F$58,0,F$58/F$62)</f>
        <v>0</v>
      </c>
      <c r="G94" s="85">
        <f>IF(SUM(G$72:G93)&gt;=G$58,0,G$58/G$62)</f>
        <v>0</v>
      </c>
      <c r="H94" s="85">
        <f>IF(SUM(H$72:H93)&gt;=H$58,0,H$58/H$62)</f>
        <v>0</v>
      </c>
      <c r="I94" s="85">
        <f>IF(SUM(I$72:I93)&gt;=I$58,0,I$58/I$62)</f>
        <v>0</v>
      </c>
      <c r="J94" s="85">
        <f>IF(SUM(J$72:J93)&gt;=J$58,0,J$58/J$62)</f>
        <v>0</v>
      </c>
      <c r="K94" s="85">
        <f>IF(SUM(K$72:K93)&gt;=K$58,0,K$58/K$62)</f>
        <v>0</v>
      </c>
      <c r="L94" s="85">
        <f>IF(SUM(L$72:L93)&gt;=L$58,0,L$58/L$62)</f>
        <v>0</v>
      </c>
      <c r="M94" s="85">
        <f>IF(SUM(M$72:M93)&gt;=M$58,0,M$58/M$62)</f>
        <v>0</v>
      </c>
      <c r="N94" s="85">
        <f>IF(SUM(N$72:N93)&gt;=N$58,0,N$58/N$62)</f>
        <v>0</v>
      </c>
      <c r="O94" s="118">
        <f>IF(SUM(O$72:O93)&gt;=O$58,0,O$58/O$62)</f>
        <v>0</v>
      </c>
      <c r="P94" s="118">
        <f>IF(SUM(P$72:P93)&gt;=P$58,0,P$58/P$62)</f>
        <v>0</v>
      </c>
      <c r="Q94" s="118">
        <f>IF(SUM(Q$72:Q93)&gt;=Q$58,0,Q$58/Q$62)</f>
        <v>0</v>
      </c>
      <c r="R94" s="118">
        <f>IF(SUM(R$72:R93)&gt;=R$58,0,R$58/R$62)</f>
        <v>0</v>
      </c>
      <c r="S94" s="118">
        <f>IF(SUM(S$72:S93)&gt;=S$58,0,S$58/S$62)</f>
        <v>0</v>
      </c>
      <c r="T94" s="118">
        <f>IF(SUM(T$72:T93)&gt;=T$58,0,T$58/T$62)</f>
        <v>0</v>
      </c>
      <c r="U94" s="118">
        <f t="shared" si="68"/>
        <v>0</v>
      </c>
      <c r="V94" s="118">
        <f t="shared" si="68"/>
        <v>0</v>
      </c>
      <c r="W94" s="118">
        <f t="shared" si="68"/>
        <v>0</v>
      </c>
      <c r="X94" s="118">
        <f t="shared" si="64"/>
        <v>0</v>
      </c>
      <c r="Y94" s="118">
        <f t="shared" si="64"/>
        <v>0</v>
      </c>
      <c r="Z94" s="118">
        <f t="shared" si="65"/>
        <v>0</v>
      </c>
      <c r="AA94" s="118">
        <f t="shared" si="65"/>
        <v>0</v>
      </c>
      <c r="AB94" s="118">
        <f t="shared" si="65"/>
        <v>0</v>
      </c>
      <c r="AC94" s="118">
        <f t="shared" si="65"/>
        <v>0</v>
      </c>
      <c r="AD94" s="118"/>
    </row>
    <row r="95" spans="1:30" outlineLevel="1" x14ac:dyDescent="0.2">
      <c r="A95" s="17"/>
      <c r="B95" s="114" t="s">
        <v>501</v>
      </c>
      <c r="C95" s="85">
        <f>IF(SUM(C$72:C94)&gt;=C$58,0,C$58/$C$62)</f>
        <v>0</v>
      </c>
      <c r="D95" s="85">
        <f>IF(SUM(D$72:D94)&gt;=D$58,0,D$58/D$62)</f>
        <v>0</v>
      </c>
      <c r="E95" s="85">
        <f>IF(SUM(E$72:E94)&gt;=E$58,0,E$58/E$62)</f>
        <v>0</v>
      </c>
      <c r="F95" s="85">
        <f>IF(SUM(F$72:F94)&gt;=F$58,0,F$58/F$62)</f>
        <v>0</v>
      </c>
      <c r="G95" s="85">
        <f>IF(SUM(G$72:G94)&gt;=G$58,0,G$58/G$62)</f>
        <v>0</v>
      </c>
      <c r="H95" s="85">
        <f>IF(SUM(H$72:H94)&gt;=H$58,0,H$58/H$62)</f>
        <v>0</v>
      </c>
      <c r="I95" s="85">
        <f>IF(SUM(I$72:I94)&gt;=I$58,0,I$58/I$62)</f>
        <v>0</v>
      </c>
      <c r="J95" s="85">
        <f>IF(SUM(J$72:J94)&gt;=J$58,0,J$58/J$62)</f>
        <v>0</v>
      </c>
      <c r="K95" s="85">
        <f>IF(SUM(K$72:K94)&gt;=K$58,0,K$58/K$62)</f>
        <v>0</v>
      </c>
      <c r="L95" s="85">
        <f>IF(SUM(L$72:L94)&gt;=L$58,0,L$58/L$62)</f>
        <v>0</v>
      </c>
      <c r="M95" s="85">
        <f>IF(SUM(M$72:M94)&gt;=M$58,0,M$58/M$62)</f>
        <v>0</v>
      </c>
      <c r="N95" s="85">
        <f>IF(SUM(N$72:N94)&gt;=N$58,0,N$58/N$62)</f>
        <v>0</v>
      </c>
      <c r="O95" s="118">
        <f>IF(SUM(O$72:O94)&gt;=O$58,0,O$58/O$62)</f>
        <v>0</v>
      </c>
      <c r="P95" s="118">
        <f>IF(SUM(P$72:P94)&gt;=P$58,0,P$58/P$62)</f>
        <v>0</v>
      </c>
      <c r="Q95" s="118">
        <f>IF(SUM(Q$72:Q94)&gt;=Q$58,0,Q$58/Q$62)</f>
        <v>0</v>
      </c>
      <c r="R95" s="118">
        <f>IF(SUM(R$72:R94)&gt;=R$58,0,R$58/R$62)</f>
        <v>0</v>
      </c>
      <c r="S95" s="118">
        <f>IF(SUM(S$72:S94)&gt;=S$58,0,S$58/S$62)</f>
        <v>0</v>
      </c>
      <c r="T95" s="118">
        <f>IF(SUM(T$72:T94)&gt;=T$58,0,T$58/T$62)</f>
        <v>0</v>
      </c>
      <c r="U95" s="118">
        <f t="shared" si="68"/>
        <v>0</v>
      </c>
      <c r="V95" s="118">
        <f t="shared" si="68"/>
        <v>0</v>
      </c>
      <c r="W95" s="118">
        <f t="shared" si="68"/>
        <v>0</v>
      </c>
      <c r="X95" s="118">
        <f t="shared" si="64"/>
        <v>0</v>
      </c>
      <c r="Y95" s="118">
        <f t="shared" si="64"/>
        <v>0</v>
      </c>
      <c r="Z95" s="118">
        <f t="shared" si="65"/>
        <v>0</v>
      </c>
      <c r="AA95" s="118">
        <f t="shared" si="65"/>
        <v>0</v>
      </c>
      <c r="AB95" s="118">
        <f t="shared" si="65"/>
        <v>0</v>
      </c>
      <c r="AC95" s="118">
        <f t="shared" si="65"/>
        <v>0</v>
      </c>
      <c r="AD95" s="118"/>
    </row>
    <row r="96" spans="1:30" outlineLevel="1" x14ac:dyDescent="0.2">
      <c r="A96" s="17"/>
      <c r="B96" s="114" t="s">
        <v>502</v>
      </c>
      <c r="C96" s="85">
        <f>IF(SUM(C$72:C95)&gt;=C$58,0,C$58/$C$62)</f>
        <v>0</v>
      </c>
      <c r="D96" s="85">
        <f>IF(SUM(D$72:D95)&gt;=D$58,0,D$58/D$62)</f>
        <v>0</v>
      </c>
      <c r="E96" s="85">
        <f>IF(SUM(E$72:E95)&gt;=E$58,0,E$58/E$62)</f>
        <v>0</v>
      </c>
      <c r="F96" s="85">
        <f>IF(SUM(F$72:F95)&gt;=F$58,0,F$58/F$62)</f>
        <v>0</v>
      </c>
      <c r="G96" s="85">
        <f>IF(SUM(G$72:G95)&gt;=G$58,0,G$58/G$62)</f>
        <v>0</v>
      </c>
      <c r="H96" s="85">
        <f>IF(SUM(H$72:H95)&gt;=H$58,0,H$58/H$62)</f>
        <v>0</v>
      </c>
      <c r="I96" s="85">
        <f>IF(SUM(I$72:I95)&gt;=I$58,0,I$58/I$62)</f>
        <v>0</v>
      </c>
      <c r="J96" s="85">
        <f>IF(SUM(J$72:J95)&gt;=J$58,0,J$58/J$62)</f>
        <v>0</v>
      </c>
      <c r="K96" s="85">
        <f>IF(SUM(K$72:K95)&gt;=K$58,0,K$58/K$62)</f>
        <v>0</v>
      </c>
      <c r="L96" s="85">
        <f>IF(SUM(L$72:L95)&gt;=L$58,0,L$58/L$62)</f>
        <v>0</v>
      </c>
      <c r="M96" s="85">
        <f>IF(SUM(M$72:M95)&gt;=M$58,0,M$58/M$62)</f>
        <v>0</v>
      </c>
      <c r="N96" s="85">
        <f>IF(SUM(N$72:N95)&gt;=N$58,0,N$58/N$62)</f>
        <v>0</v>
      </c>
      <c r="O96" s="118">
        <f>IF(SUM(O$72:O95)&gt;=O$58,0,O$58/O$62)</f>
        <v>0</v>
      </c>
      <c r="P96" s="118">
        <f>IF(SUM(P$72:P95)&gt;=P$58,0,P$58/P$62)</f>
        <v>0</v>
      </c>
      <c r="Q96" s="118">
        <f>IF(SUM(Q$72:Q95)&gt;=Q$58,0,Q$58/Q$62)</f>
        <v>0</v>
      </c>
      <c r="R96" s="118">
        <f>IF(SUM(R$72:R95)&gt;=R$58,0,R$58/R$62)</f>
        <v>0</v>
      </c>
      <c r="S96" s="118">
        <f>IF(SUM(S$72:S95)&gt;=S$58,0,S$58/S$62)</f>
        <v>0</v>
      </c>
      <c r="T96" s="118">
        <f>IF(SUM(T$72:T95)&gt;=T$58,0,T$58/T$62)</f>
        <v>0</v>
      </c>
      <c r="U96" s="118">
        <f>T96*(1+U$54)</f>
        <v>0</v>
      </c>
      <c r="V96" s="118">
        <f>U96*(1+V$54)</f>
        <v>0</v>
      </c>
      <c r="W96" s="118">
        <f>V96*(1+W$54)</f>
        <v>0</v>
      </c>
      <c r="X96" s="118">
        <f t="shared" si="64"/>
        <v>0</v>
      </c>
      <c r="Y96" s="118">
        <f t="shared" si="64"/>
        <v>0</v>
      </c>
      <c r="Z96" s="118">
        <f t="shared" si="65"/>
        <v>0</v>
      </c>
      <c r="AA96" s="118">
        <f t="shared" si="65"/>
        <v>0</v>
      </c>
      <c r="AB96" s="118">
        <f t="shared" si="65"/>
        <v>0</v>
      </c>
      <c r="AC96" s="118">
        <f t="shared" si="65"/>
        <v>0</v>
      </c>
      <c r="AD96" s="118"/>
    </row>
    <row r="97" spans="1:30" ht="11.45" customHeight="1" x14ac:dyDescent="0.2">
      <c r="A97" s="122"/>
      <c r="B97" s="123" t="s">
        <v>503</v>
      </c>
      <c r="C97" s="85"/>
      <c r="D97" s="119"/>
      <c r="E97" s="119"/>
      <c r="F97" s="119"/>
      <c r="G97" s="119"/>
      <c r="H97" s="119"/>
      <c r="I97" s="119"/>
      <c r="J97" s="119"/>
      <c r="K97" s="119"/>
      <c r="L97" s="119"/>
      <c r="M97" s="119"/>
      <c r="N97" s="119"/>
      <c r="O97" s="119"/>
      <c r="P97" s="119"/>
      <c r="Q97" s="119"/>
      <c r="R97" s="119"/>
      <c r="S97" s="119"/>
      <c r="T97" s="119"/>
      <c r="U97" s="119"/>
      <c r="V97" s="119"/>
      <c r="W97" s="119"/>
      <c r="X97" s="119"/>
      <c r="Y97" s="119"/>
      <c r="Z97" s="119"/>
      <c r="AA97" s="119"/>
      <c r="AB97" s="119"/>
      <c r="AC97" s="119"/>
      <c r="AD97" s="119"/>
    </row>
    <row r="98" spans="1:30" ht="11.45" customHeight="1" x14ac:dyDescent="0.2">
      <c r="A98" s="122"/>
      <c r="B98" s="123"/>
      <c r="C98" s="85"/>
      <c r="D98" s="119"/>
      <c r="E98" s="119"/>
      <c r="F98" s="119"/>
      <c r="G98" s="119"/>
      <c r="H98" s="119"/>
      <c r="I98" s="119"/>
      <c r="J98" s="119"/>
      <c r="K98" s="119"/>
      <c r="L98" s="119"/>
      <c r="M98" s="119"/>
      <c r="N98" s="119"/>
      <c r="O98" s="119"/>
      <c r="P98" s="119"/>
      <c r="Q98" s="119"/>
      <c r="R98" s="119"/>
      <c r="S98" s="119"/>
      <c r="T98" s="119"/>
      <c r="U98" s="119"/>
      <c r="V98" s="119"/>
      <c r="W98" s="119"/>
      <c r="X98" s="119"/>
      <c r="Y98" s="119"/>
      <c r="Z98" s="119"/>
      <c r="AA98" s="119"/>
      <c r="AB98" s="119"/>
      <c r="AC98" s="119"/>
      <c r="AD98" s="119"/>
    </row>
    <row r="99" spans="1:30" outlineLevel="1" x14ac:dyDescent="0.2">
      <c r="A99" s="122"/>
      <c r="B99" s="124"/>
      <c r="C99" s="85"/>
      <c r="D99" s="125" t="s">
        <v>504</v>
      </c>
      <c r="E99" s="126"/>
      <c r="F99" s="126"/>
      <c r="G99" s="126"/>
      <c r="H99" s="126"/>
      <c r="I99" s="126"/>
      <c r="J99" s="126"/>
      <c r="K99" s="126"/>
      <c r="L99" s="126"/>
      <c r="M99" s="126"/>
      <c r="N99" s="126"/>
      <c r="O99" s="126"/>
      <c r="P99" s="126"/>
      <c r="Q99" s="126"/>
      <c r="R99" s="126"/>
      <c r="S99" s="126"/>
      <c r="T99" s="126"/>
      <c r="U99" s="126"/>
      <c r="V99" s="126"/>
      <c r="W99" s="126"/>
      <c r="X99" s="126"/>
      <c r="Y99" s="126"/>
      <c r="Z99" s="126"/>
      <c r="AA99" s="126"/>
      <c r="AB99" s="126"/>
      <c r="AC99" s="126"/>
      <c r="AD99" s="118"/>
    </row>
    <row r="100" spans="1:30" ht="29.45" customHeight="1" outlineLevel="1" x14ac:dyDescent="0.2">
      <c r="A100" s="127" t="s">
        <v>505</v>
      </c>
      <c r="B100" s="43" t="s">
        <v>506</v>
      </c>
      <c r="C100" s="26">
        <v>1995</v>
      </c>
      <c r="D100" s="26">
        <f t="shared" ref="D100:N100" si="69">C100+1</f>
        <v>1996</v>
      </c>
      <c r="E100" s="26">
        <f t="shared" si="69"/>
        <v>1997</v>
      </c>
      <c r="F100" s="26">
        <f t="shared" si="69"/>
        <v>1998</v>
      </c>
      <c r="G100" s="26">
        <f t="shared" si="69"/>
        <v>1999</v>
      </c>
      <c r="H100" s="26">
        <f t="shared" si="69"/>
        <v>2000</v>
      </c>
      <c r="I100" s="26">
        <f t="shared" si="69"/>
        <v>2001</v>
      </c>
      <c r="J100" s="26">
        <f t="shared" si="69"/>
        <v>2002</v>
      </c>
      <c r="K100" s="26">
        <f t="shared" si="69"/>
        <v>2003</v>
      </c>
      <c r="L100" s="26">
        <f t="shared" si="69"/>
        <v>2004</v>
      </c>
      <c r="M100" s="26">
        <f t="shared" si="69"/>
        <v>2005</v>
      </c>
      <c r="N100" s="26">
        <f t="shared" si="69"/>
        <v>2006</v>
      </c>
      <c r="O100" s="26">
        <f>O$3</f>
        <v>2007</v>
      </c>
      <c r="P100" s="26">
        <f>P$3</f>
        <v>2008</v>
      </c>
      <c r="Q100" s="26">
        <f>Q$3</f>
        <v>2009</v>
      </c>
      <c r="R100" s="26">
        <f>R$3</f>
        <v>2010</v>
      </c>
      <c r="S100" s="26">
        <f>S$3</f>
        <v>2011</v>
      </c>
      <c r="T100" s="27">
        <f t="shared" ref="T100:Y100" si="70">S100+1</f>
        <v>2012</v>
      </c>
      <c r="U100" s="27">
        <f t="shared" si="70"/>
        <v>2013</v>
      </c>
      <c r="V100" s="27">
        <f t="shared" si="70"/>
        <v>2014</v>
      </c>
      <c r="W100" s="27">
        <f t="shared" si="70"/>
        <v>2015</v>
      </c>
      <c r="X100" s="27">
        <f t="shared" si="70"/>
        <v>2016</v>
      </c>
      <c r="Y100" s="27">
        <f t="shared" si="70"/>
        <v>2017</v>
      </c>
      <c r="Z100" s="27">
        <f>Y100+1</f>
        <v>2018</v>
      </c>
      <c r="AA100" s="27">
        <f>Z100+1</f>
        <v>2019</v>
      </c>
      <c r="AB100" s="27">
        <f>AA100+1</f>
        <v>2020</v>
      </c>
      <c r="AC100" s="27">
        <f>AB100+1</f>
        <v>2021</v>
      </c>
      <c r="AD100" s="31"/>
    </row>
    <row r="101" spans="1:30" ht="11.45" customHeight="1" outlineLevel="1" x14ac:dyDescent="0.2">
      <c r="A101" s="128">
        <v>1</v>
      </c>
      <c r="B101" s="81" t="s">
        <v>507</v>
      </c>
      <c r="C101" s="129">
        <f t="shared" ref="C101:C130" si="71">C66/(POWER((1+$C$37),A101))</f>
        <v>126.85185185185185</v>
      </c>
      <c r="D101" s="130">
        <f t="shared" ref="D101:Y101" si="72">(D66-C67)/(POWER((1+D$38),$A101))</f>
        <v>-35.033564516129033</v>
      </c>
      <c r="E101" s="130">
        <f t="shared" si="72"/>
        <v>-23.413039035356626</v>
      </c>
      <c r="F101" s="130">
        <f t="shared" si="72"/>
        <v>-18.435006435006436</v>
      </c>
      <c r="G101" s="130">
        <f t="shared" si="72"/>
        <v>-2.8038013488657265</v>
      </c>
      <c r="H101" s="130">
        <f t="shared" si="72"/>
        <v>-16.887124220079407</v>
      </c>
      <c r="I101" s="130">
        <f t="shared" si="72"/>
        <v>-12.135492525871982</v>
      </c>
      <c r="J101" s="130">
        <f t="shared" si="72"/>
        <v>5.6000000000000005</v>
      </c>
      <c r="K101" s="130">
        <f t="shared" si="72"/>
        <v>10.323468208092486</v>
      </c>
      <c r="L101" s="130">
        <f t="shared" si="72"/>
        <v>-29.260166468489896</v>
      </c>
      <c r="M101" s="130">
        <f t="shared" si="72"/>
        <v>22.577468557666577</v>
      </c>
      <c r="N101" s="130">
        <f t="shared" si="72"/>
        <v>-7.5406196387122826</v>
      </c>
      <c r="O101" s="130">
        <f t="shared" si="72"/>
        <v>-3.7451262056228201</v>
      </c>
      <c r="P101" s="130">
        <f t="shared" si="72"/>
        <v>-0.93952859350850082</v>
      </c>
      <c r="Q101" s="130">
        <f t="shared" si="72"/>
        <v>-4.6986259386014195</v>
      </c>
      <c r="R101" s="130">
        <f t="shared" si="72"/>
        <v>5.624629338915053</v>
      </c>
      <c r="S101" s="130">
        <f t="shared" si="72"/>
        <v>-2.8250945853749303</v>
      </c>
      <c r="T101" s="130">
        <f t="shared" si="72"/>
        <v>1.8866578321822087</v>
      </c>
      <c r="U101" s="130">
        <f t="shared" si="72"/>
        <v>11.546639802941643</v>
      </c>
      <c r="V101" s="130">
        <f t="shared" si="72"/>
        <v>8.0864944407937589</v>
      </c>
      <c r="W101" s="130">
        <f t="shared" si="72"/>
        <v>3.4371473927903438</v>
      </c>
      <c r="X101" s="130">
        <f t="shared" si="72"/>
        <v>-7.8595514981251089</v>
      </c>
      <c r="Y101" s="130">
        <f t="shared" si="72"/>
        <v>6.8009231203443283</v>
      </c>
      <c r="Z101" s="130">
        <f t="shared" ref="Z101:AC130" si="73">(Z66-Y67)/(POWER((1+Z$38),$A101))</f>
        <v>2.0863114855039311</v>
      </c>
      <c r="AA101" s="130">
        <f t="shared" si="73"/>
        <v>8.0361393968597437</v>
      </c>
      <c r="AB101" s="130">
        <f t="shared" si="73"/>
        <v>8.0323863594097116</v>
      </c>
      <c r="AC101" s="130">
        <f t="shared" si="73"/>
        <v>8.0252057013913038</v>
      </c>
      <c r="AD101" s="130"/>
    </row>
    <row r="102" spans="1:30" ht="11.45" customHeight="1" outlineLevel="1" x14ac:dyDescent="0.2">
      <c r="A102" s="17">
        <v>2</v>
      </c>
      <c r="B102" s="17" t="str">
        <f t="shared" ref="B102:B130" si="74">"PV of Increase in forecast year "&amp;A101&amp;" lease commitments"</f>
        <v>PV of Increase in forecast year 1 lease commitments</v>
      </c>
      <c r="C102" s="129">
        <f t="shared" si="71"/>
        <v>162.12277091906719</v>
      </c>
      <c r="D102" s="130">
        <f t="shared" ref="D102:Y102" si="75">(D67-C68)/(POWER((1+D$38),$A102))</f>
        <v>2.1137747788761709</v>
      </c>
      <c r="E102" s="130">
        <f t="shared" si="75"/>
        <v>10.539164734766048</v>
      </c>
      <c r="F102" s="130">
        <f t="shared" si="75"/>
        <v>-5.09774193388093</v>
      </c>
      <c r="G102" s="130">
        <f t="shared" si="75"/>
        <v>29.698252014738127</v>
      </c>
      <c r="H102" s="130">
        <f t="shared" si="75"/>
        <v>6.1611875029961363</v>
      </c>
      <c r="I102" s="130">
        <f t="shared" si="75"/>
        <v>7.8427905894050456</v>
      </c>
      <c r="J102" s="130">
        <f t="shared" si="75"/>
        <v>6.097777777777778</v>
      </c>
      <c r="K102" s="130">
        <f t="shared" si="75"/>
        <v>4.403884125764308</v>
      </c>
      <c r="L102" s="130">
        <f t="shared" si="75"/>
        <v>7.1272203268573611</v>
      </c>
      <c r="M102" s="130">
        <f t="shared" si="75"/>
        <v>52.21316510741832</v>
      </c>
      <c r="N102" s="130">
        <f t="shared" si="75"/>
        <v>2.6653567751125009</v>
      </c>
      <c r="O102" s="130">
        <f t="shared" si="75"/>
        <v>17.532462870053475</v>
      </c>
      <c r="P102" s="130">
        <f t="shared" si="75"/>
        <v>13.240709670300927</v>
      </c>
      <c r="Q102" s="130">
        <f t="shared" si="75"/>
        <v>1.7661668568718456</v>
      </c>
      <c r="R102" s="130">
        <f t="shared" si="75"/>
        <v>29.000083933501983</v>
      </c>
      <c r="S102" s="130">
        <f t="shared" si="75"/>
        <v>19.509500795436054</v>
      </c>
      <c r="T102" s="130">
        <f t="shared" si="75"/>
        <v>4.4493472196680894</v>
      </c>
      <c r="U102" s="130">
        <f t="shared" si="75"/>
        <v>37.016947828208096</v>
      </c>
      <c r="V102" s="130">
        <f t="shared" si="75"/>
        <v>34.209182419589794</v>
      </c>
      <c r="W102" s="130">
        <f t="shared" si="75"/>
        <v>29.944478125552259</v>
      </c>
      <c r="X102" s="130">
        <f t="shared" si="75"/>
        <v>19.273094448784878</v>
      </c>
      <c r="Y102" s="130">
        <f t="shared" si="75"/>
        <v>30.843460317778888</v>
      </c>
      <c r="Z102" s="130">
        <f t="shared" si="73"/>
        <v>26.559177325227413</v>
      </c>
      <c r="AA102" s="130">
        <f t="shared" si="73"/>
        <v>31.399621227852016</v>
      </c>
      <c r="AB102" s="130">
        <f t="shared" si="73"/>
        <v>31.527612738505514</v>
      </c>
      <c r="AC102" s="130">
        <f t="shared" si="73"/>
        <v>31.648003282535566</v>
      </c>
      <c r="AD102" s="130"/>
    </row>
    <row r="103" spans="1:30" ht="11.45" customHeight="1" outlineLevel="1" x14ac:dyDescent="0.2">
      <c r="A103" s="17">
        <v>3</v>
      </c>
      <c r="B103" s="17" t="str">
        <f t="shared" si="74"/>
        <v>PV of Increase in forecast year 2 lease commitments</v>
      </c>
      <c r="C103" s="129">
        <f t="shared" si="71"/>
        <v>136.61852867957117</v>
      </c>
      <c r="D103" s="130">
        <f t="shared" ref="D103:Y103" si="76">(D68-C69)/(POWER((1+D$38),$A103))</f>
        <v>2.4101260028746059</v>
      </c>
      <c r="E103" s="130">
        <f t="shared" si="76"/>
        <v>9.1798316716938846</v>
      </c>
      <c r="F103" s="130">
        <f t="shared" si="76"/>
        <v>-1.5662817559182849</v>
      </c>
      <c r="G103" s="130">
        <f t="shared" si="76"/>
        <v>24.490587958199132</v>
      </c>
      <c r="H103" s="130">
        <f t="shared" si="76"/>
        <v>4.1287594724720886</v>
      </c>
      <c r="I103" s="130">
        <f t="shared" si="76"/>
        <v>13.829009844914266</v>
      </c>
      <c r="J103" s="130">
        <f t="shared" si="76"/>
        <v>8.1303703703703718</v>
      </c>
      <c r="K103" s="130">
        <f t="shared" si="76"/>
        <v>6.6128520384656007</v>
      </c>
      <c r="L103" s="130">
        <f t="shared" si="76"/>
        <v>9.2499201025643742</v>
      </c>
      <c r="M103" s="130">
        <f t="shared" si="76"/>
        <v>46.620834206570258</v>
      </c>
      <c r="N103" s="130">
        <f t="shared" si="76"/>
        <v>1.6748701368823469</v>
      </c>
      <c r="O103" s="130">
        <f t="shared" si="76"/>
        <v>22.160684073514393</v>
      </c>
      <c r="P103" s="130">
        <f t="shared" si="76"/>
        <v>15.757365422550164</v>
      </c>
      <c r="Q103" s="130">
        <f t="shared" si="76"/>
        <v>4.1492787027980969</v>
      </c>
      <c r="R103" s="130">
        <f t="shared" si="76"/>
        <v>31.304845813576886</v>
      </c>
      <c r="S103" s="130">
        <f t="shared" si="76"/>
        <v>25.887905104199739</v>
      </c>
      <c r="T103" s="130">
        <f t="shared" si="76"/>
        <v>-10.912714514110416</v>
      </c>
      <c r="U103" s="130">
        <f t="shared" si="76"/>
        <v>25.928849738980908</v>
      </c>
      <c r="V103" s="130">
        <f t="shared" si="76"/>
        <v>23.611041770968541</v>
      </c>
      <c r="W103" s="130">
        <f t="shared" si="76"/>
        <v>20.200807282342129</v>
      </c>
      <c r="X103" s="130">
        <f t="shared" si="76"/>
        <v>11.821726822929584</v>
      </c>
      <c r="Y103" s="130">
        <f t="shared" si="76"/>
        <v>21.189298361563591</v>
      </c>
      <c r="Z103" s="130">
        <f t="shared" si="73"/>
        <v>17.804309876333999</v>
      </c>
      <c r="AA103" s="130">
        <f t="shared" si="73"/>
        <v>21.701735005676007</v>
      </c>
      <c r="AB103" s="130">
        <f t="shared" si="73"/>
        <v>21.785918142179945</v>
      </c>
      <c r="AC103" s="130">
        <f t="shared" si="73"/>
        <v>21.864674223262679</v>
      </c>
      <c r="AD103" s="130"/>
    </row>
    <row r="104" spans="1:30" outlineLevel="1" x14ac:dyDescent="0.2">
      <c r="A104" s="17">
        <v>4</v>
      </c>
      <c r="B104" s="17" t="str">
        <f t="shared" si="74"/>
        <v>PV of Increase in forecast year 3 lease commitments</v>
      </c>
      <c r="C104" s="129">
        <f t="shared" si="71"/>
        <v>109.00492716971402</v>
      </c>
      <c r="D104" s="130">
        <f t="shared" ref="D104:Y104" si="77">(D69-C70)/(POWER((1+D$38),$A104))</f>
        <v>0.35744350526504054</v>
      </c>
      <c r="E104" s="130">
        <f t="shared" si="77"/>
        <v>8.5355424435609901</v>
      </c>
      <c r="F104" s="130">
        <f t="shared" si="77"/>
        <v>-2.1655810687040074</v>
      </c>
      <c r="G104" s="130">
        <f t="shared" si="77"/>
        <v>17.548167796548992</v>
      </c>
      <c r="H104" s="130">
        <f t="shared" si="77"/>
        <v>4.6481916057643797</v>
      </c>
      <c r="I104" s="130">
        <f t="shared" si="77"/>
        <v>17.465621941641825</v>
      </c>
      <c r="J104" s="130">
        <f t="shared" si="77"/>
        <v>7.5883456790123471</v>
      </c>
      <c r="K104" s="130">
        <f t="shared" si="77"/>
        <v>6.2061425258108365</v>
      </c>
      <c r="L104" s="130">
        <f t="shared" si="77"/>
        <v>8.7307807103633781</v>
      </c>
      <c r="M104" s="130">
        <f t="shared" si="77"/>
        <v>39.941667663677343</v>
      </c>
      <c r="N104" s="130">
        <f t="shared" si="77"/>
        <v>-0.78934741540423459</v>
      </c>
      <c r="O104" s="130">
        <f t="shared" si="77"/>
        <v>19.980171528837246</v>
      </c>
      <c r="P104" s="130">
        <f t="shared" si="77"/>
        <v>14.80449537284804</v>
      </c>
      <c r="Q104" s="130">
        <f t="shared" si="77"/>
        <v>3.119345366312575</v>
      </c>
      <c r="R104" s="130">
        <f t="shared" si="77"/>
        <v>30.11863164174126</v>
      </c>
      <c r="S104" s="130">
        <f t="shared" si="77"/>
        <v>26.737812239177853</v>
      </c>
      <c r="T104" s="130">
        <f t="shared" si="77"/>
        <v>-3.1674705089869049</v>
      </c>
      <c r="U104" s="130">
        <f t="shared" si="77"/>
        <v>16.226514909913341</v>
      </c>
      <c r="V104" s="130">
        <f t="shared" si="77"/>
        <v>14.262984774905609</v>
      </c>
      <c r="W104" s="130">
        <f t="shared" si="77"/>
        <v>11.494045341646995</v>
      </c>
      <c r="X104" s="130">
        <f t="shared" si="77"/>
        <v>4.7954362045550569</v>
      </c>
      <c r="Y104" s="130">
        <f t="shared" si="77"/>
        <v>12.681617888578938</v>
      </c>
      <c r="Z104" s="130">
        <f t="shared" si="73"/>
        <v>9.9459761970360372</v>
      </c>
      <c r="AA104" s="130">
        <f t="shared" si="73"/>
        <v>13.197769743349728</v>
      </c>
      <c r="AB104" s="130">
        <f t="shared" si="73"/>
        <v>13.242132825497555</v>
      </c>
      <c r="AC104" s="130">
        <f t="shared" si="73"/>
        <v>13.282918087733977</v>
      </c>
      <c r="AD104" s="130"/>
    </row>
    <row r="105" spans="1:30" outlineLevel="1" x14ac:dyDescent="0.2">
      <c r="A105" s="17">
        <v>5</v>
      </c>
      <c r="B105" s="17" t="str">
        <f t="shared" si="74"/>
        <v>PV of Increase in forecast year 4 lease commitments</v>
      </c>
      <c r="C105" s="129">
        <f t="shared" si="71"/>
        <v>94.260772789174794</v>
      </c>
      <c r="D105" s="130">
        <f t="shared" ref="D105:Y105" si="78">(D70-C71)/(POWER((1+D$38),$A105))</f>
        <v>0</v>
      </c>
      <c r="E105" s="130">
        <f t="shared" si="78"/>
        <v>6.5906210960427867</v>
      </c>
      <c r="F105" s="130">
        <f t="shared" si="78"/>
        <v>-3.3268750780905405</v>
      </c>
      <c r="G105" s="130">
        <f t="shared" si="78"/>
        <v>12.835193879500739</v>
      </c>
      <c r="H105" s="130">
        <f t="shared" si="78"/>
        <v>2.180405251257596</v>
      </c>
      <c r="I105" s="130">
        <f t="shared" si="78"/>
        <v>16.304148040961547</v>
      </c>
      <c r="J105" s="130">
        <f t="shared" si="78"/>
        <v>6.3742103703703714</v>
      </c>
      <c r="K105" s="130">
        <f t="shared" si="78"/>
        <v>7.2805585295567008</v>
      </c>
      <c r="L105" s="130">
        <f t="shared" si="78"/>
        <v>9.7391004715732201</v>
      </c>
      <c r="M105" s="130">
        <f t="shared" si="78"/>
        <v>33.890490447387563</v>
      </c>
      <c r="N105" s="130">
        <f t="shared" si="78"/>
        <v>0</v>
      </c>
      <c r="O105" s="130">
        <f t="shared" si="78"/>
        <v>15.829055843083859</v>
      </c>
      <c r="P105" s="130">
        <f t="shared" si="78"/>
        <v>14.641312331847397</v>
      </c>
      <c r="Q105" s="130">
        <f t="shared" si="78"/>
        <v>2.9313274099224826</v>
      </c>
      <c r="R105" s="130">
        <f t="shared" si="78"/>
        <v>26.062482950786634</v>
      </c>
      <c r="S105" s="130">
        <f t="shared" si="78"/>
        <v>27.400621544332321</v>
      </c>
      <c r="T105" s="130">
        <f t="shared" si="78"/>
        <v>-2.2409748914948668</v>
      </c>
      <c r="U105" s="130">
        <f t="shared" si="78"/>
        <v>12.882873030574435</v>
      </c>
      <c r="V105" s="130">
        <f t="shared" si="78"/>
        <v>11.196046019102717</v>
      </c>
      <c r="W105" s="130">
        <f t="shared" si="78"/>
        <v>8.8499625295733946</v>
      </c>
      <c r="X105" s="130">
        <f t="shared" si="78"/>
        <v>3.2279197379335662</v>
      </c>
      <c r="Y105" s="130">
        <f t="shared" si="78"/>
        <v>9.9146816145493766</v>
      </c>
      <c r="Z105" s="130">
        <f t="shared" si="73"/>
        <v>7.613643681856483</v>
      </c>
      <c r="AA105" s="130">
        <f t="shared" si="73"/>
        <v>10.366106618863967</v>
      </c>
      <c r="AB105" s="130">
        <f t="shared" si="73"/>
        <v>10.39941403453925</v>
      </c>
      <c r="AC105" s="130">
        <f t="shared" si="73"/>
        <v>10.429848860065841</v>
      </c>
      <c r="AD105" s="130"/>
    </row>
    <row r="106" spans="1:30" outlineLevel="1" x14ac:dyDescent="0.2">
      <c r="A106" s="17">
        <v>6</v>
      </c>
      <c r="B106" s="17" t="str">
        <f t="shared" si="74"/>
        <v>PV of Increase in forecast year 5 lease commitments</v>
      </c>
      <c r="C106" s="129">
        <f t="shared" si="71"/>
        <v>83.686526450076286</v>
      </c>
      <c r="D106" s="130">
        <f t="shared" ref="D106:Y106" si="79">(D71-C72)/(POWER((1+D$38),$A106))</f>
        <v>0.31431090758176017</v>
      </c>
      <c r="E106" s="130">
        <f t="shared" si="79"/>
        <v>7.7597989183583875</v>
      </c>
      <c r="F106" s="130">
        <f t="shared" si="79"/>
        <v>-7.5130430254500515</v>
      </c>
      <c r="G106" s="130">
        <f t="shared" si="79"/>
        <v>5.2481528622100226</v>
      </c>
      <c r="H106" s="130">
        <f t="shared" si="79"/>
        <v>-3.1962477715364996</v>
      </c>
      <c r="I106" s="130">
        <f t="shared" si="79"/>
        <v>17.660061889088258</v>
      </c>
      <c r="J106" s="130">
        <f t="shared" si="79"/>
        <v>5.0049355500685966</v>
      </c>
      <c r="K106" s="130">
        <f t="shared" si="79"/>
        <v>4.2460866642740704</v>
      </c>
      <c r="L106" s="130">
        <f t="shared" si="79"/>
        <v>3.0460376520115622</v>
      </c>
      <c r="M106" s="130">
        <f t="shared" si="79"/>
        <v>29.109404224774707</v>
      </c>
      <c r="N106" s="130">
        <f t="shared" si="79"/>
        <v>-2.8051899754202911</v>
      </c>
      <c r="O106" s="130">
        <f t="shared" si="79"/>
        <v>3.3682847641022944</v>
      </c>
      <c r="P106" s="130">
        <f t="shared" si="79"/>
        <v>5.5648995946412443</v>
      </c>
      <c r="Q106" s="130">
        <f t="shared" si="79"/>
        <v>-0.93908256837239967</v>
      </c>
      <c r="R106" s="130">
        <f t="shared" si="79"/>
        <v>5.1208417166444908</v>
      </c>
      <c r="S106" s="130">
        <f t="shared" si="79"/>
        <v>16.927351186514208</v>
      </c>
      <c r="T106" s="130">
        <f t="shared" si="79"/>
        <v>-2.5623956550075477</v>
      </c>
      <c r="U106" s="130">
        <f t="shared" si="79"/>
        <v>1.7045809860515362</v>
      </c>
      <c r="V106" s="130">
        <f t="shared" si="79"/>
        <v>0.20051724558234985</v>
      </c>
      <c r="W106" s="130">
        <f t="shared" si="79"/>
        <v>-1.7206503902566603</v>
      </c>
      <c r="X106" s="130">
        <f t="shared" si="79"/>
        <v>-6.3297328459535525</v>
      </c>
      <c r="Y106" s="130">
        <f t="shared" si="79"/>
        <v>-8.1676890628148313E-2</v>
      </c>
      <c r="Z106" s="130">
        <f t="shared" si="73"/>
        <v>-2.025061612464365</v>
      </c>
      <c r="AA106" s="130">
        <f t="shared" si="73"/>
        <v>0.49373050133836066</v>
      </c>
      <c r="AB106" s="130">
        <f t="shared" si="73"/>
        <v>0.47681241518117518</v>
      </c>
      <c r="AC106" s="130">
        <f t="shared" si="73"/>
        <v>0.4590062325750191</v>
      </c>
      <c r="AD106" s="130"/>
    </row>
    <row r="107" spans="1:30" outlineLevel="1" x14ac:dyDescent="0.2">
      <c r="A107" s="17">
        <v>7</v>
      </c>
      <c r="B107" s="17" t="str">
        <f t="shared" si="74"/>
        <v>PV of Increase in forecast year 6 lease commitments</v>
      </c>
      <c r="C107" s="129">
        <f t="shared" si="71"/>
        <v>74.791798864700326</v>
      </c>
      <c r="D107" s="130">
        <f t="shared" ref="D107:Y107" si="80">(D72-C73)/(POWER((1+D$38),$A107))</f>
        <v>-6.3583068791485324</v>
      </c>
      <c r="E107" s="130">
        <f t="shared" si="80"/>
        <v>5.0898535217501797</v>
      </c>
      <c r="F107" s="130">
        <f t="shared" si="80"/>
        <v>-6.2891666787438885</v>
      </c>
      <c r="G107" s="130">
        <f t="shared" si="80"/>
        <v>3.4645906047526478</v>
      </c>
      <c r="H107" s="130">
        <f t="shared" si="80"/>
        <v>-3.4384350010545495</v>
      </c>
      <c r="I107" s="130">
        <f t="shared" si="80"/>
        <v>13.661751062234707</v>
      </c>
      <c r="J107" s="130">
        <f t="shared" si="80"/>
        <v>0.83730368321902438</v>
      </c>
      <c r="K107" s="130">
        <f t="shared" si="80"/>
        <v>3.1463761943479454</v>
      </c>
      <c r="L107" s="130">
        <f t="shared" si="80"/>
        <v>-3.1317866905506331</v>
      </c>
      <c r="M107" s="130">
        <f t="shared" si="80"/>
        <v>20.212020255094234</v>
      </c>
      <c r="N107" s="130">
        <f t="shared" si="80"/>
        <v>-2.644108827371634</v>
      </c>
      <c r="O107" s="130">
        <f t="shared" si="80"/>
        <v>-2.580269632780825</v>
      </c>
      <c r="P107" s="130">
        <f t="shared" si="80"/>
        <v>-4.2297025260695484</v>
      </c>
      <c r="Q107" s="130">
        <f t="shared" si="80"/>
        <v>-8.3541396723000112</v>
      </c>
      <c r="R107" s="130">
        <f t="shared" si="80"/>
        <v>0.80971829684999264</v>
      </c>
      <c r="S107" s="130">
        <f t="shared" si="80"/>
        <v>6.447824923383525</v>
      </c>
      <c r="T107" s="130">
        <f t="shared" si="80"/>
        <v>-2.4171819158348256</v>
      </c>
      <c r="U107" s="130">
        <f t="shared" si="80"/>
        <v>1.5966102199288479</v>
      </c>
      <c r="V107" s="130">
        <f t="shared" si="80"/>
        <v>0.18746499528559057</v>
      </c>
      <c r="W107" s="130">
        <f t="shared" si="80"/>
        <v>-1.6056459958069849</v>
      </c>
      <c r="X107" s="130">
        <f t="shared" si="80"/>
        <v>-5.9066677671326735</v>
      </c>
      <c r="Y107" s="130">
        <f t="shared" si="80"/>
        <v>-7.6217791324528925E-2</v>
      </c>
      <c r="Z107" s="130">
        <f t="shared" si="73"/>
        <v>-1.8897110579394516</v>
      </c>
      <c r="AA107" s="130">
        <f t="shared" si="73"/>
        <v>0.46073066729346607</v>
      </c>
      <c r="AB107" s="130">
        <f t="shared" si="73"/>
        <v>0.44494334788865053</v>
      </c>
      <c r="AC107" s="130">
        <f t="shared" si="73"/>
        <v>0.42832729040011108</v>
      </c>
      <c r="AD107" s="130"/>
    </row>
    <row r="108" spans="1:30" outlineLevel="1" x14ac:dyDescent="0.2">
      <c r="A108" s="17">
        <v>8</v>
      </c>
      <c r="B108" s="17" t="str">
        <f t="shared" si="74"/>
        <v>PV of Increase in forecast year 7 lease commitments</v>
      </c>
      <c r="C108" s="129">
        <f t="shared" si="71"/>
        <v>69.251665615463253</v>
      </c>
      <c r="D108" s="130">
        <f t="shared" ref="D108:Y108" si="81">(D73-C74)/(POWER((1+D$38),$A108))</f>
        <v>-5.8465657287138368</v>
      </c>
      <c r="E108" s="130">
        <f t="shared" si="81"/>
        <v>4.6550366870697024</v>
      </c>
      <c r="F108" s="130">
        <f t="shared" si="81"/>
        <v>-5.7970414096735823</v>
      </c>
      <c r="G108" s="130">
        <f t="shared" si="81"/>
        <v>3.2380079369576658</v>
      </c>
      <c r="H108" s="130">
        <f t="shared" si="81"/>
        <v>-3.2258488325265033</v>
      </c>
      <c r="I108" s="130">
        <f t="shared" si="81"/>
        <v>12.753236762005608</v>
      </c>
      <c r="J108" s="130">
        <f t="shared" si="81"/>
        <v>0.7814834376710893</v>
      </c>
      <c r="K108" s="130">
        <f t="shared" si="81"/>
        <v>2.9528649648227301</v>
      </c>
      <c r="L108" s="130">
        <f t="shared" si="81"/>
        <v>-2.9560193519133091</v>
      </c>
      <c r="M108" s="130">
        <f t="shared" si="81"/>
        <v>19.014010491512916</v>
      </c>
      <c r="N108" s="130">
        <f t="shared" si="81"/>
        <v>-2.4922773688213811</v>
      </c>
      <c r="O108" s="130">
        <f t="shared" si="81"/>
        <v>-2.4158588548250597</v>
      </c>
      <c r="P108" s="130">
        <f t="shared" si="81"/>
        <v>-3.9739264652774757</v>
      </c>
      <c r="Q108" s="130">
        <f t="shared" si="81"/>
        <v>-7.8505954717936008</v>
      </c>
      <c r="R108" s="130">
        <f t="shared" si="81"/>
        <v>0.75906088145313266</v>
      </c>
      <c r="S108" s="130">
        <f t="shared" si="81"/>
        <v>6.0719050928321083</v>
      </c>
      <c r="T108" s="130">
        <f t="shared" si="81"/>
        <v>-2.2801975966594852</v>
      </c>
      <c r="U108" s="130">
        <f t="shared" si="81"/>
        <v>1.495478487229924</v>
      </c>
      <c r="V108" s="130">
        <f t="shared" si="81"/>
        <v>0.17526235389560879</v>
      </c>
      <c r="W108" s="130">
        <f t="shared" si="81"/>
        <v>-1.4983282359099359</v>
      </c>
      <c r="X108" s="130">
        <f t="shared" si="81"/>
        <v>-5.5118794047662893</v>
      </c>
      <c r="Y108" s="130">
        <f t="shared" si="81"/>
        <v>-7.1123565915809109E-2</v>
      </c>
      <c r="Z108" s="130">
        <f t="shared" si="73"/>
        <v>-1.763407029454755</v>
      </c>
      <c r="AA108" s="130">
        <f t="shared" si="73"/>
        <v>0.4299364677881406</v>
      </c>
      <c r="AB108" s="130">
        <f t="shared" si="73"/>
        <v>0.4152043372342476</v>
      </c>
      <c r="AC108" s="130">
        <f t="shared" si="73"/>
        <v>0.39969885958251361</v>
      </c>
      <c r="AD108" s="130"/>
    </row>
    <row r="109" spans="1:30" outlineLevel="1" x14ac:dyDescent="0.2">
      <c r="A109" s="17">
        <v>9</v>
      </c>
      <c r="B109" s="17" t="str">
        <f t="shared" si="74"/>
        <v>PV of Increase in forecast year 8 lease commitments</v>
      </c>
      <c r="C109" s="129">
        <f t="shared" si="71"/>
        <v>64.121912606910414</v>
      </c>
      <c r="D109" s="130">
        <f t="shared" ref="D109:Y109" si="82">(D74-C75)/(POWER((1+D$38),$A109))</f>
        <v>-5.3760114869996105</v>
      </c>
      <c r="E109" s="130">
        <f t="shared" si="82"/>
        <v>4.2573654556789124</v>
      </c>
      <c r="F109" s="130">
        <f t="shared" si="82"/>
        <v>-5.3434247845665626</v>
      </c>
      <c r="G109" s="130">
        <f t="shared" si="82"/>
        <v>3.0262436737599439</v>
      </c>
      <c r="H109" s="130">
        <f t="shared" si="82"/>
        <v>-3.0264061083373996</v>
      </c>
      <c r="I109" s="130">
        <f t="shared" si="82"/>
        <v>11.905139185076527</v>
      </c>
      <c r="J109" s="130">
        <f t="shared" si="82"/>
        <v>0.72938454182635015</v>
      </c>
      <c r="K109" s="130">
        <f t="shared" si="82"/>
        <v>2.7712552351943263</v>
      </c>
      <c r="L109" s="130">
        <f t="shared" si="82"/>
        <v>-2.7901167200342272</v>
      </c>
      <c r="M109" s="130">
        <f t="shared" si="82"/>
        <v>17.887009334469802</v>
      </c>
      <c r="N109" s="130">
        <f t="shared" si="82"/>
        <v>-2.3491644590565852</v>
      </c>
      <c r="O109" s="130">
        <f t="shared" si="82"/>
        <v>-2.261924076572817</v>
      </c>
      <c r="P109" s="130">
        <f t="shared" si="82"/>
        <v>-3.7336175426283553</v>
      </c>
      <c r="Q109" s="130">
        <f t="shared" si="82"/>
        <v>-7.3774023034472531</v>
      </c>
      <c r="R109" s="130">
        <f t="shared" si="82"/>
        <v>0.71157268397400175</v>
      </c>
      <c r="S109" s="130">
        <f t="shared" si="82"/>
        <v>5.7179020668901508</v>
      </c>
      <c r="T109" s="130">
        <f t="shared" si="82"/>
        <v>-2.1509763273303335</v>
      </c>
      <c r="U109" s="130">
        <f t="shared" si="82"/>
        <v>1.4007525931201723</v>
      </c>
      <c r="V109" s="130">
        <f t="shared" si="82"/>
        <v>0.16385401789936549</v>
      </c>
      <c r="W109" s="130">
        <f t="shared" si="82"/>
        <v>-1.3981833532345138</v>
      </c>
      <c r="X109" s="130">
        <f t="shared" si="82"/>
        <v>-5.1434778068506137</v>
      </c>
      <c r="Y109" s="130">
        <f t="shared" si="82"/>
        <v>-6.6369827053128758E-2</v>
      </c>
      <c r="Z109" s="130">
        <f t="shared" si="73"/>
        <v>-1.6455448775968784</v>
      </c>
      <c r="AA109" s="130">
        <f t="shared" si="73"/>
        <v>0.40120048318034812</v>
      </c>
      <c r="AB109" s="130">
        <f t="shared" si="73"/>
        <v>0.38745301503254176</v>
      </c>
      <c r="AC109" s="130">
        <f t="shared" si="73"/>
        <v>0.37298388856410924</v>
      </c>
      <c r="AD109" s="130"/>
    </row>
    <row r="110" spans="1:30" outlineLevel="1" x14ac:dyDescent="0.2">
      <c r="A110" s="17">
        <v>10</v>
      </c>
      <c r="B110" s="17" t="str">
        <f t="shared" si="74"/>
        <v>PV of Increase in forecast year 9 lease commitments</v>
      </c>
      <c r="C110" s="129">
        <f t="shared" si="71"/>
        <v>59.372141302694828</v>
      </c>
      <c r="D110" s="130">
        <f t="shared" ref="D110:Y110" si="83">(D75-C76)/(POWER((1+D$38),$A110))</f>
        <v>-4.9433292721588362</v>
      </c>
      <c r="E110" s="130">
        <f t="shared" si="83"/>
        <v>3.8936665469370797</v>
      </c>
      <c r="F110" s="130">
        <f t="shared" si="83"/>
        <v>-4.9253035144228727</v>
      </c>
      <c r="G110" s="130">
        <f t="shared" si="83"/>
        <v>2.828328698161501</v>
      </c>
      <c r="H110" s="130">
        <f t="shared" si="83"/>
        <v>-2.8392942162167096</v>
      </c>
      <c r="I110" s="130">
        <f t="shared" si="83"/>
        <v>11.11344058461245</v>
      </c>
      <c r="J110" s="130">
        <f t="shared" si="83"/>
        <v>0.68075890570459341</v>
      </c>
      <c r="K110" s="130">
        <f t="shared" si="83"/>
        <v>2.6008150288216805</v>
      </c>
      <c r="L110" s="130">
        <f t="shared" si="83"/>
        <v>-2.6335251514425324</v>
      </c>
      <c r="M110" s="130">
        <f t="shared" si="83"/>
        <v>16.826807951653358</v>
      </c>
      <c r="N110" s="130">
        <f t="shared" si="83"/>
        <v>-2.2142694568158752</v>
      </c>
      <c r="O110" s="130">
        <f t="shared" si="83"/>
        <v>-2.1177977835755133</v>
      </c>
      <c r="P110" s="130">
        <f t="shared" si="83"/>
        <v>-3.5078404385242834</v>
      </c>
      <c r="Q110" s="130">
        <f t="shared" si="83"/>
        <v>-6.9327307644950249</v>
      </c>
      <c r="R110" s="130">
        <f t="shared" si="83"/>
        <v>0.6670554325084499</v>
      </c>
      <c r="S110" s="130">
        <f t="shared" si="83"/>
        <v>5.384538056291829</v>
      </c>
      <c r="T110" s="130">
        <f t="shared" si="83"/>
        <v>-2.0290781673981479</v>
      </c>
      <c r="U110" s="130">
        <f t="shared" si="83"/>
        <v>1.312026781988219</v>
      </c>
      <c r="V110" s="130">
        <f t="shared" si="83"/>
        <v>0.15318828365021897</v>
      </c>
      <c r="W110" s="130">
        <f t="shared" si="83"/>
        <v>-1.304731928831927</v>
      </c>
      <c r="X110" s="130">
        <f t="shared" si="83"/>
        <v>-4.7996993415146285</v>
      </c>
      <c r="Y110" s="130">
        <f t="shared" si="83"/>
        <v>-6.1933817383066608E-2</v>
      </c>
      <c r="Z110" s="130">
        <f t="shared" si="73"/>
        <v>-1.535560366356588</v>
      </c>
      <c r="AA110" s="130">
        <f t="shared" si="73"/>
        <v>0.37438514702470371</v>
      </c>
      <c r="AB110" s="130">
        <f t="shared" si="73"/>
        <v>0.36155652866678339</v>
      </c>
      <c r="AC110" s="130">
        <f t="shared" si="73"/>
        <v>0.34805448600406791</v>
      </c>
      <c r="AD110" s="130"/>
    </row>
    <row r="111" spans="1:30" outlineLevel="1" x14ac:dyDescent="0.2">
      <c r="A111" s="17">
        <v>11</v>
      </c>
      <c r="B111" s="17" t="str">
        <f t="shared" si="74"/>
        <v>PV of Increase in forecast year 10 lease commitments</v>
      </c>
      <c r="C111" s="129">
        <f t="shared" si="71"/>
        <v>54.974204909902625</v>
      </c>
      <c r="D111" s="130">
        <f t="shared" ref="D111:Y111" si="84">(D76-C77)/(POWER((1+D$38),$A111))</f>
        <v>-4.5454709968673432</v>
      </c>
      <c r="E111" s="130">
        <f t="shared" si="84"/>
        <v>3.5610377677382856</v>
      </c>
      <c r="F111" s="130">
        <f t="shared" si="84"/>
        <v>-4.5399000991372738</v>
      </c>
      <c r="G111" s="130">
        <f t="shared" si="84"/>
        <v>2.6433572729802868</v>
      </c>
      <c r="H111" s="130">
        <f t="shared" si="84"/>
        <v>-2.6637507848113655</v>
      </c>
      <c r="I111" s="130">
        <f t="shared" si="84"/>
        <v>10.374390396252828</v>
      </c>
      <c r="J111" s="130">
        <f t="shared" si="84"/>
        <v>0.63537497865762071</v>
      </c>
      <c r="K111" s="130">
        <f t="shared" si="84"/>
        <v>2.4408573877427053</v>
      </c>
      <c r="L111" s="130">
        <f t="shared" si="84"/>
        <v>-2.4857220751665663</v>
      </c>
      <c r="M111" s="130">
        <f t="shared" si="84"/>
        <v>15.829446977264483</v>
      </c>
      <c r="N111" s="130">
        <f t="shared" si="84"/>
        <v>-2.0871204689333207</v>
      </c>
      <c r="O111" s="130">
        <f t="shared" si="84"/>
        <v>-1.9828549943696454</v>
      </c>
      <c r="P111" s="130">
        <f t="shared" si="84"/>
        <v>-3.2957163934589628</v>
      </c>
      <c r="Q111" s="130">
        <f t="shared" si="84"/>
        <v>-6.5148617190792741</v>
      </c>
      <c r="R111" s="130">
        <f t="shared" si="84"/>
        <v>0.62532325939494948</v>
      </c>
      <c r="S111" s="130">
        <f t="shared" si="84"/>
        <v>5.0706097691917655</v>
      </c>
      <c r="T111" s="130">
        <f t="shared" si="84"/>
        <v>-1.9140881083158197</v>
      </c>
      <c r="U111" s="130">
        <f t="shared" si="84"/>
        <v>1.2289209994035537</v>
      </c>
      <c r="V111" s="130">
        <f t="shared" si="84"/>
        <v>0.14321681304215869</v>
      </c>
      <c r="W111" s="130">
        <f t="shared" si="84"/>
        <v>-1.2175265870355088</v>
      </c>
      <c r="X111" s="130">
        <f t="shared" si="84"/>
        <v>-4.4788982540670741</v>
      </c>
      <c r="Y111" s="130">
        <f t="shared" si="84"/>
        <v>-5.7794300602418393E-2</v>
      </c>
      <c r="Z111" s="130">
        <f t="shared" si="73"/>
        <v>-1.4329269719879509</v>
      </c>
      <c r="AA111" s="130">
        <f t="shared" si="73"/>
        <v>0.34936208750701386</v>
      </c>
      <c r="AB111" s="130">
        <f t="shared" si="73"/>
        <v>0.33739090508973141</v>
      </c>
      <c r="AC111" s="130">
        <f t="shared" si="73"/>
        <v>0.32479130853056609</v>
      </c>
      <c r="AD111" s="130"/>
    </row>
    <row r="112" spans="1:30" outlineLevel="1" x14ac:dyDescent="0.2">
      <c r="A112" s="17">
        <v>12</v>
      </c>
      <c r="B112" s="17" t="str">
        <f t="shared" si="74"/>
        <v>PV of Increase in forecast year 11 lease commitments</v>
      </c>
      <c r="C112" s="129">
        <f t="shared" si="71"/>
        <v>50.902041583243161</v>
      </c>
      <c r="D112" s="130">
        <f t="shared" ref="D112:Y112" si="85">(D77-C78)/(POWER((1+D$38),$A112))</f>
        <v>-4.1796338956678598</v>
      </c>
      <c r="E112" s="130">
        <f t="shared" si="85"/>
        <v>3.2568248540013953</v>
      </c>
      <c r="F112" s="130">
        <f t="shared" si="85"/>
        <v>-4.1846543770941</v>
      </c>
      <c r="G112" s="130">
        <f t="shared" si="85"/>
        <v>2.4704828958387197</v>
      </c>
      <c r="H112" s="130">
        <f t="shared" si="85"/>
        <v>-2.4990605774690859</v>
      </c>
      <c r="I112" s="130">
        <f t="shared" si="85"/>
        <v>9.6844874703234041</v>
      </c>
      <c r="J112" s="130">
        <f t="shared" si="85"/>
        <v>0.59301664674711263</v>
      </c>
      <c r="K112" s="130">
        <f t="shared" si="85"/>
        <v>2.2907376038954079</v>
      </c>
      <c r="L112" s="130">
        <f t="shared" si="85"/>
        <v>-2.3462142488314157</v>
      </c>
      <c r="M112" s="130">
        <f t="shared" si="85"/>
        <v>14.891201725601633</v>
      </c>
      <c r="N112" s="130">
        <f t="shared" si="85"/>
        <v>-1.9672726995496237</v>
      </c>
      <c r="O112" s="130">
        <f t="shared" si="85"/>
        <v>-1.856510550340962</v>
      </c>
      <c r="P112" s="130">
        <f t="shared" si="85"/>
        <v>-3.0964197877494084</v>
      </c>
      <c r="Q112" s="130">
        <f t="shared" si="85"/>
        <v>-6.1221796519334628</v>
      </c>
      <c r="R112" s="130">
        <f t="shared" si="85"/>
        <v>0.58620192518313674</v>
      </c>
      <c r="S112" s="130">
        <f t="shared" si="85"/>
        <v>4.7749840678309612</v>
      </c>
      <c r="T112" s="130">
        <f t="shared" si="85"/>
        <v>-1.8056146605204344</v>
      </c>
      <c r="U112" s="130">
        <f t="shared" si="85"/>
        <v>1.1510792641644336</v>
      </c>
      <c r="V112" s="130">
        <f t="shared" si="85"/>
        <v>0.13389441443698369</v>
      </c>
      <c r="W112" s="130">
        <f t="shared" si="85"/>
        <v>-1.1361498537599521</v>
      </c>
      <c r="X112" s="130">
        <f t="shared" si="85"/>
        <v>-4.1795387883514046</v>
      </c>
      <c r="Y112" s="130">
        <f t="shared" si="85"/>
        <v>-5.3931459794628149E-2</v>
      </c>
      <c r="Z112" s="130">
        <f t="shared" si="73"/>
        <v>-1.3371533624056464</v>
      </c>
      <c r="AA112" s="130">
        <f t="shared" si="73"/>
        <v>0.32601151289584868</v>
      </c>
      <c r="AB112" s="130">
        <f t="shared" si="73"/>
        <v>0.31484045733323823</v>
      </c>
      <c r="AC112" s="130">
        <f t="shared" si="73"/>
        <v>0.30308298941380252</v>
      </c>
      <c r="AD112" s="130"/>
    </row>
    <row r="113" spans="1:30" outlineLevel="1" x14ac:dyDescent="0.2">
      <c r="A113" s="17">
        <v>13</v>
      </c>
      <c r="B113" s="17" t="str">
        <f t="shared" si="74"/>
        <v>PV of Increase in forecast year 12 lease commitments</v>
      </c>
      <c r="C113" s="129">
        <f t="shared" si="71"/>
        <v>47.131519984484413</v>
      </c>
      <c r="D113" s="130">
        <f t="shared" ref="D113:Y113" si="86">(D78-C79)/(POWER((1+D$38),$A113))</f>
        <v>-3.8432407805165272</v>
      </c>
      <c r="E113" s="130">
        <f t="shared" si="86"/>
        <v>2.978600290548997</v>
      </c>
      <c r="F113" s="130">
        <f t="shared" si="86"/>
        <v>-3.8572065185003792</v>
      </c>
      <c r="G113" s="130">
        <f t="shared" si="86"/>
        <v>2.3089144252341027</v>
      </c>
      <c r="H113" s="130">
        <f t="shared" si="86"/>
        <v>-2.3445525780679906</v>
      </c>
      <c r="I113" s="130">
        <f t="shared" si="86"/>
        <v>9.0404634856161952</v>
      </c>
      <c r="J113" s="130">
        <f t="shared" si="86"/>
        <v>0.55348220363063849</v>
      </c>
      <c r="K113" s="130">
        <f t="shared" si="86"/>
        <v>2.1498506206269274</v>
      </c>
      <c r="L113" s="130">
        <f t="shared" si="86"/>
        <v>-2.2145361126306518</v>
      </c>
      <c r="M113" s="130">
        <f t="shared" si="86"/>
        <v>14.00856828106838</v>
      </c>
      <c r="N113" s="130">
        <f t="shared" si="86"/>
        <v>-1.8543068941158025</v>
      </c>
      <c r="O113" s="130">
        <f t="shared" si="86"/>
        <v>-1.7382165782742951</v>
      </c>
      <c r="P113" s="130">
        <f t="shared" si="86"/>
        <v>-2.9091749280960921</v>
      </c>
      <c r="Q113" s="130">
        <f t="shared" si="86"/>
        <v>-5.7531664226704766</v>
      </c>
      <c r="R113" s="130">
        <f t="shared" si="86"/>
        <v>0.54952809115225953</v>
      </c>
      <c r="S113" s="130">
        <f t="shared" si="86"/>
        <v>4.4965938784269355</v>
      </c>
      <c r="T113" s="130">
        <f t="shared" si="86"/>
        <v>-1.7032885205869486</v>
      </c>
      <c r="U113" s="130">
        <f t="shared" si="86"/>
        <v>1.0781681434627641</v>
      </c>
      <c r="V113" s="130">
        <f t="shared" si="86"/>
        <v>0.12517883785156825</v>
      </c>
      <c r="W113" s="130">
        <f t="shared" si="86"/>
        <v>-1.0602121579469983</v>
      </c>
      <c r="X113" s="130">
        <f t="shared" si="86"/>
        <v>-3.900187834691617</v>
      </c>
      <c r="Y113" s="130">
        <f t="shared" si="86"/>
        <v>-5.0326802561183381E-2</v>
      </c>
      <c r="Z113" s="130">
        <f t="shared" si="73"/>
        <v>-1.2477810450536766</v>
      </c>
      <c r="AA113" s="130">
        <f t="shared" si="73"/>
        <v>0.30422163806914604</v>
      </c>
      <c r="AB113" s="130">
        <f t="shared" si="73"/>
        <v>0.29379723068539665</v>
      </c>
      <c r="AC113" s="130">
        <f t="shared" si="73"/>
        <v>0.282825605425221</v>
      </c>
      <c r="AD113" s="130"/>
    </row>
    <row r="114" spans="1:30" outlineLevel="1" x14ac:dyDescent="0.2">
      <c r="A114" s="17">
        <v>14</v>
      </c>
      <c r="B114" s="17" t="str">
        <f t="shared" si="74"/>
        <v>PV of Increase in forecast year 13 lease commitments</v>
      </c>
      <c r="C114" s="129">
        <f t="shared" si="71"/>
        <v>43.640296281929999</v>
      </c>
      <c r="D114" s="130">
        <f t="shared" ref="D114:Y114" si="87">(D79-C80)/(POWER((1+D$38),$A114))</f>
        <v>-3.5339218854394718</v>
      </c>
      <c r="E114" s="130">
        <f t="shared" si="87"/>
        <v>2.7241439403651668</v>
      </c>
      <c r="F114" s="130">
        <f t="shared" si="87"/>
        <v>36.79220475141387</v>
      </c>
      <c r="G114" s="130">
        <f t="shared" si="87"/>
        <v>46.819426518957407</v>
      </c>
      <c r="H114" s="130">
        <f t="shared" si="87"/>
        <v>-2.199597257018977</v>
      </c>
      <c r="I114" s="130">
        <f t="shared" si="87"/>
        <v>8.4392674661626081</v>
      </c>
      <c r="J114" s="130">
        <f t="shared" si="87"/>
        <v>0.51658339005526255</v>
      </c>
      <c r="K114" s="130">
        <f t="shared" si="87"/>
        <v>2.0176285940172711</v>
      </c>
      <c r="L114" s="130">
        <f t="shared" si="87"/>
        <v>-2.0902482356792049</v>
      </c>
      <c r="M114" s="130">
        <f t="shared" si="87"/>
        <v>13.17825041265611</v>
      </c>
      <c r="N114" s="130">
        <f t="shared" si="87"/>
        <v>-1.7478278727461496</v>
      </c>
      <c r="O114" s="130">
        <f t="shared" si="87"/>
        <v>-1.627460114585773</v>
      </c>
      <c r="P114" s="130">
        <f t="shared" si="87"/>
        <v>-2.7332530284643153</v>
      </c>
      <c r="Q114" s="130">
        <f t="shared" si="87"/>
        <v>-5.4063953965300477</v>
      </c>
      <c r="R114" s="130">
        <f t="shared" si="87"/>
        <v>0.51514863734216398</v>
      </c>
      <c r="S114" s="130">
        <f t="shared" si="87"/>
        <v>4.2344343395246637</v>
      </c>
      <c r="T114" s="130">
        <f t="shared" si="87"/>
        <v>-1.6067613139157071</v>
      </c>
      <c r="U114" s="130">
        <f t="shared" si="87"/>
        <v>1.009875324634365</v>
      </c>
      <c r="V114" s="130">
        <f t="shared" si="87"/>
        <v>0.11703058347698328</v>
      </c>
      <c r="W114" s="130">
        <f t="shared" si="87"/>
        <v>-0.98934996658999019</v>
      </c>
      <c r="X114" s="130">
        <f t="shared" si="87"/>
        <v>-3.6395080692328166</v>
      </c>
      <c r="Y114" s="130">
        <f t="shared" si="87"/>
        <v>-4.6963072493813957E-2</v>
      </c>
      <c r="Z114" s="130">
        <f t="shared" si="73"/>
        <v>-1.1643821719852343</v>
      </c>
      <c r="AA114" s="130">
        <f t="shared" si="73"/>
        <v>0.28388814937048507</v>
      </c>
      <c r="AB114" s="130">
        <f t="shared" si="73"/>
        <v>0.27416048588395814</v>
      </c>
      <c r="AC114" s="130">
        <f t="shared" si="73"/>
        <v>0.26392217933066231</v>
      </c>
      <c r="AD114" s="130"/>
    </row>
    <row r="115" spans="1:30" outlineLevel="1" x14ac:dyDescent="0.2">
      <c r="A115" s="17">
        <v>15</v>
      </c>
      <c r="B115" s="17" t="str">
        <f t="shared" si="74"/>
        <v>PV of Increase in forecast year 14 lease commitments</v>
      </c>
      <c r="C115" s="129">
        <f t="shared" si="71"/>
        <v>40.407681742527778</v>
      </c>
      <c r="D115" s="130">
        <f t="shared" ref="D115:Y115" si="88">(D80-C81)/(POWER((1+D$38),$A115))</f>
        <v>-3.2494981724016827</v>
      </c>
      <c r="E115" s="130">
        <f t="shared" si="88"/>
        <v>-30.583490312070069</v>
      </c>
      <c r="F115" s="130">
        <f t="shared" si="88"/>
        <v>0</v>
      </c>
      <c r="G115" s="130">
        <f t="shared" si="88"/>
        <v>43.75745707565752</v>
      </c>
      <c r="H115" s="130">
        <f t="shared" si="88"/>
        <v>-2.0636040063014112</v>
      </c>
      <c r="I115" s="130">
        <f t="shared" si="88"/>
        <v>7.8780513276500699</v>
      </c>
      <c r="J115" s="130">
        <f t="shared" si="88"/>
        <v>0.48214449738491183</v>
      </c>
      <c r="K115" s="130">
        <f t="shared" si="88"/>
        <v>1.8935386041886944</v>
      </c>
      <c r="L115" s="130">
        <f t="shared" si="88"/>
        <v>-1.9729358495626075</v>
      </c>
      <c r="M115" s="130">
        <f t="shared" si="88"/>
        <v>12.397147264033332</v>
      </c>
      <c r="N115" s="130">
        <f t="shared" si="88"/>
        <v>-1.647463147789791</v>
      </c>
      <c r="O115" s="130">
        <f t="shared" si="88"/>
        <v>-1.5237608809352741</v>
      </c>
      <c r="P115" s="130">
        <f t="shared" si="88"/>
        <v>-2.5679693735359286</v>
      </c>
      <c r="Q115" s="130">
        <f t="shared" si="88"/>
        <v>-5.0805259288942768</v>
      </c>
      <c r="R115" s="130">
        <f t="shared" si="88"/>
        <v>0.48292002324947442</v>
      </c>
      <c r="S115" s="130">
        <f t="shared" si="88"/>
        <v>3.987559174905599</v>
      </c>
      <c r="T115" s="130">
        <f t="shared" si="88"/>
        <v>-1.5157044086732225</v>
      </c>
      <c r="U115" s="130">
        <f t="shared" si="88"/>
        <v>0.94590827737676164</v>
      </c>
      <c r="V115" s="130">
        <f t="shared" si="88"/>
        <v>0.10941272266166487</v>
      </c>
      <c r="W115" s="130">
        <f t="shared" si="88"/>
        <v>-0.92322404440918249</v>
      </c>
      <c r="X115" s="130">
        <f t="shared" si="88"/>
        <v>-3.3962515518327927</v>
      </c>
      <c r="Y115" s="130">
        <f t="shared" si="88"/>
        <v>-4.3824166563689683E-2</v>
      </c>
      <c r="Z115" s="130">
        <f t="shared" si="73"/>
        <v>-1.0865574916460836</v>
      </c>
      <c r="AA115" s="130">
        <f t="shared" si="73"/>
        <v>0.26491370523315999</v>
      </c>
      <c r="AB115" s="130">
        <f t="shared" si="73"/>
        <v>0.25583621685193803</v>
      </c>
      <c r="AC115" s="130">
        <f t="shared" si="73"/>
        <v>0.24628221563575159</v>
      </c>
      <c r="AD115" s="130"/>
    </row>
    <row r="116" spans="1:30" outlineLevel="1" x14ac:dyDescent="0.2">
      <c r="A116" s="17">
        <v>16</v>
      </c>
      <c r="B116" s="17" t="str">
        <f t="shared" si="74"/>
        <v>PV of Increase in forecast year 15 lease commitments</v>
      </c>
      <c r="C116" s="129">
        <f t="shared" si="71"/>
        <v>37.414520131970164</v>
      </c>
      <c r="D116" s="130">
        <f t="shared" ref="D116:Y116" si="89">(D81-C82)/(POWER((1+D$38),$A116))</f>
        <v>30.490834667547798</v>
      </c>
      <c r="E116" s="130">
        <f t="shared" si="89"/>
        <v>0</v>
      </c>
      <c r="F116" s="130">
        <f t="shared" si="89"/>
        <v>0</v>
      </c>
      <c r="G116" s="130">
        <f t="shared" si="89"/>
        <v>40.895739057220894</v>
      </c>
      <c r="H116" s="130">
        <f t="shared" si="89"/>
        <v>-1.9360187330814149</v>
      </c>
      <c r="I116" s="130">
        <f t="shared" si="89"/>
        <v>7.3541563850102518</v>
      </c>
      <c r="J116" s="130">
        <f t="shared" si="89"/>
        <v>0.45000153089258432</v>
      </c>
      <c r="K116" s="130">
        <f t="shared" si="89"/>
        <v>1.777080507376164</v>
      </c>
      <c r="L116" s="130">
        <f t="shared" si="89"/>
        <v>-1.8622074641888204</v>
      </c>
      <c r="M116" s="130">
        <f t="shared" si="89"/>
        <v>11.662341773269782</v>
      </c>
      <c r="N116" s="130">
        <f t="shared" si="89"/>
        <v>-1.5528616207848065</v>
      </c>
      <c r="O116" s="130">
        <f t="shared" si="89"/>
        <v>-1.4266692015734022</v>
      </c>
      <c r="P116" s="130">
        <f t="shared" si="89"/>
        <v>-2.4126806536911167</v>
      </c>
      <c r="Q116" s="130">
        <f t="shared" si="89"/>
        <v>-4.7742981822479456</v>
      </c>
      <c r="R116" s="130">
        <f t="shared" si="89"/>
        <v>0.45270768851975546</v>
      </c>
      <c r="S116" s="130">
        <f t="shared" si="89"/>
        <v>3.7550772779626445</v>
      </c>
      <c r="T116" s="130">
        <f t="shared" si="89"/>
        <v>-1.4298077969482195</v>
      </c>
      <c r="U116" s="130">
        <f t="shared" si="89"/>
        <v>0.88599300070414377</v>
      </c>
      <c r="V116" s="130">
        <f t="shared" si="89"/>
        <v>0.10229073054730851</v>
      </c>
      <c r="W116" s="130">
        <f t="shared" si="89"/>
        <v>-0.86151782984643188</v>
      </c>
      <c r="X116" s="130">
        <f t="shared" si="89"/>
        <v>-3.1692537518560999</v>
      </c>
      <c r="Y116" s="130">
        <f t="shared" si="89"/>
        <v>-4.0895058032137818E-2</v>
      </c>
      <c r="Z116" s="130">
        <f t="shared" si="73"/>
        <v>-1.0139344375561261</v>
      </c>
      <c r="AA116" s="130">
        <f t="shared" si="73"/>
        <v>0.24720747018141606</v>
      </c>
      <c r="AB116" s="130">
        <f t="shared" si="73"/>
        <v>0.23873670066668665</v>
      </c>
      <c r="AC116" s="130">
        <f t="shared" si="73"/>
        <v>0.22982126736101866</v>
      </c>
      <c r="AD116" s="130"/>
    </row>
    <row r="117" spans="1:30" outlineLevel="1" x14ac:dyDescent="0.2">
      <c r="A117" s="17">
        <v>17</v>
      </c>
      <c r="B117" s="17" t="str">
        <f t="shared" si="74"/>
        <v>PV of Increase in forecast year 16 lease commitments</v>
      </c>
      <c r="C117" s="129">
        <f t="shared" si="71"/>
        <v>0</v>
      </c>
      <c r="D117" s="130">
        <f t="shared" ref="D117:Y117" si="90">(D82-C83)/(POWER((1+D$38),$A117))</f>
        <v>0</v>
      </c>
      <c r="E117" s="130">
        <f t="shared" si="90"/>
        <v>0</v>
      </c>
      <c r="F117" s="130">
        <f t="shared" si="90"/>
        <v>0</v>
      </c>
      <c r="G117" s="130">
        <f t="shared" si="90"/>
        <v>38.221176110498909</v>
      </c>
      <c r="H117" s="130">
        <f t="shared" si="90"/>
        <v>-1.8163216021081452</v>
      </c>
      <c r="I117" s="130">
        <f t="shared" si="90"/>
        <v>6.865100757260433</v>
      </c>
      <c r="J117" s="130">
        <f t="shared" si="90"/>
        <v>0.42000142883307873</v>
      </c>
      <c r="K117" s="130">
        <f t="shared" si="90"/>
        <v>1.6677849201016992</v>
      </c>
      <c r="L117" s="130">
        <f t="shared" si="90"/>
        <v>-1.7576935613235265</v>
      </c>
      <c r="M117" s="130">
        <f t="shared" si="90"/>
        <v>10.971089778948333</v>
      </c>
      <c r="N117" s="130">
        <f t="shared" si="90"/>
        <v>-1.4636923542365623</v>
      </c>
      <c r="O117" s="130">
        <f t="shared" si="90"/>
        <v>52.866572868687612</v>
      </c>
      <c r="P117" s="130">
        <f t="shared" si="90"/>
        <v>53.8046003625171</v>
      </c>
      <c r="Q117" s="130">
        <f t="shared" si="90"/>
        <v>49.509787158027443</v>
      </c>
      <c r="R117" s="130">
        <f t="shared" si="90"/>
        <v>47.925247248712701</v>
      </c>
      <c r="S117" s="130">
        <f t="shared" si="90"/>
        <v>55.301449050124667</v>
      </c>
      <c r="T117" s="130">
        <f t="shared" si="90"/>
        <v>55.603415895710476</v>
      </c>
      <c r="U117" s="130">
        <f t="shared" si="90"/>
        <v>50.114273291670919</v>
      </c>
      <c r="V117" s="130">
        <f t="shared" si="90"/>
        <v>48.640538381155658</v>
      </c>
      <c r="W117" s="130">
        <f t="shared" si="90"/>
        <v>46.316186899444411</v>
      </c>
      <c r="X117" s="130">
        <f t="shared" si="90"/>
        <v>43.35875892617382</v>
      </c>
      <c r="Y117" s="130">
        <f t="shared" si="90"/>
        <v>43.320597201659986</v>
      </c>
      <c r="Z117" s="130">
        <f t="shared" si="73"/>
        <v>42.3744318569208</v>
      </c>
      <c r="AA117" s="130">
        <f t="shared" si="73"/>
        <v>42.605116536898798</v>
      </c>
      <c r="AB117" s="130">
        <f t="shared" si="73"/>
        <v>42.827896614506805</v>
      </c>
      <c r="AC117" s="130">
        <f t="shared" si="73"/>
        <v>43.042357146279599</v>
      </c>
      <c r="AD117" s="130"/>
    </row>
    <row r="118" spans="1:30" outlineLevel="1" x14ac:dyDescent="0.2">
      <c r="A118" s="17">
        <v>18</v>
      </c>
      <c r="B118" s="17" t="str">
        <f t="shared" si="74"/>
        <v>PV of Increase in forecast year 17 lease commitments</v>
      </c>
      <c r="C118" s="129">
        <f t="shared" si="71"/>
        <v>0</v>
      </c>
      <c r="D118" s="130">
        <f t="shared" ref="D118:Y118" si="91">(D83-C84)/(POWER((1+D$38),$A118))</f>
        <v>0</v>
      </c>
      <c r="E118" s="130">
        <f t="shared" si="91"/>
        <v>0</v>
      </c>
      <c r="F118" s="130">
        <f t="shared" si="91"/>
        <v>0</v>
      </c>
      <c r="G118" s="130">
        <f t="shared" si="91"/>
        <v>35.721528377950442</v>
      </c>
      <c r="H118" s="130">
        <f t="shared" si="91"/>
        <v>-1.7040249176896607</v>
      </c>
      <c r="I118" s="130">
        <f t="shared" si="91"/>
        <v>6.4085676099301585</v>
      </c>
      <c r="J118" s="130">
        <f t="shared" si="91"/>
        <v>0.39200133357754019</v>
      </c>
      <c r="K118" s="130">
        <f t="shared" si="91"/>
        <v>1.5652113273278141</v>
      </c>
      <c r="L118" s="130">
        <f t="shared" si="91"/>
        <v>-1.6590453614490077</v>
      </c>
      <c r="M118" s="130">
        <f t="shared" si="91"/>
        <v>10.320809771980963</v>
      </c>
      <c r="N118" s="130">
        <f t="shared" si="91"/>
        <v>-58.634845091755317</v>
      </c>
      <c r="O118" s="130">
        <f t="shared" si="91"/>
        <v>0</v>
      </c>
      <c r="P118" s="130">
        <f t="shared" si="91"/>
        <v>0</v>
      </c>
      <c r="Q118" s="130">
        <f t="shared" si="91"/>
        <v>0</v>
      </c>
      <c r="R118" s="130">
        <f t="shared" si="91"/>
        <v>0</v>
      </c>
      <c r="S118" s="130">
        <f t="shared" si="91"/>
        <v>0</v>
      </c>
      <c r="T118" s="130">
        <f t="shared" si="91"/>
        <v>0</v>
      </c>
      <c r="U118" s="130">
        <f t="shared" si="91"/>
        <v>0</v>
      </c>
      <c r="V118" s="130">
        <f t="shared" si="91"/>
        <v>0</v>
      </c>
      <c r="W118" s="130">
        <f t="shared" si="91"/>
        <v>0</v>
      </c>
      <c r="X118" s="130">
        <f t="shared" si="91"/>
        <v>0</v>
      </c>
      <c r="Y118" s="130">
        <f t="shared" si="91"/>
        <v>0</v>
      </c>
      <c r="Z118" s="130">
        <f t="shared" si="73"/>
        <v>0</v>
      </c>
      <c r="AA118" s="130">
        <f t="shared" si="73"/>
        <v>0</v>
      </c>
      <c r="AB118" s="130">
        <f t="shared" si="73"/>
        <v>0</v>
      </c>
      <c r="AC118" s="130">
        <f t="shared" si="73"/>
        <v>0</v>
      </c>
      <c r="AD118" s="130"/>
    </row>
    <row r="119" spans="1:30" outlineLevel="1" x14ac:dyDescent="0.2">
      <c r="A119" s="17">
        <v>19</v>
      </c>
      <c r="B119" s="17" t="str">
        <f t="shared" si="74"/>
        <v>PV of Increase in forecast year 18 lease commitments</v>
      </c>
      <c r="C119" s="129">
        <f t="shared" si="71"/>
        <v>0</v>
      </c>
      <c r="D119" s="130">
        <f t="shared" ref="D119:Y119" si="92">(D84-C85)/(POWER((1+D$38),$A119))</f>
        <v>0</v>
      </c>
      <c r="E119" s="130">
        <f t="shared" si="92"/>
        <v>0</v>
      </c>
      <c r="F119" s="130">
        <f t="shared" si="92"/>
        <v>0</v>
      </c>
      <c r="G119" s="130">
        <f t="shared" si="92"/>
        <v>33.38535648321426</v>
      </c>
      <c r="H119" s="130">
        <f t="shared" si="92"/>
        <v>-1.5986711366186606</v>
      </c>
      <c r="I119" s="130">
        <f t="shared" si="92"/>
        <v>5.9823941793732871</v>
      </c>
      <c r="J119" s="130">
        <f t="shared" si="92"/>
        <v>0.36586791133903757</v>
      </c>
      <c r="K119" s="130">
        <f t="shared" si="92"/>
        <v>1.4689463069649935</v>
      </c>
      <c r="L119" s="130">
        <f t="shared" si="92"/>
        <v>46.387575792055415</v>
      </c>
      <c r="M119" s="130">
        <f t="shared" si="92"/>
        <v>9.709073254856591</v>
      </c>
      <c r="N119" s="130">
        <f t="shared" si="92"/>
        <v>-55.267883051467827</v>
      </c>
      <c r="O119" s="130">
        <f t="shared" si="92"/>
        <v>0</v>
      </c>
      <c r="P119" s="130">
        <f t="shared" si="92"/>
        <v>0</v>
      </c>
      <c r="Q119" s="130">
        <f t="shared" si="92"/>
        <v>0</v>
      </c>
      <c r="R119" s="130">
        <f t="shared" si="92"/>
        <v>0</v>
      </c>
      <c r="S119" s="130">
        <f t="shared" si="92"/>
        <v>0</v>
      </c>
      <c r="T119" s="130">
        <f t="shared" si="92"/>
        <v>0</v>
      </c>
      <c r="U119" s="130">
        <f t="shared" si="92"/>
        <v>0</v>
      </c>
      <c r="V119" s="130">
        <f t="shared" si="92"/>
        <v>0</v>
      </c>
      <c r="W119" s="130">
        <f t="shared" si="92"/>
        <v>0</v>
      </c>
      <c r="X119" s="130">
        <f t="shared" si="92"/>
        <v>0</v>
      </c>
      <c r="Y119" s="130">
        <f t="shared" si="92"/>
        <v>0</v>
      </c>
      <c r="Z119" s="130">
        <f t="shared" si="73"/>
        <v>0</v>
      </c>
      <c r="AA119" s="130">
        <f t="shared" si="73"/>
        <v>0</v>
      </c>
      <c r="AB119" s="130">
        <f t="shared" si="73"/>
        <v>0</v>
      </c>
      <c r="AC119" s="130">
        <f t="shared" si="73"/>
        <v>0</v>
      </c>
      <c r="AD119" s="130"/>
    </row>
    <row r="120" spans="1:30" outlineLevel="1" x14ac:dyDescent="0.2">
      <c r="A120" s="17">
        <f t="shared" ref="A120:A130" si="93">A119+1</f>
        <v>20</v>
      </c>
      <c r="B120" s="17" t="str">
        <f t="shared" si="74"/>
        <v>PV of Increase in forecast year 19 lease commitments</v>
      </c>
      <c r="C120" s="129">
        <f t="shared" si="71"/>
        <v>0</v>
      </c>
      <c r="D120" s="130">
        <f t="shared" ref="D120:Y120" si="94">(D85-C86)/(POWER((1+D$38),$A120))</f>
        <v>0</v>
      </c>
      <c r="E120" s="130">
        <f t="shared" si="94"/>
        <v>0</v>
      </c>
      <c r="F120" s="130">
        <f t="shared" si="94"/>
        <v>0</v>
      </c>
      <c r="G120" s="130">
        <f t="shared" si="94"/>
        <v>31.201969179999761</v>
      </c>
      <c r="H120" s="130">
        <f t="shared" si="94"/>
        <v>-1.4998310039519369</v>
      </c>
      <c r="I120" s="130">
        <f t="shared" si="94"/>
        <v>5.5845615269695816</v>
      </c>
      <c r="J120" s="130">
        <f t="shared" si="94"/>
        <v>34.920487453489365</v>
      </c>
      <c r="K120" s="130">
        <f t="shared" si="94"/>
        <v>0</v>
      </c>
      <c r="L120" s="130">
        <f t="shared" si="94"/>
        <v>43.784135153072043</v>
      </c>
      <c r="M120" s="130">
        <f t="shared" si="94"/>
        <v>9.1335956723169236</v>
      </c>
      <c r="N120" s="130">
        <f t="shared" si="94"/>
        <v>0</v>
      </c>
      <c r="O120" s="130">
        <f t="shared" si="94"/>
        <v>0</v>
      </c>
      <c r="P120" s="130">
        <f t="shared" si="94"/>
        <v>0</v>
      </c>
      <c r="Q120" s="130">
        <f t="shared" si="94"/>
        <v>0</v>
      </c>
      <c r="R120" s="130">
        <f t="shared" si="94"/>
        <v>0</v>
      </c>
      <c r="S120" s="130">
        <f t="shared" si="94"/>
        <v>0</v>
      </c>
      <c r="T120" s="130">
        <f t="shared" si="94"/>
        <v>0</v>
      </c>
      <c r="U120" s="130">
        <f t="shared" si="94"/>
        <v>0</v>
      </c>
      <c r="V120" s="130">
        <f t="shared" si="94"/>
        <v>0</v>
      </c>
      <c r="W120" s="130">
        <f t="shared" si="94"/>
        <v>0</v>
      </c>
      <c r="X120" s="130">
        <f t="shared" si="94"/>
        <v>0</v>
      </c>
      <c r="Y120" s="130">
        <f t="shared" si="94"/>
        <v>0</v>
      </c>
      <c r="Z120" s="130">
        <f t="shared" si="73"/>
        <v>0</v>
      </c>
      <c r="AA120" s="130">
        <f t="shared" si="73"/>
        <v>0</v>
      </c>
      <c r="AB120" s="130">
        <f t="shared" si="73"/>
        <v>0</v>
      </c>
      <c r="AC120" s="130">
        <f t="shared" si="73"/>
        <v>0</v>
      </c>
      <c r="AD120" s="130"/>
    </row>
    <row r="121" spans="1:30" outlineLevel="1" x14ac:dyDescent="0.2">
      <c r="A121" s="17">
        <f t="shared" si="93"/>
        <v>21</v>
      </c>
      <c r="B121" s="17" t="str">
        <f t="shared" si="74"/>
        <v>PV of Increase in forecast year 20 lease commitments</v>
      </c>
      <c r="C121" s="129">
        <f t="shared" si="71"/>
        <v>0</v>
      </c>
      <c r="D121" s="130">
        <f t="shared" ref="D121:Y121" si="95">(D86-C87)/(POWER((1+D$38),$A121))</f>
        <v>0</v>
      </c>
      <c r="E121" s="130">
        <f t="shared" si="95"/>
        <v>0</v>
      </c>
      <c r="F121" s="130">
        <f t="shared" si="95"/>
        <v>0</v>
      </c>
      <c r="G121" s="130">
        <f t="shared" si="95"/>
        <v>29.161374424716723</v>
      </c>
      <c r="H121" s="130">
        <f t="shared" si="95"/>
        <v>-1.4071018040479315</v>
      </c>
      <c r="I121" s="130">
        <f t="shared" si="95"/>
        <v>-27.181382296311675</v>
      </c>
      <c r="J121" s="130">
        <f t="shared" si="95"/>
        <v>0</v>
      </c>
      <c r="K121" s="130">
        <f t="shared" si="95"/>
        <v>0</v>
      </c>
      <c r="L121" s="130">
        <f t="shared" si="95"/>
        <v>41.326809137346729</v>
      </c>
      <c r="M121" s="130">
        <f t="shared" si="95"/>
        <v>-38.526441137519235</v>
      </c>
      <c r="N121" s="130">
        <f t="shared" si="95"/>
        <v>0</v>
      </c>
      <c r="O121" s="130">
        <f t="shared" si="95"/>
        <v>0</v>
      </c>
      <c r="P121" s="130">
        <f t="shared" si="95"/>
        <v>0</v>
      </c>
      <c r="Q121" s="130">
        <f t="shared" si="95"/>
        <v>0</v>
      </c>
      <c r="R121" s="130">
        <f t="shared" si="95"/>
        <v>0</v>
      </c>
      <c r="S121" s="130">
        <f t="shared" si="95"/>
        <v>0</v>
      </c>
      <c r="T121" s="130">
        <f t="shared" si="95"/>
        <v>0</v>
      </c>
      <c r="U121" s="130">
        <f t="shared" si="95"/>
        <v>0</v>
      </c>
      <c r="V121" s="130">
        <f t="shared" si="95"/>
        <v>0</v>
      </c>
      <c r="W121" s="130">
        <f t="shared" si="95"/>
        <v>0</v>
      </c>
      <c r="X121" s="130">
        <f t="shared" si="95"/>
        <v>0</v>
      </c>
      <c r="Y121" s="130">
        <f t="shared" si="95"/>
        <v>0</v>
      </c>
      <c r="Z121" s="130">
        <f t="shared" si="73"/>
        <v>0</v>
      </c>
      <c r="AA121" s="130">
        <f t="shared" si="73"/>
        <v>0</v>
      </c>
      <c r="AB121" s="130">
        <f t="shared" si="73"/>
        <v>0</v>
      </c>
      <c r="AC121" s="130">
        <f t="shared" si="73"/>
        <v>0</v>
      </c>
      <c r="AD121" s="130"/>
    </row>
    <row r="122" spans="1:30" outlineLevel="1" x14ac:dyDescent="0.2">
      <c r="A122" s="17">
        <f t="shared" si="93"/>
        <v>22</v>
      </c>
      <c r="B122" s="17" t="str">
        <f t="shared" si="74"/>
        <v>PV of Increase in forecast year 21 lease commitments</v>
      </c>
      <c r="C122" s="129">
        <f t="shared" si="71"/>
        <v>0</v>
      </c>
      <c r="D122" s="130">
        <f t="shared" ref="D122:Y122" si="96">(D87-C88)/(POWER((1+D$38),$A122))</f>
        <v>0</v>
      </c>
      <c r="E122" s="130">
        <f t="shared" si="96"/>
        <v>0</v>
      </c>
      <c r="F122" s="130">
        <f t="shared" si="96"/>
        <v>0</v>
      </c>
      <c r="G122" s="130">
        <f t="shared" si="96"/>
        <v>27.254233648933088</v>
      </c>
      <c r="H122" s="130">
        <f t="shared" si="96"/>
        <v>28.320872708298413</v>
      </c>
      <c r="I122" s="130">
        <f t="shared" si="96"/>
        <v>0</v>
      </c>
      <c r="J122" s="130">
        <f t="shared" si="96"/>
        <v>0</v>
      </c>
      <c r="K122" s="130">
        <f t="shared" si="96"/>
        <v>0</v>
      </c>
      <c r="L122" s="130">
        <f t="shared" si="96"/>
        <v>39.007397257105623</v>
      </c>
      <c r="M122" s="130">
        <f t="shared" si="96"/>
        <v>0</v>
      </c>
      <c r="N122" s="130">
        <f t="shared" si="96"/>
        <v>0</v>
      </c>
      <c r="O122" s="130">
        <f t="shared" si="96"/>
        <v>0</v>
      </c>
      <c r="P122" s="130">
        <f t="shared" si="96"/>
        <v>0</v>
      </c>
      <c r="Q122" s="130">
        <f t="shared" si="96"/>
        <v>0</v>
      </c>
      <c r="R122" s="130">
        <f t="shared" si="96"/>
        <v>0</v>
      </c>
      <c r="S122" s="130">
        <f t="shared" si="96"/>
        <v>0</v>
      </c>
      <c r="T122" s="130">
        <f t="shared" si="96"/>
        <v>0</v>
      </c>
      <c r="U122" s="130">
        <f t="shared" si="96"/>
        <v>0</v>
      </c>
      <c r="V122" s="130">
        <f t="shared" si="96"/>
        <v>0</v>
      </c>
      <c r="W122" s="130">
        <f t="shared" si="96"/>
        <v>0</v>
      </c>
      <c r="X122" s="130">
        <f t="shared" si="96"/>
        <v>0</v>
      </c>
      <c r="Y122" s="130">
        <f t="shared" si="96"/>
        <v>0</v>
      </c>
      <c r="Z122" s="130">
        <f t="shared" si="73"/>
        <v>0</v>
      </c>
      <c r="AA122" s="130">
        <f t="shared" si="73"/>
        <v>0</v>
      </c>
      <c r="AB122" s="130">
        <f t="shared" si="73"/>
        <v>0</v>
      </c>
      <c r="AC122" s="130">
        <f t="shared" si="73"/>
        <v>0</v>
      </c>
      <c r="AD122" s="130"/>
    </row>
    <row r="123" spans="1:30" outlineLevel="1" x14ac:dyDescent="0.2">
      <c r="A123" s="17">
        <f t="shared" si="93"/>
        <v>23</v>
      </c>
      <c r="B123" s="17" t="str">
        <f t="shared" si="74"/>
        <v>PV of Increase in forecast year 22 lease commitments</v>
      </c>
      <c r="C123" s="129">
        <f t="shared" si="71"/>
        <v>0</v>
      </c>
      <c r="D123" s="130">
        <f t="shared" ref="D123:Y123" si="97">(D88-C89)/(POWER((1+D$38),$A123))</f>
        <v>0</v>
      </c>
      <c r="E123" s="130">
        <f t="shared" si="97"/>
        <v>0</v>
      </c>
      <c r="F123" s="130">
        <f t="shared" si="97"/>
        <v>0</v>
      </c>
      <c r="G123" s="130">
        <f t="shared" si="97"/>
        <v>0</v>
      </c>
      <c r="H123" s="130">
        <f t="shared" si="97"/>
        <v>0</v>
      </c>
      <c r="I123" s="130">
        <f t="shared" si="97"/>
        <v>0</v>
      </c>
      <c r="J123" s="130">
        <f t="shared" si="97"/>
        <v>0</v>
      </c>
      <c r="K123" s="130">
        <f t="shared" si="97"/>
        <v>0</v>
      </c>
      <c r="L123" s="130">
        <f t="shared" si="97"/>
        <v>0</v>
      </c>
      <c r="M123" s="130">
        <f t="shared" si="97"/>
        <v>0</v>
      </c>
      <c r="N123" s="130">
        <f t="shared" si="97"/>
        <v>0</v>
      </c>
      <c r="O123" s="130">
        <f t="shared" si="97"/>
        <v>0</v>
      </c>
      <c r="P123" s="130">
        <f t="shared" si="97"/>
        <v>0</v>
      </c>
      <c r="Q123" s="130">
        <f t="shared" si="97"/>
        <v>0</v>
      </c>
      <c r="R123" s="130">
        <f t="shared" si="97"/>
        <v>0</v>
      </c>
      <c r="S123" s="130">
        <f t="shared" si="97"/>
        <v>0</v>
      </c>
      <c r="T123" s="130">
        <f t="shared" si="97"/>
        <v>0</v>
      </c>
      <c r="U123" s="130">
        <f t="shared" si="97"/>
        <v>0</v>
      </c>
      <c r="V123" s="130">
        <f t="shared" si="97"/>
        <v>0</v>
      </c>
      <c r="W123" s="130">
        <f t="shared" si="97"/>
        <v>0</v>
      </c>
      <c r="X123" s="130">
        <f t="shared" si="97"/>
        <v>0</v>
      </c>
      <c r="Y123" s="130">
        <f t="shared" si="97"/>
        <v>0</v>
      </c>
      <c r="Z123" s="130">
        <f t="shared" si="73"/>
        <v>0</v>
      </c>
      <c r="AA123" s="130">
        <f t="shared" si="73"/>
        <v>0</v>
      </c>
      <c r="AB123" s="130">
        <f t="shared" si="73"/>
        <v>0</v>
      </c>
      <c r="AC123" s="130">
        <f t="shared" si="73"/>
        <v>0</v>
      </c>
      <c r="AD123" s="130"/>
    </row>
    <row r="124" spans="1:30" outlineLevel="1" x14ac:dyDescent="0.2">
      <c r="A124" s="17">
        <f t="shared" si="93"/>
        <v>24</v>
      </c>
      <c r="B124" s="17" t="str">
        <f t="shared" si="74"/>
        <v>PV of Increase in forecast year 23 lease commitments</v>
      </c>
      <c r="C124" s="129">
        <f t="shared" si="71"/>
        <v>0</v>
      </c>
      <c r="D124" s="130">
        <f t="shared" ref="D124:Y124" si="98">(D89-C90)/(POWER((1+D$38),$A124))</f>
        <v>0</v>
      </c>
      <c r="E124" s="130">
        <f t="shared" si="98"/>
        <v>0</v>
      </c>
      <c r="F124" s="130">
        <f t="shared" si="98"/>
        <v>0</v>
      </c>
      <c r="G124" s="130">
        <f t="shared" si="98"/>
        <v>0</v>
      </c>
      <c r="H124" s="130">
        <f t="shared" si="98"/>
        <v>0</v>
      </c>
      <c r="I124" s="130">
        <f t="shared" si="98"/>
        <v>0</v>
      </c>
      <c r="J124" s="130">
        <f t="shared" si="98"/>
        <v>0</v>
      </c>
      <c r="K124" s="130">
        <f t="shared" si="98"/>
        <v>0</v>
      </c>
      <c r="L124" s="130">
        <f t="shared" si="98"/>
        <v>0</v>
      </c>
      <c r="M124" s="130">
        <f t="shared" si="98"/>
        <v>0</v>
      </c>
      <c r="N124" s="130">
        <f t="shared" si="98"/>
        <v>0</v>
      </c>
      <c r="O124" s="130">
        <f t="shared" si="98"/>
        <v>0</v>
      </c>
      <c r="P124" s="130">
        <f t="shared" si="98"/>
        <v>0</v>
      </c>
      <c r="Q124" s="130">
        <f t="shared" si="98"/>
        <v>0</v>
      </c>
      <c r="R124" s="130">
        <f t="shared" si="98"/>
        <v>0</v>
      </c>
      <c r="S124" s="130">
        <f t="shared" si="98"/>
        <v>0</v>
      </c>
      <c r="T124" s="130">
        <f t="shared" si="98"/>
        <v>0</v>
      </c>
      <c r="U124" s="130">
        <f t="shared" si="98"/>
        <v>0</v>
      </c>
      <c r="V124" s="130">
        <f t="shared" si="98"/>
        <v>0</v>
      </c>
      <c r="W124" s="130">
        <f t="shared" si="98"/>
        <v>0</v>
      </c>
      <c r="X124" s="130">
        <f t="shared" si="98"/>
        <v>0</v>
      </c>
      <c r="Y124" s="130">
        <f t="shared" si="98"/>
        <v>0</v>
      </c>
      <c r="Z124" s="130">
        <f t="shared" si="73"/>
        <v>0</v>
      </c>
      <c r="AA124" s="130">
        <f t="shared" si="73"/>
        <v>0</v>
      </c>
      <c r="AB124" s="130">
        <f t="shared" si="73"/>
        <v>0</v>
      </c>
      <c r="AC124" s="130">
        <f t="shared" si="73"/>
        <v>0</v>
      </c>
      <c r="AD124" s="130"/>
    </row>
    <row r="125" spans="1:30" outlineLevel="1" x14ac:dyDescent="0.2">
      <c r="A125" s="17">
        <f t="shared" si="93"/>
        <v>25</v>
      </c>
      <c r="B125" s="17" t="str">
        <f t="shared" si="74"/>
        <v>PV of Increase in forecast year 24 lease commitments</v>
      </c>
      <c r="C125" s="129">
        <f t="shared" si="71"/>
        <v>0</v>
      </c>
      <c r="D125" s="130">
        <f t="shared" ref="D125:Y125" si="99">(D90-C91)/(POWER((1+D$38),$A125))</f>
        <v>0</v>
      </c>
      <c r="E125" s="130">
        <f t="shared" si="99"/>
        <v>0</v>
      </c>
      <c r="F125" s="130">
        <f t="shared" si="99"/>
        <v>0</v>
      </c>
      <c r="G125" s="130">
        <f t="shared" si="99"/>
        <v>0</v>
      </c>
      <c r="H125" s="130">
        <f t="shared" si="99"/>
        <v>0</v>
      </c>
      <c r="I125" s="130">
        <f t="shared" si="99"/>
        <v>0</v>
      </c>
      <c r="J125" s="130">
        <f t="shared" si="99"/>
        <v>0</v>
      </c>
      <c r="K125" s="130">
        <f t="shared" si="99"/>
        <v>0</v>
      </c>
      <c r="L125" s="130">
        <f t="shared" si="99"/>
        <v>0</v>
      </c>
      <c r="M125" s="130">
        <f t="shared" si="99"/>
        <v>0</v>
      </c>
      <c r="N125" s="130">
        <f t="shared" si="99"/>
        <v>0</v>
      </c>
      <c r="O125" s="130">
        <f t="shared" si="99"/>
        <v>0</v>
      </c>
      <c r="P125" s="130">
        <f t="shared" si="99"/>
        <v>0</v>
      </c>
      <c r="Q125" s="130">
        <f t="shared" si="99"/>
        <v>0</v>
      </c>
      <c r="R125" s="130">
        <f t="shared" si="99"/>
        <v>0</v>
      </c>
      <c r="S125" s="130">
        <f t="shared" si="99"/>
        <v>0</v>
      </c>
      <c r="T125" s="130">
        <f t="shared" si="99"/>
        <v>0</v>
      </c>
      <c r="U125" s="130">
        <f t="shared" si="99"/>
        <v>0</v>
      </c>
      <c r="V125" s="130">
        <f t="shared" si="99"/>
        <v>0</v>
      </c>
      <c r="W125" s="130">
        <f t="shared" si="99"/>
        <v>0</v>
      </c>
      <c r="X125" s="130">
        <f t="shared" si="99"/>
        <v>0</v>
      </c>
      <c r="Y125" s="130">
        <f t="shared" si="99"/>
        <v>0</v>
      </c>
      <c r="Z125" s="130">
        <f t="shared" si="73"/>
        <v>0</v>
      </c>
      <c r="AA125" s="130">
        <f t="shared" si="73"/>
        <v>0</v>
      </c>
      <c r="AB125" s="130">
        <f t="shared" si="73"/>
        <v>0</v>
      </c>
      <c r="AC125" s="130">
        <f t="shared" si="73"/>
        <v>0</v>
      </c>
      <c r="AD125" s="130"/>
    </row>
    <row r="126" spans="1:30" outlineLevel="1" x14ac:dyDescent="0.2">
      <c r="A126" s="17">
        <f t="shared" si="93"/>
        <v>26</v>
      </c>
      <c r="B126" s="17" t="str">
        <f t="shared" si="74"/>
        <v>PV of Increase in forecast year 25 lease commitments</v>
      </c>
      <c r="C126" s="129">
        <f t="shared" si="71"/>
        <v>0</v>
      </c>
      <c r="D126" s="130">
        <f t="shared" ref="D126:Y126" si="100">(D91-C92)/(POWER((1+D$38),$A126))</f>
        <v>0</v>
      </c>
      <c r="E126" s="130">
        <f t="shared" si="100"/>
        <v>0</v>
      </c>
      <c r="F126" s="130">
        <f t="shared" si="100"/>
        <v>0</v>
      </c>
      <c r="G126" s="130">
        <f t="shared" si="100"/>
        <v>0</v>
      </c>
      <c r="H126" s="130">
        <f t="shared" si="100"/>
        <v>0</v>
      </c>
      <c r="I126" s="130">
        <f t="shared" si="100"/>
        <v>0</v>
      </c>
      <c r="J126" s="130">
        <f t="shared" si="100"/>
        <v>0</v>
      </c>
      <c r="K126" s="130">
        <f t="shared" si="100"/>
        <v>0</v>
      </c>
      <c r="L126" s="130">
        <f t="shared" si="100"/>
        <v>0</v>
      </c>
      <c r="M126" s="130">
        <f t="shared" si="100"/>
        <v>0</v>
      </c>
      <c r="N126" s="130">
        <f t="shared" si="100"/>
        <v>0</v>
      </c>
      <c r="O126" s="130">
        <f t="shared" si="100"/>
        <v>0</v>
      </c>
      <c r="P126" s="130">
        <f t="shared" si="100"/>
        <v>0</v>
      </c>
      <c r="Q126" s="130">
        <f t="shared" si="100"/>
        <v>0</v>
      </c>
      <c r="R126" s="130">
        <f t="shared" si="100"/>
        <v>0</v>
      </c>
      <c r="S126" s="130">
        <f t="shared" si="100"/>
        <v>0</v>
      </c>
      <c r="T126" s="130">
        <f t="shared" si="100"/>
        <v>0</v>
      </c>
      <c r="U126" s="130">
        <f t="shared" si="100"/>
        <v>0</v>
      </c>
      <c r="V126" s="130">
        <f t="shared" si="100"/>
        <v>0</v>
      </c>
      <c r="W126" s="130">
        <f t="shared" si="100"/>
        <v>0</v>
      </c>
      <c r="X126" s="130">
        <f t="shared" si="100"/>
        <v>0</v>
      </c>
      <c r="Y126" s="130">
        <f t="shared" si="100"/>
        <v>0</v>
      </c>
      <c r="Z126" s="130">
        <f t="shared" si="73"/>
        <v>0</v>
      </c>
      <c r="AA126" s="130">
        <f t="shared" si="73"/>
        <v>0</v>
      </c>
      <c r="AB126" s="130">
        <f t="shared" si="73"/>
        <v>0</v>
      </c>
      <c r="AC126" s="130">
        <f t="shared" si="73"/>
        <v>0</v>
      </c>
      <c r="AD126" s="130"/>
    </row>
    <row r="127" spans="1:30" outlineLevel="1" x14ac:dyDescent="0.2">
      <c r="A127" s="17">
        <f t="shared" si="93"/>
        <v>27</v>
      </c>
      <c r="B127" s="17" t="str">
        <f t="shared" si="74"/>
        <v>PV of Increase in forecast year 26 lease commitments</v>
      </c>
      <c r="C127" s="129">
        <f t="shared" si="71"/>
        <v>0</v>
      </c>
      <c r="D127" s="130">
        <f t="shared" ref="D127:Y127" si="101">(D92-C93)/(POWER((1+D$38),$A127))</f>
        <v>0</v>
      </c>
      <c r="E127" s="130">
        <f t="shared" si="101"/>
        <v>0</v>
      </c>
      <c r="F127" s="130">
        <f t="shared" si="101"/>
        <v>0</v>
      </c>
      <c r="G127" s="130">
        <f t="shared" si="101"/>
        <v>0</v>
      </c>
      <c r="H127" s="130">
        <f t="shared" si="101"/>
        <v>0</v>
      </c>
      <c r="I127" s="130">
        <f t="shared" si="101"/>
        <v>0</v>
      </c>
      <c r="J127" s="130">
        <f t="shared" si="101"/>
        <v>0</v>
      </c>
      <c r="K127" s="130">
        <f t="shared" si="101"/>
        <v>0</v>
      </c>
      <c r="L127" s="130">
        <f t="shared" si="101"/>
        <v>0</v>
      </c>
      <c r="M127" s="130">
        <f t="shared" si="101"/>
        <v>0</v>
      </c>
      <c r="N127" s="130">
        <f t="shared" si="101"/>
        <v>0</v>
      </c>
      <c r="O127" s="130">
        <f t="shared" si="101"/>
        <v>0</v>
      </c>
      <c r="P127" s="130">
        <f t="shared" si="101"/>
        <v>0</v>
      </c>
      <c r="Q127" s="130">
        <f t="shared" si="101"/>
        <v>0</v>
      </c>
      <c r="R127" s="130">
        <f t="shared" si="101"/>
        <v>0</v>
      </c>
      <c r="S127" s="130">
        <f t="shared" si="101"/>
        <v>0</v>
      </c>
      <c r="T127" s="130">
        <f t="shared" si="101"/>
        <v>0</v>
      </c>
      <c r="U127" s="130">
        <f t="shared" si="101"/>
        <v>0</v>
      </c>
      <c r="V127" s="130">
        <f t="shared" si="101"/>
        <v>0</v>
      </c>
      <c r="W127" s="130">
        <f t="shared" si="101"/>
        <v>0</v>
      </c>
      <c r="X127" s="130">
        <f t="shared" si="101"/>
        <v>0</v>
      </c>
      <c r="Y127" s="130">
        <f t="shared" si="101"/>
        <v>0</v>
      </c>
      <c r="Z127" s="130">
        <f t="shared" si="73"/>
        <v>0</v>
      </c>
      <c r="AA127" s="130">
        <f t="shared" si="73"/>
        <v>0</v>
      </c>
      <c r="AB127" s="130">
        <f t="shared" si="73"/>
        <v>0</v>
      </c>
      <c r="AC127" s="130">
        <f t="shared" si="73"/>
        <v>0</v>
      </c>
      <c r="AD127" s="130"/>
    </row>
    <row r="128" spans="1:30" outlineLevel="1" x14ac:dyDescent="0.2">
      <c r="A128" s="17">
        <f t="shared" si="93"/>
        <v>28</v>
      </c>
      <c r="B128" s="17" t="str">
        <f t="shared" si="74"/>
        <v>PV of Increase in forecast year 27 lease commitments</v>
      </c>
      <c r="C128" s="129">
        <f t="shared" si="71"/>
        <v>0</v>
      </c>
      <c r="D128" s="130">
        <f t="shared" ref="D128:Y128" si="102">(D93-C94)/(POWER((1+D$38),$A128))</f>
        <v>0</v>
      </c>
      <c r="E128" s="130">
        <f t="shared" si="102"/>
        <v>0</v>
      </c>
      <c r="F128" s="130">
        <f t="shared" si="102"/>
        <v>0</v>
      </c>
      <c r="G128" s="130">
        <f t="shared" si="102"/>
        <v>0</v>
      </c>
      <c r="H128" s="130">
        <f t="shared" si="102"/>
        <v>0</v>
      </c>
      <c r="I128" s="130">
        <f t="shared" si="102"/>
        <v>0</v>
      </c>
      <c r="J128" s="130">
        <f t="shared" si="102"/>
        <v>0</v>
      </c>
      <c r="K128" s="130">
        <f t="shared" si="102"/>
        <v>0</v>
      </c>
      <c r="L128" s="130">
        <f t="shared" si="102"/>
        <v>0</v>
      </c>
      <c r="M128" s="130">
        <f t="shared" si="102"/>
        <v>0</v>
      </c>
      <c r="N128" s="130">
        <f t="shared" si="102"/>
        <v>0</v>
      </c>
      <c r="O128" s="130">
        <f t="shared" si="102"/>
        <v>0</v>
      </c>
      <c r="P128" s="130">
        <f t="shared" si="102"/>
        <v>0</v>
      </c>
      <c r="Q128" s="130">
        <f t="shared" si="102"/>
        <v>0</v>
      </c>
      <c r="R128" s="130">
        <f t="shared" si="102"/>
        <v>0</v>
      </c>
      <c r="S128" s="130">
        <f t="shared" si="102"/>
        <v>0</v>
      </c>
      <c r="T128" s="130">
        <f t="shared" si="102"/>
        <v>0</v>
      </c>
      <c r="U128" s="130">
        <f t="shared" si="102"/>
        <v>0</v>
      </c>
      <c r="V128" s="130">
        <f t="shared" si="102"/>
        <v>0</v>
      </c>
      <c r="W128" s="130">
        <f t="shared" si="102"/>
        <v>0</v>
      </c>
      <c r="X128" s="130">
        <f t="shared" si="102"/>
        <v>0</v>
      </c>
      <c r="Y128" s="130">
        <f t="shared" si="102"/>
        <v>0</v>
      </c>
      <c r="Z128" s="130">
        <f t="shared" si="73"/>
        <v>0</v>
      </c>
      <c r="AA128" s="130">
        <f t="shared" si="73"/>
        <v>0</v>
      </c>
      <c r="AB128" s="130">
        <f t="shared" si="73"/>
        <v>0</v>
      </c>
      <c r="AC128" s="130">
        <f t="shared" si="73"/>
        <v>0</v>
      </c>
      <c r="AD128" s="130"/>
    </row>
    <row r="129" spans="1:30" outlineLevel="1" x14ac:dyDescent="0.2">
      <c r="A129" s="17">
        <f t="shared" si="93"/>
        <v>29</v>
      </c>
      <c r="B129" s="17" t="str">
        <f t="shared" si="74"/>
        <v>PV of Increase in forecast year 28 lease commitments</v>
      </c>
      <c r="C129" s="129">
        <f t="shared" si="71"/>
        <v>0</v>
      </c>
      <c r="D129" s="130">
        <f t="shared" ref="D129:Y129" si="103">(D94-C95)/(POWER((1+D$38),$A129))</f>
        <v>0</v>
      </c>
      <c r="E129" s="130">
        <f t="shared" si="103"/>
        <v>0</v>
      </c>
      <c r="F129" s="130">
        <f t="shared" si="103"/>
        <v>0</v>
      </c>
      <c r="G129" s="130">
        <f t="shared" si="103"/>
        <v>0</v>
      </c>
      <c r="H129" s="130">
        <f t="shared" si="103"/>
        <v>0</v>
      </c>
      <c r="I129" s="130">
        <f t="shared" si="103"/>
        <v>0</v>
      </c>
      <c r="J129" s="130">
        <f t="shared" si="103"/>
        <v>0</v>
      </c>
      <c r="K129" s="130">
        <f t="shared" si="103"/>
        <v>0</v>
      </c>
      <c r="L129" s="130">
        <f t="shared" si="103"/>
        <v>0</v>
      </c>
      <c r="M129" s="130">
        <f t="shared" si="103"/>
        <v>0</v>
      </c>
      <c r="N129" s="130">
        <f t="shared" si="103"/>
        <v>0</v>
      </c>
      <c r="O129" s="130">
        <f t="shared" si="103"/>
        <v>0</v>
      </c>
      <c r="P129" s="130">
        <f t="shared" si="103"/>
        <v>0</v>
      </c>
      <c r="Q129" s="130">
        <f t="shared" si="103"/>
        <v>0</v>
      </c>
      <c r="R129" s="130">
        <f t="shared" si="103"/>
        <v>0</v>
      </c>
      <c r="S129" s="130">
        <f t="shared" si="103"/>
        <v>0</v>
      </c>
      <c r="T129" s="130">
        <f t="shared" si="103"/>
        <v>0</v>
      </c>
      <c r="U129" s="130">
        <f t="shared" si="103"/>
        <v>0</v>
      </c>
      <c r="V129" s="130">
        <f t="shared" si="103"/>
        <v>0</v>
      </c>
      <c r="W129" s="130">
        <f t="shared" si="103"/>
        <v>0</v>
      </c>
      <c r="X129" s="130">
        <f t="shared" si="103"/>
        <v>0</v>
      </c>
      <c r="Y129" s="130">
        <f t="shared" si="103"/>
        <v>0</v>
      </c>
      <c r="Z129" s="130">
        <f t="shared" si="73"/>
        <v>0</v>
      </c>
      <c r="AA129" s="130">
        <f t="shared" si="73"/>
        <v>0</v>
      </c>
      <c r="AB129" s="130">
        <f t="shared" si="73"/>
        <v>0</v>
      </c>
      <c r="AC129" s="130">
        <f t="shared" si="73"/>
        <v>0</v>
      </c>
      <c r="AD129" s="130"/>
    </row>
    <row r="130" spans="1:30" outlineLevel="1" x14ac:dyDescent="0.2">
      <c r="A130" s="17">
        <f t="shared" si="93"/>
        <v>30</v>
      </c>
      <c r="B130" s="17" t="str">
        <f t="shared" si="74"/>
        <v>PV of Increase in forecast year 29 lease commitments</v>
      </c>
      <c r="C130" s="129">
        <f t="shared" si="71"/>
        <v>0</v>
      </c>
      <c r="D130" s="130">
        <f t="shared" ref="D130:Y130" si="104">(D95-C96)/(POWER((1+D$38),$A130))</f>
        <v>0</v>
      </c>
      <c r="E130" s="130">
        <f t="shared" si="104"/>
        <v>0</v>
      </c>
      <c r="F130" s="130">
        <f t="shared" si="104"/>
        <v>0</v>
      </c>
      <c r="G130" s="130">
        <f t="shared" si="104"/>
        <v>0</v>
      </c>
      <c r="H130" s="130">
        <f t="shared" si="104"/>
        <v>0</v>
      </c>
      <c r="I130" s="130">
        <f t="shared" si="104"/>
        <v>0</v>
      </c>
      <c r="J130" s="130">
        <f t="shared" si="104"/>
        <v>0</v>
      </c>
      <c r="K130" s="130">
        <f t="shared" si="104"/>
        <v>0</v>
      </c>
      <c r="L130" s="130">
        <f t="shared" si="104"/>
        <v>0</v>
      </c>
      <c r="M130" s="130">
        <f t="shared" si="104"/>
        <v>0</v>
      </c>
      <c r="N130" s="130">
        <f t="shared" si="104"/>
        <v>0</v>
      </c>
      <c r="O130" s="130">
        <f t="shared" si="104"/>
        <v>0</v>
      </c>
      <c r="P130" s="130">
        <f t="shared" si="104"/>
        <v>0</v>
      </c>
      <c r="Q130" s="130">
        <f t="shared" si="104"/>
        <v>0</v>
      </c>
      <c r="R130" s="130">
        <f t="shared" si="104"/>
        <v>0</v>
      </c>
      <c r="S130" s="130">
        <f t="shared" si="104"/>
        <v>0</v>
      </c>
      <c r="T130" s="130">
        <f t="shared" si="104"/>
        <v>0</v>
      </c>
      <c r="U130" s="130">
        <f t="shared" si="104"/>
        <v>0</v>
      </c>
      <c r="V130" s="130">
        <f t="shared" si="104"/>
        <v>0</v>
      </c>
      <c r="W130" s="130">
        <f t="shared" si="104"/>
        <v>0</v>
      </c>
      <c r="X130" s="130">
        <f t="shared" si="104"/>
        <v>0</v>
      </c>
      <c r="Y130" s="130">
        <f t="shared" si="104"/>
        <v>0</v>
      </c>
      <c r="Z130" s="130">
        <f t="shared" si="73"/>
        <v>0</v>
      </c>
      <c r="AA130" s="130">
        <f t="shared" si="73"/>
        <v>0</v>
      </c>
      <c r="AB130" s="130">
        <f t="shared" si="73"/>
        <v>0</v>
      </c>
      <c r="AC130" s="130">
        <f t="shared" si="73"/>
        <v>0</v>
      </c>
      <c r="AD130" s="130"/>
    </row>
    <row r="131" spans="1:30" outlineLevel="1" x14ac:dyDescent="0.2">
      <c r="A131" s="119"/>
      <c r="B131" s="17"/>
      <c r="C131" s="131"/>
      <c r="D131" s="132"/>
      <c r="E131" s="132"/>
      <c r="F131" s="132"/>
      <c r="G131" s="132"/>
      <c r="H131" s="132"/>
      <c r="I131" s="132"/>
      <c r="J131" s="132"/>
      <c r="K131" s="132"/>
      <c r="L131" s="132"/>
      <c r="M131" s="132"/>
      <c r="N131" s="132"/>
      <c r="O131" s="132"/>
      <c r="P131" s="132"/>
      <c r="Q131" s="132"/>
      <c r="R131" s="132"/>
      <c r="S131" s="132"/>
      <c r="T131" s="132"/>
      <c r="U131" s="132"/>
      <c r="V131" s="132"/>
      <c r="W131" s="132"/>
      <c r="X131" s="132"/>
      <c r="Y131" s="132"/>
      <c r="Z131" s="132"/>
      <c r="AA131" s="132"/>
      <c r="AB131" s="132"/>
      <c r="AC131" s="132"/>
      <c r="AD131" s="132"/>
    </row>
    <row r="132" spans="1:30" outlineLevel="1" x14ac:dyDescent="0.2">
      <c r="A132" s="17"/>
      <c r="B132" s="17" t="s">
        <v>508</v>
      </c>
      <c r="C132" s="133">
        <f t="shared" ref="C132:X132" si="105">SUM(C101:C131)</f>
        <v>1254.5531608832821</v>
      </c>
      <c r="D132" s="134">
        <f t="shared" si="105"/>
        <v>-41.223053751897353</v>
      </c>
      <c r="E132" s="135">
        <f t="shared" si="105"/>
        <v>19.024958581085116</v>
      </c>
      <c r="F132" s="135">
        <f t="shared" si="105"/>
        <v>-36.24902192777504</v>
      </c>
      <c r="G132" s="135">
        <f t="shared" si="105"/>
        <v>433.41473954716514</v>
      </c>
      <c r="H132" s="135">
        <f t="shared" si="105"/>
        <v>-8.9064740101290347</v>
      </c>
      <c r="I132" s="135">
        <f t="shared" si="105"/>
        <v>160.82976568230535</v>
      </c>
      <c r="J132" s="135">
        <f t="shared" si="105"/>
        <v>81.153531690627688</v>
      </c>
      <c r="K132" s="135">
        <f t="shared" si="105"/>
        <v>67.815939387392348</v>
      </c>
      <c r="L132" s="135">
        <f t="shared" si="105"/>
        <v>151.23875931168732</v>
      </c>
      <c r="M132" s="135">
        <f t="shared" si="105"/>
        <v>381.86796201470236</v>
      </c>
      <c r="N132" s="135">
        <f t="shared" si="105"/>
        <v>-142.71802343098665</v>
      </c>
      <c r="O132" s="135">
        <f t="shared" si="105"/>
        <v>108.4607830748225</v>
      </c>
      <c r="P132" s="135">
        <f t="shared" si="105"/>
        <v>84.413553023700885</v>
      </c>
      <c r="Q132" s="135">
        <f t="shared" si="105"/>
        <v>-8.328098526432747</v>
      </c>
      <c r="R132" s="135">
        <f t="shared" si="105"/>
        <v>181.31599956350632</v>
      </c>
      <c r="S132" s="135">
        <f t="shared" si="105"/>
        <v>218.8809739816501</v>
      </c>
      <c r="T132" s="135">
        <f t="shared" si="105"/>
        <v>24.203166561777898</v>
      </c>
      <c r="U132" s="135">
        <f t="shared" si="105"/>
        <v>167.52549268035406</v>
      </c>
      <c r="V132" s="135">
        <f t="shared" si="105"/>
        <v>141.61759880484587</v>
      </c>
      <c r="W132" s="135">
        <f t="shared" si="105"/>
        <v>106.52710722772144</v>
      </c>
      <c r="X132" s="135">
        <f t="shared" si="105"/>
        <v>24.16228922600223</v>
      </c>
      <c r="Y132" s="135">
        <f>SUM(Y101:Y131)</f>
        <v>124.09952175212257</v>
      </c>
      <c r="Z132" s="135">
        <f>SUM(Z101:Z131)</f>
        <v>90.241829998431911</v>
      </c>
      <c r="AA132" s="135">
        <f>SUM(AA101:AA131)</f>
        <v>131.24207635938237</v>
      </c>
      <c r="AB132" s="135">
        <f>SUM(AB101:AB131)</f>
        <v>131.61609235515311</v>
      </c>
      <c r="AC132" s="135">
        <f>SUM(AC101:AC131)</f>
        <v>131.95180362409181</v>
      </c>
      <c r="AD132" s="132"/>
    </row>
    <row r="133" spans="1:30" x14ac:dyDescent="0.2">
      <c r="A133" s="17"/>
      <c r="B133" s="136"/>
      <c r="C133" s="136"/>
      <c r="D133" s="136"/>
      <c r="E133" s="136"/>
      <c r="F133" s="136"/>
      <c r="G133" s="136"/>
      <c r="H133" s="136"/>
      <c r="I133" s="136"/>
      <c r="J133" s="136"/>
      <c r="K133" s="136"/>
      <c r="L133" s="136"/>
      <c r="M133" s="136"/>
      <c r="N133" s="136"/>
      <c r="O133" s="136"/>
      <c r="P133" s="136"/>
      <c r="Q133" s="136"/>
      <c r="R133" s="136"/>
      <c r="S133" s="136"/>
      <c r="T133" s="136"/>
      <c r="U133" s="136"/>
      <c r="V133" s="136"/>
      <c r="W133" s="136"/>
      <c r="X133" s="136"/>
      <c r="Y133" s="136"/>
      <c r="Z133" s="136"/>
      <c r="AA133" s="136"/>
      <c r="AB133" s="136"/>
      <c r="AC133" s="136"/>
      <c r="AD133" s="136"/>
    </row>
    <row r="134" spans="1:30" x14ac:dyDescent="0.2">
      <c r="A134" s="17"/>
      <c r="B134" s="17"/>
      <c r="C134" s="136"/>
      <c r="D134" s="136"/>
      <c r="E134" s="136"/>
      <c r="F134" s="136"/>
      <c r="G134" s="136"/>
      <c r="H134" s="136"/>
      <c r="I134" s="136"/>
      <c r="J134" s="136"/>
      <c r="K134" s="136"/>
      <c r="L134" s="136"/>
      <c r="M134" s="136"/>
      <c r="N134" s="136"/>
      <c r="O134" s="136"/>
      <c r="P134" s="136"/>
      <c r="Q134" s="136"/>
      <c r="R134" s="136"/>
      <c r="S134" s="136"/>
      <c r="T134" s="136"/>
      <c r="U134" s="136"/>
      <c r="V134" s="136"/>
      <c r="W134" s="136"/>
      <c r="X134" s="136"/>
      <c r="Y134" s="136"/>
      <c r="Z134" s="136"/>
      <c r="AA134" s="136"/>
      <c r="AB134" s="136"/>
      <c r="AC134" s="136"/>
      <c r="AD134" s="136"/>
    </row>
    <row r="135" spans="1:30" x14ac:dyDescent="0.2">
      <c r="A135" s="17"/>
      <c r="B135" s="17"/>
      <c r="C135" s="136"/>
      <c r="D135" s="136"/>
      <c r="E135" s="136"/>
      <c r="F135" s="136"/>
      <c r="G135" s="136"/>
      <c r="H135" s="136"/>
      <c r="I135" s="136"/>
      <c r="J135" s="136"/>
      <c r="K135" s="136"/>
      <c r="L135" s="136"/>
      <c r="M135" s="136"/>
      <c r="N135" s="136"/>
      <c r="O135" s="136"/>
      <c r="P135" s="20"/>
      <c r="Q135" s="20"/>
      <c r="R135" s="20"/>
      <c r="S135" s="20"/>
      <c r="T135" s="20"/>
      <c r="U135" s="20"/>
      <c r="V135" s="20"/>
      <c r="W135" s="20"/>
      <c r="X135" s="20"/>
      <c r="Y135" s="20"/>
      <c r="Z135" s="20"/>
      <c r="AA135" s="20"/>
      <c r="AB135" s="20"/>
      <c r="AC135" s="20"/>
      <c r="AD135" s="20"/>
    </row>
    <row r="136" spans="1:30" ht="11.45" customHeight="1" outlineLevel="1" x14ac:dyDescent="0.2">
      <c r="A136" s="17"/>
      <c r="B136" s="70" t="s">
        <v>509</v>
      </c>
      <c r="C136" s="26">
        <v>1995</v>
      </c>
      <c r="D136" s="26">
        <f t="shared" ref="D136:N136" si="106">C136+1</f>
        <v>1996</v>
      </c>
      <c r="E136" s="26">
        <f t="shared" si="106"/>
        <v>1997</v>
      </c>
      <c r="F136" s="26">
        <f t="shared" si="106"/>
        <v>1998</v>
      </c>
      <c r="G136" s="26">
        <f t="shared" si="106"/>
        <v>1999</v>
      </c>
      <c r="H136" s="26">
        <f t="shared" si="106"/>
        <v>2000</v>
      </c>
      <c r="I136" s="26">
        <f t="shared" si="106"/>
        <v>2001</v>
      </c>
      <c r="J136" s="26">
        <f t="shared" si="106"/>
        <v>2002</v>
      </c>
      <c r="K136" s="26">
        <f t="shared" si="106"/>
        <v>2003</v>
      </c>
      <c r="L136" s="26">
        <f t="shared" si="106"/>
        <v>2004</v>
      </c>
      <c r="M136" s="26">
        <f t="shared" si="106"/>
        <v>2005</v>
      </c>
      <c r="N136" s="26">
        <f t="shared" si="106"/>
        <v>2006</v>
      </c>
      <c r="O136" s="26">
        <f>O$3</f>
        <v>2007</v>
      </c>
      <c r="P136" s="26">
        <f>P$3</f>
        <v>2008</v>
      </c>
      <c r="Q136" s="26">
        <f>Q$3</f>
        <v>2009</v>
      </c>
      <c r="R136" s="26">
        <f>R$3</f>
        <v>2010</v>
      </c>
      <c r="S136" s="26">
        <f>S$3</f>
        <v>2011</v>
      </c>
      <c r="T136" s="27">
        <f t="shared" ref="T136:Y136" si="107">S136+1</f>
        <v>2012</v>
      </c>
      <c r="U136" s="27">
        <f t="shared" si="107"/>
        <v>2013</v>
      </c>
      <c r="V136" s="27">
        <f t="shared" si="107"/>
        <v>2014</v>
      </c>
      <c r="W136" s="27">
        <f t="shared" si="107"/>
        <v>2015</v>
      </c>
      <c r="X136" s="27">
        <f t="shared" si="107"/>
        <v>2016</v>
      </c>
      <c r="Y136" s="27">
        <f t="shared" si="107"/>
        <v>2017</v>
      </c>
      <c r="Z136" s="27">
        <f>Y136+1</f>
        <v>2018</v>
      </c>
      <c r="AA136" s="27">
        <f>Z136+1</f>
        <v>2019</v>
      </c>
      <c r="AB136" s="27">
        <f>AA136+1</f>
        <v>2020</v>
      </c>
      <c r="AC136" s="27">
        <f>AB136+1</f>
        <v>2021</v>
      </c>
      <c r="AD136" s="31"/>
    </row>
    <row r="137" spans="1:30" ht="11.45" customHeight="1" outlineLevel="1" x14ac:dyDescent="0.2">
      <c r="A137" s="17"/>
      <c r="B137" s="17"/>
      <c r="C137" s="20"/>
      <c r="D137" s="137"/>
      <c r="E137" s="137"/>
      <c r="F137" s="137"/>
      <c r="G137" s="137"/>
      <c r="H137" s="137"/>
      <c r="I137" s="137"/>
      <c r="J137" s="137"/>
      <c r="K137" s="137"/>
      <c r="L137" s="31"/>
      <c r="M137" s="31"/>
      <c r="N137" s="31"/>
      <c r="O137" s="31"/>
      <c r="P137" s="31"/>
      <c r="Q137" s="31"/>
      <c r="R137" s="31"/>
      <c r="S137" s="31"/>
      <c r="T137" s="31"/>
      <c r="U137" s="31"/>
      <c r="V137" s="31"/>
      <c r="W137" s="31"/>
      <c r="X137" s="31"/>
      <c r="Y137" s="31"/>
      <c r="Z137" s="31"/>
      <c r="AA137" s="31"/>
      <c r="AB137" s="31"/>
      <c r="AC137" s="31"/>
      <c r="AD137" s="31"/>
    </row>
    <row r="138" spans="1:30" ht="11.45" customHeight="1" outlineLevel="1" x14ac:dyDescent="0.2">
      <c r="A138" s="17"/>
      <c r="B138" s="17" t="s">
        <v>510</v>
      </c>
      <c r="C138" s="138">
        <f t="shared" ref="C138:R138" si="108">C61</f>
        <v>16</v>
      </c>
      <c r="D138" s="139">
        <f t="shared" si="108"/>
        <v>16</v>
      </c>
      <c r="E138" s="139">
        <f t="shared" si="108"/>
        <v>14</v>
      </c>
      <c r="F138" s="139">
        <f t="shared" si="108"/>
        <v>14</v>
      </c>
      <c r="G138" s="139">
        <f t="shared" si="108"/>
        <v>22</v>
      </c>
      <c r="H138" s="139">
        <f t="shared" si="108"/>
        <v>22</v>
      </c>
      <c r="I138" s="139">
        <f t="shared" si="108"/>
        <v>20</v>
      </c>
      <c r="J138" s="139">
        <f t="shared" si="108"/>
        <v>20</v>
      </c>
      <c r="K138" s="139">
        <f t="shared" si="108"/>
        <v>19</v>
      </c>
      <c r="L138" s="139">
        <f t="shared" si="108"/>
        <v>22</v>
      </c>
      <c r="M138" s="139">
        <f t="shared" si="108"/>
        <v>20</v>
      </c>
      <c r="N138" s="139">
        <f t="shared" si="108"/>
        <v>17</v>
      </c>
      <c r="O138" s="139">
        <f t="shared" si="108"/>
        <v>17</v>
      </c>
      <c r="P138" s="139">
        <f t="shared" si="108"/>
        <v>17</v>
      </c>
      <c r="Q138" s="139">
        <f t="shared" si="108"/>
        <v>17</v>
      </c>
      <c r="R138" s="139">
        <f t="shared" si="108"/>
        <v>17</v>
      </c>
      <c r="S138" s="139">
        <f t="shared" ref="S138:Y138" si="109">R138</f>
        <v>17</v>
      </c>
      <c r="T138" s="140">
        <f t="shared" si="109"/>
        <v>17</v>
      </c>
      <c r="U138" s="140">
        <f t="shared" si="109"/>
        <v>17</v>
      </c>
      <c r="V138" s="140">
        <f t="shared" si="109"/>
        <v>17</v>
      </c>
      <c r="W138" s="140">
        <f t="shared" si="109"/>
        <v>17</v>
      </c>
      <c r="X138" s="140">
        <f t="shared" si="109"/>
        <v>17</v>
      </c>
      <c r="Y138" s="140">
        <f t="shared" si="109"/>
        <v>17</v>
      </c>
      <c r="Z138" s="140">
        <f>Y138</f>
        <v>17</v>
      </c>
      <c r="AA138" s="140">
        <f>Z138</f>
        <v>17</v>
      </c>
      <c r="AB138" s="140">
        <f>AA138</f>
        <v>17</v>
      </c>
      <c r="AC138" s="140">
        <f>AB138</f>
        <v>17</v>
      </c>
      <c r="AD138" s="140"/>
    </row>
    <row r="139" spans="1:30" ht="11.45" customHeight="1" outlineLevel="1" x14ac:dyDescent="0.2">
      <c r="A139" s="17"/>
      <c r="B139" s="78" t="s">
        <v>511</v>
      </c>
      <c r="C139" s="141">
        <v>0.91</v>
      </c>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17"/>
      <c r="AB139" s="17"/>
      <c r="AC139" s="17"/>
      <c r="AD139" s="17"/>
    </row>
    <row r="140" spans="1:30" ht="11.45" customHeight="1" outlineLevel="1" x14ac:dyDescent="0.2">
      <c r="A140" s="46"/>
      <c r="B140" s="63" t="s">
        <v>512</v>
      </c>
      <c r="C140" s="142">
        <f>$C$19/$C$138*2</f>
        <v>140.0605025817037</v>
      </c>
      <c r="D140" s="143">
        <f>$C$19/$C$138*$C$139*2</f>
        <v>127.45505734935037</v>
      </c>
      <c r="E140" s="143">
        <f>IF(SUM($D140:D140)+D140*$C$139&lt;$C$19,D140*$C$139,$C$19-SUM($D140:D140))</f>
        <v>115.98410218790885</v>
      </c>
      <c r="F140" s="143">
        <f>IF(SUM($D140:E140)+E140*$C$139&lt;$C$19,E140*$C$139,$C$19-SUM($D140:E140))</f>
        <v>105.54553299099706</v>
      </c>
      <c r="G140" s="143">
        <f>IF(SUM($D140:F140)+F140*$C$139&lt;$C$19,F140*$C$139,$C$19-SUM($D140:F140))</f>
        <v>96.046435021807326</v>
      </c>
      <c r="H140" s="143">
        <f>IF(SUM($D140:G140)+G140*$C$139&lt;$C$19,G140*$C$139,$C$19-SUM($D140:G140))</f>
        <v>87.402255869844666</v>
      </c>
      <c r="I140" s="143">
        <f>IF(SUM($D140:H140)+H140*$C$139&lt;$C$19,H140*$C$139,$C$19-SUM($D140:H140))</f>
        <v>79.536052841558643</v>
      </c>
      <c r="J140" s="143">
        <f>IF(SUM($D140:I140)+I140*$C$139&lt;$C$19,I140*$C$139,$C$19-SUM($D140:I140))</f>
        <v>72.377808085818373</v>
      </c>
      <c r="K140" s="143">
        <f>IF(SUM($D140:J140)+E140*$C$139&lt;$C$19,J140*$C$139,$C$19-SUM($D140:J140))</f>
        <v>65.863805358094723</v>
      </c>
      <c r="L140" s="143">
        <f>IF(SUM($D140:K140)+F140*$C$139&lt;$C$19,K140*$C$139,$C$19-SUM($D140:K140))</f>
        <v>59.936062875866199</v>
      </c>
      <c r="M140" s="143">
        <f>IF(SUM($D140:L140)+L140*$C$139&lt;$C$19,L140*$C$139,$C$19-SUM($D140:L140))</f>
        <v>54.541817217038243</v>
      </c>
      <c r="N140" s="143">
        <f>IF(SUM($D140:M140)+M140*$C$139&lt;$C$19,M140*$C$139,$C$19-SUM($D140:M140))</f>
        <v>49.633053667504804</v>
      </c>
      <c r="O140" s="143">
        <f>IF(SUM($D140:N140)+N140*$C$139&lt;$C$19,N140*$C$139,$C$19-SUM($D140:N140))</f>
        <v>45.166078837429374</v>
      </c>
      <c r="P140" s="143">
        <f>IF(SUM($D140:O140)+O140*$C$139&lt;$C$19,O140*$C$139,$C$19-SUM($D140:O140))</f>
        <v>41.10113174206073</v>
      </c>
      <c r="Q140" s="143">
        <f>IF(SUM($D140:P140)+P140*$C$139&lt;$C$19,P140*$C$139,$C$19-SUM($D140:P140))</f>
        <v>37.402029885275269</v>
      </c>
      <c r="R140" s="143">
        <f>IF(SUM($D140:Q140)+Q140*$C$139&lt;$C$19,Q140*$C$139,$C$19-SUM($D140:Q140))</f>
        <v>34.035847195600496</v>
      </c>
      <c r="S140" s="143">
        <f>IF(SUM($D140:R140)+R140*$C$139&lt;$C$19,R140*$C$139,$C$19-SUM($D140:R140))</f>
        <v>30.972620947996454</v>
      </c>
      <c r="T140" s="143">
        <f>IF(SUM($D140:S140)+S140*$C$139&lt;$C$19,S140*$C$139,$C$19-SUM($D140:S140))</f>
        <v>17.48432857947796</v>
      </c>
      <c r="U140" s="143">
        <f>IF(SUM($D140:T140)+T140*$C$139&lt;$C$19,T140*$C$139,$C$19-SUM($D140:T140))</f>
        <v>0</v>
      </c>
      <c r="V140" s="143">
        <f>IF(SUM($D140:U140)+U140*$C$139&lt;$C$19,U140*$C$139,$C$19-SUM($D140:U140))</f>
        <v>0</v>
      </c>
      <c r="W140" s="143">
        <f>IF(SUM($D140:V140)+V140*$C$139&lt;$C$19,V140*$C$139,$C$19-SUM($D140:V140))</f>
        <v>0</v>
      </c>
      <c r="X140" s="143">
        <f>IF(SUM($D140:W140)+W140*$C$139&lt;$C$19,W140*$C$139,$C$19-SUM($D140:W140))</f>
        <v>0</v>
      </c>
      <c r="Y140" s="143">
        <f>IF(SUM($D140:X140)+X140*$C$139&lt;$C$19,X140*$C$139,$C$19-SUM($D140:X140))</f>
        <v>0</v>
      </c>
      <c r="Z140" s="143">
        <f>IF(SUM($D140:Y140)+Y140*$C$139&lt;$C$19,Y140*$C$139,$C$19-SUM($D140:Y140))</f>
        <v>0</v>
      </c>
      <c r="AA140" s="143">
        <f>IF(SUM($D140:Z140)+Z140*$C$139&lt;$C$19,Z140*$C$139,$C$19-SUM($D140:Z140))</f>
        <v>0</v>
      </c>
      <c r="AB140" s="143">
        <f>IF(SUM($D140:AA140)+AA140*$C$139&lt;$C$19,AA140*$C$139,$C$19-SUM($D140:AA140))</f>
        <v>0</v>
      </c>
      <c r="AC140" s="143">
        <f>IF(SUM($D140:AB140)+AB140*$C$139&lt;$C$19,AB140*$C$139,$C$19-SUM($D140:AB140))</f>
        <v>0</v>
      </c>
      <c r="AD140" s="143"/>
    </row>
    <row r="141" spans="1:30" ht="11.45" customHeight="1" outlineLevel="1" x14ac:dyDescent="0.2">
      <c r="A141" s="46"/>
      <c r="B141" s="38">
        <v>1991</v>
      </c>
      <c r="C141" s="144"/>
      <c r="D141" s="144">
        <f>D$17/D$138</f>
        <v>-2.5764408594935846</v>
      </c>
      <c r="E141" s="144">
        <f>(IF(COUNT($D141:D141)&lt;$D$138,D141,0))</f>
        <v>-2.5764408594935846</v>
      </c>
      <c r="F141" s="144">
        <f>(IF(COUNT($D141:E141)&lt;$D$138,E141,0))</f>
        <v>-2.5764408594935846</v>
      </c>
      <c r="G141" s="144">
        <f>(IF(COUNT($D141:F141)&lt;$D$138,F141,0))</f>
        <v>-2.5764408594935846</v>
      </c>
      <c r="H141" s="144">
        <f>(IF(COUNT($D141:G141)&lt;$D$138,G141,0))</f>
        <v>-2.5764408594935846</v>
      </c>
      <c r="I141" s="144">
        <f>(IF(COUNT($D141:H141)&lt;$D$138,H141,0))</f>
        <v>-2.5764408594935846</v>
      </c>
      <c r="J141" s="144">
        <f>(IF(COUNT($D141:I141)&lt;$D$138,I141,0))</f>
        <v>-2.5764408594935846</v>
      </c>
      <c r="K141" s="144">
        <f>(IF(COUNT($D141:J141)&lt;$D$138,J141,0))</f>
        <v>-2.5764408594935846</v>
      </c>
      <c r="L141" s="144">
        <f>(IF(COUNT($D141:K141)&lt;$D$138,K141,0))</f>
        <v>-2.5764408594935846</v>
      </c>
      <c r="M141" s="144">
        <f>(IF(COUNT($D141:L141)&lt;$D$138,L141,0))</f>
        <v>-2.5764408594935846</v>
      </c>
      <c r="N141" s="144">
        <f>(IF(COUNT($D141:M141)&lt;$D$138,M141,0))</f>
        <v>-2.5764408594935846</v>
      </c>
      <c r="O141" s="144">
        <f>(IF(COUNT($D141:N141)&lt;$D$138,N141,0))</f>
        <v>-2.5764408594935846</v>
      </c>
      <c r="P141" s="144">
        <f>(IF(COUNT($D141:O141)&lt;$D$138,O141,0))</f>
        <v>-2.5764408594935846</v>
      </c>
      <c r="Q141" s="144">
        <f>(IF(COUNT($D141:P141)&lt;$D$138,P141,0))</f>
        <v>-2.5764408594935846</v>
      </c>
      <c r="R141" s="144">
        <f>(IF(COUNT($D141:Q141)&lt;$D$138,Q141,0))</f>
        <v>-2.5764408594935846</v>
      </c>
      <c r="S141" s="144">
        <f>(IF(COUNT($D141:R141)&lt;$D$138,R141,0))</f>
        <v>-2.5764408594935846</v>
      </c>
      <c r="T141" s="144">
        <f>(IF(COUNT($D141:S141)&lt;$D$138,S141,0))</f>
        <v>0</v>
      </c>
      <c r="U141" s="144">
        <f>(IF(COUNT($D141:T141)&lt;$D$138,T141,0))</f>
        <v>0</v>
      </c>
      <c r="V141" s="144">
        <f>(IF(COUNT($D141:U141)&lt;$D$138,U141,0))</f>
        <v>0</v>
      </c>
      <c r="W141" s="144">
        <f>(IF(COUNT($D141:V141)&lt;$D$138,V141,0))</f>
        <v>0</v>
      </c>
      <c r="X141" s="144">
        <f>(IF(COUNT($D141:W141)&lt;$D$138,W141,0))</f>
        <v>0</v>
      </c>
      <c r="Y141" s="144">
        <f>(IF(COUNT($D141:X141)&lt;$D$138,X141,0))</f>
        <v>0</v>
      </c>
      <c r="Z141" s="144">
        <f>(IF(COUNT($D141:Y141)&lt;$D$138,Y141,0))</f>
        <v>0</v>
      </c>
      <c r="AA141" s="144">
        <f>(IF(COUNT($D141:Z141)&lt;$D$138,Z141,0))</f>
        <v>0</v>
      </c>
      <c r="AB141" s="144">
        <f>(IF(COUNT($D141:AA141)&lt;$D$138,AA141,0))</f>
        <v>0</v>
      </c>
      <c r="AC141" s="144">
        <f>(IF(COUNT($D141:AB141)&lt;$D$138,AB141,0))</f>
        <v>0</v>
      </c>
      <c r="AD141" s="144"/>
    </row>
    <row r="142" spans="1:30" ht="11.45" customHeight="1" outlineLevel="1" x14ac:dyDescent="0.2">
      <c r="A142" s="46"/>
      <c r="B142" s="114">
        <f t="shared" ref="B142:B169" si="110">B141+1</f>
        <v>1992</v>
      </c>
      <c r="C142" s="144"/>
      <c r="D142" s="144"/>
      <c r="E142" s="144">
        <f>E$17/E$138</f>
        <v>1.3589256129346512</v>
      </c>
      <c r="F142" s="144">
        <f>(IF(COUNT($D142:E142)&lt;$E$138,E142,0))</f>
        <v>1.3589256129346512</v>
      </c>
      <c r="G142" s="144">
        <f>(IF(COUNT($D142:F142)&lt;$E$138,F142,0))</f>
        <v>1.3589256129346512</v>
      </c>
      <c r="H142" s="144">
        <f>(IF(COUNT($D142:G142)&lt;$E$138,G142,0))</f>
        <v>1.3589256129346512</v>
      </c>
      <c r="I142" s="144">
        <f>(IF(COUNT($D142:H142)&lt;$E$138,H142,0))</f>
        <v>1.3589256129346512</v>
      </c>
      <c r="J142" s="144">
        <f>(IF(COUNT($D142:I142)&lt;$E$138,I142,0))</f>
        <v>1.3589256129346512</v>
      </c>
      <c r="K142" s="144">
        <f>(IF(COUNT($D142:J142)&lt;$E$138,J142,0))</f>
        <v>1.3589256129346512</v>
      </c>
      <c r="L142" s="144">
        <f>(IF(COUNT($D142:K142)&lt;$E$138,K142,0))</f>
        <v>1.3589256129346512</v>
      </c>
      <c r="M142" s="144">
        <f>(IF(COUNT($D142:L142)&lt;$E$138,L142,0))</f>
        <v>1.3589256129346512</v>
      </c>
      <c r="N142" s="144">
        <f>(IF(COUNT($D142:M142)&lt;$E$138,M142,0))</f>
        <v>1.3589256129346512</v>
      </c>
      <c r="O142" s="144">
        <f>(IF(COUNT($D142:N142)&lt;$E$138,N142,0))</f>
        <v>1.3589256129346512</v>
      </c>
      <c r="P142" s="144">
        <f>(IF(COUNT($D142:O142)&lt;$E$138,O142,0))</f>
        <v>1.3589256129346512</v>
      </c>
      <c r="Q142" s="144">
        <f>(IF(COUNT($D142:P142)&lt;$E$138,P142,0))</f>
        <v>1.3589256129346512</v>
      </c>
      <c r="R142" s="144">
        <f>(IF(COUNT($D142:Q142)&lt;$E$138,Q142,0))</f>
        <v>1.3589256129346512</v>
      </c>
      <c r="S142" s="144">
        <f>(IF(COUNT($D142:R142)&lt;$E$138,R142,0))</f>
        <v>0</v>
      </c>
      <c r="T142" s="144">
        <f>(IF(COUNT($D142:S142)&lt;$E$138,S142,0))</f>
        <v>0</v>
      </c>
      <c r="U142" s="144">
        <f>(IF(COUNT($D142:T142)&lt;$E$138,T142,0))</f>
        <v>0</v>
      </c>
      <c r="V142" s="144">
        <f>(IF(COUNT($D142:U142)&lt;$E$138,U142,0))</f>
        <v>0</v>
      </c>
      <c r="W142" s="144">
        <f>(IF(COUNT($D142:V142)&lt;$E$138,V142,0))</f>
        <v>0</v>
      </c>
      <c r="X142" s="144">
        <f>(IF(COUNT($D142:W142)&lt;$E$138,W142,0))</f>
        <v>0</v>
      </c>
      <c r="Y142" s="144">
        <f>(IF(COUNT($D142:X142)&lt;$E$138,X142,0))</f>
        <v>0</v>
      </c>
      <c r="Z142" s="144">
        <f>(IF(COUNT($D142:Y142)&lt;$E$138,Y142,0))</f>
        <v>0</v>
      </c>
      <c r="AA142" s="144">
        <f>(IF(COUNT($D142:Z142)&lt;$E$138,Z142,0))</f>
        <v>0</v>
      </c>
      <c r="AB142" s="144">
        <f>(IF(COUNT($D142:AA142)&lt;$E$138,AA142,0))</f>
        <v>0</v>
      </c>
      <c r="AC142" s="144">
        <f>(IF(COUNT($D142:AB142)&lt;$E$138,AB142,0))</f>
        <v>0</v>
      </c>
      <c r="AD142" s="144"/>
    </row>
    <row r="143" spans="1:30" ht="11.45" customHeight="1" outlineLevel="1" x14ac:dyDescent="0.2">
      <c r="A143" s="46"/>
      <c r="B143" s="114">
        <f t="shared" si="110"/>
        <v>1993</v>
      </c>
      <c r="C143" s="144"/>
      <c r="D143" s="144"/>
      <c r="E143" s="144"/>
      <c r="F143" s="144">
        <f>F$17/F$138</f>
        <v>-2.5892158519839312</v>
      </c>
      <c r="G143" s="144">
        <f>(IF(COUNT($D143:F143)&lt;$F$138,F143,0))</f>
        <v>-2.5892158519839312</v>
      </c>
      <c r="H143" s="144">
        <f>(IF(COUNT($D143:G143)&lt;$F$138,G143,0))</f>
        <v>-2.5892158519839312</v>
      </c>
      <c r="I143" s="144">
        <f>(IF(COUNT($D143:H143)&lt;$F$138,H143,0))</f>
        <v>-2.5892158519839312</v>
      </c>
      <c r="J143" s="144">
        <f>(IF(COUNT($D143:I143)&lt;$F$138,I143,0))</f>
        <v>-2.5892158519839312</v>
      </c>
      <c r="K143" s="144">
        <f>(IF(COUNT($D143:J143)&lt;$F$138,J143,0))</f>
        <v>-2.5892158519839312</v>
      </c>
      <c r="L143" s="144">
        <f>(IF(COUNT($D143:K143)&lt;$F$138,K143,0))</f>
        <v>-2.5892158519839312</v>
      </c>
      <c r="M143" s="144">
        <f>(IF(COUNT($D143:L143)&lt;$F$138,L143,0))</f>
        <v>-2.5892158519839312</v>
      </c>
      <c r="N143" s="144">
        <f>(IF(COUNT($D143:M143)&lt;$F$138,M143,0))</f>
        <v>-2.5892158519839312</v>
      </c>
      <c r="O143" s="144">
        <f>(IF(COUNT($D143:N143)&lt;$F$138,N143,0))</f>
        <v>-2.5892158519839312</v>
      </c>
      <c r="P143" s="144">
        <f>(IF(COUNT($D143:O143)&lt;$F$138,O143,0))</f>
        <v>-2.5892158519839312</v>
      </c>
      <c r="Q143" s="144">
        <f>(IF(COUNT($D143:P143)&lt;$F$138,P143,0))</f>
        <v>-2.5892158519839312</v>
      </c>
      <c r="R143" s="144">
        <f>(IF(COUNT($D143:Q143)&lt;$F$138,Q143,0))</f>
        <v>-2.5892158519839312</v>
      </c>
      <c r="S143" s="144">
        <f>(IF(COUNT($D143:R143)&lt;$F$138,R143,0))</f>
        <v>-2.5892158519839312</v>
      </c>
      <c r="T143" s="144">
        <f>(IF(COUNT($D143:S143)&lt;$F$138,S143,0))</f>
        <v>0</v>
      </c>
      <c r="U143" s="144">
        <f>(IF(COUNT($D143:T143)&lt;$F$138,T143,0))</f>
        <v>0</v>
      </c>
      <c r="V143" s="144">
        <f>(IF(COUNT($D143:U143)&lt;$F$138,U143,0))</f>
        <v>0</v>
      </c>
      <c r="W143" s="144">
        <f>(IF(COUNT($D143:V143)&lt;$F$138,V143,0))</f>
        <v>0</v>
      </c>
      <c r="X143" s="144">
        <f>(IF(COUNT($D143:W143)&lt;$F$138,W143,0))</f>
        <v>0</v>
      </c>
      <c r="Y143" s="144">
        <f>(IF(COUNT($D143:X143)&lt;$F$138,X143,0))</f>
        <v>0</v>
      </c>
      <c r="Z143" s="144">
        <f>(IF(COUNT($D143:Y143)&lt;$F$138,Y143,0))</f>
        <v>0</v>
      </c>
      <c r="AA143" s="144">
        <f>(IF(COUNT($D143:Z143)&lt;$F$138,Z143,0))</f>
        <v>0</v>
      </c>
      <c r="AB143" s="144">
        <f>(IF(COUNT($D143:AA143)&lt;$F$138,AA143,0))</f>
        <v>0</v>
      </c>
      <c r="AC143" s="144">
        <f>(IF(COUNT($D143:AB143)&lt;$F$138,AB143,0))</f>
        <v>0</v>
      </c>
      <c r="AD143" s="144"/>
    </row>
    <row r="144" spans="1:30" ht="11.45" customHeight="1" outlineLevel="1" x14ac:dyDescent="0.2">
      <c r="A144" s="46"/>
      <c r="B144" s="114">
        <f t="shared" si="110"/>
        <v>1994</v>
      </c>
      <c r="C144" s="144"/>
      <c r="D144" s="144"/>
      <c r="E144" s="144"/>
      <c r="F144" s="144"/>
      <c r="G144" s="144">
        <f>G$17/G$138</f>
        <v>19.700669979416599</v>
      </c>
      <c r="H144" s="144">
        <f>(IF(COUNT($D144:G144)&lt;$G$138,G144,0))</f>
        <v>19.700669979416599</v>
      </c>
      <c r="I144" s="144">
        <f>(IF(COUNT($D144:H144)&lt;$G$138,H144,0))</f>
        <v>19.700669979416599</v>
      </c>
      <c r="J144" s="144">
        <f>(IF(COUNT($D144:I144)&lt;$G$138,I144,0))</f>
        <v>19.700669979416599</v>
      </c>
      <c r="K144" s="144">
        <f>(IF(COUNT($D144:J144)&lt;$G$138,J144,0))</f>
        <v>19.700669979416599</v>
      </c>
      <c r="L144" s="144">
        <f>(IF(COUNT($D144:K144)&lt;$G$138,K144,0))</f>
        <v>19.700669979416599</v>
      </c>
      <c r="M144" s="144">
        <f>(IF(COUNT($D144:L144)&lt;$G$138,L144,0))</f>
        <v>19.700669979416599</v>
      </c>
      <c r="N144" s="144">
        <f>(IF(COUNT($D144:M144)&lt;$G$138,M144,0))</f>
        <v>19.700669979416599</v>
      </c>
      <c r="O144" s="144">
        <f>(IF(COUNT($D144:N144)&lt;$G$138,N144,0))</f>
        <v>19.700669979416599</v>
      </c>
      <c r="P144" s="144">
        <f>(IF(COUNT($D144:O144)&lt;$G$138,O144,0))</f>
        <v>19.700669979416599</v>
      </c>
      <c r="Q144" s="144">
        <f>(IF(COUNT($D144:P144)&lt;$G$138,P144,0))</f>
        <v>19.700669979416599</v>
      </c>
      <c r="R144" s="144">
        <f>(IF(COUNT($D144:Q144)&lt;$G$138,Q144,0))</f>
        <v>19.700669979416599</v>
      </c>
      <c r="S144" s="144">
        <f>(IF(COUNT($D144:R144)&lt;$G$138,R144,0))</f>
        <v>19.700669979416599</v>
      </c>
      <c r="T144" s="144">
        <f>(IF(COUNT($D144:S144)&lt;$G$138,S144,0))</f>
        <v>19.700669979416599</v>
      </c>
      <c r="U144" s="144">
        <f>(IF(COUNT($D144:T144)&lt;$G$138,T144,0))</f>
        <v>19.700669979416599</v>
      </c>
      <c r="V144" s="144">
        <f>(IF(COUNT($D144:U144)&lt;$G$138,U144,0))</f>
        <v>19.700669979416599</v>
      </c>
      <c r="W144" s="144">
        <f>(IF(COUNT($D144:V144)&lt;$G$138,V144,0))</f>
        <v>19.700669979416599</v>
      </c>
      <c r="X144" s="144">
        <f>(IF(COUNT($D144:W144)&lt;$G$138,W144,0))</f>
        <v>19.700669979416599</v>
      </c>
      <c r="Y144" s="144">
        <f>(IF(COUNT($D144:X144)&lt;$G$138,X144,0))</f>
        <v>19.700669979416599</v>
      </c>
      <c r="Z144" s="144">
        <f>(IF(COUNT($D144:Y144)&lt;$G$138,Y144,0))</f>
        <v>19.700669979416599</v>
      </c>
      <c r="AA144" s="144">
        <f>(IF(COUNT($D144:Z144)&lt;$G$138,Z144,0))</f>
        <v>19.700669979416599</v>
      </c>
      <c r="AB144" s="144">
        <f>(IF(COUNT($D144:AA144)&lt;$G$138,AA144,0))</f>
        <v>19.700669979416599</v>
      </c>
      <c r="AC144" s="144">
        <f>(IF(COUNT($D144:AB144)&lt;$G$138,AB144,0))</f>
        <v>0</v>
      </c>
      <c r="AD144" s="144"/>
    </row>
    <row r="145" spans="1:30" ht="11.45" customHeight="1" outlineLevel="1" x14ac:dyDescent="0.2">
      <c r="A145" s="46"/>
      <c r="B145" s="114">
        <f t="shared" si="110"/>
        <v>1995</v>
      </c>
      <c r="C145" s="144"/>
      <c r="D145" s="144"/>
      <c r="E145" s="144"/>
      <c r="F145" s="144"/>
      <c r="G145" s="144"/>
      <c r="H145" s="144">
        <f>H$17/H$138</f>
        <v>-0.40483972773313792</v>
      </c>
      <c r="I145" s="144">
        <f>(IF(COUNT($D145:H145)&lt;$H$138,H145,0))</f>
        <v>-0.40483972773313792</v>
      </c>
      <c r="J145" s="144">
        <f>(IF(COUNT($D145:I145)&lt;$H$138,I145,0))</f>
        <v>-0.40483972773313792</v>
      </c>
      <c r="K145" s="144">
        <f>(IF(COUNT($D145:J145)&lt;$H$138,J145,0))</f>
        <v>-0.40483972773313792</v>
      </c>
      <c r="L145" s="144">
        <f>(IF(COUNT($D145:K145)&lt;$H$138,K145,0))</f>
        <v>-0.40483972773313792</v>
      </c>
      <c r="M145" s="144">
        <f>(IF(COUNT($D145:L145)&lt;$H$138,L145,0))</f>
        <v>-0.40483972773313792</v>
      </c>
      <c r="N145" s="144">
        <f>(IF(COUNT($D145:M145)&lt;$H$138,M145,0))</f>
        <v>-0.40483972773313792</v>
      </c>
      <c r="O145" s="144">
        <f>(IF(COUNT($D145:N145)&lt;$H$138,N145,0))</f>
        <v>-0.40483972773313792</v>
      </c>
      <c r="P145" s="144">
        <f>(IF(COUNT($D145:O145)&lt;$H$138,O145,0))</f>
        <v>-0.40483972773313792</v>
      </c>
      <c r="Q145" s="144">
        <f>(IF(COUNT($D145:P145)&lt;$H$138,P145,0))</f>
        <v>-0.40483972773313792</v>
      </c>
      <c r="R145" s="144">
        <f>(IF(COUNT($D145:Q145)&lt;$H$138,Q145,0))</f>
        <v>-0.40483972773313792</v>
      </c>
      <c r="S145" s="144">
        <f>(IF(COUNT($D145:R145)&lt;$H$138,R145,0))</f>
        <v>-0.40483972773313792</v>
      </c>
      <c r="T145" s="144">
        <f>(IF(COUNT($D145:S145)&lt;$H$138,S145,0))</f>
        <v>-0.40483972773313792</v>
      </c>
      <c r="U145" s="144">
        <f>(IF(COUNT($D145:T145)&lt;$H$138,T145,0))</f>
        <v>-0.40483972773313792</v>
      </c>
      <c r="V145" s="144">
        <f>(IF(COUNT($D145:U145)&lt;$H$138,U145,0))</f>
        <v>-0.40483972773313792</v>
      </c>
      <c r="W145" s="144">
        <f>(IF(COUNT($D145:V145)&lt;$H$138,V145,0))</f>
        <v>-0.40483972773313792</v>
      </c>
      <c r="X145" s="144">
        <f>(IF(COUNT($D145:W145)&lt;$H$138,W145,0))</f>
        <v>-0.40483972773313792</v>
      </c>
      <c r="Y145" s="144">
        <f>(IF(COUNT($D145:X145)&lt;$H$138,X145,0))</f>
        <v>-0.40483972773313792</v>
      </c>
      <c r="Z145" s="144">
        <f>(IF(COUNT($D145:Y145)&lt;$H$138,Y145,0))</f>
        <v>-0.40483972773313792</v>
      </c>
      <c r="AA145" s="144">
        <f>(IF(COUNT($D145:Z145)&lt;$H$138,Z145,0))</f>
        <v>-0.40483972773313792</v>
      </c>
      <c r="AB145" s="144">
        <f>(IF(COUNT($D145:AA145)&lt;$H$138,AA145,0))</f>
        <v>-0.40483972773313792</v>
      </c>
      <c r="AC145" s="144">
        <f>(IF(COUNT($D145:AB145)&lt;$H$138,AB145,0))</f>
        <v>-0.40483972773313792</v>
      </c>
      <c r="AD145" s="144"/>
    </row>
    <row r="146" spans="1:30" ht="11.45" customHeight="1" outlineLevel="1" x14ac:dyDescent="0.2">
      <c r="A146" s="46"/>
      <c r="B146" s="114">
        <f t="shared" si="110"/>
        <v>1996</v>
      </c>
      <c r="C146" s="144"/>
      <c r="D146" s="144"/>
      <c r="E146" s="144"/>
      <c r="F146" s="144"/>
      <c r="G146" s="144"/>
      <c r="H146" s="144"/>
      <c r="I146" s="144">
        <f>I$17/I$138</f>
        <v>8.0414882841152675</v>
      </c>
      <c r="J146" s="144">
        <f>(IF(COUNT($D146:I146)&lt;$I$138,I146,0))</f>
        <v>8.0414882841152675</v>
      </c>
      <c r="K146" s="144">
        <f>(IF(COUNT($D146:J146)&lt;$I$138,J146,0))</f>
        <v>8.0414882841152675</v>
      </c>
      <c r="L146" s="144">
        <f>(IF(COUNT($D146:K146)&lt;$I$138,K146,0))</f>
        <v>8.0414882841152675</v>
      </c>
      <c r="M146" s="144">
        <f>(IF(COUNT($D146:L146)&lt;$I$138,L146,0))</f>
        <v>8.0414882841152675</v>
      </c>
      <c r="N146" s="144">
        <f>(IF(COUNT($D146:M146)&lt;$I$138,M146,0))</f>
        <v>8.0414882841152675</v>
      </c>
      <c r="O146" s="144">
        <f>(IF(COUNT($D146:N146)&lt;$I$138,N146,0))</f>
        <v>8.0414882841152675</v>
      </c>
      <c r="P146" s="144">
        <f>(IF(COUNT($D146:O146)&lt;$I$138,O146,0))</f>
        <v>8.0414882841152675</v>
      </c>
      <c r="Q146" s="144">
        <f>(IF(COUNT($D146:P146)&lt;$I$138,P146,0))</f>
        <v>8.0414882841152675</v>
      </c>
      <c r="R146" s="144">
        <f>(IF(COUNT($D146:Q146)&lt;$I$138,Q146,0))</f>
        <v>8.0414882841152675</v>
      </c>
      <c r="S146" s="144">
        <f>(IF(COUNT($D146:R146)&lt;$I$138,R146,0))</f>
        <v>8.0414882841152675</v>
      </c>
      <c r="T146" s="144">
        <f>(IF(COUNT($D146:S146)&lt;$I$138,S146,0))</f>
        <v>8.0414882841152675</v>
      </c>
      <c r="U146" s="144">
        <f>(IF(COUNT($D146:T146)&lt;$I$138,T146,0))</f>
        <v>8.0414882841152675</v>
      </c>
      <c r="V146" s="144">
        <f>(IF(COUNT($D146:U146)&lt;$I$138,U146,0))</f>
        <v>8.0414882841152675</v>
      </c>
      <c r="W146" s="144">
        <f>(IF(COUNT($D146:V146)&lt;$I$138,V146,0))</f>
        <v>8.0414882841152675</v>
      </c>
      <c r="X146" s="144">
        <f>(IF(COUNT($D146:W146)&lt;$I$138,W146,0))</f>
        <v>8.0414882841152675</v>
      </c>
      <c r="Y146" s="144">
        <f>(IF(COUNT($D146:X146)&lt;$I$138,X146,0))</f>
        <v>8.0414882841152675</v>
      </c>
      <c r="Z146" s="144">
        <f>(IF(COUNT($D146:Y146)&lt;$I$138,Y146,0))</f>
        <v>8.0414882841152675</v>
      </c>
      <c r="AA146" s="144">
        <f>(IF(COUNT($D146:Z146)&lt;$I$138,Z146,0))</f>
        <v>8.0414882841152675</v>
      </c>
      <c r="AB146" s="144">
        <f>(IF(COUNT($D146:AA146)&lt;$I$138,AA146,0))</f>
        <v>8.0414882841152675</v>
      </c>
      <c r="AC146" s="144">
        <f>(IF(COUNT($D146:AB146)&lt;$I$138,AB146,0))</f>
        <v>0</v>
      </c>
      <c r="AD146" s="144"/>
    </row>
    <row r="147" spans="1:30" ht="11.45" customHeight="1" outlineLevel="1" x14ac:dyDescent="0.2">
      <c r="A147" s="46"/>
      <c r="B147" s="114">
        <f t="shared" si="110"/>
        <v>1997</v>
      </c>
      <c r="C147" s="144"/>
      <c r="D147" s="144"/>
      <c r="E147" s="144"/>
      <c r="F147" s="144"/>
      <c r="G147" s="144"/>
      <c r="H147" s="144"/>
      <c r="I147" s="144"/>
      <c r="J147" s="144">
        <f>J$17/J$138</f>
        <v>4.057676584531384</v>
      </c>
      <c r="K147" s="144">
        <f>(IF(COUNT($D147:J147)&lt;$J$138,J147,0))</f>
        <v>4.057676584531384</v>
      </c>
      <c r="L147" s="144">
        <f>(IF(COUNT($D147:K147)&lt;$J$138,K147,0))</f>
        <v>4.057676584531384</v>
      </c>
      <c r="M147" s="144">
        <f>(IF(COUNT($D147:L147)&lt;$J$138,L147,0))</f>
        <v>4.057676584531384</v>
      </c>
      <c r="N147" s="144">
        <f>(IF(COUNT($D147:M147)&lt;$J$138,M147,0))</f>
        <v>4.057676584531384</v>
      </c>
      <c r="O147" s="144">
        <f>(IF(COUNT($D147:N147)&lt;$J$138,N147,0))</f>
        <v>4.057676584531384</v>
      </c>
      <c r="P147" s="144">
        <f>(IF(COUNT($D147:O147)&lt;$J$138,O147,0))</f>
        <v>4.057676584531384</v>
      </c>
      <c r="Q147" s="144">
        <f>(IF(COUNT($D147:P147)&lt;$J$138,P147,0))</f>
        <v>4.057676584531384</v>
      </c>
      <c r="R147" s="144">
        <f>(IF(COUNT($D147:Q147)&lt;$J$138,Q147,0))</f>
        <v>4.057676584531384</v>
      </c>
      <c r="S147" s="144">
        <f>(IF(COUNT($D147:R147)&lt;$J$138,R147,0))</f>
        <v>4.057676584531384</v>
      </c>
      <c r="T147" s="144">
        <f>(IF(COUNT($D147:S147)&lt;$J$138,S147,0))</f>
        <v>4.057676584531384</v>
      </c>
      <c r="U147" s="144">
        <f>(IF(COUNT($D147:T147)&lt;$J$138,T147,0))</f>
        <v>4.057676584531384</v>
      </c>
      <c r="V147" s="144">
        <f>(IF(COUNT($D147:U147)&lt;$J$138,U147,0))</f>
        <v>4.057676584531384</v>
      </c>
      <c r="W147" s="144">
        <f>(IF(COUNT($D147:V147)&lt;$J$138,V147,0))</f>
        <v>4.057676584531384</v>
      </c>
      <c r="X147" s="144">
        <f>(IF(COUNT($D147:W147)&lt;$J$138,W147,0))</f>
        <v>4.057676584531384</v>
      </c>
      <c r="Y147" s="144">
        <f>(IF(COUNT($D147:X147)&lt;$J$138,X147,0))</f>
        <v>4.057676584531384</v>
      </c>
      <c r="Z147" s="144">
        <f>(IF(COUNT($D147:Y147)&lt;$J$138,Y147,0))</f>
        <v>4.057676584531384</v>
      </c>
      <c r="AA147" s="144">
        <f>(IF(COUNT($D147:Z147)&lt;$J$138,Z147,0))</f>
        <v>4.057676584531384</v>
      </c>
      <c r="AB147" s="144">
        <f>(IF(COUNT($D147:AA147)&lt;$J$138,AA147,0))</f>
        <v>4.057676584531384</v>
      </c>
      <c r="AC147" s="144">
        <f>(IF(COUNT($D147:AB147)&lt;$J$138,AB147,0))</f>
        <v>4.057676584531384</v>
      </c>
      <c r="AD147" s="144"/>
    </row>
    <row r="148" spans="1:30" ht="11.45" customHeight="1" outlineLevel="1" x14ac:dyDescent="0.2">
      <c r="A148" s="46"/>
      <c r="B148" s="114">
        <f t="shared" si="110"/>
        <v>1998</v>
      </c>
      <c r="C148" s="144"/>
      <c r="D148" s="144"/>
      <c r="E148" s="144"/>
      <c r="F148" s="144"/>
      <c r="G148" s="144"/>
      <c r="H148" s="144"/>
      <c r="I148" s="144"/>
      <c r="J148" s="144"/>
      <c r="K148" s="144">
        <f>K$17/K$138</f>
        <v>3.5692599677574921</v>
      </c>
      <c r="L148" s="144">
        <f>(IF(COUNT($D148:K148)&lt;$K$138,K148,0))</f>
        <v>3.5692599677574921</v>
      </c>
      <c r="M148" s="144">
        <f>(IF(COUNT($D148:L148)&lt;$K$138,L148,0))</f>
        <v>3.5692599677574921</v>
      </c>
      <c r="N148" s="144">
        <f>(IF(COUNT($D148:M148)&lt;$K$138,M148,0))</f>
        <v>3.5692599677574921</v>
      </c>
      <c r="O148" s="144">
        <f>(IF(COUNT($D148:N148)&lt;$K$138,N148,0))</f>
        <v>3.5692599677574921</v>
      </c>
      <c r="P148" s="144">
        <f>(IF(COUNT($D148:O148)&lt;$K$138,O148,0))</f>
        <v>3.5692599677574921</v>
      </c>
      <c r="Q148" s="144">
        <f>(IF(COUNT($D148:P148)&lt;$K$138,P148,0))</f>
        <v>3.5692599677574921</v>
      </c>
      <c r="R148" s="144">
        <f>(IF(COUNT($D148:Q148)&lt;$K$138,Q148,0))</f>
        <v>3.5692599677574921</v>
      </c>
      <c r="S148" s="144">
        <f>(IF(COUNT($D148:R148)&lt;$K$138,R148,0))</f>
        <v>3.5692599677574921</v>
      </c>
      <c r="T148" s="144">
        <f>(IF(COUNT($D148:S148)&lt;$K$138,S148,0))</f>
        <v>3.5692599677574921</v>
      </c>
      <c r="U148" s="144">
        <f>(IF(COUNT($D148:T148)&lt;$K$138,T148,0))</f>
        <v>3.5692599677574921</v>
      </c>
      <c r="V148" s="144">
        <f>(IF(COUNT($D148:U148)&lt;$K$138,U148,0))</f>
        <v>3.5692599677574921</v>
      </c>
      <c r="W148" s="144">
        <f>(IF(COUNT($D148:V148)&lt;$K$138,V148,0))</f>
        <v>3.5692599677574921</v>
      </c>
      <c r="X148" s="144">
        <f>(IF(COUNT($D148:W148)&lt;$K$138,W148,0))</f>
        <v>3.5692599677574921</v>
      </c>
      <c r="Y148" s="144">
        <f>(IF(COUNT($D148:X148)&lt;$K$138,X148,0))</f>
        <v>3.5692599677574921</v>
      </c>
      <c r="Z148" s="144">
        <f>(IF(COUNT($D148:Y148)&lt;$K$138,Y148,0))</f>
        <v>3.5692599677574921</v>
      </c>
      <c r="AA148" s="144">
        <f>(IF(COUNT($D148:Z148)&lt;$K$138,Z148,0))</f>
        <v>3.5692599677574921</v>
      </c>
      <c r="AB148" s="144">
        <f>(IF(COUNT($D148:AA148)&lt;$K$138,AA148,0))</f>
        <v>3.5692599677574921</v>
      </c>
      <c r="AC148" s="144">
        <f>(IF(COUNT($D148:AB148)&lt;$K$138,AB148,0))</f>
        <v>3.5692599677574921</v>
      </c>
      <c r="AD148" s="144"/>
    </row>
    <row r="149" spans="1:30" ht="11.45" customHeight="1" outlineLevel="1" x14ac:dyDescent="0.2">
      <c r="A149" s="46"/>
      <c r="B149" s="114">
        <f t="shared" si="110"/>
        <v>1999</v>
      </c>
      <c r="C149" s="144"/>
      <c r="D149" s="144"/>
      <c r="E149" s="144"/>
      <c r="F149" s="144"/>
      <c r="G149" s="144"/>
      <c r="H149" s="144"/>
      <c r="I149" s="144"/>
      <c r="J149" s="144"/>
      <c r="K149" s="144"/>
      <c r="L149" s="144">
        <f>L$17/L$138</f>
        <v>6.8744890596221504</v>
      </c>
      <c r="M149" s="144">
        <f>(IF(COUNT($D149:L149)&lt;$L$138,L149,0))</f>
        <v>6.8744890596221504</v>
      </c>
      <c r="N149" s="144">
        <f>(IF(COUNT($D149:M149)&lt;$L$138,M149,0))</f>
        <v>6.8744890596221504</v>
      </c>
      <c r="O149" s="144">
        <f>(IF(COUNT($D149:N149)&lt;$L$138,N149,0))</f>
        <v>6.8744890596221504</v>
      </c>
      <c r="P149" s="144">
        <f>(IF(COUNT($D149:O149)&lt;$L$138,O149,0))</f>
        <v>6.8744890596221504</v>
      </c>
      <c r="Q149" s="144">
        <f>(IF(COUNT($D149:P149)&lt;$L$138,P149,0))</f>
        <v>6.8744890596221504</v>
      </c>
      <c r="R149" s="144">
        <f>(IF(COUNT($D149:Q149)&lt;$L$138,Q149,0))</f>
        <v>6.8744890596221504</v>
      </c>
      <c r="S149" s="144">
        <f>(IF(COUNT($D149:R149)&lt;$L$138,R149,0))</f>
        <v>6.8744890596221504</v>
      </c>
      <c r="T149" s="144">
        <f>(IF(COUNT($D149:S149)&lt;$L$138,S149,0))</f>
        <v>6.8744890596221504</v>
      </c>
      <c r="U149" s="144">
        <f>(IF(COUNT($D149:T149)&lt;$L$138,T149,0))</f>
        <v>6.8744890596221504</v>
      </c>
      <c r="V149" s="144">
        <f>(IF(COUNT($D149:U149)&lt;$L$138,U149,0))</f>
        <v>6.8744890596221504</v>
      </c>
      <c r="W149" s="144">
        <f>(IF(COUNT($D149:V149)&lt;$L$138,V149,0))</f>
        <v>6.8744890596221504</v>
      </c>
      <c r="X149" s="144">
        <f>(IF(COUNT($D149:W149)&lt;$L$138,W149,0))</f>
        <v>6.8744890596221504</v>
      </c>
      <c r="Y149" s="144">
        <f>(IF(COUNT($D149:X149)&lt;$L$138,X149,0))</f>
        <v>6.8744890596221504</v>
      </c>
      <c r="Z149" s="144">
        <f>(IF(COUNT($D149:Y149)&lt;$L$138,Y149,0))</f>
        <v>6.8744890596221504</v>
      </c>
      <c r="AA149" s="144">
        <f>(IF(COUNT($D149:Z149)&lt;$L$138,Z149,0))</f>
        <v>6.8744890596221504</v>
      </c>
      <c r="AB149" s="144">
        <f>(IF(COUNT($D149:AA149)&lt;$L$138,AA149,0))</f>
        <v>6.8744890596221504</v>
      </c>
      <c r="AC149" s="144">
        <f>(IF(COUNT($D149:AB149)&lt;$L$138,AB149,0))</f>
        <v>6.8744890596221504</v>
      </c>
      <c r="AD149" s="144"/>
    </row>
    <row r="150" spans="1:30" ht="11.45" customHeight="1" outlineLevel="1" x14ac:dyDescent="0.2">
      <c r="A150" s="46"/>
      <c r="B150" s="114">
        <f t="shared" si="110"/>
        <v>2000</v>
      </c>
      <c r="C150" s="144"/>
      <c r="D150" s="144"/>
      <c r="E150" s="144"/>
      <c r="F150" s="144"/>
      <c r="G150" s="144"/>
      <c r="H150" s="144"/>
      <c r="I150" s="144"/>
      <c r="J150" s="144"/>
      <c r="K150" s="144"/>
      <c r="L150" s="144"/>
      <c r="M150" s="144">
        <f>M$17/M$138</f>
        <v>19.093398100735119</v>
      </c>
      <c r="N150" s="144">
        <f>(IF(COUNT($D150:M150)&lt;$M$138,M150,0))</f>
        <v>19.093398100735119</v>
      </c>
      <c r="O150" s="144">
        <f>(IF(COUNT($D150:N150)&lt;$M$138,N150,0))</f>
        <v>19.093398100735119</v>
      </c>
      <c r="P150" s="144">
        <f>(IF(COUNT($D150:O150)&lt;$M$138,O150,0))</f>
        <v>19.093398100735119</v>
      </c>
      <c r="Q150" s="144">
        <f>(IF(COUNT($D150:P150)&lt;$M$138,P150,0))</f>
        <v>19.093398100735119</v>
      </c>
      <c r="R150" s="144">
        <f>(IF(COUNT($D150:Q150)&lt;$M$138,Q150,0))</f>
        <v>19.093398100735119</v>
      </c>
      <c r="S150" s="144">
        <f>(IF(COUNT($D150:R150)&lt;$M$138,R150,0))</f>
        <v>19.093398100735119</v>
      </c>
      <c r="T150" s="144">
        <f>(IF(COUNT($D150:S150)&lt;$M$138,S150,0))</f>
        <v>19.093398100735119</v>
      </c>
      <c r="U150" s="144">
        <f>(IF(COUNT($D150:T150)&lt;$M$138,T150,0))</f>
        <v>19.093398100735119</v>
      </c>
      <c r="V150" s="144">
        <f>(IF(COUNT($D150:U150)&lt;$M$138,U150,0))</f>
        <v>19.093398100735119</v>
      </c>
      <c r="W150" s="144">
        <f>(IF(COUNT($D150:V150)&lt;$M$138,V150,0))</f>
        <v>19.093398100735119</v>
      </c>
      <c r="X150" s="144">
        <f>(IF(COUNT($D150:W150)&lt;$M$138,W150,0))</f>
        <v>19.093398100735119</v>
      </c>
      <c r="Y150" s="144">
        <f>(IF(COUNT($D150:X150)&lt;$M$138,X150,0))</f>
        <v>19.093398100735119</v>
      </c>
      <c r="Z150" s="144">
        <f>(IF(COUNT($D150:Y150)&lt;$M$138,Y150,0))</f>
        <v>19.093398100735119</v>
      </c>
      <c r="AA150" s="144">
        <f>(IF(COUNT($D150:Z150)&lt;$M$138,Z150,0))</f>
        <v>19.093398100735119</v>
      </c>
      <c r="AB150" s="144">
        <f>(IF(COUNT($D150:AA150)&lt;$M$138,AA150,0))</f>
        <v>19.093398100735119</v>
      </c>
      <c r="AC150" s="144">
        <f>(IF(COUNT($D150:AB150)&lt;$M$138,AB150,0))</f>
        <v>19.093398100735119</v>
      </c>
      <c r="AD150" s="144"/>
    </row>
    <row r="151" spans="1:30" ht="11.45" customHeight="1" outlineLevel="1" x14ac:dyDescent="0.2">
      <c r="A151" s="46"/>
      <c r="B151" s="114">
        <f t="shared" si="110"/>
        <v>2001</v>
      </c>
      <c r="C151" s="144"/>
      <c r="D151" s="144"/>
      <c r="E151" s="144"/>
      <c r="F151" s="144"/>
      <c r="G151" s="144"/>
      <c r="H151" s="144"/>
      <c r="I151" s="144"/>
      <c r="J151" s="144"/>
      <c r="K151" s="144"/>
      <c r="L151" s="144"/>
      <c r="M151" s="144"/>
      <c r="N151" s="144">
        <f>N$17/N$138</f>
        <v>-8.395177848881568</v>
      </c>
      <c r="O151" s="144">
        <f>(IF(COUNT($D151:N151)&lt;$N$138,N151,0))</f>
        <v>-8.395177848881568</v>
      </c>
      <c r="P151" s="144">
        <f>(IF(COUNT($D151:O151)&lt;$N$138,O151,0))</f>
        <v>-8.395177848881568</v>
      </c>
      <c r="Q151" s="144">
        <f>(IF(COUNT($D151:P151)&lt;$N$138,P151,0))</f>
        <v>-8.395177848881568</v>
      </c>
      <c r="R151" s="144">
        <f>(IF(COUNT($D151:Q151)&lt;$N$138,Q151,0))</f>
        <v>-8.395177848881568</v>
      </c>
      <c r="S151" s="144">
        <f>(IF(COUNT($D151:R151)&lt;$N$138,R151,0))</f>
        <v>-8.395177848881568</v>
      </c>
      <c r="T151" s="144">
        <f>(IF(COUNT($D151:S151)&lt;$N$138,S151,0))</f>
        <v>-8.395177848881568</v>
      </c>
      <c r="U151" s="144">
        <f>(IF(COUNT($D151:T151)&lt;$N$138,T151,0))</f>
        <v>-8.395177848881568</v>
      </c>
      <c r="V151" s="144">
        <f>(IF(COUNT($D151:U151)&lt;$N$138,U151,0))</f>
        <v>-8.395177848881568</v>
      </c>
      <c r="W151" s="144">
        <f>(IF(COUNT($D151:V151)&lt;$N$138,V151,0))</f>
        <v>-8.395177848881568</v>
      </c>
      <c r="X151" s="144">
        <f>(IF(COUNT($D151:W151)&lt;$N$138,W151,0))</f>
        <v>-8.395177848881568</v>
      </c>
      <c r="Y151" s="144">
        <f>(IF(COUNT($D151:X151)&lt;$N$138,X151,0))</f>
        <v>-8.395177848881568</v>
      </c>
      <c r="Z151" s="144">
        <f>(IF(COUNT($D151:Y151)&lt;$N$138,Y151,0))</f>
        <v>-8.395177848881568</v>
      </c>
      <c r="AA151" s="144">
        <f>(IF(COUNT($D151:Z151)&lt;$N$138,Z151,0))</f>
        <v>-8.395177848881568</v>
      </c>
      <c r="AB151" s="144">
        <f>(IF(COUNT($D151:AA151)&lt;$N$138,AA151,0))</f>
        <v>-8.395177848881568</v>
      </c>
      <c r="AC151" s="144">
        <f>(IF(COUNT($D151:AB151)&lt;$N$138,AB151,0))</f>
        <v>-8.395177848881568</v>
      </c>
      <c r="AD151" s="144"/>
    </row>
    <row r="152" spans="1:30" ht="11.45" customHeight="1" outlineLevel="1" x14ac:dyDescent="0.2">
      <c r="A152" s="46"/>
      <c r="B152" s="114">
        <f t="shared" si="110"/>
        <v>2002</v>
      </c>
      <c r="C152" s="144"/>
      <c r="D152" s="144"/>
      <c r="E152" s="144"/>
      <c r="F152" s="144"/>
      <c r="G152" s="144"/>
      <c r="H152" s="144"/>
      <c r="I152" s="144"/>
      <c r="J152" s="144"/>
      <c r="K152" s="144"/>
      <c r="L152" s="144"/>
      <c r="M152" s="144"/>
      <c r="N152" s="144"/>
      <c r="O152" s="144">
        <f>O$17/O$138</f>
        <v>6.380046063224853</v>
      </c>
      <c r="P152" s="144">
        <f>(IF(COUNT($D152:O152)&lt;$O$138,O152,0))</f>
        <v>6.380046063224853</v>
      </c>
      <c r="Q152" s="144">
        <f>(IF(COUNT($D152:P152)&lt;$O$138,P152,0))</f>
        <v>6.380046063224853</v>
      </c>
      <c r="R152" s="144">
        <f>(IF(COUNT($D152:Q152)&lt;$O$138,Q152,0))</f>
        <v>6.380046063224853</v>
      </c>
      <c r="S152" s="144">
        <f>(IF(COUNT($D152:R152)&lt;$O$138,R152,0))</f>
        <v>6.380046063224853</v>
      </c>
      <c r="T152" s="144">
        <f>(IF(COUNT($D152:S152)&lt;$O$138,S152,0))</f>
        <v>6.380046063224853</v>
      </c>
      <c r="U152" s="144">
        <f>(IF(COUNT($D152:T152)&lt;$O$138,T152,0))</f>
        <v>6.380046063224853</v>
      </c>
      <c r="V152" s="144">
        <f>(IF(COUNT($D152:U152)&lt;$O$138,U152,0))</f>
        <v>6.380046063224853</v>
      </c>
      <c r="W152" s="144">
        <f>(IF(COUNT($D152:V152)&lt;$O$138,V152,0))</f>
        <v>6.380046063224853</v>
      </c>
      <c r="X152" s="144">
        <f>(IF(COUNT($D152:W152)&lt;$O$138,W152,0))</f>
        <v>6.380046063224853</v>
      </c>
      <c r="Y152" s="144">
        <f>(IF(COUNT($D152:X152)&lt;$O$138,X152,0))</f>
        <v>6.380046063224853</v>
      </c>
      <c r="Z152" s="144">
        <f>(IF(COUNT($D152:Y152)&lt;$O$138,Y152,0))</f>
        <v>6.380046063224853</v>
      </c>
      <c r="AA152" s="144">
        <f>(IF(COUNT($D152:Z152)&lt;$O$138,Z152,0))</f>
        <v>6.380046063224853</v>
      </c>
      <c r="AB152" s="144">
        <f>(IF(COUNT($D152:AA152)&lt;$O$138,AA152,0))</f>
        <v>6.380046063224853</v>
      </c>
      <c r="AC152" s="144">
        <f>(IF(COUNT($D152:AB152)&lt;$O$138,AB152,0))</f>
        <v>6.380046063224853</v>
      </c>
      <c r="AD152" s="144"/>
    </row>
    <row r="153" spans="1:30" ht="11.45" customHeight="1" outlineLevel="1" x14ac:dyDescent="0.2">
      <c r="A153" s="46"/>
      <c r="B153" s="114">
        <f t="shared" si="110"/>
        <v>2003</v>
      </c>
      <c r="C153" s="144"/>
      <c r="D153" s="144"/>
      <c r="E153" s="144"/>
      <c r="F153" s="144"/>
      <c r="G153" s="144"/>
      <c r="H153" s="144"/>
      <c r="I153" s="144"/>
      <c r="J153" s="144"/>
      <c r="K153" s="144"/>
      <c r="L153" s="144"/>
      <c r="M153" s="144"/>
      <c r="N153" s="144"/>
      <c r="O153" s="144"/>
      <c r="P153" s="144">
        <f>P$17/P$138</f>
        <v>4.9655031190412284</v>
      </c>
      <c r="Q153" s="144">
        <f>(IF(COUNT($D153:P153)&lt;$P$138,P153,0))</f>
        <v>4.9655031190412284</v>
      </c>
      <c r="R153" s="144">
        <f>(IF(COUNT($D153:Q153)&lt;$P$138,Q153,0))</f>
        <v>4.9655031190412284</v>
      </c>
      <c r="S153" s="144">
        <f>(IF(COUNT($D153:R153)&lt;$P$138,R153,0))</f>
        <v>4.9655031190412284</v>
      </c>
      <c r="T153" s="144">
        <f>(IF(COUNT($D153:S153)&lt;$P$138,S153,0))</f>
        <v>4.9655031190412284</v>
      </c>
      <c r="U153" s="144">
        <f>(IF(COUNT($D153:T153)&lt;$P$138,T153,0))</f>
        <v>4.9655031190412284</v>
      </c>
      <c r="V153" s="144">
        <f>(IF(COUNT($D153:U153)&lt;$P$138,U153,0))</f>
        <v>4.9655031190412284</v>
      </c>
      <c r="W153" s="144">
        <f>(IF(COUNT($D153:V153)&lt;$P$138,V153,0))</f>
        <v>4.9655031190412284</v>
      </c>
      <c r="X153" s="144">
        <f>(IF(COUNT($D153:W153)&lt;$P$138,W153,0))</f>
        <v>4.9655031190412284</v>
      </c>
      <c r="Y153" s="144">
        <f>(IF(COUNT($D153:X153)&lt;$P$138,X153,0))</f>
        <v>4.9655031190412284</v>
      </c>
      <c r="Z153" s="144">
        <f>(IF(COUNT($D153:Y153)&lt;$P$138,Y153,0))</f>
        <v>4.9655031190412284</v>
      </c>
      <c r="AA153" s="144">
        <f>(IF(COUNT($D153:Z153)&lt;$P$138,Z153,0))</f>
        <v>4.9655031190412284</v>
      </c>
      <c r="AB153" s="144">
        <f>(IF(COUNT($D153:AA153)&lt;$P$138,AA153,0))</f>
        <v>4.9655031190412284</v>
      </c>
      <c r="AC153" s="144">
        <f>(IF(COUNT($D153:AB153)&lt;$P$138,AB153,0))</f>
        <v>4.9655031190412284</v>
      </c>
      <c r="AD153" s="144"/>
    </row>
    <row r="154" spans="1:30" ht="11.45" customHeight="1" outlineLevel="1" x14ac:dyDescent="0.2">
      <c r="A154" s="46"/>
      <c r="B154" s="114">
        <f t="shared" si="110"/>
        <v>2004</v>
      </c>
      <c r="C154" s="144"/>
      <c r="D154" s="144"/>
      <c r="E154" s="144"/>
      <c r="F154" s="144"/>
      <c r="G154" s="144"/>
      <c r="H154" s="144"/>
      <c r="I154" s="144"/>
      <c r="J154" s="144"/>
      <c r="K154" s="144"/>
      <c r="L154" s="144"/>
      <c r="M154" s="144"/>
      <c r="N154" s="144"/>
      <c r="O154" s="144"/>
      <c r="P154" s="144"/>
      <c r="Q154" s="144">
        <f>Q$17/Q$138</f>
        <v>-0.48988814861369101</v>
      </c>
      <c r="R154" s="144">
        <f>(IF(COUNT($D154:Q154)&lt;$Q$138,Q154,0))</f>
        <v>-0.48988814861369101</v>
      </c>
      <c r="S154" s="144">
        <f>(IF(COUNT($D154:R154)&lt;$Q$138,R154,0))</f>
        <v>-0.48988814861369101</v>
      </c>
      <c r="T154" s="144">
        <f>(IF(COUNT($D154:S154)&lt;$Q$138,S154,0))</f>
        <v>-0.48988814861369101</v>
      </c>
      <c r="U154" s="144">
        <f>(IF(COUNT($D154:T154)&lt;$Q$138,T154,0))</f>
        <v>-0.48988814861369101</v>
      </c>
      <c r="V154" s="144">
        <f>(IF(COUNT($D154:U154)&lt;$Q$138,U154,0))</f>
        <v>-0.48988814861369101</v>
      </c>
      <c r="W154" s="144">
        <f>(IF(COUNT($D154:V154)&lt;$Q$138,V154,0))</f>
        <v>-0.48988814861369101</v>
      </c>
      <c r="X154" s="144">
        <f>(IF(COUNT($D154:W154)&lt;$Q$138,W154,0))</f>
        <v>-0.48988814861369101</v>
      </c>
      <c r="Y154" s="144">
        <f>(IF(COUNT($D154:X154)&lt;$Q$138,X154,0))</f>
        <v>-0.48988814861369101</v>
      </c>
      <c r="Z154" s="144">
        <f>(IF(COUNT($D154:Y154)&lt;$Q$138,Y154,0))</f>
        <v>-0.48988814861369101</v>
      </c>
      <c r="AA154" s="144">
        <f>(IF(COUNT($D154:Z154)&lt;$Q$138,Z154,0))</f>
        <v>-0.48988814861369101</v>
      </c>
      <c r="AB154" s="144">
        <f>(IF(COUNT($D154:AA154)&lt;$Q$138,AA154,0))</f>
        <v>-0.48988814861369101</v>
      </c>
      <c r="AC154" s="144">
        <f>(IF(COUNT($D154:AB154)&lt;$Q$138,AB154,0))</f>
        <v>-0.48988814861369101</v>
      </c>
      <c r="AD154" s="144"/>
    </row>
    <row r="155" spans="1:30" ht="11.45" customHeight="1" outlineLevel="1" x14ac:dyDescent="0.2">
      <c r="A155" s="46"/>
      <c r="B155" s="114">
        <f t="shared" si="110"/>
        <v>2005</v>
      </c>
      <c r="C155" s="144"/>
      <c r="D155" s="144"/>
      <c r="E155" s="144"/>
      <c r="F155" s="144"/>
      <c r="G155" s="144"/>
      <c r="H155" s="144"/>
      <c r="I155" s="144"/>
      <c r="J155" s="144"/>
      <c r="K155" s="144"/>
      <c r="L155" s="144"/>
      <c r="M155" s="144"/>
      <c r="N155" s="144"/>
      <c r="O155" s="144"/>
      <c r="P155" s="144"/>
      <c r="Q155" s="144"/>
      <c r="R155" s="144">
        <f>R$17/R$138</f>
        <v>10.665647033147431</v>
      </c>
      <c r="S155" s="144">
        <f>(IF(COUNT($D155:R155)&lt;$R$138,R155,0))</f>
        <v>10.665647033147431</v>
      </c>
      <c r="T155" s="144">
        <f>(IF(COUNT($D155:S155)&lt;$R$138,S155,0))</f>
        <v>10.665647033147431</v>
      </c>
      <c r="U155" s="144">
        <f>(IF(COUNT($D155:T155)&lt;$R$138,T155,0))</f>
        <v>10.665647033147431</v>
      </c>
      <c r="V155" s="144">
        <f>(IF(COUNT($D155:U155)&lt;$R$138,U155,0))</f>
        <v>10.665647033147431</v>
      </c>
      <c r="W155" s="144">
        <f>(IF(COUNT($D155:V155)&lt;$R$138,V155,0))</f>
        <v>10.665647033147431</v>
      </c>
      <c r="X155" s="144">
        <f>(IF(COUNT($D155:W155)&lt;$R$138,W155,0))</f>
        <v>10.665647033147431</v>
      </c>
      <c r="Y155" s="144">
        <f>(IF(COUNT($D155:X155)&lt;$R$138,X155,0))</f>
        <v>10.665647033147431</v>
      </c>
      <c r="Z155" s="144">
        <f>(IF(COUNT($D155:Y155)&lt;$R$138,Y155,0))</f>
        <v>10.665647033147431</v>
      </c>
      <c r="AA155" s="144">
        <f>(IF(COUNT($D155:Z155)&lt;$R$138,Z155,0))</f>
        <v>10.665647033147431</v>
      </c>
      <c r="AB155" s="144">
        <f>(IF(COUNT($D155:AA155)&lt;$R$138,AA155,0))</f>
        <v>10.665647033147431</v>
      </c>
      <c r="AC155" s="144">
        <f>(IF(COUNT($D155:AB155)&lt;$R$138,AB155,0))</f>
        <v>10.665647033147431</v>
      </c>
      <c r="AD155" s="144"/>
    </row>
    <row r="156" spans="1:30" ht="11.45" customHeight="1" outlineLevel="1" x14ac:dyDescent="0.2">
      <c r="A156" s="46"/>
      <c r="B156" s="114">
        <f t="shared" si="110"/>
        <v>2006</v>
      </c>
      <c r="C156" s="144"/>
      <c r="D156" s="144"/>
      <c r="E156" s="144"/>
      <c r="F156" s="144"/>
      <c r="G156" s="144"/>
      <c r="H156" s="144"/>
      <c r="I156" s="144"/>
      <c r="J156" s="144"/>
      <c r="K156" s="144"/>
      <c r="L156" s="144"/>
      <c r="M156" s="144"/>
      <c r="N156" s="144"/>
      <c r="O156" s="144"/>
      <c r="P156" s="144"/>
      <c r="Q156" s="144"/>
      <c r="R156" s="144"/>
      <c r="S156" s="144">
        <f>S$17/S$138</f>
        <v>12.875351410685299</v>
      </c>
      <c r="T156" s="144">
        <f>(IF(COUNT($D156:S156)&lt;$S$138,S156,0))</f>
        <v>12.875351410685299</v>
      </c>
      <c r="U156" s="144">
        <f>(IF(COUNT($D156:T156)&lt;$S$138,T156,0))</f>
        <v>12.875351410685299</v>
      </c>
      <c r="V156" s="144">
        <f>(IF(COUNT($D156:U156)&lt;$S$138,U156,0))</f>
        <v>12.875351410685299</v>
      </c>
      <c r="W156" s="144">
        <f>(IF(COUNT($D156:V156)&lt;$S$138,V156,0))</f>
        <v>12.875351410685299</v>
      </c>
      <c r="X156" s="144">
        <f>(IF(COUNT($D156:W156)&lt;$S$138,W156,0))</f>
        <v>12.875351410685299</v>
      </c>
      <c r="Y156" s="144">
        <f>(IF(COUNT($D156:X156)&lt;$S$138,X156,0))</f>
        <v>12.875351410685299</v>
      </c>
      <c r="Z156" s="144">
        <f>(IF(COUNT($D156:Y156)&lt;$S$138,Y156,0))</f>
        <v>12.875351410685299</v>
      </c>
      <c r="AA156" s="144">
        <f>(IF(COUNT($D156:Z156)&lt;$S$138,Z156,0))</f>
        <v>12.875351410685299</v>
      </c>
      <c r="AB156" s="144">
        <f>(IF(COUNT($D156:AA156)&lt;$S$138,AA156,0))</f>
        <v>12.875351410685299</v>
      </c>
      <c r="AC156" s="144">
        <f>(IF(COUNT($D156:AB156)&lt;$S$138,AB156,0))</f>
        <v>12.875351410685299</v>
      </c>
      <c r="AD156" s="144"/>
    </row>
    <row r="157" spans="1:30" ht="11.45" customHeight="1" outlineLevel="1" x14ac:dyDescent="0.2">
      <c r="A157" s="46"/>
      <c r="B157" s="114">
        <f t="shared" si="110"/>
        <v>2007</v>
      </c>
      <c r="C157" s="144"/>
      <c r="D157" s="144"/>
      <c r="E157" s="144"/>
      <c r="F157" s="144"/>
      <c r="G157" s="144"/>
      <c r="H157" s="144"/>
      <c r="I157" s="144"/>
      <c r="J157" s="144"/>
      <c r="K157" s="144"/>
      <c r="L157" s="144"/>
      <c r="M157" s="144"/>
      <c r="N157" s="144"/>
      <c r="O157" s="144"/>
      <c r="P157" s="144"/>
      <c r="Q157" s="144"/>
      <c r="R157" s="144"/>
      <c r="S157" s="144"/>
      <c r="T157" s="144">
        <f>T$17/T$138</f>
        <v>1.4237156801045823</v>
      </c>
      <c r="U157" s="144">
        <f>(IF(COUNT($D157:T157)&lt;$T$138,T157,0))</f>
        <v>1.4237156801045823</v>
      </c>
      <c r="V157" s="144">
        <f>(IF(COUNT($D157:U157)&lt;$T$138,U157,0))</f>
        <v>1.4237156801045823</v>
      </c>
      <c r="W157" s="144">
        <f>(IF(COUNT($D157:V157)&lt;$T$138,V157,0))</f>
        <v>1.4237156801045823</v>
      </c>
      <c r="X157" s="144">
        <f>(IF(COUNT($D157:W157)&lt;$T$138,W157,0))</f>
        <v>1.4237156801045823</v>
      </c>
      <c r="Y157" s="144">
        <f>(IF(COUNT($D157:X157)&lt;$T$138,X157,0))</f>
        <v>1.4237156801045823</v>
      </c>
      <c r="Z157" s="144">
        <f>(IF(COUNT($D157:Y157)&lt;$T$138,Y157,0))</f>
        <v>1.4237156801045823</v>
      </c>
      <c r="AA157" s="144">
        <f>(IF(COUNT($D157:Z157)&lt;$T$138,Z157,0))</f>
        <v>1.4237156801045823</v>
      </c>
      <c r="AB157" s="144">
        <f>(IF(COUNT($D157:AA157)&lt;$T$138,AA157,0))</f>
        <v>1.4237156801045823</v>
      </c>
      <c r="AC157" s="144">
        <f>(IF(COUNT($D157:AB157)&lt;$T$138,AB157,0))</f>
        <v>1.4237156801045823</v>
      </c>
      <c r="AD157" s="144"/>
    </row>
    <row r="158" spans="1:30" ht="11.45" customHeight="1" outlineLevel="1" x14ac:dyDescent="0.2">
      <c r="A158" s="46"/>
      <c r="B158" s="114">
        <f t="shared" si="110"/>
        <v>2008</v>
      </c>
      <c r="C158" s="144"/>
      <c r="D158" s="144"/>
      <c r="E158" s="144"/>
      <c r="F158" s="144"/>
      <c r="G158" s="144"/>
      <c r="H158" s="144"/>
      <c r="I158" s="144"/>
      <c r="J158" s="144"/>
      <c r="K158" s="144"/>
      <c r="L158" s="144"/>
      <c r="M158" s="144"/>
      <c r="N158" s="144"/>
      <c r="O158" s="144"/>
      <c r="P158" s="144"/>
      <c r="Q158" s="144"/>
      <c r="R158" s="144"/>
      <c r="S158" s="144"/>
      <c r="T158" s="144"/>
      <c r="U158" s="144">
        <f>U$17/U$138</f>
        <v>9.8544407459031795</v>
      </c>
      <c r="V158" s="144">
        <f>(IF(COUNT($D158:U158)&lt;$U$138,U158,0))</f>
        <v>9.8544407459031795</v>
      </c>
      <c r="W158" s="144">
        <f>(IF(COUNT($D158:V158)&lt;$U$138,V158,0))</f>
        <v>9.8544407459031795</v>
      </c>
      <c r="X158" s="144">
        <f>(IF(COUNT($D158:W158)&lt;$U$138,W158,0))</f>
        <v>9.8544407459031795</v>
      </c>
      <c r="Y158" s="144">
        <f>(IF(COUNT($D158:X158)&lt;$U$138,X158,0))</f>
        <v>9.8544407459031795</v>
      </c>
      <c r="Z158" s="144">
        <f>(IF(COUNT($D158:Y158)&lt;$U$138,Y158,0))</f>
        <v>9.8544407459031795</v>
      </c>
      <c r="AA158" s="144">
        <f>(IF(COUNT($D158:Z158)&lt;$U$138,Z158,0))</f>
        <v>9.8544407459031795</v>
      </c>
      <c r="AB158" s="144">
        <f>(IF(COUNT($D158:AA158)&lt;$U$138,AA158,0))</f>
        <v>9.8544407459031795</v>
      </c>
      <c r="AC158" s="144">
        <f>(IF(COUNT($D158:AB158)&lt;$U$138,AB158,0))</f>
        <v>9.8544407459031795</v>
      </c>
      <c r="AD158" s="144"/>
    </row>
    <row r="159" spans="1:30" ht="11.45" customHeight="1" outlineLevel="1" x14ac:dyDescent="0.2">
      <c r="A159" s="46"/>
      <c r="B159" s="114">
        <f t="shared" si="110"/>
        <v>2009</v>
      </c>
      <c r="C159" s="144"/>
      <c r="D159" s="144"/>
      <c r="E159" s="144"/>
      <c r="F159" s="144"/>
      <c r="G159" s="144"/>
      <c r="H159" s="144"/>
      <c r="I159" s="144"/>
      <c r="J159" s="144"/>
      <c r="K159" s="144"/>
      <c r="L159" s="144"/>
      <c r="M159" s="144"/>
      <c r="N159" s="144"/>
      <c r="O159" s="144"/>
      <c r="P159" s="144"/>
      <c r="Q159" s="144"/>
      <c r="R159" s="144"/>
      <c r="S159" s="144"/>
      <c r="T159" s="144"/>
      <c r="U159" s="144"/>
      <c r="V159" s="144">
        <f>V$17/V$138</f>
        <v>8.3304469885203449</v>
      </c>
      <c r="W159" s="144">
        <f>(IF(COUNT($D159:V159)&lt;$V$138,V159,0))</f>
        <v>8.3304469885203449</v>
      </c>
      <c r="X159" s="144">
        <f>(IF(COUNT($D159:W159)&lt;$V$138,W159,0))</f>
        <v>8.3304469885203449</v>
      </c>
      <c r="Y159" s="144">
        <f>(IF(COUNT($D159:X159)&lt;$V$138,X159,0))</f>
        <v>8.3304469885203449</v>
      </c>
      <c r="Z159" s="144">
        <f>(IF(COUNT($D159:Y159)&lt;$V$138,Y159,0))</f>
        <v>8.3304469885203449</v>
      </c>
      <c r="AA159" s="144">
        <f>(IF(COUNT($D159:Z159)&lt;$V$138,Z159,0))</f>
        <v>8.3304469885203449</v>
      </c>
      <c r="AB159" s="144">
        <f>(IF(COUNT($D159:AA159)&lt;$V$138,AA159,0))</f>
        <v>8.3304469885203449</v>
      </c>
      <c r="AC159" s="144">
        <f>(IF(COUNT($D159:AB159)&lt;$V$138,AB159,0))</f>
        <v>8.3304469885203449</v>
      </c>
      <c r="AD159" s="144"/>
    </row>
    <row r="160" spans="1:30" ht="11.45" customHeight="1" outlineLevel="1" x14ac:dyDescent="0.2">
      <c r="A160" s="46"/>
      <c r="B160" s="114">
        <f t="shared" si="110"/>
        <v>2010</v>
      </c>
      <c r="C160" s="144"/>
      <c r="D160" s="144"/>
      <c r="E160" s="144"/>
      <c r="F160" s="144"/>
      <c r="G160" s="144"/>
      <c r="H160" s="144"/>
      <c r="I160" s="144"/>
      <c r="J160" s="144"/>
      <c r="K160" s="144"/>
      <c r="L160" s="144"/>
      <c r="M160" s="144"/>
      <c r="N160" s="144"/>
      <c r="O160" s="144"/>
      <c r="P160" s="144"/>
      <c r="Q160" s="144"/>
      <c r="R160" s="144"/>
      <c r="S160" s="144"/>
      <c r="T160" s="144"/>
      <c r="U160" s="144"/>
      <c r="V160" s="144"/>
      <c r="W160" s="144">
        <f t="shared" ref="W160:AC160" si="111">W$17/W$138</f>
        <v>6.2663004251600851</v>
      </c>
      <c r="X160" s="144">
        <f t="shared" si="111"/>
        <v>1.4213111309413076</v>
      </c>
      <c r="Y160" s="144">
        <f t="shared" si="111"/>
        <v>7.2999718677719159</v>
      </c>
      <c r="Z160" s="144">
        <f t="shared" si="111"/>
        <v>5.3083429410842298</v>
      </c>
      <c r="AA160" s="144">
        <f t="shared" si="111"/>
        <v>7.7201221387871977</v>
      </c>
      <c r="AB160" s="144">
        <f t="shared" si="111"/>
        <v>7.7421230797148892</v>
      </c>
      <c r="AC160" s="144">
        <f t="shared" si="111"/>
        <v>7.7618708014171656</v>
      </c>
      <c r="AD160" s="144"/>
    </row>
    <row r="161" spans="1:30" ht="11.45" customHeight="1" outlineLevel="1" x14ac:dyDescent="0.2">
      <c r="A161" s="46"/>
      <c r="B161" s="114">
        <f t="shared" si="110"/>
        <v>2011</v>
      </c>
      <c r="C161" s="144"/>
      <c r="D161" s="144"/>
      <c r="E161" s="144"/>
      <c r="F161" s="144"/>
      <c r="G161" s="144"/>
      <c r="H161" s="144"/>
      <c r="I161" s="144"/>
      <c r="J161" s="144"/>
      <c r="K161" s="144"/>
      <c r="L161" s="144"/>
      <c r="M161" s="144"/>
      <c r="N161" s="144"/>
      <c r="O161" s="144"/>
      <c r="P161" s="144"/>
      <c r="Q161" s="144"/>
      <c r="R161" s="144"/>
      <c r="S161" s="144"/>
      <c r="T161" s="144"/>
      <c r="U161" s="144"/>
      <c r="V161" s="144"/>
      <c r="W161" s="144"/>
      <c r="X161" s="144"/>
      <c r="Y161" s="144"/>
      <c r="Z161" s="144"/>
      <c r="AA161" s="144"/>
      <c r="AB161" s="144"/>
      <c r="AC161" s="144"/>
      <c r="AD161" s="144"/>
    </row>
    <row r="162" spans="1:30" ht="11.45" customHeight="1" outlineLevel="1" x14ac:dyDescent="0.2">
      <c r="A162" s="46"/>
      <c r="B162" s="114">
        <f t="shared" si="110"/>
        <v>2012</v>
      </c>
      <c r="C162" s="144"/>
      <c r="D162" s="144"/>
      <c r="E162" s="144"/>
      <c r="F162" s="144"/>
      <c r="G162" s="144"/>
      <c r="H162" s="144"/>
      <c r="I162" s="144"/>
      <c r="J162" s="144"/>
      <c r="K162" s="144"/>
      <c r="L162" s="144"/>
      <c r="M162" s="144"/>
      <c r="N162" s="144"/>
      <c r="O162" s="144"/>
      <c r="P162" s="144"/>
      <c r="Q162" s="144"/>
      <c r="R162" s="144"/>
      <c r="S162" s="144"/>
      <c r="T162" s="144"/>
      <c r="U162" s="144"/>
      <c r="V162" s="144"/>
      <c r="W162" s="144"/>
      <c r="X162" s="144"/>
      <c r="Y162" s="144"/>
      <c r="Z162" s="144"/>
      <c r="AA162" s="144"/>
      <c r="AB162" s="144"/>
      <c r="AC162" s="144"/>
      <c r="AD162" s="144"/>
    </row>
    <row r="163" spans="1:30" ht="11.45" customHeight="1" outlineLevel="1" x14ac:dyDescent="0.2">
      <c r="A163" s="46"/>
      <c r="B163" s="114">
        <f t="shared" si="110"/>
        <v>2013</v>
      </c>
      <c r="C163" s="144"/>
      <c r="D163" s="144"/>
      <c r="E163" s="144"/>
      <c r="F163" s="144"/>
      <c r="G163" s="144"/>
      <c r="H163" s="144"/>
      <c r="I163" s="144"/>
      <c r="J163" s="144"/>
      <c r="K163" s="144"/>
      <c r="L163" s="144"/>
      <c r="M163" s="144"/>
      <c r="N163" s="144"/>
      <c r="O163" s="144"/>
      <c r="P163" s="144"/>
      <c r="Q163" s="144"/>
      <c r="R163" s="144"/>
      <c r="S163" s="144"/>
      <c r="T163" s="144"/>
      <c r="U163" s="144"/>
      <c r="V163" s="144"/>
      <c r="W163" s="144"/>
      <c r="X163" s="144"/>
      <c r="Y163" s="144"/>
      <c r="Z163" s="144"/>
      <c r="AA163" s="144"/>
      <c r="AB163" s="144"/>
      <c r="AC163" s="144"/>
      <c r="AD163" s="144"/>
    </row>
    <row r="164" spans="1:30" ht="11.45" customHeight="1" outlineLevel="1" x14ac:dyDescent="0.2">
      <c r="A164" s="46"/>
      <c r="B164" s="114">
        <f t="shared" si="110"/>
        <v>2014</v>
      </c>
      <c r="C164" s="144"/>
      <c r="D164" s="144"/>
      <c r="E164" s="144"/>
      <c r="F164" s="144"/>
      <c r="G164" s="144"/>
      <c r="H164" s="144"/>
      <c r="I164" s="144"/>
      <c r="J164" s="144"/>
      <c r="K164" s="144"/>
      <c r="L164" s="144"/>
      <c r="M164" s="144"/>
      <c r="N164" s="144"/>
      <c r="O164" s="144"/>
      <c r="P164" s="144"/>
      <c r="Q164" s="144"/>
      <c r="R164" s="144"/>
      <c r="S164" s="144"/>
      <c r="T164" s="144"/>
      <c r="U164" s="144"/>
      <c r="V164" s="144"/>
      <c r="W164" s="144"/>
      <c r="X164" s="144"/>
      <c r="Y164" s="144"/>
      <c r="Z164" s="144"/>
      <c r="AA164" s="144"/>
      <c r="AB164" s="144"/>
      <c r="AC164" s="144"/>
      <c r="AD164" s="144"/>
    </row>
    <row r="165" spans="1:30" ht="11.45" customHeight="1" outlineLevel="1" x14ac:dyDescent="0.2">
      <c r="A165" s="46"/>
      <c r="B165" s="114">
        <f t="shared" si="110"/>
        <v>2015</v>
      </c>
      <c r="C165" s="144"/>
      <c r="D165" s="144"/>
      <c r="E165" s="144"/>
      <c r="F165" s="144"/>
      <c r="G165" s="144"/>
      <c r="H165" s="144"/>
      <c r="I165" s="144"/>
      <c r="J165" s="144"/>
      <c r="K165" s="144"/>
      <c r="L165" s="144"/>
      <c r="M165" s="144"/>
      <c r="N165" s="144"/>
      <c r="O165" s="144"/>
      <c r="P165" s="144"/>
      <c r="Q165" s="144"/>
      <c r="R165" s="144"/>
      <c r="S165" s="144"/>
      <c r="T165" s="144"/>
      <c r="U165" s="144"/>
      <c r="V165" s="144"/>
      <c r="W165" s="144"/>
      <c r="X165" s="144"/>
      <c r="Y165" s="144"/>
      <c r="Z165" s="144"/>
      <c r="AA165" s="144"/>
      <c r="AB165" s="144"/>
      <c r="AC165" s="144"/>
      <c r="AD165" s="144"/>
    </row>
    <row r="166" spans="1:30" ht="11.45" customHeight="1" outlineLevel="1" x14ac:dyDescent="0.2">
      <c r="A166" s="145"/>
      <c r="B166" s="114">
        <f t="shared" si="110"/>
        <v>2016</v>
      </c>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row>
    <row r="167" spans="1:30" ht="11.45" customHeight="1" outlineLevel="1" x14ac:dyDescent="0.2">
      <c r="A167" s="46"/>
      <c r="B167" s="114">
        <f t="shared" si="110"/>
        <v>2017</v>
      </c>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row>
    <row r="168" spans="1:30" ht="11.45" customHeight="1" outlineLevel="1" x14ac:dyDescent="0.2">
      <c r="A168" s="46"/>
      <c r="B168" s="114">
        <f t="shared" si="110"/>
        <v>2018</v>
      </c>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row>
    <row r="169" spans="1:30" ht="11.45" customHeight="1" outlineLevel="1" x14ac:dyDescent="0.2">
      <c r="A169" s="46"/>
      <c r="B169" s="114">
        <f t="shared" si="110"/>
        <v>2019</v>
      </c>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row>
    <row r="170" spans="1:30" ht="11.45" customHeight="1" outlineLevel="1" x14ac:dyDescent="0.2">
      <c r="A170" s="46"/>
      <c r="B170" s="147"/>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row>
    <row r="171" spans="1:30" ht="11.45" customHeight="1" outlineLevel="1" x14ac:dyDescent="0.2">
      <c r="A171" s="46"/>
      <c r="B171" s="114"/>
      <c r="C171" s="148">
        <f t="shared" ref="C171:W171" si="112">SUM(C140:C169)</f>
        <v>140.0605025817037</v>
      </c>
      <c r="D171" s="148">
        <f t="shared" si="112"/>
        <v>124.87861648985678</v>
      </c>
      <c r="E171" s="148">
        <f t="shared" si="112"/>
        <v>114.76658694134991</v>
      </c>
      <c r="F171" s="148">
        <f t="shared" si="112"/>
        <v>101.73880189245419</v>
      </c>
      <c r="G171" s="148">
        <f t="shared" si="112"/>
        <v>111.94037390268106</v>
      </c>
      <c r="H171" s="148">
        <f t="shared" si="112"/>
        <v>102.89135502298527</v>
      </c>
      <c r="I171" s="148">
        <f t="shared" si="112"/>
        <v>103.0666402788145</v>
      </c>
      <c r="J171" s="148">
        <f t="shared" si="112"/>
        <v>99.966072107605612</v>
      </c>
      <c r="K171" s="148">
        <f t="shared" si="112"/>
        <v>97.021329347639465</v>
      </c>
      <c r="L171" s="148">
        <f t="shared" si="112"/>
        <v>97.968075925033091</v>
      </c>
      <c r="M171" s="148">
        <f t="shared" si="112"/>
        <v>111.66722836694024</v>
      </c>
      <c r="N171" s="148">
        <f t="shared" si="112"/>
        <v>98.36328696852523</v>
      </c>
      <c r="O171" s="148">
        <f t="shared" si="112"/>
        <v>100.27635820167464</v>
      </c>
      <c r="P171" s="148">
        <f t="shared" si="112"/>
        <v>101.17691422534723</v>
      </c>
      <c r="Q171" s="148">
        <f t="shared" si="112"/>
        <v>96.987924219948084</v>
      </c>
      <c r="R171" s="148">
        <f t="shared" si="112"/>
        <v>104.28738856342076</v>
      </c>
      <c r="S171" s="148">
        <f t="shared" si="112"/>
        <v>112.74058811356737</v>
      </c>
      <c r="T171" s="148">
        <f t="shared" si="112"/>
        <v>105.84166813663097</v>
      </c>
      <c r="U171" s="148">
        <f t="shared" si="112"/>
        <v>98.211780303056187</v>
      </c>
      <c r="V171" s="148">
        <f t="shared" si="112"/>
        <v>106.54222729157654</v>
      </c>
      <c r="W171" s="148">
        <f t="shared" si="112"/>
        <v>112.80852771673662</v>
      </c>
      <c r="X171" s="148">
        <f t="shared" ref="X171:AC171" si="113">SUM(X140:X169)</f>
        <v>107.96353842251784</v>
      </c>
      <c r="Y171" s="148">
        <f t="shared" si="113"/>
        <v>113.84219915934845</v>
      </c>
      <c r="Z171" s="148">
        <f t="shared" si="113"/>
        <v>111.85057023266077</v>
      </c>
      <c r="AA171" s="148">
        <f t="shared" si="113"/>
        <v>114.26234943036374</v>
      </c>
      <c r="AB171" s="148">
        <f t="shared" si="113"/>
        <v>114.28435037129142</v>
      </c>
      <c r="AC171" s="148">
        <f t="shared" si="113"/>
        <v>86.561939829461835</v>
      </c>
      <c r="AD171" s="149"/>
    </row>
    <row r="172" spans="1:30" x14ac:dyDescent="0.2">
      <c r="A172" s="17"/>
      <c r="B172" s="150" t="s">
        <v>513</v>
      </c>
      <c r="C172" s="20"/>
      <c r="D172" s="20"/>
      <c r="E172" s="20"/>
      <c r="F172" s="20"/>
      <c r="G172" s="20"/>
      <c r="H172" s="20"/>
      <c r="I172" s="20"/>
      <c r="J172" s="20"/>
      <c r="K172" s="20"/>
      <c r="L172" s="20"/>
      <c r="M172" s="20"/>
      <c r="N172" s="20"/>
      <c r="O172" s="20"/>
      <c r="P172" s="20"/>
      <c r="Q172" s="20"/>
      <c r="R172" s="20"/>
      <c r="S172" s="20"/>
      <c r="T172" s="20"/>
      <c r="U172" s="20"/>
      <c r="V172" s="20"/>
      <c r="W172" s="20"/>
      <c r="X172" s="20"/>
      <c r="Y172" s="20"/>
      <c r="Z172" s="20"/>
      <c r="AA172" s="20"/>
      <c r="AB172" s="20"/>
      <c r="AC172" s="20"/>
      <c r="AD172" s="20"/>
    </row>
    <row r="173" spans="1:30" x14ac:dyDescent="0.2">
      <c r="A173" s="17"/>
      <c r="B173" s="151"/>
      <c r="C173" s="20"/>
      <c r="D173" s="20"/>
      <c r="E173" s="20"/>
      <c r="F173" s="20"/>
      <c r="G173" s="20"/>
      <c r="H173" s="20"/>
      <c r="I173" s="20"/>
      <c r="J173" s="20"/>
      <c r="K173" s="20"/>
      <c r="L173" s="20"/>
      <c r="M173" s="20"/>
      <c r="N173" s="20"/>
      <c r="O173" s="20"/>
      <c r="P173" s="20"/>
      <c r="Q173" s="20"/>
      <c r="R173" s="20"/>
      <c r="S173" s="20"/>
      <c r="T173" s="20"/>
      <c r="U173" s="20"/>
      <c r="V173" s="20"/>
      <c r="W173" s="20"/>
      <c r="X173" s="20"/>
      <c r="Y173" s="20"/>
      <c r="Z173" s="20"/>
      <c r="AA173" s="20"/>
      <c r="AB173" s="20"/>
      <c r="AC173" s="20"/>
      <c r="AD173" s="20"/>
    </row>
    <row r="174" spans="1:30" x14ac:dyDescent="0.2">
      <c r="A174" s="17"/>
      <c r="B174" s="114"/>
      <c r="C174" s="20"/>
      <c r="D174" s="20"/>
      <c r="E174" s="20"/>
      <c r="F174" s="20"/>
      <c r="G174" s="20"/>
      <c r="H174" s="20"/>
      <c r="I174" s="20"/>
      <c r="J174" s="20"/>
      <c r="K174" s="20"/>
      <c r="L174" s="20"/>
      <c r="M174" s="20"/>
      <c r="N174" s="20"/>
      <c r="O174" s="20"/>
      <c r="P174" s="20"/>
      <c r="Q174" s="20"/>
      <c r="R174" s="20"/>
      <c r="S174" s="20"/>
      <c r="T174" s="20"/>
      <c r="U174" s="20"/>
      <c r="V174" s="20"/>
      <c r="W174" s="20"/>
      <c r="X174" s="20"/>
      <c r="Y174" s="20"/>
      <c r="Z174" s="20"/>
      <c r="AA174" s="20"/>
      <c r="AB174" s="20"/>
      <c r="AC174" s="20"/>
      <c r="AD174" s="20"/>
    </row>
    <row r="175" spans="1:30" x14ac:dyDescent="0.2">
      <c r="A175" s="17"/>
      <c r="B175" s="114"/>
      <c r="C175" s="20"/>
      <c r="D175" s="20"/>
      <c r="E175" s="20"/>
      <c r="F175" s="20"/>
      <c r="G175" s="20"/>
      <c r="H175" s="20"/>
      <c r="I175" s="20"/>
      <c r="J175" s="20"/>
      <c r="K175" s="20"/>
      <c r="L175" s="20"/>
      <c r="M175" s="20"/>
      <c r="N175" s="20"/>
      <c r="O175" s="20"/>
      <c r="P175" s="20"/>
      <c r="Q175" s="20"/>
      <c r="R175" s="20"/>
      <c r="S175" s="20"/>
      <c r="T175" s="20"/>
      <c r="U175" s="20"/>
      <c r="V175" s="20"/>
      <c r="W175" s="20"/>
      <c r="X175" s="20"/>
      <c r="Y175" s="20"/>
      <c r="Z175" s="20"/>
      <c r="AA175" s="20"/>
      <c r="AB175" s="20"/>
      <c r="AC175" s="20"/>
      <c r="AD175" s="20"/>
    </row>
    <row r="176" spans="1:30" x14ac:dyDescent="0.2">
      <c r="A176" s="17"/>
      <c r="B176" s="114"/>
      <c r="C176" s="20"/>
      <c r="D176" s="20"/>
      <c r="E176" s="20"/>
      <c r="F176" s="20"/>
      <c r="G176" s="20"/>
      <c r="H176" s="20"/>
      <c r="I176" s="20"/>
      <c r="J176" s="20"/>
      <c r="K176" s="20"/>
      <c r="L176" s="20"/>
      <c r="M176" s="20"/>
      <c r="N176" s="20"/>
      <c r="O176" s="20"/>
      <c r="P176" s="20"/>
      <c r="Q176" s="20"/>
      <c r="R176" s="20"/>
      <c r="S176" s="20"/>
      <c r="T176" s="20"/>
      <c r="U176" s="20"/>
      <c r="V176" s="20"/>
      <c r="W176" s="20"/>
      <c r="X176" s="20"/>
      <c r="Y176" s="20"/>
      <c r="Z176" s="20"/>
      <c r="AA176" s="20"/>
      <c r="AB176" s="20"/>
      <c r="AC176" s="20"/>
      <c r="AD176" s="20"/>
    </row>
    <row r="177" spans="1:30" x14ac:dyDescent="0.2">
      <c r="A177" s="17"/>
      <c r="B177" s="17"/>
      <c r="C177" s="20"/>
      <c r="D177" s="20"/>
      <c r="E177" s="20"/>
      <c r="F177" s="20"/>
      <c r="G177" s="20"/>
      <c r="H177" s="20"/>
      <c r="I177" s="20"/>
      <c r="J177" s="20"/>
      <c r="K177" s="20"/>
      <c r="L177" s="20"/>
      <c r="M177" s="20"/>
      <c r="N177" s="20"/>
      <c r="O177" s="20"/>
      <c r="P177" s="20"/>
      <c r="Q177" s="20"/>
      <c r="R177" s="20"/>
      <c r="S177" s="20"/>
      <c r="T177" s="20"/>
      <c r="U177" s="20"/>
      <c r="V177" s="20"/>
      <c r="W177" s="20"/>
      <c r="X177" s="20"/>
      <c r="Y177" s="20"/>
      <c r="Z177" s="20"/>
      <c r="AA177" s="20"/>
      <c r="AB177" s="20"/>
      <c r="AC177" s="20"/>
      <c r="AD177" s="20"/>
    </row>
    <row r="178" spans="1:30" x14ac:dyDescent="0.2">
      <c r="A178" s="17"/>
      <c r="B178" s="17"/>
      <c r="C178" s="20"/>
      <c r="D178" s="20"/>
      <c r="E178" s="20"/>
      <c r="F178" s="20"/>
      <c r="G178" s="20"/>
      <c r="H178" s="20"/>
      <c r="I178" s="20"/>
      <c r="J178" s="20"/>
      <c r="K178" s="20"/>
      <c r="L178" s="20"/>
      <c r="M178" s="20"/>
      <c r="N178" s="20"/>
      <c r="O178" s="20"/>
      <c r="P178" s="20"/>
      <c r="Q178" s="20"/>
      <c r="R178" s="20"/>
      <c r="S178" s="20"/>
      <c r="T178" s="20"/>
      <c r="U178" s="20"/>
      <c r="V178" s="20"/>
      <c r="W178" s="20"/>
      <c r="X178" s="20"/>
      <c r="Y178" s="20"/>
      <c r="Z178" s="20"/>
      <c r="AA178" s="20"/>
      <c r="AB178" s="20"/>
      <c r="AC178" s="20"/>
      <c r="AD178" s="20"/>
    </row>
    <row r="179" spans="1:30" x14ac:dyDescent="0.2">
      <c r="A179" s="17"/>
      <c r="B179" s="17"/>
      <c r="C179" s="20"/>
      <c r="D179" s="20"/>
      <c r="E179" s="20"/>
      <c r="F179" s="20"/>
      <c r="G179" s="20"/>
      <c r="H179" s="20"/>
      <c r="I179" s="20"/>
      <c r="J179" s="20"/>
      <c r="K179" s="20"/>
      <c r="L179" s="20"/>
      <c r="M179" s="20"/>
      <c r="N179" s="20"/>
      <c r="O179" s="20"/>
      <c r="P179" s="20"/>
      <c r="Q179" s="20"/>
      <c r="R179" s="20"/>
      <c r="S179" s="20"/>
      <c r="T179" s="20"/>
      <c r="U179" s="20"/>
      <c r="V179" s="20"/>
      <c r="W179" s="20"/>
      <c r="X179" s="20"/>
      <c r="Y179" s="20"/>
      <c r="Z179" s="20"/>
      <c r="AA179" s="20"/>
      <c r="AB179" s="20"/>
      <c r="AC179" s="20"/>
      <c r="AD179" s="20"/>
    </row>
    <row r="180" spans="1:30" x14ac:dyDescent="0.2">
      <c r="A180" s="17"/>
      <c r="B180" s="17"/>
      <c r="C180" s="20"/>
      <c r="D180" s="20"/>
      <c r="E180" s="20"/>
      <c r="F180" s="20"/>
      <c r="G180" s="20"/>
      <c r="H180" s="20"/>
      <c r="I180" s="20"/>
      <c r="J180" s="20"/>
      <c r="K180" s="20"/>
      <c r="L180" s="20"/>
      <c r="M180" s="20"/>
      <c r="N180" s="20"/>
      <c r="O180" s="20"/>
      <c r="P180" s="20"/>
      <c r="Q180" s="20"/>
      <c r="R180" s="20"/>
      <c r="S180" s="20"/>
      <c r="T180" s="20"/>
      <c r="U180" s="20"/>
      <c r="V180" s="20"/>
      <c r="W180" s="20"/>
      <c r="X180" s="20"/>
      <c r="Y180" s="20"/>
      <c r="Z180" s="20"/>
      <c r="AA180" s="20"/>
      <c r="AB180" s="20"/>
      <c r="AC180" s="20"/>
      <c r="AD180" s="20"/>
    </row>
    <row r="181" spans="1:30" customFormat="1" x14ac:dyDescent="0.2"/>
    <row r="189" spans="1:30" x14ac:dyDescent="0.2">
      <c r="I189" s="16" t="s">
        <v>694</v>
      </c>
      <c r="J189" s="16" t="s">
        <v>694</v>
      </c>
      <c r="K189" s="16" t="s">
        <v>694</v>
      </c>
      <c r="L189" s="16" t="s">
        <v>694</v>
      </c>
      <c r="M189" s="16" t="s">
        <v>694</v>
      </c>
      <c r="N189" s="16" t="s">
        <v>694</v>
      </c>
      <c r="O189" s="16" t="s">
        <v>694</v>
      </c>
      <c r="P189" s="16" t="s">
        <v>694</v>
      </c>
      <c r="Q189" s="16" t="s">
        <v>694</v>
      </c>
      <c r="R189" s="16" t="s">
        <v>694</v>
      </c>
      <c r="S189" s="16" t="s">
        <v>694</v>
      </c>
      <c r="T189" s="16" t="s">
        <v>694</v>
      </c>
      <c r="U189" s="16" t="s">
        <v>694</v>
      </c>
      <c r="V189" s="16" t="s">
        <v>694</v>
      </c>
      <c r="W189" s="16" t="s">
        <v>694</v>
      </c>
      <c r="X189" s="16" t="s">
        <v>694</v>
      </c>
      <c r="Y189" s="16" t="s">
        <v>694</v>
      </c>
      <c r="Z189" s="16" t="s">
        <v>694</v>
      </c>
      <c r="AA189" s="16" t="s">
        <v>694</v>
      </c>
      <c r="AB189" s="16" t="s">
        <v>694</v>
      </c>
      <c r="AC189" s="16" t="s">
        <v>694</v>
      </c>
    </row>
    <row r="190" spans="1:30" x14ac:dyDescent="0.2">
      <c r="I190" s="16" t="s">
        <v>694</v>
      </c>
      <c r="J190" s="16" t="s">
        <v>694</v>
      </c>
      <c r="K190" s="16" t="s">
        <v>694</v>
      </c>
      <c r="L190" s="16" t="s">
        <v>694</v>
      </c>
      <c r="M190" s="16" t="s">
        <v>694</v>
      </c>
      <c r="N190" s="16" t="s">
        <v>694</v>
      </c>
      <c r="O190" s="16" t="s">
        <v>694</v>
      </c>
      <c r="P190" s="16" t="s">
        <v>694</v>
      </c>
      <c r="Q190" s="16" t="s">
        <v>694</v>
      </c>
      <c r="R190" s="16" t="s">
        <v>694</v>
      </c>
      <c r="S190" s="16" t="s">
        <v>694</v>
      </c>
      <c r="T190" s="16" t="s">
        <v>694</v>
      </c>
      <c r="U190" s="16" t="s">
        <v>694</v>
      </c>
      <c r="V190" s="16" t="s">
        <v>694</v>
      </c>
      <c r="W190" s="16" t="s">
        <v>694</v>
      </c>
      <c r="X190" s="16" t="s">
        <v>694</v>
      </c>
      <c r="Y190" s="16" t="s">
        <v>694</v>
      </c>
      <c r="Z190" s="16" t="s">
        <v>694</v>
      </c>
      <c r="AA190" s="16" t="s">
        <v>694</v>
      </c>
      <c r="AB190" s="16" t="s">
        <v>694</v>
      </c>
      <c r="AC190" s="16" t="s">
        <v>694</v>
      </c>
    </row>
    <row r="191" spans="1:30" x14ac:dyDescent="0.2">
      <c r="I191" s="16" t="s">
        <v>694</v>
      </c>
      <c r="J191" s="16" t="s">
        <v>694</v>
      </c>
      <c r="K191" s="16" t="s">
        <v>694</v>
      </c>
      <c r="L191" s="16" t="s">
        <v>694</v>
      </c>
      <c r="M191" s="16" t="s">
        <v>694</v>
      </c>
      <c r="N191" s="16" t="s">
        <v>694</v>
      </c>
      <c r="O191" s="16" t="s">
        <v>694</v>
      </c>
      <c r="P191" s="16" t="s">
        <v>694</v>
      </c>
      <c r="Q191" s="16" t="s">
        <v>694</v>
      </c>
      <c r="R191" s="16" t="s">
        <v>694</v>
      </c>
      <c r="S191" s="16" t="s">
        <v>694</v>
      </c>
      <c r="T191" s="16" t="s">
        <v>694</v>
      </c>
      <c r="U191" s="16" t="s">
        <v>694</v>
      </c>
      <c r="V191" s="16" t="s">
        <v>694</v>
      </c>
      <c r="W191" s="16" t="s">
        <v>694</v>
      </c>
      <c r="X191" s="16" t="s">
        <v>694</v>
      </c>
      <c r="Y191" s="16" t="s">
        <v>694</v>
      </c>
      <c r="Z191" s="16" t="s">
        <v>694</v>
      </c>
      <c r="AA191" s="16" t="s">
        <v>694</v>
      </c>
      <c r="AB191" s="16" t="s">
        <v>694</v>
      </c>
      <c r="AC191" s="16" t="s">
        <v>694</v>
      </c>
    </row>
  </sheetData>
  <phoneticPr fontId="10" type="noConversion"/>
  <pageMargins left="0.25" right="0.25" top="0.25" bottom="0.5" header="0.25" footer="0.25"/>
  <pageSetup paperSize="5" scale="80" orientation="landscape" horizontalDpi="300" verticalDpi="300" r:id="rId1"/>
  <headerFooter alignWithMargins="0">
    <oddFooter>&amp;L&amp;"Arial,Bold"&amp;8Morgan Stanley: Confidential - FOR DISCUSSION PURPOSES ONLY
&amp;R&amp;8Printed on &amp;D - Page &amp;P of &amp;N</oddFooter>
  </headerFooter>
  <rowBreaks count="2" manualBreakCount="2">
    <brk id="34" max="16383" man="1"/>
    <brk id="99" max="16383" man="1"/>
  </rowBreaks>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43"/>
  <sheetViews>
    <sheetView workbookViewId="0">
      <selection activeCell="B42" sqref="B42"/>
    </sheetView>
  </sheetViews>
  <sheetFormatPr defaultRowHeight="12.75" x14ac:dyDescent="0.2"/>
  <cols>
    <col min="1" max="1" width="29.5703125" style="1466" bestFit="1" customWidth="1"/>
    <col min="2" max="2" width="19.85546875" style="1541" customWidth="1"/>
    <col min="3" max="3" width="12" style="1466" bestFit="1" customWidth="1"/>
    <col min="4" max="256" width="9.140625" style="1466"/>
    <col min="257" max="257" width="29.5703125" style="1466" bestFit="1" customWidth="1"/>
    <col min="258" max="258" width="19.85546875" style="1466" customWidth="1"/>
    <col min="259" max="259" width="12" style="1466" bestFit="1" customWidth="1"/>
    <col min="260" max="512" width="9.140625" style="1466"/>
    <col min="513" max="513" width="29.5703125" style="1466" bestFit="1" customWidth="1"/>
    <col min="514" max="514" width="19.85546875" style="1466" customWidth="1"/>
    <col min="515" max="515" width="12" style="1466" bestFit="1" customWidth="1"/>
    <col min="516" max="768" width="9.140625" style="1466"/>
    <col min="769" max="769" width="29.5703125" style="1466" bestFit="1" customWidth="1"/>
    <col min="770" max="770" width="19.85546875" style="1466" customWidth="1"/>
    <col min="771" max="771" width="12" style="1466" bestFit="1" customWidth="1"/>
    <col min="772" max="1024" width="9.140625" style="1466"/>
    <col min="1025" max="1025" width="29.5703125" style="1466" bestFit="1" customWidth="1"/>
    <col min="1026" max="1026" width="19.85546875" style="1466" customWidth="1"/>
    <col min="1027" max="1027" width="12" style="1466" bestFit="1" customWidth="1"/>
    <col min="1028" max="1280" width="9.140625" style="1466"/>
    <col min="1281" max="1281" width="29.5703125" style="1466" bestFit="1" customWidth="1"/>
    <col min="1282" max="1282" width="19.85546875" style="1466" customWidth="1"/>
    <col min="1283" max="1283" width="12" style="1466" bestFit="1" customWidth="1"/>
    <col min="1284" max="1536" width="9.140625" style="1466"/>
    <col min="1537" max="1537" width="29.5703125" style="1466" bestFit="1" customWidth="1"/>
    <col min="1538" max="1538" width="19.85546875" style="1466" customWidth="1"/>
    <col min="1539" max="1539" width="12" style="1466" bestFit="1" customWidth="1"/>
    <col min="1540" max="1792" width="9.140625" style="1466"/>
    <col min="1793" max="1793" width="29.5703125" style="1466" bestFit="1" customWidth="1"/>
    <col min="1794" max="1794" width="19.85546875" style="1466" customWidth="1"/>
    <col min="1795" max="1795" width="12" style="1466" bestFit="1" customWidth="1"/>
    <col min="1796" max="2048" width="9.140625" style="1466"/>
    <col min="2049" max="2049" width="29.5703125" style="1466" bestFit="1" customWidth="1"/>
    <col min="2050" max="2050" width="19.85546875" style="1466" customWidth="1"/>
    <col min="2051" max="2051" width="12" style="1466" bestFit="1" customWidth="1"/>
    <col min="2052" max="2304" width="9.140625" style="1466"/>
    <col min="2305" max="2305" width="29.5703125" style="1466" bestFit="1" customWidth="1"/>
    <col min="2306" max="2306" width="19.85546875" style="1466" customWidth="1"/>
    <col min="2307" max="2307" width="12" style="1466" bestFit="1" customWidth="1"/>
    <col min="2308" max="2560" width="9.140625" style="1466"/>
    <col min="2561" max="2561" width="29.5703125" style="1466" bestFit="1" customWidth="1"/>
    <col min="2562" max="2562" width="19.85546875" style="1466" customWidth="1"/>
    <col min="2563" max="2563" width="12" style="1466" bestFit="1" customWidth="1"/>
    <col min="2564" max="2816" width="9.140625" style="1466"/>
    <col min="2817" max="2817" width="29.5703125" style="1466" bestFit="1" customWidth="1"/>
    <col min="2818" max="2818" width="19.85546875" style="1466" customWidth="1"/>
    <col min="2819" max="2819" width="12" style="1466" bestFit="1" customWidth="1"/>
    <col min="2820" max="3072" width="9.140625" style="1466"/>
    <col min="3073" max="3073" width="29.5703125" style="1466" bestFit="1" customWidth="1"/>
    <col min="3074" max="3074" width="19.85546875" style="1466" customWidth="1"/>
    <col min="3075" max="3075" width="12" style="1466" bestFit="1" customWidth="1"/>
    <col min="3076" max="3328" width="9.140625" style="1466"/>
    <col min="3329" max="3329" width="29.5703125" style="1466" bestFit="1" customWidth="1"/>
    <col min="3330" max="3330" width="19.85546875" style="1466" customWidth="1"/>
    <col min="3331" max="3331" width="12" style="1466" bestFit="1" customWidth="1"/>
    <col min="3332" max="3584" width="9.140625" style="1466"/>
    <col min="3585" max="3585" width="29.5703125" style="1466" bestFit="1" customWidth="1"/>
    <col min="3586" max="3586" width="19.85546875" style="1466" customWidth="1"/>
    <col min="3587" max="3587" width="12" style="1466" bestFit="1" customWidth="1"/>
    <col min="3588" max="3840" width="9.140625" style="1466"/>
    <col min="3841" max="3841" width="29.5703125" style="1466" bestFit="1" customWidth="1"/>
    <col min="3842" max="3842" width="19.85546875" style="1466" customWidth="1"/>
    <col min="3843" max="3843" width="12" style="1466" bestFit="1" customWidth="1"/>
    <col min="3844" max="4096" width="9.140625" style="1466"/>
    <col min="4097" max="4097" width="29.5703125" style="1466" bestFit="1" customWidth="1"/>
    <col min="4098" max="4098" width="19.85546875" style="1466" customWidth="1"/>
    <col min="4099" max="4099" width="12" style="1466" bestFit="1" customWidth="1"/>
    <col min="4100" max="4352" width="9.140625" style="1466"/>
    <col min="4353" max="4353" width="29.5703125" style="1466" bestFit="1" customWidth="1"/>
    <col min="4354" max="4354" width="19.85546875" style="1466" customWidth="1"/>
    <col min="4355" max="4355" width="12" style="1466" bestFit="1" customWidth="1"/>
    <col min="4356" max="4608" width="9.140625" style="1466"/>
    <col min="4609" max="4609" width="29.5703125" style="1466" bestFit="1" customWidth="1"/>
    <col min="4610" max="4610" width="19.85546875" style="1466" customWidth="1"/>
    <col min="4611" max="4611" width="12" style="1466" bestFit="1" customWidth="1"/>
    <col min="4612" max="4864" width="9.140625" style="1466"/>
    <col min="4865" max="4865" width="29.5703125" style="1466" bestFit="1" customWidth="1"/>
    <col min="4866" max="4866" width="19.85546875" style="1466" customWidth="1"/>
    <col min="4867" max="4867" width="12" style="1466" bestFit="1" customWidth="1"/>
    <col min="4868" max="5120" width="9.140625" style="1466"/>
    <col min="5121" max="5121" width="29.5703125" style="1466" bestFit="1" customWidth="1"/>
    <col min="5122" max="5122" width="19.85546875" style="1466" customWidth="1"/>
    <col min="5123" max="5123" width="12" style="1466" bestFit="1" customWidth="1"/>
    <col min="5124" max="5376" width="9.140625" style="1466"/>
    <col min="5377" max="5377" width="29.5703125" style="1466" bestFit="1" customWidth="1"/>
    <col min="5378" max="5378" width="19.85546875" style="1466" customWidth="1"/>
    <col min="5379" max="5379" width="12" style="1466" bestFit="1" customWidth="1"/>
    <col min="5380" max="5632" width="9.140625" style="1466"/>
    <col min="5633" max="5633" width="29.5703125" style="1466" bestFit="1" customWidth="1"/>
    <col min="5634" max="5634" width="19.85546875" style="1466" customWidth="1"/>
    <col min="5635" max="5635" width="12" style="1466" bestFit="1" customWidth="1"/>
    <col min="5636" max="5888" width="9.140625" style="1466"/>
    <col min="5889" max="5889" width="29.5703125" style="1466" bestFit="1" customWidth="1"/>
    <col min="5890" max="5890" width="19.85546875" style="1466" customWidth="1"/>
    <col min="5891" max="5891" width="12" style="1466" bestFit="1" customWidth="1"/>
    <col min="5892" max="6144" width="9.140625" style="1466"/>
    <col min="6145" max="6145" width="29.5703125" style="1466" bestFit="1" customWidth="1"/>
    <col min="6146" max="6146" width="19.85546875" style="1466" customWidth="1"/>
    <col min="6147" max="6147" width="12" style="1466" bestFit="1" customWidth="1"/>
    <col min="6148" max="6400" width="9.140625" style="1466"/>
    <col min="6401" max="6401" width="29.5703125" style="1466" bestFit="1" customWidth="1"/>
    <col min="6402" max="6402" width="19.85546875" style="1466" customWidth="1"/>
    <col min="6403" max="6403" width="12" style="1466" bestFit="1" customWidth="1"/>
    <col min="6404" max="6656" width="9.140625" style="1466"/>
    <col min="6657" max="6657" width="29.5703125" style="1466" bestFit="1" customWidth="1"/>
    <col min="6658" max="6658" width="19.85546875" style="1466" customWidth="1"/>
    <col min="6659" max="6659" width="12" style="1466" bestFit="1" customWidth="1"/>
    <col min="6660" max="6912" width="9.140625" style="1466"/>
    <col min="6913" max="6913" width="29.5703125" style="1466" bestFit="1" customWidth="1"/>
    <col min="6914" max="6914" width="19.85546875" style="1466" customWidth="1"/>
    <col min="6915" max="6915" width="12" style="1466" bestFit="1" customWidth="1"/>
    <col min="6916" max="7168" width="9.140625" style="1466"/>
    <col min="7169" max="7169" width="29.5703125" style="1466" bestFit="1" customWidth="1"/>
    <col min="7170" max="7170" width="19.85546875" style="1466" customWidth="1"/>
    <col min="7171" max="7171" width="12" style="1466" bestFit="1" customWidth="1"/>
    <col min="7172" max="7424" width="9.140625" style="1466"/>
    <col min="7425" max="7425" width="29.5703125" style="1466" bestFit="1" customWidth="1"/>
    <col min="7426" max="7426" width="19.85546875" style="1466" customWidth="1"/>
    <col min="7427" max="7427" width="12" style="1466" bestFit="1" customWidth="1"/>
    <col min="7428" max="7680" width="9.140625" style="1466"/>
    <col min="7681" max="7681" width="29.5703125" style="1466" bestFit="1" customWidth="1"/>
    <col min="7682" max="7682" width="19.85546875" style="1466" customWidth="1"/>
    <col min="7683" max="7683" width="12" style="1466" bestFit="1" customWidth="1"/>
    <col min="7684" max="7936" width="9.140625" style="1466"/>
    <col min="7937" max="7937" width="29.5703125" style="1466" bestFit="1" customWidth="1"/>
    <col min="7938" max="7938" width="19.85546875" style="1466" customWidth="1"/>
    <col min="7939" max="7939" width="12" style="1466" bestFit="1" customWidth="1"/>
    <col min="7940" max="8192" width="9.140625" style="1466"/>
    <col min="8193" max="8193" width="29.5703125" style="1466" bestFit="1" customWidth="1"/>
    <col min="8194" max="8194" width="19.85546875" style="1466" customWidth="1"/>
    <col min="8195" max="8195" width="12" style="1466" bestFit="1" customWidth="1"/>
    <col min="8196" max="8448" width="9.140625" style="1466"/>
    <col min="8449" max="8449" width="29.5703125" style="1466" bestFit="1" customWidth="1"/>
    <col min="8450" max="8450" width="19.85546875" style="1466" customWidth="1"/>
    <col min="8451" max="8451" width="12" style="1466" bestFit="1" customWidth="1"/>
    <col min="8452" max="8704" width="9.140625" style="1466"/>
    <col min="8705" max="8705" width="29.5703125" style="1466" bestFit="1" customWidth="1"/>
    <col min="8706" max="8706" width="19.85546875" style="1466" customWidth="1"/>
    <col min="8707" max="8707" width="12" style="1466" bestFit="1" customWidth="1"/>
    <col min="8708" max="8960" width="9.140625" style="1466"/>
    <col min="8961" max="8961" width="29.5703125" style="1466" bestFit="1" customWidth="1"/>
    <col min="8962" max="8962" width="19.85546875" style="1466" customWidth="1"/>
    <col min="8963" max="8963" width="12" style="1466" bestFit="1" customWidth="1"/>
    <col min="8964" max="9216" width="9.140625" style="1466"/>
    <col min="9217" max="9217" width="29.5703125" style="1466" bestFit="1" customWidth="1"/>
    <col min="9218" max="9218" width="19.85546875" style="1466" customWidth="1"/>
    <col min="9219" max="9219" width="12" style="1466" bestFit="1" customWidth="1"/>
    <col min="9220" max="9472" width="9.140625" style="1466"/>
    <col min="9473" max="9473" width="29.5703125" style="1466" bestFit="1" customWidth="1"/>
    <col min="9474" max="9474" width="19.85546875" style="1466" customWidth="1"/>
    <col min="9475" max="9475" width="12" style="1466" bestFit="1" customWidth="1"/>
    <col min="9476" max="9728" width="9.140625" style="1466"/>
    <col min="9729" max="9729" width="29.5703125" style="1466" bestFit="1" customWidth="1"/>
    <col min="9730" max="9730" width="19.85546875" style="1466" customWidth="1"/>
    <col min="9731" max="9731" width="12" style="1466" bestFit="1" customWidth="1"/>
    <col min="9732" max="9984" width="9.140625" style="1466"/>
    <col min="9985" max="9985" width="29.5703125" style="1466" bestFit="1" customWidth="1"/>
    <col min="9986" max="9986" width="19.85546875" style="1466" customWidth="1"/>
    <col min="9987" max="9987" width="12" style="1466" bestFit="1" customWidth="1"/>
    <col min="9988" max="10240" width="9.140625" style="1466"/>
    <col min="10241" max="10241" width="29.5703125" style="1466" bestFit="1" customWidth="1"/>
    <col min="10242" max="10242" width="19.85546875" style="1466" customWidth="1"/>
    <col min="10243" max="10243" width="12" style="1466" bestFit="1" customWidth="1"/>
    <col min="10244" max="10496" width="9.140625" style="1466"/>
    <col min="10497" max="10497" width="29.5703125" style="1466" bestFit="1" customWidth="1"/>
    <col min="10498" max="10498" width="19.85546875" style="1466" customWidth="1"/>
    <col min="10499" max="10499" width="12" style="1466" bestFit="1" customWidth="1"/>
    <col min="10500" max="10752" width="9.140625" style="1466"/>
    <col min="10753" max="10753" width="29.5703125" style="1466" bestFit="1" customWidth="1"/>
    <col min="10754" max="10754" width="19.85546875" style="1466" customWidth="1"/>
    <col min="10755" max="10755" width="12" style="1466" bestFit="1" customWidth="1"/>
    <col min="10756" max="11008" width="9.140625" style="1466"/>
    <col min="11009" max="11009" width="29.5703125" style="1466" bestFit="1" customWidth="1"/>
    <col min="11010" max="11010" width="19.85546875" style="1466" customWidth="1"/>
    <col min="11011" max="11011" width="12" style="1466" bestFit="1" customWidth="1"/>
    <col min="11012" max="11264" width="9.140625" style="1466"/>
    <col min="11265" max="11265" width="29.5703125" style="1466" bestFit="1" customWidth="1"/>
    <col min="11266" max="11266" width="19.85546875" style="1466" customWidth="1"/>
    <col min="11267" max="11267" width="12" style="1466" bestFit="1" customWidth="1"/>
    <col min="11268" max="11520" width="9.140625" style="1466"/>
    <col min="11521" max="11521" width="29.5703125" style="1466" bestFit="1" customWidth="1"/>
    <col min="11522" max="11522" width="19.85546875" style="1466" customWidth="1"/>
    <col min="11523" max="11523" width="12" style="1466" bestFit="1" customWidth="1"/>
    <col min="11524" max="11776" width="9.140625" style="1466"/>
    <col min="11777" max="11777" width="29.5703125" style="1466" bestFit="1" customWidth="1"/>
    <col min="11778" max="11778" width="19.85546875" style="1466" customWidth="1"/>
    <col min="11779" max="11779" width="12" style="1466" bestFit="1" customWidth="1"/>
    <col min="11780" max="12032" width="9.140625" style="1466"/>
    <col min="12033" max="12033" width="29.5703125" style="1466" bestFit="1" customWidth="1"/>
    <col min="12034" max="12034" width="19.85546875" style="1466" customWidth="1"/>
    <col min="12035" max="12035" width="12" style="1466" bestFit="1" customWidth="1"/>
    <col min="12036" max="12288" width="9.140625" style="1466"/>
    <col min="12289" max="12289" width="29.5703125" style="1466" bestFit="1" customWidth="1"/>
    <col min="12290" max="12290" width="19.85546875" style="1466" customWidth="1"/>
    <col min="12291" max="12291" width="12" style="1466" bestFit="1" customWidth="1"/>
    <col min="12292" max="12544" width="9.140625" style="1466"/>
    <col min="12545" max="12545" width="29.5703125" style="1466" bestFit="1" customWidth="1"/>
    <col min="12546" max="12546" width="19.85546875" style="1466" customWidth="1"/>
    <col min="12547" max="12547" width="12" style="1466" bestFit="1" customWidth="1"/>
    <col min="12548" max="12800" width="9.140625" style="1466"/>
    <col min="12801" max="12801" width="29.5703125" style="1466" bestFit="1" customWidth="1"/>
    <col min="12802" max="12802" width="19.85546875" style="1466" customWidth="1"/>
    <col min="12803" max="12803" width="12" style="1466" bestFit="1" customWidth="1"/>
    <col min="12804" max="13056" width="9.140625" style="1466"/>
    <col min="13057" max="13057" width="29.5703125" style="1466" bestFit="1" customWidth="1"/>
    <col min="13058" max="13058" width="19.85546875" style="1466" customWidth="1"/>
    <col min="13059" max="13059" width="12" style="1466" bestFit="1" customWidth="1"/>
    <col min="13060" max="13312" width="9.140625" style="1466"/>
    <col min="13313" max="13313" width="29.5703125" style="1466" bestFit="1" customWidth="1"/>
    <col min="13314" max="13314" width="19.85546875" style="1466" customWidth="1"/>
    <col min="13315" max="13315" width="12" style="1466" bestFit="1" customWidth="1"/>
    <col min="13316" max="13568" width="9.140625" style="1466"/>
    <col min="13569" max="13569" width="29.5703125" style="1466" bestFit="1" customWidth="1"/>
    <col min="13570" max="13570" width="19.85546875" style="1466" customWidth="1"/>
    <col min="13571" max="13571" width="12" style="1466" bestFit="1" customWidth="1"/>
    <col min="13572" max="13824" width="9.140625" style="1466"/>
    <col min="13825" max="13825" width="29.5703125" style="1466" bestFit="1" customWidth="1"/>
    <col min="13826" max="13826" width="19.85546875" style="1466" customWidth="1"/>
    <col min="13827" max="13827" width="12" style="1466" bestFit="1" customWidth="1"/>
    <col min="13828" max="14080" width="9.140625" style="1466"/>
    <col min="14081" max="14081" width="29.5703125" style="1466" bestFit="1" customWidth="1"/>
    <col min="14082" max="14082" width="19.85546875" style="1466" customWidth="1"/>
    <col min="14083" max="14083" width="12" style="1466" bestFit="1" customWidth="1"/>
    <col min="14084" max="14336" width="9.140625" style="1466"/>
    <col min="14337" max="14337" width="29.5703125" style="1466" bestFit="1" customWidth="1"/>
    <col min="14338" max="14338" width="19.85546875" style="1466" customWidth="1"/>
    <col min="14339" max="14339" width="12" style="1466" bestFit="1" customWidth="1"/>
    <col min="14340" max="14592" width="9.140625" style="1466"/>
    <col min="14593" max="14593" width="29.5703125" style="1466" bestFit="1" customWidth="1"/>
    <col min="14594" max="14594" width="19.85546875" style="1466" customWidth="1"/>
    <col min="14595" max="14595" width="12" style="1466" bestFit="1" customWidth="1"/>
    <col min="14596" max="14848" width="9.140625" style="1466"/>
    <col min="14849" max="14849" width="29.5703125" style="1466" bestFit="1" customWidth="1"/>
    <col min="14850" max="14850" width="19.85546875" style="1466" customWidth="1"/>
    <col min="14851" max="14851" width="12" style="1466" bestFit="1" customWidth="1"/>
    <col min="14852" max="15104" width="9.140625" style="1466"/>
    <col min="15105" max="15105" width="29.5703125" style="1466" bestFit="1" customWidth="1"/>
    <col min="15106" max="15106" width="19.85546875" style="1466" customWidth="1"/>
    <col min="15107" max="15107" width="12" style="1466" bestFit="1" customWidth="1"/>
    <col min="15108" max="15360" width="9.140625" style="1466"/>
    <col min="15361" max="15361" width="29.5703125" style="1466" bestFit="1" customWidth="1"/>
    <col min="15362" max="15362" width="19.85546875" style="1466" customWidth="1"/>
    <col min="15363" max="15363" width="12" style="1466" bestFit="1" customWidth="1"/>
    <col min="15364" max="15616" width="9.140625" style="1466"/>
    <col min="15617" max="15617" width="29.5703125" style="1466" bestFit="1" customWidth="1"/>
    <col min="15618" max="15618" width="19.85546875" style="1466" customWidth="1"/>
    <col min="15619" max="15619" width="12" style="1466" bestFit="1" customWidth="1"/>
    <col min="15620" max="15872" width="9.140625" style="1466"/>
    <col min="15873" max="15873" width="29.5703125" style="1466" bestFit="1" customWidth="1"/>
    <col min="15874" max="15874" width="19.85546875" style="1466" customWidth="1"/>
    <col min="15875" max="15875" width="12" style="1466" bestFit="1" customWidth="1"/>
    <col min="15876" max="16128" width="9.140625" style="1466"/>
    <col min="16129" max="16129" width="29.5703125" style="1466" bestFit="1" customWidth="1"/>
    <col min="16130" max="16130" width="19.85546875" style="1466" customWidth="1"/>
    <col min="16131" max="16131" width="12" style="1466" bestFit="1" customWidth="1"/>
    <col min="16132" max="16384" width="9.140625" style="1466"/>
  </cols>
  <sheetData>
    <row r="1" spans="1:2" x14ac:dyDescent="0.2">
      <c r="A1" s="1466" t="s">
        <v>1004</v>
      </c>
      <c r="B1" s="1540">
        <v>6.1</v>
      </c>
    </row>
    <row r="2" spans="1:2" x14ac:dyDescent="0.2">
      <c r="A2" s="1466" t="s">
        <v>1005</v>
      </c>
      <c r="B2" s="1543">
        <v>43199.645324074074</v>
      </c>
    </row>
    <row r="3" spans="1:2" x14ac:dyDescent="0.2">
      <c r="A3" s="1466" t="s">
        <v>1006</v>
      </c>
      <c r="B3" s="1541" t="s">
        <v>706</v>
      </c>
    </row>
    <row r="4" spans="1:2" x14ac:dyDescent="0.2">
      <c r="A4" s="1466" t="s">
        <v>1007</v>
      </c>
      <c r="B4" s="1541" t="s">
        <v>1008</v>
      </c>
    </row>
    <row r="5" spans="1:2" x14ac:dyDescent="0.2">
      <c r="A5" s="1466" t="s">
        <v>1009</v>
      </c>
      <c r="B5" s="1541" t="s">
        <v>578</v>
      </c>
    </row>
    <row r="6" spans="1:2" x14ac:dyDescent="0.2">
      <c r="A6" s="1466" t="s">
        <v>1010</v>
      </c>
    </row>
    <row r="7" spans="1:2" x14ac:dyDescent="0.2">
      <c r="A7" s="1466" t="s">
        <v>1011</v>
      </c>
      <c r="B7" s="1541" t="s">
        <v>285</v>
      </c>
    </row>
    <row r="8" spans="1:2" x14ac:dyDescent="0.2">
      <c r="A8" s="1466" t="s">
        <v>1012</v>
      </c>
      <c r="B8" s="1541" t="s">
        <v>1013</v>
      </c>
    </row>
    <row r="9" spans="1:2" x14ac:dyDescent="0.2">
      <c r="A9" s="1466" t="s">
        <v>657</v>
      </c>
      <c r="B9" s="1541" t="s">
        <v>1050</v>
      </c>
    </row>
    <row r="10" spans="1:2" x14ac:dyDescent="0.2">
      <c r="A10" s="1466" t="s">
        <v>1014</v>
      </c>
    </row>
    <row r="11" spans="1:2" x14ac:dyDescent="0.2">
      <c r="A11" s="1466" t="s">
        <v>1015</v>
      </c>
    </row>
    <row r="12" spans="1:2" x14ac:dyDescent="0.2">
      <c r="A12" s="1466" t="s">
        <v>1016</v>
      </c>
    </row>
    <row r="13" spans="1:2" x14ac:dyDescent="0.2">
      <c r="A13" s="1466" t="s">
        <v>1017</v>
      </c>
    </row>
    <row r="14" spans="1:2" x14ac:dyDescent="0.2">
      <c r="A14" s="1466" t="s">
        <v>1018</v>
      </c>
    </row>
    <row r="15" spans="1:2" x14ac:dyDescent="0.2">
      <c r="A15" s="1466" t="s">
        <v>1019</v>
      </c>
    </row>
    <row r="16" spans="1:2" x14ac:dyDescent="0.2">
      <c r="A16" s="1466" t="s">
        <v>1020</v>
      </c>
    </row>
    <row r="17" spans="1:4" x14ac:dyDescent="0.2">
      <c r="A17" s="1466" t="s">
        <v>1021</v>
      </c>
      <c r="B17" s="1541" t="s">
        <v>1051</v>
      </c>
    </row>
    <row r="18" spans="1:4" x14ac:dyDescent="0.2">
      <c r="A18" s="1466" t="s">
        <v>1022</v>
      </c>
      <c r="B18" s="1541" t="s">
        <v>705</v>
      </c>
    </row>
    <row r="19" spans="1:4" x14ac:dyDescent="0.2">
      <c r="A19" s="1466" t="s">
        <v>1023</v>
      </c>
      <c r="B19" s="1541" t="s">
        <v>514</v>
      </c>
    </row>
    <row r="20" spans="1:4" x14ac:dyDescent="0.2">
      <c r="A20" s="1466" t="s">
        <v>1024</v>
      </c>
      <c r="B20" s="1542" t="s">
        <v>1054</v>
      </c>
    </row>
    <row r="21" spans="1:4" x14ac:dyDescent="0.2">
      <c r="A21" s="1466" t="s">
        <v>1025</v>
      </c>
      <c r="B21" s="1541" t="s">
        <v>514</v>
      </c>
    </row>
    <row r="22" spans="1:4" x14ac:dyDescent="0.2">
      <c r="A22" s="1466" t="s">
        <v>1026</v>
      </c>
      <c r="B22" s="1542">
        <v>2345022</v>
      </c>
    </row>
    <row r="23" spans="1:4" x14ac:dyDescent="0.2">
      <c r="A23" s="1466" t="s">
        <v>556</v>
      </c>
      <c r="B23" s="1540">
        <v>29.35</v>
      </c>
    </row>
    <row r="24" spans="1:4" x14ac:dyDescent="0.2">
      <c r="A24" s="1466" t="s">
        <v>555</v>
      </c>
      <c r="B24" s="1541" t="s">
        <v>191</v>
      </c>
      <c r="D24" s="1466" t="s">
        <v>215</v>
      </c>
    </row>
    <row r="25" spans="1:4" x14ac:dyDescent="0.2">
      <c r="A25" s="1466" t="s">
        <v>1027</v>
      </c>
      <c r="B25" s="1541" t="s">
        <v>1055</v>
      </c>
    </row>
    <row r="26" spans="1:4" x14ac:dyDescent="0.2">
      <c r="A26" s="1466" t="s">
        <v>1028</v>
      </c>
      <c r="B26" s="1541">
        <v>0</v>
      </c>
    </row>
    <row r="27" spans="1:4" x14ac:dyDescent="0.2">
      <c r="A27" s="1466" t="s">
        <v>1029</v>
      </c>
      <c r="B27" s="1541" t="s">
        <v>1030</v>
      </c>
    </row>
    <row r="28" spans="1:4" x14ac:dyDescent="0.2">
      <c r="A28" s="1466" t="s">
        <v>1031</v>
      </c>
      <c r="B28" s="1541" t="s">
        <v>1032</v>
      </c>
    </row>
    <row r="29" spans="1:4" x14ac:dyDescent="0.2">
      <c r="A29" s="1466" t="s">
        <v>1033</v>
      </c>
    </row>
    <row r="30" spans="1:4" x14ac:dyDescent="0.2">
      <c r="A30" s="1466" t="s">
        <v>1034</v>
      </c>
    </row>
    <row r="31" spans="1:4" x14ac:dyDescent="0.2">
      <c r="A31" s="1466" t="s">
        <v>1035</v>
      </c>
    </row>
    <row r="32" spans="1:4" x14ac:dyDescent="0.2">
      <c r="A32" s="1466" t="s">
        <v>1036</v>
      </c>
      <c r="B32" s="1540"/>
    </row>
    <row r="33" spans="1:2" x14ac:dyDescent="0.2">
      <c r="A33" s="1466" t="s">
        <v>1037</v>
      </c>
      <c r="B33" s="1540"/>
    </row>
    <row r="34" spans="1:2" x14ac:dyDescent="0.2">
      <c r="A34" s="1466" t="s">
        <v>1038</v>
      </c>
      <c r="B34" s="1540"/>
    </row>
    <row r="35" spans="1:2" x14ac:dyDescent="0.2">
      <c r="A35" s="1466" t="s">
        <v>1039</v>
      </c>
      <c r="B35" s="1541">
        <v>1000000</v>
      </c>
    </row>
    <row r="36" spans="1:2" x14ac:dyDescent="0.2">
      <c r="A36" s="1466" t="s">
        <v>1040</v>
      </c>
      <c r="B36" s="1541" t="s">
        <v>1052</v>
      </c>
    </row>
    <row r="37" spans="1:2" x14ac:dyDescent="0.2">
      <c r="A37" s="1466" t="s">
        <v>1041</v>
      </c>
      <c r="B37" s="1541" t="s">
        <v>1042</v>
      </c>
    </row>
    <row r="38" spans="1:2" x14ac:dyDescent="0.2">
      <c r="A38" s="1466" t="s">
        <v>1043</v>
      </c>
      <c r="B38" s="1541" t="s">
        <v>1044</v>
      </c>
    </row>
    <row r="39" spans="1:2" x14ac:dyDescent="0.2">
      <c r="A39" s="1466" t="s">
        <v>1045</v>
      </c>
      <c r="B39" s="1541" t="s">
        <v>1053</v>
      </c>
    </row>
    <row r="40" spans="1:2" x14ac:dyDescent="0.2">
      <c r="A40" s="1466" t="s">
        <v>1046</v>
      </c>
      <c r="B40" s="1541">
        <v>1500005544</v>
      </c>
    </row>
    <row r="41" spans="1:2" x14ac:dyDescent="0.2">
      <c r="A41" s="1466" t="s">
        <v>1047</v>
      </c>
      <c r="B41" s="1541">
        <v>1</v>
      </c>
    </row>
    <row r="42" spans="1:2" x14ac:dyDescent="0.2">
      <c r="A42" s="1467" t="s">
        <v>1048</v>
      </c>
      <c r="B42" s="1541" t="s">
        <v>1056</v>
      </c>
    </row>
    <row r="43" spans="1:2" x14ac:dyDescent="0.2">
      <c r="A43" s="1466" t="s">
        <v>1049</v>
      </c>
    </row>
  </sheetData>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13"/>
  <sheetViews>
    <sheetView workbookViewId="0">
      <selection activeCell="E11" sqref="E11"/>
    </sheetView>
  </sheetViews>
  <sheetFormatPr defaultRowHeight="12.75" x14ac:dyDescent="0.2"/>
  <cols>
    <col min="1" max="1" width="28.5703125" style="1466" bestFit="1" customWidth="1"/>
    <col min="2" max="256" width="9.140625" style="1466"/>
    <col min="257" max="257" width="28.5703125" style="1466" bestFit="1" customWidth="1"/>
    <col min="258" max="512" width="9.140625" style="1466"/>
    <col min="513" max="513" width="28.5703125" style="1466" bestFit="1" customWidth="1"/>
    <col min="514" max="768" width="9.140625" style="1466"/>
    <col min="769" max="769" width="28.5703125" style="1466" bestFit="1" customWidth="1"/>
    <col min="770" max="1024" width="9.140625" style="1466"/>
    <col min="1025" max="1025" width="28.5703125" style="1466" bestFit="1" customWidth="1"/>
    <col min="1026" max="1280" width="9.140625" style="1466"/>
    <col min="1281" max="1281" width="28.5703125" style="1466" bestFit="1" customWidth="1"/>
    <col min="1282" max="1536" width="9.140625" style="1466"/>
    <col min="1537" max="1537" width="28.5703125" style="1466" bestFit="1" customWidth="1"/>
    <col min="1538" max="1792" width="9.140625" style="1466"/>
    <col min="1793" max="1793" width="28.5703125" style="1466" bestFit="1" customWidth="1"/>
    <col min="1794" max="2048" width="9.140625" style="1466"/>
    <col min="2049" max="2049" width="28.5703125" style="1466" bestFit="1" customWidth="1"/>
    <col min="2050" max="2304" width="9.140625" style="1466"/>
    <col min="2305" max="2305" width="28.5703125" style="1466" bestFit="1" customWidth="1"/>
    <col min="2306" max="2560" width="9.140625" style="1466"/>
    <col min="2561" max="2561" width="28.5703125" style="1466" bestFit="1" customWidth="1"/>
    <col min="2562" max="2816" width="9.140625" style="1466"/>
    <col min="2817" max="2817" width="28.5703125" style="1466" bestFit="1" customWidth="1"/>
    <col min="2818" max="3072" width="9.140625" style="1466"/>
    <col min="3073" max="3073" width="28.5703125" style="1466" bestFit="1" customWidth="1"/>
    <col min="3074" max="3328" width="9.140625" style="1466"/>
    <col min="3329" max="3329" width="28.5703125" style="1466" bestFit="1" customWidth="1"/>
    <col min="3330" max="3584" width="9.140625" style="1466"/>
    <col min="3585" max="3585" width="28.5703125" style="1466" bestFit="1" customWidth="1"/>
    <col min="3586" max="3840" width="9.140625" style="1466"/>
    <col min="3841" max="3841" width="28.5703125" style="1466" bestFit="1" customWidth="1"/>
    <col min="3842" max="4096" width="9.140625" style="1466"/>
    <col min="4097" max="4097" width="28.5703125" style="1466" bestFit="1" customWidth="1"/>
    <col min="4098" max="4352" width="9.140625" style="1466"/>
    <col min="4353" max="4353" width="28.5703125" style="1466" bestFit="1" customWidth="1"/>
    <col min="4354" max="4608" width="9.140625" style="1466"/>
    <col min="4609" max="4609" width="28.5703125" style="1466" bestFit="1" customWidth="1"/>
    <col min="4610" max="4864" width="9.140625" style="1466"/>
    <col min="4865" max="4865" width="28.5703125" style="1466" bestFit="1" customWidth="1"/>
    <col min="4866" max="5120" width="9.140625" style="1466"/>
    <col min="5121" max="5121" width="28.5703125" style="1466" bestFit="1" customWidth="1"/>
    <col min="5122" max="5376" width="9.140625" style="1466"/>
    <col min="5377" max="5377" width="28.5703125" style="1466" bestFit="1" customWidth="1"/>
    <col min="5378" max="5632" width="9.140625" style="1466"/>
    <col min="5633" max="5633" width="28.5703125" style="1466" bestFit="1" customWidth="1"/>
    <col min="5634" max="5888" width="9.140625" style="1466"/>
    <col min="5889" max="5889" width="28.5703125" style="1466" bestFit="1" customWidth="1"/>
    <col min="5890" max="6144" width="9.140625" style="1466"/>
    <col min="6145" max="6145" width="28.5703125" style="1466" bestFit="1" customWidth="1"/>
    <col min="6146" max="6400" width="9.140625" style="1466"/>
    <col min="6401" max="6401" width="28.5703125" style="1466" bestFit="1" customWidth="1"/>
    <col min="6402" max="6656" width="9.140625" style="1466"/>
    <col min="6657" max="6657" width="28.5703125" style="1466" bestFit="1" customWidth="1"/>
    <col min="6658" max="6912" width="9.140625" style="1466"/>
    <col min="6913" max="6913" width="28.5703125" style="1466" bestFit="1" customWidth="1"/>
    <col min="6914" max="7168" width="9.140625" style="1466"/>
    <col min="7169" max="7169" width="28.5703125" style="1466" bestFit="1" customWidth="1"/>
    <col min="7170" max="7424" width="9.140625" style="1466"/>
    <col min="7425" max="7425" width="28.5703125" style="1466" bestFit="1" customWidth="1"/>
    <col min="7426" max="7680" width="9.140625" style="1466"/>
    <col min="7681" max="7681" width="28.5703125" style="1466" bestFit="1" customWidth="1"/>
    <col min="7682" max="7936" width="9.140625" style="1466"/>
    <col min="7937" max="7937" width="28.5703125" style="1466" bestFit="1" customWidth="1"/>
    <col min="7938" max="8192" width="9.140625" style="1466"/>
    <col min="8193" max="8193" width="28.5703125" style="1466" bestFit="1" customWidth="1"/>
    <col min="8194" max="8448" width="9.140625" style="1466"/>
    <col min="8449" max="8449" width="28.5703125" style="1466" bestFit="1" customWidth="1"/>
    <col min="8450" max="8704" width="9.140625" style="1466"/>
    <col min="8705" max="8705" width="28.5703125" style="1466" bestFit="1" customWidth="1"/>
    <col min="8706" max="8960" width="9.140625" style="1466"/>
    <col min="8961" max="8961" width="28.5703125" style="1466" bestFit="1" customWidth="1"/>
    <col min="8962" max="9216" width="9.140625" style="1466"/>
    <col min="9217" max="9217" width="28.5703125" style="1466" bestFit="1" customWidth="1"/>
    <col min="9218" max="9472" width="9.140625" style="1466"/>
    <col min="9473" max="9473" width="28.5703125" style="1466" bestFit="1" customWidth="1"/>
    <col min="9474" max="9728" width="9.140625" style="1466"/>
    <col min="9729" max="9729" width="28.5703125" style="1466" bestFit="1" customWidth="1"/>
    <col min="9730" max="9984" width="9.140625" style="1466"/>
    <col min="9985" max="9985" width="28.5703125" style="1466" bestFit="1" customWidth="1"/>
    <col min="9986" max="10240" width="9.140625" style="1466"/>
    <col min="10241" max="10241" width="28.5703125" style="1466" bestFit="1" customWidth="1"/>
    <col min="10242" max="10496" width="9.140625" style="1466"/>
    <col min="10497" max="10497" width="28.5703125" style="1466" bestFit="1" customWidth="1"/>
    <col min="10498" max="10752" width="9.140625" style="1466"/>
    <col min="10753" max="10753" width="28.5703125" style="1466" bestFit="1" customWidth="1"/>
    <col min="10754" max="11008" width="9.140625" style="1466"/>
    <col min="11009" max="11009" width="28.5703125" style="1466" bestFit="1" customWidth="1"/>
    <col min="11010" max="11264" width="9.140625" style="1466"/>
    <col min="11265" max="11265" width="28.5703125" style="1466" bestFit="1" customWidth="1"/>
    <col min="11266" max="11520" width="9.140625" style="1466"/>
    <col min="11521" max="11521" width="28.5703125" style="1466" bestFit="1" customWidth="1"/>
    <col min="11522" max="11776" width="9.140625" style="1466"/>
    <col min="11777" max="11777" width="28.5703125" style="1466" bestFit="1" customWidth="1"/>
    <col min="11778" max="12032" width="9.140625" style="1466"/>
    <col min="12033" max="12033" width="28.5703125" style="1466" bestFit="1" customWidth="1"/>
    <col min="12034" max="12288" width="9.140625" style="1466"/>
    <col min="12289" max="12289" width="28.5703125" style="1466" bestFit="1" customWidth="1"/>
    <col min="12290" max="12544" width="9.140625" style="1466"/>
    <col min="12545" max="12545" width="28.5703125" style="1466" bestFit="1" customWidth="1"/>
    <col min="12546" max="12800" width="9.140625" style="1466"/>
    <col min="12801" max="12801" width="28.5703125" style="1466" bestFit="1" customWidth="1"/>
    <col min="12802" max="13056" width="9.140625" style="1466"/>
    <col min="13057" max="13057" width="28.5703125" style="1466" bestFit="1" customWidth="1"/>
    <col min="13058" max="13312" width="9.140625" style="1466"/>
    <col min="13313" max="13313" width="28.5703125" style="1466" bestFit="1" customWidth="1"/>
    <col min="13314" max="13568" width="9.140625" style="1466"/>
    <col min="13569" max="13569" width="28.5703125" style="1466" bestFit="1" customWidth="1"/>
    <col min="13570" max="13824" width="9.140625" style="1466"/>
    <col min="13825" max="13825" width="28.5703125" style="1466" bestFit="1" customWidth="1"/>
    <col min="13826" max="14080" width="9.140625" style="1466"/>
    <col min="14081" max="14081" width="28.5703125" style="1466" bestFit="1" customWidth="1"/>
    <col min="14082" max="14336" width="9.140625" style="1466"/>
    <col min="14337" max="14337" width="28.5703125" style="1466" bestFit="1" customWidth="1"/>
    <col min="14338" max="14592" width="9.140625" style="1466"/>
    <col min="14593" max="14593" width="28.5703125" style="1466" bestFit="1" customWidth="1"/>
    <col min="14594" max="14848" width="9.140625" style="1466"/>
    <col min="14849" max="14849" width="28.5703125" style="1466" bestFit="1" customWidth="1"/>
    <col min="14850" max="15104" width="9.140625" style="1466"/>
    <col min="15105" max="15105" width="28.5703125" style="1466" bestFit="1" customWidth="1"/>
    <col min="15106" max="15360" width="9.140625" style="1466"/>
    <col min="15361" max="15361" width="28.5703125" style="1466" bestFit="1" customWidth="1"/>
    <col min="15362" max="15616" width="9.140625" style="1466"/>
    <col min="15617" max="15617" width="28.5703125" style="1466" bestFit="1" customWidth="1"/>
    <col min="15618" max="15872" width="9.140625" style="1466"/>
    <col min="15873" max="15873" width="28.5703125" style="1466" bestFit="1" customWidth="1"/>
    <col min="15874" max="16128" width="9.140625" style="1466"/>
    <col min="16129" max="16129" width="28.5703125" style="1466" bestFit="1" customWidth="1"/>
    <col min="16130" max="16384" width="9.140625" style="1466"/>
  </cols>
  <sheetData>
    <row r="1" spans="1:1" x14ac:dyDescent="0.2">
      <c r="A1" s="1544" t="s">
        <v>1057</v>
      </c>
    </row>
    <row r="2" spans="1:1" x14ac:dyDescent="0.2">
      <c r="A2" s="1544" t="s">
        <v>1062</v>
      </c>
    </row>
    <row r="3" spans="1:1" x14ac:dyDescent="0.2">
      <c r="A3" s="1544" t="s">
        <v>1063</v>
      </c>
    </row>
    <row r="4" spans="1:1" x14ac:dyDescent="0.2">
      <c r="A4" s="1544" t="s">
        <v>1064</v>
      </c>
    </row>
    <row r="5" spans="1:1" x14ac:dyDescent="0.2">
      <c r="A5" s="1544" t="s">
        <v>1065</v>
      </c>
    </row>
    <row r="6" spans="1:1" x14ac:dyDescent="0.2">
      <c r="A6" s="1544" t="s">
        <v>1058</v>
      </c>
    </row>
    <row r="7" spans="1:1" x14ac:dyDescent="0.2">
      <c r="A7" s="1544" t="s">
        <v>1066</v>
      </c>
    </row>
    <row r="8" spans="1:1" x14ac:dyDescent="0.2">
      <c r="A8" s="1544" t="s">
        <v>1067</v>
      </c>
    </row>
    <row r="9" spans="1:1" x14ac:dyDescent="0.2">
      <c r="A9" s="1544" t="s">
        <v>1068</v>
      </c>
    </row>
    <row r="10" spans="1:1" x14ac:dyDescent="0.2">
      <c r="A10" s="1544" t="s">
        <v>1059</v>
      </c>
    </row>
    <row r="11" spans="1:1" x14ac:dyDescent="0.2">
      <c r="A11" s="1544" t="s">
        <v>1069</v>
      </c>
    </row>
    <row r="12" spans="1:1" x14ac:dyDescent="0.2">
      <c r="A12" s="1544" t="s">
        <v>1060</v>
      </c>
    </row>
    <row r="13" spans="1:1" x14ac:dyDescent="0.2">
      <c r="A13" s="1544" t="s">
        <v>1061</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Link>
    <GUID>e9336d12-2d15-4861-a082-9e01f3fb8ea6</GUID>
    <SOURCE_ALTADDRESS>$A$6:$AG$49</SOURCE_ALTADDRESS>
    <SOURCETYPE>Table</SOURCETYPE>
    <SOURCE_OBJECTNAME>Linking_Range_44</SOURCE_OBJECTNAME>
    <OBJECTTYPE>Native</OBJECTTYPE>
    <SOURCE_SHEETCODE>Sheet10</SOURCE_SHEETCODE>
    <SOURCE_SHEETNAME>flow</SOURCE_SHEETNAME>
    <SOURCEAPPLICATION>EXCEL_SOURCE</SOURCEAPPLICATION>
    <UPDATEDAT>2/24/2015 4:43:39 PM</UPDATEDAT>
    <SOURCE_ISOUTOFDATE>False</SOURCE_ISOUTOFDATE>
    <SOURCE_WORKBOOKNAME>M_Model.xls</SOURCE_WORKBOOKNAME>
    <SOURCE_WORKBOOKPATH>\\MSAD\ROOT\NA\NY\LIB\ER\RETAIL\Greenberger\Companies\M\Models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/MSResearch/Content/ExternalAssets/2015-02/Images/5bJQbIILbEam-MRg42mOyQ--.png</TARGET_BINARYFULLNAME>
    <TARGET_STORYFULLNAME>/MSResearch/Content/ExternalAssets/2015-02/Sections/20150224_044336_Linking_Range_44.xml</TARGET_STORYFULLNAME>
    <TARGET_UUID>301fed34-bc6e-11e4-a5e9-e3b3f180109b</TARGET_UUID>
  </Link>
  <Link>
    <GUID>8b67cfad-5814-4bdf-82cb-8d1ac1e6d8e2</GUID>
    <SOURCE_ALTADDRESS>$A$7:$FF$56</SOURCE_ALTADDRESS>
    <SOURCETYPE>Table</SOURCETYPE>
    <SOURCE_OBJECTNAME>Linking_Range_42</SOURCE_OBJECTNAME>
    <OBJECTTYPE>Native</OBJECTTYPE>
    <SOURCE_SHEETCODE>Sheet1</SOURCE_SHEETCODE>
    <SOURCE_SHEETNAME>sumry</SOURCE_SHEETNAME>
    <SOURCEAPPLICATION>EXCEL_SOURCE</SOURCEAPPLICATION>
    <UPDATEDAT>5/13/2015 2:56:50 PM</UPDATEDAT>
    <SOURCE_ISOUTOFDATE>False</SOURCE_ISOUTOFDATE>
    <SOURCE_WORKBOOKNAME>M_Model.xls</SOURCE_WORKBOOKNAME>
    <SOURCE_WORKBOOKPATH>\\MSAD\ROOT\NA\NY\LIB\ER\RETAIL\Greenberger\Companies\M\Models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/MSResearch/Content/ExternalAssets/2015-02/Images/GvBKtAutoECKtZBQ-sopHA--.png</TARGET_BINARYFULLNAME>
    <TARGET_STORYFULLNAME>/MSResearch/Content/ExternalAssets/2015-02/Sections/20150224_044144_Linking_Range_42.xml</TARGET_STORYFULLNAME>
    <TARGET_UUID>ed726746-bc6d-11e4-a5e9-e3b3f180109b</TARGET_UUID>
    <TRANSPARENTBACKGROUND>False</TRANSPARENTBACKGROUND>
    <TRANSPARENTPLOTAREA>False</TRANSPARENTPLOTAREA>
  </Link>
  <Link>
    <GUID>d1c93534-3e7a-4098-b9dd-c0279d8debfb</GUID>
    <SOURCE_ALTADDRESS>$A$6:$AH$49</SOURCE_ALTADDRESS>
    <SOURCETYPE>Table</SOURCETYPE>
    <SOURCE_OBJECTNAME>Linking_Range_46</SOURCE_OBJECTNAME>
    <OBJECTTYPE>Native</OBJECTTYPE>
    <SOURCE_SHEETCODE>Sheet10</SOURCE_SHEETCODE>
    <SOURCE_SHEETNAME>flow</SOURCE_SHEETNAME>
    <SOURCEAPPLICATION>EXCEL_SOURCE</SOURCEAPPLICATION>
    <UPDATEDAT>5/13/2015 2:58:30 PM</UPDATEDAT>
    <SOURCE_ISOUTOFDATE>False</SOURCE_ISOUTOFDATE>
    <SOURCE_WORKBOOKNAME>M_Model.xls</SOURCE_WORKBOOKNAME>
    <SOURCE_WORKBOOKPATH>\\MSAD\ROOT\NA\NY\LIB\ER\RETAIL\Greenberger\Companies\M\Models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/MSResearch/Content/ExternalAssets/2015-05/Images/goyCSshhnkufEl_T3MNHQA--.png</TARGET_BINARYFULLNAME>
    <TARGET_STORYFULLNAME>/MSResearch/Content/ExternalAssets/2015-05/Sections/20150513_025828_Linking_Range_46.xml</TARGET_STORYFULLNAME>
    <TARGET_UUID>0a91ebf0-f9a2-11e4-b06e-39cc228b6d15</TARGET_UUID>
  </Link>
  <Link>
    <GUID>68c8bc1f-80c8-407d-8ba1-f692f2a4dbed</GUID>
    <SOURCE_ALTADDRESS>$A$6:$AF$46</SOURCE_ALTADDRESS>
    <SOURCETYPE>Table</SOURCETYPE>
    <SOURCE_OBJECTNAME>Linking_Range_43</SOURCE_OBJECTNAME>
    <OBJECTTYPE>Native</OBJECTTYPE>
    <SOURCE_SHEETCODE>Sheet9</SOURCE_SHEETCODE>
    <SOURCE_SHEETNAME>bal</SOURCE_SHEETNAME>
    <SOURCEAPPLICATION>EXCEL_SOURCE</SOURCEAPPLICATION>
    <UPDATEDAT>5/13/2015 2:58:49 PM</UPDATEDAT>
    <SOURCE_ISOUTOFDATE>False</SOURCE_ISOUTOFDATE>
    <SOURCE_WORKBOOKNAME>M_Model.xls</SOURCE_WORKBOOKNAME>
    <SOURCE_WORKBOOKPATH>\\MSAD\ROOT\NA\NY\LIB\ER\RETAIL\Greenberger\Companies\M\Models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/MSResearch/Content/ExternalAssets/2015-02/Images/EvIDgGKlGE-DXZUUN2g--.png</TARGET_BINARYFULLNAME>
    <TARGET_STORYFULLNAME>/MSResearch/Content/ExternalAssets/2015-02/Sections/20150224_044300_Linking_Range_43.xml</TARGET_STORYFULLNAME>
    <TARGET_UUID>1aa217de-bc6e-11e4-a5e9-e3b3f180109b</TARGET_UUID>
    <LINKSTATUS>Unknown</LINKSTATUS>
  </Link>
  <Link>
    <GUID>5192a70d-4480-4678-a0be-7a2937fd022a</GUID>
    <SOURCE_ALTADDRESS>$A$6:$AG$46</SOURCE_ALTADDRESS>
    <SOURCETYPE>Table</SOURCETYPE>
    <SOURCE_OBJECTNAME>Linking_Range_45</SOURCE_OBJECTNAME>
    <OBJECTTYPE>Native</OBJECTTYPE>
    <SOURCE_SHEETCODE>Sheet9</SOURCE_SHEETCODE>
    <SOURCE_SHEETNAME>bal</SOURCE_SHEETNAME>
    <SOURCEAPPLICATION>EXCEL_SOURCE</SOURCEAPPLICATION>
    <UPDATEDAT>5/13/2015 2:59:21 PM</UPDATEDAT>
    <SOURCE_ISOUTOFDATE>False</SOURCE_ISOUTOFDATE>
    <SOURCE_WORKBOOKNAME>M_Model.xls</SOURCE_WORKBOOKNAME>
    <SOURCE_WORKBOOKPATH>\\MSAD\ROOT\NA\NY\LIB\ER\RETAIL\Greenberger\Companies\M\Models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/MSResearch/Content/ExternalAssets/2015-05/Images/-oRsMNaDA0CQoxWOSBxSUA--.png</TARGET_BINARYFULLNAME>
    <TARGET_STORYFULLNAME>/MSResearch/Content/ExternalAssets/2015-05/Sections/20150513_025716_Linking_Range_45.xml</TARGET_STORYFULLNAME>
    <TARGET_UUID>df8395e4-f9a1-11e4-b06e-39cc228b6d15</TARGET_UUID>
    <LINKSTATUS>Unknown</LINKSTATUS>
    <TRANSPARENTBACKGROUND>False</TRANSPARENTBACKGROUND>
    <TRANSPARENTPLOTAREA>False</TRANSPARENTPLOTAREA>
  </Link>
  <Link>
    <GUID>2fdbf305-3111-4d44-86e1-9bdd8ec55f77</GUID>
    <SOURCETYPE>Chart</SOURCETYPE>
    <SOURCE_OBJECTNAME>MWA_Risk_Reward</SOURCE_OBJECTNAME>
    <SOURCE_SHEETCODE>MWRSSData</SOURCE_SHEETCODE>
    <SOURCE_SHEETNAME>MWA RR</SOURCE_SHEETNAME>
    <OBJECTTYPE>Native</OBJECTTYPE>
    <SOURCEAPPLICATION>EXCEL_SOURCE</SOURCEAPPLICATION>
    <UPDATEDAT>5/13/2015 3:00:50 PM</UPDATEDAT>
    <SOURCE_ISOUTOFDATE>False</SOURCE_ISOUTOFDATE>
    <SOURCE_WORKBOOKNAME>M_Model.xls</SOURCE_WORKBOOKNAME>
    <SOURCE_WORKBOOKPATH>\\MSAD\ROOT\NA\NY\LIB\ER\RETAIL\Greenberger\Companies\M\Models</SOURCE_WORKBOOKPATH>
    <TRANSPARENTBACKGROUND>False</TRANSPARENTBACKGROUND>
    <TRANSPARENTPLOTAREA>False</TRANSPARENTPLOTAREA>
    <TARGETTYPE>Picture</TARGETTYPE>
    <TARGETAPPLICATION>METHODE_TARGET</TARGETAPPLICATION>
    <TABLEBACKGROUND>Existing</TABLEBACKGROUND>
    <TARGET_BINARYFULLNAME>/MSResearch/Content/ExternalAssets/2014-11/Images/j_xK261a4Ee9tox-6ZTnfQ--.png</TARGET_BINARYFULLNAME>
    <TARGET_STORYFULLNAME>/MSResearch/Content/ExternalAssets/2014-11/Sections/20141112_023711_MWA_Risk_Reward.xml</TARGET_STORYFULLNAME>
    <TARGET_UUID>4bbbee20-6aa3-11e4-a3c3-17411572f345</TARGET_UUID>
    <LINKSTATUS>Unknown</LINKSTATUS>
    <HIDEGRIDLINES>False</HIDEGRIDLINES>
  </Link>
</lk:Links>
</file>

<file path=customXml/itemProps1.xml><?xml version="1.0" encoding="utf-8"?>
<ds:datastoreItem xmlns:ds="http://schemas.openxmlformats.org/officeDocument/2006/customXml" ds:itemID="{44F573FF-9FF7-43C5-9367-E8A0DC894E19}">
  <ds:schemaRefs>
    <ds:schemaRef ds:uri="thomsonreuters.linking.metadatachange"/>
  </ds:schemaRefs>
</ds:datastoreItem>
</file>

<file path=customXml/itemProps2.xml><?xml version="1.0" encoding="utf-8"?>
<ds:datastoreItem xmlns:ds="http://schemas.openxmlformats.org/officeDocument/2006/customXml" ds:itemID="{E3131F2A-BAB1-4F19-82AF-FA594B314FB8}">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136</vt:i4>
      </vt:variant>
    </vt:vector>
  </HeadingPairs>
  <TitlesOfParts>
    <vt:vector size="154" baseType="lpstr">
      <vt:lpstr>ImportantDisclosures</vt:lpstr>
      <vt:lpstr>BullBaseBear</vt:lpstr>
      <vt:lpstr>sumry</vt:lpstr>
      <vt:lpstr>sgadetail</vt:lpstr>
      <vt:lpstr>qtrSales</vt:lpstr>
      <vt:lpstr>qtrP&amp;L</vt:lpstr>
      <vt:lpstr>yrSales</vt:lpstr>
      <vt:lpstr>yrP&amp;L</vt:lpstr>
      <vt:lpstr>stores</vt:lpstr>
      <vt:lpstr>flow</vt:lpstr>
      <vt:lpstr>bal</vt:lpstr>
      <vt:lpstr>dtc</vt:lpstr>
      <vt:lpstr>wc</vt:lpstr>
      <vt:lpstr>turn</vt:lpstr>
      <vt:lpstr>DCF</vt:lpstr>
      <vt:lpstr>LEASES NEW</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DCF!Linking_1</vt:lpstr>
      <vt:lpstr>Linking_10</vt:lpstr>
      <vt:lpstr>Linking_11</vt:lpstr>
      <vt:lpstr>Linking_12</vt:lpstr>
      <vt:lpstr>Linking_3</vt:lpstr>
      <vt:lpstr>Linking_4</vt:lpstr>
      <vt:lpstr>Linking_5</vt:lpstr>
      <vt:lpstr>Linking_6</vt:lpstr>
      <vt:lpstr>Linking_7</vt:lpstr>
      <vt:lpstr>Linking_8</vt:lpstr>
      <vt:lpstr>Linking_9</vt:lpstr>
      <vt:lpstr>Linking_Range_10</vt:lpstr>
      <vt:lpstr>Linking_Range_11</vt:lpstr>
      <vt:lpstr>Linking_Range_12</vt:lpstr>
      <vt:lpstr>Linking_Range_13</vt:lpstr>
      <vt:lpstr>Linking_Range_14</vt:lpstr>
      <vt:lpstr>Linking_Range_16</vt:lpstr>
      <vt:lpstr>Linking_Range_18</vt:lpstr>
      <vt:lpstr>Linking_Range_26</vt:lpstr>
      <vt:lpstr>Linking_Range_27</vt:lpstr>
      <vt:lpstr>Linking_Range_28</vt:lpstr>
      <vt:lpstr>Linking_Range_29</vt:lpstr>
      <vt:lpstr>Linking_Range_30</vt:lpstr>
      <vt:lpstr>Linking_Range_31</vt:lpstr>
      <vt:lpstr>Linking_Range_32</vt:lpstr>
      <vt:lpstr>Linking_Range_33</vt:lpstr>
      <vt:lpstr>Linking_Range_34</vt:lpstr>
      <vt:lpstr>Linking_Range_35</vt:lpstr>
      <vt:lpstr>Linking_Range_36</vt:lpstr>
      <vt:lpstr>Linking_Range_37</vt:lpstr>
      <vt:lpstr>Linking_Range_38</vt:lpstr>
      <vt:lpstr>Linking_Range_4</vt:lpstr>
      <vt:lpstr>Linking_Range_40</vt:lpstr>
      <vt:lpstr>Linking_Range_41</vt:lpstr>
      <vt:lpstr>Linking_Range_42</vt:lpstr>
      <vt:lpstr>Linking_Range_43</vt:lpstr>
      <vt:lpstr>Linking_Range_44</vt:lpstr>
      <vt:lpstr>Linking_Range_45</vt:lpstr>
      <vt:lpstr>Linking_Range_46</vt:lpstr>
      <vt:lpstr>Linking_Range_47</vt:lpstr>
      <vt:lpstr>Linking_Range_5</vt:lpstr>
      <vt:lpstr>Linking_Range_6</vt:lpstr>
      <vt:lpstr>Linking_Range_7</vt:lpstr>
      <vt:lpstr>Linking_Range_8</vt:lpstr>
      <vt:lpstr>Linking_Range_9</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bal!Print_Area</vt:lpstr>
      <vt:lpstr>BullBaseBear!Print_Area</vt:lpstr>
      <vt:lpstr>flow!Print_Area</vt:lpstr>
      <vt:lpstr>'qtrP&amp;L'!Print_Area</vt:lpstr>
      <vt:lpstr>qtrSales!Print_Area</vt:lpstr>
      <vt:lpstr>sgadetail!Print_Area</vt:lpstr>
      <vt:lpstr>sumry!Print_Area</vt:lpstr>
      <vt:lpstr>turn!Print_Area</vt:lpstr>
      <vt:lpstr>wc!Print_Area</vt:lpstr>
      <vt:lpstr>'yrP&amp;L'!Print_Area</vt:lpstr>
      <vt:lpstr>yrSales!Print_Area</vt:lpstr>
      <vt:lpstr>'qtrP&amp;L'!Print_Titles</vt:lpstr>
      <vt:lpstr>sgadetail!Print_Titles</vt:lpstr>
      <vt:lpstr>'yrP&amp;L'!Print_Titles</vt:lpstr>
      <vt:lpstr>yrSales!Print_Titles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lpstr>xbrlAssumption</vt:lpstr>
      <vt:lpstr>xbrlDates</vt:lpstr>
      <vt:lpstr>xbrlFormat</vt:lpstr>
      <vt:lpstr>xbrlLabels</vt:lpstr>
      <vt:lpstr>xbrlNames</vt:lpstr>
      <vt:lpstr>xbrlReverseSign</vt:lpstr>
      <vt:lpstr>xbrlScale</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2011-05-09T22:38:47Z</dcterms:created>
  <dc:creator>sancfa</dc:creator>
  <cp:lastModifiedBy>De Courreges, Edouard (Research)</cp:lastModifiedBy>
  <cp:lastPrinted>2018-02-28T02:45:48Z</cp:lastPrinted>
  <dcterms:modified xsi:type="dcterms:W3CDTF">2018-04-09T19:29:18Z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Text_" pid="2">
    <vt:lpwstr>2</vt:lpwstr>
  </property>
  <property fmtid="{D5CDD505-2E9C-101B-9397-08002B2CF9AE}" name="LinkingAutoNameNumberLinking_Range_" pid="3">
    <vt:lpwstr>47</vt:lpwstr>
  </property>
  <property fmtid="{D5CDD505-2E9C-101B-9397-08002B2CF9AE}" name="ERModPubTicket" pid="4">
    <vt:lpwstr>NA</vt:lpwstr>
  </property>
  <property fmtid="{D5CDD505-2E9C-101B-9397-08002B2CF9AE}" name="ERCompanyUploadState" pid="5">
    <vt:lpwstr>P</vt:lpwstr>
  </property>
  <property fmtid="{D5CDD505-2E9C-101B-9397-08002B2CF9AE}" name="ModelId" pid="6">
    <vt:lpwstr>760318</vt:lpwstr>
  </property>
  <property fmtid="{D5CDD505-2E9C-101B-9397-08002B2CF9AE}" name="ERModPubCompanyName" pid="7">
    <vt:lpwstr>Macy's Inc.</vt:lpwstr>
  </property>
  <property fmtid="{D5CDD505-2E9C-101B-9397-08002B2CF9AE}" name="MSDH34TAG" pid="8">
    <vt:lpwstr>.TEZUF76X5TAHATHESADREYAK-00-INB160+*94600-06=4ecfb872/-3c2c/-11e8/-b3f7/-7a79cfe26848,MD=20180409153330/-0400,ZZ=000Z-a0ca.</vt:lpwstr>
  </property>
</Properties>
</file>